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01D43BA3-E514-4816-8F80-0D02407BB7BA}" xr6:coauthVersionLast="47" xr6:coauthVersionMax="47" xr10:uidLastSave="{00000000-0000-0000-0000-000000000000}"/>
  <bookViews>
    <workbookView xWindow="-28920" yWindow="-120" windowWidth="29040" windowHeight="15840" firstSheet="3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Log'!$A$1:$G$837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F14" i="2" l="1"/>
  <c r="B7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I33" i="12"/>
  <c r="J32" i="12"/>
  <c r="E32" i="12"/>
  <c r="J31" i="12"/>
  <c r="J29" i="12"/>
  <c r="E29" i="12"/>
  <c r="J28" i="12"/>
  <c r="I27" i="12"/>
  <c r="J26" i="12"/>
  <c r="J24" i="12"/>
  <c r="C24" i="12"/>
  <c r="J23" i="12"/>
  <c r="C22" i="12"/>
  <c r="J21" i="12"/>
  <c r="I20" i="12"/>
  <c r="J19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2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T19" i="11"/>
  <c r="T20" i="11" s="1"/>
  <c r="E19" i="11"/>
  <c r="D19" i="11"/>
  <c r="U18" i="11"/>
  <c r="T18" i="11"/>
  <c r="U19" i="11" s="1"/>
  <c r="E18" i="11"/>
  <c r="D18" i="11"/>
  <c r="Y17" i="11"/>
  <c r="Y18" i="11" s="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K10" i="11"/>
  <c r="E10" i="11"/>
  <c r="A86" i="11" s="1"/>
  <c r="D10" i="11"/>
  <c r="O9" i="11"/>
  <c r="O10" i="11" s="1"/>
  <c r="K9" i="11"/>
  <c r="J9" i="11"/>
  <c r="J10" i="11" s="1"/>
  <c r="F9" i="11"/>
  <c r="E9" i="11"/>
  <c r="G9" i="11" s="1"/>
  <c r="D9" i="11"/>
  <c r="P8" i="11"/>
  <c r="O8" i="11"/>
  <c r="P9" i="11" s="1"/>
  <c r="K8" i="11"/>
  <c r="F8" i="11"/>
  <c r="E8" i="11"/>
  <c r="G8" i="11" s="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G791" i="10"/>
  <c r="C791" i="10"/>
  <c r="B791" i="10"/>
  <c r="H791" i="10" s="1"/>
  <c r="N790" i="10"/>
  <c r="H790" i="10"/>
  <c r="G790" i="10"/>
  <c r="C790" i="10"/>
  <c r="B790" i="10"/>
  <c r="N789" i="10"/>
  <c r="I789" i="10"/>
  <c r="H789" i="10"/>
  <c r="G789" i="10"/>
  <c r="E789" i="10"/>
  <c r="C789" i="10"/>
  <c r="B789" i="10"/>
  <c r="N788" i="10"/>
  <c r="G788" i="10"/>
  <c r="C788" i="10"/>
  <c r="I788" i="10" s="1"/>
  <c r="B788" i="10"/>
  <c r="H788" i="10" s="1"/>
  <c r="N787" i="10"/>
  <c r="G787" i="10"/>
  <c r="C787" i="10"/>
  <c r="B787" i="10"/>
  <c r="H787" i="10" s="1"/>
  <c r="N786" i="10"/>
  <c r="H786" i="10"/>
  <c r="G786" i="10"/>
  <c r="C786" i="10"/>
  <c r="B786" i="10"/>
  <c r="N785" i="10"/>
  <c r="I785" i="10"/>
  <c r="H785" i="10"/>
  <c r="G785" i="10"/>
  <c r="E785" i="10"/>
  <c r="C785" i="10"/>
  <c r="B785" i="10"/>
  <c r="N784" i="10"/>
  <c r="G784" i="10"/>
  <c r="C784" i="10"/>
  <c r="I784" i="10" s="1"/>
  <c r="B784" i="10"/>
  <c r="H784" i="10" s="1"/>
  <c r="N783" i="10"/>
  <c r="G783" i="10"/>
  <c r="C783" i="10"/>
  <c r="B783" i="10"/>
  <c r="H783" i="10" s="1"/>
  <c r="N782" i="10"/>
  <c r="H782" i="10"/>
  <c r="G782" i="10"/>
  <c r="C782" i="10"/>
  <c r="B782" i="10"/>
  <c r="N781" i="10"/>
  <c r="I781" i="10"/>
  <c r="G781" i="10"/>
  <c r="E781" i="10"/>
  <c r="C781" i="10"/>
  <c r="B781" i="10"/>
  <c r="H781" i="10" s="1"/>
  <c r="N780" i="10"/>
  <c r="G780" i="10"/>
  <c r="C780" i="10"/>
  <c r="I780" i="10" s="1"/>
  <c r="B780" i="10"/>
  <c r="H780" i="10" s="1"/>
  <c r="N779" i="10"/>
  <c r="G779" i="10"/>
  <c r="C779" i="10"/>
  <c r="B779" i="10"/>
  <c r="H779" i="10" s="1"/>
  <c r="N778" i="10"/>
  <c r="H778" i="10"/>
  <c r="G778" i="10"/>
  <c r="C778" i="10"/>
  <c r="B778" i="10"/>
  <c r="N777" i="10"/>
  <c r="I777" i="10"/>
  <c r="G777" i="10"/>
  <c r="E777" i="10"/>
  <c r="C777" i="10"/>
  <c r="B777" i="10"/>
  <c r="H777" i="10" s="1"/>
  <c r="N776" i="10"/>
  <c r="G776" i="10"/>
  <c r="C776" i="10"/>
  <c r="I776" i="10" s="1"/>
  <c r="B776" i="10"/>
  <c r="H776" i="10" s="1"/>
  <c r="N775" i="10"/>
  <c r="G775" i="10"/>
  <c r="C775" i="10"/>
  <c r="B775" i="10"/>
  <c r="H775" i="10" s="1"/>
  <c r="N774" i="10"/>
  <c r="H774" i="10"/>
  <c r="G774" i="10"/>
  <c r="C774" i="10"/>
  <c r="B774" i="10"/>
  <c r="N773" i="10"/>
  <c r="I773" i="10"/>
  <c r="G773" i="10"/>
  <c r="E773" i="10"/>
  <c r="C773" i="10"/>
  <c r="B773" i="10"/>
  <c r="H773" i="10" s="1"/>
  <c r="N772" i="10"/>
  <c r="G772" i="10"/>
  <c r="C772" i="10"/>
  <c r="I772" i="10" s="1"/>
  <c r="B772" i="10"/>
  <c r="H772" i="10" s="1"/>
  <c r="N771" i="10"/>
  <c r="G771" i="10"/>
  <c r="C771" i="10"/>
  <c r="B771" i="10"/>
  <c r="H771" i="10" s="1"/>
  <c r="N770" i="10"/>
  <c r="H770" i="10"/>
  <c r="G770" i="10"/>
  <c r="C770" i="10"/>
  <c r="B770" i="10"/>
  <c r="N769" i="10"/>
  <c r="I769" i="10"/>
  <c r="G769" i="10"/>
  <c r="E769" i="10"/>
  <c r="C769" i="10"/>
  <c r="B769" i="10"/>
  <c r="H769" i="10" s="1"/>
  <c r="N768" i="10"/>
  <c r="G768" i="10"/>
  <c r="C768" i="10"/>
  <c r="I768" i="10" s="1"/>
  <c r="B768" i="10"/>
  <c r="H768" i="10" s="1"/>
  <c r="N767" i="10"/>
  <c r="G767" i="10"/>
  <c r="C767" i="10"/>
  <c r="B767" i="10"/>
  <c r="H767" i="10" s="1"/>
  <c r="N766" i="10"/>
  <c r="H766" i="10"/>
  <c r="G766" i="10"/>
  <c r="C766" i="10"/>
  <c r="B766" i="10"/>
  <c r="N765" i="10"/>
  <c r="I765" i="10"/>
  <c r="G765" i="10"/>
  <c r="E765" i="10"/>
  <c r="C765" i="10"/>
  <c r="B765" i="10"/>
  <c r="H765" i="10" s="1"/>
  <c r="N764" i="10"/>
  <c r="G764" i="10"/>
  <c r="C764" i="10"/>
  <c r="I764" i="10" s="1"/>
  <c r="B764" i="10"/>
  <c r="H764" i="10" s="1"/>
  <c r="N763" i="10"/>
  <c r="G763" i="10"/>
  <c r="C763" i="10"/>
  <c r="B763" i="10"/>
  <c r="H763" i="10" s="1"/>
  <c r="N762" i="10"/>
  <c r="H762" i="10"/>
  <c r="G762" i="10"/>
  <c r="C762" i="10"/>
  <c r="B762" i="10"/>
  <c r="N761" i="10"/>
  <c r="I761" i="10"/>
  <c r="G761" i="10"/>
  <c r="E761" i="10"/>
  <c r="C761" i="10"/>
  <c r="B761" i="10"/>
  <c r="H761" i="10" s="1"/>
  <c r="N760" i="10"/>
  <c r="G760" i="10"/>
  <c r="C760" i="10"/>
  <c r="I760" i="10" s="1"/>
  <c r="B760" i="10"/>
  <c r="H760" i="10" s="1"/>
  <c r="N759" i="10"/>
  <c r="G759" i="10"/>
  <c r="C759" i="10"/>
  <c r="B759" i="10"/>
  <c r="H759" i="10" s="1"/>
  <c r="N758" i="10"/>
  <c r="H758" i="10"/>
  <c r="G758" i="10"/>
  <c r="C758" i="10"/>
  <c r="B758" i="10"/>
  <c r="N757" i="10"/>
  <c r="I757" i="10"/>
  <c r="G757" i="10"/>
  <c r="E757" i="10"/>
  <c r="C757" i="10"/>
  <c r="B757" i="10"/>
  <c r="H757" i="10" s="1"/>
  <c r="N756" i="10"/>
  <c r="G756" i="10"/>
  <c r="C756" i="10"/>
  <c r="I756" i="10" s="1"/>
  <c r="B756" i="10"/>
  <c r="H756" i="10" s="1"/>
  <c r="N755" i="10"/>
  <c r="G755" i="10"/>
  <c r="C755" i="10"/>
  <c r="B755" i="10"/>
  <c r="H755" i="10" s="1"/>
  <c r="N754" i="10"/>
  <c r="H754" i="10"/>
  <c r="G754" i="10"/>
  <c r="C754" i="10"/>
  <c r="B754" i="10"/>
  <c r="N753" i="10"/>
  <c r="I753" i="10"/>
  <c r="G753" i="10"/>
  <c r="E753" i="10"/>
  <c r="C753" i="10"/>
  <c r="B753" i="10"/>
  <c r="H753" i="10" s="1"/>
  <c r="N752" i="10"/>
  <c r="G752" i="10"/>
  <c r="C752" i="10"/>
  <c r="I752" i="10" s="1"/>
  <c r="B752" i="10"/>
  <c r="H752" i="10" s="1"/>
  <c r="N751" i="10"/>
  <c r="G751" i="10"/>
  <c r="C751" i="10"/>
  <c r="B751" i="10"/>
  <c r="H751" i="10" s="1"/>
  <c r="N750" i="10"/>
  <c r="H750" i="10"/>
  <c r="G750" i="10"/>
  <c r="C750" i="10"/>
  <c r="B750" i="10"/>
  <c r="N749" i="10"/>
  <c r="I749" i="10"/>
  <c r="G749" i="10"/>
  <c r="E749" i="10"/>
  <c r="C749" i="10"/>
  <c r="B749" i="10"/>
  <c r="H749" i="10" s="1"/>
  <c r="N748" i="10"/>
  <c r="G748" i="10"/>
  <c r="C748" i="10"/>
  <c r="I748" i="10" s="1"/>
  <c r="B748" i="10"/>
  <c r="H748" i="10" s="1"/>
  <c r="N747" i="10"/>
  <c r="G747" i="10"/>
  <c r="C747" i="10"/>
  <c r="B747" i="10"/>
  <c r="H747" i="10" s="1"/>
  <c r="N746" i="10"/>
  <c r="H746" i="10"/>
  <c r="G746" i="10"/>
  <c r="C746" i="10"/>
  <c r="B746" i="10"/>
  <c r="N745" i="10"/>
  <c r="I745" i="10"/>
  <c r="G745" i="10"/>
  <c r="E745" i="10"/>
  <c r="C745" i="10"/>
  <c r="B745" i="10"/>
  <c r="H745" i="10" s="1"/>
  <c r="N744" i="10"/>
  <c r="G744" i="10"/>
  <c r="C744" i="10"/>
  <c r="I744" i="10" s="1"/>
  <c r="B744" i="10"/>
  <c r="H744" i="10" s="1"/>
  <c r="N743" i="10"/>
  <c r="G743" i="10"/>
  <c r="C743" i="10"/>
  <c r="B743" i="10"/>
  <c r="H743" i="10" s="1"/>
  <c r="N742" i="10"/>
  <c r="H742" i="10"/>
  <c r="G742" i="10"/>
  <c r="C742" i="10"/>
  <c r="B742" i="10"/>
  <c r="N741" i="10"/>
  <c r="I741" i="10"/>
  <c r="G741" i="10"/>
  <c r="E741" i="10"/>
  <c r="C741" i="10"/>
  <c r="B741" i="10"/>
  <c r="H741" i="10" s="1"/>
  <c r="N740" i="10"/>
  <c r="G740" i="10"/>
  <c r="C740" i="10"/>
  <c r="I740" i="10" s="1"/>
  <c r="B740" i="10"/>
  <c r="H740" i="10" s="1"/>
  <c r="N739" i="10"/>
  <c r="G739" i="10"/>
  <c r="C739" i="10"/>
  <c r="B739" i="10"/>
  <c r="H739" i="10" s="1"/>
  <c r="N738" i="10"/>
  <c r="H738" i="10"/>
  <c r="G738" i="10"/>
  <c r="C738" i="10"/>
  <c r="B738" i="10"/>
  <c r="N737" i="10"/>
  <c r="I737" i="10"/>
  <c r="G737" i="10"/>
  <c r="E737" i="10"/>
  <c r="C737" i="10"/>
  <c r="B737" i="10"/>
  <c r="H737" i="10" s="1"/>
  <c r="N736" i="10"/>
  <c r="G736" i="10"/>
  <c r="C736" i="10"/>
  <c r="I736" i="10" s="1"/>
  <c r="B736" i="10"/>
  <c r="H736" i="10" s="1"/>
  <c r="N735" i="10"/>
  <c r="G735" i="10"/>
  <c r="C735" i="10"/>
  <c r="B735" i="10"/>
  <c r="H735" i="10" s="1"/>
  <c r="N734" i="10"/>
  <c r="H734" i="10"/>
  <c r="G734" i="10"/>
  <c r="C734" i="10"/>
  <c r="B734" i="10"/>
  <c r="N733" i="10"/>
  <c r="I733" i="10"/>
  <c r="G733" i="10"/>
  <c r="E733" i="10"/>
  <c r="C733" i="10"/>
  <c r="B733" i="10"/>
  <c r="H733" i="10" s="1"/>
  <c r="N732" i="10"/>
  <c r="G732" i="10"/>
  <c r="C732" i="10"/>
  <c r="I732" i="10" s="1"/>
  <c r="B732" i="10"/>
  <c r="H732" i="10" s="1"/>
  <c r="N731" i="10"/>
  <c r="G731" i="10"/>
  <c r="C731" i="10"/>
  <c r="B731" i="10"/>
  <c r="H731" i="10" s="1"/>
  <c r="N730" i="10"/>
  <c r="H730" i="10"/>
  <c r="G730" i="10"/>
  <c r="C730" i="10"/>
  <c r="B730" i="10"/>
  <c r="N729" i="10"/>
  <c r="I729" i="10"/>
  <c r="G729" i="10"/>
  <c r="E729" i="10"/>
  <c r="C729" i="10"/>
  <c r="B729" i="10"/>
  <c r="H729" i="10" s="1"/>
  <c r="N728" i="10"/>
  <c r="G728" i="10"/>
  <c r="C728" i="10"/>
  <c r="I728" i="10" s="1"/>
  <c r="B728" i="10"/>
  <c r="H728" i="10" s="1"/>
  <c r="N727" i="10"/>
  <c r="G727" i="10"/>
  <c r="C727" i="10"/>
  <c r="B727" i="10"/>
  <c r="H727" i="10" s="1"/>
  <c r="N726" i="10"/>
  <c r="H726" i="10"/>
  <c r="G726" i="10"/>
  <c r="C726" i="10"/>
  <c r="B726" i="10"/>
  <c r="N725" i="10"/>
  <c r="I725" i="10"/>
  <c r="G725" i="10"/>
  <c r="E725" i="10"/>
  <c r="C725" i="10"/>
  <c r="B725" i="10"/>
  <c r="H725" i="10" s="1"/>
  <c r="N724" i="10"/>
  <c r="G724" i="10"/>
  <c r="C724" i="10"/>
  <c r="I724" i="10" s="1"/>
  <c r="B724" i="10"/>
  <c r="H724" i="10" s="1"/>
  <c r="N723" i="10"/>
  <c r="G723" i="10"/>
  <c r="C723" i="10"/>
  <c r="B723" i="10"/>
  <c r="H723" i="10" s="1"/>
  <c r="N722" i="10"/>
  <c r="H722" i="10"/>
  <c r="G722" i="10"/>
  <c r="C722" i="10"/>
  <c r="B722" i="10"/>
  <c r="N721" i="10"/>
  <c r="I721" i="10"/>
  <c r="G721" i="10"/>
  <c r="E721" i="10"/>
  <c r="C721" i="10"/>
  <c r="B721" i="10"/>
  <c r="H721" i="10" s="1"/>
  <c r="N720" i="10"/>
  <c r="G720" i="10"/>
  <c r="C720" i="10"/>
  <c r="I720" i="10" s="1"/>
  <c r="B720" i="10"/>
  <c r="H720" i="10" s="1"/>
  <c r="N719" i="10"/>
  <c r="G719" i="10"/>
  <c r="C719" i="10"/>
  <c r="B719" i="10"/>
  <c r="H719" i="10" s="1"/>
  <c r="N718" i="10"/>
  <c r="H718" i="10"/>
  <c r="G718" i="10"/>
  <c r="C718" i="10"/>
  <c r="B718" i="10"/>
  <c r="N717" i="10"/>
  <c r="I717" i="10"/>
  <c r="G717" i="10"/>
  <c r="E717" i="10"/>
  <c r="C717" i="10"/>
  <c r="B717" i="10"/>
  <c r="H717" i="10" s="1"/>
  <c r="N716" i="10"/>
  <c r="G716" i="10"/>
  <c r="C716" i="10"/>
  <c r="I716" i="10" s="1"/>
  <c r="B716" i="10"/>
  <c r="H716" i="10" s="1"/>
  <c r="N715" i="10"/>
  <c r="G715" i="10"/>
  <c r="C715" i="10"/>
  <c r="B715" i="10"/>
  <c r="H715" i="10" s="1"/>
  <c r="N714" i="10"/>
  <c r="H714" i="10"/>
  <c r="G714" i="10"/>
  <c r="C714" i="10"/>
  <c r="B714" i="10"/>
  <c r="N713" i="10"/>
  <c r="I713" i="10"/>
  <c r="G713" i="10"/>
  <c r="E713" i="10"/>
  <c r="C713" i="10"/>
  <c r="B713" i="10"/>
  <c r="H713" i="10" s="1"/>
  <c r="N712" i="10"/>
  <c r="G712" i="10"/>
  <c r="C712" i="10"/>
  <c r="I712" i="10" s="1"/>
  <c r="B712" i="10"/>
  <c r="H712" i="10" s="1"/>
  <c r="N711" i="10"/>
  <c r="G711" i="10"/>
  <c r="C711" i="10"/>
  <c r="B711" i="10"/>
  <c r="H711" i="10" s="1"/>
  <c r="N710" i="10"/>
  <c r="H710" i="10"/>
  <c r="G710" i="10"/>
  <c r="C710" i="10"/>
  <c r="B710" i="10"/>
  <c r="N709" i="10"/>
  <c r="I709" i="10"/>
  <c r="G709" i="10"/>
  <c r="E709" i="10"/>
  <c r="C709" i="10"/>
  <c r="B709" i="10"/>
  <c r="H709" i="10" s="1"/>
  <c r="N708" i="10"/>
  <c r="G708" i="10"/>
  <c r="C708" i="10"/>
  <c r="I708" i="10" s="1"/>
  <c r="B708" i="10"/>
  <c r="H708" i="10" s="1"/>
  <c r="N707" i="10"/>
  <c r="G707" i="10"/>
  <c r="C707" i="10"/>
  <c r="B707" i="10"/>
  <c r="H707" i="10" s="1"/>
  <c r="N706" i="10"/>
  <c r="H706" i="10"/>
  <c r="G706" i="10"/>
  <c r="C706" i="10"/>
  <c r="B706" i="10"/>
  <c r="N705" i="10"/>
  <c r="I705" i="10"/>
  <c r="G705" i="10"/>
  <c r="E705" i="10"/>
  <c r="C705" i="10"/>
  <c r="B705" i="10"/>
  <c r="H705" i="10" s="1"/>
  <c r="N704" i="10"/>
  <c r="G704" i="10"/>
  <c r="C704" i="10"/>
  <c r="I704" i="10" s="1"/>
  <c r="B704" i="10"/>
  <c r="H704" i="10" s="1"/>
  <c r="N703" i="10"/>
  <c r="G703" i="10"/>
  <c r="C703" i="10"/>
  <c r="B703" i="10"/>
  <c r="H703" i="10" s="1"/>
  <c r="N702" i="10"/>
  <c r="H702" i="10"/>
  <c r="G702" i="10"/>
  <c r="C702" i="10"/>
  <c r="B702" i="10"/>
  <c r="N701" i="10"/>
  <c r="I701" i="10"/>
  <c r="G701" i="10"/>
  <c r="E701" i="10"/>
  <c r="C701" i="10"/>
  <c r="B701" i="10"/>
  <c r="H701" i="10" s="1"/>
  <c r="N700" i="10"/>
  <c r="G700" i="10"/>
  <c r="C700" i="10"/>
  <c r="I700" i="10" s="1"/>
  <c r="B700" i="10"/>
  <c r="H700" i="10" s="1"/>
  <c r="N699" i="10"/>
  <c r="G699" i="10"/>
  <c r="C699" i="10"/>
  <c r="B699" i="10"/>
  <c r="H699" i="10" s="1"/>
  <c r="N698" i="10"/>
  <c r="H698" i="10"/>
  <c r="G698" i="10"/>
  <c r="C698" i="10"/>
  <c r="B698" i="10"/>
  <c r="N697" i="10"/>
  <c r="I697" i="10"/>
  <c r="G697" i="10"/>
  <c r="E697" i="10"/>
  <c r="C697" i="10"/>
  <c r="B697" i="10"/>
  <c r="H697" i="10" s="1"/>
  <c r="N696" i="10"/>
  <c r="G696" i="10"/>
  <c r="C696" i="10"/>
  <c r="I696" i="10" s="1"/>
  <c r="B696" i="10"/>
  <c r="H696" i="10" s="1"/>
  <c r="N695" i="10"/>
  <c r="G695" i="10"/>
  <c r="C695" i="10"/>
  <c r="B695" i="10"/>
  <c r="H695" i="10" s="1"/>
  <c r="N694" i="10"/>
  <c r="H694" i="10"/>
  <c r="G694" i="10"/>
  <c r="C694" i="10"/>
  <c r="B694" i="10"/>
  <c r="N693" i="10"/>
  <c r="I693" i="10"/>
  <c r="G693" i="10"/>
  <c r="E693" i="10"/>
  <c r="C693" i="10"/>
  <c r="B693" i="10"/>
  <c r="H693" i="10" s="1"/>
  <c r="N692" i="10"/>
  <c r="G692" i="10"/>
  <c r="C692" i="10"/>
  <c r="I692" i="10" s="1"/>
  <c r="B692" i="10"/>
  <c r="H692" i="10" s="1"/>
  <c r="N691" i="10"/>
  <c r="G691" i="10"/>
  <c r="C691" i="10"/>
  <c r="B691" i="10"/>
  <c r="H691" i="10" s="1"/>
  <c r="N690" i="10"/>
  <c r="H690" i="10"/>
  <c r="G690" i="10"/>
  <c r="C690" i="10"/>
  <c r="B690" i="10"/>
  <c r="N689" i="10"/>
  <c r="I689" i="10"/>
  <c r="G689" i="10"/>
  <c r="E689" i="10"/>
  <c r="C689" i="10"/>
  <c r="B689" i="10"/>
  <c r="H689" i="10" s="1"/>
  <c r="N688" i="10"/>
  <c r="G688" i="10"/>
  <c r="C688" i="10"/>
  <c r="I688" i="10" s="1"/>
  <c r="B688" i="10"/>
  <c r="H688" i="10" s="1"/>
  <c r="N687" i="10"/>
  <c r="G687" i="10"/>
  <c r="C687" i="10"/>
  <c r="B687" i="10"/>
  <c r="H687" i="10" s="1"/>
  <c r="N686" i="10"/>
  <c r="H686" i="10"/>
  <c r="G686" i="10"/>
  <c r="C686" i="10"/>
  <c r="B686" i="10"/>
  <c r="N685" i="10"/>
  <c r="I685" i="10"/>
  <c r="G685" i="10"/>
  <c r="E685" i="10"/>
  <c r="C685" i="10"/>
  <c r="B685" i="10"/>
  <c r="H685" i="10" s="1"/>
  <c r="N684" i="10"/>
  <c r="G684" i="10"/>
  <c r="C684" i="10"/>
  <c r="I684" i="10" s="1"/>
  <c r="B684" i="10"/>
  <c r="H684" i="10" s="1"/>
  <c r="N683" i="10"/>
  <c r="G683" i="10"/>
  <c r="C683" i="10"/>
  <c r="B683" i="10"/>
  <c r="H683" i="10" s="1"/>
  <c r="N682" i="10"/>
  <c r="H682" i="10"/>
  <c r="G682" i="10"/>
  <c r="C682" i="10"/>
  <c r="B682" i="10"/>
  <c r="N681" i="10"/>
  <c r="I681" i="10"/>
  <c r="G681" i="10"/>
  <c r="E681" i="10"/>
  <c r="C681" i="10"/>
  <c r="B681" i="10"/>
  <c r="H681" i="10" s="1"/>
  <c r="N680" i="10"/>
  <c r="G680" i="10"/>
  <c r="C680" i="10"/>
  <c r="I680" i="10" s="1"/>
  <c r="B680" i="10"/>
  <c r="H680" i="10" s="1"/>
  <c r="N679" i="10"/>
  <c r="G679" i="10"/>
  <c r="C679" i="10"/>
  <c r="B679" i="10"/>
  <c r="H679" i="10" s="1"/>
  <c r="N678" i="10"/>
  <c r="H678" i="10"/>
  <c r="G678" i="10"/>
  <c r="C678" i="10"/>
  <c r="B678" i="10"/>
  <c r="N677" i="10"/>
  <c r="I677" i="10"/>
  <c r="G677" i="10"/>
  <c r="E677" i="10"/>
  <c r="C677" i="10"/>
  <c r="B677" i="10"/>
  <c r="H677" i="10" s="1"/>
  <c r="N676" i="10"/>
  <c r="G676" i="10"/>
  <c r="C676" i="10"/>
  <c r="I676" i="10" s="1"/>
  <c r="B676" i="10"/>
  <c r="H676" i="10" s="1"/>
  <c r="N675" i="10"/>
  <c r="G675" i="10"/>
  <c r="C675" i="10"/>
  <c r="B675" i="10"/>
  <c r="H675" i="10" s="1"/>
  <c r="N674" i="10"/>
  <c r="H674" i="10"/>
  <c r="G674" i="10"/>
  <c r="C674" i="10"/>
  <c r="B674" i="10"/>
  <c r="N673" i="10"/>
  <c r="I673" i="10"/>
  <c r="G673" i="10"/>
  <c r="E673" i="10"/>
  <c r="C673" i="10"/>
  <c r="B673" i="10"/>
  <c r="H673" i="10" s="1"/>
  <c r="N672" i="10"/>
  <c r="G672" i="10"/>
  <c r="C672" i="10"/>
  <c r="I672" i="10" s="1"/>
  <c r="B672" i="10"/>
  <c r="H672" i="10" s="1"/>
  <c r="N671" i="10"/>
  <c r="G671" i="10"/>
  <c r="C671" i="10"/>
  <c r="B671" i="10"/>
  <c r="H671" i="10" s="1"/>
  <c r="N670" i="10"/>
  <c r="H670" i="10"/>
  <c r="G670" i="10"/>
  <c r="C670" i="10"/>
  <c r="B670" i="10"/>
  <c r="N669" i="10"/>
  <c r="I669" i="10"/>
  <c r="G669" i="10"/>
  <c r="E669" i="10"/>
  <c r="C669" i="10"/>
  <c r="B669" i="10"/>
  <c r="H669" i="10" s="1"/>
  <c r="N668" i="10"/>
  <c r="G668" i="10"/>
  <c r="C668" i="10"/>
  <c r="I668" i="10" s="1"/>
  <c r="B668" i="10"/>
  <c r="H668" i="10" s="1"/>
  <c r="N667" i="10"/>
  <c r="G667" i="10"/>
  <c r="C667" i="10"/>
  <c r="B667" i="10"/>
  <c r="H667" i="10" s="1"/>
  <c r="N666" i="10"/>
  <c r="H666" i="10"/>
  <c r="G666" i="10"/>
  <c r="C666" i="10"/>
  <c r="B666" i="10"/>
  <c r="N665" i="10"/>
  <c r="I665" i="10"/>
  <c r="G665" i="10"/>
  <c r="E665" i="10"/>
  <c r="C665" i="10"/>
  <c r="B665" i="10"/>
  <c r="H665" i="10" s="1"/>
  <c r="N664" i="10"/>
  <c r="G664" i="10"/>
  <c r="C664" i="10"/>
  <c r="I664" i="10" s="1"/>
  <c r="B664" i="10"/>
  <c r="H664" i="10" s="1"/>
  <c r="N663" i="10"/>
  <c r="G663" i="10"/>
  <c r="C663" i="10"/>
  <c r="B663" i="10"/>
  <c r="H663" i="10" s="1"/>
  <c r="N662" i="10"/>
  <c r="H662" i="10"/>
  <c r="G662" i="10"/>
  <c r="C662" i="10"/>
  <c r="B662" i="10"/>
  <c r="N661" i="10"/>
  <c r="I661" i="10"/>
  <c r="G661" i="10"/>
  <c r="E661" i="10"/>
  <c r="C661" i="10"/>
  <c r="B661" i="10"/>
  <c r="H661" i="10" s="1"/>
  <c r="N660" i="10"/>
  <c r="G660" i="10"/>
  <c r="C660" i="10"/>
  <c r="I660" i="10" s="1"/>
  <c r="B660" i="10"/>
  <c r="H660" i="10" s="1"/>
  <c r="N659" i="10"/>
  <c r="G659" i="10"/>
  <c r="C659" i="10"/>
  <c r="B659" i="10"/>
  <c r="H659" i="10" s="1"/>
  <c r="N658" i="10"/>
  <c r="H658" i="10"/>
  <c r="G658" i="10"/>
  <c r="C658" i="10"/>
  <c r="B658" i="10"/>
  <c r="N657" i="10"/>
  <c r="I657" i="10"/>
  <c r="G657" i="10"/>
  <c r="E657" i="10"/>
  <c r="C657" i="10"/>
  <c r="B657" i="10"/>
  <c r="H657" i="10" s="1"/>
  <c r="N656" i="10"/>
  <c r="G656" i="10"/>
  <c r="C656" i="10"/>
  <c r="I656" i="10" s="1"/>
  <c r="B656" i="10"/>
  <c r="H656" i="10" s="1"/>
  <c r="N655" i="10"/>
  <c r="G655" i="10"/>
  <c r="C655" i="10"/>
  <c r="B655" i="10"/>
  <c r="H655" i="10" s="1"/>
  <c r="N654" i="10"/>
  <c r="H654" i="10"/>
  <c r="G654" i="10"/>
  <c r="C654" i="10"/>
  <c r="B654" i="10"/>
  <c r="N653" i="10"/>
  <c r="I653" i="10"/>
  <c r="G653" i="10"/>
  <c r="E653" i="10"/>
  <c r="C653" i="10"/>
  <c r="B653" i="10"/>
  <c r="H653" i="10" s="1"/>
  <c r="N652" i="10"/>
  <c r="G652" i="10"/>
  <c r="C652" i="10"/>
  <c r="I652" i="10" s="1"/>
  <c r="B652" i="10"/>
  <c r="H652" i="10" s="1"/>
  <c r="N651" i="10"/>
  <c r="G651" i="10"/>
  <c r="C651" i="10"/>
  <c r="B651" i="10"/>
  <c r="H651" i="10" s="1"/>
  <c r="N650" i="10"/>
  <c r="H650" i="10"/>
  <c r="G650" i="10"/>
  <c r="C650" i="10"/>
  <c r="B650" i="10"/>
  <c r="N649" i="10"/>
  <c r="I649" i="10"/>
  <c r="G649" i="10"/>
  <c r="E649" i="10"/>
  <c r="C649" i="10"/>
  <c r="B649" i="10"/>
  <c r="H649" i="10" s="1"/>
  <c r="N648" i="10"/>
  <c r="G648" i="10"/>
  <c r="C648" i="10"/>
  <c r="I648" i="10" s="1"/>
  <c r="B648" i="10"/>
  <c r="H648" i="10" s="1"/>
  <c r="N647" i="10"/>
  <c r="G647" i="10"/>
  <c r="C647" i="10"/>
  <c r="B647" i="10"/>
  <c r="H647" i="10" s="1"/>
  <c r="N646" i="10"/>
  <c r="H646" i="10"/>
  <c r="G646" i="10"/>
  <c r="C646" i="10"/>
  <c r="B646" i="10"/>
  <c r="N645" i="10"/>
  <c r="I645" i="10"/>
  <c r="G645" i="10"/>
  <c r="E645" i="10"/>
  <c r="C645" i="10"/>
  <c r="B645" i="10"/>
  <c r="H645" i="10" s="1"/>
  <c r="N644" i="10"/>
  <c r="G644" i="10"/>
  <c r="C644" i="10"/>
  <c r="I644" i="10" s="1"/>
  <c r="B644" i="10"/>
  <c r="H644" i="10" s="1"/>
  <c r="N643" i="10"/>
  <c r="G643" i="10"/>
  <c r="C643" i="10"/>
  <c r="B643" i="10"/>
  <c r="H643" i="10" s="1"/>
  <c r="N642" i="10"/>
  <c r="H642" i="10"/>
  <c r="G642" i="10"/>
  <c r="C642" i="10"/>
  <c r="B642" i="10"/>
  <c r="N641" i="10"/>
  <c r="I641" i="10"/>
  <c r="G641" i="10"/>
  <c r="E641" i="10"/>
  <c r="C641" i="10"/>
  <c r="B641" i="10"/>
  <c r="H641" i="10" s="1"/>
  <c r="N640" i="10"/>
  <c r="G640" i="10"/>
  <c r="C640" i="10"/>
  <c r="I640" i="10" s="1"/>
  <c r="B640" i="10"/>
  <c r="H640" i="10" s="1"/>
  <c r="N639" i="10"/>
  <c r="G639" i="10"/>
  <c r="C639" i="10"/>
  <c r="B639" i="10"/>
  <c r="H639" i="10" s="1"/>
  <c r="N638" i="10"/>
  <c r="H638" i="10"/>
  <c r="G638" i="10"/>
  <c r="C638" i="10"/>
  <c r="B638" i="10"/>
  <c r="N637" i="10"/>
  <c r="I637" i="10"/>
  <c r="G637" i="10"/>
  <c r="E637" i="10"/>
  <c r="C637" i="10"/>
  <c r="B637" i="10"/>
  <c r="H637" i="10" s="1"/>
  <c r="N636" i="10"/>
  <c r="G636" i="10"/>
  <c r="C636" i="10"/>
  <c r="I636" i="10" s="1"/>
  <c r="B636" i="10"/>
  <c r="H636" i="10" s="1"/>
  <c r="N635" i="10"/>
  <c r="G635" i="10"/>
  <c r="C635" i="10"/>
  <c r="B635" i="10"/>
  <c r="H635" i="10" s="1"/>
  <c r="N634" i="10"/>
  <c r="H634" i="10"/>
  <c r="G634" i="10"/>
  <c r="C634" i="10"/>
  <c r="B634" i="10"/>
  <c r="N633" i="10"/>
  <c r="I633" i="10"/>
  <c r="G633" i="10"/>
  <c r="E633" i="10"/>
  <c r="C633" i="10"/>
  <c r="B633" i="10"/>
  <c r="H633" i="10" s="1"/>
  <c r="N632" i="10"/>
  <c r="G632" i="10"/>
  <c r="C632" i="10"/>
  <c r="I632" i="10" s="1"/>
  <c r="B632" i="10"/>
  <c r="H632" i="10" s="1"/>
  <c r="N631" i="10"/>
  <c r="G631" i="10"/>
  <c r="C631" i="10"/>
  <c r="B631" i="10"/>
  <c r="H631" i="10" s="1"/>
  <c r="N630" i="10"/>
  <c r="H630" i="10"/>
  <c r="G630" i="10"/>
  <c r="C630" i="10"/>
  <c r="B630" i="10"/>
  <c r="N629" i="10"/>
  <c r="I629" i="10"/>
  <c r="G629" i="10"/>
  <c r="E629" i="10"/>
  <c r="C629" i="10"/>
  <c r="B629" i="10"/>
  <c r="H629" i="10" s="1"/>
  <c r="N628" i="10"/>
  <c r="G628" i="10"/>
  <c r="C628" i="10"/>
  <c r="I628" i="10" s="1"/>
  <c r="B628" i="10"/>
  <c r="H628" i="10" s="1"/>
  <c r="N627" i="10"/>
  <c r="G627" i="10"/>
  <c r="C627" i="10"/>
  <c r="B627" i="10"/>
  <c r="H627" i="10" s="1"/>
  <c r="N626" i="10"/>
  <c r="H626" i="10"/>
  <c r="G626" i="10"/>
  <c r="C626" i="10"/>
  <c r="B626" i="10"/>
  <c r="N625" i="10"/>
  <c r="I625" i="10"/>
  <c r="G625" i="10"/>
  <c r="E625" i="10"/>
  <c r="C625" i="10"/>
  <c r="B625" i="10"/>
  <c r="H625" i="10" s="1"/>
  <c r="N624" i="10"/>
  <c r="G624" i="10"/>
  <c r="C624" i="10"/>
  <c r="I624" i="10" s="1"/>
  <c r="B624" i="10"/>
  <c r="H624" i="10" s="1"/>
  <c r="N623" i="10"/>
  <c r="G623" i="10"/>
  <c r="C623" i="10"/>
  <c r="B623" i="10"/>
  <c r="H623" i="10" s="1"/>
  <c r="N622" i="10"/>
  <c r="H622" i="10"/>
  <c r="G622" i="10"/>
  <c r="C622" i="10"/>
  <c r="B622" i="10"/>
  <c r="N621" i="10"/>
  <c r="I621" i="10"/>
  <c r="G621" i="10"/>
  <c r="E621" i="10"/>
  <c r="C621" i="10"/>
  <c r="B621" i="10"/>
  <c r="H621" i="10" s="1"/>
  <c r="N620" i="10"/>
  <c r="G620" i="10"/>
  <c r="C620" i="10"/>
  <c r="I620" i="10" s="1"/>
  <c r="B620" i="10"/>
  <c r="H620" i="10" s="1"/>
  <c r="N619" i="10"/>
  <c r="G619" i="10"/>
  <c r="C619" i="10"/>
  <c r="B619" i="10"/>
  <c r="H619" i="10" s="1"/>
  <c r="N618" i="10"/>
  <c r="H618" i="10"/>
  <c r="G618" i="10"/>
  <c r="C618" i="10"/>
  <c r="B618" i="10"/>
  <c r="N617" i="10"/>
  <c r="I617" i="10"/>
  <c r="G617" i="10"/>
  <c r="E617" i="10"/>
  <c r="C617" i="10"/>
  <c r="B617" i="10"/>
  <c r="H617" i="10" s="1"/>
  <c r="N616" i="10"/>
  <c r="G616" i="10"/>
  <c r="C616" i="10"/>
  <c r="I616" i="10" s="1"/>
  <c r="B616" i="10"/>
  <c r="H616" i="10" s="1"/>
  <c r="N615" i="10"/>
  <c r="G615" i="10"/>
  <c r="C615" i="10"/>
  <c r="B615" i="10"/>
  <c r="H615" i="10" s="1"/>
  <c r="N614" i="10"/>
  <c r="H614" i="10"/>
  <c r="G614" i="10"/>
  <c r="C614" i="10"/>
  <c r="B614" i="10"/>
  <c r="N613" i="10"/>
  <c r="I613" i="10"/>
  <c r="G613" i="10"/>
  <c r="E613" i="10"/>
  <c r="C613" i="10"/>
  <c r="B613" i="10"/>
  <c r="H613" i="10" s="1"/>
  <c r="N612" i="10"/>
  <c r="G612" i="10"/>
  <c r="C612" i="10"/>
  <c r="I612" i="10" s="1"/>
  <c r="B612" i="10"/>
  <c r="H612" i="10" s="1"/>
  <c r="N611" i="10"/>
  <c r="G611" i="10"/>
  <c r="C611" i="10"/>
  <c r="B611" i="10"/>
  <c r="H611" i="10" s="1"/>
  <c r="N610" i="10"/>
  <c r="H610" i="10"/>
  <c r="G610" i="10"/>
  <c r="C610" i="10"/>
  <c r="B610" i="10"/>
  <c r="N609" i="10"/>
  <c r="I609" i="10"/>
  <c r="G609" i="10"/>
  <c r="E609" i="10"/>
  <c r="C609" i="10"/>
  <c r="B609" i="10"/>
  <c r="H609" i="10" s="1"/>
  <c r="N608" i="10"/>
  <c r="G608" i="10"/>
  <c r="C608" i="10"/>
  <c r="I608" i="10" s="1"/>
  <c r="B608" i="10"/>
  <c r="H608" i="10" s="1"/>
  <c r="N607" i="10"/>
  <c r="G607" i="10"/>
  <c r="C607" i="10"/>
  <c r="B607" i="10"/>
  <c r="H607" i="10" s="1"/>
  <c r="N606" i="10"/>
  <c r="H606" i="10"/>
  <c r="G606" i="10"/>
  <c r="C606" i="10"/>
  <c r="B606" i="10"/>
  <c r="N605" i="10"/>
  <c r="I605" i="10"/>
  <c r="G605" i="10"/>
  <c r="E605" i="10"/>
  <c r="C605" i="10"/>
  <c r="B605" i="10"/>
  <c r="H605" i="10" s="1"/>
  <c r="N604" i="10"/>
  <c r="G604" i="10"/>
  <c r="C604" i="10"/>
  <c r="I604" i="10" s="1"/>
  <c r="B604" i="10"/>
  <c r="H604" i="10" s="1"/>
  <c r="N603" i="10"/>
  <c r="G603" i="10"/>
  <c r="C603" i="10"/>
  <c r="B603" i="10"/>
  <c r="H603" i="10" s="1"/>
  <c r="N602" i="10"/>
  <c r="H602" i="10"/>
  <c r="G602" i="10"/>
  <c r="C602" i="10"/>
  <c r="B602" i="10"/>
  <c r="N601" i="10"/>
  <c r="I601" i="10"/>
  <c r="G601" i="10"/>
  <c r="E601" i="10"/>
  <c r="C601" i="10"/>
  <c r="B601" i="10"/>
  <c r="H601" i="10" s="1"/>
  <c r="N600" i="10"/>
  <c r="G600" i="10"/>
  <c r="C600" i="10"/>
  <c r="I600" i="10" s="1"/>
  <c r="B600" i="10"/>
  <c r="H600" i="10" s="1"/>
  <c r="N599" i="10"/>
  <c r="G599" i="10"/>
  <c r="C599" i="10"/>
  <c r="B599" i="10"/>
  <c r="H599" i="10" s="1"/>
  <c r="N598" i="10"/>
  <c r="H598" i="10"/>
  <c r="G598" i="10"/>
  <c r="C598" i="10"/>
  <c r="B598" i="10"/>
  <c r="N597" i="10"/>
  <c r="I597" i="10"/>
  <c r="G597" i="10"/>
  <c r="E597" i="10"/>
  <c r="C597" i="10"/>
  <c r="B597" i="10"/>
  <c r="H597" i="10" s="1"/>
  <c r="N596" i="10"/>
  <c r="G596" i="10"/>
  <c r="C596" i="10"/>
  <c r="I596" i="10" s="1"/>
  <c r="B596" i="10"/>
  <c r="H596" i="10" s="1"/>
  <c r="N595" i="10"/>
  <c r="G595" i="10"/>
  <c r="C595" i="10"/>
  <c r="B595" i="10"/>
  <c r="H595" i="10" s="1"/>
  <c r="N594" i="10"/>
  <c r="H594" i="10"/>
  <c r="G594" i="10"/>
  <c r="C594" i="10"/>
  <c r="B594" i="10"/>
  <c r="N593" i="10"/>
  <c r="I593" i="10"/>
  <c r="G593" i="10"/>
  <c r="E593" i="10"/>
  <c r="C593" i="10"/>
  <c r="B593" i="10"/>
  <c r="H593" i="10" s="1"/>
  <c r="N592" i="10"/>
  <c r="G592" i="10"/>
  <c r="C592" i="10"/>
  <c r="I592" i="10" s="1"/>
  <c r="B592" i="10"/>
  <c r="H592" i="10" s="1"/>
  <c r="N591" i="10"/>
  <c r="G591" i="10"/>
  <c r="C591" i="10"/>
  <c r="B591" i="10"/>
  <c r="H591" i="10" s="1"/>
  <c r="N590" i="10"/>
  <c r="H590" i="10"/>
  <c r="G590" i="10"/>
  <c r="C590" i="10"/>
  <c r="B590" i="10"/>
  <c r="N589" i="10"/>
  <c r="I589" i="10"/>
  <c r="G589" i="10"/>
  <c r="E589" i="10"/>
  <c r="C589" i="10"/>
  <c r="B589" i="10"/>
  <c r="H589" i="10" s="1"/>
  <c r="N588" i="10"/>
  <c r="G588" i="10"/>
  <c r="C588" i="10"/>
  <c r="I588" i="10" s="1"/>
  <c r="B588" i="10"/>
  <c r="H588" i="10" s="1"/>
  <c r="N587" i="10"/>
  <c r="G587" i="10"/>
  <c r="C587" i="10"/>
  <c r="B587" i="10"/>
  <c r="H587" i="10" s="1"/>
  <c r="N586" i="10"/>
  <c r="H586" i="10"/>
  <c r="G586" i="10"/>
  <c r="C586" i="10"/>
  <c r="B586" i="10"/>
  <c r="N585" i="10"/>
  <c r="I585" i="10"/>
  <c r="G585" i="10"/>
  <c r="E585" i="10"/>
  <c r="C585" i="10"/>
  <c r="B585" i="10"/>
  <c r="H585" i="10" s="1"/>
  <c r="N584" i="10"/>
  <c r="G584" i="10"/>
  <c r="C584" i="10"/>
  <c r="I584" i="10" s="1"/>
  <c r="B584" i="10"/>
  <c r="H584" i="10" s="1"/>
  <c r="N583" i="10"/>
  <c r="G583" i="10"/>
  <c r="C583" i="10"/>
  <c r="B583" i="10"/>
  <c r="H583" i="10" s="1"/>
  <c r="N582" i="10"/>
  <c r="H582" i="10"/>
  <c r="G582" i="10"/>
  <c r="C582" i="10"/>
  <c r="B582" i="10"/>
  <c r="N581" i="10"/>
  <c r="I581" i="10"/>
  <c r="G581" i="10"/>
  <c r="E581" i="10"/>
  <c r="C581" i="10"/>
  <c r="B581" i="10"/>
  <c r="H581" i="10" s="1"/>
  <c r="N580" i="10"/>
  <c r="G580" i="10"/>
  <c r="C580" i="10"/>
  <c r="I580" i="10" s="1"/>
  <c r="B580" i="10"/>
  <c r="H580" i="10" s="1"/>
  <c r="N579" i="10"/>
  <c r="G579" i="10"/>
  <c r="C579" i="10"/>
  <c r="B579" i="10"/>
  <c r="H579" i="10" s="1"/>
  <c r="N578" i="10"/>
  <c r="H578" i="10"/>
  <c r="G578" i="10"/>
  <c r="C578" i="10"/>
  <c r="B578" i="10"/>
  <c r="N577" i="10"/>
  <c r="I577" i="10"/>
  <c r="G577" i="10"/>
  <c r="E577" i="10"/>
  <c r="C577" i="10"/>
  <c r="B577" i="10"/>
  <c r="H577" i="10" s="1"/>
  <c r="N576" i="10"/>
  <c r="G576" i="10"/>
  <c r="C576" i="10"/>
  <c r="I576" i="10" s="1"/>
  <c r="B576" i="10"/>
  <c r="H576" i="10" s="1"/>
  <c r="N575" i="10"/>
  <c r="G575" i="10"/>
  <c r="C575" i="10"/>
  <c r="B575" i="10"/>
  <c r="H575" i="10" s="1"/>
  <c r="N574" i="10"/>
  <c r="H574" i="10"/>
  <c r="G574" i="10"/>
  <c r="C574" i="10"/>
  <c r="B574" i="10"/>
  <c r="N573" i="10"/>
  <c r="I573" i="10"/>
  <c r="G573" i="10"/>
  <c r="E573" i="10"/>
  <c r="C573" i="10"/>
  <c r="B573" i="10"/>
  <c r="H573" i="10" s="1"/>
  <c r="N572" i="10"/>
  <c r="G572" i="10"/>
  <c r="C572" i="10"/>
  <c r="I572" i="10" s="1"/>
  <c r="B572" i="10"/>
  <c r="H572" i="10" s="1"/>
  <c r="N571" i="10"/>
  <c r="G571" i="10"/>
  <c r="C571" i="10"/>
  <c r="B571" i="10"/>
  <c r="H571" i="10" s="1"/>
  <c r="N570" i="10"/>
  <c r="H570" i="10"/>
  <c r="G570" i="10"/>
  <c r="C570" i="10"/>
  <c r="B570" i="10"/>
  <c r="N569" i="10"/>
  <c r="I569" i="10"/>
  <c r="G569" i="10"/>
  <c r="E569" i="10"/>
  <c r="C569" i="10"/>
  <c r="B569" i="10"/>
  <c r="H569" i="10" s="1"/>
  <c r="N568" i="10"/>
  <c r="G568" i="10"/>
  <c r="C568" i="10"/>
  <c r="I568" i="10" s="1"/>
  <c r="B568" i="10"/>
  <c r="H568" i="10" s="1"/>
  <c r="N567" i="10"/>
  <c r="G567" i="10"/>
  <c r="C567" i="10"/>
  <c r="B567" i="10"/>
  <c r="H567" i="10" s="1"/>
  <c r="N566" i="10"/>
  <c r="H566" i="10"/>
  <c r="G566" i="10"/>
  <c r="C566" i="10"/>
  <c r="B566" i="10"/>
  <c r="N565" i="10"/>
  <c r="I565" i="10"/>
  <c r="G565" i="10"/>
  <c r="E565" i="10"/>
  <c r="C565" i="10"/>
  <c r="B565" i="10"/>
  <c r="H565" i="10" s="1"/>
  <c r="N564" i="10"/>
  <c r="G564" i="10"/>
  <c r="C564" i="10"/>
  <c r="I564" i="10" s="1"/>
  <c r="B564" i="10"/>
  <c r="H564" i="10" s="1"/>
  <c r="N563" i="10"/>
  <c r="G563" i="10"/>
  <c r="C563" i="10"/>
  <c r="B563" i="10"/>
  <c r="H563" i="10" s="1"/>
  <c r="N562" i="10"/>
  <c r="H562" i="10"/>
  <c r="G562" i="10"/>
  <c r="C562" i="10"/>
  <c r="B562" i="10"/>
  <c r="N561" i="10"/>
  <c r="I561" i="10"/>
  <c r="G561" i="10"/>
  <c r="E561" i="10"/>
  <c r="C561" i="10"/>
  <c r="B561" i="10"/>
  <c r="H561" i="10" s="1"/>
  <c r="N560" i="10"/>
  <c r="G560" i="10"/>
  <c r="C560" i="10"/>
  <c r="I560" i="10" s="1"/>
  <c r="B560" i="10"/>
  <c r="H560" i="10" s="1"/>
  <c r="N559" i="10"/>
  <c r="G559" i="10"/>
  <c r="C559" i="10"/>
  <c r="B559" i="10"/>
  <c r="H559" i="10" s="1"/>
  <c r="N558" i="10"/>
  <c r="H558" i="10"/>
  <c r="G558" i="10"/>
  <c r="C558" i="10"/>
  <c r="B558" i="10"/>
  <c r="N557" i="10"/>
  <c r="I557" i="10"/>
  <c r="G557" i="10"/>
  <c r="E557" i="10"/>
  <c r="C557" i="10"/>
  <c r="B557" i="10"/>
  <c r="H557" i="10" s="1"/>
  <c r="N556" i="10"/>
  <c r="G556" i="10"/>
  <c r="C556" i="10"/>
  <c r="I556" i="10" s="1"/>
  <c r="B556" i="10"/>
  <c r="H556" i="10" s="1"/>
  <c r="N555" i="10"/>
  <c r="G555" i="10"/>
  <c r="C555" i="10"/>
  <c r="B555" i="10"/>
  <c r="H555" i="10" s="1"/>
  <c r="N554" i="10"/>
  <c r="H554" i="10"/>
  <c r="G554" i="10"/>
  <c r="C554" i="10"/>
  <c r="B554" i="10"/>
  <c r="N553" i="10"/>
  <c r="I553" i="10"/>
  <c r="G553" i="10"/>
  <c r="E553" i="10"/>
  <c r="C553" i="10"/>
  <c r="B553" i="10"/>
  <c r="H553" i="10" s="1"/>
  <c r="N552" i="10"/>
  <c r="G552" i="10"/>
  <c r="C552" i="10"/>
  <c r="I552" i="10" s="1"/>
  <c r="B552" i="10"/>
  <c r="H552" i="10" s="1"/>
  <c r="N551" i="10"/>
  <c r="G551" i="10"/>
  <c r="C551" i="10"/>
  <c r="B551" i="10"/>
  <c r="H551" i="10" s="1"/>
  <c r="N550" i="10"/>
  <c r="H550" i="10"/>
  <c r="G550" i="10"/>
  <c r="C550" i="10"/>
  <c r="B550" i="10"/>
  <c r="N549" i="10"/>
  <c r="I549" i="10"/>
  <c r="G549" i="10"/>
  <c r="E549" i="10"/>
  <c r="C549" i="10"/>
  <c r="B549" i="10"/>
  <c r="H549" i="10" s="1"/>
  <c r="N548" i="10"/>
  <c r="G548" i="10"/>
  <c r="C548" i="10"/>
  <c r="I548" i="10" s="1"/>
  <c r="B548" i="10"/>
  <c r="H548" i="10" s="1"/>
  <c r="N547" i="10"/>
  <c r="G547" i="10"/>
  <c r="C547" i="10"/>
  <c r="B547" i="10"/>
  <c r="H547" i="10" s="1"/>
  <c r="N546" i="10"/>
  <c r="H546" i="10"/>
  <c r="G546" i="10"/>
  <c r="C546" i="10"/>
  <c r="B546" i="10"/>
  <c r="N545" i="10"/>
  <c r="I545" i="10"/>
  <c r="G545" i="10"/>
  <c r="E545" i="10"/>
  <c r="C545" i="10"/>
  <c r="B545" i="10"/>
  <c r="H545" i="10" s="1"/>
  <c r="N544" i="10"/>
  <c r="G544" i="10"/>
  <c r="C544" i="10"/>
  <c r="I544" i="10" s="1"/>
  <c r="B544" i="10"/>
  <c r="H544" i="10" s="1"/>
  <c r="N543" i="10"/>
  <c r="G543" i="10"/>
  <c r="C543" i="10"/>
  <c r="B543" i="10"/>
  <c r="H543" i="10" s="1"/>
  <c r="N542" i="10"/>
  <c r="H542" i="10"/>
  <c r="G542" i="10"/>
  <c r="C542" i="10"/>
  <c r="B542" i="10"/>
  <c r="N541" i="10"/>
  <c r="I541" i="10"/>
  <c r="G541" i="10"/>
  <c r="E541" i="10"/>
  <c r="C541" i="10"/>
  <c r="B541" i="10"/>
  <c r="H541" i="10" s="1"/>
  <c r="N540" i="10"/>
  <c r="G540" i="10"/>
  <c r="C540" i="10"/>
  <c r="I540" i="10" s="1"/>
  <c r="B540" i="10"/>
  <c r="H540" i="10" s="1"/>
  <c r="N539" i="10"/>
  <c r="G539" i="10"/>
  <c r="C539" i="10"/>
  <c r="B539" i="10"/>
  <c r="H539" i="10" s="1"/>
  <c r="N538" i="10"/>
  <c r="H538" i="10"/>
  <c r="G538" i="10"/>
  <c r="C538" i="10"/>
  <c r="B538" i="10"/>
  <c r="N537" i="10"/>
  <c r="I537" i="10"/>
  <c r="G537" i="10"/>
  <c r="E537" i="10"/>
  <c r="C537" i="10"/>
  <c r="B537" i="10"/>
  <c r="H537" i="10" s="1"/>
  <c r="N536" i="10"/>
  <c r="G536" i="10"/>
  <c r="C536" i="10"/>
  <c r="I536" i="10" s="1"/>
  <c r="B536" i="10"/>
  <c r="H536" i="10" s="1"/>
  <c r="N535" i="10"/>
  <c r="G535" i="10"/>
  <c r="C535" i="10"/>
  <c r="B535" i="10"/>
  <c r="H535" i="10" s="1"/>
  <c r="N534" i="10"/>
  <c r="H534" i="10"/>
  <c r="G534" i="10"/>
  <c r="C534" i="10"/>
  <c r="B534" i="10"/>
  <c r="N533" i="10"/>
  <c r="I533" i="10"/>
  <c r="H533" i="10"/>
  <c r="G533" i="10"/>
  <c r="E533" i="10"/>
  <c r="C533" i="10"/>
  <c r="B533" i="10"/>
  <c r="N532" i="10"/>
  <c r="G532" i="10"/>
  <c r="C532" i="10"/>
  <c r="I532" i="10" s="1"/>
  <c r="B532" i="10"/>
  <c r="H532" i="10" s="1"/>
  <c r="N531" i="10"/>
  <c r="G531" i="10"/>
  <c r="C531" i="10"/>
  <c r="B531" i="10"/>
  <c r="H531" i="10" s="1"/>
  <c r="N530" i="10"/>
  <c r="H530" i="10"/>
  <c r="G530" i="10"/>
  <c r="C530" i="10"/>
  <c r="B530" i="10"/>
  <c r="N529" i="10"/>
  <c r="I529" i="10"/>
  <c r="H529" i="10"/>
  <c r="G529" i="10"/>
  <c r="E529" i="10"/>
  <c r="C529" i="10"/>
  <c r="B529" i="10"/>
  <c r="N528" i="10"/>
  <c r="G528" i="10"/>
  <c r="C528" i="10"/>
  <c r="I528" i="10" s="1"/>
  <c r="B528" i="10"/>
  <c r="H528" i="10" s="1"/>
  <c r="N527" i="10"/>
  <c r="G527" i="10"/>
  <c r="C527" i="10"/>
  <c r="B527" i="10"/>
  <c r="H527" i="10" s="1"/>
  <c r="N526" i="10"/>
  <c r="H526" i="10"/>
  <c r="G526" i="10"/>
  <c r="C526" i="10"/>
  <c r="B526" i="10"/>
  <c r="N525" i="10"/>
  <c r="I525" i="10"/>
  <c r="H525" i="10"/>
  <c r="G525" i="10"/>
  <c r="E525" i="10"/>
  <c r="C525" i="10"/>
  <c r="B525" i="10"/>
  <c r="N524" i="10"/>
  <c r="G524" i="10"/>
  <c r="C524" i="10"/>
  <c r="I524" i="10" s="1"/>
  <c r="B524" i="10"/>
  <c r="H524" i="10" s="1"/>
  <c r="N523" i="10"/>
  <c r="G523" i="10"/>
  <c r="C523" i="10"/>
  <c r="B523" i="10"/>
  <c r="H523" i="10" s="1"/>
  <c r="N522" i="10"/>
  <c r="H522" i="10"/>
  <c r="G522" i="10"/>
  <c r="C522" i="10"/>
  <c r="B522" i="10"/>
  <c r="N521" i="10"/>
  <c r="I521" i="10"/>
  <c r="G521" i="10"/>
  <c r="E521" i="10"/>
  <c r="C521" i="10"/>
  <c r="B521" i="10"/>
  <c r="H521" i="10" s="1"/>
  <c r="N520" i="10"/>
  <c r="G520" i="10"/>
  <c r="C520" i="10"/>
  <c r="I520" i="10" s="1"/>
  <c r="B520" i="10"/>
  <c r="H520" i="10" s="1"/>
  <c r="N519" i="10"/>
  <c r="G519" i="10"/>
  <c r="C519" i="10"/>
  <c r="B519" i="10"/>
  <c r="H519" i="10" s="1"/>
  <c r="N518" i="10"/>
  <c r="H518" i="10"/>
  <c r="G518" i="10"/>
  <c r="C518" i="10"/>
  <c r="B518" i="10"/>
  <c r="N517" i="10"/>
  <c r="I517" i="10"/>
  <c r="H517" i="10"/>
  <c r="G517" i="10"/>
  <c r="E517" i="10"/>
  <c r="C517" i="10"/>
  <c r="B517" i="10"/>
  <c r="N516" i="10"/>
  <c r="G516" i="10"/>
  <c r="C516" i="10"/>
  <c r="I516" i="10" s="1"/>
  <c r="B516" i="10"/>
  <c r="H516" i="10" s="1"/>
  <c r="N515" i="10"/>
  <c r="G515" i="10"/>
  <c r="C515" i="10"/>
  <c r="B515" i="10"/>
  <c r="H515" i="10" s="1"/>
  <c r="N514" i="10"/>
  <c r="H514" i="10"/>
  <c r="G514" i="10"/>
  <c r="C514" i="10"/>
  <c r="B514" i="10"/>
  <c r="N513" i="10"/>
  <c r="I513" i="10"/>
  <c r="H513" i="10"/>
  <c r="G513" i="10"/>
  <c r="E513" i="10"/>
  <c r="C513" i="10"/>
  <c r="B513" i="10"/>
  <c r="N512" i="10"/>
  <c r="G512" i="10"/>
  <c r="C512" i="10"/>
  <c r="I512" i="10" s="1"/>
  <c r="B512" i="10"/>
  <c r="H512" i="10" s="1"/>
  <c r="N511" i="10"/>
  <c r="G511" i="10"/>
  <c r="C511" i="10"/>
  <c r="B511" i="10"/>
  <c r="H511" i="10" s="1"/>
  <c r="N510" i="10"/>
  <c r="H510" i="10"/>
  <c r="G510" i="10"/>
  <c r="C510" i="10"/>
  <c r="B510" i="10"/>
  <c r="N509" i="10"/>
  <c r="I509" i="10"/>
  <c r="H509" i="10"/>
  <c r="G509" i="10"/>
  <c r="E509" i="10"/>
  <c r="C509" i="10"/>
  <c r="B509" i="10"/>
  <c r="N508" i="10"/>
  <c r="I508" i="10"/>
  <c r="G508" i="10"/>
  <c r="E508" i="10"/>
  <c r="C508" i="10"/>
  <c r="B508" i="10"/>
  <c r="H508" i="10" s="1"/>
  <c r="N507" i="10"/>
  <c r="G507" i="10"/>
  <c r="C507" i="10"/>
  <c r="B507" i="10"/>
  <c r="H507" i="10" s="1"/>
  <c r="N506" i="10"/>
  <c r="H506" i="10"/>
  <c r="G506" i="10"/>
  <c r="C506" i="10"/>
  <c r="B506" i="10"/>
  <c r="N505" i="10"/>
  <c r="I505" i="10"/>
  <c r="H505" i="10"/>
  <c r="G505" i="10"/>
  <c r="E505" i="10"/>
  <c r="C505" i="10"/>
  <c r="B505" i="10"/>
  <c r="N504" i="10"/>
  <c r="I504" i="10"/>
  <c r="G504" i="10"/>
  <c r="E504" i="10"/>
  <c r="C504" i="10"/>
  <c r="B504" i="10"/>
  <c r="H504" i="10" s="1"/>
  <c r="N503" i="10"/>
  <c r="G503" i="10"/>
  <c r="C503" i="10"/>
  <c r="B503" i="10"/>
  <c r="H503" i="10" s="1"/>
  <c r="N502" i="10"/>
  <c r="H502" i="10"/>
  <c r="G502" i="10"/>
  <c r="C502" i="10"/>
  <c r="B502" i="10"/>
  <c r="N501" i="10"/>
  <c r="I501" i="10"/>
  <c r="H501" i="10"/>
  <c r="G501" i="10"/>
  <c r="E501" i="10"/>
  <c r="C501" i="10"/>
  <c r="B501" i="10"/>
  <c r="N500" i="10"/>
  <c r="I500" i="10"/>
  <c r="G500" i="10"/>
  <c r="E500" i="10"/>
  <c r="C500" i="10"/>
  <c r="B500" i="10"/>
  <c r="H500" i="10" s="1"/>
  <c r="N499" i="10"/>
  <c r="G499" i="10"/>
  <c r="C499" i="10"/>
  <c r="B499" i="10"/>
  <c r="H499" i="10" s="1"/>
  <c r="N498" i="10"/>
  <c r="H498" i="10"/>
  <c r="G498" i="10"/>
  <c r="C498" i="10"/>
  <c r="B498" i="10"/>
  <c r="N497" i="10"/>
  <c r="I497" i="10"/>
  <c r="H497" i="10"/>
  <c r="G497" i="10"/>
  <c r="E497" i="10"/>
  <c r="C497" i="10"/>
  <c r="B497" i="10"/>
  <c r="N496" i="10"/>
  <c r="I496" i="10"/>
  <c r="G496" i="10"/>
  <c r="E496" i="10"/>
  <c r="C496" i="10"/>
  <c r="B496" i="10"/>
  <c r="H496" i="10" s="1"/>
  <c r="N495" i="10"/>
  <c r="G495" i="10"/>
  <c r="C495" i="10"/>
  <c r="B495" i="10"/>
  <c r="H495" i="10" s="1"/>
  <c r="N494" i="10"/>
  <c r="H494" i="10"/>
  <c r="G494" i="10"/>
  <c r="C494" i="10"/>
  <c r="B494" i="10"/>
  <c r="N493" i="10"/>
  <c r="I493" i="10"/>
  <c r="H493" i="10"/>
  <c r="G493" i="10"/>
  <c r="E493" i="10"/>
  <c r="C493" i="10"/>
  <c r="B493" i="10"/>
  <c r="N492" i="10"/>
  <c r="I492" i="10"/>
  <c r="G492" i="10"/>
  <c r="E492" i="10"/>
  <c r="C492" i="10"/>
  <c r="B492" i="10"/>
  <c r="H492" i="10" s="1"/>
  <c r="N491" i="10"/>
  <c r="G491" i="10"/>
  <c r="C491" i="10"/>
  <c r="B491" i="10"/>
  <c r="H491" i="10" s="1"/>
  <c r="N490" i="10"/>
  <c r="H490" i="10"/>
  <c r="G490" i="10"/>
  <c r="C490" i="10"/>
  <c r="B490" i="10"/>
  <c r="N489" i="10"/>
  <c r="I489" i="10"/>
  <c r="H489" i="10"/>
  <c r="G489" i="10"/>
  <c r="E489" i="10"/>
  <c r="C489" i="10"/>
  <c r="B489" i="10"/>
  <c r="N488" i="10"/>
  <c r="I488" i="10"/>
  <c r="G488" i="10"/>
  <c r="E488" i="10"/>
  <c r="C488" i="10"/>
  <c r="B488" i="10"/>
  <c r="H488" i="10" s="1"/>
  <c r="N487" i="10"/>
  <c r="G487" i="10"/>
  <c r="C487" i="10"/>
  <c r="B487" i="10"/>
  <c r="H487" i="10" s="1"/>
  <c r="N486" i="10"/>
  <c r="H486" i="10"/>
  <c r="G486" i="10"/>
  <c r="C486" i="10"/>
  <c r="B486" i="10"/>
  <c r="N485" i="10"/>
  <c r="I485" i="10"/>
  <c r="H485" i="10"/>
  <c r="G485" i="10"/>
  <c r="E485" i="10"/>
  <c r="C485" i="10"/>
  <c r="B485" i="10"/>
  <c r="N484" i="10"/>
  <c r="I484" i="10"/>
  <c r="G484" i="10"/>
  <c r="E484" i="10"/>
  <c r="C484" i="10"/>
  <c r="B484" i="10"/>
  <c r="H484" i="10" s="1"/>
  <c r="N483" i="10"/>
  <c r="G483" i="10"/>
  <c r="C483" i="10"/>
  <c r="B483" i="10"/>
  <c r="H483" i="10" s="1"/>
  <c r="N482" i="10"/>
  <c r="H482" i="10"/>
  <c r="G482" i="10"/>
  <c r="C482" i="10"/>
  <c r="B482" i="10"/>
  <c r="N481" i="10"/>
  <c r="I481" i="10"/>
  <c r="H481" i="10"/>
  <c r="G481" i="10"/>
  <c r="E481" i="10"/>
  <c r="C481" i="10"/>
  <c r="B481" i="10"/>
  <c r="N480" i="10"/>
  <c r="I480" i="10"/>
  <c r="G480" i="10"/>
  <c r="E480" i="10"/>
  <c r="C480" i="10"/>
  <c r="B480" i="10"/>
  <c r="H480" i="10" s="1"/>
  <c r="N479" i="10"/>
  <c r="G479" i="10"/>
  <c r="C479" i="10"/>
  <c r="B479" i="10"/>
  <c r="H479" i="10" s="1"/>
  <c r="N478" i="10"/>
  <c r="H478" i="10"/>
  <c r="G478" i="10"/>
  <c r="C478" i="10"/>
  <c r="B478" i="10"/>
  <c r="N477" i="10"/>
  <c r="I477" i="10"/>
  <c r="H477" i="10"/>
  <c r="G477" i="10"/>
  <c r="E477" i="10"/>
  <c r="C477" i="10"/>
  <c r="B477" i="10"/>
  <c r="N476" i="10"/>
  <c r="I476" i="10"/>
  <c r="G476" i="10"/>
  <c r="E476" i="10"/>
  <c r="C476" i="10"/>
  <c r="B476" i="10"/>
  <c r="H476" i="10" s="1"/>
  <c r="N475" i="10"/>
  <c r="G475" i="10"/>
  <c r="C475" i="10"/>
  <c r="B475" i="10"/>
  <c r="H475" i="10" s="1"/>
  <c r="N474" i="10"/>
  <c r="H474" i="10"/>
  <c r="G474" i="10"/>
  <c r="C474" i="10"/>
  <c r="B474" i="10"/>
  <c r="N473" i="10"/>
  <c r="I473" i="10"/>
  <c r="H473" i="10"/>
  <c r="G473" i="10"/>
  <c r="E473" i="10"/>
  <c r="C473" i="10"/>
  <c r="B473" i="10"/>
  <c r="N472" i="10"/>
  <c r="I472" i="10"/>
  <c r="G472" i="10"/>
  <c r="E472" i="10"/>
  <c r="C472" i="10"/>
  <c r="B472" i="10"/>
  <c r="H472" i="10" s="1"/>
  <c r="N471" i="10"/>
  <c r="G471" i="10"/>
  <c r="C471" i="10"/>
  <c r="B471" i="10"/>
  <c r="H471" i="10" s="1"/>
  <c r="N470" i="10"/>
  <c r="H470" i="10"/>
  <c r="G470" i="10"/>
  <c r="C470" i="10"/>
  <c r="B470" i="10"/>
  <c r="N469" i="10"/>
  <c r="I469" i="10"/>
  <c r="H469" i="10"/>
  <c r="G469" i="10"/>
  <c r="E469" i="10"/>
  <c r="C469" i="10"/>
  <c r="B469" i="10"/>
  <c r="N468" i="10"/>
  <c r="I468" i="10"/>
  <c r="G468" i="10"/>
  <c r="E468" i="10"/>
  <c r="C468" i="10"/>
  <c r="B468" i="10"/>
  <c r="H468" i="10" s="1"/>
  <c r="N467" i="10"/>
  <c r="G467" i="10"/>
  <c r="C467" i="10"/>
  <c r="B467" i="10"/>
  <c r="H467" i="10" s="1"/>
  <c r="N466" i="10"/>
  <c r="H466" i="10"/>
  <c r="G466" i="10"/>
  <c r="C466" i="10"/>
  <c r="B466" i="10"/>
  <c r="N465" i="10"/>
  <c r="I465" i="10"/>
  <c r="H465" i="10"/>
  <c r="G465" i="10"/>
  <c r="E465" i="10"/>
  <c r="C465" i="10"/>
  <c r="B465" i="10"/>
  <c r="N464" i="10"/>
  <c r="I464" i="10"/>
  <c r="G464" i="10"/>
  <c r="E464" i="10"/>
  <c r="C464" i="10"/>
  <c r="B464" i="10"/>
  <c r="H464" i="10" s="1"/>
  <c r="N463" i="10"/>
  <c r="G463" i="10"/>
  <c r="C463" i="10"/>
  <c r="B463" i="10"/>
  <c r="H463" i="10" s="1"/>
  <c r="N462" i="10"/>
  <c r="H462" i="10"/>
  <c r="G462" i="10"/>
  <c r="C462" i="10"/>
  <c r="B462" i="10"/>
  <c r="N461" i="10"/>
  <c r="I461" i="10"/>
  <c r="H461" i="10"/>
  <c r="G461" i="10"/>
  <c r="E461" i="10"/>
  <c r="C461" i="10"/>
  <c r="B461" i="10"/>
  <c r="N460" i="10"/>
  <c r="I460" i="10"/>
  <c r="G460" i="10"/>
  <c r="E460" i="10"/>
  <c r="C460" i="10"/>
  <c r="B460" i="10"/>
  <c r="H460" i="10" s="1"/>
  <c r="N459" i="10"/>
  <c r="G459" i="10"/>
  <c r="C459" i="10"/>
  <c r="B459" i="10"/>
  <c r="H459" i="10" s="1"/>
  <c r="N458" i="10"/>
  <c r="H458" i="10"/>
  <c r="G458" i="10"/>
  <c r="C458" i="10"/>
  <c r="B458" i="10"/>
  <c r="N457" i="10"/>
  <c r="I457" i="10"/>
  <c r="H457" i="10"/>
  <c r="G457" i="10"/>
  <c r="E457" i="10"/>
  <c r="C457" i="10"/>
  <c r="B457" i="10"/>
  <c r="N456" i="10"/>
  <c r="I456" i="10"/>
  <c r="G456" i="10"/>
  <c r="E456" i="10"/>
  <c r="C456" i="10"/>
  <c r="B456" i="10"/>
  <c r="H456" i="10" s="1"/>
  <c r="N455" i="10"/>
  <c r="G455" i="10"/>
  <c r="C455" i="10"/>
  <c r="B455" i="10"/>
  <c r="H455" i="10" s="1"/>
  <c r="N454" i="10"/>
  <c r="H454" i="10"/>
  <c r="G454" i="10"/>
  <c r="C454" i="10"/>
  <c r="B454" i="10"/>
  <c r="N453" i="10"/>
  <c r="I453" i="10"/>
  <c r="H453" i="10"/>
  <c r="G453" i="10"/>
  <c r="E453" i="10"/>
  <c r="C453" i="10"/>
  <c r="B453" i="10"/>
  <c r="N452" i="10"/>
  <c r="I452" i="10"/>
  <c r="G452" i="10"/>
  <c r="E452" i="10"/>
  <c r="C452" i="10"/>
  <c r="B452" i="10"/>
  <c r="H452" i="10" s="1"/>
  <c r="N451" i="10"/>
  <c r="G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G353" i="10"/>
  <c r="E353" i="10"/>
  <c r="C353" i="10"/>
  <c r="B353" i="10"/>
  <c r="H353" i="10" s="1"/>
  <c r="N352" i="10"/>
  <c r="H352" i="10"/>
  <c r="G352" i="10"/>
  <c r="C352" i="10"/>
  <c r="I352" i="10" s="1"/>
  <c r="B352" i="10"/>
  <c r="N351" i="10"/>
  <c r="I351" i="10"/>
  <c r="G351" i="10"/>
  <c r="E351" i="10"/>
  <c r="C351" i="10"/>
  <c r="B351" i="10"/>
  <c r="H351" i="10" s="1"/>
  <c r="N350" i="10"/>
  <c r="H350" i="10"/>
  <c r="G350" i="10"/>
  <c r="C350" i="10"/>
  <c r="B350" i="10"/>
  <c r="N349" i="10"/>
  <c r="I349" i="10"/>
  <c r="G349" i="10"/>
  <c r="E349" i="10"/>
  <c r="C349" i="10"/>
  <c r="B349" i="10"/>
  <c r="H349" i="10" s="1"/>
  <c r="N348" i="10"/>
  <c r="H348" i="10"/>
  <c r="G348" i="10"/>
  <c r="C348" i="10"/>
  <c r="I348" i="10" s="1"/>
  <c r="B348" i="10"/>
  <c r="N347" i="10"/>
  <c r="I347" i="10"/>
  <c r="G347" i="10"/>
  <c r="E347" i="10"/>
  <c r="C347" i="10"/>
  <c r="B347" i="10"/>
  <c r="H347" i="10" s="1"/>
  <c r="N346" i="10"/>
  <c r="H346" i="10"/>
  <c r="G346" i="10"/>
  <c r="C346" i="10"/>
  <c r="B346" i="10"/>
  <c r="N345" i="10"/>
  <c r="I345" i="10"/>
  <c r="G345" i="10"/>
  <c r="E345" i="10"/>
  <c r="C345" i="10"/>
  <c r="B345" i="10"/>
  <c r="H345" i="10" s="1"/>
  <c r="N344" i="10"/>
  <c r="H344" i="10"/>
  <c r="G344" i="10"/>
  <c r="C344" i="10"/>
  <c r="I344" i="10" s="1"/>
  <c r="B344" i="10"/>
  <c r="N343" i="10"/>
  <c r="I343" i="10"/>
  <c r="G343" i="10"/>
  <c r="E343" i="10"/>
  <c r="C343" i="10"/>
  <c r="B343" i="10"/>
  <c r="H343" i="10" s="1"/>
  <c r="N342" i="10"/>
  <c r="H342" i="10"/>
  <c r="G342" i="10"/>
  <c r="C342" i="10"/>
  <c r="B342" i="10"/>
  <c r="N341" i="10"/>
  <c r="I341" i="10"/>
  <c r="G341" i="10"/>
  <c r="E341" i="10"/>
  <c r="C341" i="10"/>
  <c r="B341" i="10"/>
  <c r="H341" i="10" s="1"/>
  <c r="N340" i="10"/>
  <c r="H340" i="10"/>
  <c r="G340" i="10"/>
  <c r="C340" i="10"/>
  <c r="I340" i="10" s="1"/>
  <c r="B340" i="10"/>
  <c r="N339" i="10"/>
  <c r="I339" i="10"/>
  <c r="G339" i="10"/>
  <c r="E339" i="10"/>
  <c r="C339" i="10"/>
  <c r="B339" i="10"/>
  <c r="H339" i="10" s="1"/>
  <c r="N338" i="10"/>
  <c r="H338" i="10"/>
  <c r="G338" i="10"/>
  <c r="C338" i="10"/>
  <c r="B338" i="10"/>
  <c r="N337" i="10"/>
  <c r="I337" i="10"/>
  <c r="G337" i="10"/>
  <c r="E337" i="10"/>
  <c r="C337" i="10"/>
  <c r="B337" i="10"/>
  <c r="H337" i="10" s="1"/>
  <c r="N336" i="10"/>
  <c r="H336" i="10"/>
  <c r="G336" i="10"/>
  <c r="C336" i="10"/>
  <c r="I336" i="10" s="1"/>
  <c r="B336" i="10"/>
  <c r="N335" i="10"/>
  <c r="I335" i="10"/>
  <c r="G335" i="10"/>
  <c r="E335" i="10"/>
  <c r="C335" i="10"/>
  <c r="B335" i="10"/>
  <c r="H335" i="10" s="1"/>
  <c r="N334" i="10"/>
  <c r="H334" i="10"/>
  <c r="G334" i="10"/>
  <c r="C334" i="10"/>
  <c r="B334" i="10"/>
  <c r="N333" i="10"/>
  <c r="I333" i="10"/>
  <c r="G333" i="10"/>
  <c r="E333" i="10"/>
  <c r="C333" i="10"/>
  <c r="B333" i="10"/>
  <c r="H333" i="10" s="1"/>
  <c r="N332" i="10"/>
  <c r="H332" i="10"/>
  <c r="G332" i="10"/>
  <c r="C332" i="10"/>
  <c r="I332" i="10" s="1"/>
  <c r="B332" i="10"/>
  <c r="N331" i="10"/>
  <c r="I331" i="10"/>
  <c r="G331" i="10"/>
  <c r="E331" i="10"/>
  <c r="C331" i="10"/>
  <c r="B331" i="10"/>
  <c r="H331" i="10" s="1"/>
  <c r="N330" i="10"/>
  <c r="H330" i="10"/>
  <c r="G330" i="10"/>
  <c r="C330" i="10"/>
  <c r="B330" i="10"/>
  <c r="N329" i="10"/>
  <c r="I329" i="10"/>
  <c r="G329" i="10"/>
  <c r="E329" i="10"/>
  <c r="C329" i="10"/>
  <c r="B329" i="10"/>
  <c r="H329" i="10" s="1"/>
  <c r="N328" i="10"/>
  <c r="H328" i="10"/>
  <c r="G328" i="10"/>
  <c r="C328" i="10"/>
  <c r="I328" i="10" s="1"/>
  <c r="B328" i="10"/>
  <c r="N327" i="10"/>
  <c r="I327" i="10"/>
  <c r="G327" i="10"/>
  <c r="E327" i="10"/>
  <c r="C327" i="10"/>
  <c r="B327" i="10"/>
  <c r="H327" i="10" s="1"/>
  <c r="N326" i="10"/>
  <c r="H326" i="10"/>
  <c r="G326" i="10"/>
  <c r="C326" i="10"/>
  <c r="B326" i="10"/>
  <c r="N325" i="10"/>
  <c r="I325" i="10"/>
  <c r="G325" i="10"/>
  <c r="E325" i="10"/>
  <c r="C325" i="10"/>
  <c r="B325" i="10"/>
  <c r="H325" i="10" s="1"/>
  <c r="N324" i="10"/>
  <c r="H324" i="10"/>
  <c r="G324" i="10"/>
  <c r="C324" i="10"/>
  <c r="I324" i="10" s="1"/>
  <c r="B324" i="10"/>
  <c r="N323" i="10"/>
  <c r="I323" i="10"/>
  <c r="G323" i="10"/>
  <c r="E323" i="10"/>
  <c r="C323" i="10"/>
  <c r="B323" i="10"/>
  <c r="H323" i="10" s="1"/>
  <c r="N322" i="10"/>
  <c r="H322" i="10"/>
  <c r="G322" i="10"/>
  <c r="C322" i="10"/>
  <c r="B322" i="10"/>
  <c r="N321" i="10"/>
  <c r="I321" i="10"/>
  <c r="G321" i="10"/>
  <c r="E321" i="10"/>
  <c r="C321" i="10"/>
  <c r="B321" i="10"/>
  <c r="H321" i="10" s="1"/>
  <c r="N320" i="10"/>
  <c r="H320" i="10"/>
  <c r="G320" i="10"/>
  <c r="C320" i="10"/>
  <c r="I320" i="10" s="1"/>
  <c r="B320" i="10"/>
  <c r="N319" i="10"/>
  <c r="I319" i="10"/>
  <c r="G319" i="10"/>
  <c r="E319" i="10"/>
  <c r="C319" i="10"/>
  <c r="B319" i="10"/>
  <c r="H319" i="10" s="1"/>
  <c r="N318" i="10"/>
  <c r="H318" i="10"/>
  <c r="G318" i="10"/>
  <c r="C318" i="10"/>
  <c r="B318" i="10"/>
  <c r="N317" i="10"/>
  <c r="I317" i="10"/>
  <c r="G317" i="10"/>
  <c r="E317" i="10"/>
  <c r="C317" i="10"/>
  <c r="B317" i="10"/>
  <c r="H317" i="10" s="1"/>
  <c r="N316" i="10"/>
  <c r="H316" i="10"/>
  <c r="G316" i="10"/>
  <c r="C316" i="10"/>
  <c r="I316" i="10" s="1"/>
  <c r="B316" i="10"/>
  <c r="N315" i="10"/>
  <c r="I315" i="10"/>
  <c r="G315" i="10"/>
  <c r="E315" i="10"/>
  <c r="C315" i="10"/>
  <c r="B315" i="10"/>
  <c r="H315" i="10" s="1"/>
  <c r="N314" i="10"/>
  <c r="H314" i="10"/>
  <c r="G314" i="10"/>
  <c r="C314" i="10"/>
  <c r="B314" i="10"/>
  <c r="N313" i="10"/>
  <c r="I313" i="10"/>
  <c r="G313" i="10"/>
  <c r="E313" i="10"/>
  <c r="C313" i="10"/>
  <c r="B313" i="10"/>
  <c r="H313" i="10" s="1"/>
  <c r="N312" i="10"/>
  <c r="H312" i="10"/>
  <c r="G312" i="10"/>
  <c r="C312" i="10"/>
  <c r="I312" i="10" s="1"/>
  <c r="B312" i="10"/>
  <c r="N311" i="10"/>
  <c r="I311" i="10"/>
  <c r="G311" i="10"/>
  <c r="E311" i="10"/>
  <c r="C311" i="10"/>
  <c r="B311" i="10"/>
  <c r="H311" i="10" s="1"/>
  <c r="N310" i="10"/>
  <c r="H310" i="10"/>
  <c r="G310" i="10"/>
  <c r="C310" i="10"/>
  <c r="B310" i="10"/>
  <c r="N309" i="10"/>
  <c r="I309" i="10"/>
  <c r="G309" i="10"/>
  <c r="E309" i="10"/>
  <c r="C309" i="10"/>
  <c r="B309" i="10"/>
  <c r="H309" i="10" s="1"/>
  <c r="N308" i="10"/>
  <c r="H308" i="10"/>
  <c r="G308" i="10"/>
  <c r="C308" i="10"/>
  <c r="I308" i="10" s="1"/>
  <c r="B308" i="10"/>
  <c r="N307" i="10"/>
  <c r="I307" i="10"/>
  <c r="G307" i="10"/>
  <c r="E307" i="10"/>
  <c r="C307" i="10"/>
  <c r="B307" i="10"/>
  <c r="H307" i="10" s="1"/>
  <c r="N306" i="10"/>
  <c r="H306" i="10"/>
  <c r="G306" i="10"/>
  <c r="C306" i="10"/>
  <c r="B306" i="10"/>
  <c r="N305" i="10"/>
  <c r="I305" i="10"/>
  <c r="G305" i="10"/>
  <c r="E305" i="10"/>
  <c r="C305" i="10"/>
  <c r="B305" i="10"/>
  <c r="H305" i="10" s="1"/>
  <c r="N304" i="10"/>
  <c r="H304" i="10"/>
  <c r="G304" i="10"/>
  <c r="C304" i="10"/>
  <c r="I304" i="10" s="1"/>
  <c r="B304" i="10"/>
  <c r="N303" i="10"/>
  <c r="I303" i="10"/>
  <c r="G303" i="10"/>
  <c r="E303" i="10"/>
  <c r="C303" i="10"/>
  <c r="B303" i="10"/>
  <c r="H303" i="10" s="1"/>
  <c r="N302" i="10"/>
  <c r="H302" i="10"/>
  <c r="G302" i="10"/>
  <c r="C302" i="10"/>
  <c r="B302" i="10"/>
  <c r="N301" i="10"/>
  <c r="I301" i="10"/>
  <c r="G301" i="10"/>
  <c r="E301" i="10"/>
  <c r="C301" i="10"/>
  <c r="B301" i="10"/>
  <c r="H301" i="10" s="1"/>
  <c r="N300" i="10"/>
  <c r="H300" i="10"/>
  <c r="G300" i="10"/>
  <c r="C300" i="10"/>
  <c r="I300" i="10" s="1"/>
  <c r="B300" i="10"/>
  <c r="N299" i="10"/>
  <c r="I299" i="10"/>
  <c r="G299" i="10"/>
  <c r="E299" i="10"/>
  <c r="C299" i="10"/>
  <c r="B299" i="10"/>
  <c r="H299" i="10" s="1"/>
  <c r="N298" i="10"/>
  <c r="H298" i="10"/>
  <c r="G298" i="10"/>
  <c r="C298" i="10"/>
  <c r="B298" i="10"/>
  <c r="N297" i="10"/>
  <c r="I297" i="10"/>
  <c r="G297" i="10"/>
  <c r="E297" i="10"/>
  <c r="C297" i="10"/>
  <c r="B297" i="10"/>
  <c r="H297" i="10" s="1"/>
  <c r="N296" i="10"/>
  <c r="H296" i="10"/>
  <c r="G296" i="10"/>
  <c r="C296" i="10"/>
  <c r="I296" i="10" s="1"/>
  <c r="B296" i="10"/>
  <c r="N295" i="10"/>
  <c r="I295" i="10"/>
  <c r="G295" i="10"/>
  <c r="E295" i="10"/>
  <c r="C295" i="10"/>
  <c r="B295" i="10"/>
  <c r="H295" i="10" s="1"/>
  <c r="N294" i="10"/>
  <c r="H294" i="10"/>
  <c r="G294" i="10"/>
  <c r="C294" i="10"/>
  <c r="B294" i="10"/>
  <c r="N293" i="10"/>
  <c r="I293" i="10"/>
  <c r="G293" i="10"/>
  <c r="E293" i="10"/>
  <c r="C293" i="10"/>
  <c r="B293" i="10"/>
  <c r="H293" i="10" s="1"/>
  <c r="N292" i="10"/>
  <c r="H292" i="10"/>
  <c r="G292" i="10"/>
  <c r="C292" i="10"/>
  <c r="I292" i="10" s="1"/>
  <c r="B292" i="10"/>
  <c r="N291" i="10"/>
  <c r="I291" i="10"/>
  <c r="G291" i="10"/>
  <c r="E291" i="10"/>
  <c r="C291" i="10"/>
  <c r="B291" i="10"/>
  <c r="H291" i="10" s="1"/>
  <c r="N290" i="10"/>
  <c r="H290" i="10"/>
  <c r="G290" i="10"/>
  <c r="C290" i="10"/>
  <c r="B290" i="10"/>
  <c r="N289" i="10"/>
  <c r="I289" i="10"/>
  <c r="G289" i="10"/>
  <c r="E289" i="10"/>
  <c r="C289" i="10"/>
  <c r="B289" i="10"/>
  <c r="H289" i="10" s="1"/>
  <c r="N288" i="10"/>
  <c r="H288" i="10"/>
  <c r="G288" i="10"/>
  <c r="C288" i="10"/>
  <c r="I288" i="10" s="1"/>
  <c r="B288" i="10"/>
  <c r="N287" i="10"/>
  <c r="I287" i="10"/>
  <c r="G287" i="10"/>
  <c r="E287" i="10"/>
  <c r="C287" i="10"/>
  <c r="B287" i="10"/>
  <c r="H287" i="10" s="1"/>
  <c r="N286" i="10"/>
  <c r="H286" i="10"/>
  <c r="G286" i="10"/>
  <c r="C286" i="10"/>
  <c r="B286" i="10"/>
  <c r="N285" i="10"/>
  <c r="I285" i="10"/>
  <c r="G285" i="10"/>
  <c r="E285" i="10"/>
  <c r="C285" i="10"/>
  <c r="B285" i="10"/>
  <c r="H285" i="10" s="1"/>
  <c r="N284" i="10"/>
  <c r="H284" i="10"/>
  <c r="G284" i="10"/>
  <c r="C284" i="10"/>
  <c r="I284" i="10" s="1"/>
  <c r="B284" i="10"/>
  <c r="N283" i="10"/>
  <c r="I283" i="10"/>
  <c r="G283" i="10"/>
  <c r="E283" i="10"/>
  <c r="C283" i="10"/>
  <c r="B283" i="10"/>
  <c r="H283" i="10" s="1"/>
  <c r="N282" i="10"/>
  <c r="H282" i="10"/>
  <c r="G282" i="10"/>
  <c r="C282" i="10"/>
  <c r="B282" i="10"/>
  <c r="N281" i="10"/>
  <c r="I281" i="10"/>
  <c r="G281" i="10"/>
  <c r="E281" i="10"/>
  <c r="C281" i="10"/>
  <c r="B281" i="10"/>
  <c r="H281" i="10" s="1"/>
  <c r="N280" i="10"/>
  <c r="H280" i="10"/>
  <c r="G280" i="10"/>
  <c r="C280" i="10"/>
  <c r="I280" i="10" s="1"/>
  <c r="B280" i="10"/>
  <c r="N279" i="10"/>
  <c r="I279" i="10"/>
  <c r="G279" i="10"/>
  <c r="E279" i="10"/>
  <c r="C279" i="10"/>
  <c r="B279" i="10"/>
  <c r="H279" i="10" s="1"/>
  <c r="N278" i="10"/>
  <c r="H278" i="10"/>
  <c r="G278" i="10"/>
  <c r="C278" i="10"/>
  <c r="B278" i="10"/>
  <c r="N277" i="10"/>
  <c r="I277" i="10"/>
  <c r="G277" i="10"/>
  <c r="E277" i="10"/>
  <c r="C277" i="10"/>
  <c r="B277" i="10"/>
  <c r="H277" i="10" s="1"/>
  <c r="N276" i="10"/>
  <c r="H276" i="10"/>
  <c r="G276" i="10"/>
  <c r="C276" i="10"/>
  <c r="I276" i="10" s="1"/>
  <c r="B276" i="10"/>
  <c r="N275" i="10"/>
  <c r="I275" i="10"/>
  <c r="G275" i="10"/>
  <c r="E275" i="10"/>
  <c r="C275" i="10"/>
  <c r="B275" i="10"/>
  <c r="H275" i="10" s="1"/>
  <c r="N274" i="10"/>
  <c r="H274" i="10"/>
  <c r="G274" i="10"/>
  <c r="C274" i="10"/>
  <c r="B274" i="10"/>
  <c r="N273" i="10"/>
  <c r="I273" i="10"/>
  <c r="G273" i="10"/>
  <c r="E273" i="10"/>
  <c r="C273" i="10"/>
  <c r="B273" i="10"/>
  <c r="H273" i="10" s="1"/>
  <c r="N272" i="10"/>
  <c r="H272" i="10"/>
  <c r="G272" i="10"/>
  <c r="C272" i="10"/>
  <c r="I272" i="10" s="1"/>
  <c r="B272" i="10"/>
  <c r="N271" i="10"/>
  <c r="I271" i="10"/>
  <c r="G271" i="10"/>
  <c r="E271" i="10"/>
  <c r="C271" i="10"/>
  <c r="B271" i="10"/>
  <c r="H271" i="10" s="1"/>
  <c r="N270" i="10"/>
  <c r="H270" i="10"/>
  <c r="G270" i="10"/>
  <c r="C270" i="10"/>
  <c r="B270" i="10"/>
  <c r="N269" i="10"/>
  <c r="I269" i="10"/>
  <c r="G269" i="10"/>
  <c r="E269" i="10"/>
  <c r="C269" i="10"/>
  <c r="B269" i="10"/>
  <c r="H269" i="10" s="1"/>
  <c r="N268" i="10"/>
  <c r="H268" i="10"/>
  <c r="G268" i="10"/>
  <c r="C268" i="10"/>
  <c r="I268" i="10" s="1"/>
  <c r="B268" i="10"/>
  <c r="N267" i="10"/>
  <c r="I267" i="10"/>
  <c r="G267" i="10"/>
  <c r="E267" i="10"/>
  <c r="C267" i="10"/>
  <c r="B267" i="10"/>
  <c r="H267" i="10" s="1"/>
  <c r="N266" i="10"/>
  <c r="H266" i="10"/>
  <c r="G266" i="10"/>
  <c r="C266" i="10"/>
  <c r="B266" i="10"/>
  <c r="N265" i="10"/>
  <c r="I265" i="10"/>
  <c r="G265" i="10"/>
  <c r="E265" i="10"/>
  <c r="C265" i="10"/>
  <c r="B265" i="10"/>
  <c r="H265" i="10" s="1"/>
  <c r="N264" i="10"/>
  <c r="H264" i="10"/>
  <c r="G264" i="10"/>
  <c r="C264" i="10"/>
  <c r="I264" i="10" s="1"/>
  <c r="B264" i="10"/>
  <c r="N263" i="10"/>
  <c r="I263" i="10"/>
  <c r="G263" i="10"/>
  <c r="E263" i="10"/>
  <c r="C263" i="10"/>
  <c r="B263" i="10"/>
  <c r="H263" i="10" s="1"/>
  <c r="N262" i="10"/>
  <c r="H262" i="10"/>
  <c r="G262" i="10"/>
  <c r="C262" i="10"/>
  <c r="B262" i="10"/>
  <c r="N261" i="10"/>
  <c r="I261" i="10"/>
  <c r="G261" i="10"/>
  <c r="E261" i="10"/>
  <c r="C261" i="10"/>
  <c r="B261" i="10"/>
  <c r="H261" i="10" s="1"/>
  <c r="N260" i="10"/>
  <c r="H260" i="10"/>
  <c r="G260" i="10"/>
  <c r="C260" i="10"/>
  <c r="I260" i="10" s="1"/>
  <c r="B260" i="10"/>
  <c r="N259" i="10"/>
  <c r="I259" i="10"/>
  <c r="G259" i="10"/>
  <c r="E259" i="10"/>
  <c r="C259" i="10"/>
  <c r="B259" i="10"/>
  <c r="H259" i="10" s="1"/>
  <c r="N258" i="10"/>
  <c r="H258" i="10"/>
  <c r="G258" i="10"/>
  <c r="C258" i="10"/>
  <c r="B258" i="10"/>
  <c r="N257" i="10"/>
  <c r="I257" i="10"/>
  <c r="G257" i="10"/>
  <c r="E257" i="10"/>
  <c r="C257" i="10"/>
  <c r="B257" i="10"/>
  <c r="H257" i="10" s="1"/>
  <c r="N256" i="10"/>
  <c r="H256" i="10"/>
  <c r="G256" i="10"/>
  <c r="C256" i="10"/>
  <c r="I256" i="10" s="1"/>
  <c r="B256" i="10"/>
  <c r="N255" i="10"/>
  <c r="I255" i="10"/>
  <c r="G255" i="10"/>
  <c r="E255" i="10"/>
  <c r="C255" i="10"/>
  <c r="B255" i="10"/>
  <c r="H255" i="10" s="1"/>
  <c r="N254" i="10"/>
  <c r="H254" i="10"/>
  <c r="G254" i="10"/>
  <c r="C254" i="10"/>
  <c r="B254" i="10"/>
  <c r="N253" i="10"/>
  <c r="I253" i="10"/>
  <c r="G253" i="10"/>
  <c r="E253" i="10"/>
  <c r="C253" i="10"/>
  <c r="B253" i="10"/>
  <c r="H253" i="10" s="1"/>
  <c r="N252" i="10"/>
  <c r="H252" i="10"/>
  <c r="G252" i="10"/>
  <c r="C252" i="10"/>
  <c r="I252" i="10" s="1"/>
  <c r="B252" i="10"/>
  <c r="N251" i="10"/>
  <c r="I251" i="10"/>
  <c r="G251" i="10"/>
  <c r="E251" i="10"/>
  <c r="C251" i="10"/>
  <c r="B251" i="10"/>
  <c r="H251" i="10" s="1"/>
  <c r="N250" i="10"/>
  <c r="H250" i="10"/>
  <c r="G250" i="10"/>
  <c r="C250" i="10"/>
  <c r="B250" i="10"/>
  <c r="N249" i="10"/>
  <c r="I249" i="10"/>
  <c r="G249" i="10"/>
  <c r="E249" i="10"/>
  <c r="C249" i="10"/>
  <c r="B249" i="10"/>
  <c r="H249" i="10" s="1"/>
  <c r="N248" i="10"/>
  <c r="H248" i="10"/>
  <c r="G248" i="10"/>
  <c r="C248" i="10"/>
  <c r="I248" i="10" s="1"/>
  <c r="B248" i="10"/>
  <c r="N247" i="10"/>
  <c r="I247" i="10"/>
  <c r="G247" i="10"/>
  <c r="E247" i="10"/>
  <c r="C247" i="10"/>
  <c r="B247" i="10"/>
  <c r="H247" i="10" s="1"/>
  <c r="N246" i="10"/>
  <c r="H246" i="10"/>
  <c r="G246" i="10"/>
  <c r="C246" i="10"/>
  <c r="B246" i="10"/>
  <c r="N245" i="10"/>
  <c r="I245" i="10"/>
  <c r="G245" i="10"/>
  <c r="E245" i="10"/>
  <c r="C245" i="10"/>
  <c r="B245" i="10"/>
  <c r="H245" i="10" s="1"/>
  <c r="N244" i="10"/>
  <c r="H244" i="10"/>
  <c r="G244" i="10"/>
  <c r="C244" i="10"/>
  <c r="I244" i="10" s="1"/>
  <c r="B244" i="10"/>
  <c r="N243" i="10"/>
  <c r="I243" i="10"/>
  <c r="G243" i="10"/>
  <c r="E243" i="10"/>
  <c r="C243" i="10"/>
  <c r="B243" i="10"/>
  <c r="H243" i="10" s="1"/>
  <c r="N242" i="10"/>
  <c r="H242" i="10"/>
  <c r="G242" i="10"/>
  <c r="C242" i="10"/>
  <c r="B242" i="10"/>
  <c r="N241" i="10"/>
  <c r="I241" i="10"/>
  <c r="G241" i="10"/>
  <c r="E241" i="10"/>
  <c r="C241" i="10"/>
  <c r="B241" i="10"/>
  <c r="H241" i="10" s="1"/>
  <c r="N240" i="10"/>
  <c r="H240" i="10"/>
  <c r="G240" i="10"/>
  <c r="C240" i="10"/>
  <c r="I240" i="10" s="1"/>
  <c r="B240" i="10"/>
  <c r="N239" i="10"/>
  <c r="I239" i="10"/>
  <c r="G239" i="10"/>
  <c r="E239" i="10"/>
  <c r="C239" i="10"/>
  <c r="B239" i="10"/>
  <c r="H239" i="10" s="1"/>
  <c r="N238" i="10"/>
  <c r="H238" i="10"/>
  <c r="G238" i="10"/>
  <c r="C238" i="10"/>
  <c r="B238" i="10"/>
  <c r="N237" i="10"/>
  <c r="I237" i="10"/>
  <c r="G237" i="10"/>
  <c r="E237" i="10"/>
  <c r="C237" i="10"/>
  <c r="B237" i="10"/>
  <c r="H237" i="10" s="1"/>
  <c r="N236" i="10"/>
  <c r="H236" i="10"/>
  <c r="G236" i="10"/>
  <c r="C236" i="10"/>
  <c r="I236" i="10" s="1"/>
  <c r="B236" i="10"/>
  <c r="N235" i="10"/>
  <c r="I235" i="10"/>
  <c r="G235" i="10"/>
  <c r="E235" i="10"/>
  <c r="C235" i="10"/>
  <c r="B235" i="10"/>
  <c r="H235" i="10" s="1"/>
  <c r="N234" i="10"/>
  <c r="H234" i="10"/>
  <c r="G234" i="10"/>
  <c r="C234" i="10"/>
  <c r="B234" i="10"/>
  <c r="N233" i="10"/>
  <c r="I233" i="10"/>
  <c r="G233" i="10"/>
  <c r="E233" i="10"/>
  <c r="C233" i="10"/>
  <c r="B233" i="10"/>
  <c r="H233" i="10" s="1"/>
  <c r="N232" i="10"/>
  <c r="H232" i="10"/>
  <c r="G232" i="10"/>
  <c r="C232" i="10"/>
  <c r="I232" i="10" s="1"/>
  <c r="B232" i="10"/>
  <c r="N231" i="10"/>
  <c r="I231" i="10"/>
  <c r="G231" i="10"/>
  <c r="E231" i="10"/>
  <c r="C231" i="10"/>
  <c r="B231" i="10"/>
  <c r="H231" i="10" s="1"/>
  <c r="N230" i="10"/>
  <c r="H230" i="10"/>
  <c r="G230" i="10"/>
  <c r="C230" i="10"/>
  <c r="B230" i="10"/>
  <c r="N229" i="10"/>
  <c r="I229" i="10"/>
  <c r="G229" i="10"/>
  <c r="E229" i="10"/>
  <c r="C229" i="10"/>
  <c r="B229" i="10"/>
  <c r="H229" i="10" s="1"/>
  <c r="N228" i="10"/>
  <c r="H228" i="10"/>
  <c r="G228" i="10"/>
  <c r="C228" i="10"/>
  <c r="I228" i="10" s="1"/>
  <c r="B228" i="10"/>
  <c r="N227" i="10"/>
  <c r="I227" i="10"/>
  <c r="G227" i="10"/>
  <c r="E227" i="10"/>
  <c r="C227" i="10"/>
  <c r="B227" i="10"/>
  <c r="H227" i="10" s="1"/>
  <c r="N226" i="10"/>
  <c r="H226" i="10"/>
  <c r="G226" i="10"/>
  <c r="C226" i="10"/>
  <c r="B226" i="10"/>
  <c r="N225" i="10"/>
  <c r="I225" i="10"/>
  <c r="G225" i="10"/>
  <c r="E225" i="10"/>
  <c r="C225" i="10"/>
  <c r="B225" i="10"/>
  <c r="H225" i="10" s="1"/>
  <c r="N224" i="10"/>
  <c r="H224" i="10"/>
  <c r="G224" i="10"/>
  <c r="C224" i="10"/>
  <c r="I224" i="10" s="1"/>
  <c r="B224" i="10"/>
  <c r="N223" i="10"/>
  <c r="I223" i="10"/>
  <c r="G223" i="10"/>
  <c r="E223" i="10"/>
  <c r="C223" i="10"/>
  <c r="B223" i="10"/>
  <c r="H223" i="10" s="1"/>
  <c r="N222" i="10"/>
  <c r="H222" i="10"/>
  <c r="G222" i="10"/>
  <c r="C222" i="10"/>
  <c r="B222" i="10"/>
  <c r="N221" i="10"/>
  <c r="I221" i="10"/>
  <c r="G221" i="10"/>
  <c r="E221" i="10"/>
  <c r="C221" i="10"/>
  <c r="B221" i="10"/>
  <c r="H221" i="10" s="1"/>
  <c r="N220" i="10"/>
  <c r="H220" i="10"/>
  <c r="G220" i="10"/>
  <c r="C220" i="10"/>
  <c r="I220" i="10" s="1"/>
  <c r="B220" i="10"/>
  <c r="N219" i="10"/>
  <c r="I219" i="10"/>
  <c r="G219" i="10"/>
  <c r="E219" i="10"/>
  <c r="C219" i="10"/>
  <c r="B219" i="10"/>
  <c r="H219" i="10" s="1"/>
  <c r="N218" i="10"/>
  <c r="H218" i="10"/>
  <c r="G218" i="10"/>
  <c r="C218" i="10"/>
  <c r="B218" i="10"/>
  <c r="N217" i="10"/>
  <c r="I217" i="10"/>
  <c r="G217" i="10"/>
  <c r="E217" i="10"/>
  <c r="C217" i="10"/>
  <c r="B217" i="10"/>
  <c r="H217" i="10" s="1"/>
  <c r="N216" i="10"/>
  <c r="H216" i="10"/>
  <c r="G216" i="10"/>
  <c r="C216" i="10"/>
  <c r="I216" i="10" s="1"/>
  <c r="B216" i="10"/>
  <c r="N215" i="10"/>
  <c r="I215" i="10"/>
  <c r="G215" i="10"/>
  <c r="E215" i="10"/>
  <c r="C215" i="10"/>
  <c r="B215" i="10"/>
  <c r="H215" i="10" s="1"/>
  <c r="N214" i="10"/>
  <c r="H214" i="10"/>
  <c r="G214" i="10"/>
  <c r="C214" i="10"/>
  <c r="B214" i="10"/>
  <c r="N213" i="10"/>
  <c r="I213" i="10"/>
  <c r="G213" i="10"/>
  <c r="E213" i="10"/>
  <c r="C213" i="10"/>
  <c r="B213" i="10"/>
  <c r="H213" i="10" s="1"/>
  <c r="N212" i="10"/>
  <c r="H212" i="10"/>
  <c r="G212" i="10"/>
  <c r="C212" i="10"/>
  <c r="I212" i="10" s="1"/>
  <c r="B212" i="10"/>
  <c r="N211" i="10"/>
  <c r="I211" i="10"/>
  <c r="G211" i="10"/>
  <c r="E211" i="10"/>
  <c r="C211" i="10"/>
  <c r="B211" i="10"/>
  <c r="H211" i="10" s="1"/>
  <c r="N210" i="10"/>
  <c r="H210" i="10"/>
  <c r="G210" i="10"/>
  <c r="C210" i="10"/>
  <c r="B210" i="10"/>
  <c r="N209" i="10"/>
  <c r="I209" i="10"/>
  <c r="G209" i="10"/>
  <c r="E209" i="10"/>
  <c r="C209" i="10"/>
  <c r="B209" i="10"/>
  <c r="H209" i="10" s="1"/>
  <c r="N208" i="10"/>
  <c r="H208" i="10"/>
  <c r="G208" i="10"/>
  <c r="C208" i="10"/>
  <c r="I208" i="10" s="1"/>
  <c r="B208" i="10"/>
  <c r="N207" i="10"/>
  <c r="I207" i="10"/>
  <c r="G207" i="10"/>
  <c r="E207" i="10"/>
  <c r="C207" i="10"/>
  <c r="B207" i="10"/>
  <c r="H207" i="10" s="1"/>
  <c r="N206" i="10"/>
  <c r="H206" i="10"/>
  <c r="G206" i="10"/>
  <c r="C206" i="10"/>
  <c r="B206" i="10"/>
  <c r="N205" i="10"/>
  <c r="I205" i="10"/>
  <c r="G205" i="10"/>
  <c r="E205" i="10"/>
  <c r="C205" i="10"/>
  <c r="B205" i="10"/>
  <c r="H205" i="10" s="1"/>
  <c r="N204" i="10"/>
  <c r="H204" i="10"/>
  <c r="G204" i="10"/>
  <c r="C204" i="10"/>
  <c r="I204" i="10" s="1"/>
  <c r="B204" i="10"/>
  <c r="N203" i="10"/>
  <c r="I203" i="10"/>
  <c r="G203" i="10"/>
  <c r="E203" i="10"/>
  <c r="C203" i="10"/>
  <c r="B203" i="10"/>
  <c r="H203" i="10" s="1"/>
  <c r="N202" i="10"/>
  <c r="H202" i="10"/>
  <c r="G202" i="10"/>
  <c r="C202" i="10"/>
  <c r="B202" i="10"/>
  <c r="N201" i="10"/>
  <c r="I201" i="10"/>
  <c r="G201" i="10"/>
  <c r="E201" i="10"/>
  <c r="C201" i="10"/>
  <c r="B201" i="10"/>
  <c r="H201" i="10" s="1"/>
  <c r="N200" i="10"/>
  <c r="H200" i="10"/>
  <c r="G200" i="10"/>
  <c r="C200" i="10"/>
  <c r="I200" i="10" s="1"/>
  <c r="B200" i="10"/>
  <c r="N199" i="10"/>
  <c r="I199" i="10"/>
  <c r="G199" i="10"/>
  <c r="E199" i="10"/>
  <c r="C199" i="10"/>
  <c r="B199" i="10"/>
  <c r="H199" i="10" s="1"/>
  <c r="N198" i="10"/>
  <c r="H198" i="10"/>
  <c r="G198" i="10"/>
  <c r="C198" i="10"/>
  <c r="B198" i="10"/>
  <c r="N197" i="10"/>
  <c r="I197" i="10"/>
  <c r="G197" i="10"/>
  <c r="E197" i="10"/>
  <c r="C197" i="10"/>
  <c r="B197" i="10"/>
  <c r="H197" i="10" s="1"/>
  <c r="N196" i="10"/>
  <c r="H196" i="10"/>
  <c r="G196" i="10"/>
  <c r="C196" i="10"/>
  <c r="I196" i="10" s="1"/>
  <c r="B196" i="10"/>
  <c r="N195" i="10"/>
  <c r="I195" i="10"/>
  <c r="G195" i="10"/>
  <c r="E195" i="10"/>
  <c r="C195" i="10"/>
  <c r="B195" i="10"/>
  <c r="H195" i="10" s="1"/>
  <c r="N194" i="10"/>
  <c r="H194" i="10"/>
  <c r="G194" i="10"/>
  <c r="C194" i="10"/>
  <c r="B194" i="10"/>
  <c r="N193" i="10"/>
  <c r="I193" i="10"/>
  <c r="G193" i="10"/>
  <c r="E193" i="10"/>
  <c r="C193" i="10"/>
  <c r="B193" i="10"/>
  <c r="H193" i="10" s="1"/>
  <c r="N192" i="10"/>
  <c r="H192" i="10"/>
  <c r="G192" i="10"/>
  <c r="C192" i="10"/>
  <c r="I192" i="10" s="1"/>
  <c r="B192" i="10"/>
  <c r="N191" i="10"/>
  <c r="I191" i="10"/>
  <c r="G191" i="10"/>
  <c r="E191" i="10"/>
  <c r="C191" i="10"/>
  <c r="B191" i="10"/>
  <c r="H191" i="10" s="1"/>
  <c r="N190" i="10"/>
  <c r="H190" i="10"/>
  <c r="G190" i="10"/>
  <c r="C190" i="10"/>
  <c r="B190" i="10"/>
  <c r="N189" i="10"/>
  <c r="I189" i="10"/>
  <c r="G189" i="10"/>
  <c r="E189" i="10"/>
  <c r="C189" i="10"/>
  <c r="B189" i="10"/>
  <c r="H189" i="10" s="1"/>
  <c r="N188" i="10"/>
  <c r="H188" i="10"/>
  <c r="G188" i="10"/>
  <c r="C188" i="10"/>
  <c r="I188" i="10" s="1"/>
  <c r="B188" i="10"/>
  <c r="N187" i="10"/>
  <c r="I187" i="10"/>
  <c r="G187" i="10"/>
  <c r="E187" i="10"/>
  <c r="C187" i="10"/>
  <c r="B187" i="10"/>
  <c r="H187" i="10" s="1"/>
  <c r="N186" i="10"/>
  <c r="H186" i="10"/>
  <c r="G186" i="10"/>
  <c r="C186" i="10"/>
  <c r="B186" i="10"/>
  <c r="N185" i="10"/>
  <c r="I185" i="10"/>
  <c r="G185" i="10"/>
  <c r="E185" i="10"/>
  <c r="C185" i="10"/>
  <c r="B185" i="10"/>
  <c r="H185" i="10" s="1"/>
  <c r="N184" i="10"/>
  <c r="H184" i="10"/>
  <c r="G184" i="10"/>
  <c r="C184" i="10"/>
  <c r="I184" i="10" s="1"/>
  <c r="B184" i="10"/>
  <c r="N183" i="10"/>
  <c r="I183" i="10"/>
  <c r="G183" i="10"/>
  <c r="E183" i="10"/>
  <c r="C183" i="10"/>
  <c r="B183" i="10"/>
  <c r="H183" i="10" s="1"/>
  <c r="N182" i="10"/>
  <c r="H182" i="10"/>
  <c r="G182" i="10"/>
  <c r="C182" i="10"/>
  <c r="B182" i="10"/>
  <c r="N181" i="10"/>
  <c r="I181" i="10"/>
  <c r="G181" i="10"/>
  <c r="E181" i="10"/>
  <c r="C181" i="10"/>
  <c r="B181" i="10"/>
  <c r="H181" i="10" s="1"/>
  <c r="N180" i="10"/>
  <c r="H180" i="10"/>
  <c r="G180" i="10"/>
  <c r="C180" i="10"/>
  <c r="I180" i="10" s="1"/>
  <c r="B180" i="10"/>
  <c r="N179" i="10"/>
  <c r="I179" i="10"/>
  <c r="G179" i="10"/>
  <c r="E179" i="10"/>
  <c r="C179" i="10"/>
  <c r="B179" i="10"/>
  <c r="H179" i="10" s="1"/>
  <c r="N178" i="10"/>
  <c r="H178" i="10"/>
  <c r="G178" i="10"/>
  <c r="C178" i="10"/>
  <c r="B178" i="10"/>
  <c r="N177" i="10"/>
  <c r="I177" i="10"/>
  <c r="G177" i="10"/>
  <c r="E177" i="10"/>
  <c r="C177" i="10"/>
  <c r="B177" i="10"/>
  <c r="H177" i="10" s="1"/>
  <c r="N176" i="10"/>
  <c r="H176" i="10"/>
  <c r="G176" i="10"/>
  <c r="C176" i="10"/>
  <c r="I176" i="10" s="1"/>
  <c r="B176" i="10"/>
  <c r="N175" i="10"/>
  <c r="I175" i="10"/>
  <c r="G175" i="10"/>
  <c r="E175" i="10"/>
  <c r="C175" i="10"/>
  <c r="B175" i="10"/>
  <c r="H175" i="10" s="1"/>
  <c r="N174" i="10"/>
  <c r="H174" i="10"/>
  <c r="G174" i="10"/>
  <c r="C174" i="10"/>
  <c r="B174" i="10"/>
  <c r="N173" i="10"/>
  <c r="I173" i="10"/>
  <c r="G173" i="10"/>
  <c r="E173" i="10"/>
  <c r="C173" i="10"/>
  <c r="B173" i="10"/>
  <c r="H173" i="10" s="1"/>
  <c r="N172" i="10"/>
  <c r="H172" i="10"/>
  <c r="G172" i="10"/>
  <c r="C172" i="10"/>
  <c r="I172" i="10" s="1"/>
  <c r="B172" i="10"/>
  <c r="N171" i="10"/>
  <c r="I171" i="10"/>
  <c r="G171" i="10"/>
  <c r="E171" i="10"/>
  <c r="C171" i="10"/>
  <c r="B171" i="10"/>
  <c r="H171" i="10" s="1"/>
  <c r="N170" i="10"/>
  <c r="H170" i="10"/>
  <c r="G170" i="10"/>
  <c r="C170" i="10"/>
  <c r="B170" i="10"/>
  <c r="N169" i="10"/>
  <c r="I169" i="10"/>
  <c r="G169" i="10"/>
  <c r="E169" i="10"/>
  <c r="C169" i="10"/>
  <c r="B169" i="10"/>
  <c r="H169" i="10" s="1"/>
  <c r="N168" i="10"/>
  <c r="H168" i="10"/>
  <c r="G168" i="10"/>
  <c r="C168" i="10"/>
  <c r="I168" i="10" s="1"/>
  <c r="B168" i="10"/>
  <c r="N167" i="10"/>
  <c r="I167" i="10"/>
  <c r="G167" i="10"/>
  <c r="E167" i="10"/>
  <c r="C167" i="10"/>
  <c r="B167" i="10"/>
  <c r="H167" i="10" s="1"/>
  <c r="N166" i="10"/>
  <c r="H166" i="10"/>
  <c r="G166" i="10"/>
  <c r="C166" i="10"/>
  <c r="B166" i="10"/>
  <c r="N165" i="10"/>
  <c r="I165" i="10"/>
  <c r="G165" i="10"/>
  <c r="E165" i="10"/>
  <c r="C165" i="10"/>
  <c r="B165" i="10"/>
  <c r="H165" i="10" s="1"/>
  <c r="N164" i="10"/>
  <c r="H164" i="10"/>
  <c r="G164" i="10"/>
  <c r="C164" i="10"/>
  <c r="I164" i="10" s="1"/>
  <c r="B164" i="10"/>
  <c r="N163" i="10"/>
  <c r="I163" i="10"/>
  <c r="G163" i="10"/>
  <c r="E163" i="10"/>
  <c r="C163" i="10"/>
  <c r="B163" i="10"/>
  <c r="H163" i="10" s="1"/>
  <c r="N162" i="10"/>
  <c r="H162" i="10"/>
  <c r="G162" i="10"/>
  <c r="C162" i="10"/>
  <c r="B162" i="10"/>
  <c r="N161" i="10"/>
  <c r="I161" i="10"/>
  <c r="G161" i="10"/>
  <c r="E161" i="10"/>
  <c r="C161" i="10"/>
  <c r="B161" i="10"/>
  <c r="H161" i="10" s="1"/>
  <c r="N160" i="10"/>
  <c r="H160" i="10"/>
  <c r="G160" i="10"/>
  <c r="C160" i="10"/>
  <c r="I160" i="10" s="1"/>
  <c r="B160" i="10"/>
  <c r="N159" i="10"/>
  <c r="I159" i="10"/>
  <c r="G159" i="10"/>
  <c r="E159" i="10"/>
  <c r="C159" i="10"/>
  <c r="B159" i="10"/>
  <c r="H159" i="10" s="1"/>
  <c r="N158" i="10"/>
  <c r="H158" i="10"/>
  <c r="G158" i="10"/>
  <c r="C158" i="10"/>
  <c r="B158" i="10"/>
  <c r="N157" i="10"/>
  <c r="I157" i="10"/>
  <c r="G157" i="10"/>
  <c r="E157" i="10"/>
  <c r="C157" i="10"/>
  <c r="B157" i="10"/>
  <c r="H157" i="10" s="1"/>
  <c r="N156" i="10"/>
  <c r="H156" i="10"/>
  <c r="G156" i="10"/>
  <c r="C156" i="10"/>
  <c r="I156" i="10" s="1"/>
  <c r="B156" i="10"/>
  <c r="N155" i="10"/>
  <c r="I155" i="10"/>
  <c r="G155" i="10"/>
  <c r="E155" i="10"/>
  <c r="C155" i="10"/>
  <c r="B155" i="10"/>
  <c r="H155" i="10" s="1"/>
  <c r="N154" i="10"/>
  <c r="H154" i="10"/>
  <c r="G154" i="10"/>
  <c r="C154" i="10"/>
  <c r="B154" i="10"/>
  <c r="N153" i="10"/>
  <c r="I153" i="10"/>
  <c r="G153" i="10"/>
  <c r="E153" i="10"/>
  <c r="C153" i="10"/>
  <c r="B153" i="10"/>
  <c r="H153" i="10" s="1"/>
  <c r="N152" i="10"/>
  <c r="H152" i="10"/>
  <c r="G152" i="10"/>
  <c r="C152" i="10"/>
  <c r="I152" i="10" s="1"/>
  <c r="B152" i="10"/>
  <c r="N151" i="10"/>
  <c r="I151" i="10"/>
  <c r="G151" i="10"/>
  <c r="E151" i="10"/>
  <c r="C151" i="10"/>
  <c r="B151" i="10"/>
  <c r="H151" i="10" s="1"/>
  <c r="N150" i="10"/>
  <c r="H150" i="10"/>
  <c r="G150" i="10"/>
  <c r="C150" i="10"/>
  <c r="B150" i="10"/>
  <c r="N149" i="10"/>
  <c r="I149" i="10"/>
  <c r="G149" i="10"/>
  <c r="E149" i="10"/>
  <c r="C149" i="10"/>
  <c r="B149" i="10"/>
  <c r="H149" i="10" s="1"/>
  <c r="N148" i="10"/>
  <c r="H148" i="10"/>
  <c r="G148" i="10"/>
  <c r="C148" i="10"/>
  <c r="I148" i="10" s="1"/>
  <c r="B148" i="10"/>
  <c r="N147" i="10"/>
  <c r="I147" i="10"/>
  <c r="G147" i="10"/>
  <c r="E147" i="10"/>
  <c r="C147" i="10"/>
  <c r="B147" i="10"/>
  <c r="H147" i="10" s="1"/>
  <c r="N146" i="10"/>
  <c r="H146" i="10"/>
  <c r="G146" i="10"/>
  <c r="C146" i="10"/>
  <c r="B146" i="10"/>
  <c r="N145" i="10"/>
  <c r="I145" i="10"/>
  <c r="G145" i="10"/>
  <c r="E145" i="10"/>
  <c r="C145" i="10"/>
  <c r="B145" i="10"/>
  <c r="H145" i="10" s="1"/>
  <c r="N144" i="10"/>
  <c r="H144" i="10"/>
  <c r="G144" i="10"/>
  <c r="C144" i="10"/>
  <c r="I144" i="10" s="1"/>
  <c r="B144" i="10"/>
  <c r="N143" i="10"/>
  <c r="I143" i="10"/>
  <c r="G143" i="10"/>
  <c r="E143" i="10"/>
  <c r="C143" i="10"/>
  <c r="B143" i="10"/>
  <c r="H143" i="10" s="1"/>
  <c r="N142" i="10"/>
  <c r="H142" i="10"/>
  <c r="G142" i="10"/>
  <c r="C142" i="10"/>
  <c r="B142" i="10"/>
  <c r="N141" i="10"/>
  <c r="I141" i="10"/>
  <c r="G141" i="10"/>
  <c r="E141" i="10"/>
  <c r="C141" i="10"/>
  <c r="B141" i="10"/>
  <c r="H141" i="10" s="1"/>
  <c r="N140" i="10"/>
  <c r="H140" i="10"/>
  <c r="G140" i="10"/>
  <c r="C140" i="10"/>
  <c r="I140" i="10" s="1"/>
  <c r="B140" i="10"/>
  <c r="N139" i="10"/>
  <c r="I139" i="10"/>
  <c r="G139" i="10"/>
  <c r="E139" i="10"/>
  <c r="C139" i="10"/>
  <c r="B139" i="10"/>
  <c r="H139" i="10" s="1"/>
  <c r="N138" i="10"/>
  <c r="H138" i="10"/>
  <c r="G138" i="10"/>
  <c r="C138" i="10"/>
  <c r="B138" i="10"/>
  <c r="N137" i="10"/>
  <c r="I137" i="10"/>
  <c r="G137" i="10"/>
  <c r="E137" i="10"/>
  <c r="C137" i="10"/>
  <c r="B137" i="10"/>
  <c r="H137" i="10" s="1"/>
  <c r="N136" i="10"/>
  <c r="H136" i="10"/>
  <c r="G136" i="10"/>
  <c r="C136" i="10"/>
  <c r="I136" i="10" s="1"/>
  <c r="B136" i="10"/>
  <c r="N135" i="10"/>
  <c r="I135" i="10"/>
  <c r="G135" i="10"/>
  <c r="E135" i="10"/>
  <c r="C135" i="10"/>
  <c r="B135" i="10"/>
  <c r="H135" i="10" s="1"/>
  <c r="N134" i="10"/>
  <c r="H134" i="10"/>
  <c r="G134" i="10"/>
  <c r="C134" i="10"/>
  <c r="B134" i="10"/>
  <c r="N133" i="10"/>
  <c r="I133" i="10"/>
  <c r="G133" i="10"/>
  <c r="E133" i="10"/>
  <c r="C133" i="10"/>
  <c r="B133" i="10"/>
  <c r="H133" i="10" s="1"/>
  <c r="N132" i="10"/>
  <c r="H132" i="10"/>
  <c r="G132" i="10"/>
  <c r="C132" i="10"/>
  <c r="I132" i="10" s="1"/>
  <c r="B132" i="10"/>
  <c r="N131" i="10"/>
  <c r="I131" i="10"/>
  <c r="G131" i="10"/>
  <c r="E131" i="10"/>
  <c r="C131" i="10"/>
  <c r="B131" i="10"/>
  <c r="H131" i="10" s="1"/>
  <c r="N130" i="10"/>
  <c r="H130" i="10"/>
  <c r="G130" i="10"/>
  <c r="C130" i="10"/>
  <c r="B130" i="10"/>
  <c r="N129" i="10"/>
  <c r="I129" i="10"/>
  <c r="G129" i="10"/>
  <c r="E129" i="10"/>
  <c r="C129" i="10"/>
  <c r="B129" i="10"/>
  <c r="H129" i="10" s="1"/>
  <c r="N128" i="10"/>
  <c r="H128" i="10"/>
  <c r="G128" i="10"/>
  <c r="C128" i="10"/>
  <c r="I128" i="10" s="1"/>
  <c r="B128" i="10"/>
  <c r="N127" i="10"/>
  <c r="I127" i="10"/>
  <c r="G127" i="10"/>
  <c r="E127" i="10"/>
  <c r="C127" i="10"/>
  <c r="B127" i="10"/>
  <c r="H127" i="10" s="1"/>
  <c r="N126" i="10"/>
  <c r="H126" i="10"/>
  <c r="G126" i="10"/>
  <c r="C126" i="10"/>
  <c r="B126" i="10"/>
  <c r="N125" i="10"/>
  <c r="I125" i="10"/>
  <c r="G125" i="10"/>
  <c r="E125" i="10"/>
  <c r="C125" i="10"/>
  <c r="B125" i="10"/>
  <c r="H125" i="10" s="1"/>
  <c r="N124" i="10"/>
  <c r="H124" i="10"/>
  <c r="G124" i="10"/>
  <c r="C124" i="10"/>
  <c r="I124" i="10" s="1"/>
  <c r="B124" i="10"/>
  <c r="N123" i="10"/>
  <c r="I123" i="10"/>
  <c r="G123" i="10"/>
  <c r="E123" i="10"/>
  <c r="C123" i="10"/>
  <c r="B123" i="10"/>
  <c r="H123" i="10" s="1"/>
  <c r="N122" i="10"/>
  <c r="H122" i="10"/>
  <c r="G122" i="10"/>
  <c r="C122" i="10"/>
  <c r="B122" i="10"/>
  <c r="N121" i="10"/>
  <c r="I121" i="10"/>
  <c r="G121" i="10"/>
  <c r="E121" i="10"/>
  <c r="C121" i="10"/>
  <c r="B121" i="10"/>
  <c r="H121" i="10" s="1"/>
  <c r="N120" i="10"/>
  <c r="H120" i="10"/>
  <c r="G120" i="10"/>
  <c r="C120" i="10"/>
  <c r="I120" i="10" s="1"/>
  <c r="B120" i="10"/>
  <c r="N119" i="10"/>
  <c r="I119" i="10"/>
  <c r="G119" i="10"/>
  <c r="E119" i="10"/>
  <c r="C119" i="10"/>
  <c r="B119" i="10"/>
  <c r="H119" i="10" s="1"/>
  <c r="N118" i="10"/>
  <c r="H118" i="10"/>
  <c r="G118" i="10"/>
  <c r="C118" i="10"/>
  <c r="B118" i="10"/>
  <c r="N117" i="10"/>
  <c r="I117" i="10"/>
  <c r="G117" i="10"/>
  <c r="E117" i="10"/>
  <c r="C117" i="10"/>
  <c r="B117" i="10"/>
  <c r="H117" i="10" s="1"/>
  <c r="N116" i="10"/>
  <c r="H116" i="10"/>
  <c r="G116" i="10"/>
  <c r="C116" i="10"/>
  <c r="I116" i="10" s="1"/>
  <c r="B116" i="10"/>
  <c r="N115" i="10"/>
  <c r="I115" i="10"/>
  <c r="G115" i="10"/>
  <c r="E115" i="10"/>
  <c r="C115" i="10"/>
  <c r="B115" i="10"/>
  <c r="H115" i="10" s="1"/>
  <c r="N114" i="10"/>
  <c r="H114" i="10"/>
  <c r="G114" i="10"/>
  <c r="C114" i="10"/>
  <c r="B114" i="10"/>
  <c r="N113" i="10"/>
  <c r="I113" i="10"/>
  <c r="G113" i="10"/>
  <c r="E113" i="10"/>
  <c r="C113" i="10"/>
  <c r="B113" i="10"/>
  <c r="H113" i="10" s="1"/>
  <c r="N112" i="10"/>
  <c r="H112" i="10"/>
  <c r="G112" i="10"/>
  <c r="C112" i="10"/>
  <c r="I112" i="10" s="1"/>
  <c r="B112" i="10"/>
  <c r="N111" i="10"/>
  <c r="I111" i="10"/>
  <c r="G111" i="10"/>
  <c r="E111" i="10"/>
  <c r="C111" i="10"/>
  <c r="B111" i="10"/>
  <c r="H111" i="10" s="1"/>
  <c r="N110" i="10"/>
  <c r="H110" i="10"/>
  <c r="G110" i="10"/>
  <c r="C110" i="10"/>
  <c r="B110" i="10"/>
  <c r="N109" i="10"/>
  <c r="I109" i="10"/>
  <c r="G109" i="10"/>
  <c r="E109" i="10"/>
  <c r="C109" i="10"/>
  <c r="B109" i="10"/>
  <c r="H109" i="10" s="1"/>
  <c r="N108" i="10"/>
  <c r="H108" i="10"/>
  <c r="G108" i="10"/>
  <c r="C108" i="10"/>
  <c r="I108" i="10" s="1"/>
  <c r="B108" i="10"/>
  <c r="N107" i="10"/>
  <c r="I107" i="10"/>
  <c r="G107" i="10"/>
  <c r="E107" i="10"/>
  <c r="C107" i="10"/>
  <c r="B107" i="10"/>
  <c r="H107" i="10" s="1"/>
  <c r="N106" i="10"/>
  <c r="H106" i="10"/>
  <c r="G106" i="10"/>
  <c r="C106" i="10"/>
  <c r="B106" i="10"/>
  <c r="N105" i="10"/>
  <c r="I105" i="10"/>
  <c r="G105" i="10"/>
  <c r="E105" i="10"/>
  <c r="C105" i="10"/>
  <c r="B105" i="10"/>
  <c r="H105" i="10" s="1"/>
  <c r="N104" i="10"/>
  <c r="H104" i="10"/>
  <c r="G104" i="10"/>
  <c r="C104" i="10"/>
  <c r="I104" i="10" s="1"/>
  <c r="B104" i="10"/>
  <c r="N103" i="10"/>
  <c r="I103" i="10"/>
  <c r="G103" i="10"/>
  <c r="E103" i="10"/>
  <c r="C103" i="10"/>
  <c r="B103" i="10"/>
  <c r="H103" i="10" s="1"/>
  <c r="N102" i="10"/>
  <c r="H102" i="10"/>
  <c r="G102" i="10"/>
  <c r="C102" i="10"/>
  <c r="B102" i="10"/>
  <c r="N101" i="10"/>
  <c r="I101" i="10"/>
  <c r="G101" i="10"/>
  <c r="E101" i="10"/>
  <c r="C101" i="10"/>
  <c r="B101" i="10"/>
  <c r="H101" i="10" s="1"/>
  <c r="N100" i="10"/>
  <c r="H100" i="10"/>
  <c r="G100" i="10"/>
  <c r="C100" i="10"/>
  <c r="I100" i="10" s="1"/>
  <c r="B100" i="10"/>
  <c r="N99" i="10"/>
  <c r="I99" i="10"/>
  <c r="G99" i="10"/>
  <c r="E99" i="10"/>
  <c r="C99" i="10"/>
  <c r="B99" i="10"/>
  <c r="H99" i="10" s="1"/>
  <c r="N98" i="10"/>
  <c r="H98" i="10"/>
  <c r="G98" i="10"/>
  <c r="C98" i="10"/>
  <c r="B98" i="10"/>
  <c r="N97" i="10"/>
  <c r="I97" i="10"/>
  <c r="G97" i="10"/>
  <c r="E97" i="10"/>
  <c r="C97" i="10"/>
  <c r="B97" i="10"/>
  <c r="H97" i="10" s="1"/>
  <c r="N96" i="10"/>
  <c r="H96" i="10"/>
  <c r="G96" i="10"/>
  <c r="C96" i="10"/>
  <c r="I96" i="10" s="1"/>
  <c r="B96" i="10"/>
  <c r="N95" i="10"/>
  <c r="I95" i="10"/>
  <c r="G95" i="10"/>
  <c r="E95" i="10"/>
  <c r="C95" i="10"/>
  <c r="B95" i="10"/>
  <c r="H95" i="10" s="1"/>
  <c r="N94" i="10"/>
  <c r="H94" i="10"/>
  <c r="G94" i="10"/>
  <c r="C94" i="10"/>
  <c r="B94" i="10"/>
  <c r="N93" i="10"/>
  <c r="I93" i="10"/>
  <c r="G93" i="10"/>
  <c r="E93" i="10"/>
  <c r="C93" i="10"/>
  <c r="B93" i="10"/>
  <c r="H93" i="10" s="1"/>
  <c r="N92" i="10"/>
  <c r="H92" i="10"/>
  <c r="G92" i="10"/>
  <c r="C92" i="10"/>
  <c r="I92" i="10" s="1"/>
  <c r="B92" i="10"/>
  <c r="N91" i="10"/>
  <c r="I91" i="10"/>
  <c r="G91" i="10"/>
  <c r="E91" i="10"/>
  <c r="C91" i="10"/>
  <c r="B91" i="10"/>
  <c r="H91" i="10" s="1"/>
  <c r="N90" i="10"/>
  <c r="H90" i="10"/>
  <c r="G90" i="10"/>
  <c r="C90" i="10"/>
  <c r="B90" i="10"/>
  <c r="N89" i="10"/>
  <c r="I89" i="10"/>
  <c r="G89" i="10"/>
  <c r="E89" i="10"/>
  <c r="C89" i="10"/>
  <c r="B89" i="10"/>
  <c r="H89" i="10" s="1"/>
  <c r="N88" i="10"/>
  <c r="H88" i="10"/>
  <c r="G88" i="10"/>
  <c r="C88" i="10"/>
  <c r="I88" i="10" s="1"/>
  <c r="B88" i="10"/>
  <c r="N87" i="10"/>
  <c r="I87" i="10"/>
  <c r="G87" i="10"/>
  <c r="E87" i="10"/>
  <c r="C87" i="10"/>
  <c r="B87" i="10"/>
  <c r="H87" i="10" s="1"/>
  <c r="N86" i="10"/>
  <c r="H86" i="10"/>
  <c r="G86" i="10"/>
  <c r="C86" i="10"/>
  <c r="B86" i="10"/>
  <c r="N85" i="10"/>
  <c r="I85" i="10"/>
  <c r="G85" i="10"/>
  <c r="E85" i="10"/>
  <c r="C85" i="10"/>
  <c r="B85" i="10"/>
  <c r="H85" i="10" s="1"/>
  <c r="N84" i="10"/>
  <c r="H84" i="10"/>
  <c r="G84" i="10"/>
  <c r="C84" i="10"/>
  <c r="I84" i="10" s="1"/>
  <c r="B84" i="10"/>
  <c r="N83" i="10"/>
  <c r="I83" i="10"/>
  <c r="G83" i="10"/>
  <c r="E83" i="10"/>
  <c r="C83" i="10"/>
  <c r="B83" i="10"/>
  <c r="H83" i="10" s="1"/>
  <c r="N82" i="10"/>
  <c r="H82" i="10"/>
  <c r="G82" i="10"/>
  <c r="C82" i="10"/>
  <c r="B82" i="10"/>
  <c r="N81" i="10"/>
  <c r="I81" i="10"/>
  <c r="G81" i="10"/>
  <c r="E81" i="10"/>
  <c r="C81" i="10"/>
  <c r="B81" i="10"/>
  <c r="H81" i="10" s="1"/>
  <c r="N80" i="10"/>
  <c r="H80" i="10"/>
  <c r="G80" i="10"/>
  <c r="C80" i="10"/>
  <c r="I80" i="10" s="1"/>
  <c r="B80" i="10"/>
  <c r="N79" i="10"/>
  <c r="I79" i="10"/>
  <c r="G79" i="10"/>
  <c r="E79" i="10"/>
  <c r="C79" i="10"/>
  <c r="B79" i="10"/>
  <c r="H79" i="10" s="1"/>
  <c r="N78" i="10"/>
  <c r="H78" i="10"/>
  <c r="G78" i="10"/>
  <c r="C78" i="10"/>
  <c r="B78" i="10"/>
  <c r="N77" i="10"/>
  <c r="K77" i="10"/>
  <c r="I77" i="10"/>
  <c r="G77" i="10"/>
  <c r="E77" i="10"/>
  <c r="C77" i="10"/>
  <c r="B77" i="10"/>
  <c r="H77" i="10" s="1"/>
  <c r="N76" i="10"/>
  <c r="H76" i="10"/>
  <c r="G76" i="10"/>
  <c r="C76" i="10"/>
  <c r="I76" i="10" s="1"/>
  <c r="B76" i="10"/>
  <c r="N75" i="10"/>
  <c r="K75" i="10"/>
  <c r="I75" i="10"/>
  <c r="G75" i="10"/>
  <c r="E75" i="10"/>
  <c r="C75" i="10"/>
  <c r="B75" i="10"/>
  <c r="H75" i="10" s="1"/>
  <c r="N74" i="10"/>
  <c r="H74" i="10"/>
  <c r="G74" i="10"/>
  <c r="C74" i="10"/>
  <c r="K74" i="10" s="1"/>
  <c r="B74" i="10"/>
  <c r="N73" i="10"/>
  <c r="K73" i="10"/>
  <c r="I73" i="10"/>
  <c r="G73" i="10"/>
  <c r="E73" i="10"/>
  <c r="C73" i="10"/>
  <c r="B73" i="10"/>
  <c r="H73" i="10" s="1"/>
  <c r="N72" i="10"/>
  <c r="H72" i="10"/>
  <c r="G72" i="10"/>
  <c r="C72" i="10"/>
  <c r="I72" i="10" s="1"/>
  <c r="B72" i="10"/>
  <c r="N71" i="10"/>
  <c r="K71" i="10"/>
  <c r="I71" i="10"/>
  <c r="G71" i="10"/>
  <c r="E71" i="10"/>
  <c r="C71" i="10"/>
  <c r="B71" i="10"/>
  <c r="H71" i="10" s="1"/>
  <c r="N70" i="10"/>
  <c r="H70" i="10"/>
  <c r="G70" i="10"/>
  <c r="C70" i="10"/>
  <c r="K70" i="10" s="1"/>
  <c r="B70" i="10"/>
  <c r="N69" i="10"/>
  <c r="K69" i="10"/>
  <c r="I69" i="10"/>
  <c r="G69" i="10"/>
  <c r="E69" i="10"/>
  <c r="C69" i="10"/>
  <c r="B69" i="10"/>
  <c r="H69" i="10" s="1"/>
  <c r="N68" i="10"/>
  <c r="H68" i="10"/>
  <c r="G68" i="10"/>
  <c r="C68" i="10"/>
  <c r="I68" i="10" s="1"/>
  <c r="B68" i="10"/>
  <c r="N67" i="10"/>
  <c r="K67" i="10"/>
  <c r="I67" i="10"/>
  <c r="G67" i="10"/>
  <c r="E67" i="10"/>
  <c r="C67" i="10"/>
  <c r="B67" i="10"/>
  <c r="H67" i="10" s="1"/>
  <c r="N66" i="10"/>
  <c r="H66" i="10"/>
  <c r="G66" i="10"/>
  <c r="C66" i="10"/>
  <c r="K66" i="10" s="1"/>
  <c r="B66" i="10"/>
  <c r="N65" i="10"/>
  <c r="K65" i="10"/>
  <c r="I65" i="10"/>
  <c r="G65" i="10"/>
  <c r="E65" i="10"/>
  <c r="C65" i="10"/>
  <c r="B65" i="10"/>
  <c r="H65" i="10" s="1"/>
  <c r="N64" i="10"/>
  <c r="H64" i="10"/>
  <c r="G64" i="10"/>
  <c r="C64" i="10"/>
  <c r="I64" i="10" s="1"/>
  <c r="B64" i="10"/>
  <c r="N63" i="10"/>
  <c r="K63" i="10"/>
  <c r="I63" i="10"/>
  <c r="G63" i="10"/>
  <c r="E63" i="10"/>
  <c r="C63" i="10"/>
  <c r="B63" i="10"/>
  <c r="H63" i="10" s="1"/>
  <c r="N62" i="10"/>
  <c r="H62" i="10"/>
  <c r="G62" i="10"/>
  <c r="C62" i="10"/>
  <c r="K62" i="10" s="1"/>
  <c r="B62" i="10"/>
  <c r="N61" i="10"/>
  <c r="K61" i="10"/>
  <c r="I61" i="10"/>
  <c r="G61" i="10"/>
  <c r="E61" i="10"/>
  <c r="C61" i="10"/>
  <c r="B61" i="10"/>
  <c r="H61" i="10" s="1"/>
  <c r="N60" i="10"/>
  <c r="H60" i="10"/>
  <c r="G60" i="10"/>
  <c r="C60" i="10"/>
  <c r="I60" i="10" s="1"/>
  <c r="B60" i="10"/>
  <c r="N59" i="10"/>
  <c r="K59" i="10"/>
  <c r="I59" i="10"/>
  <c r="G59" i="10"/>
  <c r="E59" i="10"/>
  <c r="C59" i="10"/>
  <c r="B59" i="10"/>
  <c r="H59" i="10" s="1"/>
  <c r="N58" i="10"/>
  <c r="H58" i="10"/>
  <c r="G58" i="10"/>
  <c r="C58" i="10"/>
  <c r="K58" i="10" s="1"/>
  <c r="B58" i="10"/>
  <c r="N57" i="10"/>
  <c r="K57" i="10"/>
  <c r="I57" i="10"/>
  <c r="G57" i="10"/>
  <c r="E57" i="10"/>
  <c r="C57" i="10"/>
  <c r="B57" i="10"/>
  <c r="H57" i="10" s="1"/>
  <c r="N56" i="10"/>
  <c r="H56" i="10"/>
  <c r="G56" i="10"/>
  <c r="C56" i="10"/>
  <c r="I56" i="10" s="1"/>
  <c r="B56" i="10"/>
  <c r="N55" i="10"/>
  <c r="K55" i="10"/>
  <c r="I55" i="10"/>
  <c r="G55" i="10"/>
  <c r="E55" i="10"/>
  <c r="C55" i="10"/>
  <c r="B55" i="10"/>
  <c r="H55" i="10" s="1"/>
  <c r="N54" i="10"/>
  <c r="H54" i="10"/>
  <c r="G54" i="10"/>
  <c r="C54" i="10"/>
  <c r="K54" i="10" s="1"/>
  <c r="B54" i="10"/>
  <c r="N53" i="10"/>
  <c r="K53" i="10"/>
  <c r="I53" i="10"/>
  <c r="G53" i="10"/>
  <c r="E53" i="10"/>
  <c r="C53" i="10"/>
  <c r="B53" i="10"/>
  <c r="H53" i="10" s="1"/>
  <c r="N52" i="10"/>
  <c r="H52" i="10"/>
  <c r="G52" i="10"/>
  <c r="C52" i="10"/>
  <c r="I52" i="10" s="1"/>
  <c r="B52" i="10"/>
  <c r="N51" i="10"/>
  <c r="K51" i="10"/>
  <c r="I51" i="10"/>
  <c r="G51" i="10"/>
  <c r="E51" i="10"/>
  <c r="C51" i="10"/>
  <c r="B51" i="10"/>
  <c r="H51" i="10" s="1"/>
  <c r="N50" i="10"/>
  <c r="H50" i="10"/>
  <c r="G50" i="10"/>
  <c r="C50" i="10"/>
  <c r="K50" i="10" s="1"/>
  <c r="B50" i="10"/>
  <c r="N49" i="10"/>
  <c r="K49" i="10"/>
  <c r="I49" i="10"/>
  <c r="G49" i="10"/>
  <c r="E49" i="10"/>
  <c r="C49" i="10"/>
  <c r="B49" i="10"/>
  <c r="H49" i="10" s="1"/>
  <c r="N48" i="10"/>
  <c r="H48" i="10"/>
  <c r="G48" i="10"/>
  <c r="C48" i="10"/>
  <c r="I48" i="10" s="1"/>
  <c r="B48" i="10"/>
  <c r="N47" i="10"/>
  <c r="K47" i="10"/>
  <c r="I47" i="10"/>
  <c r="G47" i="10"/>
  <c r="E47" i="10"/>
  <c r="C47" i="10"/>
  <c r="B47" i="10"/>
  <c r="H47" i="10" s="1"/>
  <c r="N46" i="10"/>
  <c r="H46" i="10"/>
  <c r="G46" i="10"/>
  <c r="C46" i="10"/>
  <c r="K46" i="10" s="1"/>
  <c r="B46" i="10"/>
  <c r="N45" i="10"/>
  <c r="K45" i="10"/>
  <c r="I45" i="10"/>
  <c r="G45" i="10"/>
  <c r="E45" i="10"/>
  <c r="C45" i="10"/>
  <c r="B45" i="10"/>
  <c r="H45" i="10" s="1"/>
  <c r="N44" i="10"/>
  <c r="H44" i="10"/>
  <c r="G44" i="10"/>
  <c r="C44" i="10"/>
  <c r="I44" i="10" s="1"/>
  <c r="B44" i="10"/>
  <c r="N43" i="10"/>
  <c r="K43" i="10"/>
  <c r="I43" i="10"/>
  <c r="G43" i="10"/>
  <c r="E43" i="10"/>
  <c r="C43" i="10"/>
  <c r="B43" i="10"/>
  <c r="H43" i="10" s="1"/>
  <c r="N42" i="10"/>
  <c r="H42" i="10"/>
  <c r="G42" i="10"/>
  <c r="C42" i="10"/>
  <c r="K42" i="10" s="1"/>
  <c r="B42" i="10"/>
  <c r="N41" i="10"/>
  <c r="K41" i="10"/>
  <c r="I41" i="10"/>
  <c r="G41" i="10"/>
  <c r="E41" i="10"/>
  <c r="C41" i="10"/>
  <c r="B41" i="10"/>
  <c r="H41" i="10" s="1"/>
  <c r="N40" i="10"/>
  <c r="H40" i="10"/>
  <c r="G40" i="10"/>
  <c r="C40" i="10"/>
  <c r="I40" i="10" s="1"/>
  <c r="B40" i="10"/>
  <c r="N39" i="10"/>
  <c r="K39" i="10"/>
  <c r="I39" i="10"/>
  <c r="G39" i="10"/>
  <c r="E39" i="10"/>
  <c r="C39" i="10"/>
  <c r="B39" i="10"/>
  <c r="H39" i="10" s="1"/>
  <c r="N38" i="10"/>
  <c r="H38" i="10"/>
  <c r="G38" i="10"/>
  <c r="C38" i="10"/>
  <c r="K38" i="10" s="1"/>
  <c r="B38" i="10"/>
  <c r="N37" i="10"/>
  <c r="K37" i="10"/>
  <c r="I37" i="10"/>
  <c r="G37" i="10"/>
  <c r="E37" i="10"/>
  <c r="C37" i="10"/>
  <c r="B37" i="10"/>
  <c r="H37" i="10" s="1"/>
  <c r="N36" i="10"/>
  <c r="H36" i="10"/>
  <c r="G36" i="10"/>
  <c r="C36" i="10"/>
  <c r="I36" i="10" s="1"/>
  <c r="B36" i="10"/>
  <c r="N35" i="10"/>
  <c r="K35" i="10"/>
  <c r="I35" i="10"/>
  <c r="G35" i="10"/>
  <c r="E35" i="10"/>
  <c r="C35" i="10"/>
  <c r="B35" i="10"/>
  <c r="H35" i="10" s="1"/>
  <c r="N34" i="10"/>
  <c r="H34" i="10"/>
  <c r="G34" i="10"/>
  <c r="C34" i="10"/>
  <c r="K34" i="10" s="1"/>
  <c r="B34" i="10"/>
  <c r="N33" i="10"/>
  <c r="K33" i="10"/>
  <c r="I33" i="10"/>
  <c r="G33" i="10"/>
  <c r="E33" i="10"/>
  <c r="C33" i="10"/>
  <c r="B33" i="10"/>
  <c r="H33" i="10" s="1"/>
  <c r="N32" i="10"/>
  <c r="H32" i="10"/>
  <c r="G32" i="10"/>
  <c r="C32" i="10"/>
  <c r="I32" i="10" s="1"/>
  <c r="B32" i="10"/>
  <c r="N31" i="10"/>
  <c r="K31" i="10"/>
  <c r="I31" i="10"/>
  <c r="G31" i="10"/>
  <c r="E31" i="10"/>
  <c r="C31" i="10"/>
  <c r="B31" i="10"/>
  <c r="H31" i="10" s="1"/>
  <c r="N30" i="10"/>
  <c r="H30" i="10"/>
  <c r="G30" i="10"/>
  <c r="C30" i="10"/>
  <c r="K30" i="10" s="1"/>
  <c r="B30" i="10"/>
  <c r="N29" i="10"/>
  <c r="K29" i="10"/>
  <c r="I29" i="10"/>
  <c r="G29" i="10"/>
  <c r="E29" i="10"/>
  <c r="C29" i="10"/>
  <c r="B29" i="10"/>
  <c r="H29" i="10" s="1"/>
  <c r="N28" i="10"/>
  <c r="H28" i="10"/>
  <c r="G28" i="10"/>
  <c r="C28" i="10"/>
  <c r="I28" i="10" s="1"/>
  <c r="B28" i="10"/>
  <c r="N27" i="10"/>
  <c r="K27" i="10"/>
  <c r="I27" i="10"/>
  <c r="G27" i="10"/>
  <c r="E27" i="10"/>
  <c r="C27" i="10"/>
  <c r="B27" i="10"/>
  <c r="H27" i="10" s="1"/>
  <c r="N26" i="10"/>
  <c r="H26" i="10"/>
  <c r="G26" i="10"/>
  <c r="C26" i="10"/>
  <c r="K26" i="10" s="1"/>
  <c r="B26" i="10"/>
  <c r="N25" i="10"/>
  <c r="K25" i="10"/>
  <c r="I25" i="10"/>
  <c r="G25" i="10"/>
  <c r="E25" i="10"/>
  <c r="C25" i="10"/>
  <c r="B25" i="10"/>
  <c r="H25" i="10" s="1"/>
  <c r="N24" i="10"/>
  <c r="H24" i="10"/>
  <c r="G24" i="10"/>
  <c r="C24" i="10"/>
  <c r="I24" i="10" s="1"/>
  <c r="B24" i="10"/>
  <c r="N23" i="10"/>
  <c r="K23" i="10"/>
  <c r="I23" i="10"/>
  <c r="G23" i="10"/>
  <c r="E23" i="10"/>
  <c r="C23" i="10"/>
  <c r="B23" i="10"/>
  <c r="H23" i="10" s="1"/>
  <c r="N22" i="10"/>
  <c r="H22" i="10"/>
  <c r="G22" i="10"/>
  <c r="C22" i="10"/>
  <c r="K22" i="10" s="1"/>
  <c r="B22" i="10"/>
  <c r="N21" i="10"/>
  <c r="K21" i="10"/>
  <c r="I21" i="10"/>
  <c r="G21" i="10"/>
  <c r="E21" i="10"/>
  <c r="C21" i="10"/>
  <c r="B21" i="10"/>
  <c r="H21" i="10" s="1"/>
  <c r="N20" i="10"/>
  <c r="H20" i="10"/>
  <c r="G20" i="10"/>
  <c r="C20" i="10"/>
  <c r="I20" i="10" s="1"/>
  <c r="B20" i="10"/>
  <c r="N19" i="10"/>
  <c r="K19" i="10"/>
  <c r="I19" i="10"/>
  <c r="G19" i="10"/>
  <c r="E19" i="10"/>
  <c r="C19" i="10"/>
  <c r="B19" i="10"/>
  <c r="H19" i="10" s="1"/>
  <c r="N18" i="10"/>
  <c r="H18" i="10"/>
  <c r="G18" i="10"/>
  <c r="C18" i="10"/>
  <c r="K18" i="10" s="1"/>
  <c r="B18" i="10"/>
  <c r="N17" i="10"/>
  <c r="K17" i="10"/>
  <c r="I17" i="10"/>
  <c r="G17" i="10"/>
  <c r="E17" i="10"/>
  <c r="C17" i="10"/>
  <c r="B17" i="10"/>
  <c r="H17" i="10" s="1"/>
  <c r="N16" i="10"/>
  <c r="H16" i="10"/>
  <c r="G16" i="10"/>
  <c r="C16" i="10"/>
  <c r="I16" i="10" s="1"/>
  <c r="B16" i="10"/>
  <c r="N15" i="10"/>
  <c r="K15" i="10"/>
  <c r="I15" i="10"/>
  <c r="G15" i="10"/>
  <c r="E15" i="10"/>
  <c r="C15" i="10"/>
  <c r="B15" i="10"/>
  <c r="H15" i="10" s="1"/>
  <c r="N14" i="10"/>
  <c r="H14" i="10"/>
  <c r="G14" i="10"/>
  <c r="C14" i="10"/>
  <c r="K14" i="10" s="1"/>
  <c r="B14" i="10"/>
  <c r="N13" i="10"/>
  <c r="K13" i="10"/>
  <c r="I13" i="10"/>
  <c r="G13" i="10"/>
  <c r="E13" i="10"/>
  <c r="C13" i="10"/>
  <c r="B13" i="10"/>
  <c r="H13" i="10" s="1"/>
  <c r="N12" i="10"/>
  <c r="H12" i="10"/>
  <c r="G12" i="10"/>
  <c r="C12" i="10"/>
  <c r="I12" i="10" s="1"/>
  <c r="B12" i="10"/>
  <c r="N11" i="10"/>
  <c r="K11" i="10"/>
  <c r="I11" i="10"/>
  <c r="G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L3" i="10"/>
  <c r="K3" i="10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AC5" i="8"/>
  <c r="AB5" i="8"/>
  <c r="AA5" i="8"/>
  <c r="Z5" i="8"/>
  <c r="Y5" i="8"/>
  <c r="X5" i="8"/>
  <c r="W5" i="8"/>
  <c r="V5" i="8"/>
  <c r="U5" i="8"/>
  <c r="T5" i="8"/>
  <c r="S5" i="8"/>
  <c r="R5" i="8"/>
  <c r="P7" i="3" s="1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AC3" i="8"/>
  <c r="AC2" i="8" s="1"/>
  <c r="AA3" i="8"/>
  <c r="AA2" i="8" s="1"/>
  <c r="Y3" i="8"/>
  <c r="W3" i="8"/>
  <c r="U3" i="8"/>
  <c r="U2" i="8" s="1"/>
  <c r="S3" i="8"/>
  <c r="S2" i="8" s="1"/>
  <c r="Q3" i="8"/>
  <c r="O3" i="8"/>
  <c r="M3" i="8"/>
  <c r="M2" i="8" s="1"/>
  <c r="K3" i="8"/>
  <c r="K2" i="8" s="1"/>
  <c r="I3" i="8"/>
  <c r="G3" i="8"/>
  <c r="E3" i="8"/>
  <c r="E2" i="8" s="1"/>
  <c r="Y2" i="8"/>
  <c r="W2" i="8"/>
  <c r="O2" i="8"/>
  <c r="I2" i="8"/>
  <c r="G2" i="8"/>
  <c r="AB1" i="8"/>
  <c r="Z1" i="8"/>
  <c r="X1" i="8"/>
  <c r="V1" i="8"/>
  <c r="T1" i="8"/>
  <c r="R1" i="8"/>
  <c r="N1" i="8"/>
  <c r="L1" i="8"/>
  <c r="J1" i="8"/>
  <c r="H1" i="8"/>
  <c r="G836" i="7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AF36" i="6" s="1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AF29" i="6" s="1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AF26" i="6" s="1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AF23" i="6" s="1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AF22" i="6" s="1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AF20" i="6" s="1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AF15" i="6" s="1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AF14" i="6" s="1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AF7" i="6" s="1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AF5" i="6" s="1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J34" i="5" s="1"/>
  <c r="E20" i="5"/>
  <c r="E34" i="5" s="1"/>
  <c r="J13" i="5"/>
  <c r="J12" i="5"/>
  <c r="J11" i="5"/>
  <c r="J10" i="5"/>
  <c r="J9" i="5"/>
  <c r="J8" i="5"/>
  <c r="J7" i="5"/>
  <c r="J6" i="5"/>
  <c r="J5" i="5"/>
  <c r="J4" i="5"/>
  <c r="J3" i="5"/>
  <c r="J2" i="5"/>
  <c r="J16" i="5" s="1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23" i="3" s="1"/>
  <c r="F42" i="4"/>
  <c r="G42" i="4" s="1"/>
  <c r="J41" i="4"/>
  <c r="L41" i="4" s="1"/>
  <c r="F41" i="4"/>
  <c r="H21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6" i="3" s="1"/>
  <c r="L21" i="4"/>
  <c r="F21" i="4"/>
  <c r="N18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N17" i="3" s="1"/>
  <c r="G14" i="4"/>
  <c r="F14" i="4"/>
  <c r="J12" i="4"/>
  <c r="F12" i="4"/>
  <c r="N6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J24" i="3"/>
  <c r="H24" i="3"/>
  <c r="G24" i="3"/>
  <c r="J23" i="3"/>
  <c r="G23" i="3"/>
  <c r="G22" i="3"/>
  <c r="J21" i="3"/>
  <c r="G21" i="3"/>
  <c r="J20" i="3"/>
  <c r="H20" i="3"/>
  <c r="G20" i="3"/>
  <c r="N19" i="3"/>
  <c r="M19" i="3"/>
  <c r="J19" i="3"/>
  <c r="G19" i="3"/>
  <c r="M18" i="3"/>
  <c r="J18" i="3"/>
  <c r="H18" i="3"/>
  <c r="G18" i="3"/>
  <c r="M17" i="3"/>
  <c r="J17" i="3"/>
  <c r="H17" i="3"/>
  <c r="G17" i="3"/>
  <c r="M16" i="3"/>
  <c r="H16" i="3"/>
  <c r="G16" i="3"/>
  <c r="M15" i="3"/>
  <c r="H15" i="3"/>
  <c r="G15" i="3"/>
  <c r="N14" i="3"/>
  <c r="M14" i="3"/>
  <c r="H14" i="3"/>
  <c r="G14" i="3"/>
  <c r="M13" i="3"/>
  <c r="H13" i="3"/>
  <c r="G13" i="3"/>
  <c r="N12" i="3"/>
  <c r="M12" i="3"/>
  <c r="J12" i="3"/>
  <c r="H12" i="3"/>
  <c r="G12" i="3"/>
  <c r="N11" i="3"/>
  <c r="M11" i="3"/>
  <c r="J11" i="3"/>
  <c r="H11" i="3"/>
  <c r="G11" i="3"/>
  <c r="N10" i="3"/>
  <c r="M10" i="3"/>
  <c r="J10" i="3"/>
  <c r="H10" i="3"/>
  <c r="G10" i="3"/>
  <c r="N9" i="3"/>
  <c r="M9" i="3"/>
  <c r="G9" i="3"/>
  <c r="M8" i="3"/>
  <c r="H8" i="3"/>
  <c r="G8" i="3"/>
  <c r="M7" i="3"/>
  <c r="H7" i="3"/>
  <c r="G7" i="3"/>
  <c r="B7" i="3"/>
  <c r="M6" i="3"/>
  <c r="H6" i="3"/>
  <c r="G6" i="3"/>
  <c r="B6" i="3"/>
  <c r="T5" i="3"/>
  <c r="S5" i="3"/>
  <c r="M5" i="3"/>
  <c r="H5" i="3"/>
  <c r="G5" i="3"/>
  <c r="S4" i="3"/>
  <c r="M4" i="3"/>
  <c r="H4" i="3"/>
  <c r="G4" i="3"/>
  <c r="B38" i="2"/>
  <c r="F31" i="2" s="1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L3" i="2"/>
  <c r="C3" i="2"/>
  <c r="O2" i="2"/>
  <c r="O8" i="2" s="1"/>
  <c r="F2" i="2"/>
  <c r="C2" i="2"/>
  <c r="AF8" i="6" l="1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81" i="7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G21" i="5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H23" i="5"/>
  <c r="G23" i="5"/>
  <c r="H31" i="5"/>
  <c r="G31" i="5"/>
  <c r="K68" i="4"/>
  <c r="L68" i="4"/>
  <c r="A2" i="8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V7" i="3"/>
  <c r="E9" i="9"/>
  <c r="D13" i="9"/>
  <c r="E13" i="9" s="1"/>
  <c r="K22" i="5"/>
  <c r="I3" i="6"/>
  <c r="E8" i="6"/>
  <c r="E11" i="6"/>
  <c r="E18" i="6"/>
  <c r="E19" i="6"/>
  <c r="E20" i="6"/>
  <c r="E21" i="6"/>
  <c r="E23" i="6"/>
  <c r="H9" i="3"/>
  <c r="H22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5" i="3"/>
  <c r="N2" i="3" s="1"/>
  <c r="H19" i="3"/>
  <c r="L12" i="4"/>
  <c r="J59" i="4"/>
  <c r="K64" i="4"/>
  <c r="F20" i="5"/>
  <c r="G20" i="5" s="1"/>
  <c r="K20" i="5"/>
  <c r="L20" i="5" s="1"/>
  <c r="K28" i="5"/>
  <c r="M28" i="5" s="1"/>
  <c r="U3" i="6"/>
  <c r="N13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P11" i="11"/>
  <c r="O11" i="11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7" i="3"/>
  <c r="N8" i="3"/>
  <c r="K21" i="5"/>
  <c r="K25" i="5"/>
  <c r="K29" i="5"/>
  <c r="K11" i="11"/>
  <c r="F10" i="11"/>
  <c r="G11" i="11" s="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G10" i="11"/>
  <c r="P10" i="11"/>
  <c r="Z18" i="11"/>
  <c r="U20" i="11"/>
  <c r="A90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D2" i="11"/>
  <c r="E2" i="12"/>
  <c r="I19" i="12"/>
  <c r="J20" i="12"/>
  <c r="K21" i="12"/>
  <c r="I23" i="12"/>
  <c r="K24" i="12"/>
  <c r="I26" i="12"/>
  <c r="J27" i="12"/>
  <c r="K28" i="12"/>
  <c r="I31" i="12"/>
  <c r="M11" i="14"/>
  <c r="G58" i="14"/>
  <c r="G53" i="7" l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F16" i="5"/>
  <c r="K5" i="5"/>
  <c r="L5" i="5" s="1"/>
  <c r="P16" i="5"/>
  <c r="D52" i="6"/>
  <c r="D51" i="6"/>
  <c r="G29" i="5"/>
  <c r="D49" i="6"/>
  <c r="J14" i="3"/>
  <c r="H30" i="5"/>
  <c r="K4" i="5"/>
  <c r="M4" i="5" s="1"/>
  <c r="H22" i="5"/>
  <c r="D50" i="6"/>
  <c r="D4" i="3"/>
  <c r="D2" i="3" s="1"/>
  <c r="M26" i="5"/>
  <c r="H27" i="5"/>
  <c r="P34" i="5"/>
  <c r="G25" i="5"/>
  <c r="D45" i="6"/>
  <c r="K8" i="5"/>
  <c r="M8" i="5" s="1"/>
  <c r="F43" i="6"/>
  <c r="G43" i="6" s="1"/>
  <c r="F39" i="6"/>
  <c r="G39" i="6" s="1"/>
  <c r="F35" i="6"/>
  <c r="G35" i="6" s="1"/>
  <c r="F30" i="6"/>
  <c r="G30" i="6" s="1"/>
  <c r="F26" i="6"/>
  <c r="G26" i="6" s="1"/>
  <c r="F22" i="6"/>
  <c r="G22" i="6" s="1"/>
  <c r="F18" i="6"/>
  <c r="G18" i="6" s="1"/>
  <c r="F14" i="6"/>
  <c r="G14" i="6" s="1"/>
  <c r="F9" i="6"/>
  <c r="G9" i="6" s="1"/>
  <c r="F5" i="6"/>
  <c r="G5" i="6" s="1"/>
  <c r="V4" i="3"/>
  <c r="J22" i="3"/>
  <c r="H26" i="5"/>
  <c r="Q34" i="5"/>
  <c r="D28" i="6"/>
  <c r="J6" i="3"/>
  <c r="F29" i="6"/>
  <c r="G29" i="6" s="1"/>
  <c r="F25" i="6"/>
  <c r="G25" i="6" s="1"/>
  <c r="F21" i="6"/>
  <c r="G21" i="6" s="1"/>
  <c r="M30" i="5"/>
  <c r="D30" i="6"/>
  <c r="J16" i="3"/>
  <c r="K12" i="5"/>
  <c r="M12" i="5" s="1"/>
  <c r="F28" i="6"/>
  <c r="G28" i="6" s="1"/>
  <c r="F24" i="6"/>
  <c r="G24" i="6" s="1"/>
  <c r="F20" i="6"/>
  <c r="G20" i="6" s="1"/>
  <c r="F16" i="6"/>
  <c r="G16" i="6" s="1"/>
  <c r="F11" i="6"/>
  <c r="G11" i="6" s="1"/>
  <c r="F7" i="6"/>
  <c r="G7" i="6" s="1"/>
  <c r="G34" i="5"/>
  <c r="K2" i="5"/>
  <c r="T2" i="5" s="1"/>
  <c r="F17" i="6"/>
  <c r="G17" i="6" s="1"/>
  <c r="F12" i="6"/>
  <c r="G12" i="6" s="1"/>
  <c r="F8" i="6"/>
  <c r="G8" i="6" s="1"/>
  <c r="F40" i="6"/>
  <c r="G40" i="6" s="1"/>
  <c r="F36" i="6"/>
  <c r="G36" i="6" s="1"/>
  <c r="F31" i="6"/>
  <c r="G31" i="6" s="1"/>
  <c r="F27" i="6"/>
  <c r="G27" i="6" s="1"/>
  <c r="F23" i="6"/>
  <c r="G23" i="6" s="1"/>
  <c r="F19" i="6"/>
  <c r="G19" i="6" s="1"/>
  <c r="F15" i="6"/>
  <c r="G15" i="6" s="1"/>
  <c r="F10" i="6"/>
  <c r="G10" i="6" s="1"/>
  <c r="F6" i="6"/>
  <c r="G6" i="6" s="1"/>
  <c r="E54" i="6"/>
  <c r="G59" i="14"/>
  <c r="M12" i="14"/>
  <c r="K3" i="5"/>
  <c r="M21" i="5"/>
  <c r="P17" i="3"/>
  <c r="D15" i="6"/>
  <c r="F42" i="6"/>
  <c r="G42" i="6" s="1"/>
  <c r="F38" i="6"/>
  <c r="G38" i="6" s="1"/>
  <c r="F34" i="6"/>
  <c r="G34" i="6" s="1"/>
  <c r="M31" i="5"/>
  <c r="L31" i="5"/>
  <c r="M20" i="5"/>
  <c r="K34" i="5"/>
  <c r="M34" i="5" s="1"/>
  <c r="K61" i="4"/>
  <c r="K62" i="4"/>
  <c r="L59" i="4"/>
  <c r="M59" i="4" s="1"/>
  <c r="K11" i="2"/>
  <c r="L11" i="2" s="1"/>
  <c r="K10" i="2"/>
  <c r="L10" i="2" s="1"/>
  <c r="D17" i="6"/>
  <c r="P10" i="3"/>
  <c r="P4" i="3"/>
  <c r="D6" i="6"/>
  <c r="P13" i="3"/>
  <c r="D19" i="6"/>
  <c r="G24" i="5"/>
  <c r="L28" i="5"/>
  <c r="F45" i="6"/>
  <c r="G45" i="6" s="1"/>
  <c r="K37" i="4"/>
  <c r="J39" i="4"/>
  <c r="K35" i="4"/>
  <c r="J40" i="4"/>
  <c r="L40" i="4" s="1"/>
  <c r="K38" i="4"/>
  <c r="L35" i="4"/>
  <c r="L21" i="5"/>
  <c r="D18" i="9"/>
  <c r="E18" i="9" s="1"/>
  <c r="D27" i="6"/>
  <c r="P14" i="3"/>
  <c r="D12" i="6"/>
  <c r="P6" i="3"/>
  <c r="Z20" i="11"/>
  <c r="Y20" i="11"/>
  <c r="F41" i="6"/>
  <c r="G41" i="6" s="1"/>
  <c r="F37" i="6"/>
  <c r="G37" i="6" s="1"/>
  <c r="F33" i="6"/>
  <c r="G33" i="6" s="1"/>
  <c r="M27" i="5"/>
  <c r="L27" i="5"/>
  <c r="F34" i="5"/>
  <c r="H34" i="5" s="1"/>
  <c r="H20" i="5"/>
  <c r="P19" i="3"/>
  <c r="D25" i="6"/>
  <c r="J4" i="3"/>
  <c r="D14" i="6"/>
  <c r="U22" i="11"/>
  <c r="T22" i="11"/>
  <c r="D23" i="6"/>
  <c r="J9" i="3"/>
  <c r="D18" i="6"/>
  <c r="J13" i="3"/>
  <c r="L22" i="5"/>
  <c r="M22" i="5"/>
  <c r="Q4" i="12"/>
  <c r="K6" i="5"/>
  <c r="M32" i="4"/>
  <c r="J6" i="4"/>
  <c r="H2" i="3"/>
  <c r="J12" i="11"/>
  <c r="K12" i="11"/>
  <c r="F11" i="11"/>
  <c r="G12" i="11" s="1"/>
  <c r="K11" i="5"/>
  <c r="M29" i="5"/>
  <c r="P15" i="3"/>
  <c r="D26" i="6"/>
  <c r="D9" i="6"/>
  <c r="P5" i="3"/>
  <c r="M23" i="5"/>
  <c r="L23" i="5"/>
  <c r="P11" i="3"/>
  <c r="D24" i="6"/>
  <c r="D10" i="6"/>
  <c r="J7" i="3"/>
  <c r="N8" i="14"/>
  <c r="C4" i="12"/>
  <c r="C5" i="12" s="1"/>
  <c r="D21" i="6"/>
  <c r="P18" i="3"/>
  <c r="D11" i="6"/>
  <c r="P8" i="3"/>
  <c r="N9" i="13"/>
  <c r="K10" i="5"/>
  <c r="G28" i="5"/>
  <c r="M11" i="13"/>
  <c r="K7" i="5"/>
  <c r="M25" i="5"/>
  <c r="P9" i="3"/>
  <c r="D16" i="6"/>
  <c r="D5" i="6"/>
  <c r="J5" i="3"/>
  <c r="E3" i="6"/>
  <c r="P12" i="11"/>
  <c r="O12" i="11"/>
  <c r="D22" i="6"/>
  <c r="P16" i="3"/>
  <c r="D7" i="6"/>
  <c r="P12" i="3"/>
  <c r="D20" i="6"/>
  <c r="J15" i="3"/>
  <c r="D8" i="6"/>
  <c r="J8" i="3"/>
  <c r="K13" i="5"/>
  <c r="L29" i="5"/>
  <c r="C3" i="12"/>
  <c r="B17" i="12"/>
  <c r="B22" i="12" s="1"/>
  <c r="L15" i="4"/>
  <c r="K15" i="4"/>
  <c r="L24" i="5"/>
  <c r="K9" i="5"/>
  <c r="L25" i="5"/>
  <c r="M68" i="4"/>
  <c r="N68" i="4"/>
  <c r="G41" i="7" l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G7" i="7" s="1"/>
  <c r="G6" i="7" s="1"/>
  <c r="G5" i="7" s="1"/>
  <c r="G1" i="7" s="1" a="1"/>
  <c r="G1" i="7" s="1"/>
  <c r="B5" i="2" s="1"/>
  <c r="B7" i="2" s="1"/>
  <c r="T5" i="5"/>
  <c r="M5" i="5"/>
  <c r="T8" i="5"/>
  <c r="L4" i="5"/>
  <c r="L8" i="5"/>
  <c r="E4" i="3"/>
  <c r="E7" i="3"/>
  <c r="K8" i="3"/>
  <c r="Q11" i="3"/>
  <c r="K7" i="3"/>
  <c r="K13" i="3"/>
  <c r="Q8" i="3"/>
  <c r="Q15" i="3"/>
  <c r="Q5" i="3"/>
  <c r="T4" i="5"/>
  <c r="L12" i="5"/>
  <c r="L2" i="5"/>
  <c r="T12" i="5"/>
  <c r="K16" i="5"/>
  <c r="M16" i="5" s="1"/>
  <c r="M2" i="5"/>
  <c r="L34" i="5"/>
  <c r="Q16" i="3"/>
  <c r="Q19" i="3"/>
  <c r="K15" i="3"/>
  <c r="Q12" i="3"/>
  <c r="K5" i="3"/>
  <c r="Q9" i="3"/>
  <c r="Q18" i="3"/>
  <c r="K9" i="3"/>
  <c r="B4" i="3"/>
  <c r="O68" i="4"/>
  <c r="P13" i="11"/>
  <c r="O13" i="11"/>
  <c r="K13" i="11"/>
  <c r="F12" i="11"/>
  <c r="G13" i="11" s="1"/>
  <c r="J13" i="11"/>
  <c r="K4" i="3"/>
  <c r="J2" i="3"/>
  <c r="K2" i="3" s="1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Q17" i="3"/>
  <c r="N10" i="13"/>
  <c r="J8" i="14" a="1"/>
  <c r="J8" i="14" s="1"/>
  <c r="N9" i="14"/>
  <c r="W7" i="3"/>
  <c r="Q14" i="3"/>
  <c r="M35" i="4"/>
  <c r="J9" i="4"/>
  <c r="L39" i="4"/>
  <c r="J42" i="4"/>
  <c r="Q13" i="3"/>
  <c r="M9" i="5"/>
  <c r="T9" i="5"/>
  <c r="L9" i="5"/>
  <c r="M6" i="5"/>
  <c r="T6" i="5"/>
  <c r="L6" i="5"/>
  <c r="U23" i="11"/>
  <c r="T23" i="11"/>
  <c r="K21" i="3"/>
  <c r="W5" i="3"/>
  <c r="K23" i="3"/>
  <c r="E6" i="3"/>
  <c r="K24" i="3"/>
  <c r="K11" i="3"/>
  <c r="K6" i="3"/>
  <c r="K14" i="3"/>
  <c r="K18" i="3"/>
  <c r="K20" i="3"/>
  <c r="E5" i="3"/>
  <c r="K10" i="3"/>
  <c r="K19" i="3"/>
  <c r="K12" i="3"/>
  <c r="K16" i="3"/>
  <c r="K22" i="3"/>
  <c r="W4" i="3"/>
  <c r="K17" i="3"/>
  <c r="Q7" i="3"/>
  <c r="Q6" i="3"/>
  <c r="P2" i="3"/>
  <c r="Q2" i="3" s="1"/>
  <c r="Q4" i="3"/>
  <c r="M3" i="5"/>
  <c r="T3" i="5"/>
  <c r="L3" i="5"/>
  <c r="G60" i="14"/>
  <c r="F25" i="2" l="1"/>
  <c r="F16" i="2"/>
  <c r="L16" i="5"/>
  <c r="T16" i="5"/>
  <c r="V6" i="3" s="1"/>
  <c r="V2" i="3" s="1"/>
  <c r="W2" i="3" s="1"/>
  <c r="L9" i="4"/>
  <c r="K12" i="4"/>
  <c r="K16" i="4"/>
  <c r="K11" i="4"/>
  <c r="M13" i="13"/>
  <c r="M14" i="14"/>
  <c r="K14" i="11"/>
  <c r="F13" i="11"/>
  <c r="G14" i="11" s="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J10" i="13" a="1"/>
  <c r="J10" i="13" s="1"/>
  <c r="N11" i="13"/>
  <c r="R5" i="12"/>
  <c r="Q6" i="12"/>
  <c r="L14" i="4"/>
  <c r="K14" i="4"/>
  <c r="O14" i="11"/>
  <c r="P14" i="11"/>
  <c r="J13" i="4"/>
  <c r="M39" i="4"/>
  <c r="N10" i="14"/>
  <c r="J9" i="14" a="1"/>
  <c r="J9" i="14" s="1"/>
  <c r="Y22" i="11"/>
  <c r="Z22" i="11"/>
  <c r="W6" i="3" l="1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F14" i="11"/>
  <c r="G15" i="11" s="1"/>
  <c r="J15" i="11"/>
  <c r="M14" i="13"/>
  <c r="P15" i="11"/>
  <c r="O15" i="11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J9" i="10" s="1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N12" i="14" l="1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P16" i="11"/>
  <c r="O16" i="11"/>
  <c r="J12" i="13" a="1"/>
  <c r="J12" i="13" s="1"/>
  <c r="N13" i="13"/>
  <c r="G50" i="6"/>
  <c r="F54" i="6"/>
  <c r="G54" i="6" s="1"/>
  <c r="M15" i="13"/>
  <c r="J16" i="11"/>
  <c r="K16" i="11"/>
  <c r="F15" i="11"/>
  <c r="G16" i="11" s="1"/>
  <c r="Z24" i="11"/>
  <c r="Y24" i="11"/>
  <c r="Z25" i="11" l="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P17" i="11"/>
  <c r="O17" i="11"/>
  <c r="G64" i="14"/>
  <c r="U27" i="11"/>
  <c r="T27" i="11"/>
  <c r="K17" i="11"/>
  <c r="J17" i="11"/>
  <c r="F16" i="11"/>
  <c r="G17" i="11" s="1"/>
  <c r="N14" i="13"/>
  <c r="J13" i="13" a="1"/>
  <c r="J13" i="13" s="1"/>
  <c r="J24" i="4"/>
  <c r="K19" i="4"/>
  <c r="G65" i="14" l="1"/>
  <c r="E10" i="5"/>
  <c r="E6" i="5"/>
  <c r="E4" i="5"/>
  <c r="E13" i="5"/>
  <c r="E11" i="5"/>
  <c r="E2" i="5"/>
  <c r="E8" i="5"/>
  <c r="E5" i="5"/>
  <c r="E3" i="5"/>
  <c r="E12" i="5"/>
  <c r="E9" i="5"/>
  <c r="E7" i="5"/>
  <c r="R1" i="12"/>
  <c r="O18" i="11"/>
  <c r="P18" i="11"/>
  <c r="B2" i="3"/>
  <c r="K18" i="11"/>
  <c r="J18" i="11"/>
  <c r="F17" i="11"/>
  <c r="G18" i="11" s="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1" i="3" l="1"/>
  <c r="C7" i="3"/>
  <c r="U5" i="3"/>
  <c r="O9" i="3"/>
  <c r="I5" i="3"/>
  <c r="O19" i="3"/>
  <c r="C6" i="3"/>
  <c r="O14" i="3"/>
  <c r="O12" i="3"/>
  <c r="O10" i="3"/>
  <c r="I23" i="3"/>
  <c r="I17" i="3"/>
  <c r="O16" i="3"/>
  <c r="I12" i="3"/>
  <c r="I18" i="3"/>
  <c r="I7" i="3"/>
  <c r="I15" i="3"/>
  <c r="O18" i="3"/>
  <c r="O4" i="3"/>
  <c r="I21" i="3"/>
  <c r="I6" i="3"/>
  <c r="I14" i="3"/>
  <c r="I10" i="3"/>
  <c r="O6" i="3"/>
  <c r="I11" i="3"/>
  <c r="O17" i="3"/>
  <c r="I8" i="3"/>
  <c r="I16" i="3"/>
  <c r="I20" i="3"/>
  <c r="I13" i="3"/>
  <c r="I24" i="3"/>
  <c r="I4" i="3"/>
  <c r="O2" i="3"/>
  <c r="I9" i="3"/>
  <c r="O7" i="3"/>
  <c r="O15" i="3"/>
  <c r="O8" i="3"/>
  <c r="I19" i="3"/>
  <c r="O13" i="3"/>
  <c r="O5" i="3"/>
  <c r="I22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E16" i="5"/>
  <c r="H16" i="5" s="1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F18" i="11"/>
  <c r="G19" i="11" s="1"/>
  <c r="J19" i="11"/>
  <c r="C5" i="3"/>
  <c r="P19" i="11"/>
  <c r="O19" i="11"/>
  <c r="G7" i="5"/>
  <c r="O7" i="5"/>
  <c r="Q7" i="5" s="1"/>
  <c r="H7" i="5"/>
  <c r="O5" i="5"/>
  <c r="Q5" i="5" s="1"/>
  <c r="G5" i="5"/>
  <c r="H5" i="5"/>
  <c r="O13" i="5"/>
  <c r="Q13" i="5" s="1"/>
  <c r="G13" i="5"/>
  <c r="H13" i="5"/>
  <c r="M19" i="13" l="1"/>
  <c r="M20" i="14"/>
  <c r="J20" i="11"/>
  <c r="K20" i="11"/>
  <c r="F19" i="11"/>
  <c r="G20" i="11" s="1"/>
  <c r="Z28" i="11"/>
  <c r="Y28" i="11"/>
  <c r="N16" i="14"/>
  <c r="J15" i="14" a="1"/>
  <c r="J15" i="14" s="1"/>
  <c r="G16" i="5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P20" i="11"/>
  <c r="O20" i="11"/>
  <c r="E3" i="4"/>
  <c r="D3" i="4"/>
  <c r="H46" i="6"/>
  <c r="E46" i="4"/>
  <c r="Q2" i="5"/>
  <c r="Q16" i="5" s="1"/>
  <c r="O16" i="5"/>
  <c r="R16" i="5" s="1"/>
  <c r="Z29" i="11" l="1"/>
  <c r="Y29" i="11"/>
  <c r="K21" i="11"/>
  <c r="F20" i="11"/>
  <c r="G21" i="11" s="1"/>
  <c r="J21" i="11"/>
  <c r="P21" i="11"/>
  <c r="O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T32" i="11" l="1"/>
  <c r="U32" i="11"/>
  <c r="J18" i="13" a="1"/>
  <c r="J18" i="13" s="1"/>
  <c r="N19" i="13"/>
  <c r="M22" i="14"/>
  <c r="O22" i="11"/>
  <c r="P22" i="11"/>
  <c r="F46" i="6"/>
  <c r="M21" i="13"/>
  <c r="Y30" i="11"/>
  <c r="Z30" i="11"/>
  <c r="N18" i="14"/>
  <c r="J17" i="14" a="1"/>
  <c r="J17" i="14" s="1"/>
  <c r="K22" i="11"/>
  <c r="F21" i="11"/>
  <c r="G22" i="11" s="1"/>
  <c r="J22" i="11"/>
  <c r="J18" i="14" l="1" a="1"/>
  <c r="J18" i="14" s="1"/>
  <c r="N19" i="14"/>
  <c r="M22" i="13"/>
  <c r="M23" i="14"/>
  <c r="K23" i="11"/>
  <c r="F22" i="11"/>
  <c r="G23" i="11" s="1"/>
  <c r="J23" i="11"/>
  <c r="G46" i="6"/>
  <c r="F3" i="6"/>
  <c r="G3" i="6" s="1"/>
  <c r="U33" i="11"/>
  <c r="T33" i="11"/>
  <c r="Z31" i="11"/>
  <c r="Y31" i="11"/>
  <c r="J19" i="13" a="1"/>
  <c r="J19" i="13" s="1"/>
  <c r="N20" i="13"/>
  <c r="P23" i="11"/>
  <c r="O23" i="11"/>
  <c r="M23" i="13" l="1"/>
  <c r="P24" i="11"/>
  <c r="O24" i="11"/>
  <c r="Z32" i="11"/>
  <c r="Y32" i="11"/>
  <c r="N20" i="14"/>
  <c r="J19" i="14" a="1"/>
  <c r="J19" i="14" s="1"/>
  <c r="U34" i="11"/>
  <c r="T34" i="11"/>
  <c r="J24" i="11"/>
  <c r="K24" i="11"/>
  <c r="F23" i="11"/>
  <c r="G24" i="11" s="1"/>
  <c r="M24" i="14"/>
  <c r="J20" i="13" a="1"/>
  <c r="J20" i="13" s="1"/>
  <c r="N21" i="13"/>
  <c r="P25" i="11" l="1"/>
  <c r="O25" i="11"/>
  <c r="M25" i="14"/>
  <c r="K25" i="11"/>
  <c r="F24" i="11"/>
  <c r="G25" i="11" s="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K26" i="11" l="1"/>
  <c r="F25" i="11"/>
  <c r="G26" i="11" s="1"/>
  <c r="J26" i="11"/>
  <c r="M26" i="14"/>
  <c r="J22" i="13" a="1"/>
  <c r="J22" i="13" s="1"/>
  <c r="N23" i="13"/>
  <c r="O26" i="11"/>
  <c r="P26" i="11"/>
  <c r="M25" i="13"/>
  <c r="Y34" i="11"/>
  <c r="Z34" i="11"/>
  <c r="T36" i="11"/>
  <c r="U36" i="11"/>
  <c r="N22" i="14"/>
  <c r="J21" i="14" a="1"/>
  <c r="J21" i="14" s="1"/>
  <c r="J22" i="14" l="1" a="1"/>
  <c r="J22" i="14" s="1"/>
  <c r="N23" i="14"/>
  <c r="J23" i="13" a="1"/>
  <c r="J23" i="13" s="1"/>
  <c r="N24" i="13"/>
  <c r="U37" i="11"/>
  <c r="T37" i="11"/>
  <c r="M26" i="13"/>
  <c r="M27" i="14"/>
  <c r="Z35" i="11"/>
  <c r="Y35" i="11"/>
  <c r="P27" i="11"/>
  <c r="O27" i="11"/>
  <c r="K27" i="11"/>
  <c r="F26" i="11"/>
  <c r="G27" i="11" s="1"/>
  <c r="J27" i="11"/>
  <c r="P28" i="11" l="1"/>
  <c r="O28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27" i="11"/>
  <c r="G28" i="11" s="1"/>
  <c r="U39" i="11" l="1"/>
  <c r="T39" i="11"/>
  <c r="M29" i="14"/>
  <c r="N26" i="13"/>
  <c r="J25" i="13" a="1"/>
  <c r="J25" i="13" s="1"/>
  <c r="M28" i="13"/>
  <c r="P29" i="11"/>
  <c r="O29" i="11"/>
  <c r="K29" i="11"/>
  <c r="F28" i="11"/>
  <c r="G29" i="11" s="1"/>
  <c r="J29" i="11"/>
  <c r="J24" i="14" a="1"/>
  <c r="J24" i="14" s="1"/>
  <c r="N25" i="14"/>
  <c r="Z37" i="11"/>
  <c r="Y37" i="11"/>
  <c r="M29" i="13" l="1"/>
  <c r="J26" i="13" a="1"/>
  <c r="J26" i="13" s="1"/>
  <c r="N27" i="13"/>
  <c r="T40" i="11"/>
  <c r="U40" i="11"/>
  <c r="N26" i="14"/>
  <c r="J25" i="14" a="1"/>
  <c r="J25" i="14" s="1"/>
  <c r="K30" i="11"/>
  <c r="F29" i="11"/>
  <c r="G30" i="11" s="1"/>
  <c r="J30" i="11"/>
  <c r="Y38" i="11"/>
  <c r="Z38" i="11"/>
  <c r="O30" i="11"/>
  <c r="P30" i="11"/>
  <c r="M30" i="14"/>
  <c r="P31" i="11" l="1"/>
  <c r="O31" i="11"/>
  <c r="K31" i="11"/>
  <c r="F30" i="11"/>
  <c r="G31" i="11" s="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N28" i="14" l="1"/>
  <c r="J27" i="14" a="1"/>
  <c r="J27" i="14" s="1"/>
  <c r="Z40" i="11"/>
  <c r="Y40" i="11"/>
  <c r="M32" i="14"/>
  <c r="P32" i="11"/>
  <c r="O32" i="11"/>
  <c r="J28" i="13" a="1"/>
  <c r="J28" i="13" s="1"/>
  <c r="N29" i="13"/>
  <c r="U42" i="11"/>
  <c r="T42" i="11"/>
  <c r="M31" i="13"/>
  <c r="J32" i="11"/>
  <c r="K32" i="11"/>
  <c r="F31" i="11"/>
  <c r="G32" i="11" s="1"/>
  <c r="M32" i="13" l="1"/>
  <c r="U43" i="11"/>
  <c r="T43" i="11"/>
  <c r="P33" i="11"/>
  <c r="O33" i="11"/>
  <c r="J28" i="14" a="1"/>
  <c r="J28" i="14" s="1"/>
  <c r="N29" i="14"/>
  <c r="Z41" i="11"/>
  <c r="Y41" i="11"/>
  <c r="K33" i="11"/>
  <c r="F32" i="11"/>
  <c r="G33" i="11" s="1"/>
  <c r="J33" i="11"/>
  <c r="N30" i="13"/>
  <c r="J29" i="13" a="1"/>
  <c r="J29" i="13" s="1"/>
  <c r="M33" i="14"/>
  <c r="J30" i="13" l="1" a="1"/>
  <c r="J30" i="13" s="1"/>
  <c r="N31" i="13"/>
  <c r="Y42" i="11"/>
  <c r="Z42" i="11"/>
  <c r="K34" i="11"/>
  <c r="F33" i="11"/>
  <c r="G34" i="11" s="1"/>
  <c r="J34" i="11"/>
  <c r="O34" i="11"/>
  <c r="P34" i="11"/>
  <c r="M33" i="13"/>
  <c r="M34" i="14"/>
  <c r="N30" i="14"/>
  <c r="J29" i="14" a="1"/>
  <c r="J29" i="14" s="1"/>
  <c r="T44" i="11"/>
  <c r="U44" i="11"/>
  <c r="U45" i="11" l="1"/>
  <c r="T45" i="11"/>
  <c r="M35" i="14"/>
  <c r="P35" i="11"/>
  <c r="O35" i="11"/>
  <c r="J30" i="14" a="1"/>
  <c r="J30" i="14" s="1"/>
  <c r="N31" i="14"/>
  <c r="K35" i="11"/>
  <c r="F34" i="11"/>
  <c r="G35" i="11" s="1"/>
  <c r="J35" i="11"/>
  <c r="Z43" i="11"/>
  <c r="Y43" i="11"/>
  <c r="M34" i="13"/>
  <c r="J31" i="13" a="1"/>
  <c r="J31" i="13" s="1"/>
  <c r="N32" i="13"/>
  <c r="J36" i="11" l="1"/>
  <c r="K36" i="11"/>
  <c r="F35" i="11"/>
  <c r="G36" i="11" s="1"/>
  <c r="M36" i="14"/>
  <c r="P36" i="11"/>
  <c r="O36" i="11"/>
  <c r="J32" i="13" a="1"/>
  <c r="J32" i="13" s="1"/>
  <c r="N33" i="13"/>
  <c r="M35" i="13"/>
  <c r="U46" i="11"/>
  <c r="T46" i="11"/>
  <c r="Z44" i="11"/>
  <c r="Y44" i="11"/>
  <c r="J31" i="14" a="1"/>
  <c r="J31" i="14" s="1"/>
  <c r="N32" i="14"/>
  <c r="Z45" i="11" l="1"/>
  <c r="Y45" i="11"/>
  <c r="P37" i="11"/>
  <c r="O37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F36" i="11"/>
  <c r="G37" i="11" s="1"/>
  <c r="J37" i="11"/>
  <c r="T48" i="11" l="1"/>
  <c r="U48" i="11"/>
  <c r="J34" i="13" a="1"/>
  <c r="J34" i="13" s="1"/>
  <c r="N35" i="13"/>
  <c r="Y46" i="11"/>
  <c r="Z46" i="11"/>
  <c r="K38" i="11"/>
  <c r="F37" i="11"/>
  <c r="G38" i="11" s="1"/>
  <c r="J38" i="11"/>
  <c r="M38" i="14"/>
  <c r="O38" i="11"/>
  <c r="P38" i="11"/>
  <c r="M37" i="13"/>
  <c r="N34" i="14"/>
  <c r="J33" i="14" a="1"/>
  <c r="J33" i="14" s="1"/>
  <c r="M39" i="14" l="1"/>
  <c r="J34" i="14" a="1"/>
  <c r="J34" i="14" s="1"/>
  <c r="N35" i="14"/>
  <c r="M38" i="13"/>
  <c r="K39" i="11"/>
  <c r="F38" i="11"/>
  <c r="G39" i="11" s="1"/>
  <c r="J39" i="11"/>
  <c r="Z47" i="11"/>
  <c r="Y47" i="11"/>
  <c r="U49" i="11"/>
  <c r="T49" i="11"/>
  <c r="P39" i="11"/>
  <c r="O39" i="11"/>
  <c r="J35" i="13" a="1"/>
  <c r="J35" i="13" s="1"/>
  <c r="N36" i="13"/>
  <c r="J36" i="13" l="1" a="1"/>
  <c r="J36" i="13" s="1"/>
  <c r="N37" i="13"/>
  <c r="P40" i="11"/>
  <c r="O40" i="11"/>
  <c r="Z48" i="11"/>
  <c r="Y48" i="11"/>
  <c r="U50" i="11"/>
  <c r="T50" i="11"/>
  <c r="J40" i="11"/>
  <c r="K40" i="11"/>
  <c r="F39" i="11"/>
  <c r="G40" i="11" s="1"/>
  <c r="M39" i="13"/>
  <c r="M40" i="14"/>
  <c r="J35" i="14" a="1"/>
  <c r="J35" i="14" s="1"/>
  <c r="N36" i="14"/>
  <c r="J36" i="14" l="1" a="1"/>
  <c r="J36" i="14" s="1"/>
  <c r="N37" i="14"/>
  <c r="Z49" i="11"/>
  <c r="Y49" i="11"/>
  <c r="K41" i="11"/>
  <c r="F40" i="11"/>
  <c r="G41" i="11" s="1"/>
  <c r="J41" i="11"/>
  <c r="N38" i="13"/>
  <c r="J37" i="13" a="1"/>
  <c r="J37" i="13" s="1"/>
  <c r="M40" i="13"/>
  <c r="U51" i="11"/>
  <c r="T51" i="11"/>
  <c r="P41" i="11"/>
  <c r="O41" i="11"/>
  <c r="M41" i="14"/>
  <c r="M42" i="14" l="1"/>
  <c r="J38" i="13" a="1"/>
  <c r="J38" i="13" s="1"/>
  <c r="N39" i="13"/>
  <c r="Y50" i="11"/>
  <c r="Z50" i="11"/>
  <c r="O42" i="11"/>
  <c r="P42" i="11"/>
  <c r="M41" i="13"/>
  <c r="K42" i="11"/>
  <c r="F41" i="11"/>
  <c r="G42" i="11" s="1"/>
  <c r="J42" i="11"/>
  <c r="N38" i="14"/>
  <c r="J37" i="14" a="1"/>
  <c r="J37" i="14" s="1"/>
  <c r="T52" i="11"/>
  <c r="U52" i="11"/>
  <c r="J38" i="14" l="1" a="1"/>
  <c r="J38" i="14" s="1"/>
  <c r="N39" i="14"/>
  <c r="K43" i="11"/>
  <c r="F42" i="11"/>
  <c r="G43" i="11" s="1"/>
  <c r="J43" i="11"/>
  <c r="M42" i="13"/>
  <c r="Z51" i="11"/>
  <c r="Y51" i="11"/>
  <c r="M43" i="14"/>
  <c r="U53" i="11"/>
  <c r="T53" i="11"/>
  <c r="J39" i="13" a="1"/>
  <c r="J39" i="13" s="1"/>
  <c r="N40" i="13"/>
  <c r="P43" i="11"/>
  <c r="O43" i="11"/>
  <c r="J39" i="14" l="1" a="1"/>
  <c r="J39" i="14" s="1"/>
  <c r="N40" i="14"/>
  <c r="J40" i="13" a="1"/>
  <c r="J40" i="13" s="1"/>
  <c r="N41" i="13"/>
  <c r="U54" i="11"/>
  <c r="T54" i="11"/>
  <c r="Z52" i="11"/>
  <c r="Y52" i="11"/>
  <c r="J44" i="11"/>
  <c r="K44" i="11"/>
  <c r="F43" i="11"/>
  <c r="G44" i="11" s="1"/>
  <c r="M44" i="14"/>
  <c r="M43" i="13"/>
  <c r="P44" i="11"/>
  <c r="O44" i="11"/>
  <c r="Z53" i="11" l="1"/>
  <c r="Y53" i="11"/>
  <c r="N42" i="13"/>
  <c r="J41" i="13" a="1"/>
  <c r="J41" i="13" s="1"/>
  <c r="M44" i="13"/>
  <c r="U55" i="11"/>
  <c r="T55" i="11"/>
  <c r="J40" i="14" a="1"/>
  <c r="J40" i="14" s="1"/>
  <c r="N41" i="14"/>
  <c r="P45" i="11"/>
  <c r="O45" i="11"/>
  <c r="M45" i="14"/>
  <c r="K45" i="11"/>
  <c r="F44" i="11"/>
  <c r="G45" i="11" s="1"/>
  <c r="J45" i="11"/>
  <c r="O46" i="11" l="1"/>
  <c r="P46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F45" i="11"/>
  <c r="G46" i="11" s="1"/>
  <c r="J46" i="11"/>
  <c r="M46" i="14"/>
  <c r="M47" i="14" l="1"/>
  <c r="M46" i="13"/>
  <c r="J43" i="13" a="1"/>
  <c r="J43" i="13" s="1"/>
  <c r="N44" i="13"/>
  <c r="U57" i="11"/>
  <c r="T57" i="11"/>
  <c r="K47" i="11"/>
  <c r="F46" i="11"/>
  <c r="G47" i="11" s="1"/>
  <c r="J47" i="11"/>
  <c r="P47" i="11"/>
  <c r="O47" i="11"/>
  <c r="Z55" i="11"/>
  <c r="Y55" i="11"/>
  <c r="J42" i="14" a="1"/>
  <c r="J42" i="14" s="1"/>
  <c r="N43" i="14"/>
  <c r="J43" i="14" l="1" a="1"/>
  <c r="J43" i="14" s="1"/>
  <c r="N44" i="14"/>
  <c r="J44" i="13" a="1"/>
  <c r="J44" i="13" s="1"/>
  <c r="N45" i="13"/>
  <c r="M48" i="14"/>
  <c r="Z56" i="11"/>
  <c r="Y56" i="11"/>
  <c r="P48" i="11"/>
  <c r="O48" i="11"/>
  <c r="U58" i="11"/>
  <c r="T58" i="11"/>
  <c r="J48" i="11"/>
  <c r="K48" i="11"/>
  <c r="F47" i="11"/>
  <c r="G48" i="11" s="1"/>
  <c r="M47" i="13"/>
  <c r="N46" i="13" l="1"/>
  <c r="J45" i="13" a="1"/>
  <c r="J45" i="13" s="1"/>
  <c r="M48" i="13"/>
  <c r="M49" i="14"/>
  <c r="J44" i="14" a="1"/>
  <c r="J44" i="14" s="1"/>
  <c r="N45" i="14"/>
  <c r="K49" i="11"/>
  <c r="F48" i="11"/>
  <c r="G49" i="11" s="1"/>
  <c r="J49" i="11"/>
  <c r="P49" i="11"/>
  <c r="O49" i="11"/>
  <c r="U59" i="11"/>
  <c r="T59" i="11"/>
  <c r="Z57" i="11"/>
  <c r="Y57" i="11"/>
  <c r="Y58" i="11" l="1"/>
  <c r="Z58" i="11"/>
  <c r="M49" i="13"/>
  <c r="J46" i="13" a="1"/>
  <c r="J46" i="13" s="1"/>
  <c r="N47" i="13"/>
  <c r="N46" i="14"/>
  <c r="J45" i="14" a="1"/>
  <c r="J45" i="14" s="1"/>
  <c r="K50" i="11"/>
  <c r="F49" i="11"/>
  <c r="G50" i="11" s="1"/>
  <c r="J50" i="11"/>
  <c r="T60" i="11"/>
  <c r="U60" i="11"/>
  <c r="O50" i="11"/>
  <c r="P50" i="11"/>
  <c r="M50" i="14"/>
  <c r="P51" i="11" l="1"/>
  <c r="O51" i="11"/>
  <c r="J47" i="13" a="1"/>
  <c r="J47" i="13" s="1"/>
  <c r="N48" i="13"/>
  <c r="M51" i="14"/>
  <c r="U61" i="11"/>
  <c r="T61" i="11"/>
  <c r="Z59" i="11"/>
  <c r="Y59" i="11"/>
  <c r="K51" i="11"/>
  <c r="F50" i="11"/>
  <c r="G51" i="11" s="1"/>
  <c r="J51" i="11"/>
  <c r="J46" i="14" a="1"/>
  <c r="J46" i="14" s="1"/>
  <c r="N47" i="14"/>
  <c r="M50" i="13"/>
  <c r="Z60" i="11" l="1"/>
  <c r="Y60" i="11"/>
  <c r="P52" i="11"/>
  <c r="O52" i="11"/>
  <c r="J52" i="11"/>
  <c r="K52" i="11"/>
  <c r="F51" i="11"/>
  <c r="G52" i="11" s="1"/>
  <c r="M51" i="13"/>
  <c r="U62" i="11"/>
  <c r="T62" i="11"/>
  <c r="M52" i="14"/>
  <c r="J47" i="14" a="1"/>
  <c r="J47" i="14" s="1"/>
  <c r="N48" i="14"/>
  <c r="J48" i="13" a="1"/>
  <c r="J48" i="13" s="1"/>
  <c r="N49" i="13"/>
  <c r="M52" i="13" l="1"/>
  <c r="P53" i="11"/>
  <c r="O53" i="11"/>
  <c r="N50" i="13"/>
  <c r="J49" i="13" a="1"/>
  <c r="J49" i="13" s="1"/>
  <c r="Z61" i="11"/>
  <c r="Y61" i="11"/>
  <c r="M53" i="14"/>
  <c r="K53" i="11"/>
  <c r="F52" i="11"/>
  <c r="G53" i="11" s="1"/>
  <c r="J53" i="11"/>
  <c r="J48" i="14" a="1"/>
  <c r="J48" i="14" s="1"/>
  <c r="N49" i="14"/>
  <c r="U63" i="11"/>
  <c r="T63" i="11"/>
  <c r="T64" i="11" l="1"/>
  <c r="U64" i="11"/>
  <c r="K54" i="11"/>
  <c r="F53" i="11"/>
  <c r="G54" i="11" s="1"/>
  <c r="J54" i="11"/>
  <c r="M54" i="14"/>
  <c r="M53" i="13"/>
  <c r="Y62" i="11"/>
  <c r="Z62" i="11"/>
  <c r="J50" i="13" a="1"/>
  <c r="J50" i="13" s="1"/>
  <c r="N51" i="13"/>
  <c r="N50" i="14"/>
  <c r="J49" i="14" a="1"/>
  <c r="J49" i="14" s="1"/>
  <c r="O54" i="11"/>
  <c r="P54" i="11"/>
  <c r="P55" i="11" l="1"/>
  <c r="O55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F54" i="11"/>
  <c r="G55" i="11" s="1"/>
  <c r="J55" i="11"/>
  <c r="U65" i="11"/>
  <c r="T65" i="11"/>
  <c r="M56" i="14" l="1"/>
  <c r="Z64" i="11"/>
  <c r="Y64" i="11"/>
  <c r="J52" i="13" a="1"/>
  <c r="J52" i="13" s="1"/>
  <c r="N53" i="13"/>
  <c r="M55" i="13"/>
  <c r="J56" i="11"/>
  <c r="K56" i="11"/>
  <c r="F55" i="11"/>
  <c r="G56" i="11" s="1"/>
  <c r="U66" i="11"/>
  <c r="T66" i="11"/>
  <c r="P56" i="11"/>
  <c r="O56" i="11"/>
  <c r="J51" i="14" a="1"/>
  <c r="J51" i="14" s="1"/>
  <c r="N52" i="14"/>
  <c r="J52" i="14" l="1" a="1"/>
  <c r="J52" i="14" s="1"/>
  <c r="N53" i="14"/>
  <c r="U67" i="11"/>
  <c r="T67" i="11"/>
  <c r="N54" i="13"/>
  <c r="J53" i="13" a="1"/>
  <c r="J53" i="13" s="1"/>
  <c r="M57" i="14"/>
  <c r="K57" i="11"/>
  <c r="F56" i="11"/>
  <c r="G57" i="11" s="1"/>
  <c r="J57" i="11"/>
  <c r="P57" i="11"/>
  <c r="O57" i="11"/>
  <c r="Z65" i="11"/>
  <c r="Y65" i="11"/>
  <c r="M56" i="13"/>
  <c r="N54" i="14" l="1"/>
  <c r="J53" i="14" a="1"/>
  <c r="J53" i="14" s="1"/>
  <c r="J54" i="13" a="1"/>
  <c r="J54" i="13" s="1"/>
  <c r="N55" i="13"/>
  <c r="K58" i="11"/>
  <c r="F57" i="11"/>
  <c r="G58" i="11" s="1"/>
  <c r="J58" i="11"/>
  <c r="O58" i="11"/>
  <c r="P58" i="11"/>
  <c r="M57" i="13"/>
  <c r="Y66" i="11"/>
  <c r="Z66" i="11"/>
  <c r="M58" i="14"/>
  <c r="T68" i="11"/>
  <c r="U68" i="11"/>
  <c r="K59" i="11" l="1"/>
  <c r="F58" i="11"/>
  <c r="G59" i="11" s="1"/>
  <c r="J59" i="11"/>
  <c r="N56" i="13"/>
  <c r="J55" i="13" a="1"/>
  <c r="J55" i="13" s="1"/>
  <c r="U69" i="11"/>
  <c r="T69" i="11"/>
  <c r="Z67" i="11"/>
  <c r="Y67" i="11"/>
  <c r="P59" i="11"/>
  <c r="O59" i="11"/>
  <c r="M59" i="14"/>
  <c r="M58" i="13"/>
  <c r="J54" i="14" a="1"/>
  <c r="J54" i="14" s="1"/>
  <c r="N55" i="14"/>
  <c r="U70" i="11" l="1"/>
  <c r="T70" i="11"/>
  <c r="J60" i="11"/>
  <c r="K60" i="11"/>
  <c r="F59" i="11"/>
  <c r="G60" i="11" s="1"/>
  <c r="N56" i="14"/>
  <c r="J55" i="14" a="1"/>
  <c r="J55" i="14" s="1"/>
  <c r="M60" i="14"/>
  <c r="Z68" i="11"/>
  <c r="Y68" i="11"/>
  <c r="N57" i="13"/>
  <c r="J56" i="13" a="1"/>
  <c r="J56" i="13" s="1"/>
  <c r="M59" i="13"/>
  <c r="P60" i="11"/>
  <c r="O60" i="11"/>
  <c r="P61" i="11" l="1"/>
  <c r="O61" i="11"/>
  <c r="N58" i="13"/>
  <c r="J57" i="13" a="1"/>
  <c r="J57" i="13" s="1"/>
  <c r="M60" i="13"/>
  <c r="Z69" i="11"/>
  <c r="Y69" i="11"/>
  <c r="K61" i="11"/>
  <c r="F60" i="11"/>
  <c r="G61" i="11" s="1"/>
  <c r="J61" i="11"/>
  <c r="N57" i="14"/>
  <c r="J56" i="14" a="1"/>
  <c r="J56" i="14" s="1"/>
  <c r="U71" i="11"/>
  <c r="T71" i="11"/>
  <c r="M61" i="14"/>
  <c r="N58" i="14" l="1"/>
  <c r="J57" i="14" a="1"/>
  <c r="J57" i="14" s="1"/>
  <c r="Y70" i="11"/>
  <c r="Z70" i="11"/>
  <c r="T72" i="11"/>
  <c r="U72" i="11"/>
  <c r="K62" i="11"/>
  <c r="F61" i="11"/>
  <c r="G62" i="11" s="1"/>
  <c r="J62" i="11"/>
  <c r="N59" i="13"/>
  <c r="J58" i="13" a="1"/>
  <c r="J58" i="13" s="1"/>
  <c r="M62" i="14"/>
  <c r="M61" i="13"/>
  <c r="O62" i="11"/>
  <c r="P62" i="11"/>
  <c r="P63" i="11" l="1"/>
  <c r="O63" i="11"/>
  <c r="M62" i="13"/>
  <c r="Z71" i="11"/>
  <c r="Y71" i="11"/>
  <c r="N60" i="13"/>
  <c r="J59" i="13" a="1"/>
  <c r="J59" i="13" s="1"/>
  <c r="M63" i="14"/>
  <c r="K63" i="11"/>
  <c r="F62" i="11"/>
  <c r="G63" i="11" s="1"/>
  <c r="J63" i="11"/>
  <c r="U73" i="11"/>
  <c r="T73" i="11"/>
  <c r="N59" i="14"/>
  <c r="J58" i="14" a="1"/>
  <c r="J58" i="14" s="1"/>
  <c r="Z72" i="11" l="1"/>
  <c r="Y72" i="11"/>
  <c r="M63" i="13"/>
  <c r="J64" i="11"/>
  <c r="K64" i="11"/>
  <c r="F63" i="11"/>
  <c r="G64" i="11" s="1"/>
  <c r="M64" i="14"/>
  <c r="P64" i="11"/>
  <c r="O64" i="11"/>
  <c r="N60" i="14"/>
  <c r="J59" i="14" a="1"/>
  <c r="J59" i="14" s="1"/>
  <c r="U74" i="11"/>
  <c r="T74" i="11"/>
  <c r="N61" i="13"/>
  <c r="J60" i="13" a="1"/>
  <c r="J60" i="13" s="1"/>
  <c r="M64" i="13" l="1"/>
  <c r="Z73" i="11"/>
  <c r="Y73" i="11"/>
  <c r="N61" i="14"/>
  <c r="J60" i="14" a="1"/>
  <c r="J60" i="14" s="1"/>
  <c r="N62" i="13"/>
  <c r="J61" i="13" a="1"/>
  <c r="J61" i="13" s="1"/>
  <c r="U75" i="11"/>
  <c r="T75" i="11"/>
  <c r="P65" i="11"/>
  <c r="O65" i="11"/>
  <c r="M65" i="14"/>
  <c r="K65" i="11"/>
  <c r="F64" i="11"/>
  <c r="G65" i="11" s="1"/>
  <c r="J65" i="11"/>
  <c r="K66" i="11" l="1"/>
  <c r="F65" i="11"/>
  <c r="G66" i="11" s="1"/>
  <c r="J66" i="11"/>
  <c r="N62" i="14"/>
  <c r="J61" i="14" a="1"/>
  <c r="J61" i="14" s="1"/>
  <c r="O66" i="11"/>
  <c r="P66" i="11"/>
  <c r="Y74" i="11"/>
  <c r="Z74" i="11"/>
  <c r="M66" i="14"/>
  <c r="T76" i="11"/>
  <c r="U76" i="11"/>
  <c r="M65" i="13"/>
  <c r="N63" i="13"/>
  <c r="J62" i="13" a="1"/>
  <c r="J62" i="13" s="1"/>
  <c r="N64" i="13" l="1"/>
  <c r="J63" i="13" a="1"/>
  <c r="J63" i="13" s="1"/>
  <c r="U77" i="11"/>
  <c r="T77" i="11"/>
  <c r="Z75" i="11"/>
  <c r="Y75" i="11"/>
  <c r="M66" i="13"/>
  <c r="M67" i="14"/>
  <c r="K67" i="11"/>
  <c r="F66" i="11"/>
  <c r="G67" i="11" s="1"/>
  <c r="J67" i="11"/>
  <c r="P67" i="11"/>
  <c r="O67" i="11"/>
  <c r="N63" i="14"/>
  <c r="J62" i="14" a="1"/>
  <c r="J62" i="14" s="1"/>
  <c r="U78" i="11" l="1"/>
  <c r="T78" i="11"/>
  <c r="M67" i="13"/>
  <c r="N64" i="14"/>
  <c r="J63" i="14" a="1"/>
  <c r="J63" i="14" s="1"/>
  <c r="M68" i="14"/>
  <c r="Z76" i="11"/>
  <c r="Y76" i="11"/>
  <c r="P68" i="11"/>
  <c r="O68" i="11"/>
  <c r="J68" i="11"/>
  <c r="K68" i="11"/>
  <c r="F67" i="11"/>
  <c r="G68" i="11" s="1"/>
  <c r="N65" i="13"/>
  <c r="J64" i="13" a="1"/>
  <c r="J64" i="13" s="1"/>
  <c r="U79" i="11" l="1"/>
  <c r="T79" i="11"/>
  <c r="Z77" i="11"/>
  <c r="Y77" i="11"/>
  <c r="K69" i="11"/>
  <c r="F68" i="11"/>
  <c r="G69" i="11" s="1"/>
  <c r="J69" i="11"/>
  <c r="N65" i="14"/>
  <c r="J64" i="14" a="1"/>
  <c r="J64" i="14" s="1"/>
  <c r="N66" i="13"/>
  <c r="J65" i="13" a="1"/>
  <c r="J65" i="13" s="1"/>
  <c r="P69" i="11"/>
  <c r="O69" i="11"/>
  <c r="M69" i="14"/>
  <c r="M68" i="13"/>
  <c r="N66" i="14" l="1"/>
  <c r="J65" i="14" a="1"/>
  <c r="J65" i="14" s="1"/>
  <c r="Y78" i="11"/>
  <c r="Z78" i="11"/>
  <c r="T80" i="11"/>
  <c r="U80" i="11"/>
  <c r="M69" i="13"/>
  <c r="O70" i="11"/>
  <c r="P70" i="11"/>
  <c r="M70" i="14"/>
  <c r="N67" i="13"/>
  <c r="J66" i="13" a="1"/>
  <c r="J66" i="13" s="1"/>
  <c r="K70" i="11"/>
  <c r="F69" i="11"/>
  <c r="G70" i="11" s="1"/>
  <c r="J70" i="11"/>
  <c r="N68" i="13" l="1"/>
  <c r="J67" i="13" a="1"/>
  <c r="J67" i="13" s="1"/>
  <c r="P71" i="11"/>
  <c r="O71" i="11"/>
  <c r="U81" i="11"/>
  <c r="T81" i="11"/>
  <c r="Q82" i="11" s="1"/>
  <c r="N67" i="14"/>
  <c r="J66" i="14" a="1"/>
  <c r="J66" i="14" s="1"/>
  <c r="M70" i="13"/>
  <c r="K71" i="11"/>
  <c r="F70" i="11"/>
  <c r="G71" i="11" s="1"/>
  <c r="J71" i="11"/>
  <c r="M71" i="14"/>
  <c r="Z79" i="11"/>
  <c r="Y79" i="11"/>
  <c r="M71" i="13" l="1"/>
  <c r="T4" i="11"/>
  <c r="I3" i="12" s="1"/>
  <c r="I8" i="12" s="1"/>
  <c r="I6" i="12"/>
  <c r="B24" i="2"/>
  <c r="M72" i="14"/>
  <c r="Z80" i="11"/>
  <c r="Y80" i="11"/>
  <c r="J72" i="11"/>
  <c r="K72" i="11"/>
  <c r="F71" i="11"/>
  <c r="G72" i="11" s="1"/>
  <c r="N69" i="13"/>
  <c r="J68" i="13" a="1"/>
  <c r="J68" i="13" s="1"/>
  <c r="N68" i="14"/>
  <c r="J67" i="14" a="1"/>
  <c r="J67" i="14" s="1"/>
  <c r="P72" i="11"/>
  <c r="O72" i="11"/>
  <c r="N69" i="14" l="1"/>
  <c r="J68" i="14" a="1"/>
  <c r="J68" i="14" s="1"/>
  <c r="M73" i="14"/>
  <c r="K73" i="11"/>
  <c r="F72" i="11"/>
  <c r="G73" i="11" s="1"/>
  <c r="J73" i="11"/>
  <c r="M72" i="13"/>
  <c r="P73" i="11"/>
  <c r="O73" i="11"/>
  <c r="N70" i="13"/>
  <c r="J69" i="13" a="1"/>
  <c r="J69" i="13" s="1"/>
  <c r="Z81" i="11"/>
  <c r="Y81" i="11"/>
  <c r="V82" i="11" s="1"/>
  <c r="N70" i="14" l="1"/>
  <c r="J69" i="14" a="1"/>
  <c r="J69" i="14" s="1"/>
  <c r="K74" i="11"/>
  <c r="F73" i="11"/>
  <c r="G74" i="11" s="1"/>
  <c r="J74" i="11"/>
  <c r="M74" i="14"/>
  <c r="K6" i="12"/>
  <c r="B25" i="2"/>
  <c r="Y4" i="11"/>
  <c r="K3" i="12" s="1"/>
  <c r="K8" i="12" s="1"/>
  <c r="B1" i="14" s="1"/>
  <c r="M73" i="13"/>
  <c r="O74" i="11"/>
  <c r="P74" i="11"/>
  <c r="N71" i="13"/>
  <c r="J70" i="13" a="1"/>
  <c r="J70" i="13" s="1"/>
  <c r="I8" i="14" l="1"/>
  <c r="B8" i="14"/>
  <c r="P75" i="11"/>
  <c r="O75" i="11"/>
  <c r="O20" i="2"/>
  <c r="O27" i="2"/>
  <c r="O23" i="2"/>
  <c r="K75" i="11"/>
  <c r="F74" i="11"/>
  <c r="G75" i="11" s="1"/>
  <c r="J75" i="11"/>
  <c r="N71" i="14"/>
  <c r="J70" i="14" a="1"/>
  <c r="J70" i="14" s="1"/>
  <c r="M74" i="13"/>
  <c r="N72" i="13"/>
  <c r="J71" i="13" a="1"/>
  <c r="J71" i="13" s="1"/>
  <c r="M75" i="14"/>
  <c r="M76" i="14" l="1"/>
  <c r="M75" i="13"/>
  <c r="N72" i="14"/>
  <c r="J71" i="14" a="1"/>
  <c r="J71" i="14" s="1"/>
  <c r="N73" i="13"/>
  <c r="J72" i="13" a="1"/>
  <c r="J72" i="13" s="1"/>
  <c r="J76" i="11"/>
  <c r="K76" i="11"/>
  <c r="F75" i="11"/>
  <c r="G76" i="11" s="1"/>
  <c r="K8" i="14"/>
  <c r="L8" i="14" s="1"/>
  <c r="P76" i="11"/>
  <c r="O76" i="11"/>
  <c r="I9" i="14" l="1"/>
  <c r="R11" i="10" a="1"/>
  <c r="R11" i="10" s="1"/>
  <c r="N74" i="13"/>
  <c r="J73" i="13" a="1"/>
  <c r="J73" i="13" s="1"/>
  <c r="M76" i="13"/>
  <c r="P77" i="11"/>
  <c r="O77" i="11"/>
  <c r="K77" i="11"/>
  <c r="F76" i="11"/>
  <c r="G77" i="11" s="1"/>
  <c r="J77" i="11"/>
  <c r="M77" i="14"/>
  <c r="N73" i="14"/>
  <c r="J72" i="14" a="1"/>
  <c r="J72" i="14" s="1"/>
  <c r="M78" i="14" l="1"/>
  <c r="M77" i="13"/>
  <c r="K78" i="11"/>
  <c r="F77" i="11"/>
  <c r="G78" i="11" s="1"/>
  <c r="J78" i="11"/>
  <c r="O78" i="11"/>
  <c r="P78" i="11"/>
  <c r="N74" i="14"/>
  <c r="J73" i="14" a="1"/>
  <c r="J73" i="14" s="1"/>
  <c r="A98" i="11"/>
  <c r="N75" i="13"/>
  <c r="J74" i="13" a="1"/>
  <c r="J74" i="13" s="1"/>
  <c r="K9" i="14"/>
  <c r="L9" i="14" s="1"/>
  <c r="I10" i="14" l="1"/>
  <c r="R12" i="10" a="1"/>
  <c r="R12" i="10" s="1"/>
  <c r="P79" i="11"/>
  <c r="O79" i="11"/>
  <c r="M78" i="13"/>
  <c r="K79" i="11"/>
  <c r="F78" i="11"/>
  <c r="G79" i="11" s="1"/>
  <c r="J79" i="11"/>
  <c r="N75" i="14"/>
  <c r="J74" i="14" a="1"/>
  <c r="J74" i="14" s="1"/>
  <c r="A100" i="11"/>
  <c r="M79" i="14"/>
  <c r="N76" i="13"/>
  <c r="J75" i="13" a="1"/>
  <c r="J75" i="13" s="1"/>
  <c r="M80" i="14" l="1"/>
  <c r="J80" i="11"/>
  <c r="K80" i="11"/>
  <c r="F79" i="11"/>
  <c r="G80" i="11" s="1"/>
  <c r="N76" i="14"/>
  <c r="J75" i="14" a="1"/>
  <c r="J75" i="14" s="1"/>
  <c r="M79" i="13"/>
  <c r="A102" i="11"/>
  <c r="P80" i="11"/>
  <c r="O80" i="11"/>
  <c r="N77" i="13"/>
  <c r="J76" i="13" a="1"/>
  <c r="J76" i="13" s="1"/>
  <c r="K10" i="14"/>
  <c r="K81" i="11" l="1"/>
  <c r="F80" i="11"/>
  <c r="G81" i="11" s="1"/>
  <c r="J81" i="11"/>
  <c r="N78" i="13"/>
  <c r="J77" i="13" a="1"/>
  <c r="J77" i="13" s="1"/>
  <c r="N77" i="14"/>
  <c r="J76" i="14" a="1"/>
  <c r="J76" i="14" s="1"/>
  <c r="M81" i="14"/>
  <c r="L10" i="14"/>
  <c r="P81" i="11"/>
  <c r="O81" i="11"/>
  <c r="L82" i="11" s="1"/>
  <c r="M80" i="13"/>
  <c r="A80" i="11"/>
  <c r="A96" i="11"/>
  <c r="A74" i="11"/>
  <c r="N79" i="13" l="1"/>
  <c r="J78" i="13" a="1"/>
  <c r="J78" i="13" s="1"/>
  <c r="M81" i="13"/>
  <c r="I11" i="14"/>
  <c r="R13" i="10" a="1"/>
  <c r="R13" i="10" s="1"/>
  <c r="H82" i="11"/>
  <c r="F81" i="11"/>
  <c r="D82" i="11" s="1"/>
  <c r="D4" i="11" s="1"/>
  <c r="F2" i="11" s="1"/>
  <c r="G2" i="11" s="1"/>
  <c r="N78" i="14"/>
  <c r="J77" i="14" a="1"/>
  <c r="J77" i="14" s="1"/>
  <c r="A81" i="11"/>
  <c r="A8" i="11"/>
  <c r="A9" i="11"/>
  <c r="A11" i="11"/>
  <c r="A88" i="11"/>
  <c r="A92" i="11"/>
  <c r="A7" i="11"/>
  <c r="A10" i="11"/>
  <c r="A16" i="11"/>
  <c r="A13" i="11"/>
  <c r="A12" i="11"/>
  <c r="A14" i="11"/>
  <c r="A15" i="11"/>
  <c r="A18" i="11"/>
  <c r="A17" i="11"/>
  <c r="A19" i="11"/>
  <c r="A20" i="11"/>
  <c r="A21" i="11"/>
  <c r="A22" i="11"/>
  <c r="A23" i="11"/>
  <c r="A24" i="11"/>
  <c r="A27" i="11"/>
  <c r="A26" i="11"/>
  <c r="A28" i="11"/>
  <c r="A25" i="11"/>
  <c r="A29" i="11"/>
  <c r="A31" i="11"/>
  <c r="A30" i="11"/>
  <c r="A32" i="11"/>
  <c r="A36" i="11"/>
  <c r="A34" i="11"/>
  <c r="A33" i="11"/>
  <c r="A37" i="11"/>
  <c r="A38" i="11"/>
  <c r="A35" i="11"/>
  <c r="A40" i="11"/>
  <c r="A41" i="11"/>
  <c r="A39" i="11"/>
  <c r="A42" i="11"/>
  <c r="A43" i="11"/>
  <c r="A44" i="11"/>
  <c r="A45" i="11"/>
  <c r="A46" i="11"/>
  <c r="A47" i="11"/>
  <c r="A48" i="11"/>
  <c r="A50" i="11"/>
  <c r="A51" i="11"/>
  <c r="A52" i="11"/>
  <c r="A49" i="11"/>
  <c r="A54" i="11"/>
  <c r="A53" i="11"/>
  <c r="A55" i="11"/>
  <c r="A56" i="11"/>
  <c r="A58" i="11"/>
  <c r="A57" i="11"/>
  <c r="A59" i="11"/>
  <c r="A60" i="11"/>
  <c r="A61" i="11"/>
  <c r="A62" i="11"/>
  <c r="A64" i="11"/>
  <c r="A63" i="11"/>
  <c r="A67" i="11"/>
  <c r="A66" i="11"/>
  <c r="A65" i="11"/>
  <c r="A68" i="11"/>
  <c r="A69" i="11"/>
  <c r="A70" i="11"/>
  <c r="A73" i="11"/>
  <c r="A71" i="11"/>
  <c r="A75" i="11"/>
  <c r="A76" i="11"/>
  <c r="A79" i="11"/>
  <c r="A78" i="11"/>
  <c r="A77" i="11"/>
  <c r="A72" i="11"/>
  <c r="G6" i="12"/>
  <c r="B23" i="2"/>
  <c r="O4" i="11"/>
  <c r="G3" i="12" s="1"/>
  <c r="G8" i="12" s="1"/>
  <c r="M82" i="14"/>
  <c r="M83" i="14" l="1"/>
  <c r="M82" i="13"/>
  <c r="B6" i="11"/>
  <c r="N79" i="14"/>
  <c r="J78" i="14" a="1"/>
  <c r="J78" i="14" s="1"/>
  <c r="E6" i="12"/>
  <c r="C6" i="12" s="1"/>
  <c r="J4" i="11"/>
  <c r="E3" i="12" s="1"/>
  <c r="E8" i="12" s="1"/>
  <c r="E2" i="11"/>
  <c r="B22" i="2"/>
  <c r="K11" i="14"/>
  <c r="L11" i="14" s="1"/>
  <c r="N80" i="13"/>
  <c r="J79" i="13" a="1"/>
  <c r="J79" i="13" s="1"/>
  <c r="I12" i="14" l="1"/>
  <c r="R14" i="10" a="1"/>
  <c r="R14" i="10" s="1"/>
  <c r="M83" i="13"/>
  <c r="O26" i="2"/>
  <c r="B26" i="2"/>
  <c r="O22" i="2"/>
  <c r="O19" i="2"/>
  <c r="N81" i="13"/>
  <c r="J80" i="13" a="1"/>
  <c r="J80" i="13" s="1"/>
  <c r="N80" i="14"/>
  <c r="J79" i="14" a="1"/>
  <c r="J79" i="14" s="1"/>
  <c r="M84" i="14"/>
  <c r="B1" i="13"/>
  <c r="C8" i="12"/>
  <c r="F29" i="2" l="1"/>
  <c r="O18" i="2"/>
  <c r="F1" i="2"/>
  <c r="F3" i="2" s="1"/>
  <c r="O35" i="2"/>
  <c r="M84" i="13"/>
  <c r="M85" i="14"/>
  <c r="N82" i="13"/>
  <c r="J81" i="13" a="1"/>
  <c r="J81" i="13" s="1"/>
  <c r="O37" i="2"/>
  <c r="P26" i="2"/>
  <c r="I8" i="13"/>
  <c r="B8" i="13"/>
  <c r="N81" i="14"/>
  <c r="J80" i="14" a="1"/>
  <c r="J80" i="14" s="1"/>
  <c r="P22" i="2"/>
  <c r="O36" i="2"/>
  <c r="P36" i="2" s="1"/>
  <c r="K12" i="14"/>
  <c r="L12" i="14" s="1"/>
  <c r="P37" i="2" l="1"/>
  <c r="M85" i="13"/>
  <c r="N83" i="13"/>
  <c r="J82" i="13" a="1"/>
  <c r="J82" i="13" s="1"/>
  <c r="P32" i="2"/>
  <c r="P29" i="2"/>
  <c r="P25" i="2"/>
  <c r="P31" i="2"/>
  <c r="P28" i="2"/>
  <c r="P24" i="2"/>
  <c r="P21" i="2"/>
  <c r="P30" i="2"/>
  <c r="P39" i="2"/>
  <c r="P38" i="2"/>
  <c r="P27" i="2"/>
  <c r="P20" i="2"/>
  <c r="P23" i="2"/>
  <c r="E20" i="2"/>
  <c r="L16" i="2"/>
  <c r="L17" i="2"/>
  <c r="C38" i="2"/>
  <c r="L5" i="2"/>
  <c r="C31" i="2"/>
  <c r="C19" i="2"/>
  <c r="L15" i="2"/>
  <c r="L6" i="2"/>
  <c r="L8" i="2"/>
  <c r="C7" i="2"/>
  <c r="L12" i="2"/>
  <c r="K8" i="13"/>
  <c r="L8" i="13" s="1"/>
  <c r="M86" i="14"/>
  <c r="P19" i="2"/>
  <c r="G29" i="2"/>
  <c r="G30" i="2"/>
  <c r="G31" i="2"/>
  <c r="G28" i="2"/>
  <c r="G26" i="2"/>
  <c r="G25" i="2"/>
  <c r="G27" i="2"/>
  <c r="I13" i="14"/>
  <c r="R15" i="10" a="1"/>
  <c r="R15" i="10" s="1"/>
  <c r="N82" i="14"/>
  <c r="J81" i="14" a="1"/>
  <c r="J81" i="14" s="1"/>
  <c r="O40" i="2"/>
  <c r="P35" i="2"/>
  <c r="P40" i="2" s="1"/>
  <c r="C26" i="2"/>
  <c r="I9" i="13" l="1"/>
  <c r="Q11" i="10" a="1"/>
  <c r="Q11" i="10" s="1"/>
  <c r="S11" i="10" s="1"/>
  <c r="N83" i="14"/>
  <c r="J82" i="14" a="1"/>
  <c r="J82" i="14" s="1"/>
  <c r="K23" i="2"/>
  <c r="K21" i="2"/>
  <c r="G20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2" i="2"/>
  <c r="K24" i="2"/>
  <c r="M86" i="13"/>
  <c r="K13" i="14"/>
  <c r="L13" i="14" s="1"/>
  <c r="M87" i="14"/>
  <c r="N84" i="13"/>
  <c r="J83" i="13" a="1"/>
  <c r="J83" i="13" s="1"/>
  <c r="M88" i="14" l="1"/>
  <c r="I14" i="14"/>
  <c r="R16" i="10" a="1"/>
  <c r="R16" i="10" s="1"/>
  <c r="M87" i="13"/>
  <c r="N85" i="13"/>
  <c r="J84" i="13" a="1"/>
  <c r="J84" i="13" s="1"/>
  <c r="N84" i="14"/>
  <c r="J83" i="14" a="1"/>
  <c r="J83" i="14" s="1"/>
  <c r="K9" i="13"/>
  <c r="N86" i="13" l="1"/>
  <c r="J85" i="13" a="1"/>
  <c r="J85" i="13" s="1"/>
  <c r="K14" i="14"/>
  <c r="L14" i="14" s="1"/>
  <c r="I15" i="14" s="1"/>
  <c r="M88" i="13"/>
  <c r="M89" i="14"/>
  <c r="L9" i="13"/>
  <c r="N85" i="14"/>
  <c r="J84" i="14" a="1"/>
  <c r="J84" i="14" s="1"/>
  <c r="K15" i="14" l="1"/>
  <c r="L15" i="14" s="1"/>
  <c r="I16" i="14" s="1"/>
  <c r="M90" i="14"/>
  <c r="N86" i="14"/>
  <c r="J85" i="14" a="1"/>
  <c r="J85" i="14" s="1"/>
  <c r="M89" i="13"/>
  <c r="I10" i="13"/>
  <c r="Q12" i="10" a="1"/>
  <c r="Q12" i="10" s="1"/>
  <c r="S12" i="10" s="1"/>
  <c r="N87" i="13"/>
  <c r="J86" i="13" a="1"/>
  <c r="J86" i="13" s="1"/>
  <c r="K16" i="14" l="1"/>
  <c r="L16" i="14" s="1"/>
  <c r="I17" i="14" s="1"/>
  <c r="M90" i="13"/>
  <c r="M91" i="14"/>
  <c r="N88" i="13"/>
  <c r="J87" i="13" a="1"/>
  <c r="J87" i="13" s="1"/>
  <c r="K10" i="13"/>
  <c r="N87" i="14"/>
  <c r="J86" i="14" a="1"/>
  <c r="J86" i="14" s="1"/>
  <c r="K17" i="14" l="1"/>
  <c r="L17" i="14" s="1"/>
  <c r="I18" i="14" s="1"/>
  <c r="M91" i="13"/>
  <c r="N89" i="13"/>
  <c r="J88" i="13" a="1"/>
  <c r="J88" i="13" s="1"/>
  <c r="N88" i="14"/>
  <c r="J87" i="14" a="1"/>
  <c r="J87" i="14" s="1"/>
  <c r="M92" i="14"/>
  <c r="L10" i="13"/>
  <c r="K18" i="14" l="1"/>
  <c r="L18" i="14" s="1"/>
  <c r="I19" i="14" s="1"/>
  <c r="M92" i="13"/>
  <c r="I11" i="13"/>
  <c r="Q13" i="10" a="1"/>
  <c r="Q13" i="10" s="1"/>
  <c r="S13" i="10" s="1"/>
  <c r="M93" i="14"/>
  <c r="N89" i="14"/>
  <c r="J88" i="14" a="1"/>
  <c r="J88" i="14" s="1"/>
  <c r="N90" i="13"/>
  <c r="J89" i="13" a="1"/>
  <c r="J89" i="13" s="1"/>
  <c r="K19" i="14" l="1"/>
  <c r="L19" i="14" s="1"/>
  <c r="I20" i="14" s="1"/>
  <c r="M93" i="13"/>
  <c r="N90" i="14"/>
  <c r="J89" i="14" a="1"/>
  <c r="J89" i="14" s="1"/>
  <c r="M94" i="14"/>
  <c r="N91" i="13"/>
  <c r="J90" i="13" a="1"/>
  <c r="J90" i="13" s="1"/>
  <c r="K11" i="13"/>
  <c r="L11" i="13" s="1"/>
  <c r="I12" i="13" l="1"/>
  <c r="Q14" i="10" a="1"/>
  <c r="Q14" i="10" s="1"/>
  <c r="S14" i="10" s="1"/>
  <c r="K20" i="14"/>
  <c r="M95" i="14"/>
  <c r="M94" i="13"/>
  <c r="N92" i="13"/>
  <c r="J91" i="13" a="1"/>
  <c r="J91" i="13" s="1"/>
  <c r="N91" i="14"/>
  <c r="J90" i="14" a="1"/>
  <c r="J90" i="14" s="1"/>
  <c r="M96" i="14" l="1"/>
  <c r="N93" i="13"/>
  <c r="J92" i="13" a="1"/>
  <c r="J92" i="13" s="1"/>
  <c r="M95" i="13"/>
  <c r="N92" i="14"/>
  <c r="J91" i="14" a="1"/>
  <c r="J91" i="14" s="1"/>
  <c r="L20" i="14"/>
  <c r="I21" i="14" s="1"/>
  <c r="K12" i="13"/>
  <c r="L12" i="13" s="1"/>
  <c r="I13" i="13" l="1"/>
  <c r="Q15" i="10" a="1"/>
  <c r="Q15" i="10" s="1"/>
  <c r="S15" i="10" s="1"/>
  <c r="N94" i="13"/>
  <c r="J93" i="13" a="1"/>
  <c r="J93" i="13" s="1"/>
  <c r="N93" i="14"/>
  <c r="J92" i="14" a="1"/>
  <c r="J92" i="14" s="1"/>
  <c r="M96" i="13"/>
  <c r="K21" i="14"/>
  <c r="M97" i="14"/>
  <c r="N95" i="13" l="1"/>
  <c r="J94" i="13" a="1"/>
  <c r="J94" i="13" s="1"/>
  <c r="L21" i="14"/>
  <c r="I22" i="14" s="1"/>
  <c r="N94" i="14"/>
  <c r="J93" i="14" a="1"/>
  <c r="J93" i="14" s="1"/>
  <c r="M98" i="14"/>
  <c r="M97" i="13"/>
  <c r="K13" i="13"/>
  <c r="L13" i="13" s="1"/>
  <c r="I14" i="13" s="1"/>
  <c r="K14" i="13" l="1"/>
  <c r="L14" i="13" s="1"/>
  <c r="M98" i="13"/>
  <c r="N95" i="14"/>
  <c r="J94" i="14" a="1"/>
  <c r="J94" i="14" s="1"/>
  <c r="N96" i="13"/>
  <c r="J95" i="13" a="1"/>
  <c r="J95" i="13" s="1"/>
  <c r="M99" i="14"/>
  <c r="K22" i="14"/>
  <c r="I15" i="13" l="1"/>
  <c r="Q17" i="10" a="1"/>
  <c r="Q17" i="10" s="1"/>
  <c r="M100" i="14"/>
  <c r="N96" i="14"/>
  <c r="J95" i="14" a="1"/>
  <c r="J95" i="14" s="1"/>
  <c r="M99" i="13"/>
  <c r="L22" i="14"/>
  <c r="I23" i="14" s="1"/>
  <c r="N97" i="13"/>
  <c r="J96" i="13" a="1"/>
  <c r="J96" i="13" s="1"/>
  <c r="M100" i="13" l="1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/>
  <c r="L15" i="13" s="1"/>
  <c r="I16" i="13" s="1"/>
  <c r="K24" i="14" l="1"/>
  <c r="L24" i="14" s="1"/>
  <c r="I25" i="14" s="1"/>
  <c r="N98" i="14"/>
  <c r="J97" i="14" a="1"/>
  <c r="J97" i="14" s="1"/>
  <c r="M101" i="13"/>
  <c r="K16" i="13"/>
  <c r="L16" i="13" s="1"/>
  <c r="I17" i="13" s="1"/>
  <c r="M102" i="14"/>
  <c r="N99" i="13"/>
  <c r="J98" i="13" a="1"/>
  <c r="J98" i="13" s="1"/>
  <c r="K17" i="13" l="1"/>
  <c r="L17" i="13" s="1"/>
  <c r="I18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26" i="14" l="1"/>
  <c r="L26" i="14" s="1"/>
  <c r="I27" i="14" s="1"/>
  <c r="K18" i="13"/>
  <c r="L18" i="13" s="1"/>
  <c r="I19" i="13" s="1"/>
  <c r="M103" i="13"/>
  <c r="N100" i="14"/>
  <c r="J99" i="14" a="1"/>
  <c r="J99" i="14" s="1"/>
  <c r="M104" i="14"/>
  <c r="N101" i="13"/>
  <c r="J100" i="13" a="1"/>
  <c r="J100" i="13" s="1"/>
  <c r="K19" i="13" l="1"/>
  <c r="L19" i="13" s="1"/>
  <c r="I20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28" i="14" l="1"/>
  <c r="L28" i="14" s="1"/>
  <c r="I29" i="14" s="1"/>
  <c r="K20" i="13"/>
  <c r="M105" i="13"/>
  <c r="M106" i="14"/>
  <c r="N103" i="13"/>
  <c r="J102" i="13" a="1"/>
  <c r="J102" i="13" s="1"/>
  <c r="N102" i="14"/>
  <c r="J101" i="14" a="1"/>
  <c r="J101" i="14" s="1"/>
  <c r="K29" i="14" l="1"/>
  <c r="L29" i="14" s="1"/>
  <c r="I30" i="14" s="1"/>
  <c r="N103" i="14"/>
  <c r="J102" i="14" a="1"/>
  <c r="J102" i="14" s="1"/>
  <c r="L20" i="13"/>
  <c r="I21" i="13" s="1"/>
  <c r="M106" i="13"/>
  <c r="M107" i="14"/>
  <c r="N104" i="13"/>
  <c r="J103" i="13" a="1"/>
  <c r="J103" i="13" s="1"/>
  <c r="K30" i="14" l="1"/>
  <c r="L30" i="14" s="1"/>
  <c r="I31" i="14" s="1"/>
  <c r="M107" i="13"/>
  <c r="N104" i="14"/>
  <c r="J103" i="14" a="1"/>
  <c r="J103" i="14" s="1"/>
  <c r="M108" i="14"/>
  <c r="K21" i="13"/>
  <c r="N105" i="13"/>
  <c r="J104" i="13" a="1"/>
  <c r="J104" i="13" s="1"/>
  <c r="K31" i="14" l="1"/>
  <c r="L31" i="14" s="1"/>
  <c r="I32" i="14" s="1"/>
  <c r="M109" i="14"/>
  <c r="M108" i="13"/>
  <c r="N106" i="13"/>
  <c r="J105" i="13" a="1"/>
  <c r="J105" i="13" s="1"/>
  <c r="L21" i="13"/>
  <c r="I22" i="13" s="1"/>
  <c r="N105" i="14"/>
  <c r="J104" i="14" a="1"/>
  <c r="J104" i="14" s="1"/>
  <c r="K32" i="14" l="1"/>
  <c r="N107" i="13"/>
  <c r="J106" i="13" a="1"/>
  <c r="J106" i="13" s="1"/>
  <c r="K22" i="13"/>
  <c r="M109" i="13"/>
  <c r="N106" i="14"/>
  <c r="J105" i="14" a="1"/>
  <c r="J105" i="14" s="1"/>
  <c r="M110" i="14"/>
  <c r="N108" i="13" l="1"/>
  <c r="J107" i="13" a="1"/>
  <c r="J107" i="13" s="1"/>
  <c r="M110" i="13"/>
  <c r="M111" i="14"/>
  <c r="N107" i="14"/>
  <c r="J106" i="14" a="1"/>
  <c r="J106" i="14" s="1"/>
  <c r="L22" i="13"/>
  <c r="I23" i="13" s="1"/>
  <c r="L32" i="14"/>
  <c r="I33" i="14" s="1"/>
  <c r="N108" i="14" l="1"/>
  <c r="J107" i="14" a="1"/>
  <c r="J107" i="14" s="1"/>
  <c r="M111" i="13"/>
  <c r="N109" i="13"/>
  <c r="J108" i="13" a="1"/>
  <c r="J108" i="13" s="1"/>
  <c r="K33" i="14"/>
  <c r="M112" i="14"/>
  <c r="K23" i="13"/>
  <c r="L23" i="13" s="1"/>
  <c r="I24" i="13" s="1"/>
  <c r="K24" i="13" l="1"/>
  <c r="L24" i="13" s="1"/>
  <c r="I25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5" i="13" l="1"/>
  <c r="L25" i="13" s="1"/>
  <c r="I26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35" i="14" l="1"/>
  <c r="L35" i="14" s="1"/>
  <c r="I36" i="14" s="1"/>
  <c r="K26" i="13"/>
  <c r="L26" i="13" s="1"/>
  <c r="I27" i="13" s="1"/>
  <c r="M114" i="13"/>
  <c r="N112" i="13"/>
  <c r="J111" i="13" a="1"/>
  <c r="J111" i="13" s="1"/>
  <c r="M115" i="14"/>
  <c r="N111" i="14"/>
  <c r="J110" i="14" a="1"/>
  <c r="J110" i="14" s="1"/>
  <c r="K27" i="13" l="1"/>
  <c r="L27" i="13" s="1"/>
  <c r="I28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37" i="14" l="1"/>
  <c r="L37" i="14" s="1"/>
  <c r="I38" i="14" s="1"/>
  <c r="K28" i="13"/>
  <c r="L28" i="13" s="1"/>
  <c r="I29" i="13" s="1"/>
  <c r="M116" i="13"/>
  <c r="N113" i="14"/>
  <c r="J112" i="14" a="1"/>
  <c r="J112" i="14" s="1"/>
  <c r="M117" i="14"/>
  <c r="N114" i="13"/>
  <c r="J113" i="13" a="1"/>
  <c r="J113" i="13" s="1"/>
  <c r="K38" i="14" l="1"/>
  <c r="L38" i="14" s="1"/>
  <c r="I39" i="14" s="1"/>
  <c r="N114" i="14"/>
  <c r="J113" i="14" a="1"/>
  <c r="J113" i="14" s="1"/>
  <c r="M118" i="14"/>
  <c r="N115" i="13"/>
  <c r="J114" i="13" a="1"/>
  <c r="J114" i="13" s="1"/>
  <c r="K29" i="13"/>
  <c r="L29" i="13" s="1"/>
  <c r="I30" i="13" s="1"/>
  <c r="M117" i="13"/>
  <c r="K30" i="13" l="1"/>
  <c r="L30" i="13" s="1"/>
  <c r="I31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40" i="14" l="1"/>
  <c r="L40" i="14" s="1"/>
  <c r="I41" i="14" s="1"/>
  <c r="K31" i="13"/>
  <c r="L31" i="13" s="1"/>
  <c r="I32" i="13" s="1"/>
  <c r="N116" i="14"/>
  <c r="J115" i="14" a="1"/>
  <c r="J115" i="14" s="1"/>
  <c r="M119" i="13"/>
  <c r="M120" i="14"/>
  <c r="N117" i="13"/>
  <c r="J116" i="13" a="1"/>
  <c r="J116" i="13" s="1"/>
  <c r="K32" i="13" l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42" i="14" l="1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/>
  <c r="I33" i="13" s="1"/>
  <c r="K43" i="14" l="1"/>
  <c r="L43" i="14" s="1"/>
  <c r="I44" i="14" s="1"/>
  <c r="N119" i="14"/>
  <c r="J118" i="14" a="1"/>
  <c r="J118" i="14" s="1"/>
  <c r="M122" i="13"/>
  <c r="N120" i="13"/>
  <c r="J119" i="13" a="1"/>
  <c r="J119" i="13" s="1"/>
  <c r="K33" i="13"/>
  <c r="M123" i="14"/>
  <c r="K44" i="14" l="1"/>
  <c r="N120" i="14"/>
  <c r="J119" i="14" a="1"/>
  <c r="J119" i="14" s="1"/>
  <c r="N121" i="13"/>
  <c r="J120" i="13" a="1"/>
  <c r="J120" i="13" s="1"/>
  <c r="L33" i="13"/>
  <c r="I34" i="13" s="1"/>
  <c r="M123" i="13"/>
  <c r="M124" i="14"/>
  <c r="K34" i="13" l="1"/>
  <c r="M124" i="13"/>
  <c r="N121" i="14"/>
  <c r="J120" i="14" a="1"/>
  <c r="J120" i="14" s="1"/>
  <c r="N122" i="13"/>
  <c r="J121" i="13" a="1"/>
  <c r="J121" i="13" s="1"/>
  <c r="M125" i="14"/>
  <c r="L44" i="14"/>
  <c r="I45" i="14" s="1"/>
  <c r="N122" i="14" l="1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/>
  <c r="I35" i="13" s="1"/>
  <c r="K46" i="14" l="1"/>
  <c r="L46" i="14" s="1"/>
  <c r="I47" i="14" s="1"/>
  <c r="K35" i="13"/>
  <c r="L35" i="13" s="1"/>
  <c r="I36" i="13" s="1"/>
  <c r="M126" i="13"/>
  <c r="M127" i="14"/>
  <c r="N124" i="13"/>
  <c r="J123" i="13" a="1"/>
  <c r="J123" i="13" s="1"/>
  <c r="N123" i="14"/>
  <c r="J122" i="14" a="1"/>
  <c r="J122" i="14" s="1"/>
  <c r="K36" i="13" l="1"/>
  <c r="L36" i="13" s="1"/>
  <c r="I37" i="13" s="1"/>
  <c r="K47" i="14"/>
  <c r="N125" i="13"/>
  <c r="J124" i="13" a="1"/>
  <c r="J124" i="13" s="1"/>
  <c r="M127" i="13"/>
  <c r="N124" i="14"/>
  <c r="J123" i="14" a="1"/>
  <c r="J123" i="14" s="1"/>
  <c r="M128" i="14"/>
  <c r="K37" i="13" l="1"/>
  <c r="L37" i="13" s="1"/>
  <c r="I38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8" i="13" l="1"/>
  <c r="L38" i="13" s="1"/>
  <c r="I39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49" i="14" l="1"/>
  <c r="L49" i="14" s="1"/>
  <c r="I50" i="14" s="1"/>
  <c r="K39" i="13"/>
  <c r="L39" i="13" s="1"/>
  <c r="I40" i="13" s="1"/>
  <c r="M130" i="13"/>
  <c r="M131" i="14"/>
  <c r="N127" i="14"/>
  <c r="J126" i="14" a="1"/>
  <c r="J126" i="14" s="1"/>
  <c r="N128" i="13"/>
  <c r="J127" i="13" a="1"/>
  <c r="J127" i="13" s="1"/>
  <c r="K40" i="13" l="1"/>
  <c r="L40" i="13" s="1"/>
  <c r="I41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51" i="14" l="1"/>
  <c r="L51" i="14" s="1"/>
  <c r="I52" i="14" s="1"/>
  <c r="K41" i="13"/>
  <c r="L41" i="13" s="1"/>
  <c r="I42" i="13" s="1"/>
  <c r="M132" i="13"/>
  <c r="N129" i="14"/>
  <c r="J128" i="14" a="1"/>
  <c r="J128" i="14" s="1"/>
  <c r="M133" i="14"/>
  <c r="N130" i="13"/>
  <c r="J129" i="13" a="1"/>
  <c r="J129" i="13" s="1"/>
  <c r="K42" i="13" l="1"/>
  <c r="L42" i="13" s="1"/>
  <c r="I43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53" i="14" l="1"/>
  <c r="L53" i="14" s="1"/>
  <c r="I54" i="14" s="1"/>
  <c r="K43" i="13"/>
  <c r="L43" i="13" s="1"/>
  <c r="I44" i="13" s="1"/>
  <c r="M135" i="14"/>
  <c r="N132" i="13"/>
  <c r="J131" i="13" a="1"/>
  <c r="J131" i="13" s="1"/>
  <c r="M134" i="13"/>
  <c r="N131" i="14"/>
  <c r="J130" i="14" a="1"/>
  <c r="J130" i="14" s="1"/>
  <c r="K44" i="13" l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M137" i="14" l="1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/>
  <c r="I45" i="13" s="1"/>
  <c r="K56" i="14" l="1"/>
  <c r="K45" i="13"/>
  <c r="M137" i="13"/>
  <c r="N135" i="13"/>
  <c r="J134" i="13" a="1"/>
  <c r="J134" i="13" s="1"/>
  <c r="N134" i="14"/>
  <c r="J133" i="14" a="1"/>
  <c r="J133" i="14" s="1"/>
  <c r="M138" i="14"/>
  <c r="N136" i="13" l="1"/>
  <c r="J135" i="13" a="1"/>
  <c r="J135" i="13" s="1"/>
  <c r="L45" i="13"/>
  <c r="I46" i="13" s="1"/>
  <c r="M139" i="14"/>
  <c r="M138" i="13"/>
  <c r="N135" i="14"/>
  <c r="J134" i="14" a="1"/>
  <c r="J134" i="14" s="1"/>
  <c r="L56" i="14"/>
  <c r="I57" i="14" s="1"/>
  <c r="M140" i="14" l="1"/>
  <c r="M139" i="13"/>
  <c r="K57" i="14"/>
  <c r="K46" i="13"/>
  <c r="N136" i="14"/>
  <c r="J135" i="14" a="1"/>
  <c r="J135" i="14" s="1"/>
  <c r="N137" i="13"/>
  <c r="J136" i="13" a="1"/>
  <c r="J136" i="13" s="1"/>
  <c r="M140" i="13" l="1"/>
  <c r="N138" i="13"/>
  <c r="J137" i="13" a="1"/>
  <c r="J137" i="13" s="1"/>
  <c r="L46" i="13"/>
  <c r="I47" i="13" s="1"/>
  <c r="M141" i="14"/>
  <c r="N137" i="14"/>
  <c r="J136" i="14" a="1"/>
  <c r="J136" i="14" s="1"/>
  <c r="L57" i="14"/>
  <c r="I58" i="14" s="1"/>
  <c r="K58" i="14" l="1"/>
  <c r="N139" i="13"/>
  <c r="J138" i="13" a="1"/>
  <c r="J138" i="13" s="1"/>
  <c r="M141" i="13"/>
  <c r="M142" i="14"/>
  <c r="N138" i="14"/>
  <c r="J137" i="14" a="1"/>
  <c r="J137" i="14" s="1"/>
  <c r="K47" i="13"/>
  <c r="L47" i="13" s="1"/>
  <c r="I48" i="13" s="1"/>
  <c r="K48" i="13" l="1"/>
  <c r="L48" i="13" s="1"/>
  <c r="I49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9" i="13" l="1"/>
  <c r="L49" i="13" s="1"/>
  <c r="I50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60" i="14" l="1"/>
  <c r="L60" i="14" s="1"/>
  <c r="I61" i="14" s="1"/>
  <c r="K50" i="13"/>
  <c r="L50" i="13" s="1"/>
  <c r="I51" i="13" s="1"/>
  <c r="N141" i="14"/>
  <c r="J140" i="14" a="1"/>
  <c r="J140" i="14" s="1"/>
  <c r="N142" i="13"/>
  <c r="J141" i="13" a="1"/>
  <c r="J141" i="13" s="1"/>
  <c r="M144" i="13"/>
  <c r="M145" i="14"/>
  <c r="K51" i="13" l="1"/>
  <c r="L51" i="13" s="1"/>
  <c r="I52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62" i="14" l="1"/>
  <c r="L62" i="14" s="1"/>
  <c r="I63" i="14" s="1"/>
  <c r="K52" i="13"/>
  <c r="L52" i="13" s="1"/>
  <c r="I53" i="13" s="1"/>
  <c r="M146" i="13"/>
  <c r="N143" i="14"/>
  <c r="J142" i="14" a="1"/>
  <c r="J142" i="14" s="1"/>
  <c r="M147" i="14"/>
  <c r="N144" i="13"/>
  <c r="J143" i="13" a="1"/>
  <c r="J143" i="13" s="1"/>
  <c r="K53" i="13" l="1"/>
  <c r="L53" i="13" s="1"/>
  <c r="I54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64" i="14" l="1"/>
  <c r="L64" i="14" s="1"/>
  <c r="I65" i="14" s="1"/>
  <c r="K54" i="13"/>
  <c r="L54" i="13" s="1"/>
  <c r="I55" i="13" s="1"/>
  <c r="M149" i="14"/>
  <c r="M148" i="13"/>
  <c r="N146" i="13"/>
  <c r="J145" i="13" a="1"/>
  <c r="J145" i="13" s="1"/>
  <c r="N145" i="14"/>
  <c r="J144" i="14" a="1"/>
  <c r="J144" i="14" s="1"/>
  <c r="K65" i="14" l="1"/>
  <c r="L65" i="14" s="1"/>
  <c r="I66" i="14" s="1"/>
  <c r="M149" i="13"/>
  <c r="K55" i="13"/>
  <c r="L55" i="13" s="1"/>
  <c r="I56" i="13" s="1"/>
  <c r="M150" i="14"/>
  <c r="N146" i="14"/>
  <c r="J145" i="14" a="1"/>
  <c r="J145" i="14" s="1"/>
  <c r="N147" i="13"/>
  <c r="J146" i="13" a="1"/>
  <c r="J146" i="13" s="1"/>
  <c r="K56" i="13" l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67" i="14" l="1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/>
  <c r="I57" i="13" s="1"/>
  <c r="K68" i="14" l="1"/>
  <c r="K57" i="13"/>
  <c r="M152" i="13"/>
  <c r="N150" i="13"/>
  <c r="J149" i="13" a="1"/>
  <c r="J149" i="13" s="1"/>
  <c r="M153" i="14"/>
  <c r="N149" i="14"/>
  <c r="J148" i="14" a="1"/>
  <c r="J148" i="14" s="1"/>
  <c r="N150" i="14" l="1"/>
  <c r="J149" i="14" a="1"/>
  <c r="J149" i="14" s="1"/>
  <c r="N151" i="13"/>
  <c r="J150" i="13" a="1"/>
  <c r="J150" i="13" s="1"/>
  <c r="L57" i="13"/>
  <c r="I58" i="13" s="1"/>
  <c r="M154" i="14"/>
  <c r="M153" i="13"/>
  <c r="L68" i="14"/>
  <c r="I69" i="14" s="1"/>
  <c r="K69" i="14" l="1"/>
  <c r="M155" i="14"/>
  <c r="N152" i="13"/>
  <c r="J151" i="13" a="1"/>
  <c r="J151" i="13" s="1"/>
  <c r="M154" i="13"/>
  <c r="K58" i="13"/>
  <c r="N151" i="14"/>
  <c r="J150" i="14" a="1"/>
  <c r="J150" i="14" s="1"/>
  <c r="M155" i="13" l="1"/>
  <c r="M156" i="14"/>
  <c r="N152" i="14"/>
  <c r="J151" i="14" a="1"/>
  <c r="J151" i="14" s="1"/>
  <c r="L58" i="13"/>
  <c r="I59" i="13" s="1"/>
  <c r="N153" i="13"/>
  <c r="J152" i="13" a="1"/>
  <c r="J152" i="13" s="1"/>
  <c r="L69" i="14"/>
  <c r="I70" i="14" s="1"/>
  <c r="M157" i="14" l="1"/>
  <c r="M156" i="13"/>
  <c r="K70" i="14"/>
  <c r="L70" i="14" s="1"/>
  <c r="I71" i="14" s="1"/>
  <c r="N154" i="13"/>
  <c r="J153" i="13" a="1"/>
  <c r="J153" i="13" s="1"/>
  <c r="K59" i="13"/>
  <c r="L59" i="13" s="1"/>
  <c r="I60" i="13" s="1"/>
  <c r="N153" i="14"/>
  <c r="J152" i="14" a="1"/>
  <c r="J152" i="14" s="1"/>
  <c r="K71" i="14" l="1"/>
  <c r="L71" i="14" s="1"/>
  <c r="I72" i="14" s="1"/>
  <c r="K60" i="13"/>
  <c r="L60" i="13" s="1"/>
  <c r="I61" i="13" s="1"/>
  <c r="N154" i="14"/>
  <c r="J153" i="14" a="1"/>
  <c r="J153" i="14" s="1"/>
  <c r="N155" i="13"/>
  <c r="J154" i="13" a="1"/>
  <c r="J154" i="13" s="1"/>
  <c r="M157" i="13"/>
  <c r="M158" i="14"/>
  <c r="K72" i="14" l="1"/>
  <c r="L72" i="14" s="1"/>
  <c r="I73" i="14" s="1"/>
  <c r="K61" i="13"/>
  <c r="L61" i="13" s="1"/>
  <c r="I62" i="13" s="1"/>
  <c r="N156" i="13"/>
  <c r="J155" i="13" a="1"/>
  <c r="J155" i="13" s="1"/>
  <c r="M159" i="14"/>
  <c r="M158" i="13"/>
  <c r="N155" i="14"/>
  <c r="J154" i="14" a="1"/>
  <c r="J154" i="14" s="1"/>
  <c r="K62" i="13" l="1"/>
  <c r="L62" i="13" s="1"/>
  <c r="I63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74" i="14" l="1"/>
  <c r="L74" i="14" s="1"/>
  <c r="I75" i="14" s="1"/>
  <c r="K63" i="13"/>
  <c r="L63" i="13" s="1"/>
  <c r="I64" i="13" s="1"/>
  <c r="N157" i="14"/>
  <c r="J156" i="14" a="1"/>
  <c r="J156" i="14" s="1"/>
  <c r="M160" i="13"/>
  <c r="M161" i="14"/>
  <c r="N158" i="13"/>
  <c r="J157" i="13" a="1"/>
  <c r="J157" i="13" s="1"/>
  <c r="K64" i="13" l="1"/>
  <c r="L64" i="13" s="1"/>
  <c r="I65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76" i="14" l="1"/>
  <c r="L76" i="14" s="1"/>
  <c r="I77" i="14" s="1"/>
  <c r="K65" i="13"/>
  <c r="L65" i="13" s="1"/>
  <c r="I66" i="13" s="1"/>
  <c r="M162" i="13"/>
  <c r="N159" i="14"/>
  <c r="J158" i="14" a="1"/>
  <c r="J158" i="14" s="1"/>
  <c r="M163" i="14"/>
  <c r="N160" i="13"/>
  <c r="J159" i="13" a="1"/>
  <c r="J159" i="13" s="1"/>
  <c r="K66" i="13" l="1"/>
  <c r="L66" i="13" s="1"/>
  <c r="I67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78" i="14" l="1"/>
  <c r="L78" i="14" s="1"/>
  <c r="I79" i="14" s="1"/>
  <c r="K67" i="13"/>
  <c r="L67" i="13" s="1"/>
  <c r="I68" i="13" s="1"/>
  <c r="N161" i="14"/>
  <c r="J160" i="14" a="1"/>
  <c r="J160" i="14" s="1"/>
  <c r="M164" i="13"/>
  <c r="M165" i="14"/>
  <c r="N162" i="13"/>
  <c r="J161" i="13" a="1"/>
  <c r="J161" i="13" s="1"/>
  <c r="K68" i="13" l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80" i="14" l="1"/>
  <c r="M166" i="13"/>
  <c r="N163" i="14"/>
  <c r="J162" i="14" a="1"/>
  <c r="J162" i="14" s="1"/>
  <c r="M167" i="14"/>
  <c r="N164" i="13"/>
  <c r="J163" i="13" a="1"/>
  <c r="J163" i="13" s="1"/>
  <c r="L68" i="13"/>
  <c r="I69" i="13" s="1"/>
  <c r="N165" i="13" l="1"/>
  <c r="J164" i="13" a="1"/>
  <c r="J164" i="13" s="1"/>
  <c r="N164" i="14"/>
  <c r="J163" i="14" a="1"/>
  <c r="J163" i="14" s="1"/>
  <c r="M168" i="14"/>
  <c r="K69" i="13"/>
  <c r="M167" i="13"/>
  <c r="L80" i="14"/>
  <c r="I81" i="14" s="1"/>
  <c r="M168" i="13" l="1"/>
  <c r="M169" i="14"/>
  <c r="K81" i="14"/>
  <c r="L69" i="13"/>
  <c r="I70" i="13" s="1"/>
  <c r="N165" i="14"/>
  <c r="J164" i="14" a="1"/>
  <c r="J164" i="14" s="1"/>
  <c r="N166" i="13"/>
  <c r="J165" i="13" a="1"/>
  <c r="J165" i="13" s="1"/>
  <c r="N166" i="14" l="1"/>
  <c r="J165" i="14" a="1"/>
  <c r="J165" i="14" s="1"/>
  <c r="M170" i="14"/>
  <c r="N167" i="13"/>
  <c r="J166" i="13" a="1"/>
  <c r="J166" i="13" s="1"/>
  <c r="K70" i="13"/>
  <c r="L70" i="13" s="1"/>
  <c r="I71" i="13" s="1"/>
  <c r="M169" i="13"/>
  <c r="L81" i="14"/>
  <c r="I82" i="14" s="1"/>
  <c r="M171" i="14" l="1"/>
  <c r="K82" i="14"/>
  <c r="L82" i="14" s="1"/>
  <c r="I83" i="14" s="1"/>
  <c r="M170" i="13"/>
  <c r="K71" i="13"/>
  <c r="L71" i="13" s="1"/>
  <c r="I72" i="13" s="1"/>
  <c r="N168" i="13"/>
  <c r="J167" i="13" a="1"/>
  <c r="J167" i="13" s="1"/>
  <c r="N167" i="14"/>
  <c r="J166" i="14" a="1"/>
  <c r="J166" i="14" s="1"/>
  <c r="K72" i="13" l="1"/>
  <c r="L72" i="13" s="1"/>
  <c r="I73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84" i="14" l="1"/>
  <c r="L84" i="14" s="1"/>
  <c r="I85" i="14" s="1"/>
  <c r="K73" i="13"/>
  <c r="L73" i="13" s="1"/>
  <c r="I74" i="13" s="1"/>
  <c r="M172" i="13"/>
  <c r="M173" i="14"/>
  <c r="N170" i="13"/>
  <c r="J169" i="13" a="1"/>
  <c r="J169" i="13" s="1"/>
  <c r="N169" i="14"/>
  <c r="J168" i="14" a="1"/>
  <c r="J168" i="14" s="1"/>
  <c r="K74" i="13" l="1"/>
  <c r="L74" i="13" s="1"/>
  <c r="I75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86" i="14" l="1"/>
  <c r="L86" i="14" s="1"/>
  <c r="I87" i="14" s="1"/>
  <c r="K75" i="13"/>
  <c r="L75" i="13" s="1"/>
  <c r="I76" i="13" s="1"/>
  <c r="N171" i="14"/>
  <c r="J170" i="14" a="1"/>
  <c r="J170" i="14" s="1"/>
  <c r="N172" i="13"/>
  <c r="J171" i="13" a="1"/>
  <c r="J171" i="13" s="1"/>
  <c r="M174" i="13"/>
  <c r="M175" i="14"/>
  <c r="K76" i="13" l="1"/>
  <c r="L76" i="13" s="1"/>
  <c r="I77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88" i="14" l="1"/>
  <c r="L88" i="14" s="1"/>
  <c r="I89" i="14" s="1"/>
  <c r="K77" i="13"/>
  <c r="L77" i="13" s="1"/>
  <c r="I78" i="13" s="1"/>
  <c r="N173" i="14"/>
  <c r="J172" i="14" a="1"/>
  <c r="J172" i="14" s="1"/>
  <c r="M177" i="14"/>
  <c r="M176" i="13"/>
  <c r="N174" i="13"/>
  <c r="J173" i="13" a="1"/>
  <c r="J173" i="13" s="1"/>
  <c r="K78" i="13" l="1"/>
  <c r="L78" i="13" s="1"/>
  <c r="I79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90" i="14" l="1"/>
  <c r="L90" i="14" s="1"/>
  <c r="I91" i="14" s="1"/>
  <c r="K79" i="13"/>
  <c r="L79" i="13" s="1"/>
  <c r="I80" i="13" s="1"/>
  <c r="N175" i="14"/>
  <c r="J174" i="14" a="1"/>
  <c r="J174" i="14" s="1"/>
  <c r="M179" i="14"/>
  <c r="M178" i="13"/>
  <c r="N176" i="13"/>
  <c r="J175" i="13" a="1"/>
  <c r="J175" i="13" s="1"/>
  <c r="K80" i="13" l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92" i="14" l="1"/>
  <c r="N178" i="13"/>
  <c r="J177" i="13" a="1"/>
  <c r="J177" i="13" s="1"/>
  <c r="N177" i="14"/>
  <c r="J176" i="14" a="1"/>
  <c r="J176" i="14" s="1"/>
  <c r="M180" i="13"/>
  <c r="M181" i="14"/>
  <c r="L80" i="13"/>
  <c r="I81" i="13" s="1"/>
  <c r="N178" i="14" l="1"/>
  <c r="J177" i="14" a="1"/>
  <c r="J177" i="14" s="1"/>
  <c r="M181" i="13"/>
  <c r="M182" i="14"/>
  <c r="N179" i="13"/>
  <c r="J178" i="13" a="1"/>
  <c r="J178" i="13" s="1"/>
  <c r="K81" i="13"/>
  <c r="L81" i="13" s="1"/>
  <c r="I82" i="13" s="1"/>
  <c r="L92" i="14"/>
  <c r="I93" i="14" s="1"/>
  <c r="M182" i="13" l="1"/>
  <c r="N180" i="13"/>
  <c r="J179" i="13" a="1"/>
  <c r="J179" i="13" s="1"/>
  <c r="K93" i="14"/>
  <c r="K82" i="13"/>
  <c r="L82" i="13" s="1"/>
  <c r="I83" i="13" s="1"/>
  <c r="M183" i="14"/>
  <c r="N179" i="14"/>
  <c r="J178" i="14" a="1"/>
  <c r="J178" i="14" s="1"/>
  <c r="N180" i="14" l="1"/>
  <c r="J179" i="14" a="1"/>
  <c r="J179" i="14" s="1"/>
  <c r="K83" i="13"/>
  <c r="L83" i="13" s="1"/>
  <c r="I84" i="13" s="1"/>
  <c r="M184" i="14"/>
  <c r="L93" i="14"/>
  <c r="I94" i="14" s="1"/>
  <c r="M183" i="13"/>
  <c r="N181" i="13"/>
  <c r="J180" i="13" a="1"/>
  <c r="J180" i="13" s="1"/>
  <c r="K94" i="14" l="1"/>
  <c r="L94" i="14" s="1"/>
  <c r="I95" i="14" s="1"/>
  <c r="K84" i="13"/>
  <c r="L84" i="13" s="1"/>
  <c r="I85" i="13" s="1"/>
  <c r="N182" i="13"/>
  <c r="J181" i="13" a="1"/>
  <c r="J181" i="13" s="1"/>
  <c r="M184" i="13"/>
  <c r="M185" i="14"/>
  <c r="N181" i="14"/>
  <c r="J180" i="14" a="1"/>
  <c r="J180" i="14" s="1"/>
  <c r="K85" i="13" l="1"/>
  <c r="L85" i="13" s="1"/>
  <c r="I86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96" i="14" l="1"/>
  <c r="L96" i="14" s="1"/>
  <c r="I97" i="14" s="1"/>
  <c r="K86" i="13"/>
  <c r="L86" i="13" s="1"/>
  <c r="I87" i="13" s="1"/>
  <c r="N183" i="14"/>
  <c r="J182" i="14" a="1"/>
  <c r="J182" i="14" s="1"/>
  <c r="N184" i="13"/>
  <c r="J183" i="13" a="1"/>
  <c r="J183" i="13" s="1"/>
  <c r="M187" i="14"/>
  <c r="M186" i="13"/>
  <c r="K87" i="13" l="1"/>
  <c r="L87" i="13" s="1"/>
  <c r="I88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8" i="13" l="1"/>
  <c r="L88" i="13" s="1"/>
  <c r="I89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99" i="14" l="1"/>
  <c r="L99" i="14" s="1"/>
  <c r="I100" i="14" s="1"/>
  <c r="K89" i="13"/>
  <c r="L89" i="13" s="1"/>
  <c r="I90" i="13" s="1"/>
  <c r="N187" i="13"/>
  <c r="J186" i="13" a="1"/>
  <c r="J186" i="13" s="1"/>
  <c r="M189" i="13"/>
  <c r="M190" i="14"/>
  <c r="N186" i="14"/>
  <c r="J185" i="14" a="1"/>
  <c r="J185" i="14" s="1"/>
  <c r="K90" i="13" l="1"/>
  <c r="L90" i="13" s="1"/>
  <c r="I91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101" i="14" l="1"/>
  <c r="L101" i="14" s="1"/>
  <c r="I102" i="14" s="1"/>
  <c r="K91" i="13"/>
  <c r="L91" i="13" s="1"/>
  <c r="I92" i="13" s="1"/>
  <c r="N189" i="13"/>
  <c r="J188" i="13" a="1"/>
  <c r="J188" i="13" s="1"/>
  <c r="N188" i="14"/>
  <c r="J187" i="14" a="1"/>
  <c r="J187" i="14" s="1"/>
  <c r="M192" i="14"/>
  <c r="M191" i="13"/>
  <c r="K92" i="13" l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103" i="14" l="1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/>
  <c r="I93" i="13" s="1"/>
  <c r="K104" i="14" l="1"/>
  <c r="K93" i="13"/>
  <c r="M195" i="14"/>
  <c r="N192" i="13"/>
  <c r="J191" i="13" a="1"/>
  <c r="J191" i="13" s="1"/>
  <c r="N191" i="14"/>
  <c r="J190" i="14" a="1"/>
  <c r="J190" i="14" s="1"/>
  <c r="M194" i="13"/>
  <c r="N193" i="13" l="1"/>
  <c r="J192" i="13" a="1"/>
  <c r="J192" i="13" s="1"/>
  <c r="L93" i="13"/>
  <c r="I94" i="13" s="1"/>
  <c r="M196" i="14"/>
  <c r="M195" i="13"/>
  <c r="N192" i="14"/>
  <c r="J191" i="14" a="1"/>
  <c r="J191" i="14" s="1"/>
  <c r="L104" i="14"/>
  <c r="I105" i="14" s="1"/>
  <c r="N193" i="14" l="1"/>
  <c r="J192" i="14" a="1"/>
  <c r="J192" i="14" s="1"/>
  <c r="M197" i="14"/>
  <c r="N194" i="13"/>
  <c r="J193" i="13" a="1"/>
  <c r="J193" i="13" s="1"/>
  <c r="M196" i="13"/>
  <c r="K105" i="14"/>
  <c r="K94" i="13"/>
  <c r="L94" i="13" s="1"/>
  <c r="I95" i="13" s="1"/>
  <c r="L105" i="14" l="1"/>
  <c r="I106" i="14" s="1"/>
  <c r="M197" i="13"/>
  <c r="M198" i="14"/>
  <c r="K95" i="13"/>
  <c r="L95" i="13" s="1"/>
  <c r="I96" i="13" s="1"/>
  <c r="N195" i="13"/>
  <c r="J194" i="13" a="1"/>
  <c r="J194" i="13" s="1"/>
  <c r="N194" i="14"/>
  <c r="J193" i="14" a="1"/>
  <c r="J193" i="14" s="1"/>
  <c r="K96" i="13" l="1"/>
  <c r="L96" i="13" s="1"/>
  <c r="I97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107" i="14" l="1"/>
  <c r="L107" i="14" s="1"/>
  <c r="I108" i="14" s="1"/>
  <c r="K97" i="13"/>
  <c r="L97" i="13" s="1"/>
  <c r="I98" i="13" s="1"/>
  <c r="M199" i="13"/>
  <c r="N197" i="13"/>
  <c r="J196" i="13" a="1"/>
  <c r="J196" i="13" s="1"/>
  <c r="M200" i="14"/>
  <c r="N196" i="14"/>
  <c r="J195" i="14" a="1"/>
  <c r="J195" i="14" s="1"/>
  <c r="K108" i="14" l="1"/>
  <c r="L108" i="14" s="1"/>
  <c r="I109" i="14" s="1"/>
  <c r="K98" i="13"/>
  <c r="L98" i="13" s="1"/>
  <c r="I99" i="13" s="1"/>
  <c r="N198" i="13"/>
  <c r="J197" i="13" a="1"/>
  <c r="J197" i="13" s="1"/>
  <c r="M201" i="14"/>
  <c r="N197" i="14"/>
  <c r="J196" i="14" a="1"/>
  <c r="J196" i="14" s="1"/>
  <c r="M200" i="13"/>
  <c r="K99" i="13" l="1"/>
  <c r="L99" i="13" s="1"/>
  <c r="I100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110" i="14" l="1"/>
  <c r="L110" i="14" s="1"/>
  <c r="I111" i="14" s="1"/>
  <c r="K100" i="13"/>
  <c r="L100" i="13" s="1"/>
  <c r="I101" i="13" s="1"/>
  <c r="M203" i="14"/>
  <c r="N200" i="13"/>
  <c r="J199" i="13" a="1"/>
  <c r="J199" i="13" s="1"/>
  <c r="M202" i="13"/>
  <c r="N199" i="14"/>
  <c r="J198" i="14" a="1"/>
  <c r="J198" i="14" s="1"/>
  <c r="K101" i="13" l="1"/>
  <c r="L101" i="13" s="1"/>
  <c r="I102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2" i="13" l="1"/>
  <c r="L102" i="13" s="1"/>
  <c r="I103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13" i="14" l="1"/>
  <c r="L113" i="14" s="1"/>
  <c r="I114" i="14" s="1"/>
  <c r="K103" i="13"/>
  <c r="L103" i="13" s="1"/>
  <c r="I104" i="13" s="1"/>
  <c r="M205" i="13"/>
  <c r="N202" i="14"/>
  <c r="J201" i="14" a="1"/>
  <c r="J201" i="14" s="1"/>
  <c r="N203" i="13"/>
  <c r="J202" i="13" a="1"/>
  <c r="J202" i="13" s="1"/>
  <c r="M206" i="14"/>
  <c r="K104" i="13" l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15" i="14" l="1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/>
  <c r="I105" i="13" s="1"/>
  <c r="K116" i="14" l="1"/>
  <c r="N205" i="14"/>
  <c r="J204" i="14" a="1"/>
  <c r="J204" i="14" s="1"/>
  <c r="M208" i="13"/>
  <c r="K105" i="13"/>
  <c r="M209" i="14"/>
  <c r="N206" i="13"/>
  <c r="J205" i="13" a="1"/>
  <c r="J205" i="13" s="1"/>
  <c r="N207" i="13" l="1"/>
  <c r="J206" i="13" a="1"/>
  <c r="J206" i="13" s="1"/>
  <c r="N206" i="14"/>
  <c r="J205" i="14" a="1"/>
  <c r="J205" i="14" s="1"/>
  <c r="L105" i="13"/>
  <c r="I106" i="13" s="1"/>
  <c r="M210" i="14"/>
  <c r="M209" i="13"/>
  <c r="L116" i="14"/>
  <c r="I117" i="14" s="1"/>
  <c r="K117" i="14" l="1"/>
  <c r="M211" i="14"/>
  <c r="M210" i="13"/>
  <c r="K106" i="13"/>
  <c r="L106" i="13" s="1"/>
  <c r="I107" i="13" s="1"/>
  <c r="N207" i="14"/>
  <c r="J206" i="14" a="1"/>
  <c r="J206" i="14" s="1"/>
  <c r="N208" i="13"/>
  <c r="J207" i="13" a="1"/>
  <c r="J207" i="13" s="1"/>
  <c r="K107" i="13" l="1"/>
  <c r="L107" i="13" s="1"/>
  <c r="I108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8" i="13" l="1"/>
  <c r="L108" i="13" s="1"/>
  <c r="I109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19" i="14" l="1"/>
  <c r="L119" i="14" s="1"/>
  <c r="I120" i="14" s="1"/>
  <c r="K109" i="13"/>
  <c r="L109" i="13" s="1"/>
  <c r="I110" i="13" s="1"/>
  <c r="N210" i="14"/>
  <c r="J209" i="14" a="1"/>
  <c r="J209" i="14" s="1"/>
  <c r="N211" i="13"/>
  <c r="J210" i="13" a="1"/>
  <c r="J210" i="13" s="1"/>
  <c r="M213" i="13"/>
  <c r="M214" i="14"/>
  <c r="K110" i="13" l="1"/>
  <c r="L110" i="13" s="1"/>
  <c r="I111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21" i="14" l="1"/>
  <c r="L121" i="14" s="1"/>
  <c r="I122" i="14" s="1"/>
  <c r="K111" i="13"/>
  <c r="L111" i="13" s="1"/>
  <c r="I112" i="13" s="1"/>
  <c r="M216" i="14"/>
  <c r="N212" i="14"/>
  <c r="J211" i="14" a="1"/>
  <c r="J211" i="14" s="1"/>
  <c r="M215" i="13"/>
  <c r="N213" i="13"/>
  <c r="J212" i="13" a="1"/>
  <c r="J212" i="13" s="1"/>
  <c r="K122" i="14" l="1"/>
  <c r="L122" i="14" s="1"/>
  <c r="I123" i="14" s="1"/>
  <c r="K112" i="13"/>
  <c r="L112" i="13" s="1"/>
  <c r="I113" i="13" s="1"/>
  <c r="N213" i="14"/>
  <c r="J212" i="14" a="1"/>
  <c r="J212" i="14" s="1"/>
  <c r="N214" i="13"/>
  <c r="J213" i="13" a="1"/>
  <c r="J213" i="13" s="1"/>
  <c r="M216" i="13"/>
  <c r="M217" i="14"/>
  <c r="K113" i="13" l="1"/>
  <c r="L113" i="13" s="1"/>
  <c r="I114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4" i="13" l="1"/>
  <c r="L114" i="13" s="1"/>
  <c r="I115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5" i="13" l="1"/>
  <c r="L115" i="13" s="1"/>
  <c r="I116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26" i="14" l="1"/>
  <c r="L126" i="14" s="1"/>
  <c r="I127" i="14" s="1"/>
  <c r="K116" i="13"/>
  <c r="N217" i="14"/>
  <c r="J216" i="14" a="1"/>
  <c r="J216" i="14" s="1"/>
  <c r="M220" i="13"/>
  <c r="N218" i="13"/>
  <c r="J217" i="13" a="1"/>
  <c r="J217" i="13" s="1"/>
  <c r="M221" i="14"/>
  <c r="N219" i="13" l="1"/>
  <c r="J218" i="13" a="1"/>
  <c r="J218" i="13" s="1"/>
  <c r="M222" i="14"/>
  <c r="M221" i="13"/>
  <c r="L116" i="13"/>
  <c r="I117" i="13" s="1"/>
  <c r="N218" i="14"/>
  <c r="J217" i="14" a="1"/>
  <c r="J217" i="14" s="1"/>
  <c r="K127" i="14"/>
  <c r="L127" i="14" s="1"/>
  <c r="I128" i="14" s="1"/>
  <c r="K128" i="14" l="1"/>
  <c r="K117" i="13"/>
  <c r="M223" i="14"/>
  <c r="M222" i="13"/>
  <c r="N219" i="14"/>
  <c r="J218" i="14" a="1"/>
  <c r="J218" i="14" s="1"/>
  <c r="N220" i="13"/>
  <c r="J219" i="13" a="1"/>
  <c r="J219" i="13" s="1"/>
  <c r="M223" i="13" l="1"/>
  <c r="N221" i="13"/>
  <c r="J220" i="13" a="1"/>
  <c r="J220" i="13" s="1"/>
  <c r="L117" i="13"/>
  <c r="I118" i="13" s="1"/>
  <c r="M224" i="14"/>
  <c r="N220" i="14"/>
  <c r="J219" i="14" a="1"/>
  <c r="J219" i="14" s="1"/>
  <c r="L128" i="14"/>
  <c r="I129" i="14" s="1"/>
  <c r="K118" i="13" l="1"/>
  <c r="L118" i="13" s="1"/>
  <c r="I119" i="13" s="1"/>
  <c r="M224" i="13"/>
  <c r="K129" i="14"/>
  <c r="N221" i="14"/>
  <c r="J220" i="14" a="1"/>
  <c r="J220" i="14" s="1"/>
  <c r="M225" i="14"/>
  <c r="N222" i="13"/>
  <c r="J221" i="13" a="1"/>
  <c r="J221" i="13" s="1"/>
  <c r="K119" i="13" l="1"/>
  <c r="L119" i="13" s="1"/>
  <c r="I120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20" i="13" l="1"/>
  <c r="L120" i="13" s="1"/>
  <c r="I121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31" i="14" l="1"/>
  <c r="L131" i="14" s="1"/>
  <c r="I132" i="14" s="1"/>
  <c r="K121" i="13"/>
  <c r="L121" i="13" s="1"/>
  <c r="I122" i="13" s="1"/>
  <c r="N225" i="13"/>
  <c r="J224" i="13" a="1"/>
  <c r="J224" i="13" s="1"/>
  <c r="N224" i="14"/>
  <c r="J223" i="14" a="1"/>
  <c r="J223" i="14" s="1"/>
  <c r="M228" i="14"/>
  <c r="M227" i="13"/>
  <c r="K122" i="13" l="1"/>
  <c r="L122" i="13" s="1"/>
  <c r="I123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33" i="14" l="1"/>
  <c r="L133" i="14" s="1"/>
  <c r="I134" i="14" s="1"/>
  <c r="K123" i="13"/>
  <c r="L123" i="13" s="1"/>
  <c r="I124" i="13" s="1"/>
  <c r="N226" i="14"/>
  <c r="J225" i="14" a="1"/>
  <c r="J225" i="14" s="1"/>
  <c r="N227" i="13"/>
  <c r="J226" i="13" a="1"/>
  <c r="J226" i="13" s="1"/>
  <c r="M230" i="14"/>
  <c r="M229" i="13"/>
  <c r="K124" i="13" l="1"/>
  <c r="L124" i="13" s="1"/>
  <c r="I125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5" i="13" l="1"/>
  <c r="L125" i="13" s="1"/>
  <c r="I126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36" i="14" l="1"/>
  <c r="L136" i="14" s="1"/>
  <c r="I137" i="14" s="1"/>
  <c r="K126" i="13"/>
  <c r="L126" i="13" s="1"/>
  <c r="I127" i="13" s="1"/>
  <c r="M232" i="13"/>
  <c r="M233" i="14"/>
  <c r="N230" i="13"/>
  <c r="J229" i="13" a="1"/>
  <c r="J229" i="13" s="1"/>
  <c r="N229" i="14"/>
  <c r="J228" i="14" a="1"/>
  <c r="J228" i="14" s="1"/>
  <c r="K127" i="13" l="1"/>
  <c r="L127" i="13" s="1"/>
  <c r="I128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38" i="14" l="1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/>
  <c r="K139" i="14" l="1"/>
  <c r="L139" i="14" s="1"/>
  <c r="I140" i="14" s="1"/>
  <c r="M235" i="13"/>
  <c r="N233" i="13"/>
  <c r="J232" i="13" a="1"/>
  <c r="J232" i="13" s="1"/>
  <c r="L128" i="13"/>
  <c r="I129" i="13" s="1"/>
  <c r="M236" i="14"/>
  <c r="N232" i="14"/>
  <c r="J231" i="14" a="1"/>
  <c r="J231" i="14" s="1"/>
  <c r="K140" i="14" l="1"/>
  <c r="L140" i="14" s="1"/>
  <c r="I141" i="14" s="1"/>
  <c r="K129" i="13"/>
  <c r="N233" i="14"/>
  <c r="J232" i="14" a="1"/>
  <c r="J232" i="14" s="1"/>
  <c r="M237" i="14"/>
  <c r="N234" i="13"/>
  <c r="J233" i="13" a="1"/>
  <c r="J233" i="13" s="1"/>
  <c r="M236" i="13"/>
  <c r="K141" i="14" l="1"/>
  <c r="L141" i="14" s="1"/>
  <c r="I142" i="14" s="1"/>
  <c r="M237" i="13"/>
  <c r="M238" i="14"/>
  <c r="L129" i="13"/>
  <c r="I130" i="13" s="1"/>
  <c r="N235" i="13"/>
  <c r="J234" i="13" a="1"/>
  <c r="J234" i="13" s="1"/>
  <c r="N234" i="14"/>
  <c r="J233" i="14" a="1"/>
  <c r="J233" i="14" s="1"/>
  <c r="K142" i="14" l="1"/>
  <c r="L142" i="14" s="1"/>
  <c r="I143" i="14" s="1"/>
  <c r="K130" i="13"/>
  <c r="L130" i="13" s="1"/>
  <c r="I131" i="13" s="1"/>
  <c r="N235" i="14"/>
  <c r="J234" i="14" a="1"/>
  <c r="J234" i="14" s="1"/>
  <c r="M239" i="14"/>
  <c r="N236" i="13"/>
  <c r="J235" i="13" a="1"/>
  <c r="J235" i="13" s="1"/>
  <c r="M238" i="13"/>
  <c r="K131" i="13" l="1"/>
  <c r="L131" i="13" s="1"/>
  <c r="I132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44" i="14" l="1"/>
  <c r="L144" i="14" s="1"/>
  <c r="I145" i="14" s="1"/>
  <c r="K132" i="13"/>
  <c r="L132" i="13" s="1"/>
  <c r="I133" i="13" s="1"/>
  <c r="M241" i="14"/>
  <c r="N237" i="14"/>
  <c r="J236" i="14" a="1"/>
  <c r="J236" i="14" s="1"/>
  <c r="M240" i="13"/>
  <c r="N238" i="13"/>
  <c r="J237" i="13" a="1"/>
  <c r="J237" i="13" s="1"/>
  <c r="K145" i="14" l="1"/>
  <c r="L145" i="14" s="1"/>
  <c r="I146" i="14" s="1"/>
  <c r="N239" i="13"/>
  <c r="J238" i="13" a="1"/>
  <c r="J238" i="13" s="1"/>
  <c r="M241" i="13"/>
  <c r="K133" i="13"/>
  <c r="L133" i="13" s="1"/>
  <c r="I134" i="13" s="1"/>
  <c r="N238" i="14"/>
  <c r="J237" i="14" a="1"/>
  <c r="J237" i="14" s="1"/>
  <c r="M242" i="14"/>
  <c r="K134" i="13" l="1"/>
  <c r="L134" i="13" s="1"/>
  <c r="I135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47" i="14" l="1"/>
  <c r="L147" i="14" s="1"/>
  <c r="I148" i="14" s="1"/>
  <c r="K135" i="13"/>
  <c r="L135" i="13" s="1"/>
  <c r="I136" i="13" s="1"/>
  <c r="M244" i="14"/>
  <c r="M243" i="13"/>
  <c r="N241" i="13"/>
  <c r="J240" i="13" a="1"/>
  <c r="J240" i="13" s="1"/>
  <c r="N240" i="14"/>
  <c r="J239" i="14" a="1"/>
  <c r="J239" i="14" s="1"/>
  <c r="K136" i="13" l="1"/>
  <c r="L136" i="13" s="1"/>
  <c r="I137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49" i="14" l="1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/>
  <c r="L137" i="13" s="1"/>
  <c r="I138" i="13" s="1"/>
  <c r="K138" i="13" l="1"/>
  <c r="L138" i="13" s="1"/>
  <c r="I139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51" i="14" l="1"/>
  <c r="L151" i="14" s="1"/>
  <c r="I152" i="14" s="1"/>
  <c r="K139" i="13"/>
  <c r="L139" i="13" s="1"/>
  <c r="I140" i="13" s="1"/>
  <c r="M248" i="14"/>
  <c r="M247" i="13"/>
  <c r="N245" i="13"/>
  <c r="J244" i="13" a="1"/>
  <c r="J244" i="13" s="1"/>
  <c r="N244" i="14"/>
  <c r="J243" i="14" a="1"/>
  <c r="J243" i="14" s="1"/>
  <c r="K140" i="13" l="1"/>
  <c r="K152" i="14"/>
  <c r="M248" i="13"/>
  <c r="N245" i="14"/>
  <c r="J244" i="14" a="1"/>
  <c r="J244" i="14" s="1"/>
  <c r="M249" i="14"/>
  <c r="N246" i="13"/>
  <c r="J245" i="13" a="1"/>
  <c r="J245" i="13" s="1"/>
  <c r="N247" i="13" l="1"/>
  <c r="J246" i="13" a="1"/>
  <c r="J246" i="13" s="1"/>
  <c r="N246" i="14"/>
  <c r="J245" i="14" a="1"/>
  <c r="J245" i="14" s="1"/>
  <c r="L152" i="14"/>
  <c r="I153" i="14" s="1"/>
  <c r="M250" i="14"/>
  <c r="M249" i="13"/>
  <c r="L140" i="13"/>
  <c r="I141" i="13" s="1"/>
  <c r="K141" i="13" l="1"/>
  <c r="M251" i="14"/>
  <c r="N247" i="14"/>
  <c r="J246" i="14" a="1"/>
  <c r="J246" i="14" s="1"/>
  <c r="M250" i="13"/>
  <c r="K153" i="14"/>
  <c r="N248" i="13"/>
  <c r="J247" i="13" a="1"/>
  <c r="J247" i="13" s="1"/>
  <c r="M251" i="13" l="1"/>
  <c r="M252" i="14"/>
  <c r="N249" i="13"/>
  <c r="J248" i="13" a="1"/>
  <c r="J248" i="13" s="1"/>
  <c r="L153" i="14"/>
  <c r="I154" i="14" s="1"/>
  <c r="N248" i="14"/>
  <c r="J247" i="14" a="1"/>
  <c r="J247" i="14" s="1"/>
  <c r="L141" i="13"/>
  <c r="I142" i="13" s="1"/>
  <c r="K142" i="13" l="1"/>
  <c r="L142" i="13" s="1"/>
  <c r="I143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55" i="14" l="1"/>
  <c r="L155" i="14" s="1"/>
  <c r="I156" i="14" s="1"/>
  <c r="K143" i="13"/>
  <c r="L143" i="13" s="1"/>
  <c r="I144" i="13" s="1"/>
  <c r="N251" i="13"/>
  <c r="J250" i="13" a="1"/>
  <c r="J250" i="13" s="1"/>
  <c r="N250" i="14"/>
  <c r="J249" i="14" a="1"/>
  <c r="J249" i="14" s="1"/>
  <c r="M254" i="14"/>
  <c r="M253" i="13"/>
  <c r="K144" i="13" l="1"/>
  <c r="L144" i="13" s="1"/>
  <c r="I145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5" i="13" l="1"/>
  <c r="L145" i="13" s="1"/>
  <c r="I146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58" i="14" l="1"/>
  <c r="L158" i="14" s="1"/>
  <c r="I159" i="14" s="1"/>
  <c r="K146" i="13"/>
  <c r="L146" i="13" s="1"/>
  <c r="I147" i="13" s="1"/>
  <c r="M256" i="13"/>
  <c r="M257" i="14"/>
  <c r="N254" i="13"/>
  <c r="J253" i="13" a="1"/>
  <c r="J253" i="13" s="1"/>
  <c r="N253" i="14"/>
  <c r="J252" i="14" a="1"/>
  <c r="J252" i="14" s="1"/>
  <c r="K147" i="13" l="1"/>
  <c r="L147" i="13" s="1"/>
  <c r="I148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60" i="14" l="1"/>
  <c r="L160" i="14" s="1"/>
  <c r="I161" i="14" s="1"/>
  <c r="K148" i="13"/>
  <c r="L148" i="13" s="1"/>
  <c r="I149" i="13" s="1"/>
  <c r="M259" i="14"/>
  <c r="M258" i="13"/>
  <c r="N256" i="13"/>
  <c r="J255" i="13" a="1"/>
  <c r="J255" i="13" s="1"/>
  <c r="N255" i="14"/>
  <c r="J254" i="14" a="1"/>
  <c r="J254" i="14" s="1"/>
  <c r="K149" i="13" l="1"/>
  <c r="L149" i="13" s="1"/>
  <c r="I150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62" i="14" l="1"/>
  <c r="L162" i="14" s="1"/>
  <c r="I163" i="14" s="1"/>
  <c r="K150" i="13"/>
  <c r="L150" i="13" s="1"/>
  <c r="I151" i="13" s="1"/>
  <c r="N258" i="13"/>
  <c r="J257" i="13" a="1"/>
  <c r="J257" i="13" s="1"/>
  <c r="N257" i="14"/>
  <c r="J256" i="14" a="1"/>
  <c r="J256" i="14" s="1"/>
  <c r="M261" i="14"/>
  <c r="M260" i="13"/>
  <c r="K151" i="13" l="1"/>
  <c r="L151" i="13" s="1"/>
  <c r="I152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64" i="14" l="1"/>
  <c r="K152" i="13"/>
  <c r="M262" i="13"/>
  <c r="N260" i="13"/>
  <c r="J259" i="13" a="1"/>
  <c r="J259" i="13" s="1"/>
  <c r="M263" i="14"/>
  <c r="N259" i="14"/>
  <c r="J258" i="14" a="1"/>
  <c r="J258" i="14" s="1"/>
  <c r="N261" i="13" l="1"/>
  <c r="J260" i="13" a="1"/>
  <c r="J260" i="13" s="1"/>
  <c r="L152" i="13"/>
  <c r="I153" i="13" s="1"/>
  <c r="N260" i="14"/>
  <c r="J259" i="14" a="1"/>
  <c r="J259" i="14" s="1"/>
  <c r="M264" i="14"/>
  <c r="M263" i="13"/>
  <c r="L164" i="14"/>
  <c r="I165" i="14" s="1"/>
  <c r="M264" i="13" l="1"/>
  <c r="M265" i="14"/>
  <c r="K165" i="14"/>
  <c r="K153" i="13"/>
  <c r="N261" i="14"/>
  <c r="J260" i="14" a="1"/>
  <c r="J260" i="14" s="1"/>
  <c r="N262" i="13"/>
  <c r="J261" i="13" a="1"/>
  <c r="J261" i="13" s="1"/>
  <c r="M266" i="14" l="1"/>
  <c r="L153" i="13"/>
  <c r="I154" i="13" s="1"/>
  <c r="N263" i="13"/>
  <c r="J262" i="13" a="1"/>
  <c r="J262" i="13" s="1"/>
  <c r="N262" i="14"/>
  <c r="J261" i="14" a="1"/>
  <c r="J261" i="14" s="1"/>
  <c r="M265" i="13"/>
  <c r="L165" i="14"/>
  <c r="I166" i="14" s="1"/>
  <c r="K166" i="14" l="1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/>
  <c r="L154" i="13" s="1"/>
  <c r="I155" i="13" s="1"/>
  <c r="K155" i="13" l="1"/>
  <c r="L155" i="13" s="1"/>
  <c r="I156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68" i="14" l="1"/>
  <c r="L168" i="14" s="1"/>
  <c r="I169" i="14" s="1"/>
  <c r="K156" i="13"/>
  <c r="L156" i="13" s="1"/>
  <c r="I157" i="13" s="1"/>
  <c r="N265" i="14"/>
  <c r="J264" i="14" a="1"/>
  <c r="J264" i="14" s="1"/>
  <c r="M269" i="14"/>
  <c r="M268" i="13"/>
  <c r="N266" i="13"/>
  <c r="J265" i="13" a="1"/>
  <c r="J265" i="13" s="1"/>
  <c r="K157" i="13" l="1"/>
  <c r="L157" i="13" s="1"/>
  <c r="I158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70" i="14" l="1"/>
  <c r="L170" i="14" s="1"/>
  <c r="I171" i="14" s="1"/>
  <c r="K158" i="13"/>
  <c r="L158" i="13" s="1"/>
  <c r="I159" i="13" s="1"/>
  <c r="N268" i="13"/>
  <c r="J267" i="13" a="1"/>
  <c r="J267" i="13" s="1"/>
  <c r="N267" i="14"/>
  <c r="J266" i="14" a="1"/>
  <c r="J266" i="14" s="1"/>
  <c r="M270" i="13"/>
  <c r="M271" i="14"/>
  <c r="K159" i="13" l="1"/>
  <c r="L159" i="13" s="1"/>
  <c r="I160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72" i="14" l="1"/>
  <c r="L172" i="14" s="1"/>
  <c r="I173" i="14" s="1"/>
  <c r="K160" i="13"/>
  <c r="L160" i="13" s="1"/>
  <c r="I161" i="13" s="1"/>
  <c r="N269" i="14"/>
  <c r="J268" i="14" a="1"/>
  <c r="J268" i="14" s="1"/>
  <c r="M273" i="14"/>
  <c r="N270" i="13"/>
  <c r="J269" i="13" a="1"/>
  <c r="J269" i="13" s="1"/>
  <c r="M272" i="13"/>
  <c r="K161" i="13" l="1"/>
  <c r="L161" i="13" s="1"/>
  <c r="I162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74" i="14" l="1"/>
  <c r="L174" i="14" s="1"/>
  <c r="I175" i="14" s="1"/>
  <c r="K162" i="13"/>
  <c r="L162" i="13" s="1"/>
  <c r="I163" i="13" s="1"/>
  <c r="M275" i="14"/>
  <c r="M274" i="13"/>
  <c r="N271" i="14"/>
  <c r="J270" i="14" a="1"/>
  <c r="J270" i="14" s="1"/>
  <c r="N272" i="13"/>
  <c r="J271" i="13" a="1"/>
  <c r="J271" i="13" s="1"/>
  <c r="K163" i="13" l="1"/>
  <c r="L163" i="13" s="1"/>
  <c r="I164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76" i="14" l="1"/>
  <c r="K164" i="13"/>
  <c r="N273" i="14"/>
  <c r="J272" i="14" a="1"/>
  <c r="J272" i="14" s="1"/>
  <c r="M277" i="14"/>
  <c r="M276" i="13"/>
  <c r="N274" i="13"/>
  <c r="J273" i="13" a="1"/>
  <c r="J273" i="13" s="1"/>
  <c r="N275" i="13" l="1"/>
  <c r="J274" i="13" a="1"/>
  <c r="J274" i="13" s="1"/>
  <c r="M278" i="14"/>
  <c r="M277" i="13"/>
  <c r="L164" i="13"/>
  <c r="I165" i="13" s="1"/>
  <c r="N274" i="14"/>
  <c r="J273" i="14" a="1"/>
  <c r="J273" i="14" s="1"/>
  <c r="L176" i="14"/>
  <c r="I177" i="14" s="1"/>
  <c r="N276" i="13" l="1"/>
  <c r="J275" i="13" a="1"/>
  <c r="J275" i="13" s="1"/>
  <c r="N275" i="14"/>
  <c r="J274" i="14" a="1"/>
  <c r="J274" i="14" s="1"/>
  <c r="M278" i="13"/>
  <c r="K177" i="14"/>
  <c r="L177" i="14" s="1"/>
  <c r="I178" i="14" s="1"/>
  <c r="K165" i="13"/>
  <c r="M279" i="14"/>
  <c r="K178" i="14" l="1"/>
  <c r="L178" i="14" s="1"/>
  <c r="I179" i="14" s="1"/>
  <c r="N276" i="14"/>
  <c r="J275" i="14" a="1"/>
  <c r="J275" i="14" s="1"/>
  <c r="M280" i="14"/>
  <c r="M279" i="13"/>
  <c r="L165" i="13"/>
  <c r="I166" i="13" s="1"/>
  <c r="N277" i="13"/>
  <c r="J276" i="13" a="1"/>
  <c r="J276" i="13" s="1"/>
  <c r="K179" i="14" l="1"/>
  <c r="L179" i="14" s="1"/>
  <c r="I180" i="14" s="1"/>
  <c r="K166" i="13"/>
  <c r="L166" i="13" s="1"/>
  <c r="I167" i="13" s="1"/>
  <c r="M281" i="14"/>
  <c r="N277" i="14"/>
  <c r="J276" i="14" a="1"/>
  <c r="J276" i="14" s="1"/>
  <c r="M280" i="13"/>
  <c r="N278" i="13"/>
  <c r="J277" i="13" a="1"/>
  <c r="J277" i="13" s="1"/>
  <c r="K167" i="13" l="1"/>
  <c r="L167" i="13" s="1"/>
  <c r="I168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81" i="14" l="1"/>
  <c r="L181" i="14" s="1"/>
  <c r="I182" i="14" s="1"/>
  <c r="K168" i="13"/>
  <c r="L168" i="13" s="1"/>
  <c r="I169" i="13" s="1"/>
  <c r="M283" i="14"/>
  <c r="M282" i="13"/>
  <c r="N280" i="13"/>
  <c r="J279" i="13" a="1"/>
  <c r="J279" i="13" s="1"/>
  <c r="N279" i="14"/>
  <c r="J278" i="14" a="1"/>
  <c r="J278" i="14" s="1"/>
  <c r="K169" i="13" l="1"/>
  <c r="L169" i="13" s="1"/>
  <c r="I170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83" i="14" l="1"/>
  <c r="L183" i="14" s="1"/>
  <c r="I184" i="14" s="1"/>
  <c r="K170" i="13"/>
  <c r="L170" i="13" s="1"/>
  <c r="I171" i="13" s="1"/>
  <c r="N282" i="13"/>
  <c r="J281" i="13" a="1"/>
  <c r="J281" i="13" s="1"/>
  <c r="M285" i="14"/>
  <c r="N281" i="14"/>
  <c r="J280" i="14" a="1"/>
  <c r="J280" i="14" s="1"/>
  <c r="M284" i="13"/>
  <c r="K171" i="13" l="1"/>
  <c r="L171" i="13" s="1"/>
  <c r="I172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85" i="14" l="1"/>
  <c r="L185" i="14" s="1"/>
  <c r="I186" i="14" s="1"/>
  <c r="K172" i="13"/>
  <c r="L172" i="13" s="1"/>
  <c r="I173" i="13" s="1"/>
  <c r="M287" i="14"/>
  <c r="M286" i="13"/>
  <c r="N284" i="13"/>
  <c r="J283" i="13" a="1"/>
  <c r="J283" i="13" s="1"/>
  <c r="N283" i="14"/>
  <c r="J282" i="14" a="1"/>
  <c r="J282" i="14" s="1"/>
  <c r="K173" i="13" l="1"/>
  <c r="L173" i="13" s="1"/>
  <c r="I174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N286" i="13" l="1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/>
  <c r="L174" i="13" s="1"/>
  <c r="I175" i="13" s="1"/>
  <c r="K175" i="13" l="1"/>
  <c r="L175" i="13" s="1"/>
  <c r="I176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6" i="13" l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90" i="14" l="1"/>
  <c r="M292" i="14"/>
  <c r="N289" i="13"/>
  <c r="J288" i="13" a="1"/>
  <c r="J288" i="13" s="1"/>
  <c r="N288" i="14"/>
  <c r="J287" i="14" a="1"/>
  <c r="J287" i="14" s="1"/>
  <c r="M291" i="13"/>
  <c r="L176" i="13"/>
  <c r="I177" i="13" s="1"/>
  <c r="M292" i="13" l="1"/>
  <c r="M293" i="14"/>
  <c r="N290" i="13"/>
  <c r="J289" i="13" a="1"/>
  <c r="J289" i="13" s="1"/>
  <c r="K177" i="13"/>
  <c r="L177" i="13" s="1"/>
  <c r="I178" i="13" s="1"/>
  <c r="N289" i="14"/>
  <c r="J288" i="14" a="1"/>
  <c r="J288" i="14" s="1"/>
  <c r="L190" i="14"/>
  <c r="I191" i="14" s="1"/>
  <c r="K191" i="14" l="1"/>
  <c r="L191" i="14" s="1"/>
  <c r="I192" i="14" s="1"/>
  <c r="K178" i="13"/>
  <c r="L178" i="13" s="1"/>
  <c r="I179" i="13" s="1"/>
  <c r="N290" i="14"/>
  <c r="J289" i="14" a="1"/>
  <c r="J289" i="14" s="1"/>
  <c r="N291" i="13"/>
  <c r="J290" i="13" a="1"/>
  <c r="J290" i="13" s="1"/>
  <c r="M293" i="13"/>
  <c r="M294" i="14"/>
  <c r="K179" i="13" l="1"/>
  <c r="L179" i="13" s="1"/>
  <c r="I180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93" i="14" l="1"/>
  <c r="L193" i="14" s="1"/>
  <c r="I194" i="14" s="1"/>
  <c r="K180" i="13"/>
  <c r="L180" i="13" s="1"/>
  <c r="I181" i="13" s="1"/>
  <c r="M295" i="13"/>
  <c r="N292" i="14"/>
  <c r="J291" i="14" a="1"/>
  <c r="J291" i="14" s="1"/>
  <c r="M296" i="14"/>
  <c r="N293" i="13"/>
  <c r="J292" i="13" a="1"/>
  <c r="J292" i="13" s="1"/>
  <c r="K181" i="13" l="1"/>
  <c r="L181" i="13" s="1"/>
  <c r="I182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95" i="14" l="1"/>
  <c r="L195" i="14" s="1"/>
  <c r="I196" i="14" s="1"/>
  <c r="K182" i="13"/>
  <c r="L182" i="13" s="1"/>
  <c r="I183" i="13" s="1"/>
  <c r="M297" i="13"/>
  <c r="N295" i="13"/>
  <c r="J294" i="13" a="1"/>
  <c r="J294" i="13" s="1"/>
  <c r="M298" i="14"/>
  <c r="N294" i="14"/>
  <c r="J293" i="14" a="1"/>
  <c r="J293" i="14" s="1"/>
  <c r="K183" i="13" l="1"/>
  <c r="L183" i="13" s="1"/>
  <c r="I184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97" i="14" l="1"/>
  <c r="L197" i="14" s="1"/>
  <c r="I198" i="14" s="1"/>
  <c r="K184" i="13"/>
  <c r="L184" i="13" s="1"/>
  <c r="I185" i="13" s="1"/>
  <c r="N296" i="14"/>
  <c r="J295" i="14" a="1"/>
  <c r="J295" i="14" s="1"/>
  <c r="M300" i="14"/>
  <c r="M299" i="13"/>
  <c r="N297" i="13"/>
  <c r="J296" i="13" a="1"/>
  <c r="J296" i="13" s="1"/>
  <c r="K185" i="13" l="1"/>
  <c r="L185" i="13" s="1"/>
  <c r="I186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99" i="14" l="1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/>
  <c r="L186" i="13" s="1"/>
  <c r="I187" i="13" s="1"/>
  <c r="K200" i="14" l="1"/>
  <c r="K187" i="13"/>
  <c r="L187" i="13" s="1"/>
  <c r="I188" i="13" s="1"/>
  <c r="N299" i="14"/>
  <c r="J298" i="14" a="1"/>
  <c r="J298" i="14" s="1"/>
  <c r="N300" i="13"/>
  <c r="J299" i="13" a="1"/>
  <c r="J299" i="13" s="1"/>
  <c r="M302" i="13"/>
  <c r="M303" i="14"/>
  <c r="M303" i="13" l="1"/>
  <c r="K188" i="13"/>
  <c r="L188" i="13" s="1"/>
  <c r="I189" i="13" s="1"/>
  <c r="M304" i="14"/>
  <c r="N300" i="14"/>
  <c r="J299" i="14" a="1"/>
  <c r="J299" i="14" s="1"/>
  <c r="L200" i="14"/>
  <c r="I201" i="14" s="1"/>
  <c r="N301" i="13"/>
  <c r="J300" i="13" a="1"/>
  <c r="J300" i="13" s="1"/>
  <c r="K189" i="13" l="1"/>
  <c r="L189" i="13" s="1"/>
  <c r="I190" i="13" s="1"/>
  <c r="N301" i="14"/>
  <c r="J300" i="14" a="1"/>
  <c r="J300" i="14" s="1"/>
  <c r="N302" i="13"/>
  <c r="J301" i="13" a="1"/>
  <c r="J301" i="13" s="1"/>
  <c r="M305" i="14"/>
  <c r="K201" i="14"/>
  <c r="M304" i="13"/>
  <c r="K190" i="13" l="1"/>
  <c r="N302" i="14"/>
  <c r="J301" i="14" a="1"/>
  <c r="J301" i="14" s="1"/>
  <c r="L201" i="14"/>
  <c r="I202" i="14" s="1"/>
  <c r="M306" i="14"/>
  <c r="M305" i="13"/>
  <c r="N303" i="13"/>
  <c r="J302" i="13" a="1"/>
  <c r="J302" i="13" s="1"/>
  <c r="K202" i="14" l="1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/>
  <c r="I191" i="13" s="1"/>
  <c r="K203" i="14" l="1"/>
  <c r="L203" i="14" s="1"/>
  <c r="I204" i="14" s="1"/>
  <c r="N304" i="14"/>
  <c r="J303" i="14" a="1"/>
  <c r="J303" i="14" s="1"/>
  <c r="K191" i="13"/>
  <c r="L191" i="13" s="1"/>
  <c r="I192" i="13" s="1"/>
  <c r="N305" i="13"/>
  <c r="J304" i="13" a="1"/>
  <c r="J304" i="13" s="1"/>
  <c r="M307" i="13"/>
  <c r="M308" i="14"/>
  <c r="K192" i="13" l="1"/>
  <c r="L192" i="13" s="1"/>
  <c r="I193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205" i="14" l="1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/>
  <c r="L193" i="13" s="1"/>
  <c r="I194" i="13" s="1"/>
  <c r="K194" i="13" l="1"/>
  <c r="L194" i="13" s="1"/>
  <c r="I195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207" i="14" l="1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/>
  <c r="L195" i="13" s="1"/>
  <c r="I196" i="13" s="1"/>
  <c r="K196" i="13" l="1"/>
  <c r="L196" i="13" s="1"/>
  <c r="I197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209" i="14" l="1"/>
  <c r="L209" i="14" s="1"/>
  <c r="I210" i="14" s="1"/>
  <c r="K197" i="13"/>
  <c r="L197" i="13" s="1"/>
  <c r="I198" i="13" s="1"/>
  <c r="N310" i="14"/>
  <c r="J309" i="14" a="1"/>
  <c r="J309" i="14" s="1"/>
  <c r="M313" i="13"/>
  <c r="M314" i="14"/>
  <c r="N311" i="13"/>
  <c r="J310" i="13" a="1"/>
  <c r="J310" i="13" s="1"/>
  <c r="K198" i="13" l="1"/>
  <c r="L198" i="13" s="1"/>
  <c r="I199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9" i="13" l="1"/>
  <c r="L199" i="13" s="1"/>
  <c r="I200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212" i="14" l="1"/>
  <c r="K200" i="13"/>
  <c r="N314" i="13"/>
  <c r="J313" i="13" a="1"/>
  <c r="J313" i="13" s="1"/>
  <c r="M316" i="13"/>
  <c r="M317" i="14"/>
  <c r="N313" i="14"/>
  <c r="J312" i="14" a="1"/>
  <c r="J312" i="14" s="1"/>
  <c r="N314" i="14" l="1"/>
  <c r="J313" i="14" a="1"/>
  <c r="J313" i="14" s="1"/>
  <c r="L200" i="13"/>
  <c r="I201" i="13" s="1"/>
  <c r="M317" i="13"/>
  <c r="M318" i="14"/>
  <c r="N315" i="13"/>
  <c r="J314" i="13" a="1"/>
  <c r="J314" i="13" s="1"/>
  <c r="L212" i="14"/>
  <c r="I213" i="14" s="1"/>
  <c r="M318" i="13" l="1"/>
  <c r="N316" i="13"/>
  <c r="J315" i="13" a="1"/>
  <c r="J315" i="13" s="1"/>
  <c r="N315" i="14"/>
  <c r="J314" i="14" a="1"/>
  <c r="J314" i="14" s="1"/>
  <c r="K213" i="14"/>
  <c r="K201" i="13"/>
  <c r="M319" i="14"/>
  <c r="L213" i="14" l="1"/>
  <c r="I214" i="14" s="1"/>
  <c r="N317" i="13"/>
  <c r="J316" i="13" a="1"/>
  <c r="J316" i="13" s="1"/>
  <c r="M320" i="14"/>
  <c r="M319" i="13"/>
  <c r="L201" i="13"/>
  <c r="I202" i="13" s="1"/>
  <c r="N316" i="14"/>
  <c r="J315" i="14" a="1"/>
  <c r="J315" i="14" s="1"/>
  <c r="N317" i="14" l="1"/>
  <c r="J316" i="14" a="1"/>
  <c r="J316" i="14" s="1"/>
  <c r="N318" i="13"/>
  <c r="J317" i="13" a="1"/>
  <c r="J317" i="13" s="1"/>
  <c r="M320" i="13"/>
  <c r="K202" i="13"/>
  <c r="L202" i="13" s="1"/>
  <c r="I203" i="13" s="1"/>
  <c r="M321" i="14"/>
  <c r="K214" i="14"/>
  <c r="L214" i="14" s="1"/>
  <c r="I215" i="14" s="1"/>
  <c r="K215" i="14" l="1"/>
  <c r="L215" i="14" s="1"/>
  <c r="I216" i="14" s="1"/>
  <c r="K203" i="13"/>
  <c r="L203" i="13" s="1"/>
  <c r="I204" i="13" s="1"/>
  <c r="N319" i="13"/>
  <c r="J318" i="13" a="1"/>
  <c r="J318" i="13" s="1"/>
  <c r="M322" i="14"/>
  <c r="M321" i="13"/>
  <c r="N318" i="14"/>
  <c r="J317" i="14" a="1"/>
  <c r="J317" i="14" s="1"/>
  <c r="K204" i="13" l="1"/>
  <c r="L204" i="13" s="1"/>
  <c r="I205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17" i="14" l="1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/>
  <c r="L205" i="13" s="1"/>
  <c r="I206" i="13" s="1"/>
  <c r="K218" i="14" l="1"/>
  <c r="L218" i="14" s="1"/>
  <c r="I219" i="14" s="1"/>
  <c r="K206" i="13"/>
  <c r="L206" i="13" s="1"/>
  <c r="I207" i="13" s="1"/>
  <c r="M324" i="13"/>
  <c r="N322" i="13"/>
  <c r="J321" i="13" a="1"/>
  <c r="J321" i="13" s="1"/>
  <c r="M325" i="14"/>
  <c r="N321" i="14"/>
  <c r="J320" i="14" a="1"/>
  <c r="J320" i="14" s="1"/>
  <c r="K207" i="13" l="1"/>
  <c r="L207" i="13" s="1"/>
  <c r="I208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8" i="13" l="1"/>
  <c r="L208" i="13" s="1"/>
  <c r="I209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21" i="14" l="1"/>
  <c r="L221" i="14" s="1"/>
  <c r="I222" i="14" s="1"/>
  <c r="K209" i="13"/>
  <c r="L209" i="13" s="1"/>
  <c r="I210" i="13" s="1"/>
  <c r="N324" i="14"/>
  <c r="J323" i="14" a="1"/>
  <c r="J323" i="14" s="1"/>
  <c r="M328" i="14"/>
  <c r="M327" i="13"/>
  <c r="N325" i="13"/>
  <c r="J324" i="13" a="1"/>
  <c r="J324" i="13" s="1"/>
  <c r="K210" i="13" l="1"/>
  <c r="L210" i="13" s="1"/>
  <c r="I211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23" i="14" l="1"/>
  <c r="L223" i="14" s="1"/>
  <c r="I224" i="14" s="1"/>
  <c r="K211" i="13"/>
  <c r="L211" i="13" s="1"/>
  <c r="I212" i="13" s="1"/>
  <c r="N327" i="13"/>
  <c r="J326" i="13" a="1"/>
  <c r="J326" i="13" s="1"/>
  <c r="M330" i="14"/>
  <c r="N326" i="14"/>
  <c r="J325" i="14" a="1"/>
  <c r="J325" i="14" s="1"/>
  <c r="M329" i="13"/>
  <c r="K212" i="13" l="1"/>
  <c r="K224" i="14"/>
  <c r="M331" i="14"/>
  <c r="M330" i="13"/>
  <c r="N327" i="14"/>
  <c r="J326" i="14" a="1"/>
  <c r="J326" i="14" s="1"/>
  <c r="N328" i="13"/>
  <c r="J327" i="13" a="1"/>
  <c r="J327" i="13" s="1"/>
  <c r="M332" i="14" l="1"/>
  <c r="M331" i="13"/>
  <c r="N329" i="13"/>
  <c r="J328" i="13" a="1"/>
  <c r="J328" i="13" s="1"/>
  <c r="L224" i="14"/>
  <c r="I225" i="14" s="1"/>
  <c r="N328" i="14"/>
  <c r="J327" i="14" a="1"/>
  <c r="J327" i="14" s="1"/>
  <c r="L212" i="13"/>
  <c r="I213" i="13" s="1"/>
  <c r="K213" i="13" l="1"/>
  <c r="M333" i="14"/>
  <c r="K225" i="14"/>
  <c r="N329" i="14"/>
  <c r="J328" i="14" a="1"/>
  <c r="J328" i="14" s="1"/>
  <c r="N330" i="13"/>
  <c r="J329" i="13" a="1"/>
  <c r="J329" i="13" s="1"/>
  <c r="M332" i="13"/>
  <c r="M334" i="14" l="1"/>
  <c r="M333" i="13"/>
  <c r="N330" i="14"/>
  <c r="J329" i="14" a="1"/>
  <c r="J329" i="14" s="1"/>
  <c r="N331" i="13"/>
  <c r="J330" i="13" a="1"/>
  <c r="J330" i="13" s="1"/>
  <c r="L225" i="14"/>
  <c r="I226" i="14" s="1"/>
  <c r="L213" i="13"/>
  <c r="I214" i="13" s="1"/>
  <c r="K214" i="13" l="1"/>
  <c r="L214" i="13" s="1"/>
  <c r="I215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27" i="14" l="1"/>
  <c r="L227" i="14" s="1"/>
  <c r="I228" i="14" s="1"/>
  <c r="K215" i="13"/>
  <c r="L215" i="13" s="1"/>
  <c r="I216" i="13" s="1"/>
  <c r="N332" i="14"/>
  <c r="J331" i="14" a="1"/>
  <c r="J331" i="14" s="1"/>
  <c r="M336" i="14"/>
  <c r="M335" i="13"/>
  <c r="N333" i="13"/>
  <c r="J332" i="13" a="1"/>
  <c r="J332" i="13" s="1"/>
  <c r="K216" i="13" l="1"/>
  <c r="L216" i="13" s="1"/>
  <c r="I217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29" i="14" l="1"/>
  <c r="L229" i="14" s="1"/>
  <c r="I230" i="14" s="1"/>
  <c r="K217" i="13"/>
  <c r="L217" i="13" s="1"/>
  <c r="I218" i="13" s="1"/>
  <c r="M337" i="13"/>
  <c r="N335" i="13"/>
  <c r="J334" i="13" a="1"/>
  <c r="J334" i="13" s="1"/>
  <c r="N334" i="14"/>
  <c r="J333" i="14" a="1"/>
  <c r="J333" i="14" s="1"/>
  <c r="M338" i="14"/>
  <c r="K230" i="14" l="1"/>
  <c r="L230" i="14" s="1"/>
  <c r="I231" i="14" s="1"/>
  <c r="K218" i="13"/>
  <c r="L218" i="13" s="1"/>
  <c r="I219" i="13" s="1"/>
  <c r="N336" i="13"/>
  <c r="J335" i="13" a="1"/>
  <c r="J335" i="13" s="1"/>
  <c r="N335" i="14"/>
  <c r="J334" i="14" a="1"/>
  <c r="J334" i="14" s="1"/>
  <c r="M338" i="13"/>
  <c r="M339" i="14"/>
  <c r="K231" i="14" l="1"/>
  <c r="L231" i="14" s="1"/>
  <c r="I232" i="14" s="1"/>
  <c r="M340" i="14"/>
  <c r="N336" i="14"/>
  <c r="J335" i="14" a="1"/>
  <c r="J335" i="14" s="1"/>
  <c r="K219" i="13"/>
  <c r="L219" i="13" s="1"/>
  <c r="I220" i="13" s="1"/>
  <c r="M339" i="13"/>
  <c r="N337" i="13"/>
  <c r="J336" i="13" a="1"/>
  <c r="J336" i="13" s="1"/>
  <c r="K220" i="13" l="1"/>
  <c r="L220" i="13" s="1"/>
  <c r="I221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33" i="14" l="1"/>
  <c r="L233" i="14" s="1"/>
  <c r="I234" i="14" s="1"/>
  <c r="K221" i="13"/>
  <c r="L221" i="13" s="1"/>
  <c r="I222" i="13" s="1"/>
  <c r="N338" i="14"/>
  <c r="J337" i="14" a="1"/>
  <c r="J337" i="14" s="1"/>
  <c r="N339" i="13"/>
  <c r="J338" i="13" a="1"/>
  <c r="J338" i="13" s="1"/>
  <c r="M341" i="13"/>
  <c r="M342" i="14"/>
  <c r="K222" i="13" l="1"/>
  <c r="L222" i="13" s="1"/>
  <c r="I223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3" i="13" l="1"/>
  <c r="L223" i="13" s="1"/>
  <c r="I224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4" i="13" l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37" i="14" l="1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/>
  <c r="I225" i="13" s="1"/>
  <c r="N344" i="13" l="1"/>
  <c r="J343" i="13" a="1"/>
  <c r="J343" i="13" s="1"/>
  <c r="M347" i="14"/>
  <c r="K225" i="13"/>
  <c r="M346" i="13"/>
  <c r="N343" i="14"/>
  <c r="J342" i="14" a="1"/>
  <c r="J342" i="14" s="1"/>
  <c r="K238" i="14"/>
  <c r="L238" i="14" s="1"/>
  <c r="I239" i="14" s="1"/>
  <c r="K239" i="14" l="1"/>
  <c r="L239" i="14" s="1"/>
  <c r="I240" i="14" s="1"/>
  <c r="M347" i="13"/>
  <c r="M348" i="14"/>
  <c r="N344" i="14"/>
  <c r="J343" i="14" a="1"/>
  <c r="J343" i="14" s="1"/>
  <c r="L225" i="13"/>
  <c r="I226" i="13" s="1"/>
  <c r="N345" i="13"/>
  <c r="J344" i="13" a="1"/>
  <c r="J344" i="13" s="1"/>
  <c r="K240" i="14" l="1"/>
  <c r="L240" i="14" s="1"/>
  <c r="I241" i="14" s="1"/>
  <c r="N345" i="14"/>
  <c r="J344" i="14" a="1"/>
  <c r="J344" i="14" s="1"/>
  <c r="M348" i="13"/>
  <c r="N346" i="13"/>
  <c r="J345" i="13" a="1"/>
  <c r="J345" i="13" s="1"/>
  <c r="K226" i="13"/>
  <c r="L226" i="13" s="1"/>
  <c r="I227" i="13" s="1"/>
  <c r="M349" i="14"/>
  <c r="K227" i="13" l="1"/>
  <c r="L227" i="13" s="1"/>
  <c r="I228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42" i="14" l="1"/>
  <c r="L242" i="14" s="1"/>
  <c r="I243" i="14" s="1"/>
  <c r="K228" i="13"/>
  <c r="L228" i="13" s="1"/>
  <c r="I229" i="13" s="1"/>
  <c r="M350" i="13"/>
  <c r="M351" i="14"/>
  <c r="N347" i="14"/>
  <c r="J346" i="14" a="1"/>
  <c r="J346" i="14" s="1"/>
  <c r="N348" i="13"/>
  <c r="J347" i="13" a="1"/>
  <c r="J347" i="13" s="1"/>
  <c r="K243" i="14" l="1"/>
  <c r="L243" i="14" s="1"/>
  <c r="I244" i="14" s="1"/>
  <c r="K229" i="13"/>
  <c r="L229" i="13" s="1"/>
  <c r="I230" i="13" s="1"/>
  <c r="M351" i="13"/>
  <c r="M352" i="14"/>
  <c r="N349" i="13"/>
  <c r="J348" i="13" a="1"/>
  <c r="J348" i="13" s="1"/>
  <c r="N348" i="14"/>
  <c r="J347" i="14" a="1"/>
  <c r="J347" i="14" s="1"/>
  <c r="K230" i="13" l="1"/>
  <c r="L230" i="13" s="1"/>
  <c r="I231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45" i="14" l="1"/>
  <c r="L245" i="14" s="1"/>
  <c r="I246" i="14" s="1"/>
  <c r="K231" i="13"/>
  <c r="L231" i="13" s="1"/>
  <c r="I232" i="13" s="1"/>
  <c r="M354" i="14"/>
  <c r="M353" i="13"/>
  <c r="N351" i="13"/>
  <c r="J350" i="13" a="1"/>
  <c r="J350" i="13" s="1"/>
  <c r="N350" i="14"/>
  <c r="J349" i="14" a="1"/>
  <c r="J349" i="14" s="1"/>
  <c r="K232" i="13" l="1"/>
  <c r="L232" i="13" s="1"/>
  <c r="I233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47" i="14" l="1"/>
  <c r="L247" i="14" s="1"/>
  <c r="I248" i="14" s="1"/>
  <c r="K233" i="13"/>
  <c r="L233" i="13" s="1"/>
  <c r="I234" i="13" s="1"/>
  <c r="M356" i="14"/>
  <c r="M355" i="13"/>
  <c r="N353" i="13"/>
  <c r="J352" i="13" a="1"/>
  <c r="J352" i="13" s="1"/>
  <c r="N352" i="14"/>
  <c r="J351" i="14" a="1"/>
  <c r="J351" i="14" s="1"/>
  <c r="K234" i="13" l="1"/>
  <c r="L234" i="13" s="1"/>
  <c r="I235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49" i="14" l="1"/>
  <c r="L249" i="14" s="1"/>
  <c r="I250" i="14" s="1"/>
  <c r="K235" i="13"/>
  <c r="L235" i="13" s="1"/>
  <c r="I236" i="13" s="1"/>
  <c r="M357" i="13"/>
  <c r="N355" i="13"/>
  <c r="J354" i="13" a="1"/>
  <c r="J354" i="13" s="1"/>
  <c r="M358" i="14"/>
  <c r="N354" i="14"/>
  <c r="J353" i="14" a="1"/>
  <c r="J353" i="14" s="1"/>
  <c r="K236" i="13" l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51" i="14" l="1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/>
  <c r="I237" i="13" s="1"/>
  <c r="K252" i="14" l="1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/>
  <c r="K253" i="14" l="1"/>
  <c r="L253" i="14" s="1"/>
  <c r="I254" i="14" s="1"/>
  <c r="M361" i="13"/>
  <c r="L237" i="13"/>
  <c r="I238" i="13" s="1"/>
  <c r="N359" i="13"/>
  <c r="J358" i="13" a="1"/>
  <c r="J358" i="13" s="1"/>
  <c r="N358" i="14"/>
  <c r="J357" i="14" a="1"/>
  <c r="J357" i="14" s="1"/>
  <c r="M362" i="14"/>
  <c r="K254" i="14" l="1"/>
  <c r="L254" i="14" s="1"/>
  <c r="I255" i="14" s="1"/>
  <c r="N360" i="13"/>
  <c r="J359" i="13" a="1"/>
  <c r="J359" i="13" s="1"/>
  <c r="N359" i="14"/>
  <c r="J358" i="14" a="1"/>
  <c r="J358" i="14" s="1"/>
  <c r="K238" i="13"/>
  <c r="L238" i="13" s="1"/>
  <c r="I239" i="13" s="1"/>
  <c r="M363" i="14"/>
  <c r="M362" i="13"/>
  <c r="K255" i="14" l="1"/>
  <c r="L255" i="14" s="1"/>
  <c r="I256" i="14" s="1"/>
  <c r="K239" i="13"/>
  <c r="L239" i="13" s="1"/>
  <c r="I240" i="13" s="1"/>
  <c r="N360" i="14"/>
  <c r="J359" i="14" a="1"/>
  <c r="J359" i="14" s="1"/>
  <c r="M363" i="13"/>
  <c r="M364" i="14"/>
  <c r="N361" i="13"/>
  <c r="J360" i="13" a="1"/>
  <c r="J360" i="13" s="1"/>
  <c r="K256" i="14" l="1"/>
  <c r="L256" i="14" s="1"/>
  <c r="I257" i="14" s="1"/>
  <c r="K240" i="13"/>
  <c r="L240" i="13" s="1"/>
  <c r="I241" i="13" s="1"/>
  <c r="N362" i="13"/>
  <c r="J361" i="13" a="1"/>
  <c r="J361" i="13" s="1"/>
  <c r="M364" i="13"/>
  <c r="M365" i="14"/>
  <c r="N361" i="14"/>
  <c r="J360" i="14" a="1"/>
  <c r="J360" i="14" s="1"/>
  <c r="K241" i="13" l="1"/>
  <c r="L241" i="13" s="1"/>
  <c r="I242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58" i="14" l="1"/>
  <c r="L258" i="14" s="1"/>
  <c r="I259" i="14" s="1"/>
  <c r="K242" i="13"/>
  <c r="L242" i="13" s="1"/>
  <c r="I243" i="13" s="1"/>
  <c r="M366" i="13"/>
  <c r="N364" i="13"/>
  <c r="J363" i="13" a="1"/>
  <c r="J363" i="13" s="1"/>
  <c r="M367" i="14"/>
  <c r="N363" i="14"/>
  <c r="J362" i="14" a="1"/>
  <c r="J362" i="14" s="1"/>
  <c r="K243" i="13" l="1"/>
  <c r="L243" i="13" s="1"/>
  <c r="I244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60" i="14" l="1"/>
  <c r="L260" i="14" s="1"/>
  <c r="I261" i="14" s="1"/>
  <c r="K244" i="13"/>
  <c r="L244" i="13" s="1"/>
  <c r="I245" i="13" s="1"/>
  <c r="M368" i="13"/>
  <c r="N366" i="13"/>
  <c r="J365" i="13" a="1"/>
  <c r="J365" i="13" s="1"/>
  <c r="M369" i="14"/>
  <c r="N365" i="14"/>
  <c r="J364" i="14" a="1"/>
  <c r="J364" i="14" s="1"/>
  <c r="K245" i="13" l="1"/>
  <c r="L245" i="13" s="1"/>
  <c r="I246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6" i="13" l="1"/>
  <c r="L246" i="13" s="1"/>
  <c r="I247" i="13" s="1"/>
  <c r="K262" i="14"/>
  <c r="M371" i="14"/>
  <c r="N367" i="14"/>
  <c r="J366" i="14" a="1"/>
  <c r="J366" i="14" s="1"/>
  <c r="M370" i="13"/>
  <c r="N368" i="13"/>
  <c r="J367" i="13" a="1"/>
  <c r="J367" i="13" s="1"/>
  <c r="K247" i="13" l="1"/>
  <c r="L247" i="13" s="1"/>
  <c r="I248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8" i="13" l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N371" i="13" l="1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/>
  <c r="I249" i="13" s="1"/>
  <c r="K265" i="14" l="1"/>
  <c r="L265" i="14" s="1"/>
  <c r="I266" i="14" s="1"/>
  <c r="N371" i="14"/>
  <c r="J370" i="14" a="1"/>
  <c r="J370" i="14" s="1"/>
  <c r="M375" i="14"/>
  <c r="M374" i="13"/>
  <c r="K249" i="13"/>
  <c r="N372" i="13"/>
  <c r="J371" i="13" a="1"/>
  <c r="J371" i="13" s="1"/>
  <c r="K266" i="14" l="1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/>
  <c r="I250" i="13" s="1"/>
  <c r="K267" i="14" l="1"/>
  <c r="L267" i="14" s="1"/>
  <c r="I268" i="14" s="1"/>
  <c r="M376" i="13"/>
  <c r="M377" i="14"/>
  <c r="N373" i="14"/>
  <c r="J372" i="14" a="1"/>
  <c r="J372" i="14" s="1"/>
  <c r="K250" i="13"/>
  <c r="L250" i="13" s="1"/>
  <c r="I251" i="13" s="1"/>
  <c r="N374" i="13"/>
  <c r="J373" i="13" a="1"/>
  <c r="J373" i="13" s="1"/>
  <c r="K251" i="13" l="1"/>
  <c r="L251" i="13" s="1"/>
  <c r="I252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69" i="14" l="1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/>
  <c r="L252" i="13" s="1"/>
  <c r="I253" i="13" s="1"/>
  <c r="K253" i="13" l="1"/>
  <c r="L253" i="13" s="1"/>
  <c r="I254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71" i="14" l="1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/>
  <c r="L254" i="13" s="1"/>
  <c r="I255" i="13" s="1"/>
  <c r="K255" i="13" l="1"/>
  <c r="L255" i="13" s="1"/>
  <c r="I256" i="13" s="1"/>
  <c r="K272" i="14"/>
  <c r="N378" i="14"/>
  <c r="J377" i="14" a="1"/>
  <c r="J377" i="14" s="1"/>
  <c r="M382" i="14"/>
  <c r="N379" i="13"/>
  <c r="J378" i="13" a="1"/>
  <c r="J378" i="13" s="1"/>
  <c r="M381" i="13"/>
  <c r="K256" i="13" l="1"/>
  <c r="L256" i="13" s="1"/>
  <c r="I257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7" i="13" l="1"/>
  <c r="L257" i="13" s="1"/>
  <c r="I258" i="13" s="1"/>
  <c r="N380" i="14"/>
  <c r="J379" i="14" a="1"/>
  <c r="J379" i="14" s="1"/>
  <c r="M384" i="14"/>
  <c r="K273" i="14"/>
  <c r="M383" i="13"/>
  <c r="N381" i="13"/>
  <c r="J380" i="13" a="1"/>
  <c r="J380" i="13" s="1"/>
  <c r="K258" i="13" l="1"/>
  <c r="L258" i="13" s="1"/>
  <c r="I259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9" i="13" l="1"/>
  <c r="L259" i="13" s="1"/>
  <c r="I260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75" i="14" l="1"/>
  <c r="L275" i="14" s="1"/>
  <c r="I276" i="14" s="1"/>
  <c r="K260" i="13"/>
  <c r="L260" i="13" s="1"/>
  <c r="I261" i="13" s="1"/>
  <c r="N383" i="14"/>
  <c r="J382" i="14" a="1"/>
  <c r="J382" i="14" s="1"/>
  <c r="N384" i="13"/>
  <c r="J383" i="13" a="1"/>
  <c r="J383" i="13" s="1"/>
  <c r="M387" i="14"/>
  <c r="M386" i="13"/>
  <c r="K276" i="14" l="1"/>
  <c r="L276" i="14" s="1"/>
  <c r="I277" i="14" s="1"/>
  <c r="K261" i="13"/>
  <c r="L261" i="13" s="1"/>
  <c r="I262" i="13" s="1"/>
  <c r="N385" i="13"/>
  <c r="J384" i="13" a="1"/>
  <c r="J384" i="13" s="1"/>
  <c r="M388" i="14"/>
  <c r="N384" i="14"/>
  <c r="J383" i="14" a="1"/>
  <c r="J383" i="14" s="1"/>
  <c r="M387" i="13"/>
  <c r="K262" i="13" l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78" i="14" l="1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/>
  <c r="I263" i="13" s="1"/>
  <c r="K279" i="14" l="1"/>
  <c r="L279" i="14" s="1"/>
  <c r="I280" i="14" s="1"/>
  <c r="N387" i="14"/>
  <c r="J386" i="14" a="1"/>
  <c r="J386" i="14" s="1"/>
  <c r="K263" i="13"/>
  <c r="L263" i="13" s="1"/>
  <c r="I264" i="13" s="1"/>
  <c r="M391" i="14"/>
  <c r="M390" i="13"/>
  <c r="N388" i="13"/>
  <c r="J387" i="13" a="1"/>
  <c r="J387" i="13" s="1"/>
  <c r="K280" i="14" l="1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/>
  <c r="L264" i="13" s="1"/>
  <c r="I265" i="13" s="1"/>
  <c r="K265" i="13" l="1"/>
  <c r="L265" i="13" s="1"/>
  <c r="I266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82" i="14" l="1"/>
  <c r="L282" i="14" s="1"/>
  <c r="I283" i="14" s="1"/>
  <c r="K266" i="13"/>
  <c r="L266" i="13" s="1"/>
  <c r="I267" i="13" s="1"/>
  <c r="M394" i="14"/>
  <c r="N391" i="13"/>
  <c r="J390" i="13" a="1"/>
  <c r="J390" i="13" s="1"/>
  <c r="M393" i="13"/>
  <c r="N390" i="14"/>
  <c r="J389" i="14" a="1"/>
  <c r="J389" i="14" s="1"/>
  <c r="K267" i="13" l="1"/>
  <c r="L267" i="13" s="1"/>
  <c r="I268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84" i="14" l="1"/>
  <c r="K268" i="13"/>
  <c r="L268" i="13" s="1"/>
  <c r="I269" i="13" s="1"/>
  <c r="M396" i="14"/>
  <c r="N393" i="13"/>
  <c r="J392" i="13" a="1"/>
  <c r="J392" i="13" s="1"/>
  <c r="M395" i="13"/>
  <c r="N392" i="14"/>
  <c r="J391" i="14" a="1"/>
  <c r="J391" i="14" s="1"/>
  <c r="K269" i="13" l="1"/>
  <c r="L269" i="13" s="1"/>
  <c r="I270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70" i="13" l="1"/>
  <c r="L270" i="13" s="1"/>
  <c r="I271" i="13" s="1"/>
  <c r="M398" i="14"/>
  <c r="N395" i="13"/>
  <c r="J394" i="13" a="1"/>
  <c r="J394" i="13" s="1"/>
  <c r="M397" i="13"/>
  <c r="K285" i="14"/>
  <c r="N394" i="14"/>
  <c r="J393" i="14" a="1"/>
  <c r="J393" i="14" s="1"/>
  <c r="K271" i="13" l="1"/>
  <c r="L271" i="13" s="1"/>
  <c r="I272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2" i="13" l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87" i="14" l="1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/>
  <c r="I273" i="13" s="1"/>
  <c r="K288" i="14" l="1"/>
  <c r="L288" i="14" s="1"/>
  <c r="I289" i="14" s="1"/>
  <c r="M402" i="14"/>
  <c r="N398" i="14"/>
  <c r="J397" i="14" a="1"/>
  <c r="J397" i="14" s="1"/>
  <c r="K273" i="13"/>
  <c r="N399" i="13"/>
  <c r="J398" i="13" a="1"/>
  <c r="J398" i="13" s="1"/>
  <c r="M401" i="13"/>
  <c r="M402" i="13" l="1"/>
  <c r="M403" i="14"/>
  <c r="L273" i="13"/>
  <c r="I274" i="13" s="1"/>
  <c r="N400" i="13"/>
  <c r="J399" i="13" a="1"/>
  <c r="J399" i="13" s="1"/>
  <c r="N399" i="14"/>
  <c r="J398" i="14" a="1"/>
  <c r="J398" i="14" s="1"/>
  <c r="K289" i="14"/>
  <c r="L289" i="14" s="1"/>
  <c r="I290" i="14" s="1"/>
  <c r="K290" i="14" l="1"/>
  <c r="L290" i="14" s="1"/>
  <c r="I291" i="14" s="1"/>
  <c r="N401" i="13"/>
  <c r="J400" i="13" a="1"/>
  <c r="J400" i="13" s="1"/>
  <c r="K274" i="13"/>
  <c r="L274" i="13" s="1"/>
  <c r="I275" i="13" s="1"/>
  <c r="M403" i="13"/>
  <c r="N400" i="14"/>
  <c r="J399" i="14" a="1"/>
  <c r="J399" i="14" s="1"/>
  <c r="M404" i="14"/>
  <c r="K275" i="13" l="1"/>
  <c r="L275" i="13" s="1"/>
  <c r="I276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92" i="14" l="1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/>
  <c r="L276" i="13" s="1"/>
  <c r="I277" i="13" s="1"/>
  <c r="K277" i="13" l="1"/>
  <c r="L277" i="13" s="1"/>
  <c r="I278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94" i="14" l="1"/>
  <c r="L294" i="14" s="1"/>
  <c r="I295" i="14" s="1"/>
  <c r="K278" i="13"/>
  <c r="L278" i="13" s="1"/>
  <c r="I279" i="13" s="1"/>
  <c r="N405" i="13"/>
  <c r="J404" i="13" a="1"/>
  <c r="J404" i="13" s="1"/>
  <c r="N404" i="14"/>
  <c r="J403" i="14" a="1"/>
  <c r="J403" i="14" s="1"/>
  <c r="M408" i="14"/>
  <c r="M407" i="13"/>
  <c r="K295" i="14" l="1"/>
  <c r="L295" i="14" s="1"/>
  <c r="I296" i="14" s="1"/>
  <c r="N405" i="14"/>
  <c r="J404" i="14" a="1"/>
  <c r="J404" i="14" s="1"/>
  <c r="M408" i="13"/>
  <c r="K279" i="13"/>
  <c r="L279" i="13" s="1"/>
  <c r="I280" i="13" s="1"/>
  <c r="M409" i="14"/>
  <c r="N406" i="13"/>
  <c r="J405" i="13" a="1"/>
  <c r="J405" i="13" s="1"/>
  <c r="K296" i="14" l="1"/>
  <c r="N407" i="13"/>
  <c r="J406" i="13" a="1"/>
  <c r="J406" i="13" s="1"/>
  <c r="K280" i="13"/>
  <c r="L280" i="13" s="1"/>
  <c r="I281" i="13" s="1"/>
  <c r="N406" i="14"/>
  <c r="J405" i="14" a="1"/>
  <c r="J405" i="14" s="1"/>
  <c r="M410" i="14"/>
  <c r="M409" i="13"/>
  <c r="K281" i="13" l="1"/>
  <c r="L281" i="13" s="1"/>
  <c r="I282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97" i="14" l="1"/>
  <c r="M411" i="13"/>
  <c r="N408" i="14"/>
  <c r="J407" i="14" a="1"/>
  <c r="J407" i="14" s="1"/>
  <c r="N409" i="13"/>
  <c r="J408" i="13" a="1"/>
  <c r="J408" i="13" s="1"/>
  <c r="M412" i="14"/>
  <c r="K282" i="13"/>
  <c r="L282" i="13" s="1"/>
  <c r="I283" i="13" s="1"/>
  <c r="K283" i="13" l="1"/>
  <c r="L283" i="13" s="1"/>
  <c r="I284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4" i="13" l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99" i="14" l="1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/>
  <c r="I285" i="13" s="1"/>
  <c r="K300" i="14" l="1"/>
  <c r="L300" i="14" s="1"/>
  <c r="I301" i="14" s="1"/>
  <c r="K285" i="13"/>
  <c r="L285" i="13" s="1"/>
  <c r="I286" i="13" s="1"/>
  <c r="N412" i="14"/>
  <c r="J411" i="14" a="1"/>
  <c r="J411" i="14" s="1"/>
  <c r="M415" i="13"/>
  <c r="N413" i="13"/>
  <c r="J412" i="13" a="1"/>
  <c r="J412" i="13" s="1"/>
  <c r="M416" i="14"/>
  <c r="K286" i="13" l="1"/>
  <c r="L286" i="13" s="1"/>
  <c r="I287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302" i="14" l="1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/>
  <c r="L287" i="13" s="1"/>
  <c r="I288" i="13" s="1"/>
  <c r="K288" i="13" l="1"/>
  <c r="L288" i="13" s="1"/>
  <c r="I289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9" i="13" l="1"/>
  <c r="L289" i="13" s="1"/>
  <c r="I290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305" i="14" l="1"/>
  <c r="L305" i="14" s="1"/>
  <c r="I306" i="14" s="1"/>
  <c r="K290" i="13"/>
  <c r="L290" i="13" s="1"/>
  <c r="I291" i="13" s="1"/>
  <c r="M420" i="13"/>
  <c r="N417" i="14"/>
  <c r="J416" i="14" a="1"/>
  <c r="J416" i="14" s="1"/>
  <c r="M421" i="14"/>
  <c r="N418" i="13"/>
  <c r="J417" i="13" a="1"/>
  <c r="J417" i="13" s="1"/>
  <c r="K291" i="13" l="1"/>
  <c r="L291" i="13" s="1"/>
  <c r="I292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2" i="13" l="1"/>
  <c r="L292" i="13" s="1"/>
  <c r="I293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308" i="14" l="1"/>
  <c r="L308" i="14" s="1"/>
  <c r="I309" i="14" s="1"/>
  <c r="K293" i="13"/>
  <c r="L293" i="13" s="1"/>
  <c r="I294" i="13" s="1"/>
  <c r="M424" i="14"/>
  <c r="N420" i="14"/>
  <c r="J419" i="14" a="1"/>
  <c r="J419" i="14" s="1"/>
  <c r="M423" i="13"/>
  <c r="N421" i="13"/>
  <c r="J420" i="13" a="1"/>
  <c r="J420" i="13" s="1"/>
  <c r="K294" i="13" l="1"/>
  <c r="L294" i="13" s="1"/>
  <c r="I295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5" i="13" l="1"/>
  <c r="L295" i="13" s="1"/>
  <c r="I296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6" i="13" l="1"/>
  <c r="L296" i="13" s="1"/>
  <c r="I297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312" i="14" l="1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/>
  <c r="L297" i="13" s="1"/>
  <c r="I298" i="13" s="1"/>
  <c r="K313" i="14" l="1"/>
  <c r="L313" i="14" s="1"/>
  <c r="I314" i="14" s="1"/>
  <c r="M429" i="14"/>
  <c r="K298" i="13"/>
  <c r="N426" i="13"/>
  <c r="J425" i="13" a="1"/>
  <c r="J425" i="13" s="1"/>
  <c r="M428" i="13"/>
  <c r="N425" i="14"/>
  <c r="J424" i="14" a="1"/>
  <c r="J424" i="14" s="1"/>
  <c r="K314" i="14" l="1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/>
  <c r="I299" i="13" s="1"/>
  <c r="K315" i="14" l="1"/>
  <c r="L315" i="14" s="1"/>
  <c r="I316" i="14" s="1"/>
  <c r="K299" i="13"/>
  <c r="L299" i="13" s="1"/>
  <c r="I300" i="13" s="1"/>
  <c r="M431" i="14"/>
  <c r="N428" i="13"/>
  <c r="J427" i="13" a="1"/>
  <c r="J427" i="13" s="1"/>
  <c r="M430" i="13"/>
  <c r="N427" i="14"/>
  <c r="J426" i="14" a="1"/>
  <c r="J426" i="14" s="1"/>
  <c r="K300" i="13" l="1"/>
  <c r="L300" i="13" s="1"/>
  <c r="I301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17" i="14" l="1"/>
  <c r="L317" i="14" s="1"/>
  <c r="I318" i="14" s="1"/>
  <c r="K301" i="13"/>
  <c r="L301" i="13" s="1"/>
  <c r="I302" i="13" s="1"/>
  <c r="M433" i="14"/>
  <c r="M432" i="13"/>
  <c r="N429" i="14"/>
  <c r="J428" i="14" a="1"/>
  <c r="J428" i="14" s="1"/>
  <c r="N430" i="13"/>
  <c r="J429" i="13" a="1"/>
  <c r="J429" i="13" s="1"/>
  <c r="K302" i="13" l="1"/>
  <c r="L302" i="13" s="1"/>
  <c r="I303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3" i="13" l="1"/>
  <c r="L303" i="13" s="1"/>
  <c r="I304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20" i="14" l="1"/>
  <c r="L320" i="14" s="1"/>
  <c r="I321" i="14" s="1"/>
  <c r="K304" i="13"/>
  <c r="L304" i="13" s="1"/>
  <c r="I305" i="13" s="1"/>
  <c r="M436" i="14"/>
  <c r="N432" i="14"/>
  <c r="J431" i="14" a="1"/>
  <c r="J431" i="14" s="1"/>
  <c r="N433" i="13"/>
  <c r="J432" i="13" a="1"/>
  <c r="J432" i="13" s="1"/>
  <c r="M435" i="13"/>
  <c r="K305" i="13" l="1"/>
  <c r="L305" i="13" s="1"/>
  <c r="I306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6" i="13" l="1"/>
  <c r="L306" i="13" s="1"/>
  <c r="I307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23" i="14" l="1"/>
  <c r="L323" i="14" s="1"/>
  <c r="I324" i="14" s="1"/>
  <c r="K307" i="13"/>
  <c r="L307" i="13" s="1"/>
  <c r="I308" i="13" s="1"/>
  <c r="N436" i="13"/>
  <c r="J435" i="13" a="1"/>
  <c r="J435" i="13" s="1"/>
  <c r="M439" i="14"/>
  <c r="M438" i="13"/>
  <c r="N435" i="14"/>
  <c r="J434" i="14" a="1"/>
  <c r="J434" i="14" s="1"/>
  <c r="K308" i="13" l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25" i="14" l="1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/>
  <c r="I309" i="13" s="1"/>
  <c r="K326" i="14" l="1"/>
  <c r="L326" i="14" s="1"/>
  <c r="I327" i="14" s="1"/>
  <c r="K309" i="13"/>
  <c r="L309" i="13" s="1"/>
  <c r="I310" i="13" s="1"/>
  <c r="M441" i="13"/>
  <c r="N438" i="14"/>
  <c r="J437" i="14" a="1"/>
  <c r="J437" i="14" s="1"/>
  <c r="M442" i="14"/>
  <c r="N439" i="13"/>
  <c r="J438" i="13" a="1"/>
  <c r="J438" i="13" s="1"/>
  <c r="K310" i="13" l="1"/>
  <c r="L310" i="13" s="1"/>
  <c r="I311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28" i="14" l="1"/>
  <c r="L328" i="14" s="1"/>
  <c r="I329" i="14" s="1"/>
  <c r="K311" i="13"/>
  <c r="L311" i="13" s="1"/>
  <c r="I312" i="13" s="1"/>
  <c r="N441" i="13"/>
  <c r="J440" i="13" a="1"/>
  <c r="J440" i="13" s="1"/>
  <c r="M444" i="14"/>
  <c r="M443" i="13"/>
  <c r="N440" i="14"/>
  <c r="J439" i="14" a="1"/>
  <c r="J439" i="14" s="1"/>
  <c r="K312" i="13" l="1"/>
  <c r="L312" i="13" s="1"/>
  <c r="I313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3" i="13" l="1"/>
  <c r="L313" i="13" s="1"/>
  <c r="I314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31" i="14" l="1"/>
  <c r="L331" i="14" s="1"/>
  <c r="I332" i="14" s="1"/>
  <c r="M447" i="14"/>
  <c r="N443" i="14"/>
  <c r="J442" i="14" a="1"/>
  <c r="J442" i="14" s="1"/>
  <c r="N444" i="13"/>
  <c r="J443" i="13" a="1"/>
  <c r="J443" i="13" s="1"/>
  <c r="K314" i="13"/>
  <c r="L314" i="13" s="1"/>
  <c r="I315" i="13" s="1"/>
  <c r="M446" i="13"/>
  <c r="K315" i="13" l="1"/>
  <c r="L315" i="13" s="1"/>
  <c r="I316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6" i="13" l="1"/>
  <c r="L316" i="13" s="1"/>
  <c r="I317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7" i="13" l="1"/>
  <c r="L317" i="13" s="1"/>
  <c r="I318" i="13" s="1"/>
  <c r="K334" i="14"/>
  <c r="N446" i="14"/>
  <c r="J445" i="14" a="1"/>
  <c r="J445" i="14" s="1"/>
  <c r="M450" i="14"/>
  <c r="M449" i="13"/>
  <c r="N447" i="13"/>
  <c r="J446" i="13" a="1"/>
  <c r="J446" i="13" s="1"/>
  <c r="K318" i="13" l="1"/>
  <c r="L318" i="13" s="1"/>
  <c r="I319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9" i="13" l="1"/>
  <c r="L319" i="13" s="1"/>
  <c r="I320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36" i="14" l="1"/>
  <c r="L336" i="14" s="1"/>
  <c r="I337" i="14" s="1"/>
  <c r="K320" i="13"/>
  <c r="M453" i="14"/>
  <c r="N450" i="13"/>
  <c r="J449" i="13" a="1"/>
  <c r="J449" i="13" s="1"/>
  <c r="M452" i="13"/>
  <c r="N449" i="14"/>
  <c r="J448" i="14" a="1"/>
  <c r="J448" i="14" s="1"/>
  <c r="K337" i="14" l="1"/>
  <c r="L337" i="14" s="1"/>
  <c r="I338" i="14" s="1"/>
  <c r="N450" i="14"/>
  <c r="J449" i="14" a="1"/>
  <c r="J449" i="14" s="1"/>
  <c r="L320" i="13"/>
  <c r="I321" i="13" s="1"/>
  <c r="N451" i="13"/>
  <c r="J450" i="13" a="1"/>
  <c r="J450" i="13" s="1"/>
  <c r="M453" i="13"/>
  <c r="M454" i="14"/>
  <c r="K338" i="14" l="1"/>
  <c r="L338" i="14" s="1"/>
  <c r="I339" i="14" s="1"/>
  <c r="N451" i="14"/>
  <c r="J450" i="14" a="1"/>
  <c r="J450" i="14" s="1"/>
  <c r="N452" i="13"/>
  <c r="J451" i="13" a="1"/>
  <c r="J451" i="13" s="1"/>
  <c r="M454" i="13"/>
  <c r="K321" i="13"/>
  <c r="M455" i="14"/>
  <c r="K339" i="14" l="1"/>
  <c r="L339" i="14" s="1"/>
  <c r="I340" i="14" s="1"/>
  <c r="M456" i="14"/>
  <c r="M455" i="13"/>
  <c r="N452" i="14"/>
  <c r="J451" i="14" a="1"/>
  <c r="J451" i="14" s="1"/>
  <c r="L321" i="13"/>
  <c r="I322" i="13" s="1"/>
  <c r="N453" i="13"/>
  <c r="J452" i="13" a="1"/>
  <c r="J452" i="13" s="1"/>
  <c r="K340" i="14" l="1"/>
  <c r="L340" i="14" s="1"/>
  <c r="I341" i="14" s="1"/>
  <c r="M457" i="14"/>
  <c r="N453" i="14"/>
  <c r="J452" i="14" a="1"/>
  <c r="J452" i="14" s="1"/>
  <c r="N454" i="13"/>
  <c r="J453" i="13" a="1"/>
  <c r="J453" i="13" s="1"/>
  <c r="K322" i="13"/>
  <c r="L322" i="13" s="1"/>
  <c r="I323" i="13" s="1"/>
  <c r="M456" i="13"/>
  <c r="K323" i="13" l="1"/>
  <c r="L323" i="13" s="1"/>
  <c r="I324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42" i="14" l="1"/>
  <c r="L342" i="14" s="1"/>
  <c r="I343" i="14" s="1"/>
  <c r="K324" i="13"/>
  <c r="L324" i="13" s="1"/>
  <c r="I325" i="13" s="1"/>
  <c r="N455" i="14"/>
  <c r="J454" i="14" a="1"/>
  <c r="J454" i="14" s="1"/>
  <c r="N456" i="13"/>
  <c r="J455" i="13" a="1"/>
  <c r="J455" i="13" s="1"/>
  <c r="M459" i="14"/>
  <c r="M458" i="13"/>
  <c r="K325" i="13" l="1"/>
  <c r="L325" i="13" s="1"/>
  <c r="I326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44" i="14" l="1"/>
  <c r="K326" i="13"/>
  <c r="L326" i="13" s="1"/>
  <c r="I327" i="13" s="1"/>
  <c r="N457" i="14"/>
  <c r="J456" i="14" a="1"/>
  <c r="J456" i="14" s="1"/>
  <c r="M461" i="14"/>
  <c r="M460" i="13"/>
  <c r="N458" i="13"/>
  <c r="J457" i="13" a="1"/>
  <c r="J457" i="13" s="1"/>
  <c r="K327" i="13" l="1"/>
  <c r="L327" i="13" s="1"/>
  <c r="I328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8" i="13" l="1"/>
  <c r="L328" i="13" s="1"/>
  <c r="I329" i="13" s="1"/>
  <c r="M463" i="14"/>
  <c r="N460" i="13"/>
  <c r="J459" i="13" a="1"/>
  <c r="J459" i="13" s="1"/>
  <c r="K345" i="14"/>
  <c r="N459" i="14"/>
  <c r="J458" i="14" a="1"/>
  <c r="J458" i="14" s="1"/>
  <c r="M462" i="13"/>
  <c r="K329" i="13" l="1"/>
  <c r="L329" i="13" s="1"/>
  <c r="I330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30" i="13" l="1"/>
  <c r="L330" i="13" s="1"/>
  <c r="I331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1" i="13" l="1"/>
  <c r="L331" i="13" s="1"/>
  <c r="I332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48" i="14" l="1"/>
  <c r="L348" i="14" s="1"/>
  <c r="I349" i="14" s="1"/>
  <c r="K332" i="13"/>
  <c r="L332" i="13" s="1"/>
  <c r="I333" i="13" s="1"/>
  <c r="N464" i="13"/>
  <c r="J463" i="13" a="1"/>
  <c r="J463" i="13" s="1"/>
  <c r="M467" i="14"/>
  <c r="M466" i="13"/>
  <c r="N463" i="14"/>
  <c r="J462" i="14" a="1"/>
  <c r="J462" i="14" s="1"/>
  <c r="K333" i="13" l="1"/>
  <c r="L333" i="13" s="1"/>
  <c r="I334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4" i="13" l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51" i="14" l="1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/>
  <c r="I335" i="13" s="1"/>
  <c r="K352" i="14" l="1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/>
  <c r="L335" i="13" s="1"/>
  <c r="I336" i="13" s="1"/>
  <c r="K336" i="13" l="1"/>
  <c r="L336" i="13" s="1"/>
  <c r="I337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54" i="14" l="1"/>
  <c r="L354" i="14" s="1"/>
  <c r="I355" i="14" s="1"/>
  <c r="K337" i="13"/>
  <c r="L337" i="13" s="1"/>
  <c r="I338" i="13" s="1"/>
  <c r="N469" i="14"/>
  <c r="J468" i="14" a="1"/>
  <c r="J468" i="14" s="1"/>
  <c r="M473" i="14"/>
  <c r="M472" i="13"/>
  <c r="N470" i="13"/>
  <c r="J469" i="13" a="1"/>
  <c r="J469" i="13" s="1"/>
  <c r="K338" i="13" l="1"/>
  <c r="L338" i="13" s="1"/>
  <c r="I339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56" i="14" l="1"/>
  <c r="K339" i="13"/>
  <c r="L339" i="13" s="1"/>
  <c r="I340" i="13" s="1"/>
  <c r="N472" i="13"/>
  <c r="J471" i="13" a="1"/>
  <c r="J471" i="13" s="1"/>
  <c r="N471" i="14"/>
  <c r="J470" i="14" a="1"/>
  <c r="J470" i="14" s="1"/>
  <c r="M474" i="13"/>
  <c r="M475" i="14"/>
  <c r="K340" i="13" l="1"/>
  <c r="L340" i="13" s="1"/>
  <c r="I341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1" i="13" l="1"/>
  <c r="L341" i="13" s="1"/>
  <c r="I342" i="13" s="1"/>
  <c r="N474" i="13"/>
  <c r="J473" i="13" a="1"/>
  <c r="J473" i="13" s="1"/>
  <c r="M476" i="13"/>
  <c r="K357" i="14"/>
  <c r="M477" i="14"/>
  <c r="N473" i="14"/>
  <c r="J472" i="14" a="1"/>
  <c r="J472" i="14" s="1"/>
  <c r="K342" i="13" l="1"/>
  <c r="L342" i="13" s="1"/>
  <c r="I343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3" i="13" l="1"/>
  <c r="L343" i="13" s="1"/>
  <c r="I344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59" i="14" l="1"/>
  <c r="L359" i="14" s="1"/>
  <c r="I360" i="14" s="1"/>
  <c r="K344" i="13"/>
  <c r="N477" i="13"/>
  <c r="J476" i="13" a="1"/>
  <c r="J476" i="13" s="1"/>
  <c r="M479" i="13"/>
  <c r="M480" i="14"/>
  <c r="N476" i="14"/>
  <c r="J475" i="14" a="1"/>
  <c r="J475" i="14" s="1"/>
  <c r="K360" i="14" l="1"/>
  <c r="L360" i="14" s="1"/>
  <c r="I361" i="14" s="1"/>
  <c r="M480" i="13"/>
  <c r="N477" i="14"/>
  <c r="J476" i="14" a="1"/>
  <c r="J476" i="14" s="1"/>
  <c r="L344" i="13"/>
  <c r="I345" i="13" s="1"/>
  <c r="M481" i="14"/>
  <c r="N478" i="13"/>
  <c r="J477" i="13" a="1"/>
  <c r="J477" i="13" s="1"/>
  <c r="K361" i="14" l="1"/>
  <c r="L361" i="14" s="1"/>
  <c r="I362" i="14" s="1"/>
  <c r="M482" i="14"/>
  <c r="N478" i="14"/>
  <c r="J477" i="14" a="1"/>
  <c r="J477" i="14" s="1"/>
  <c r="N479" i="13"/>
  <c r="J478" i="13" a="1"/>
  <c r="J478" i="13" s="1"/>
  <c r="K345" i="13"/>
  <c r="L345" i="13" s="1"/>
  <c r="I346" i="13" s="1"/>
  <c r="M481" i="13"/>
  <c r="K346" i="13" l="1"/>
  <c r="L346" i="13" s="1"/>
  <c r="I347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7" i="13" l="1"/>
  <c r="L347" i="13" s="1"/>
  <c r="I348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64" i="14" l="1"/>
  <c r="L364" i="14" s="1"/>
  <c r="I365" i="14" s="1"/>
  <c r="K348" i="13"/>
  <c r="L348" i="13" s="1"/>
  <c r="I349" i="13" s="1"/>
  <c r="M484" i="13"/>
  <c r="N482" i="13"/>
  <c r="J481" i="13" a="1"/>
  <c r="J481" i="13" s="1"/>
  <c r="M485" i="14"/>
  <c r="N481" i="14"/>
  <c r="J480" i="14" a="1"/>
  <c r="J480" i="14" s="1"/>
  <c r="K349" i="13" l="1"/>
  <c r="L349" i="13" s="1"/>
  <c r="I350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66" i="14" l="1"/>
  <c r="L366" i="14" s="1"/>
  <c r="I367" i="14" s="1"/>
  <c r="K350" i="13"/>
  <c r="L350" i="13" s="1"/>
  <c r="I351" i="13" s="1"/>
  <c r="M486" i="13"/>
  <c r="N484" i="13"/>
  <c r="J483" i="13" a="1"/>
  <c r="J483" i="13" s="1"/>
  <c r="M487" i="14"/>
  <c r="N483" i="14"/>
  <c r="J482" i="14" a="1"/>
  <c r="J482" i="14" s="1"/>
  <c r="K351" i="13" l="1"/>
  <c r="L351" i="13" s="1"/>
  <c r="I352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68" i="14" l="1"/>
  <c r="L368" i="14" s="1"/>
  <c r="I369" i="14" s="1"/>
  <c r="K352" i="13"/>
  <c r="L352" i="13" s="1"/>
  <c r="I353" i="13" s="1"/>
  <c r="M489" i="14"/>
  <c r="N485" i="14"/>
  <c r="J484" i="14" a="1"/>
  <c r="J484" i="14" s="1"/>
  <c r="M488" i="13"/>
  <c r="N486" i="13"/>
  <c r="J485" i="13" a="1"/>
  <c r="J485" i="13" s="1"/>
  <c r="N487" i="13" l="1"/>
  <c r="J486" i="13" a="1"/>
  <c r="J486" i="13" s="1"/>
  <c r="N486" i="14"/>
  <c r="J485" i="14" a="1"/>
  <c r="J485" i="14" s="1"/>
  <c r="K353" i="13"/>
  <c r="L353" i="13" s="1"/>
  <c r="I354" i="13" s="1"/>
  <c r="M489" i="13"/>
  <c r="M490" i="14"/>
  <c r="K369" i="14"/>
  <c r="L369" i="14" s="1"/>
  <c r="I370" i="14" s="1"/>
  <c r="K354" i="13" l="1"/>
  <c r="L354" i="13" s="1"/>
  <c r="I355" i="13" s="1"/>
  <c r="N487" i="14"/>
  <c r="J486" i="14" a="1"/>
  <c r="J486" i="14" s="1"/>
  <c r="K370" i="14"/>
  <c r="M490" i="13"/>
  <c r="M491" i="14"/>
  <c r="N488" i="13"/>
  <c r="J487" i="13" a="1"/>
  <c r="J487" i="13" s="1"/>
  <c r="K355" i="13" l="1"/>
  <c r="L355" i="13" s="1"/>
  <c r="I356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6" i="13" l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N490" i="14" l="1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/>
  <c r="I357" i="13" s="1"/>
  <c r="K373" i="14" l="1"/>
  <c r="L373" i="14" s="1"/>
  <c r="I374" i="14" s="1"/>
  <c r="N492" i="13"/>
  <c r="J491" i="13" a="1"/>
  <c r="J491" i="13" s="1"/>
  <c r="M494" i="13"/>
  <c r="K357" i="13"/>
  <c r="M495" i="14"/>
  <c r="N491" i="14"/>
  <c r="J490" i="14" a="1"/>
  <c r="J490" i="14" s="1"/>
  <c r="K374" i="14" l="1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/>
  <c r="I358" i="13" s="1"/>
  <c r="K375" i="14" l="1"/>
  <c r="L375" i="14" s="1"/>
  <c r="I376" i="14" s="1"/>
  <c r="K358" i="13"/>
  <c r="L358" i="13" s="1"/>
  <c r="I359" i="13" s="1"/>
  <c r="N494" i="13"/>
  <c r="J493" i="13" a="1"/>
  <c r="J493" i="13" s="1"/>
  <c r="M497" i="14"/>
  <c r="N493" i="14"/>
  <c r="J492" i="14" a="1"/>
  <c r="J492" i="14" s="1"/>
  <c r="M496" i="13"/>
  <c r="K376" i="14" l="1"/>
  <c r="L376" i="14" s="1"/>
  <c r="I377" i="14" s="1"/>
  <c r="K359" i="13"/>
  <c r="L359" i="13" s="1"/>
  <c r="I360" i="13" s="1"/>
  <c r="N494" i="14"/>
  <c r="J493" i="14" a="1"/>
  <c r="J493" i="14" s="1"/>
  <c r="M497" i="13"/>
  <c r="M498" i="14"/>
  <c r="N495" i="13"/>
  <c r="J494" i="13" a="1"/>
  <c r="J494" i="13" s="1"/>
  <c r="K377" i="14" l="1"/>
  <c r="L377" i="14" s="1"/>
  <c r="I378" i="14" s="1"/>
  <c r="K360" i="13"/>
  <c r="L360" i="13" s="1"/>
  <c r="I361" i="13" s="1"/>
  <c r="N496" i="13"/>
  <c r="J495" i="13" a="1"/>
  <c r="J495" i="13" s="1"/>
  <c r="M498" i="13"/>
  <c r="M499" i="14"/>
  <c r="N495" i="14"/>
  <c r="J494" i="14" a="1"/>
  <c r="J494" i="14" s="1"/>
  <c r="K361" i="13" l="1"/>
  <c r="L361" i="13" s="1"/>
  <c r="I362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79" i="14" l="1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/>
  <c r="L362" i="13" s="1"/>
  <c r="I363" i="13" s="1"/>
  <c r="K363" i="13" l="1"/>
  <c r="L363" i="13" s="1"/>
  <c r="I364" i="13" s="1"/>
  <c r="K380" i="14"/>
  <c r="M502" i="14"/>
  <c r="N499" i="13"/>
  <c r="J498" i="13" a="1"/>
  <c r="J498" i="13" s="1"/>
  <c r="M501" i="13"/>
  <c r="N498" i="14"/>
  <c r="J497" i="14" a="1"/>
  <c r="J497" i="14" s="1"/>
  <c r="K364" i="13" l="1"/>
  <c r="L364" i="13" s="1"/>
  <c r="I365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5" i="13" l="1"/>
  <c r="L365" i="13" s="1"/>
  <c r="I366" i="13" s="1"/>
  <c r="N500" i="14"/>
  <c r="J499" i="14" a="1"/>
  <c r="J499" i="14" s="1"/>
  <c r="M504" i="14"/>
  <c r="K381" i="14"/>
  <c r="M503" i="13"/>
  <c r="N501" i="13"/>
  <c r="J500" i="13" a="1"/>
  <c r="J500" i="13" s="1"/>
  <c r="K366" i="13" l="1"/>
  <c r="L366" i="13" s="1"/>
  <c r="I367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7" i="13" l="1"/>
  <c r="L367" i="13" s="1"/>
  <c r="I368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8" i="13" l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84" i="14" l="1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/>
  <c r="I369" i="13" s="1"/>
  <c r="K385" i="14" l="1"/>
  <c r="L385" i="14" s="1"/>
  <c r="I386" i="14" s="1"/>
  <c r="K369" i="13"/>
  <c r="L369" i="13" s="1"/>
  <c r="I370" i="13" s="1"/>
  <c r="M508" i="13"/>
  <c r="M509" i="14"/>
  <c r="N505" i="14"/>
  <c r="J504" i="14" a="1"/>
  <c r="J504" i="14" s="1"/>
  <c r="N506" i="13"/>
  <c r="J505" i="13" a="1"/>
  <c r="J505" i="13" s="1"/>
  <c r="K370" i="13" l="1"/>
  <c r="L370" i="13" s="1"/>
  <c r="I371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1" i="13" l="1"/>
  <c r="L371" i="13" s="1"/>
  <c r="I372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88" i="14" l="1"/>
  <c r="L388" i="14" s="1"/>
  <c r="I389" i="14" s="1"/>
  <c r="K372" i="13"/>
  <c r="L372" i="13" s="1"/>
  <c r="I373" i="13" s="1"/>
  <c r="N508" i="14"/>
  <c r="J507" i="14" a="1"/>
  <c r="J507" i="14" s="1"/>
  <c r="N509" i="13"/>
  <c r="J508" i="13" a="1"/>
  <c r="J508" i="13" s="1"/>
  <c r="M511" i="13"/>
  <c r="M512" i="14"/>
  <c r="K373" i="13" l="1"/>
  <c r="L373" i="13" s="1"/>
  <c r="I374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90" i="14" l="1"/>
  <c r="L390" i="14" s="1"/>
  <c r="I391" i="14" s="1"/>
  <c r="K374" i="13"/>
  <c r="L374" i="13" s="1"/>
  <c r="I375" i="13" s="1"/>
  <c r="M513" i="13"/>
  <c r="J509" i="14" a="1"/>
  <c r="J509" i="14" s="1"/>
  <c r="N510" i="14"/>
  <c r="M514" i="14"/>
  <c r="N511" i="13"/>
  <c r="J510" i="13" a="1"/>
  <c r="J510" i="13" s="1"/>
  <c r="K375" i="13" l="1"/>
  <c r="L375" i="13" s="1"/>
  <c r="I376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92" i="14" l="1"/>
  <c r="L392" i="14" s="1"/>
  <c r="I393" i="14" s="1"/>
  <c r="K376" i="13"/>
  <c r="L376" i="13" s="1"/>
  <c r="I377" i="13" s="1"/>
  <c r="M515" i="13"/>
  <c r="N513" i="13"/>
  <c r="J512" i="13" a="1"/>
  <c r="J512" i="13" s="1"/>
  <c r="M516" i="14"/>
  <c r="J511" i="14" a="1"/>
  <c r="J511" i="14" s="1"/>
  <c r="N512" i="14"/>
  <c r="K377" i="13" l="1"/>
  <c r="L377" i="13" s="1"/>
  <c r="I378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94" i="14" l="1"/>
  <c r="K378" i="13"/>
  <c r="L378" i="13" s="1"/>
  <c r="I379" i="13" s="1"/>
  <c r="J513" i="14" a="1"/>
  <c r="J513" i="14" s="1"/>
  <c r="N514" i="14"/>
  <c r="N515" i="13"/>
  <c r="J514" i="13" a="1"/>
  <c r="J514" i="13" s="1"/>
  <c r="M517" i="13"/>
  <c r="M518" i="14"/>
  <c r="K379" i="13" l="1"/>
  <c r="L379" i="13" s="1"/>
  <c r="I380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80" i="13" l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N518" i="13" l="1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/>
  <c r="I381" i="13" s="1"/>
  <c r="K397" i="14" l="1"/>
  <c r="L397" i="14" s="1"/>
  <c r="I398" i="14" s="1"/>
  <c r="K381" i="13"/>
  <c r="J517" i="14" a="1"/>
  <c r="J517" i="14" s="1"/>
  <c r="N518" i="14"/>
  <c r="M522" i="14"/>
  <c r="M521" i="13"/>
  <c r="N519" i="13"/>
  <c r="J518" i="13" a="1"/>
  <c r="J518" i="13" s="1"/>
  <c r="K398" i="14" l="1"/>
  <c r="L398" i="14" s="1"/>
  <c r="I399" i="14" s="1"/>
  <c r="N520" i="13"/>
  <c r="J519" i="13" a="1"/>
  <c r="J519" i="13" s="1"/>
  <c r="L381" i="13"/>
  <c r="I382" i="13" s="1"/>
  <c r="M523" i="14"/>
  <c r="M522" i="13"/>
  <c r="J518" i="14" a="1"/>
  <c r="J518" i="14" s="1"/>
  <c r="N519" i="14"/>
  <c r="J519" i="14" l="1" a="1"/>
  <c r="J519" i="14" s="1"/>
  <c r="N520" i="14"/>
  <c r="M524" i="14"/>
  <c r="N521" i="13"/>
  <c r="J520" i="13" a="1"/>
  <c r="J520" i="13" s="1"/>
  <c r="M523" i="13"/>
  <c r="K382" i="13"/>
  <c r="L382" i="13" s="1"/>
  <c r="I383" i="13" s="1"/>
  <c r="K399" i="14"/>
  <c r="L399" i="14" s="1"/>
  <c r="I400" i="14" s="1"/>
  <c r="K383" i="13" l="1"/>
  <c r="L383" i="13" s="1"/>
  <c r="I384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401" i="14" l="1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/>
  <c r="L384" i="13" s="1"/>
  <c r="I385" i="13" s="1"/>
  <c r="K385" i="13" l="1"/>
  <c r="L385" i="13" s="1"/>
  <c r="I386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403" i="14" l="1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/>
  <c r="L386" i="13" s="1"/>
  <c r="I387" i="13" s="1"/>
  <c r="K387" i="13" l="1"/>
  <c r="L387" i="13" s="1"/>
  <c r="I388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N527" i="13" l="1"/>
  <c r="J526" i="13" a="1"/>
  <c r="J526" i="13" s="1"/>
  <c r="M530" i="14"/>
  <c r="K405" i="14"/>
  <c r="J525" i="14" a="1"/>
  <c r="J525" i="14" s="1"/>
  <c r="N526" i="14"/>
  <c r="M529" i="13"/>
  <c r="K388" i="13"/>
  <c r="L388" i="13" s="1"/>
  <c r="I389" i="13" s="1"/>
  <c r="K389" i="13" l="1"/>
  <c r="L389" i="13" s="1"/>
  <c r="I390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90" i="13" l="1"/>
  <c r="L390" i="13" s="1"/>
  <c r="I391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407" i="14" l="1"/>
  <c r="L407" i="14" s="1"/>
  <c r="I408" i="14" s="1"/>
  <c r="K391" i="13"/>
  <c r="L391" i="13" s="1"/>
  <c r="I392" i="13" s="1"/>
  <c r="J528" i="14" a="1"/>
  <c r="J528" i="14" s="1"/>
  <c r="N529" i="14"/>
  <c r="M532" i="13"/>
  <c r="N530" i="13"/>
  <c r="J529" i="13" a="1"/>
  <c r="J529" i="13" s="1"/>
  <c r="M533" i="14"/>
  <c r="K408" i="14" l="1"/>
  <c r="L408" i="14" s="1"/>
  <c r="I409" i="14" s="1"/>
  <c r="N531" i="13"/>
  <c r="J530" i="13" a="1"/>
  <c r="J530" i="13" s="1"/>
  <c r="M534" i="14"/>
  <c r="M533" i="13"/>
  <c r="K392" i="13"/>
  <c r="J529" i="14" a="1"/>
  <c r="J529" i="14" s="1"/>
  <c r="N530" i="14"/>
  <c r="K409" i="14" l="1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/>
  <c r="I393" i="13" s="1"/>
  <c r="K410" i="14" l="1"/>
  <c r="L410" i="14" s="1"/>
  <c r="I411" i="14" s="1"/>
  <c r="J531" i="14" a="1"/>
  <c r="J531" i="14" s="1"/>
  <c r="N532" i="14"/>
  <c r="K393" i="13"/>
  <c r="M536" i="14"/>
  <c r="N533" i="13"/>
  <c r="J532" i="13" a="1"/>
  <c r="J532" i="13" s="1"/>
  <c r="M535" i="13"/>
  <c r="K411" i="14" l="1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/>
  <c r="I394" i="13" s="1"/>
  <c r="K412" i="14" l="1"/>
  <c r="L412" i="14" s="1"/>
  <c r="I413" i="14" s="1"/>
  <c r="J533" i="14" a="1"/>
  <c r="J533" i="14" s="1"/>
  <c r="N534" i="14"/>
  <c r="M537" i="13"/>
  <c r="K394" i="13"/>
  <c r="L394" i="13" s="1"/>
  <c r="I395" i="13" s="1"/>
  <c r="N535" i="13"/>
  <c r="J534" i="13" a="1"/>
  <c r="J534" i="13" s="1"/>
  <c r="M538" i="14"/>
  <c r="K395" i="13" l="1"/>
  <c r="L395" i="13" s="1"/>
  <c r="I396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414" i="14" l="1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/>
  <c r="L396" i="13" s="1"/>
  <c r="I397" i="13" s="1"/>
  <c r="K397" i="13" l="1"/>
  <c r="L397" i="13" s="1"/>
  <c r="I398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416" i="14" l="1"/>
  <c r="K398" i="13"/>
  <c r="L398" i="13" s="1"/>
  <c r="I399" i="13" s="1"/>
  <c r="J537" i="14" a="1"/>
  <c r="J537" i="14" s="1"/>
  <c r="N538" i="14"/>
  <c r="M541" i="13"/>
  <c r="N539" i="13"/>
  <c r="J538" i="13" a="1"/>
  <c r="J538" i="13" s="1"/>
  <c r="M542" i="14"/>
  <c r="K399" i="13" l="1"/>
  <c r="L399" i="13" s="1"/>
  <c r="I400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400" i="13" l="1"/>
  <c r="L400" i="13" s="1"/>
  <c r="I401" i="13" s="1"/>
  <c r="M544" i="14"/>
  <c r="J539" i="14" a="1"/>
  <c r="J539" i="14" s="1"/>
  <c r="N540" i="14"/>
  <c r="M543" i="13"/>
  <c r="K417" i="14"/>
  <c r="N541" i="13"/>
  <c r="J540" i="13" a="1"/>
  <c r="J540" i="13" s="1"/>
  <c r="K401" i="13" l="1"/>
  <c r="L401" i="13" s="1"/>
  <c r="I402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2" i="13" l="1"/>
  <c r="L402" i="13" s="1"/>
  <c r="I403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19" i="14" l="1"/>
  <c r="L419" i="14" s="1"/>
  <c r="I420" i="14" s="1"/>
  <c r="K403" i="13"/>
  <c r="L403" i="13" s="1"/>
  <c r="I404" i="13" s="1"/>
  <c r="M546" i="13"/>
  <c r="M547" i="14"/>
  <c r="N544" i="13"/>
  <c r="J543" i="13" a="1"/>
  <c r="J543" i="13" s="1"/>
  <c r="J542" i="14" a="1"/>
  <c r="J542" i="14" s="1"/>
  <c r="N543" i="14"/>
  <c r="K404" i="13" l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21" i="14" l="1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/>
  <c r="I405" i="13" s="1"/>
  <c r="K422" i="14" l="1"/>
  <c r="L422" i="14" s="1"/>
  <c r="I423" i="14" s="1"/>
  <c r="K405" i="13"/>
  <c r="M549" i="13"/>
  <c r="M550" i="14"/>
  <c r="J545" i="14" a="1"/>
  <c r="J545" i="14" s="1"/>
  <c r="N546" i="14"/>
  <c r="N547" i="13"/>
  <c r="J546" i="13" a="1"/>
  <c r="J546" i="13" s="1"/>
  <c r="K423" i="14" l="1"/>
  <c r="L423" i="14" s="1"/>
  <c r="I424" i="14" s="1"/>
  <c r="L405" i="13"/>
  <c r="I406" i="13" s="1"/>
  <c r="J546" i="14" a="1"/>
  <c r="J546" i="14" s="1"/>
  <c r="N547" i="14"/>
  <c r="M550" i="13"/>
  <c r="M551" i="14"/>
  <c r="N548" i="13"/>
  <c r="J547" i="13" a="1"/>
  <c r="J547" i="13" s="1"/>
  <c r="K424" i="14" l="1"/>
  <c r="L424" i="14" s="1"/>
  <c r="I425" i="14" s="1"/>
  <c r="K406" i="13"/>
  <c r="L406" i="13" s="1"/>
  <c r="I407" i="13" s="1"/>
  <c r="J547" i="14" a="1"/>
  <c r="J547" i="14" s="1"/>
  <c r="N548" i="14"/>
  <c r="M551" i="13"/>
  <c r="N549" i="13"/>
  <c r="J548" i="13" a="1"/>
  <c r="J548" i="13" s="1"/>
  <c r="M552" i="14"/>
  <c r="K407" i="13" l="1"/>
  <c r="L407" i="13" s="1"/>
  <c r="I408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26" i="14" l="1"/>
  <c r="L426" i="14" s="1"/>
  <c r="I427" i="14" s="1"/>
  <c r="K408" i="13"/>
  <c r="L408" i="13" s="1"/>
  <c r="I409" i="13" s="1"/>
  <c r="M554" i="14"/>
  <c r="M553" i="13"/>
  <c r="J549" i="14" a="1"/>
  <c r="J549" i="14" s="1"/>
  <c r="N550" i="14"/>
  <c r="N551" i="13"/>
  <c r="J550" i="13" a="1"/>
  <c r="J550" i="13" s="1"/>
  <c r="K409" i="13" l="1"/>
  <c r="L409" i="13" s="1"/>
  <c r="I410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10" i="13" l="1"/>
  <c r="L410" i="13" s="1"/>
  <c r="I411" i="13" s="1"/>
  <c r="K428" i="14"/>
  <c r="N553" i="13"/>
  <c r="J552" i="13" a="1"/>
  <c r="J552" i="13" s="1"/>
  <c r="J551" i="14" a="1"/>
  <c r="J551" i="14" s="1"/>
  <c r="N552" i="14"/>
  <c r="M556" i="14"/>
  <c r="M555" i="13"/>
  <c r="K411" i="13" l="1"/>
  <c r="L411" i="13" s="1"/>
  <c r="I412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2" i="13" l="1"/>
  <c r="L412" i="13" s="1"/>
  <c r="I413" i="13" s="1"/>
  <c r="K429" i="14"/>
  <c r="J553" i="14" a="1"/>
  <c r="J553" i="14" s="1"/>
  <c r="N554" i="14"/>
  <c r="M558" i="14"/>
  <c r="N555" i="13"/>
  <c r="J554" i="13" a="1"/>
  <c r="J554" i="13" s="1"/>
  <c r="M557" i="13"/>
  <c r="K413" i="13" l="1"/>
  <c r="L413" i="13" s="1"/>
  <c r="I414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4" i="13" l="1"/>
  <c r="L414" i="13" s="1"/>
  <c r="I415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31" i="14" l="1"/>
  <c r="L431" i="14" s="1"/>
  <c r="I432" i="14" s="1"/>
  <c r="K415" i="13"/>
  <c r="L415" i="13" s="1"/>
  <c r="I416" i="13" s="1"/>
  <c r="M561" i="14"/>
  <c r="M560" i="13"/>
  <c r="N558" i="13"/>
  <c r="J557" i="13" a="1"/>
  <c r="J557" i="13" s="1"/>
  <c r="J556" i="14" a="1"/>
  <c r="J556" i="14" s="1"/>
  <c r="N557" i="14"/>
  <c r="K416" i="13" l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33" i="14" l="1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/>
  <c r="I417" i="13" s="1"/>
  <c r="K434" i="14" l="1"/>
  <c r="L434" i="14" s="1"/>
  <c r="I435" i="14" s="1"/>
  <c r="M564" i="14"/>
  <c r="K417" i="13"/>
  <c r="J559" i="14" a="1"/>
  <c r="J559" i="14" s="1"/>
  <c r="N560" i="14"/>
  <c r="M563" i="13"/>
  <c r="N561" i="13"/>
  <c r="J560" i="13" a="1"/>
  <c r="J560" i="13" s="1"/>
  <c r="K435" i="14" l="1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/>
  <c r="I418" i="13" s="1"/>
  <c r="K436" i="14" l="1"/>
  <c r="L436" i="14" s="1"/>
  <c r="I437" i="14" s="1"/>
  <c r="K418" i="13"/>
  <c r="L418" i="13" s="1"/>
  <c r="I419" i="13" s="1"/>
  <c r="J561" i="14" a="1"/>
  <c r="J561" i="14" s="1"/>
  <c r="N562" i="14"/>
  <c r="M565" i="13"/>
  <c r="N563" i="13"/>
  <c r="J562" i="13" a="1"/>
  <c r="J562" i="13" s="1"/>
  <c r="M566" i="14"/>
  <c r="K419" i="13" l="1"/>
  <c r="L419" i="13" s="1"/>
  <c r="I420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38" i="14" l="1"/>
  <c r="L438" i="14" s="1"/>
  <c r="I439" i="14" s="1"/>
  <c r="K420" i="13"/>
  <c r="L420" i="13" s="1"/>
  <c r="I421" i="13" s="1"/>
  <c r="M568" i="14"/>
  <c r="N565" i="13"/>
  <c r="J564" i="13" a="1"/>
  <c r="J564" i="13" s="1"/>
  <c r="J563" i="14" a="1"/>
  <c r="J563" i="14" s="1"/>
  <c r="N564" i="14"/>
  <c r="M567" i="13"/>
  <c r="K421" i="13" l="1"/>
  <c r="L421" i="13" s="1"/>
  <c r="I422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40" i="14" l="1"/>
  <c r="K422" i="13"/>
  <c r="L422" i="13" s="1"/>
  <c r="I423" i="13" s="1"/>
  <c r="M570" i="14"/>
  <c r="N567" i="13"/>
  <c r="J566" i="13" a="1"/>
  <c r="J566" i="13" s="1"/>
  <c r="J565" i="14" a="1"/>
  <c r="J565" i="14" s="1"/>
  <c r="N566" i="14"/>
  <c r="M569" i="13"/>
  <c r="K423" i="13" l="1"/>
  <c r="L423" i="13" s="1"/>
  <c r="I424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4" i="13" l="1"/>
  <c r="L424" i="13" s="1"/>
  <c r="I425" i="13" s="1"/>
  <c r="M572" i="14"/>
  <c r="N569" i="13"/>
  <c r="J568" i="13" a="1"/>
  <c r="J568" i="13" s="1"/>
  <c r="K441" i="14"/>
  <c r="J567" i="14" a="1"/>
  <c r="J567" i="14" s="1"/>
  <c r="N568" i="14"/>
  <c r="M571" i="13"/>
  <c r="K425" i="13" l="1"/>
  <c r="L425" i="13" s="1"/>
  <c r="I426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6" i="13" l="1"/>
  <c r="L426" i="13" s="1"/>
  <c r="I427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43" i="14" l="1"/>
  <c r="L443" i="14" s="1"/>
  <c r="I444" i="14" s="1"/>
  <c r="K427" i="13"/>
  <c r="L427" i="13" s="1"/>
  <c r="I428" i="13" s="1"/>
  <c r="M575" i="14"/>
  <c r="M574" i="13"/>
  <c r="J570" i="14" a="1"/>
  <c r="J570" i="14" s="1"/>
  <c r="N571" i="14"/>
  <c r="N572" i="13"/>
  <c r="J571" i="13" a="1"/>
  <c r="J571" i="13" s="1"/>
  <c r="K428" i="13" l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45" i="14" l="1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/>
  <c r="I429" i="13" s="1"/>
  <c r="K446" i="14" l="1"/>
  <c r="L446" i="14" s="1"/>
  <c r="I447" i="14" s="1"/>
  <c r="J573" i="14" a="1"/>
  <c r="J573" i="14" s="1"/>
  <c r="N574" i="14"/>
  <c r="N575" i="13"/>
  <c r="J574" i="13" a="1"/>
  <c r="J574" i="13" s="1"/>
  <c r="M578" i="14"/>
  <c r="K429" i="13"/>
  <c r="L429" i="13" s="1"/>
  <c r="I430" i="13" s="1"/>
  <c r="M577" i="13"/>
  <c r="K430" i="13" l="1"/>
  <c r="L430" i="13" s="1"/>
  <c r="I431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1" i="13" l="1"/>
  <c r="L431" i="13" s="1"/>
  <c r="I432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2" i="13" l="1"/>
  <c r="L432" i="13" s="1"/>
  <c r="I433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50" i="14" l="1"/>
  <c r="L450" i="14" s="1"/>
  <c r="I451" i="14" s="1"/>
  <c r="K433" i="13"/>
  <c r="L433" i="13" s="1"/>
  <c r="I434" i="13" s="1"/>
  <c r="J577" i="14" a="1"/>
  <c r="J577" i="14" s="1"/>
  <c r="N578" i="14"/>
  <c r="M581" i="13"/>
  <c r="M582" i="14"/>
  <c r="N579" i="13"/>
  <c r="J578" i="13" a="1"/>
  <c r="J578" i="13" s="1"/>
  <c r="K434" i="13" l="1"/>
  <c r="L434" i="13" s="1"/>
  <c r="I435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52" i="14" l="1"/>
  <c r="K435" i="13"/>
  <c r="L435" i="13" s="1"/>
  <c r="I436" i="13" s="1"/>
  <c r="M584" i="14"/>
  <c r="M583" i="13"/>
  <c r="J579" i="14" a="1"/>
  <c r="J579" i="14" s="1"/>
  <c r="N580" i="14"/>
  <c r="N581" i="13"/>
  <c r="J580" i="13" a="1"/>
  <c r="J580" i="13" s="1"/>
  <c r="K436" i="13" l="1"/>
  <c r="L436" i="13" s="1"/>
  <c r="I437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7" i="13" l="1"/>
  <c r="L437" i="13" s="1"/>
  <c r="I438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54" i="14" l="1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/>
  <c r="L438" i="13" s="1"/>
  <c r="I439" i="13" s="1"/>
  <c r="K439" i="13" l="1"/>
  <c r="L439" i="13" s="1"/>
  <c r="I440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56" i="14" l="1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/>
  <c r="L440" i="13" s="1"/>
  <c r="I441" i="13" s="1"/>
  <c r="K457" i="14" l="1"/>
  <c r="L457" i="14" s="1"/>
  <c r="I458" i="14" s="1"/>
  <c r="K441" i="13"/>
  <c r="L441" i="13" s="1"/>
  <c r="I442" i="13" s="1"/>
  <c r="M589" i="13"/>
  <c r="N587" i="13"/>
  <c r="J586" i="13" a="1"/>
  <c r="J586" i="13" s="1"/>
  <c r="J585" i="14" a="1"/>
  <c r="J585" i="14" s="1"/>
  <c r="N586" i="14"/>
  <c r="M590" i="14"/>
  <c r="K442" i="13" l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59" i="14" l="1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/>
  <c r="I443" i="13" s="1"/>
  <c r="K460" i="14" l="1"/>
  <c r="L460" i="14" s="1"/>
  <c r="I461" i="14" s="1"/>
  <c r="M592" i="13"/>
  <c r="M593" i="14"/>
  <c r="J588" i="14" a="1"/>
  <c r="J588" i="14" s="1"/>
  <c r="N589" i="14"/>
  <c r="K443" i="13"/>
  <c r="L443" i="13" s="1"/>
  <c r="I444" i="13" s="1"/>
  <c r="N590" i="13"/>
  <c r="J589" i="13" a="1"/>
  <c r="J589" i="13" s="1"/>
  <c r="K444" i="13" l="1"/>
  <c r="L444" i="13" s="1"/>
  <c r="I445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62" i="14" l="1"/>
  <c r="L462" i="14" s="1"/>
  <c r="I463" i="14" s="1"/>
  <c r="K445" i="13"/>
  <c r="L445" i="13" s="1"/>
  <c r="I446" i="13" s="1"/>
  <c r="M595" i="14"/>
  <c r="M594" i="13"/>
  <c r="J590" i="14" a="1"/>
  <c r="J590" i="14" s="1"/>
  <c r="N591" i="14"/>
  <c r="N592" i="13"/>
  <c r="J591" i="13" a="1"/>
  <c r="J591" i="13" s="1"/>
  <c r="K446" i="13" l="1"/>
  <c r="L446" i="13" s="1"/>
  <c r="I447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64" i="14" l="1"/>
  <c r="K447" i="13"/>
  <c r="L447" i="13" s="1"/>
  <c r="I448" i="13" s="1"/>
  <c r="M597" i="14"/>
  <c r="N594" i="13"/>
  <c r="J593" i="13" a="1"/>
  <c r="J593" i="13" s="1"/>
  <c r="J592" i="14" a="1"/>
  <c r="J592" i="14" s="1"/>
  <c r="N593" i="14"/>
  <c r="M596" i="13"/>
  <c r="K448" i="13" l="1"/>
  <c r="L448" i="13" s="1"/>
  <c r="I449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9" i="13" l="1"/>
  <c r="L449" i="13" s="1"/>
  <c r="I450" i="13" s="1"/>
  <c r="M598" i="13"/>
  <c r="K465" i="14"/>
  <c r="M599" i="14"/>
  <c r="J594" i="14" a="1"/>
  <c r="J594" i="14" s="1"/>
  <c r="N595" i="14"/>
  <c r="N596" i="13"/>
  <c r="J595" i="13" a="1"/>
  <c r="J595" i="13" s="1"/>
  <c r="K450" i="13" l="1"/>
  <c r="L450" i="13" s="1"/>
  <c r="I451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1" i="13" l="1"/>
  <c r="L451" i="13" s="1"/>
  <c r="I452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M602" i="14" l="1"/>
  <c r="K452" i="13"/>
  <c r="L452" i="13" s="1"/>
  <c r="I453" i="13" s="1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68" i="14" l="1"/>
  <c r="L468" i="14" s="1"/>
  <c r="I469" i="14" s="1"/>
  <c r="K453" i="13"/>
  <c r="L453" i="13" s="1"/>
  <c r="I454" i="13" s="1"/>
  <c r="M602" i="13"/>
  <c r="J598" i="14" a="1"/>
  <c r="J598" i="14" s="1"/>
  <c r="N599" i="14"/>
  <c r="M603" i="14"/>
  <c r="N600" i="13"/>
  <c r="J599" i="13" a="1"/>
  <c r="J599" i="13" s="1"/>
  <c r="K454" i="13" l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70" i="14" l="1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/>
  <c r="I455" i="13" s="1"/>
  <c r="K471" i="14" l="1"/>
  <c r="L471" i="14" s="1"/>
  <c r="I472" i="14" s="1"/>
  <c r="K455" i="13"/>
  <c r="L455" i="13" s="1"/>
  <c r="I456" i="13" s="1"/>
  <c r="M606" i="14"/>
  <c r="M605" i="13"/>
  <c r="J601" i="14" a="1"/>
  <c r="J601" i="14" s="1"/>
  <c r="N602" i="14"/>
  <c r="N603" i="13"/>
  <c r="J602" i="13" a="1"/>
  <c r="J602" i="13" s="1"/>
  <c r="K456" i="13" l="1"/>
  <c r="L456" i="13" s="1"/>
  <c r="I457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73" i="14" l="1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/>
  <c r="L457" i="13" s="1"/>
  <c r="I458" i="13" s="1"/>
  <c r="K474" i="14" l="1"/>
  <c r="L474" i="14" s="1"/>
  <c r="I475" i="14" s="1"/>
  <c r="K458" i="13"/>
  <c r="L458" i="13" s="1"/>
  <c r="I459" i="13" s="1"/>
  <c r="J604" i="14" a="1"/>
  <c r="J604" i="14" s="1"/>
  <c r="N605" i="14"/>
  <c r="M609" i="14"/>
  <c r="M608" i="13"/>
  <c r="N606" i="13"/>
  <c r="J605" i="13" a="1"/>
  <c r="J605" i="13" s="1"/>
  <c r="K475" i="14" l="1"/>
  <c r="L475" i="14" s="1"/>
  <c r="I476" i="14" s="1"/>
  <c r="M610" i="14"/>
  <c r="K459" i="13"/>
  <c r="L459" i="13" s="1"/>
  <c r="I460" i="13" s="1"/>
  <c r="J605" i="14" a="1"/>
  <c r="J605" i="14" s="1"/>
  <c r="N606" i="14"/>
  <c r="N607" i="13"/>
  <c r="J606" i="13" a="1"/>
  <c r="J606" i="13" s="1"/>
  <c r="M609" i="13"/>
  <c r="K476" i="14" l="1"/>
  <c r="L476" i="14" s="1"/>
  <c r="I477" i="14" s="1"/>
  <c r="K460" i="13"/>
  <c r="L460" i="13" s="1"/>
  <c r="I461" i="13" s="1"/>
  <c r="J606" i="14" a="1"/>
  <c r="J606" i="14" s="1"/>
  <c r="N607" i="14"/>
  <c r="M611" i="14"/>
  <c r="M610" i="13"/>
  <c r="N608" i="13"/>
  <c r="J607" i="13" a="1"/>
  <c r="J607" i="13" s="1"/>
  <c r="K461" i="13" l="1"/>
  <c r="L461" i="13" s="1"/>
  <c r="I462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2" i="13" l="1"/>
  <c r="L462" i="13" s="1"/>
  <c r="I463" i="13" s="1"/>
  <c r="K478" i="14"/>
  <c r="M613" i="14"/>
  <c r="J608" i="14" a="1"/>
  <c r="J608" i="14" s="1"/>
  <c r="N609" i="14"/>
  <c r="M612" i="13"/>
  <c r="N610" i="13"/>
  <c r="J609" i="13" a="1"/>
  <c r="J609" i="13" s="1"/>
  <c r="K463" i="13" l="1"/>
  <c r="L463" i="13" s="1"/>
  <c r="I464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4" i="13" l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80" i="14" l="1"/>
  <c r="L480" i="14" s="1"/>
  <c r="I481" i="14" s="1"/>
  <c r="N613" i="13"/>
  <c r="J612" i="13" a="1"/>
  <c r="J612" i="13" s="1"/>
  <c r="L464" i="13"/>
  <c r="I465" i="13" s="1"/>
  <c r="J611" i="14" a="1"/>
  <c r="J611" i="14" s="1"/>
  <c r="N612" i="14"/>
  <c r="M616" i="14"/>
  <c r="M615" i="13"/>
  <c r="K481" i="14" l="1"/>
  <c r="L481" i="14" s="1"/>
  <c r="I482" i="14" s="1"/>
  <c r="J612" i="14" a="1"/>
  <c r="J612" i="14" s="1"/>
  <c r="N613" i="14"/>
  <c r="M617" i="14"/>
  <c r="K465" i="13"/>
  <c r="M616" i="13"/>
  <c r="N614" i="13"/>
  <c r="J613" i="13" a="1"/>
  <c r="J613" i="13" s="1"/>
  <c r="K482" i="14" l="1"/>
  <c r="L482" i="14" s="1"/>
  <c r="I483" i="14" s="1"/>
  <c r="N615" i="13"/>
  <c r="J614" i="13" a="1"/>
  <c r="J614" i="13" s="1"/>
  <c r="M617" i="13"/>
  <c r="J613" i="14" a="1"/>
  <c r="J613" i="14" s="1"/>
  <c r="N614" i="14"/>
  <c r="L465" i="13"/>
  <c r="I466" i="13" s="1"/>
  <c r="M618" i="14"/>
  <c r="K483" i="14" l="1"/>
  <c r="L483" i="14" s="1"/>
  <c r="I484" i="14" s="1"/>
  <c r="M619" i="14"/>
  <c r="N616" i="13"/>
  <c r="J615" i="13" a="1"/>
  <c r="J615" i="13" s="1"/>
  <c r="M618" i="13"/>
  <c r="K466" i="13"/>
  <c r="L466" i="13" s="1"/>
  <c r="I467" i="13" s="1"/>
  <c r="J614" i="14" a="1"/>
  <c r="J614" i="14" s="1"/>
  <c r="N615" i="14"/>
  <c r="K467" i="13" l="1"/>
  <c r="L467" i="13" s="1"/>
  <c r="I468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85" i="14" l="1"/>
  <c r="L485" i="14" s="1"/>
  <c r="I486" i="14" s="1"/>
  <c r="K468" i="13"/>
  <c r="L468" i="13" s="1"/>
  <c r="I469" i="13" s="1"/>
  <c r="N618" i="13"/>
  <c r="J617" i="13" a="1"/>
  <c r="J617" i="13" s="1"/>
  <c r="M621" i="14"/>
  <c r="J616" i="14" a="1"/>
  <c r="J616" i="14" s="1"/>
  <c r="N617" i="14"/>
  <c r="M620" i="13"/>
  <c r="K469" i="13" l="1"/>
  <c r="L469" i="13" s="1"/>
  <c r="I470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87" i="14" l="1"/>
  <c r="L487" i="14" s="1"/>
  <c r="I488" i="14" s="1"/>
  <c r="K470" i="13"/>
  <c r="L470" i="13" s="1"/>
  <c r="I471" i="13" s="1"/>
  <c r="M623" i="14"/>
  <c r="N620" i="13"/>
  <c r="J619" i="13" a="1"/>
  <c r="J619" i="13" s="1"/>
  <c r="J618" i="14" a="1"/>
  <c r="J618" i="14" s="1"/>
  <c r="N619" i="14"/>
  <c r="M622" i="13"/>
  <c r="K471" i="13" l="1"/>
  <c r="L471" i="13" s="1"/>
  <c r="I472" i="13" s="1"/>
  <c r="K488" i="14"/>
  <c r="M623" i="13"/>
  <c r="N621" i="13"/>
  <c r="J620" i="13" a="1"/>
  <c r="J620" i="13" s="1"/>
  <c r="M624" i="14"/>
  <c r="J619" i="14" a="1"/>
  <c r="J619" i="14" s="1"/>
  <c r="N620" i="14"/>
  <c r="K472" i="13" l="1"/>
  <c r="L472" i="13" s="1"/>
  <c r="I473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3" i="13" l="1"/>
  <c r="L473" i="13" s="1"/>
  <c r="I474" i="13" s="1"/>
  <c r="M626" i="14"/>
  <c r="M625" i="13"/>
  <c r="K489" i="14"/>
  <c r="N623" i="13"/>
  <c r="J622" i="13" a="1"/>
  <c r="J622" i="13" s="1"/>
  <c r="J621" i="14" a="1"/>
  <c r="J621" i="14" s="1"/>
  <c r="N622" i="14"/>
  <c r="K474" i="13" l="1"/>
  <c r="L474" i="13" s="1"/>
  <c r="I475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5" i="13" l="1"/>
  <c r="L475" i="13" s="1"/>
  <c r="I476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91" i="14" l="1"/>
  <c r="L491" i="14" s="1"/>
  <c r="I492" i="14" s="1"/>
  <c r="K476" i="13"/>
  <c r="M628" i="13"/>
  <c r="M629" i="14"/>
  <c r="J624" i="14" a="1"/>
  <c r="J624" i="14" s="1"/>
  <c r="N625" i="14"/>
  <c r="N626" i="13"/>
  <c r="J625" i="13" a="1"/>
  <c r="J625" i="13" s="1"/>
  <c r="K492" i="14" l="1"/>
  <c r="L492" i="14" s="1"/>
  <c r="I493" i="14" s="1"/>
  <c r="L476" i="13"/>
  <c r="I477" i="13" s="1"/>
  <c r="J625" i="14" a="1"/>
  <c r="J625" i="14" s="1"/>
  <c r="N626" i="14"/>
  <c r="M629" i="13"/>
  <c r="M630" i="14"/>
  <c r="N627" i="13"/>
  <c r="J626" i="13" a="1"/>
  <c r="J626" i="13" s="1"/>
  <c r="K493" i="14" l="1"/>
  <c r="L493" i="14" s="1"/>
  <c r="I494" i="14" s="1"/>
  <c r="M630" i="13"/>
  <c r="K477" i="13"/>
  <c r="L477" i="13" s="1"/>
  <c r="I478" i="13" s="1"/>
  <c r="N628" i="13"/>
  <c r="J627" i="13" a="1"/>
  <c r="J627" i="13" s="1"/>
  <c r="M631" i="14"/>
  <c r="J626" i="14" a="1"/>
  <c r="J626" i="14" s="1"/>
  <c r="N627" i="14"/>
  <c r="M631" i="13" l="1"/>
  <c r="J627" i="14" a="1"/>
  <c r="J627" i="14" s="1"/>
  <c r="N628" i="14"/>
  <c r="N629" i="13"/>
  <c r="J628" i="13" a="1"/>
  <c r="J628" i="13" s="1"/>
  <c r="M632" i="14"/>
  <c r="K478" i="13"/>
  <c r="L478" i="13" s="1"/>
  <c r="I479" i="13" s="1"/>
  <c r="K494" i="14"/>
  <c r="L494" i="14" s="1"/>
  <c r="I495" i="14" s="1"/>
  <c r="K479" i="13" l="1"/>
  <c r="L479" i="13" s="1"/>
  <c r="I480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96" i="14" l="1"/>
  <c r="L496" i="14" s="1"/>
  <c r="I497" i="14" s="1"/>
  <c r="K480" i="13"/>
  <c r="L480" i="13" s="1"/>
  <c r="I481" i="13" s="1"/>
  <c r="J629" i="14" a="1"/>
  <c r="J629" i="14" s="1"/>
  <c r="N630" i="14"/>
  <c r="N631" i="13"/>
  <c r="J630" i="13" a="1"/>
  <c r="J630" i="13" s="1"/>
  <c r="M634" i="14"/>
  <c r="M633" i="13"/>
  <c r="K497" i="14" l="1"/>
  <c r="L497" i="14" s="1"/>
  <c r="I498" i="14" s="1"/>
  <c r="K481" i="13"/>
  <c r="L481" i="13" s="1"/>
  <c r="I482" i="13" s="1"/>
  <c r="M635" i="14"/>
  <c r="J630" i="14" a="1"/>
  <c r="J630" i="14" s="1"/>
  <c r="N631" i="14"/>
  <c r="M634" i="13"/>
  <c r="N632" i="13"/>
  <c r="J631" i="13" a="1"/>
  <c r="J631" i="13" s="1"/>
  <c r="K482" i="13" l="1"/>
  <c r="L482" i="13" s="1"/>
  <c r="I483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99" i="14" l="1"/>
  <c r="L499" i="14" s="1"/>
  <c r="I500" i="14" s="1"/>
  <c r="K483" i="13"/>
  <c r="L483" i="13" s="1"/>
  <c r="I484" i="13" s="1"/>
  <c r="M636" i="13"/>
  <c r="N634" i="13"/>
  <c r="J633" i="13" a="1"/>
  <c r="J633" i="13" s="1"/>
  <c r="M637" i="14"/>
  <c r="J632" i="14" a="1"/>
  <c r="J632" i="14" s="1"/>
  <c r="N633" i="14"/>
  <c r="K484" i="13" l="1"/>
  <c r="L484" i="13" s="1"/>
  <c r="I485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501" i="14" l="1"/>
  <c r="L501" i="14" s="1"/>
  <c r="I502" i="14" s="1"/>
  <c r="K485" i="13"/>
  <c r="L485" i="13" s="1"/>
  <c r="I486" i="13" s="1"/>
  <c r="J634" i="14" a="1"/>
  <c r="J634" i="14" s="1"/>
  <c r="N635" i="14"/>
  <c r="M639" i="14"/>
  <c r="M638" i="13"/>
  <c r="N636" i="13"/>
  <c r="J635" i="13" a="1"/>
  <c r="J635" i="13" s="1"/>
  <c r="K486" i="13" l="1"/>
  <c r="L486" i="13" s="1"/>
  <c r="I487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503" i="14" l="1"/>
  <c r="L503" i="14" s="1"/>
  <c r="I504" i="14" s="1"/>
  <c r="K487" i="13"/>
  <c r="L487" i="13" s="1"/>
  <c r="I488" i="13" s="1"/>
  <c r="M641" i="14"/>
  <c r="M640" i="13"/>
  <c r="J636" i="14" a="1"/>
  <c r="J636" i="14" s="1"/>
  <c r="N637" i="14"/>
  <c r="N638" i="13"/>
  <c r="J637" i="13" a="1"/>
  <c r="J637" i="13" s="1"/>
  <c r="K488" i="13" l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505" i="14" l="1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/>
  <c r="I489" i="13" s="1"/>
  <c r="K506" i="14" l="1"/>
  <c r="L506" i="14" s="1"/>
  <c r="I507" i="14" s="1"/>
  <c r="K489" i="13"/>
  <c r="J639" i="14" a="1"/>
  <c r="J639" i="14" s="1"/>
  <c r="N640" i="14"/>
  <c r="M644" i="14"/>
  <c r="M643" i="13"/>
  <c r="N641" i="13"/>
  <c r="J640" i="13" a="1"/>
  <c r="J640" i="13" s="1"/>
  <c r="K507" i="14" l="1"/>
  <c r="L507" i="14" s="1"/>
  <c r="I508" i="14" s="1"/>
  <c r="M645" i="14"/>
  <c r="N642" i="13"/>
  <c r="J641" i="13" a="1"/>
  <c r="J641" i="13" s="1"/>
  <c r="L489" i="13"/>
  <c r="I490" i="13" s="1"/>
  <c r="M644" i="13"/>
  <c r="J640" i="14" a="1"/>
  <c r="J640" i="14" s="1"/>
  <c r="N641" i="14"/>
  <c r="K508" i="14" l="1"/>
  <c r="L508" i="14" s="1"/>
  <c r="I509" i="14" s="1"/>
  <c r="J641" i="14" a="1"/>
  <c r="J641" i="14" s="1"/>
  <c r="N642" i="14"/>
  <c r="K490" i="13"/>
  <c r="L490" i="13" s="1"/>
  <c r="I491" i="13" s="1"/>
  <c r="M646" i="14"/>
  <c r="M645" i="13"/>
  <c r="N643" i="13"/>
  <c r="J642" i="13" a="1"/>
  <c r="J642" i="13" s="1"/>
  <c r="K491" i="13" l="1"/>
  <c r="L491" i="13" s="1"/>
  <c r="I492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510" i="14" l="1"/>
  <c r="L510" i="14" s="1"/>
  <c r="I511" i="14" s="1"/>
  <c r="K492" i="13"/>
  <c r="L492" i="13" s="1"/>
  <c r="I493" i="13" s="1"/>
  <c r="M647" i="13"/>
  <c r="J643" i="14" a="1"/>
  <c r="J643" i="14" s="1"/>
  <c r="N644" i="14"/>
  <c r="M648" i="14"/>
  <c r="N645" i="13"/>
  <c r="J644" i="13" a="1"/>
  <c r="J644" i="13" s="1"/>
  <c r="K493" i="13" l="1"/>
  <c r="L493" i="13" s="1"/>
  <c r="I494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512" i="14" l="1"/>
  <c r="K494" i="13"/>
  <c r="L494" i="13" s="1"/>
  <c r="I495" i="13" s="1"/>
  <c r="N647" i="13"/>
  <c r="J646" i="13" a="1"/>
  <c r="J646" i="13" s="1"/>
  <c r="M650" i="14"/>
  <c r="J645" i="14" a="1"/>
  <c r="J645" i="14" s="1"/>
  <c r="N646" i="14"/>
  <c r="M649" i="13"/>
  <c r="K495" i="13" l="1"/>
  <c r="L495" i="13" s="1"/>
  <c r="I496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6" i="13" l="1"/>
  <c r="L496" i="13" s="1"/>
  <c r="I497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7" i="13" l="1"/>
  <c r="L497" i="13" s="1"/>
  <c r="I498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515" i="14" l="1"/>
  <c r="L515" i="14" s="1"/>
  <c r="I516" i="14" s="1"/>
  <c r="K498" i="13"/>
  <c r="L498" i="13" s="1"/>
  <c r="I499" i="13" s="1"/>
  <c r="N651" i="13"/>
  <c r="J650" i="13" a="1"/>
  <c r="J650" i="13" s="1"/>
  <c r="M653" i="13"/>
  <c r="J649" i="14" a="1"/>
  <c r="J649" i="14" s="1"/>
  <c r="N650" i="14"/>
  <c r="M654" i="14"/>
  <c r="K516" i="14" l="1"/>
  <c r="L516" i="14" s="1"/>
  <c r="I517" i="14" s="1"/>
  <c r="K499" i="13"/>
  <c r="L499" i="13" s="1"/>
  <c r="I500" i="13" s="1"/>
  <c r="M655" i="14"/>
  <c r="M654" i="13"/>
  <c r="J650" i="14" a="1"/>
  <c r="J650" i="14" s="1"/>
  <c r="N651" i="14"/>
  <c r="N652" i="13"/>
  <c r="J651" i="13" a="1"/>
  <c r="J651" i="13" s="1"/>
  <c r="K500" i="13" l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18" i="14" l="1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/>
  <c r="I501" i="13" s="1"/>
  <c r="K519" i="14" l="1"/>
  <c r="L519" i="14" s="1"/>
  <c r="I520" i="14" s="1"/>
  <c r="M657" i="13"/>
  <c r="M658" i="14"/>
  <c r="N655" i="13"/>
  <c r="J654" i="13" a="1"/>
  <c r="J654" i="13" s="1"/>
  <c r="K501" i="13"/>
  <c r="J653" i="14" a="1"/>
  <c r="J653" i="14" s="1"/>
  <c r="N654" i="14"/>
  <c r="K520" i="14" l="1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/>
  <c r="I502" i="13" s="1"/>
  <c r="K502" i="13" l="1"/>
  <c r="L502" i="13" s="1"/>
  <c r="I503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3" i="13" l="1"/>
  <c r="L503" i="13" s="1"/>
  <c r="I504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23" i="14" l="1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/>
  <c r="L504" i="13" s="1"/>
  <c r="I505" i="13" s="1"/>
  <c r="K505" i="13" l="1"/>
  <c r="L505" i="13" s="1"/>
  <c r="I506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25" i="14" l="1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/>
  <c r="L506" i="13" s="1"/>
  <c r="I507" i="13" s="1"/>
  <c r="K526" i="14" l="1"/>
  <c r="K507" i="13"/>
  <c r="L507" i="13" s="1"/>
  <c r="I508" i="13" s="1"/>
  <c r="M665" i="14"/>
  <c r="J660" i="14" a="1"/>
  <c r="J660" i="14" s="1"/>
  <c r="N661" i="14"/>
  <c r="N662" i="13"/>
  <c r="J661" i="13" a="1"/>
  <c r="J661" i="13" s="1"/>
  <c r="M664" i="13"/>
  <c r="M665" i="13" l="1"/>
  <c r="J661" i="14" a="1"/>
  <c r="J661" i="14" s="1"/>
  <c r="N662" i="14"/>
  <c r="K508" i="13"/>
  <c r="L508" i="13" s="1"/>
  <c r="I509" i="13" s="1"/>
  <c r="M666" i="14"/>
  <c r="N663" i="13"/>
  <c r="J662" i="13" a="1"/>
  <c r="J662" i="13" s="1"/>
  <c r="L526" i="14"/>
  <c r="I527" i="14" s="1"/>
  <c r="K509" i="13" l="1"/>
  <c r="L509" i="13" s="1"/>
  <c r="I510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28" i="14" l="1"/>
  <c r="L528" i="14" s="1"/>
  <c r="I529" i="14" s="1"/>
  <c r="K510" i="13"/>
  <c r="L510" i="13" s="1"/>
  <c r="I511" i="13" s="1"/>
  <c r="M668" i="14"/>
  <c r="N665" i="13"/>
  <c r="J664" i="13" a="1"/>
  <c r="J664" i="13" s="1"/>
  <c r="J663" i="14" a="1"/>
  <c r="J663" i="14" s="1"/>
  <c r="N664" i="14"/>
  <c r="M667" i="13"/>
  <c r="K529" i="14" l="1"/>
  <c r="L529" i="14" s="1"/>
  <c r="I530" i="14" s="1"/>
  <c r="K511" i="13"/>
  <c r="L511" i="13" s="1"/>
  <c r="I512" i="13" s="1"/>
  <c r="N666" i="13"/>
  <c r="J665" i="13" a="1"/>
  <c r="J665" i="13" s="1"/>
  <c r="M668" i="13"/>
  <c r="J664" i="14" a="1"/>
  <c r="J664" i="14" s="1"/>
  <c r="N665" i="14"/>
  <c r="M669" i="14"/>
  <c r="K530" i="14" l="1"/>
  <c r="L530" i="14" s="1"/>
  <c r="I531" i="14" s="1"/>
  <c r="K512" i="13"/>
  <c r="J665" i="14" a="1"/>
  <c r="J665" i="14" s="1"/>
  <c r="N666" i="14"/>
  <c r="M670" i="14"/>
  <c r="M669" i="13"/>
  <c r="N667" i="13"/>
  <c r="J666" i="13" a="1"/>
  <c r="J666" i="13" s="1"/>
  <c r="K531" i="14" l="1"/>
  <c r="L531" i="14" s="1"/>
  <c r="I532" i="14" s="1"/>
  <c r="N668" i="13"/>
  <c r="J667" i="13" a="1"/>
  <c r="J667" i="13" s="1"/>
  <c r="L512" i="13"/>
  <c r="I513" i="13" s="1"/>
  <c r="M670" i="13"/>
  <c r="J666" i="14" a="1"/>
  <c r="J666" i="14" s="1"/>
  <c r="N667" i="14"/>
  <c r="M671" i="14"/>
  <c r="N669" i="13" l="1"/>
  <c r="J668" i="13" a="1"/>
  <c r="J668" i="13" s="1"/>
  <c r="M672" i="14"/>
  <c r="M671" i="13"/>
  <c r="J667" i="14" a="1"/>
  <c r="J667" i="14" s="1"/>
  <c r="N668" i="14"/>
  <c r="K513" i="13"/>
  <c r="K532" i="14"/>
  <c r="L532" i="14" s="1"/>
  <c r="I533" i="14" s="1"/>
  <c r="K533" i="14" l="1"/>
  <c r="L533" i="14" s="1"/>
  <c r="I534" i="14" s="1"/>
  <c r="J668" i="14" a="1"/>
  <c r="J668" i="14" s="1"/>
  <c r="N669" i="14"/>
  <c r="M673" i="14"/>
  <c r="M672" i="13"/>
  <c r="L513" i="13"/>
  <c r="I514" i="13" s="1"/>
  <c r="N670" i="13"/>
  <c r="J669" i="13" a="1"/>
  <c r="J669" i="13" s="1"/>
  <c r="K534" i="14" l="1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/>
  <c r="L514" i="13" s="1"/>
  <c r="I515" i="13" s="1"/>
  <c r="K535" i="14" l="1"/>
  <c r="L535" i="14" s="1"/>
  <c r="I536" i="14" s="1"/>
  <c r="J670" i="14" a="1"/>
  <c r="J670" i="14" s="1"/>
  <c r="N671" i="14"/>
  <c r="M674" i="13"/>
  <c r="N672" i="13"/>
  <c r="J671" i="13" a="1"/>
  <c r="J671" i="13" s="1"/>
  <c r="K515" i="13"/>
  <c r="L515" i="13" s="1"/>
  <c r="I516" i="13" s="1"/>
  <c r="M675" i="14"/>
  <c r="K516" i="13" l="1"/>
  <c r="L516" i="13" s="1"/>
  <c r="I517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37" i="14" l="1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/>
  <c r="L517" i="13" s="1"/>
  <c r="I518" i="13" s="1"/>
  <c r="K538" i="14" l="1"/>
  <c r="J673" i="14" a="1"/>
  <c r="J673" i="14" s="1"/>
  <c r="N674" i="14"/>
  <c r="M677" i="13"/>
  <c r="K518" i="13"/>
  <c r="L518" i="13" s="1"/>
  <c r="I519" i="13" s="1"/>
  <c r="M678" i="14"/>
  <c r="N675" i="13"/>
  <c r="J674" i="13" a="1"/>
  <c r="J674" i="13" s="1"/>
  <c r="K519" i="13" l="1"/>
  <c r="L519" i="13" s="1"/>
  <c r="I520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M680" i="14" l="1"/>
  <c r="K520" i="13"/>
  <c r="L520" i="13" s="1"/>
  <c r="I521" i="13" s="1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40" i="14" l="1"/>
  <c r="L540" i="14" s="1"/>
  <c r="I541" i="14" s="1"/>
  <c r="K521" i="13"/>
  <c r="L521" i="13" s="1"/>
  <c r="I522" i="13" s="1"/>
  <c r="M680" i="13"/>
  <c r="N678" i="13"/>
  <c r="J677" i="13" a="1"/>
  <c r="J677" i="13" s="1"/>
  <c r="J676" i="14" a="1"/>
  <c r="J676" i="14" s="1"/>
  <c r="N677" i="14"/>
  <c r="M681" i="14"/>
  <c r="K522" i="13" l="1"/>
  <c r="L522" i="13" s="1"/>
  <c r="I523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3" i="13" l="1"/>
  <c r="L523" i="13" s="1"/>
  <c r="I524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43" i="14" l="1"/>
  <c r="L543" i="14" s="1"/>
  <c r="I544" i="14" s="1"/>
  <c r="K524" i="13"/>
  <c r="L524" i="13" s="1"/>
  <c r="I525" i="13" s="1"/>
  <c r="N681" i="13"/>
  <c r="J680" i="13" a="1"/>
  <c r="J680" i="13" s="1"/>
  <c r="M683" i="13"/>
  <c r="M684" i="14"/>
  <c r="J679" i="14" a="1"/>
  <c r="J679" i="14" s="1"/>
  <c r="N680" i="14"/>
  <c r="K525" i="13" l="1"/>
  <c r="L525" i="13" s="1"/>
  <c r="I526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45" i="14" l="1"/>
  <c r="L545" i="14" s="1"/>
  <c r="I546" i="14" s="1"/>
  <c r="K526" i="13"/>
  <c r="M686" i="14"/>
  <c r="M685" i="13"/>
  <c r="N683" i="13"/>
  <c r="J682" i="13" a="1"/>
  <c r="J682" i="13" s="1"/>
  <c r="J681" i="14" a="1"/>
  <c r="J681" i="14" s="1"/>
  <c r="N682" i="14"/>
  <c r="K546" i="14" l="1"/>
  <c r="L546" i="14" s="1"/>
  <c r="I547" i="14" s="1"/>
  <c r="L526" i="13"/>
  <c r="I527" i="13" s="1"/>
  <c r="M687" i="14"/>
  <c r="J682" i="14" a="1"/>
  <c r="J682" i="14" s="1"/>
  <c r="N683" i="14"/>
  <c r="M686" i="13"/>
  <c r="N684" i="13"/>
  <c r="J683" i="13" a="1"/>
  <c r="J683" i="13" s="1"/>
  <c r="K547" i="14" l="1"/>
  <c r="L547" i="14" s="1"/>
  <c r="I548" i="14" s="1"/>
  <c r="N685" i="13"/>
  <c r="J684" i="13" a="1"/>
  <c r="J684" i="13" s="1"/>
  <c r="J683" i="14" a="1"/>
  <c r="J683" i="14" s="1"/>
  <c r="N684" i="14"/>
  <c r="K527" i="13"/>
  <c r="L527" i="13" s="1"/>
  <c r="I528" i="13" s="1"/>
  <c r="M687" i="13"/>
  <c r="M688" i="14"/>
  <c r="K548" i="14" l="1"/>
  <c r="N686" i="13"/>
  <c r="J685" i="13" a="1"/>
  <c r="J685" i="13" s="1"/>
  <c r="K528" i="13"/>
  <c r="L528" i="13" s="1"/>
  <c r="I529" i="13" s="1"/>
  <c r="J684" i="14" a="1"/>
  <c r="J684" i="14" s="1"/>
  <c r="N685" i="14"/>
  <c r="M688" i="13"/>
  <c r="M689" i="14"/>
  <c r="K529" i="13" l="1"/>
  <c r="L529" i="13" s="1"/>
  <c r="I530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30" i="13" l="1"/>
  <c r="L530" i="13" s="1"/>
  <c r="I531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1" i="13" l="1"/>
  <c r="L531" i="13" s="1"/>
  <c r="I532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51" i="14" l="1"/>
  <c r="L551" i="14" s="1"/>
  <c r="I552" i="14" s="1"/>
  <c r="K532" i="13"/>
  <c r="L532" i="13" s="1"/>
  <c r="I533" i="13" s="1"/>
  <c r="N690" i="13"/>
  <c r="J689" i="13" a="1"/>
  <c r="J689" i="13" s="1"/>
  <c r="M693" i="14"/>
  <c r="M692" i="13"/>
  <c r="J688" i="14" a="1"/>
  <c r="J688" i="14" s="1"/>
  <c r="N689" i="14"/>
  <c r="K552" i="14" l="1"/>
  <c r="L552" i="14" s="1"/>
  <c r="I553" i="14" s="1"/>
  <c r="K533" i="13"/>
  <c r="L533" i="13" s="1"/>
  <c r="I534" i="13" s="1"/>
  <c r="J689" i="14" a="1"/>
  <c r="J689" i="14" s="1"/>
  <c r="N690" i="14"/>
  <c r="M694" i="14"/>
  <c r="M693" i="13"/>
  <c r="N691" i="13"/>
  <c r="J690" i="13" a="1"/>
  <c r="J690" i="13" s="1"/>
  <c r="K534" i="13" l="1"/>
  <c r="L534" i="13" s="1"/>
  <c r="I535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5" i="13" l="1"/>
  <c r="L535" i="13" s="1"/>
  <c r="I536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55" i="14" l="1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/>
  <c r="L536" i="13" s="1"/>
  <c r="I537" i="13" s="1"/>
  <c r="K537" i="13" l="1"/>
  <c r="L537" i="13" s="1"/>
  <c r="I538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57" i="14" l="1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/>
  <c r="K558" i="14" l="1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/>
  <c r="I539" i="13" s="1"/>
  <c r="K559" i="14" l="1"/>
  <c r="L559" i="14" s="1"/>
  <c r="I560" i="14" s="1"/>
  <c r="N697" i="14"/>
  <c r="J696" i="14" a="1"/>
  <c r="J696" i="14" s="1"/>
  <c r="K539" i="13"/>
  <c r="L539" i="13" s="1"/>
  <c r="I540" i="13" s="1"/>
  <c r="M700" i="13"/>
  <c r="M701" i="14"/>
  <c r="N698" i="13"/>
  <c r="J697" i="13" a="1"/>
  <c r="J697" i="13" s="1"/>
  <c r="M701" i="13" l="1"/>
  <c r="N699" i="13"/>
  <c r="J698" i="13" a="1"/>
  <c r="J698" i="13" s="1"/>
  <c r="N698" i="14"/>
  <c r="J697" i="14" a="1"/>
  <c r="J697" i="14" s="1"/>
  <c r="M702" i="14"/>
  <c r="K540" i="13"/>
  <c r="L540" i="13" s="1"/>
  <c r="I541" i="13" s="1"/>
  <c r="K560" i="14"/>
  <c r="M703" i="14" l="1"/>
  <c r="N700" i="13"/>
  <c r="J699" i="13" a="1"/>
  <c r="J699" i="13" s="1"/>
  <c r="L560" i="14"/>
  <c r="I561" i="14" s="1"/>
  <c r="M702" i="13"/>
  <c r="K541" i="13"/>
  <c r="L541" i="13" s="1"/>
  <c r="I542" i="13" s="1"/>
  <c r="N699" i="14"/>
  <c r="J698" i="14" a="1"/>
  <c r="J698" i="14" s="1"/>
  <c r="K542" i="13" l="1"/>
  <c r="L542" i="13" s="1"/>
  <c r="I543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62" i="14" l="1"/>
  <c r="L562" i="14" s="1"/>
  <c r="I563" i="14" s="1"/>
  <c r="K543" i="13"/>
  <c r="L543" i="13" s="1"/>
  <c r="I544" i="13" s="1"/>
  <c r="N702" i="13"/>
  <c r="J701" i="13" a="1"/>
  <c r="J701" i="13" s="1"/>
  <c r="M705" i="14"/>
  <c r="M704" i="13"/>
  <c r="N701" i="14"/>
  <c r="J700" i="14" a="1"/>
  <c r="J700" i="14" s="1"/>
  <c r="K544" i="13" l="1"/>
  <c r="L544" i="13" s="1"/>
  <c r="I545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64" i="14" l="1"/>
  <c r="L564" i="14" s="1"/>
  <c r="I565" i="14" s="1"/>
  <c r="K545" i="13"/>
  <c r="L545" i="13" s="1"/>
  <c r="I546" i="13" s="1"/>
  <c r="N704" i="13"/>
  <c r="J703" i="13" a="1"/>
  <c r="J703" i="13" s="1"/>
  <c r="M707" i="14"/>
  <c r="M706" i="13"/>
  <c r="N703" i="14"/>
  <c r="J702" i="14" a="1"/>
  <c r="J702" i="14" s="1"/>
  <c r="K565" i="14" l="1"/>
  <c r="L565" i="14" s="1"/>
  <c r="I566" i="14" s="1"/>
  <c r="K546" i="13"/>
  <c r="L546" i="13" s="1"/>
  <c r="I547" i="13" s="1"/>
  <c r="M708" i="14"/>
  <c r="N704" i="14"/>
  <c r="J703" i="14" a="1"/>
  <c r="J703" i="14" s="1"/>
  <c r="M707" i="13"/>
  <c r="N705" i="13"/>
  <c r="J704" i="13" a="1"/>
  <c r="J704" i="13" s="1"/>
  <c r="K566" i="14" l="1"/>
  <c r="L566" i="14" s="1"/>
  <c r="I567" i="14" s="1"/>
  <c r="K547" i="13"/>
  <c r="L547" i="13" s="1"/>
  <c r="I548" i="13" s="1"/>
  <c r="N705" i="14"/>
  <c r="J704" i="14" a="1"/>
  <c r="J704" i="14" s="1"/>
  <c r="N706" i="13"/>
  <c r="J705" i="13" a="1"/>
  <c r="J705" i="13" s="1"/>
  <c r="M708" i="13"/>
  <c r="M709" i="14"/>
  <c r="K567" i="14" l="1"/>
  <c r="L567" i="14" s="1"/>
  <c r="I568" i="14" s="1"/>
  <c r="K548" i="13"/>
  <c r="M709" i="13"/>
  <c r="M710" i="14"/>
  <c r="N707" i="13"/>
  <c r="J706" i="13" a="1"/>
  <c r="J706" i="13" s="1"/>
  <c r="N706" i="14"/>
  <c r="J705" i="14" a="1"/>
  <c r="J705" i="14" s="1"/>
  <c r="K568" i="14" l="1"/>
  <c r="L568" i="14" s="1"/>
  <c r="I569" i="14" s="1"/>
  <c r="L548" i="13"/>
  <c r="I549" i="13" s="1"/>
  <c r="M710" i="13"/>
  <c r="N707" i="14"/>
  <c r="J706" i="14" a="1"/>
  <c r="J706" i="14" s="1"/>
  <c r="M711" i="14"/>
  <c r="N708" i="13"/>
  <c r="J707" i="13" a="1"/>
  <c r="J707" i="13" s="1"/>
  <c r="K569" i="14" l="1"/>
  <c r="L569" i="14" s="1"/>
  <c r="I570" i="14" s="1"/>
  <c r="N708" i="14"/>
  <c r="J707" i="14" a="1"/>
  <c r="J707" i="14" s="1"/>
  <c r="K549" i="13"/>
  <c r="N709" i="13"/>
  <c r="J708" i="13" a="1"/>
  <c r="J708" i="13" s="1"/>
  <c r="M712" i="14"/>
  <c r="M711" i="13"/>
  <c r="K570" i="14" l="1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/>
  <c r="I550" i="13" s="1"/>
  <c r="K571" i="14" l="1"/>
  <c r="L571" i="14" s="1"/>
  <c r="I572" i="14" s="1"/>
  <c r="K550" i="13"/>
  <c r="L550" i="13" s="1"/>
  <c r="I551" i="13" s="1"/>
  <c r="N710" i="14"/>
  <c r="J709" i="14" a="1"/>
  <c r="J709" i="14" s="1"/>
  <c r="M714" i="14"/>
  <c r="N711" i="13"/>
  <c r="J710" i="13" a="1"/>
  <c r="J710" i="13" s="1"/>
  <c r="M713" i="13"/>
  <c r="K551" i="13" l="1"/>
  <c r="L551" i="13" s="1"/>
  <c r="I552" i="13" s="1"/>
  <c r="K572" i="14"/>
  <c r="M715" i="14"/>
  <c r="N712" i="13"/>
  <c r="J711" i="13" a="1"/>
  <c r="J711" i="13" s="1"/>
  <c r="M714" i="13"/>
  <c r="N711" i="14"/>
  <c r="J710" i="14" a="1"/>
  <c r="J710" i="14" s="1"/>
  <c r="K552" i="13" l="1"/>
  <c r="L552" i="13" s="1"/>
  <c r="I553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3" i="13" l="1"/>
  <c r="L553" i="13" s="1"/>
  <c r="I554" i="13" s="1"/>
  <c r="N714" i="13"/>
  <c r="J713" i="13" a="1"/>
  <c r="J713" i="13" s="1"/>
  <c r="M717" i="14"/>
  <c r="M716" i="13"/>
  <c r="K573" i="14"/>
  <c r="N713" i="14"/>
  <c r="J712" i="14" a="1"/>
  <c r="J712" i="14" s="1"/>
  <c r="K554" i="13" l="1"/>
  <c r="L554" i="13" s="1"/>
  <c r="I555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5" i="13" l="1"/>
  <c r="L555" i="13" s="1"/>
  <c r="I556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6" i="13" l="1"/>
  <c r="L556" i="13" s="1"/>
  <c r="I557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76" i="14" l="1"/>
  <c r="L576" i="14" s="1"/>
  <c r="I577" i="14" s="1"/>
  <c r="K557" i="13"/>
  <c r="L557" i="13" s="1"/>
  <c r="I558" i="13" s="1"/>
  <c r="M720" i="13"/>
  <c r="N718" i="13"/>
  <c r="J717" i="13" a="1"/>
  <c r="J717" i="13" s="1"/>
  <c r="M721" i="14"/>
  <c r="N717" i="14"/>
  <c r="J716" i="14" a="1"/>
  <c r="J716" i="14" s="1"/>
  <c r="K577" i="14" l="1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/>
  <c r="L558" i="13" s="1"/>
  <c r="I559" i="13" s="1"/>
  <c r="K578" i="14" l="1"/>
  <c r="L578" i="14" s="1"/>
  <c r="I579" i="14" s="1"/>
  <c r="N720" i="13"/>
  <c r="J719" i="13" a="1"/>
  <c r="J719" i="13" s="1"/>
  <c r="K559" i="13"/>
  <c r="L559" i="13" s="1"/>
  <c r="I560" i="13" s="1"/>
  <c r="M722" i="13"/>
  <c r="N719" i="14"/>
  <c r="J718" i="14" a="1"/>
  <c r="J718" i="14" s="1"/>
  <c r="M723" i="14"/>
  <c r="K579" i="14" l="1"/>
  <c r="L579" i="14" s="1"/>
  <c r="I580" i="14" s="1"/>
  <c r="K560" i="13"/>
  <c r="M724" i="14"/>
  <c r="M723" i="13"/>
  <c r="N721" i="13"/>
  <c r="J720" i="13" a="1"/>
  <c r="J720" i="13" s="1"/>
  <c r="N720" i="14"/>
  <c r="J719" i="14" a="1"/>
  <c r="J719" i="14" s="1"/>
  <c r="K580" i="14" l="1"/>
  <c r="L580" i="14" s="1"/>
  <c r="I581" i="14" s="1"/>
  <c r="N721" i="14"/>
  <c r="J720" i="14" a="1"/>
  <c r="J720" i="14" s="1"/>
  <c r="L560" i="13"/>
  <c r="I561" i="13" s="1"/>
  <c r="M724" i="13"/>
  <c r="M725" i="14"/>
  <c r="N722" i="13"/>
  <c r="J721" i="13" a="1"/>
  <c r="J721" i="13" s="1"/>
  <c r="K581" i="14" l="1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/>
  <c r="K582" i="14" l="1"/>
  <c r="L582" i="14" s="1"/>
  <c r="I583" i="14" s="1"/>
  <c r="M726" i="13"/>
  <c r="N724" i="13"/>
  <c r="J723" i="13" a="1"/>
  <c r="J723" i="13" s="1"/>
  <c r="L561" i="13"/>
  <c r="I562" i="13" s="1"/>
  <c r="M727" i="14"/>
  <c r="N723" i="14"/>
  <c r="J722" i="14" a="1"/>
  <c r="J722" i="14" s="1"/>
  <c r="K583" i="14" l="1"/>
  <c r="L583" i="14" s="1"/>
  <c r="I584" i="14" s="1"/>
  <c r="K562" i="13"/>
  <c r="L562" i="13" s="1"/>
  <c r="I563" i="13" s="1"/>
  <c r="M727" i="13"/>
  <c r="N724" i="14"/>
  <c r="J723" i="14" a="1"/>
  <c r="J723" i="14" s="1"/>
  <c r="M728" i="14"/>
  <c r="N725" i="13"/>
  <c r="J724" i="13" a="1"/>
  <c r="J724" i="13" s="1"/>
  <c r="K563" i="13" l="1"/>
  <c r="L563" i="13" s="1"/>
  <c r="I564" i="13" s="1"/>
  <c r="K584" i="14"/>
  <c r="N726" i="13"/>
  <c r="J725" i="13" a="1"/>
  <c r="J725" i="13" s="1"/>
  <c r="N725" i="14"/>
  <c r="J724" i="14" a="1"/>
  <c r="J724" i="14" s="1"/>
  <c r="M729" i="14"/>
  <c r="M728" i="13"/>
  <c r="K564" i="13" l="1"/>
  <c r="L564" i="13" s="1"/>
  <c r="I565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5" i="13" l="1"/>
  <c r="L565" i="13" s="1"/>
  <c r="I566" i="13" s="1"/>
  <c r="K585" i="14"/>
  <c r="N728" i="13"/>
  <c r="J727" i="13" a="1"/>
  <c r="J727" i="13" s="1"/>
  <c r="M731" i="14"/>
  <c r="N727" i="14"/>
  <c r="J726" i="14" a="1"/>
  <c r="J726" i="14" s="1"/>
  <c r="M730" i="13"/>
  <c r="K566" i="13" l="1"/>
  <c r="L566" i="13" s="1"/>
  <c r="I567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7" i="13" l="1"/>
  <c r="L567" i="13" s="1"/>
  <c r="I568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87" i="14" l="1"/>
  <c r="L587" i="14" s="1"/>
  <c r="I588" i="14" s="1"/>
  <c r="K568" i="13"/>
  <c r="L568" i="13" s="1"/>
  <c r="I569" i="13" s="1"/>
  <c r="N730" i="14"/>
  <c r="J729" i="14" a="1"/>
  <c r="J729" i="14" s="1"/>
  <c r="M733" i="13"/>
  <c r="M734" i="14"/>
  <c r="N731" i="13"/>
  <c r="J730" i="13" a="1"/>
  <c r="J730" i="13" s="1"/>
  <c r="K588" i="14" l="1"/>
  <c r="L588" i="14" s="1"/>
  <c r="I589" i="14" s="1"/>
  <c r="M734" i="13"/>
  <c r="N732" i="13"/>
  <c r="J731" i="13" a="1"/>
  <c r="J731" i="13" s="1"/>
  <c r="K569" i="13"/>
  <c r="L569" i="13" s="1"/>
  <c r="I570" i="13" s="1"/>
  <c r="M735" i="14"/>
  <c r="N731" i="14"/>
  <c r="J730" i="14" a="1"/>
  <c r="J730" i="14" s="1"/>
  <c r="K589" i="14" l="1"/>
  <c r="L589" i="14" s="1"/>
  <c r="I590" i="14" s="1"/>
  <c r="K570" i="13"/>
  <c r="L570" i="13" s="1"/>
  <c r="I571" i="13" s="1"/>
  <c r="N732" i="14"/>
  <c r="J731" i="14" a="1"/>
  <c r="J731" i="14" s="1"/>
  <c r="M736" i="14"/>
  <c r="N733" i="13"/>
  <c r="J732" i="13" a="1"/>
  <c r="J732" i="13" s="1"/>
  <c r="M735" i="13"/>
  <c r="K590" i="14" l="1"/>
  <c r="L590" i="14" s="1"/>
  <c r="I591" i="14" s="1"/>
  <c r="K571" i="13"/>
  <c r="L571" i="13" s="1"/>
  <c r="I572" i="13" s="1"/>
  <c r="M737" i="14"/>
  <c r="M736" i="13"/>
  <c r="N734" i="13"/>
  <c r="J733" i="13" a="1"/>
  <c r="J733" i="13" s="1"/>
  <c r="N733" i="14"/>
  <c r="J732" i="14" a="1"/>
  <c r="J732" i="14" s="1"/>
  <c r="K591" i="14" l="1"/>
  <c r="L591" i="14" s="1"/>
  <c r="I592" i="14" s="1"/>
  <c r="M737" i="13"/>
  <c r="M738" i="14"/>
  <c r="N734" i="14"/>
  <c r="J733" i="14" a="1"/>
  <c r="J733" i="14" s="1"/>
  <c r="K572" i="13"/>
  <c r="L572" i="13" s="1"/>
  <c r="I573" i="13" s="1"/>
  <c r="N735" i="13"/>
  <c r="J734" i="13" a="1"/>
  <c r="J734" i="13" s="1"/>
  <c r="M738" i="13" l="1"/>
  <c r="N735" i="14"/>
  <c r="J734" i="14" a="1"/>
  <c r="J734" i="14" s="1"/>
  <c r="M739" i="14"/>
  <c r="N736" i="13"/>
  <c r="J735" i="13" a="1"/>
  <c r="J735" i="13" s="1"/>
  <c r="K573" i="13"/>
  <c r="L573" i="13" s="1"/>
  <c r="I574" i="13" s="1"/>
  <c r="K592" i="14"/>
  <c r="L592" i="14" s="1"/>
  <c r="I593" i="14" s="1"/>
  <c r="K593" i="14" l="1"/>
  <c r="L593" i="14" s="1"/>
  <c r="I594" i="14" s="1"/>
  <c r="K574" i="13"/>
  <c r="N737" i="13"/>
  <c r="J736" i="13" a="1"/>
  <c r="J736" i="13" s="1"/>
  <c r="N736" i="14"/>
  <c r="J735" i="14" a="1"/>
  <c r="J735" i="14" s="1"/>
  <c r="M740" i="14"/>
  <c r="M739" i="13"/>
  <c r="N737" i="14" l="1"/>
  <c r="J736" i="14" a="1"/>
  <c r="J736" i="14" s="1"/>
  <c r="L574" i="13"/>
  <c r="I575" i="13" s="1"/>
  <c r="M740" i="13"/>
  <c r="M741" i="14"/>
  <c r="N738" i="13"/>
  <c r="J737" i="13" a="1"/>
  <c r="J737" i="13" s="1"/>
  <c r="K594" i="14"/>
  <c r="L594" i="14" s="1"/>
  <c r="I595" i="14" s="1"/>
  <c r="K595" i="14" l="1"/>
  <c r="L595" i="14" s="1"/>
  <c r="I596" i="14" s="1"/>
  <c r="M742" i="14"/>
  <c r="K575" i="13"/>
  <c r="L575" i="13" s="1"/>
  <c r="I576" i="13" s="1"/>
  <c r="N739" i="13"/>
  <c r="J738" i="13" a="1"/>
  <c r="J738" i="13" s="1"/>
  <c r="M741" i="13"/>
  <c r="N738" i="14"/>
  <c r="J737" i="14" a="1"/>
  <c r="J737" i="14" s="1"/>
  <c r="K576" i="13" l="1"/>
  <c r="L576" i="13" s="1"/>
  <c r="I577" i="13" s="1"/>
  <c r="K596" i="14"/>
  <c r="N740" i="13"/>
  <c r="J739" i="13" a="1"/>
  <c r="J739" i="13" s="1"/>
  <c r="M743" i="14"/>
  <c r="M742" i="13"/>
  <c r="N739" i="14"/>
  <c r="J738" i="14" a="1"/>
  <c r="J738" i="14" s="1"/>
  <c r="K577" i="13" l="1"/>
  <c r="L577" i="13" s="1"/>
  <c r="I578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8" i="13" l="1"/>
  <c r="L578" i="13" s="1"/>
  <c r="I579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98" i="14" l="1"/>
  <c r="L598" i="14" s="1"/>
  <c r="I599" i="14" s="1"/>
  <c r="K579" i="13"/>
  <c r="L579" i="13" s="1"/>
  <c r="I580" i="13" s="1"/>
  <c r="N743" i="13"/>
  <c r="J742" i="13" a="1"/>
  <c r="J742" i="13" s="1"/>
  <c r="M745" i="13"/>
  <c r="N742" i="14"/>
  <c r="J741" i="14" a="1"/>
  <c r="J741" i="14" s="1"/>
  <c r="M746" i="14"/>
  <c r="K580" i="13" l="1"/>
  <c r="L580" i="13" s="1"/>
  <c r="I581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600" i="14" l="1"/>
  <c r="L600" i="14" s="1"/>
  <c r="I601" i="14" s="1"/>
  <c r="N744" i="14"/>
  <c r="J743" i="14" a="1"/>
  <c r="J743" i="14" s="1"/>
  <c r="M748" i="14"/>
  <c r="N745" i="13"/>
  <c r="J744" i="13" a="1"/>
  <c r="J744" i="13" s="1"/>
  <c r="K581" i="13"/>
  <c r="L581" i="13" s="1"/>
  <c r="I582" i="13" s="1"/>
  <c r="M747" i="13"/>
  <c r="N745" i="14" l="1"/>
  <c r="J744" i="14" a="1"/>
  <c r="J744" i="14" s="1"/>
  <c r="M748" i="13"/>
  <c r="N746" i="13"/>
  <c r="J745" i="13" a="1"/>
  <c r="J745" i="13" s="1"/>
  <c r="M749" i="14"/>
  <c r="K582" i="13"/>
  <c r="L582" i="13" s="1"/>
  <c r="I583" i="13" s="1"/>
  <c r="K601" i="14"/>
  <c r="L601" i="14" s="1"/>
  <c r="I602" i="14" s="1"/>
  <c r="K602" i="14" l="1"/>
  <c r="L602" i="14" s="1"/>
  <c r="I603" i="14" s="1"/>
  <c r="K583" i="13"/>
  <c r="L583" i="13" s="1"/>
  <c r="I584" i="13" s="1"/>
  <c r="N747" i="13"/>
  <c r="J746" i="13" a="1"/>
  <c r="J746" i="13" s="1"/>
  <c r="M750" i="14"/>
  <c r="M749" i="13"/>
  <c r="N746" i="14"/>
  <c r="J745" i="14" a="1"/>
  <c r="J745" i="14" s="1"/>
  <c r="K584" i="13" l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604" i="14" l="1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/>
  <c r="I585" i="13" s="1"/>
  <c r="K605" i="14" l="1"/>
  <c r="L605" i="14" s="1"/>
  <c r="I606" i="14" s="1"/>
  <c r="M753" i="14"/>
  <c r="M752" i="13"/>
  <c r="K585" i="13"/>
  <c r="L585" i="13" s="1"/>
  <c r="I586" i="13" s="1"/>
  <c r="N750" i="13"/>
  <c r="J749" i="13" a="1"/>
  <c r="J749" i="13" s="1"/>
  <c r="N749" i="14"/>
  <c r="J748" i="14" a="1"/>
  <c r="J748" i="14" s="1"/>
  <c r="K606" i="14" l="1"/>
  <c r="L606" i="14" s="1"/>
  <c r="I607" i="14" s="1"/>
  <c r="M754" i="14"/>
  <c r="N750" i="14"/>
  <c r="J749" i="14" a="1"/>
  <c r="J749" i="14" s="1"/>
  <c r="K586" i="13"/>
  <c r="L586" i="13" s="1"/>
  <c r="I587" i="13" s="1"/>
  <c r="M753" i="13"/>
  <c r="N751" i="13"/>
  <c r="J750" i="13" a="1"/>
  <c r="J750" i="13" s="1"/>
  <c r="K587" i="13" l="1"/>
  <c r="L587" i="13" s="1"/>
  <c r="I588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608" i="14" l="1"/>
  <c r="K588" i="13"/>
  <c r="L588" i="13" s="1"/>
  <c r="I589" i="13" s="1"/>
  <c r="M755" i="13"/>
  <c r="M756" i="14"/>
  <c r="N752" i="14"/>
  <c r="J751" i="14" a="1"/>
  <c r="J751" i="14" s="1"/>
  <c r="N753" i="13"/>
  <c r="J752" i="13" a="1"/>
  <c r="J752" i="13" s="1"/>
  <c r="K589" i="13" l="1"/>
  <c r="L589" i="13" s="1"/>
  <c r="I590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N754" i="14" l="1"/>
  <c r="J753" i="14" a="1"/>
  <c r="J753" i="14" s="1"/>
  <c r="M757" i="13"/>
  <c r="N755" i="13"/>
  <c r="J754" i="13" a="1"/>
  <c r="J754" i="13" s="1"/>
  <c r="K609" i="14"/>
  <c r="M758" i="14"/>
  <c r="K590" i="13"/>
  <c r="L590" i="13" s="1"/>
  <c r="I591" i="13" s="1"/>
  <c r="K591" i="13" l="1"/>
  <c r="L591" i="13" s="1"/>
  <c r="I592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N756" i="14" l="1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/>
  <c r="L592" i="13" s="1"/>
  <c r="I593" i="13" s="1"/>
  <c r="M761" i="14" l="1"/>
  <c r="M760" i="13"/>
  <c r="K611" i="14"/>
  <c r="L611" i="14" s="1"/>
  <c r="I612" i="14" s="1"/>
  <c r="K593" i="13"/>
  <c r="L593" i="13" s="1"/>
  <c r="I594" i="13" s="1"/>
  <c r="N758" i="13"/>
  <c r="J757" i="13" a="1"/>
  <c r="J757" i="13" s="1"/>
  <c r="N757" i="14"/>
  <c r="J756" i="14" a="1"/>
  <c r="J756" i="14" s="1"/>
  <c r="K612" i="14" l="1"/>
  <c r="L612" i="14" s="1"/>
  <c r="I613" i="14" s="1"/>
  <c r="M761" i="13"/>
  <c r="K594" i="13"/>
  <c r="L594" i="13" s="1"/>
  <c r="I595" i="13" s="1"/>
  <c r="N758" i="14"/>
  <c r="J757" i="14" a="1"/>
  <c r="J757" i="14" s="1"/>
  <c r="M762" i="14"/>
  <c r="N759" i="13"/>
  <c r="J758" i="13" a="1"/>
  <c r="J758" i="13" s="1"/>
  <c r="K595" i="13" l="1"/>
  <c r="L595" i="13" s="1"/>
  <c r="I596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6" i="13" l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615" i="14" l="1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/>
  <c r="I597" i="13" s="1"/>
  <c r="K597" i="13" l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617" i="14" l="1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/>
  <c r="I598" i="13" s="1"/>
  <c r="K618" i="14" l="1"/>
  <c r="L618" i="14" s="1"/>
  <c r="I619" i="14" s="1"/>
  <c r="M768" i="14"/>
  <c r="K598" i="13"/>
  <c r="L598" i="13" s="1"/>
  <c r="I599" i="13" s="1"/>
  <c r="N765" i="13"/>
  <c r="J764" i="13" a="1"/>
  <c r="J764" i="13" s="1"/>
  <c r="M767" i="13"/>
  <c r="N764" i="14"/>
  <c r="J763" i="14" a="1"/>
  <c r="J763" i="14" s="1"/>
  <c r="K619" i="14" l="1"/>
  <c r="L619" i="14" s="1"/>
  <c r="I620" i="14" s="1"/>
  <c r="K599" i="13"/>
  <c r="L599" i="13" s="1"/>
  <c r="I600" i="13" s="1"/>
  <c r="M769" i="14"/>
  <c r="N766" i="13"/>
  <c r="J765" i="13" a="1"/>
  <c r="J765" i="13" s="1"/>
  <c r="N765" i="14"/>
  <c r="J764" i="14" a="1"/>
  <c r="J764" i="14" s="1"/>
  <c r="M768" i="13"/>
  <c r="K620" i="14" l="1"/>
  <c r="K600" i="13"/>
  <c r="L600" i="13" s="1"/>
  <c r="I601" i="13" s="1"/>
  <c r="N767" i="13"/>
  <c r="J766" i="13" a="1"/>
  <c r="J766" i="13" s="1"/>
  <c r="M770" i="14"/>
  <c r="M769" i="13"/>
  <c r="N766" i="14"/>
  <c r="J765" i="14" a="1"/>
  <c r="J765" i="14" s="1"/>
  <c r="K601" i="13" l="1"/>
  <c r="L601" i="13" s="1"/>
  <c r="I602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2" i="13" l="1"/>
  <c r="L602" i="13" s="1"/>
  <c r="I603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22" i="14" l="1"/>
  <c r="L622" i="14" s="1"/>
  <c r="I623" i="14" s="1"/>
  <c r="K603" i="13"/>
  <c r="L603" i="13" s="1"/>
  <c r="I604" i="13" s="1"/>
  <c r="M773" i="14"/>
  <c r="N769" i="14"/>
  <c r="J768" i="14" a="1"/>
  <c r="J768" i="14" s="1"/>
  <c r="M772" i="13"/>
  <c r="N770" i="13"/>
  <c r="J769" i="13" a="1"/>
  <c r="J769" i="13" s="1"/>
  <c r="K623" i="14" l="1"/>
  <c r="L623" i="14" s="1"/>
  <c r="I624" i="14" s="1"/>
  <c r="N771" i="13"/>
  <c r="J770" i="13" a="1"/>
  <c r="J770" i="13" s="1"/>
  <c r="N770" i="14"/>
  <c r="J769" i="14" a="1"/>
  <c r="J769" i="14" s="1"/>
  <c r="K604" i="13"/>
  <c r="L604" i="13" s="1"/>
  <c r="I605" i="13" s="1"/>
  <c r="M773" i="13"/>
  <c r="M774" i="14"/>
  <c r="K605" i="13" l="1"/>
  <c r="L605" i="13" s="1"/>
  <c r="I606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6" i="13" l="1"/>
  <c r="L606" i="13" s="1"/>
  <c r="I607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26" i="14" l="1"/>
  <c r="L626" i="14" s="1"/>
  <c r="I627" i="14" s="1"/>
  <c r="K607" i="13"/>
  <c r="L607" i="13" s="1"/>
  <c r="I608" i="13" s="1"/>
  <c r="M777" i="14"/>
  <c r="N773" i="14"/>
  <c r="J772" i="14" a="1"/>
  <c r="J772" i="14" s="1"/>
  <c r="N774" i="13"/>
  <c r="J773" i="13" a="1"/>
  <c r="J773" i="13" s="1"/>
  <c r="M776" i="13"/>
  <c r="K608" i="13" l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28" i="14" l="1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/>
  <c r="I609" i="13" s="1"/>
  <c r="K629" i="14" l="1"/>
  <c r="L629" i="14" s="1"/>
  <c r="I630" i="14" s="1"/>
  <c r="K609" i="13"/>
  <c r="N777" i="13"/>
  <c r="J776" i="13" a="1"/>
  <c r="J776" i="13" s="1"/>
  <c r="M779" i="13"/>
  <c r="N776" i="14"/>
  <c r="J775" i="14" a="1"/>
  <c r="J775" i="14" s="1"/>
  <c r="M780" i="14"/>
  <c r="K630" i="14" l="1"/>
  <c r="L630" i="14" s="1"/>
  <c r="I631" i="14" s="1"/>
  <c r="M781" i="14"/>
  <c r="M780" i="13"/>
  <c r="L609" i="13"/>
  <c r="I610" i="13" s="1"/>
  <c r="N777" i="14"/>
  <c r="J776" i="14" a="1"/>
  <c r="J776" i="14" s="1"/>
  <c r="N778" i="13"/>
  <c r="J777" i="13" a="1"/>
  <c r="J777" i="13" s="1"/>
  <c r="K631" i="14" l="1"/>
  <c r="L631" i="14" s="1"/>
  <c r="I632" i="14" s="1"/>
  <c r="N779" i="13"/>
  <c r="J778" i="13" a="1"/>
  <c r="J778" i="13" s="1"/>
  <c r="K610" i="13"/>
  <c r="L610" i="13" s="1"/>
  <c r="I611" i="13" s="1"/>
  <c r="M781" i="13"/>
  <c r="N778" i="14"/>
  <c r="J777" i="14" a="1"/>
  <c r="J777" i="14" s="1"/>
  <c r="M782" i="14"/>
  <c r="K611" i="13" l="1"/>
  <c r="L611" i="13" s="1"/>
  <c r="I612" i="13" s="1"/>
  <c r="K632" i="14"/>
  <c r="M783" i="14"/>
  <c r="M782" i="13"/>
  <c r="N780" i="13"/>
  <c r="J779" i="13" a="1"/>
  <c r="J779" i="13" s="1"/>
  <c r="N779" i="14"/>
  <c r="J778" i="14" a="1"/>
  <c r="J778" i="14" s="1"/>
  <c r="K612" i="13" l="1"/>
  <c r="L612" i="13" s="1"/>
  <c r="I613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3" i="13" l="1"/>
  <c r="L613" i="13" s="1"/>
  <c r="I614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4" i="13" l="1"/>
  <c r="L614" i="13" s="1"/>
  <c r="I615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35" i="14" l="1"/>
  <c r="L635" i="14" s="1"/>
  <c r="I636" i="14" s="1"/>
  <c r="K615" i="13"/>
  <c r="L615" i="13" s="1"/>
  <c r="I616" i="13" s="1"/>
  <c r="N784" i="13"/>
  <c r="J783" i="13" a="1"/>
  <c r="J783" i="13" s="1"/>
  <c r="M786" i="13"/>
  <c r="M787" i="14"/>
  <c r="N783" i="14"/>
  <c r="J782" i="14" a="1"/>
  <c r="J782" i="14" s="1"/>
  <c r="K616" i="13" l="1"/>
  <c r="L616" i="13" s="1"/>
  <c r="I617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37" i="14" l="1"/>
  <c r="L637" i="14" s="1"/>
  <c r="I638" i="14" s="1"/>
  <c r="K617" i="13"/>
  <c r="L617" i="13" s="1"/>
  <c r="I618" i="13" s="1"/>
  <c r="N785" i="14"/>
  <c r="J784" i="14" a="1"/>
  <c r="J784" i="14" s="1"/>
  <c r="N786" i="13"/>
  <c r="J785" i="13" a="1"/>
  <c r="J785" i="13" s="1"/>
  <c r="M789" i="14"/>
  <c r="M788" i="13"/>
  <c r="K618" i="13" l="1"/>
  <c r="L618" i="13" s="1"/>
  <c r="I619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39" i="14" l="1"/>
  <c r="L639" i="14" s="1"/>
  <c r="I640" i="14" s="1"/>
  <c r="K619" i="13"/>
  <c r="L619" i="13" s="1"/>
  <c r="I620" i="13" s="1"/>
  <c r="N788" i="13"/>
  <c r="J787" i="13" a="1"/>
  <c r="J787" i="13" s="1"/>
  <c r="N787" i="14"/>
  <c r="J786" i="14" a="1"/>
  <c r="J786" i="14" s="1"/>
  <c r="M791" i="14"/>
  <c r="M790" i="13"/>
  <c r="K620" i="13" l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41" i="14" l="1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/>
  <c r="I621" i="13" s="1"/>
  <c r="K642" i="14" l="1"/>
  <c r="L642" i="14" s="1"/>
  <c r="I643" i="14" s="1"/>
  <c r="M794" i="14"/>
  <c r="N790" i="14"/>
  <c r="J789" i="14" a="1"/>
  <c r="J789" i="14" s="1"/>
  <c r="N791" i="13"/>
  <c r="J790" i="13" a="1"/>
  <c r="J790" i="13" s="1"/>
  <c r="K621" i="13"/>
  <c r="M793" i="13"/>
  <c r="K643" i="14" l="1"/>
  <c r="L643" i="14" s="1"/>
  <c r="I644" i="14" s="1"/>
  <c r="M795" i="14"/>
  <c r="N792" i="13"/>
  <c r="J791" i="13" a="1"/>
  <c r="J791" i="13" s="1"/>
  <c r="M794" i="13"/>
  <c r="L621" i="13"/>
  <c r="I622" i="13" s="1"/>
  <c r="N791" i="14"/>
  <c r="J790" i="14" a="1"/>
  <c r="J790" i="14" s="1"/>
  <c r="K644" i="14" l="1"/>
  <c r="N792" i="14"/>
  <c r="J791" i="14" a="1"/>
  <c r="J791" i="14" s="1"/>
  <c r="N793" i="13"/>
  <c r="J792" i="13" a="1"/>
  <c r="J792" i="13" s="1"/>
  <c r="K622" i="13"/>
  <c r="L622" i="13" s="1"/>
  <c r="I623" i="13" s="1"/>
  <c r="M795" i="13"/>
  <c r="M796" i="14"/>
  <c r="K623" i="13" l="1"/>
  <c r="L623" i="13" s="1"/>
  <c r="I624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4" i="13" l="1"/>
  <c r="L624" i="13" s="1"/>
  <c r="I625" i="13" s="1"/>
  <c r="N795" i="13"/>
  <c r="J794" i="13" a="1"/>
  <c r="J794" i="13" s="1"/>
  <c r="K645" i="14"/>
  <c r="M798" i="14"/>
  <c r="M797" i="13"/>
  <c r="N794" i="14"/>
  <c r="J793" i="14" a="1"/>
  <c r="J793" i="14" s="1"/>
  <c r="K625" i="13" l="1"/>
  <c r="L625" i="13" s="1"/>
  <c r="I626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6" i="13" l="1"/>
  <c r="L626" i="13" s="1"/>
  <c r="I627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7" i="13" l="1"/>
  <c r="L627" i="13" s="1"/>
  <c r="I628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48" i="14" l="1"/>
  <c r="L648" i="14" s="1"/>
  <c r="I649" i="14" s="1"/>
  <c r="K628" i="13"/>
  <c r="L628" i="13" s="1"/>
  <c r="I629" i="13" s="1"/>
  <c r="N799" i="13"/>
  <c r="J798" i="13" a="1"/>
  <c r="J798" i="13" s="1"/>
  <c r="N798" i="14"/>
  <c r="J797" i="14" a="1"/>
  <c r="J797" i="14" s="1"/>
  <c r="M801" i="13"/>
  <c r="M802" i="14"/>
  <c r="K629" i="13" l="1"/>
  <c r="L629" i="13" s="1"/>
  <c r="I630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30" i="13" l="1"/>
  <c r="L630" i="13" s="1"/>
  <c r="I631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51" i="14" l="1"/>
  <c r="L651" i="14" s="1"/>
  <c r="I652" i="14" s="1"/>
  <c r="K631" i="13"/>
  <c r="L631" i="13" s="1"/>
  <c r="I632" i="13" s="1"/>
  <c r="M805" i="14"/>
  <c r="N802" i="13"/>
  <c r="J801" i="13" a="1"/>
  <c r="J801" i="13" s="1"/>
  <c r="M804" i="13"/>
  <c r="N801" i="14"/>
  <c r="J800" i="14" a="1"/>
  <c r="J800" i="14" s="1"/>
  <c r="K632" i="13" l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53" i="14" l="1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/>
  <c r="I633" i="13" s="1"/>
  <c r="K654" i="14" l="1"/>
  <c r="L654" i="14" s="1"/>
  <c r="I655" i="14" s="1"/>
  <c r="N805" i="13"/>
  <c r="J804" i="13" a="1"/>
  <c r="J804" i="13" s="1"/>
  <c r="N804" i="14"/>
  <c r="J803" i="14" a="1"/>
  <c r="J803" i="14" s="1"/>
  <c r="K633" i="13"/>
  <c r="L633" i="13" s="1"/>
  <c r="I634" i="13" s="1"/>
  <c r="M808" i="14"/>
  <c r="M807" i="13"/>
  <c r="K634" i="13" l="1"/>
  <c r="L634" i="13" s="1"/>
  <c r="I635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5" i="13" l="1"/>
  <c r="L635" i="13" s="1"/>
  <c r="I636" i="13" s="1"/>
  <c r="M810" i="14"/>
  <c r="N806" i="14"/>
  <c r="J805" i="14" a="1"/>
  <c r="J805" i="14" s="1"/>
  <c r="M809" i="13"/>
  <c r="K656" i="14"/>
  <c r="N807" i="13"/>
  <c r="J806" i="13" a="1"/>
  <c r="J806" i="13" s="1"/>
  <c r="K636" i="13" l="1"/>
  <c r="L636" i="13" s="1"/>
  <c r="I637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7" i="13" l="1"/>
  <c r="L637" i="13" s="1"/>
  <c r="I638" i="13" s="1"/>
  <c r="N808" i="14"/>
  <c r="J807" i="14" a="1"/>
  <c r="J807" i="14" s="1"/>
  <c r="N809" i="13"/>
  <c r="J808" i="13" a="1"/>
  <c r="J808" i="13" s="1"/>
  <c r="M811" i="13"/>
  <c r="K657" i="14"/>
  <c r="M812" i="14"/>
  <c r="K638" i="13" l="1"/>
  <c r="L638" i="13" s="1"/>
  <c r="I639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9" i="13" l="1"/>
  <c r="L639" i="13" s="1"/>
  <c r="I640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M814" i="13" l="1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/>
  <c r="L640" i="13" s="1"/>
  <c r="I641" i="13" s="1"/>
  <c r="K641" i="13" l="1"/>
  <c r="L641" i="13" s="1"/>
  <c r="I642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61" i="14" l="1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/>
  <c r="L642" i="13" s="1"/>
  <c r="I643" i="13" s="1"/>
  <c r="K662" i="14" l="1"/>
  <c r="L662" i="14" s="1"/>
  <c r="I663" i="14" s="1"/>
  <c r="K643" i="13"/>
  <c r="L643" i="13" s="1"/>
  <c r="I644" i="13" s="1"/>
  <c r="N814" i="14"/>
  <c r="J813" i="14" a="1"/>
  <c r="J813" i="14" s="1"/>
  <c r="N815" i="13"/>
  <c r="J814" i="13" a="1"/>
  <c r="J814" i="13" s="1"/>
  <c r="M818" i="14"/>
  <c r="M817" i="13"/>
  <c r="K644" i="13" l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64" i="14" l="1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/>
  <c r="I645" i="13" s="1"/>
  <c r="K645" i="13" l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66" i="14" l="1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/>
  <c r="I646" i="13" s="1"/>
  <c r="K667" i="14" l="1"/>
  <c r="L667" i="14" s="1"/>
  <c r="I668" i="14" s="1"/>
  <c r="N820" i="13"/>
  <c r="J819" i="13" a="1"/>
  <c r="J819" i="13" s="1"/>
  <c r="N819" i="14"/>
  <c r="J818" i="14" a="1"/>
  <c r="J818" i="14" s="1"/>
  <c r="K646" i="13"/>
  <c r="L646" i="13" s="1"/>
  <c r="I647" i="13" s="1"/>
  <c r="M822" i="13"/>
  <c r="M823" i="14"/>
  <c r="K647" i="13" l="1"/>
  <c r="L647" i="13" s="1"/>
  <c r="I648" i="13" s="1"/>
  <c r="M824" i="14"/>
  <c r="N821" i="13"/>
  <c r="J820" i="13" a="1"/>
  <c r="J820" i="13" s="1"/>
  <c r="M823" i="13"/>
  <c r="N820" i="14"/>
  <c r="J819" i="14" a="1"/>
  <c r="J819" i="14" s="1"/>
  <c r="K668" i="14"/>
  <c r="K648" i="13" l="1"/>
  <c r="L648" i="13" s="1"/>
  <c r="I649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9" i="13" l="1"/>
  <c r="L649" i="13" s="1"/>
  <c r="I650" i="13" s="1"/>
  <c r="K669" i="14"/>
  <c r="N823" i="13"/>
  <c r="J822" i="13" a="1"/>
  <c r="J822" i="13" s="1"/>
  <c r="M826" i="14"/>
  <c r="N822" i="14"/>
  <c r="J821" i="14" a="1"/>
  <c r="J821" i="14" s="1"/>
  <c r="M825" i="13"/>
  <c r="K650" i="13" l="1"/>
  <c r="L650" i="13" s="1"/>
  <c r="I651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1" i="13" l="1"/>
  <c r="L651" i="13" s="1"/>
  <c r="I652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71" i="14" l="1"/>
  <c r="L671" i="14" s="1"/>
  <c r="I672" i="14" s="1"/>
  <c r="K652" i="13"/>
  <c r="L652" i="13" s="1"/>
  <c r="I653" i="13" s="1"/>
  <c r="N826" i="13"/>
  <c r="J825" i="13" a="1"/>
  <c r="J825" i="13" s="1"/>
  <c r="N825" i="14"/>
  <c r="J824" i="14" a="1"/>
  <c r="J824" i="14" s="1"/>
  <c r="M828" i="13"/>
  <c r="M829" i="14"/>
  <c r="K653" i="13" l="1"/>
  <c r="L653" i="13" s="1"/>
  <c r="I654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73" i="14" l="1"/>
  <c r="L673" i="14" s="1"/>
  <c r="I674" i="14" s="1"/>
  <c r="K654" i="13"/>
  <c r="L654" i="13" s="1"/>
  <c r="I655" i="13" s="1"/>
  <c r="N828" i="13"/>
  <c r="J827" i="13" a="1"/>
  <c r="J827" i="13" s="1"/>
  <c r="M831" i="14"/>
  <c r="N827" i="14"/>
  <c r="J826" i="14" a="1"/>
  <c r="J826" i="14" s="1"/>
  <c r="M830" i="13"/>
  <c r="K674" i="14" l="1"/>
  <c r="L674" i="14" s="1"/>
  <c r="I675" i="14" s="1"/>
  <c r="K655" i="13"/>
  <c r="L655" i="13" s="1"/>
  <c r="I656" i="13" s="1"/>
  <c r="M831" i="13"/>
  <c r="M832" i="14"/>
  <c r="N828" i="14"/>
  <c r="J827" i="14" a="1"/>
  <c r="J827" i="14" s="1"/>
  <c r="N829" i="13"/>
  <c r="J828" i="13" a="1"/>
  <c r="J828" i="13" s="1"/>
  <c r="K656" i="13" l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76" i="14" l="1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/>
  <c r="I657" i="13" s="1"/>
  <c r="K677" i="14" l="1"/>
  <c r="L677" i="14" s="1"/>
  <c r="I678" i="14" s="1"/>
  <c r="N832" i="13"/>
  <c r="J831" i="13" a="1"/>
  <c r="J831" i="13" s="1"/>
  <c r="M835" i="14"/>
  <c r="N831" i="14"/>
  <c r="J830" i="14" a="1"/>
  <c r="J830" i="14" s="1"/>
  <c r="K657" i="13"/>
  <c r="M834" i="13"/>
  <c r="K678" i="14" l="1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/>
  <c r="I658" i="13" s="1"/>
  <c r="K679" i="14" l="1"/>
  <c r="L679" i="14" s="1"/>
  <c r="I680" i="14" s="1"/>
  <c r="K658" i="13"/>
  <c r="L658" i="13" s="1"/>
  <c r="I659" i="13" s="1"/>
  <c r="M836" i="13"/>
  <c r="M837" i="14"/>
  <c r="N834" i="13"/>
  <c r="J833" i="13" a="1"/>
  <c r="J833" i="13" s="1"/>
  <c r="N833" i="14"/>
  <c r="J832" i="14" a="1"/>
  <c r="J832" i="14" s="1"/>
  <c r="K680" i="14" l="1"/>
  <c r="K659" i="13"/>
  <c r="L659" i="13" s="1"/>
  <c r="I660" i="13" s="1"/>
  <c r="M838" i="14"/>
  <c r="N834" i="14"/>
  <c r="J833" i="14" a="1"/>
  <c r="J833" i="14" s="1"/>
  <c r="M837" i="13"/>
  <c r="N835" i="13"/>
  <c r="J834" i="13" a="1"/>
  <c r="J834" i="13" s="1"/>
  <c r="K660" i="13" l="1"/>
  <c r="L660" i="13" s="1"/>
  <c r="I661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M840" i="14" l="1"/>
  <c r="N836" i="14"/>
  <c r="J835" i="14" a="1"/>
  <c r="J835" i="14" s="1"/>
  <c r="M839" i="13"/>
  <c r="K681" i="14"/>
  <c r="N837" i="13"/>
  <c r="J836" i="13" a="1"/>
  <c r="J836" i="13" s="1"/>
  <c r="K661" i="13"/>
  <c r="L661" i="13" s="1"/>
  <c r="I662" i="13" s="1"/>
  <c r="K662" i="13" l="1"/>
  <c r="L662" i="13" s="1"/>
  <c r="I663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M842" i="14" l="1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/>
  <c r="L663" i="13" s="1"/>
  <c r="I664" i="13" s="1"/>
  <c r="K664" i="13" l="1"/>
  <c r="L664" i="13" s="1"/>
  <c r="I665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84" i="14" l="1"/>
  <c r="L684" i="14" s="1"/>
  <c r="I685" i="14" s="1"/>
  <c r="K665" i="13"/>
  <c r="L665" i="13" s="1"/>
  <c r="I666" i="13" s="1"/>
  <c r="N841" i="13"/>
  <c r="J840" i="13" a="1"/>
  <c r="J840" i="13" s="1"/>
  <c r="N840" i="14"/>
  <c r="J839" i="14" a="1"/>
  <c r="J839" i="14" s="1"/>
  <c r="M843" i="13"/>
  <c r="M844" i="14"/>
  <c r="K666" i="13" l="1"/>
  <c r="L666" i="13" s="1"/>
  <c r="I667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86" i="14" l="1"/>
  <c r="L686" i="14" s="1"/>
  <c r="I687" i="14" s="1"/>
  <c r="K667" i="13"/>
  <c r="L667" i="13" s="1"/>
  <c r="I668" i="13" s="1"/>
  <c r="N843" i="13"/>
  <c r="J842" i="13" a="1"/>
  <c r="J842" i="13" s="1"/>
  <c r="M846" i="14"/>
  <c r="M845" i="13"/>
  <c r="N842" i="14"/>
  <c r="J841" i="14" a="1"/>
  <c r="J841" i="14" s="1"/>
  <c r="K668" i="13" l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88" i="14" l="1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/>
  <c r="I669" i="13" s="1"/>
  <c r="K689" i="14" l="1"/>
  <c r="L689" i="14" s="1"/>
  <c r="I690" i="14" s="1"/>
  <c r="K669" i="13"/>
  <c r="M849" i="14"/>
  <c r="N845" i="14"/>
  <c r="J844" i="14" a="1"/>
  <c r="J844" i="14" s="1"/>
  <c r="M848" i="13"/>
  <c r="N846" i="13"/>
  <c r="J845" i="13" a="1"/>
  <c r="J845" i="13" s="1"/>
  <c r="K690" i="14" l="1"/>
  <c r="L690" i="14" s="1"/>
  <c r="I691" i="14" s="1"/>
  <c r="N847" i="13"/>
  <c r="J846" i="13" a="1"/>
  <c r="J846" i="13" s="1"/>
  <c r="N846" i="14"/>
  <c r="J845" i="14" a="1"/>
  <c r="J845" i="14" s="1"/>
  <c r="L669" i="13"/>
  <c r="I670" i="13" s="1"/>
  <c r="M849" i="13"/>
  <c r="M850" i="14"/>
  <c r="K691" i="14" l="1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/>
  <c r="L670" i="13" s="1"/>
  <c r="I671" i="13" s="1"/>
  <c r="K692" i="14" l="1"/>
  <c r="K671" i="13"/>
  <c r="L671" i="13" s="1"/>
  <c r="I672" i="13" s="1"/>
  <c r="N848" i="14"/>
  <c r="J847" i="14" a="1"/>
  <c r="J847" i="14" s="1"/>
  <c r="N849" i="13"/>
  <c r="J848" i="13" a="1"/>
  <c r="J848" i="13" s="1"/>
  <c r="M852" i="14"/>
  <c r="M851" i="13"/>
  <c r="K672" i="13" l="1"/>
  <c r="L672" i="13" s="1"/>
  <c r="I673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3" i="13" l="1"/>
  <c r="L673" i="13" s="1"/>
  <c r="I674" i="13" s="1"/>
  <c r="N850" i="14"/>
  <c r="J849" i="14" a="1"/>
  <c r="J849" i="14" s="1"/>
  <c r="M853" i="13"/>
  <c r="N851" i="13"/>
  <c r="J850" i="13" a="1"/>
  <c r="J850" i="13" s="1"/>
  <c r="M854" i="14"/>
  <c r="K693" i="14"/>
  <c r="K674" i="13" l="1"/>
  <c r="L674" i="13" s="1"/>
  <c r="I675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5" i="13" l="1"/>
  <c r="L675" i="13" s="1"/>
  <c r="I676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95" i="14" l="1"/>
  <c r="L695" i="14" s="1"/>
  <c r="I696" i="14" s="1"/>
  <c r="K676" i="13"/>
  <c r="L676" i="13" s="1"/>
  <c r="I677" i="13" s="1"/>
  <c r="M856" i="13"/>
  <c r="N853" i="14"/>
  <c r="J852" i="14" a="1"/>
  <c r="J852" i="14" s="1"/>
  <c r="M857" i="14"/>
  <c r="N854" i="13"/>
  <c r="J853" i="13" a="1"/>
  <c r="J853" i="13" s="1"/>
  <c r="K677" i="13" l="1"/>
  <c r="L677" i="13" s="1"/>
  <c r="I678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97" i="14" l="1"/>
  <c r="L697" i="14" s="1"/>
  <c r="I698" i="14" s="1"/>
  <c r="K678" i="13"/>
  <c r="L678" i="13" s="1"/>
  <c r="I679" i="13" s="1"/>
  <c r="N856" i="13"/>
  <c r="J855" i="13" a="1"/>
  <c r="J855" i="13" s="1"/>
  <c r="M858" i="13"/>
  <c r="M859" i="14"/>
  <c r="N855" i="14"/>
  <c r="J854" i="14" a="1"/>
  <c r="J854" i="14" s="1"/>
  <c r="K698" i="14" l="1"/>
  <c r="L698" i="14" s="1"/>
  <c r="I699" i="14" s="1"/>
  <c r="K679" i="13"/>
  <c r="L679" i="13" s="1"/>
  <c r="I680" i="13" s="1"/>
  <c r="M859" i="13"/>
  <c r="N856" i="14"/>
  <c r="J855" i="14" a="1"/>
  <c r="J855" i="14" s="1"/>
  <c r="M860" i="14"/>
  <c r="N857" i="13"/>
  <c r="J856" i="13" a="1"/>
  <c r="J856" i="13" s="1"/>
  <c r="K680" i="13" l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700" i="14" l="1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/>
  <c r="I681" i="13" s="1"/>
  <c r="K701" i="14" l="1"/>
  <c r="L701" i="14" s="1"/>
  <c r="I702" i="14" s="1"/>
  <c r="M862" i="13"/>
  <c r="N860" i="13"/>
  <c r="J859" i="13" a="1"/>
  <c r="J859" i="13" s="1"/>
  <c r="M863" i="14"/>
  <c r="K681" i="13"/>
  <c r="N859" i="14"/>
  <c r="J858" i="14" a="1"/>
  <c r="J858" i="14" s="1"/>
  <c r="K702" i="14" l="1"/>
  <c r="L702" i="14" s="1"/>
  <c r="I703" i="14" s="1"/>
  <c r="M864" i="14"/>
  <c r="M863" i="13"/>
  <c r="N860" i="14"/>
  <c r="J859" i="14" a="1"/>
  <c r="J859" i="14" s="1"/>
  <c r="L681" i="13"/>
  <c r="I682" i="13" s="1"/>
  <c r="N861" i="13"/>
  <c r="J860" i="13" a="1"/>
  <c r="J860" i="13" s="1"/>
  <c r="K703" i="14" l="1"/>
  <c r="L703" i="14" s="1"/>
  <c r="I704" i="14" s="1"/>
  <c r="N861" i="14"/>
  <c r="J860" i="14" a="1"/>
  <c r="J860" i="14" s="1"/>
  <c r="N862" i="13"/>
  <c r="J861" i="13" a="1"/>
  <c r="J861" i="13" s="1"/>
  <c r="M864" i="13"/>
  <c r="K682" i="13"/>
  <c r="L682" i="13" s="1"/>
  <c r="I683" i="13" s="1"/>
  <c r="M865" i="14"/>
  <c r="K683" i="13" l="1"/>
  <c r="L683" i="13" s="1"/>
  <c r="I684" i="13" s="1"/>
  <c r="K704" i="14"/>
  <c r="N862" i="14"/>
  <c r="J861" i="14" a="1"/>
  <c r="J861" i="14" s="1"/>
  <c r="M865" i="13"/>
  <c r="M866" i="14"/>
  <c r="N863" i="13"/>
  <c r="J862" i="13" a="1"/>
  <c r="J862" i="13" s="1"/>
  <c r="K684" i="13" l="1"/>
  <c r="L684" i="13" s="1"/>
  <c r="I685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N864" i="14" l="1"/>
  <c r="J863" i="14" a="1"/>
  <c r="J863" i="14" s="1"/>
  <c r="N865" i="13"/>
  <c r="J864" i="13" a="1"/>
  <c r="J864" i="13" s="1"/>
  <c r="M868" i="14"/>
  <c r="K705" i="14"/>
  <c r="M867" i="13"/>
  <c r="K685" i="13"/>
  <c r="L685" i="13" s="1"/>
  <c r="I686" i="13" s="1"/>
  <c r="K686" i="13" l="1"/>
  <c r="L686" i="13" s="1"/>
  <c r="I687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7" i="13" l="1"/>
  <c r="L687" i="13" s="1"/>
  <c r="I688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707" i="14" l="1"/>
  <c r="L707" i="14" s="1"/>
  <c r="I708" i="14" s="1"/>
  <c r="K688" i="13"/>
  <c r="L688" i="13" s="1"/>
  <c r="I689" i="13" s="1"/>
  <c r="M870" i="13"/>
  <c r="N868" i="13"/>
  <c r="J867" i="13" a="1"/>
  <c r="J867" i="13" s="1"/>
  <c r="M871" i="14"/>
  <c r="N867" i="14"/>
  <c r="J866" i="14" a="1"/>
  <c r="J866" i="14" s="1"/>
  <c r="K689" i="13" l="1"/>
  <c r="L689" i="13" s="1"/>
  <c r="I690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709" i="14" l="1"/>
  <c r="L709" i="14" s="1"/>
  <c r="I710" i="14" s="1"/>
  <c r="K690" i="13"/>
  <c r="L690" i="13" s="1"/>
  <c r="I691" i="13" s="1"/>
  <c r="M872" i="13"/>
  <c r="N869" i="14"/>
  <c r="J868" i="14" a="1"/>
  <c r="J868" i="14" s="1"/>
  <c r="M873" i="14"/>
  <c r="N870" i="13"/>
  <c r="J869" i="13" a="1"/>
  <c r="J869" i="13" s="1"/>
  <c r="K691" i="13" l="1"/>
  <c r="L691" i="13" s="1"/>
  <c r="I692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711" i="14" l="1"/>
  <c r="L711" i="14" s="1"/>
  <c r="I712" i="14" s="1"/>
  <c r="K692" i="13"/>
  <c r="L692" i="13" s="1"/>
  <c r="I693" i="13" s="1"/>
  <c r="M875" i="14"/>
  <c r="M874" i="13"/>
  <c r="N871" i="14"/>
  <c r="J870" i="14" a="1"/>
  <c r="J870" i="14" s="1"/>
  <c r="N872" i="13"/>
  <c r="J871" i="13" a="1"/>
  <c r="J871" i="13" s="1"/>
  <c r="K693" i="13" l="1"/>
  <c r="L693" i="13" s="1"/>
  <c r="I694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4" i="13" l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714" i="14" l="1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/>
  <c r="I695" i="13" s="1"/>
  <c r="K715" i="14" l="1"/>
  <c r="L715" i="14" s="1"/>
  <c r="I716" i="14" s="1"/>
  <c r="M879" i="14"/>
  <c r="K695" i="13"/>
  <c r="L695" i="13" s="1"/>
  <c r="I696" i="13" s="1"/>
  <c r="M878" i="13"/>
  <c r="N875" i="14"/>
  <c r="J874" i="14" a="1"/>
  <c r="J874" i="14" s="1"/>
  <c r="N876" i="13"/>
  <c r="J875" i="13" a="1"/>
  <c r="J875" i="13" s="1"/>
  <c r="K696" i="13" l="1"/>
  <c r="L696" i="13" s="1"/>
  <c r="I697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7" i="13" l="1"/>
  <c r="L697" i="13" s="1"/>
  <c r="I698" i="13" s="1"/>
  <c r="N877" i="14"/>
  <c r="J876" i="14" a="1"/>
  <c r="J876" i="14" s="1"/>
  <c r="M881" i="14"/>
  <c r="N878" i="13"/>
  <c r="J877" i="13" a="1"/>
  <c r="J877" i="13" s="1"/>
  <c r="K717" i="14"/>
  <c r="M880" i="13"/>
  <c r="K698" i="13" l="1"/>
  <c r="L698" i="13" s="1"/>
  <c r="I699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9" i="13" l="1"/>
  <c r="L699" i="13" s="1"/>
  <c r="I700" i="13" s="1"/>
  <c r="M883" i="14"/>
  <c r="N879" i="14"/>
  <c r="J878" i="14" a="1"/>
  <c r="J878" i="14" s="1"/>
  <c r="M882" i="13"/>
  <c r="K718" i="14"/>
  <c r="N880" i="13"/>
  <c r="J879" i="13" a="1"/>
  <c r="J879" i="13" s="1"/>
  <c r="K700" i="13" l="1"/>
  <c r="L700" i="13" s="1"/>
  <c r="I701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1" i="13" l="1"/>
  <c r="L701" i="13" s="1"/>
  <c r="I702" i="13" s="1"/>
  <c r="M884" i="13"/>
  <c r="N882" i="13"/>
  <c r="J881" i="13" a="1"/>
  <c r="J881" i="13" s="1"/>
  <c r="N881" i="14"/>
  <c r="J880" i="14" a="1"/>
  <c r="J880" i="14" s="1"/>
  <c r="K719" i="14"/>
  <c r="M885" i="14"/>
  <c r="K702" i="13" l="1"/>
  <c r="L702" i="13" s="1"/>
  <c r="I703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3" i="13" l="1"/>
  <c r="L703" i="13" s="1"/>
  <c r="I704" i="13" s="1"/>
  <c r="M887" i="14"/>
  <c r="M886" i="13"/>
  <c r="N884" i="13"/>
  <c r="J883" i="13" a="1"/>
  <c r="J883" i="13" s="1"/>
  <c r="K720" i="14"/>
  <c r="N883" i="14"/>
  <c r="J882" i="14" a="1"/>
  <c r="J882" i="14" s="1"/>
  <c r="K704" i="13" l="1"/>
  <c r="M888" i="14"/>
  <c r="N884" i="14"/>
  <c r="J883" i="14" a="1"/>
  <c r="J883" i="14" s="1"/>
  <c r="N885" i="13"/>
  <c r="J884" i="13" a="1"/>
  <c r="J884" i="13" s="1"/>
  <c r="M887" i="13"/>
  <c r="L720" i="14"/>
  <c r="I721" i="14" s="1"/>
  <c r="M889" i="14" l="1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/>
  <c r="I705" i="13" s="1"/>
  <c r="K722" i="14" l="1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/>
  <c r="K723" i="14" l="1"/>
  <c r="L723" i="14" s="1"/>
  <c r="I724" i="14" s="1"/>
  <c r="M890" i="13"/>
  <c r="L705" i="13"/>
  <c r="I706" i="13" s="1"/>
  <c r="N888" i="13"/>
  <c r="J887" i="13" a="1"/>
  <c r="J887" i="13" s="1"/>
  <c r="N887" i="14"/>
  <c r="J886" i="14" a="1"/>
  <c r="J886" i="14" s="1"/>
  <c r="M891" i="14"/>
  <c r="M892" i="14" l="1"/>
  <c r="N889" i="13"/>
  <c r="J888" i="13" a="1"/>
  <c r="J888" i="13" s="1"/>
  <c r="K706" i="13"/>
  <c r="L706" i="13" s="1"/>
  <c r="I707" i="13" s="1"/>
  <c r="N888" i="14"/>
  <c r="J887" i="14" a="1"/>
  <c r="J887" i="14" s="1"/>
  <c r="M891" i="13"/>
  <c r="K724" i="14"/>
  <c r="L724" i="14" s="1"/>
  <c r="I725" i="14" s="1"/>
  <c r="K725" i="14" l="1"/>
  <c r="L725" i="14" s="1"/>
  <c r="I726" i="14" s="1"/>
  <c r="K707" i="13"/>
  <c r="L707" i="13" s="1"/>
  <c r="I708" i="13" s="1"/>
  <c r="N890" i="13"/>
  <c r="J889" i="13" a="1"/>
  <c r="J889" i="13" s="1"/>
  <c r="N889" i="14"/>
  <c r="J888" i="14" a="1"/>
  <c r="J888" i="14" s="1"/>
  <c r="M892" i="13"/>
  <c r="M893" i="14"/>
  <c r="K708" i="13" l="1"/>
  <c r="L708" i="13" s="1"/>
  <c r="I709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27" i="14" l="1"/>
  <c r="L727" i="14" s="1"/>
  <c r="I728" i="14" s="1"/>
  <c r="K709" i="13"/>
  <c r="L709" i="13" s="1"/>
  <c r="I710" i="13" s="1"/>
  <c r="M895" i="14"/>
  <c r="N892" i="13"/>
  <c r="J891" i="13" a="1"/>
  <c r="J891" i="13" s="1"/>
  <c r="M894" i="13"/>
  <c r="N891" i="14"/>
  <c r="J890" i="14" a="1"/>
  <c r="J890" i="14" s="1"/>
  <c r="K710" i="13" l="1"/>
  <c r="L710" i="13" s="1"/>
  <c r="I711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29" i="14" l="1"/>
  <c r="L729" i="14" s="1"/>
  <c r="I730" i="14" s="1"/>
  <c r="K711" i="13"/>
  <c r="L711" i="13" s="1"/>
  <c r="I712" i="13" s="1"/>
  <c r="M896" i="13"/>
  <c r="M897" i="14"/>
  <c r="N893" i="14"/>
  <c r="J892" i="14" a="1"/>
  <c r="J892" i="14" s="1"/>
  <c r="N894" i="13"/>
  <c r="J893" i="13" a="1"/>
  <c r="J893" i="13" s="1"/>
  <c r="K712" i="13" l="1"/>
  <c r="L712" i="13" s="1"/>
  <c r="I713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31" i="14" l="1"/>
  <c r="L731" i="14" s="1"/>
  <c r="I732" i="14" s="1"/>
  <c r="K713" i="13"/>
  <c r="L713" i="13" s="1"/>
  <c r="I714" i="13" s="1"/>
  <c r="N896" i="13"/>
  <c r="J895" i="13" a="1"/>
  <c r="J895" i="13" s="1"/>
  <c r="N895" i="14"/>
  <c r="J894" i="14" a="1"/>
  <c r="J894" i="14" s="1"/>
  <c r="M898" i="13"/>
  <c r="M899" i="14"/>
  <c r="K714" i="13" l="1"/>
  <c r="L714" i="13" s="1"/>
  <c r="I715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33" i="14" l="1"/>
  <c r="L733" i="14" s="1"/>
  <c r="I734" i="14" s="1"/>
  <c r="K715" i="13"/>
  <c r="L715" i="13" s="1"/>
  <c r="I716" i="13" s="1"/>
  <c r="N897" i="14"/>
  <c r="J896" i="14" a="1"/>
  <c r="J896" i="14" s="1"/>
  <c r="M900" i="13"/>
  <c r="N898" i="13"/>
  <c r="J897" i="13" a="1"/>
  <c r="J897" i="13" s="1"/>
  <c r="M901" i="14"/>
  <c r="K716" i="13" l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35" i="14" l="1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/>
  <c r="I717" i="13" s="1"/>
  <c r="K736" i="14" l="1"/>
  <c r="L736" i="14" s="1"/>
  <c r="I737" i="14" s="1"/>
  <c r="M903" i="13"/>
  <c r="N901" i="13"/>
  <c r="J900" i="13" a="1"/>
  <c r="J900" i="13" s="1"/>
  <c r="K717" i="13"/>
  <c r="M904" i="14"/>
  <c r="N900" i="14"/>
  <c r="J899" i="14" a="1"/>
  <c r="J899" i="14" s="1"/>
  <c r="K737" i="14" l="1"/>
  <c r="L737" i="14" s="1"/>
  <c r="I738" i="14" s="1"/>
  <c r="M904" i="13"/>
  <c r="M905" i="14"/>
  <c r="N901" i="14"/>
  <c r="J900" i="14" a="1"/>
  <c r="J900" i="14" s="1"/>
  <c r="L717" i="13"/>
  <c r="I718" i="13" s="1"/>
  <c r="N902" i="13"/>
  <c r="J901" i="13" a="1"/>
  <c r="J901" i="13" s="1"/>
  <c r="K738" i="14" l="1"/>
  <c r="L738" i="14" s="1"/>
  <c r="I739" i="14" s="1"/>
  <c r="N903" i="13"/>
  <c r="J902" i="13" a="1"/>
  <c r="J902" i="13" s="1"/>
  <c r="M906" i="14"/>
  <c r="K718" i="13"/>
  <c r="M905" i="13"/>
  <c r="N902" i="14"/>
  <c r="J901" i="14" a="1"/>
  <c r="J901" i="14" s="1"/>
  <c r="K739" i="14" l="1"/>
  <c r="L739" i="14" s="1"/>
  <c r="I740" i="14" s="1"/>
  <c r="N904" i="13"/>
  <c r="J903" i="13" a="1"/>
  <c r="J903" i="13" s="1"/>
  <c r="N903" i="14"/>
  <c r="J902" i="14" a="1"/>
  <c r="J902" i="14" s="1"/>
  <c r="L718" i="13"/>
  <c r="I719" i="13" s="1"/>
  <c r="M906" i="13"/>
  <c r="M907" i="14"/>
  <c r="K740" i="14" l="1"/>
  <c r="L740" i="14" s="1"/>
  <c r="I741" i="14" s="1"/>
  <c r="N904" i="14"/>
  <c r="J903" i="14" a="1"/>
  <c r="J903" i="14" s="1"/>
  <c r="M907" i="13"/>
  <c r="M908" i="14"/>
  <c r="K719" i="13"/>
  <c r="N905" i="13"/>
  <c r="J904" i="13" a="1"/>
  <c r="J904" i="13" s="1"/>
  <c r="K741" i="14" l="1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/>
  <c r="I720" i="13" s="1"/>
  <c r="K742" i="14" l="1"/>
  <c r="L742" i="14" s="1"/>
  <c r="I743" i="14" s="1"/>
  <c r="M910" i="14"/>
  <c r="K720" i="13"/>
  <c r="L720" i="13" s="1"/>
  <c r="I721" i="13" s="1"/>
  <c r="M909" i="13"/>
  <c r="N907" i="13"/>
  <c r="J906" i="13" a="1"/>
  <c r="J906" i="13" s="1"/>
  <c r="N906" i="14"/>
  <c r="J905" i="14" a="1"/>
  <c r="J905" i="14" s="1"/>
  <c r="K721" i="13" l="1"/>
  <c r="L721" i="13" s="1"/>
  <c r="I722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44" i="14" l="1"/>
  <c r="L744" i="14" s="1"/>
  <c r="I745" i="14" s="1"/>
  <c r="K722" i="13"/>
  <c r="L722" i="13" s="1"/>
  <c r="I723" i="13" s="1"/>
  <c r="M912" i="14"/>
  <c r="N909" i="13"/>
  <c r="J908" i="13" a="1"/>
  <c r="J908" i="13" s="1"/>
  <c r="M911" i="13"/>
  <c r="N908" i="14"/>
  <c r="J907" i="14" a="1"/>
  <c r="J907" i="14" s="1"/>
  <c r="K723" i="13" l="1"/>
  <c r="L723" i="13" s="1"/>
  <c r="I724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46" i="14" l="1"/>
  <c r="L746" i="14" s="1"/>
  <c r="I747" i="14" s="1"/>
  <c r="K724" i="13"/>
  <c r="L724" i="13" s="1"/>
  <c r="I725" i="13" s="1"/>
  <c r="N911" i="13"/>
  <c r="J910" i="13" a="1"/>
  <c r="J910" i="13" s="1"/>
  <c r="M913" i="13"/>
  <c r="N910" i="14"/>
  <c r="J909" i="14" a="1"/>
  <c r="J909" i="14" s="1"/>
  <c r="M914" i="14"/>
  <c r="K747" i="14" l="1"/>
  <c r="L747" i="14" s="1"/>
  <c r="I748" i="14" s="1"/>
  <c r="N911" i="14"/>
  <c r="J910" i="14" a="1"/>
  <c r="J910" i="14" s="1"/>
  <c r="N912" i="13"/>
  <c r="J911" i="13" a="1"/>
  <c r="J911" i="13" s="1"/>
  <c r="K725" i="13"/>
  <c r="L725" i="13" s="1"/>
  <c r="I726" i="13" s="1"/>
  <c r="M915" i="14"/>
  <c r="M914" i="13"/>
  <c r="K726" i="13" l="1"/>
  <c r="L726" i="13" s="1"/>
  <c r="I727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49" i="14" l="1"/>
  <c r="L749" i="14" s="1"/>
  <c r="I750" i="14" s="1"/>
  <c r="K727" i="13"/>
  <c r="L727" i="13" s="1"/>
  <c r="I728" i="13" s="1"/>
  <c r="N913" i="14"/>
  <c r="J912" i="14" a="1"/>
  <c r="J912" i="14" s="1"/>
  <c r="N914" i="13"/>
  <c r="J913" i="13" a="1"/>
  <c r="J913" i="13" s="1"/>
  <c r="M917" i="14"/>
  <c r="M916" i="13"/>
  <c r="K728" i="13" l="1"/>
  <c r="L728" i="13" s="1"/>
  <c r="I729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51" i="14" l="1"/>
  <c r="L751" i="14" s="1"/>
  <c r="I752" i="14" s="1"/>
  <c r="K729" i="13"/>
  <c r="L729" i="13" s="1"/>
  <c r="I730" i="13" s="1"/>
  <c r="M918" i="13"/>
  <c r="M919" i="14"/>
  <c r="N915" i="14"/>
  <c r="J914" i="14" a="1"/>
  <c r="J914" i="14" s="1"/>
  <c r="N916" i="13"/>
  <c r="J915" i="13" a="1"/>
  <c r="J915" i="13" s="1"/>
  <c r="K730" i="13" l="1"/>
  <c r="L730" i="13" s="1"/>
  <c r="I731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1" i="13" l="1"/>
  <c r="L731" i="13" s="1"/>
  <c r="I732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2" i="13" l="1"/>
  <c r="L732" i="13" s="1"/>
  <c r="I733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3" i="13" l="1"/>
  <c r="L733" i="13" s="1"/>
  <c r="I734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4" i="13" l="1"/>
  <c r="L734" i="13" s="1"/>
  <c r="I735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57" i="14" l="1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/>
  <c r="L735" i="13" s="1"/>
  <c r="I736" i="13" s="1"/>
  <c r="K758" i="14" l="1"/>
  <c r="L758" i="14" s="1"/>
  <c r="I759" i="14" s="1"/>
  <c r="K736" i="13"/>
  <c r="L736" i="13" s="1"/>
  <c r="I737" i="13" s="1"/>
  <c r="M925" i="13"/>
  <c r="N923" i="13"/>
  <c r="J922" i="13" a="1"/>
  <c r="J922" i="13" s="1"/>
  <c r="M926" i="14"/>
  <c r="N922" i="14"/>
  <c r="J921" i="14" a="1"/>
  <c r="J921" i="14" s="1"/>
  <c r="K737" i="13" l="1"/>
  <c r="L737" i="13" s="1"/>
  <c r="I738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60" i="14" l="1"/>
  <c r="L760" i="14" s="1"/>
  <c r="I761" i="14" s="1"/>
  <c r="K738" i="13"/>
  <c r="L738" i="13" s="1"/>
  <c r="I739" i="13" s="1"/>
  <c r="M928" i="14"/>
  <c r="M927" i="13"/>
  <c r="N925" i="13"/>
  <c r="J924" i="13" a="1"/>
  <c r="J924" i="13" s="1"/>
  <c r="N924" i="14"/>
  <c r="J923" i="14" a="1"/>
  <c r="J923" i="14" s="1"/>
  <c r="K761" i="14" l="1"/>
  <c r="L761" i="14" s="1"/>
  <c r="I762" i="14" s="1"/>
  <c r="K739" i="13"/>
  <c r="L739" i="13" s="1"/>
  <c r="I740" i="13" s="1"/>
  <c r="M928" i="13"/>
  <c r="N925" i="14"/>
  <c r="J924" i="14" a="1"/>
  <c r="J924" i="14" s="1"/>
  <c r="M929" i="14"/>
  <c r="N926" i="13"/>
  <c r="J925" i="13" a="1"/>
  <c r="J925" i="13" s="1"/>
  <c r="K740" i="13" l="1"/>
  <c r="L740" i="13" s="1"/>
  <c r="I741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63" i="14" l="1"/>
  <c r="L763" i="14" s="1"/>
  <c r="I764" i="14" s="1"/>
  <c r="K741" i="13"/>
  <c r="L741" i="13" s="1"/>
  <c r="I742" i="13" s="1"/>
  <c r="M930" i="13"/>
  <c r="M931" i="14"/>
  <c r="N928" i="13"/>
  <c r="J927" i="13" a="1"/>
  <c r="J927" i="13" s="1"/>
  <c r="N927" i="14"/>
  <c r="J926" i="14" a="1"/>
  <c r="J926" i="14" s="1"/>
  <c r="K742" i="13" l="1"/>
  <c r="L742" i="13" s="1"/>
  <c r="I743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65" i="14" l="1"/>
  <c r="L765" i="14" s="1"/>
  <c r="I766" i="14" s="1"/>
  <c r="K743" i="13"/>
  <c r="L743" i="13" s="1"/>
  <c r="I744" i="13" s="1"/>
  <c r="M932" i="13"/>
  <c r="N930" i="13"/>
  <c r="J929" i="13" a="1"/>
  <c r="J929" i="13" s="1"/>
  <c r="M933" i="14"/>
  <c r="N929" i="14"/>
  <c r="J928" i="14" a="1"/>
  <c r="J928" i="14" s="1"/>
  <c r="K766" i="14" l="1"/>
  <c r="L766" i="14" s="1"/>
  <c r="I767" i="14" s="1"/>
  <c r="K744" i="13"/>
  <c r="L744" i="13" s="1"/>
  <c r="I745" i="13" s="1"/>
  <c r="N931" i="13"/>
  <c r="J930" i="13" a="1"/>
  <c r="J930" i="13" s="1"/>
  <c r="M933" i="13"/>
  <c r="J929" i="14" a="1"/>
  <c r="J929" i="14" s="1"/>
  <c r="N930" i="14"/>
  <c r="M934" i="14"/>
  <c r="K745" i="13" l="1"/>
  <c r="L745" i="13" s="1"/>
  <c r="I746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68" i="14" l="1"/>
  <c r="L768" i="14" s="1"/>
  <c r="I769" i="14" s="1"/>
  <c r="K746" i="13"/>
  <c r="L746" i="13" s="1"/>
  <c r="I747" i="13" s="1"/>
  <c r="N933" i="13"/>
  <c r="J932" i="13" a="1"/>
  <c r="J932" i="13" s="1"/>
  <c r="M936" i="14"/>
  <c r="M935" i="13"/>
  <c r="J931" i="14" a="1"/>
  <c r="J931" i="14" s="1"/>
  <c r="N932" i="14"/>
  <c r="K747" i="13" l="1"/>
  <c r="L747" i="13" s="1"/>
  <c r="I748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70" i="14" l="1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/>
  <c r="L748" i="13" s="1"/>
  <c r="I749" i="13" s="1"/>
  <c r="K771" i="14" l="1"/>
  <c r="L771" i="14" s="1"/>
  <c r="I772" i="14" s="1"/>
  <c r="K749" i="13"/>
  <c r="L749" i="13" s="1"/>
  <c r="I750" i="13" s="1"/>
  <c r="M939" i="14"/>
  <c r="N936" i="13"/>
  <c r="J935" i="13" a="1"/>
  <c r="J935" i="13" s="1"/>
  <c r="M938" i="13"/>
  <c r="N935" i="14"/>
  <c r="J934" i="14" a="1"/>
  <c r="J934" i="14" s="1"/>
  <c r="K750" i="13" l="1"/>
  <c r="L750" i="13" s="1"/>
  <c r="I751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1" i="13" l="1"/>
  <c r="L751" i="13" s="1"/>
  <c r="I752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74" i="14" l="1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/>
  <c r="L752" i="13" s="1"/>
  <c r="I753" i="13" s="1"/>
  <c r="K753" i="13" l="1"/>
  <c r="L753" i="13" s="1"/>
  <c r="I754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4" i="13" l="1"/>
  <c r="L754" i="13" s="1"/>
  <c r="I755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77" i="14" l="1"/>
  <c r="L777" i="14" s="1"/>
  <c r="I778" i="14" s="1"/>
  <c r="K755" i="13"/>
  <c r="L755" i="13" s="1"/>
  <c r="I756" i="13" s="1"/>
  <c r="N941" i="14"/>
  <c r="J940" i="14" a="1"/>
  <c r="J940" i="14" s="1"/>
  <c r="N942" i="13"/>
  <c r="J941" i="13" a="1"/>
  <c r="J941" i="13" s="1"/>
  <c r="M944" i="13"/>
  <c r="M945" i="14"/>
  <c r="K756" i="13" l="1"/>
  <c r="L756" i="13" s="1"/>
  <c r="I757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79" i="14" l="1"/>
  <c r="L779" i="14" s="1"/>
  <c r="I780" i="14" s="1"/>
  <c r="K757" i="13"/>
  <c r="L757" i="13" s="1"/>
  <c r="I758" i="13" s="1"/>
  <c r="N943" i="14"/>
  <c r="J942" i="14" a="1"/>
  <c r="J942" i="14" s="1"/>
  <c r="M947" i="14"/>
  <c r="N944" i="13"/>
  <c r="J943" i="13" a="1"/>
  <c r="J943" i="13" s="1"/>
  <c r="M946" i="13"/>
  <c r="K758" i="13" l="1"/>
  <c r="L758" i="13" s="1"/>
  <c r="I759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9" i="13" l="1"/>
  <c r="L759" i="13" s="1"/>
  <c r="I760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82" i="14" l="1"/>
  <c r="L782" i="14" s="1"/>
  <c r="I783" i="14" s="1"/>
  <c r="K760" i="13"/>
  <c r="L760" i="13" s="1"/>
  <c r="I761" i="13" s="1"/>
  <c r="N947" i="13"/>
  <c r="J946" i="13" a="1"/>
  <c r="J946" i="13" s="1"/>
  <c r="J945" i="14" a="1"/>
  <c r="J945" i="14" s="1"/>
  <c r="N946" i="14"/>
  <c r="M950" i="14"/>
  <c r="M949" i="13"/>
  <c r="K783" i="14" l="1"/>
  <c r="L783" i="14" s="1"/>
  <c r="I784" i="14" s="1"/>
  <c r="K761" i="13"/>
  <c r="L761" i="13" s="1"/>
  <c r="I762" i="13" s="1"/>
  <c r="M950" i="13"/>
  <c r="N947" i="14"/>
  <c r="J946" i="14" a="1"/>
  <c r="J946" i="14" s="1"/>
  <c r="M951" i="14"/>
  <c r="N948" i="13"/>
  <c r="J947" i="13" a="1"/>
  <c r="J947" i="13" s="1"/>
  <c r="K784" i="14" l="1"/>
  <c r="L784" i="14" s="1"/>
  <c r="I785" i="14" s="1"/>
  <c r="K762" i="13"/>
  <c r="L762" i="13" s="1"/>
  <c r="I763" i="13" s="1"/>
  <c r="N949" i="13"/>
  <c r="J948" i="13" a="1"/>
  <c r="J948" i="13" s="1"/>
  <c r="J947" i="14" a="1"/>
  <c r="J947" i="14" s="1"/>
  <c r="N948" i="14"/>
  <c r="M952" i="14"/>
  <c r="M951" i="13"/>
  <c r="K785" i="14" l="1"/>
  <c r="L785" i="14" s="1"/>
  <c r="I786" i="14" s="1"/>
  <c r="K763" i="13"/>
  <c r="L763" i="13" s="1"/>
  <c r="I764" i="13" s="1"/>
  <c r="M953" i="14"/>
  <c r="M952" i="13"/>
  <c r="N949" i="14"/>
  <c r="J948" i="14" a="1"/>
  <c r="J948" i="14" s="1"/>
  <c r="N950" i="13"/>
  <c r="J949" i="13" a="1"/>
  <c r="J949" i="13" s="1"/>
  <c r="K764" i="13" l="1"/>
  <c r="L764" i="13" s="1"/>
  <c r="I765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87" i="14" l="1"/>
  <c r="L787" i="14" s="1"/>
  <c r="I788" i="14" s="1"/>
  <c r="K765" i="13"/>
  <c r="L765" i="13" s="1"/>
  <c r="I766" i="13" s="1"/>
  <c r="N952" i="13"/>
  <c r="J951" i="13" a="1"/>
  <c r="J951" i="13" s="1"/>
  <c r="N951" i="14"/>
  <c r="J950" i="14" a="1"/>
  <c r="J950" i="14" s="1"/>
  <c r="M955" i="14"/>
  <c r="M954" i="13"/>
  <c r="K766" i="13" l="1"/>
  <c r="L766" i="13" s="1"/>
  <c r="I767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7" i="13" l="1"/>
  <c r="L767" i="13" s="1"/>
  <c r="I768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8" i="13" l="1"/>
  <c r="L768" i="13" s="1"/>
  <c r="I769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91" i="14" l="1"/>
  <c r="L791" i="14" s="1"/>
  <c r="I792" i="14" s="1"/>
  <c r="K769" i="13"/>
  <c r="L769" i="13" s="1"/>
  <c r="I770" i="13" s="1"/>
  <c r="M959" i="14"/>
  <c r="M958" i="13"/>
  <c r="N956" i="13"/>
  <c r="J955" i="13" a="1"/>
  <c r="J955" i="13" s="1"/>
  <c r="N955" i="14"/>
  <c r="J954" i="14" a="1"/>
  <c r="J954" i="14" s="1"/>
  <c r="K792" i="14" l="1"/>
  <c r="L792" i="14" s="1"/>
  <c r="I793" i="14" s="1"/>
  <c r="M959" i="13"/>
  <c r="K770" i="13"/>
  <c r="L770" i="13" s="1"/>
  <c r="I771" i="13" s="1"/>
  <c r="M960" i="14"/>
  <c r="J955" i="14" a="1"/>
  <c r="J955" i="14" s="1"/>
  <c r="N956" i="14"/>
  <c r="N957" i="13"/>
  <c r="J956" i="13" a="1"/>
  <c r="J956" i="13" s="1"/>
  <c r="K793" i="14" l="1"/>
  <c r="L793" i="14" s="1"/>
  <c r="I794" i="14" s="1"/>
  <c r="K771" i="13"/>
  <c r="L771" i="13" s="1"/>
  <c r="I772" i="13" s="1"/>
  <c r="M961" i="14"/>
  <c r="M960" i="13"/>
  <c r="N958" i="13"/>
  <c r="J957" i="13" a="1"/>
  <c r="J957" i="13" s="1"/>
  <c r="N957" i="14"/>
  <c r="J956" i="14" a="1"/>
  <c r="J956" i="14" s="1"/>
  <c r="K772" i="13" l="1"/>
  <c r="L772" i="13" s="1"/>
  <c r="I773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95" i="14" l="1"/>
  <c r="L795" i="14" s="1"/>
  <c r="I796" i="14" s="1"/>
  <c r="K773" i="13"/>
  <c r="L773" i="13" s="1"/>
  <c r="I774" i="13" s="1"/>
  <c r="N960" i="13"/>
  <c r="J959" i="13" a="1"/>
  <c r="J959" i="13" s="1"/>
  <c r="N959" i="14"/>
  <c r="J958" i="14" a="1"/>
  <c r="J958" i="14" s="1"/>
  <c r="M963" i="14"/>
  <c r="M962" i="13"/>
  <c r="K796" i="14" l="1"/>
  <c r="L796" i="14" s="1"/>
  <c r="I797" i="14" s="1"/>
  <c r="M964" i="14"/>
  <c r="M963" i="13"/>
  <c r="J959" i="14" a="1"/>
  <c r="J959" i="14" s="1"/>
  <c r="N960" i="14"/>
  <c r="K774" i="13"/>
  <c r="L774" i="13" s="1"/>
  <c r="I775" i="13" s="1"/>
  <c r="N961" i="13"/>
  <c r="J960" i="13" a="1"/>
  <c r="J960" i="13" s="1"/>
  <c r="K775" i="13" l="1"/>
  <c r="L775" i="13" s="1"/>
  <c r="I776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98" i="14" l="1"/>
  <c r="L798" i="14" s="1"/>
  <c r="I799" i="14" s="1"/>
  <c r="K776" i="13"/>
  <c r="L776" i="13" s="1"/>
  <c r="I777" i="13" s="1"/>
  <c r="M965" i="13"/>
  <c r="M966" i="14"/>
  <c r="N963" i="13"/>
  <c r="J962" i="13" a="1"/>
  <c r="J962" i="13" s="1"/>
  <c r="J961" i="14" a="1"/>
  <c r="J961" i="14" s="1"/>
  <c r="N962" i="14"/>
  <c r="K799" i="14" l="1"/>
  <c r="L799" i="14" s="1"/>
  <c r="I800" i="14" s="1"/>
  <c r="K777" i="13"/>
  <c r="L777" i="13" s="1"/>
  <c r="I778" i="13" s="1"/>
  <c r="N963" i="14"/>
  <c r="J962" i="14" a="1"/>
  <c r="J962" i="14" s="1"/>
  <c r="M967" i="14"/>
  <c r="M966" i="13"/>
  <c r="N964" i="13"/>
  <c r="J963" i="13" a="1"/>
  <c r="J963" i="13" s="1"/>
  <c r="K800" i="14" l="1"/>
  <c r="L800" i="14" s="1"/>
  <c r="I801" i="14" s="1"/>
  <c r="K778" i="13"/>
  <c r="L778" i="13" s="1"/>
  <c r="I779" i="13" s="1"/>
  <c r="M968" i="14"/>
  <c r="N965" i="13"/>
  <c r="J964" i="13" a="1"/>
  <c r="J964" i="13" s="1"/>
  <c r="M967" i="13"/>
  <c r="J963" i="14" a="1"/>
  <c r="J963" i="14" s="1"/>
  <c r="N964" i="14"/>
  <c r="K779" i="13" l="1"/>
  <c r="L779" i="13" s="1"/>
  <c r="I780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80" i="13" l="1"/>
  <c r="L780" i="13" s="1"/>
  <c r="I781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803" i="14" l="1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/>
  <c r="L781" i="13" s="1"/>
  <c r="I782" i="13" s="1"/>
  <c r="K782" i="13" l="1"/>
  <c r="L782" i="13" s="1"/>
  <c r="I783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805" i="14" l="1"/>
  <c r="L805" i="14" s="1"/>
  <c r="I806" i="14" s="1"/>
  <c r="K783" i="13"/>
  <c r="L783" i="13" s="1"/>
  <c r="I784" i="13" s="1"/>
  <c r="N969" i="14"/>
  <c r="J968" i="14" a="1"/>
  <c r="J968" i="14" s="1"/>
  <c r="M973" i="14"/>
  <c r="M972" i="13"/>
  <c r="N970" i="13"/>
  <c r="J969" i="13" a="1"/>
  <c r="J969" i="13" s="1"/>
  <c r="K806" i="14" l="1"/>
  <c r="L806" i="14" s="1"/>
  <c r="I807" i="14" s="1"/>
  <c r="K784" i="13"/>
  <c r="L784" i="13" s="1"/>
  <c r="I785" i="13" s="1"/>
  <c r="N971" i="13"/>
  <c r="J970" i="13" a="1"/>
  <c r="J970" i="13" s="1"/>
  <c r="M973" i="13"/>
  <c r="M974" i="14"/>
  <c r="J969" i="14" a="1"/>
  <c r="J969" i="14" s="1"/>
  <c r="N970" i="14"/>
  <c r="K785" i="13" l="1"/>
  <c r="L785" i="13" s="1"/>
  <c r="I786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808" i="14" l="1"/>
  <c r="L808" i="14" s="1"/>
  <c r="I809" i="14" s="1"/>
  <c r="K786" i="13"/>
  <c r="L786" i="13" s="1"/>
  <c r="I787" i="13" s="1"/>
  <c r="N973" i="13"/>
  <c r="J972" i="13" a="1"/>
  <c r="J972" i="13" s="1"/>
  <c r="M975" i="13"/>
  <c r="M976" i="14"/>
  <c r="J971" i="14" a="1"/>
  <c r="J971" i="14" s="1"/>
  <c r="N972" i="14"/>
  <c r="K809" i="14" l="1"/>
  <c r="L809" i="14" s="1"/>
  <c r="I810" i="14" s="1"/>
  <c r="M977" i="14"/>
  <c r="N973" i="14"/>
  <c r="J972" i="14" a="1"/>
  <c r="J972" i="14" s="1"/>
  <c r="M976" i="13"/>
  <c r="K787" i="13"/>
  <c r="L787" i="13" s="1"/>
  <c r="I788" i="13" s="1"/>
  <c r="N974" i="13"/>
  <c r="J973" i="13" a="1"/>
  <c r="J973" i="13" s="1"/>
  <c r="K788" i="13" l="1"/>
  <c r="L788" i="13" s="1"/>
  <c r="I789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9" i="13" l="1"/>
  <c r="L789" i="13" s="1"/>
  <c r="I790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812" i="14" l="1"/>
  <c r="L812" i="14" s="1"/>
  <c r="I813" i="14" s="1"/>
  <c r="K790" i="13"/>
  <c r="L790" i="13" s="1"/>
  <c r="I791" i="13" s="1"/>
  <c r="M979" i="13"/>
  <c r="M980" i="14"/>
  <c r="N977" i="13"/>
  <c r="J976" i="13" a="1"/>
  <c r="J976" i="13" s="1"/>
  <c r="J975" i="14" a="1"/>
  <c r="J975" i="14" s="1"/>
  <c r="N976" i="14"/>
  <c r="K791" i="13" l="1"/>
  <c r="L791" i="13" s="1"/>
  <c r="I792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814" i="14" l="1"/>
  <c r="L814" i="14" s="1"/>
  <c r="I815" i="14" s="1"/>
  <c r="K792" i="13"/>
  <c r="L792" i="13" s="1"/>
  <c r="I793" i="13" s="1"/>
  <c r="M982" i="14"/>
  <c r="N979" i="13"/>
  <c r="J978" i="13" a="1"/>
  <c r="J978" i="13" s="1"/>
  <c r="M981" i="13"/>
  <c r="J977" i="14" a="1"/>
  <c r="J977" i="14" s="1"/>
  <c r="N978" i="14"/>
  <c r="K793" i="13" l="1"/>
  <c r="L793" i="13" s="1"/>
  <c r="I794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816" i="14" l="1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/>
  <c r="L794" i="13" s="1"/>
  <c r="I795" i="13" s="1"/>
  <c r="K795" i="13" l="1"/>
  <c r="L795" i="13" s="1"/>
  <c r="I796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818" i="14" l="1"/>
  <c r="L818" i="14" s="1"/>
  <c r="I819" i="14" s="1"/>
  <c r="K796" i="13"/>
  <c r="L796" i="13" s="1"/>
  <c r="I797" i="13" s="1"/>
  <c r="N983" i="13"/>
  <c r="J982" i="13" a="1"/>
  <c r="J982" i="13" s="1"/>
  <c r="J981" i="14" a="1"/>
  <c r="J981" i="14" s="1"/>
  <c r="N982" i="14"/>
  <c r="M985" i="13"/>
  <c r="M986" i="14"/>
  <c r="K819" i="14" l="1"/>
  <c r="L819" i="14" s="1"/>
  <c r="I820" i="14" s="1"/>
  <c r="K797" i="13"/>
  <c r="L797" i="13" s="1"/>
  <c r="I798" i="13" s="1"/>
  <c r="M986" i="13"/>
  <c r="M987" i="14"/>
  <c r="N983" i="14"/>
  <c r="J982" i="14" a="1"/>
  <c r="J982" i="14" s="1"/>
  <c r="N984" i="13"/>
  <c r="J983" i="13" a="1"/>
  <c r="J983" i="13" s="1"/>
  <c r="K798" i="13" l="1"/>
  <c r="L798" i="13" s="1"/>
  <c r="I799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821" i="14" l="1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/>
  <c r="L799" i="13" s="1"/>
  <c r="I800" i="13" s="1"/>
  <c r="K800" i="13" l="1"/>
  <c r="L800" i="13" s="1"/>
  <c r="I801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23" i="14" l="1"/>
  <c r="L823" i="14" s="1"/>
  <c r="I824" i="14" s="1"/>
  <c r="K801" i="13"/>
  <c r="L801" i="13" s="1"/>
  <c r="I802" i="13" s="1"/>
  <c r="N987" i="14"/>
  <c r="J986" i="14" a="1"/>
  <c r="J986" i="14" s="1"/>
  <c r="N988" i="13"/>
  <c r="J987" i="13" a="1"/>
  <c r="J987" i="13" s="1"/>
  <c r="M990" i="13"/>
  <c r="M991" i="14"/>
  <c r="K824" i="14" l="1"/>
  <c r="L824" i="14" s="1"/>
  <c r="I825" i="14" s="1"/>
  <c r="N989" i="13"/>
  <c r="J988" i="13" a="1"/>
  <c r="J988" i="13" s="1"/>
  <c r="K802" i="13"/>
  <c r="L802" i="13" s="1"/>
  <c r="I803" i="13" s="1"/>
  <c r="M992" i="14"/>
  <c r="M991" i="13"/>
  <c r="J987" i="14" a="1"/>
  <c r="J987" i="14" s="1"/>
  <c r="N988" i="14"/>
  <c r="K803" i="13" l="1"/>
  <c r="L803" i="13" s="1"/>
  <c r="I804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4" i="13" l="1"/>
  <c r="L804" i="13" s="1"/>
  <c r="I805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5" i="13" l="1"/>
  <c r="L805" i="13" s="1"/>
  <c r="I806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28" i="14" l="1"/>
  <c r="L828" i="14" s="1"/>
  <c r="I829" i="14" s="1"/>
  <c r="K806" i="13"/>
  <c r="L806" i="13" s="1"/>
  <c r="I807" i="13" s="1"/>
  <c r="M995" i="13"/>
  <c r="J991" i="14" a="1"/>
  <c r="J991" i="14" s="1"/>
  <c r="N992" i="14"/>
  <c r="M996" i="14"/>
  <c r="N993" i="13"/>
  <c r="J992" i="13" a="1"/>
  <c r="J992" i="13" s="1"/>
  <c r="K807" i="13" l="1"/>
  <c r="L807" i="13" s="1"/>
  <c r="I808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8" i="13" l="1"/>
  <c r="L808" i="13" s="1"/>
  <c r="I809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31" i="14" l="1"/>
  <c r="L831" i="14" s="1"/>
  <c r="I832" i="14" s="1"/>
  <c r="K809" i="13"/>
  <c r="L809" i="13" s="1"/>
  <c r="I810" i="13" s="1"/>
  <c r="N996" i="13"/>
  <c r="J995" i="13" a="1"/>
  <c r="J995" i="13" s="1"/>
  <c r="M999" i="14"/>
  <c r="M998" i="13"/>
  <c r="N995" i="14"/>
  <c r="J994" i="14" a="1"/>
  <c r="J994" i="14" s="1"/>
  <c r="K810" i="13" l="1"/>
  <c r="L810" i="13" s="1"/>
  <c r="I811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33" i="14" l="1"/>
  <c r="L833" i="14" s="1"/>
  <c r="I834" i="14" s="1"/>
  <c r="K811" i="13"/>
  <c r="L811" i="13" s="1"/>
  <c r="I812" i="13" s="1"/>
  <c r="N998" i="13"/>
  <c r="J997" i="13" a="1"/>
  <c r="J997" i="13" s="1"/>
  <c r="M1000" i="13"/>
  <c r="M1001" i="14"/>
  <c r="N997" i="14"/>
  <c r="J996" i="14" a="1"/>
  <c r="J996" i="14" s="1"/>
  <c r="K812" i="13" l="1"/>
  <c r="L812" i="13" s="1"/>
  <c r="I813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35" i="14" l="1"/>
  <c r="L835" i="14" s="1"/>
  <c r="I836" i="14" s="1"/>
  <c r="K813" i="13"/>
  <c r="L813" i="13" s="1"/>
  <c r="I814" i="13" s="1"/>
  <c r="N1000" i="13"/>
  <c r="J999" i="13" a="1"/>
  <c r="J999" i="13" s="1"/>
  <c r="M1003" i="14"/>
  <c r="M1002" i="13"/>
  <c r="N999" i="14"/>
  <c r="J998" i="14" a="1"/>
  <c r="J998" i="14" s="1"/>
  <c r="K814" i="13" l="1"/>
  <c r="L814" i="13" s="1"/>
  <c r="I815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37" i="14" l="1"/>
  <c r="L837" i="14" s="1"/>
  <c r="I838" i="14" s="1"/>
  <c r="K815" i="13"/>
  <c r="L815" i="13" s="1"/>
  <c r="I816" i="13" s="1"/>
  <c r="M1004" i="13"/>
  <c r="N1001" i="14"/>
  <c r="J1000" i="14" a="1"/>
  <c r="J1000" i="14" s="1"/>
  <c r="M1005" i="14"/>
  <c r="N1002" i="13"/>
  <c r="J1001" i="13" a="1"/>
  <c r="J1001" i="13" s="1"/>
  <c r="K816" i="13" l="1"/>
  <c r="L816" i="13" s="1"/>
  <c r="I817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39" i="14" l="1"/>
  <c r="L839" i="14" s="1"/>
  <c r="I840" i="14" s="1"/>
  <c r="K817" i="13"/>
  <c r="L817" i="13" s="1"/>
  <c r="I818" i="13" s="1"/>
  <c r="M1006" i="13"/>
  <c r="N1003" i="14"/>
  <c r="J1002" i="14" a="1"/>
  <c r="J1002" i="14" s="1"/>
  <c r="M1007" i="14"/>
  <c r="N1004" i="13"/>
  <c r="J1003" i="13" a="1"/>
  <c r="J1003" i="13" s="1"/>
  <c r="K818" i="13" l="1"/>
  <c r="L818" i="13" s="1"/>
  <c r="I819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41" i="14" l="1"/>
  <c r="L841" i="14" s="1"/>
  <c r="I842" i="14" s="1"/>
  <c r="K819" i="13"/>
  <c r="L819" i="13" s="1"/>
  <c r="I820" i="13" s="1"/>
  <c r="M1008" i="13"/>
  <c r="N1006" i="13"/>
  <c r="J1005" i="13" a="1"/>
  <c r="J1005" i="13" s="1"/>
  <c r="M1009" i="14"/>
  <c r="N1005" i="14"/>
  <c r="J1004" i="14" a="1"/>
  <c r="J1004" i="14" s="1"/>
  <c r="K820" i="13" l="1"/>
  <c r="L820" i="13" s="1"/>
  <c r="I821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43" i="14" l="1"/>
  <c r="L843" i="14" s="1"/>
  <c r="I844" i="14" s="1"/>
  <c r="K821" i="13"/>
  <c r="L821" i="13" s="1"/>
  <c r="I822" i="13" s="1"/>
  <c r="J1006" i="14" a="1"/>
  <c r="J1006" i="14" s="1"/>
  <c r="N1007" i="14"/>
  <c r="N1008" i="13"/>
  <c r="J1007" i="13" a="1"/>
  <c r="J1007" i="13" s="1"/>
  <c r="M1010" i="13"/>
  <c r="M1011" i="14"/>
  <c r="K844" i="14" l="1"/>
  <c r="L844" i="14" s="1"/>
  <c r="I845" i="14" s="1"/>
  <c r="K822" i="13"/>
  <c r="L822" i="13" s="1"/>
  <c r="I823" i="13" s="1"/>
  <c r="M1011" i="13"/>
  <c r="N1009" i="13"/>
  <c r="J1008" i="13" a="1"/>
  <c r="J1008" i="13" s="1"/>
  <c r="M1012" i="14"/>
  <c r="N1008" i="14"/>
  <c r="J1007" i="14" a="1"/>
  <c r="J1007" i="14" s="1"/>
  <c r="K823" i="13" l="1"/>
  <c r="L823" i="13" s="1"/>
  <c r="I824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46" i="14" l="1"/>
  <c r="L846" i="14" s="1"/>
  <c r="I847" i="14" s="1"/>
  <c r="K824" i="13"/>
  <c r="L824" i="13" s="1"/>
  <c r="I825" i="13" s="1"/>
  <c r="M1014" i="14"/>
  <c r="N1011" i="13"/>
  <c r="J1010" i="13" a="1"/>
  <c r="J1010" i="13" s="1"/>
  <c r="M1013" i="13"/>
  <c r="N1010" i="14"/>
  <c r="J1009" i="14" a="1"/>
  <c r="J1009" i="14" s="1"/>
  <c r="K847" i="14" l="1"/>
  <c r="L847" i="14" s="1"/>
  <c r="I848" i="14" s="1"/>
  <c r="K825" i="13"/>
  <c r="L825" i="13" s="1"/>
  <c r="I826" i="13" s="1"/>
  <c r="N1012" i="13"/>
  <c r="J1011" i="13" a="1"/>
  <c r="J1011" i="13" s="1"/>
  <c r="J1010" i="14" a="1"/>
  <c r="J1010" i="14" s="1"/>
  <c r="N1011" i="14"/>
  <c r="M1014" i="13"/>
  <c r="M1015" i="14"/>
  <c r="K848" i="14" l="1"/>
  <c r="L848" i="14" s="1"/>
  <c r="I849" i="14" s="1"/>
  <c r="K826" i="13"/>
  <c r="L826" i="13" s="1"/>
  <c r="I827" i="13" s="1"/>
  <c r="M1016" i="14"/>
  <c r="N1012" i="14"/>
  <c r="J1011" i="14" a="1"/>
  <c r="J1011" i="14" s="1"/>
  <c r="M1015" i="13"/>
  <c r="N1013" i="13"/>
  <c r="J1012" i="13" a="1"/>
  <c r="J1012" i="13" s="1"/>
  <c r="K827" i="13" l="1"/>
  <c r="L827" i="13" s="1"/>
  <c r="I828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50" i="14" l="1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/>
  <c r="L828" i="13" s="1"/>
  <c r="I829" i="13" s="1"/>
  <c r="K851" i="14" l="1"/>
  <c r="L851" i="14" s="1"/>
  <c r="I852" i="14" s="1"/>
  <c r="K829" i="13"/>
  <c r="L829" i="13" s="1"/>
  <c r="I830" i="13" s="1"/>
  <c r="M1018" i="13"/>
  <c r="N1016" i="13"/>
  <c r="J1015" i="13" a="1"/>
  <c r="J1015" i="13" s="1"/>
  <c r="M1019" i="14"/>
  <c r="J1014" i="14" a="1"/>
  <c r="J1014" i="14" s="1"/>
  <c r="N1015" i="14"/>
  <c r="K852" i="14" l="1"/>
  <c r="L852" i="14" s="1"/>
  <c r="I853" i="14" s="1"/>
  <c r="K830" i="13"/>
  <c r="L830" i="13" s="1"/>
  <c r="I831" i="13" s="1"/>
  <c r="N1017" i="13"/>
  <c r="J1016" i="13" a="1"/>
  <c r="J1016" i="13" s="1"/>
  <c r="M1019" i="13"/>
  <c r="N1016" i="14"/>
  <c r="J1015" i="14" a="1"/>
  <c r="J1015" i="14" s="1"/>
  <c r="M1020" i="14"/>
  <c r="K853" i="14" l="1"/>
  <c r="L853" i="14" s="1"/>
  <c r="I854" i="14" s="1"/>
  <c r="K831" i="13"/>
  <c r="L831" i="13" s="1"/>
  <c r="I832" i="13" s="1"/>
  <c r="N1017" i="14"/>
  <c r="J1016" i="14" a="1"/>
  <c r="J1016" i="14" s="1"/>
  <c r="M1021" i="14"/>
  <c r="M1020" i="13"/>
  <c r="N1018" i="13"/>
  <c r="J1017" i="13" a="1"/>
  <c r="J1017" i="13" s="1"/>
  <c r="K854" i="14" l="1"/>
  <c r="L854" i="14" s="1"/>
  <c r="I855" i="14" s="1"/>
  <c r="K832" i="13"/>
  <c r="L832" i="13" s="1"/>
  <c r="I833" i="13" s="1"/>
  <c r="N1019" i="13"/>
  <c r="J1018" i="13" a="1"/>
  <c r="J1018" i="13" s="1"/>
  <c r="M1022" i="14"/>
  <c r="M1021" i="13"/>
  <c r="N1018" i="14"/>
  <c r="J1017" i="14" a="1"/>
  <c r="J1017" i="14" s="1"/>
  <c r="K833" i="13" l="1"/>
  <c r="L833" i="13" s="1"/>
  <c r="I834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4" i="13" l="1"/>
  <c r="L834" i="13" s="1"/>
  <c r="I835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57" i="14" l="1"/>
  <c r="L857" i="14" s="1"/>
  <c r="I858" i="14" s="1"/>
  <c r="K835" i="13"/>
  <c r="L835" i="13" s="1"/>
  <c r="I836" i="13" s="1"/>
  <c r="M1024" i="13"/>
  <c r="N1022" i="13"/>
  <c r="J1021" i="13" a="1"/>
  <c r="J1021" i="13" s="1"/>
  <c r="N1021" i="14"/>
  <c r="J1020" i="14" a="1"/>
  <c r="J1020" i="14" s="1"/>
  <c r="M1025" i="14"/>
  <c r="K836" i="13" l="1"/>
  <c r="L836" i="13" s="1"/>
  <c r="I837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59" i="14" l="1"/>
  <c r="L859" i="14" s="1"/>
  <c r="I860" i="14" s="1"/>
  <c r="K837" i="13"/>
  <c r="L837" i="13" s="1"/>
  <c r="I838" i="13" s="1"/>
  <c r="N1024" i="13"/>
  <c r="J1023" i="13" a="1"/>
  <c r="J1023" i="13" s="1"/>
  <c r="J1022" i="14" a="1"/>
  <c r="J1022" i="14" s="1"/>
  <c r="N1023" i="14"/>
  <c r="M1026" i="13"/>
  <c r="M1027" i="14"/>
  <c r="K838" i="13" l="1"/>
  <c r="L838" i="13" s="1"/>
  <c r="I839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9" i="13" l="1"/>
  <c r="L839" i="13" s="1"/>
  <c r="I840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62" i="14" l="1"/>
  <c r="L862" i="14" s="1"/>
  <c r="I863" i="14" s="1"/>
  <c r="K840" i="13"/>
  <c r="L840" i="13" s="1"/>
  <c r="I841" i="13" s="1"/>
  <c r="J1025" i="14" a="1"/>
  <c r="J1025" i="14" s="1"/>
  <c r="N1026" i="14"/>
  <c r="M1030" i="14"/>
  <c r="M1029" i="13"/>
  <c r="N1027" i="13"/>
  <c r="J1026" i="13" a="1"/>
  <c r="J1026" i="13" s="1"/>
  <c r="K863" i="14" l="1"/>
  <c r="L863" i="14" s="1"/>
  <c r="I864" i="14" s="1"/>
  <c r="K841" i="13"/>
  <c r="L841" i="13" s="1"/>
  <c r="I842" i="13" s="1"/>
  <c r="M1030" i="13"/>
  <c r="N1028" i="13"/>
  <c r="J1027" i="13" a="1"/>
  <c r="J1027" i="13" s="1"/>
  <c r="M1031" i="14"/>
  <c r="J1026" i="14" a="1"/>
  <c r="J1026" i="14" s="1"/>
  <c r="N1027" i="14"/>
  <c r="K864" i="14" l="1"/>
  <c r="L864" i="14" s="1"/>
  <c r="I865" i="14" s="1"/>
  <c r="K842" i="13"/>
  <c r="L842" i="13" s="1"/>
  <c r="I843" i="13" s="1"/>
  <c r="N1029" i="13"/>
  <c r="J1028" i="13" a="1"/>
  <c r="J1028" i="13" s="1"/>
  <c r="M1032" i="14"/>
  <c r="M1031" i="13"/>
  <c r="N1028" i="14"/>
  <c r="J1027" i="14" a="1"/>
  <c r="J1027" i="14" s="1"/>
  <c r="K843" i="13" l="1"/>
  <c r="L843" i="13" s="1"/>
  <c r="I844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66" i="14" l="1"/>
  <c r="L866" i="14" s="1"/>
  <c r="I867" i="14" s="1"/>
  <c r="K844" i="13"/>
  <c r="L844" i="13" s="1"/>
  <c r="I845" i="13" s="1"/>
  <c r="N1031" i="13"/>
  <c r="J1030" i="13" a="1"/>
  <c r="J1030" i="13" s="1"/>
  <c r="M1033" i="13"/>
  <c r="M1034" i="14"/>
  <c r="J1029" i="14" a="1"/>
  <c r="J1029" i="14" s="1"/>
  <c r="N1030" i="14"/>
  <c r="K867" i="14" l="1"/>
  <c r="L867" i="14" s="1"/>
  <c r="I868" i="14" s="1"/>
  <c r="K845" i="13"/>
  <c r="L845" i="13" s="1"/>
  <c r="I846" i="13" s="1"/>
  <c r="M1035" i="14"/>
  <c r="J1030" i="14" a="1"/>
  <c r="J1030" i="14" s="1"/>
  <c r="N1031" i="14"/>
  <c r="M1034" i="13"/>
  <c r="N1032" i="13"/>
  <c r="J1031" i="13" a="1"/>
  <c r="J1031" i="13" s="1"/>
  <c r="K846" i="13" l="1"/>
  <c r="L846" i="13" s="1"/>
  <c r="I847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7" i="13" l="1"/>
  <c r="L847" i="13" s="1"/>
  <c r="I848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70" i="14" l="1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/>
  <c r="L848" i="13" s="1"/>
  <c r="I849" i="13" s="1"/>
  <c r="K849" i="13" l="1"/>
  <c r="L849" i="13" s="1"/>
  <c r="I850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72" i="14" l="1"/>
  <c r="L872" i="14" s="1"/>
  <c r="I873" i="14" s="1"/>
  <c r="K850" i="13"/>
  <c r="L850" i="13" s="1"/>
  <c r="I851" i="13" s="1"/>
  <c r="N1036" i="14"/>
  <c r="J1035" i="14" a="1"/>
  <c r="J1035" i="14" s="1"/>
  <c r="M1039" i="13"/>
  <c r="M1040" i="14"/>
  <c r="N1037" i="13"/>
  <c r="J1036" i="13" a="1"/>
  <c r="J1036" i="13" s="1"/>
  <c r="M1040" i="13" l="1"/>
  <c r="N1038" i="13"/>
  <c r="J1037" i="13" a="1"/>
  <c r="J1037" i="13" s="1"/>
  <c r="K851" i="13"/>
  <c r="L851" i="13" s="1"/>
  <c r="I852" i="13" s="1"/>
  <c r="M1041" i="14"/>
  <c r="N1037" i="14"/>
  <c r="J1036" i="14" a="1"/>
  <c r="J1036" i="14" s="1"/>
  <c r="K873" i="14"/>
  <c r="L873" i="14" s="1"/>
  <c r="I874" i="14" s="1"/>
  <c r="K852" i="13" l="1"/>
  <c r="L852" i="13" s="1"/>
  <c r="I853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N1040" i="13" l="1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/>
  <c r="L853" i="13" s="1"/>
  <c r="I854" i="13" s="1"/>
  <c r="K854" i="13" l="1"/>
  <c r="L854" i="13" s="1"/>
  <c r="I855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5" i="13" l="1"/>
  <c r="L855" i="13" s="1"/>
  <c r="I856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6" i="13" l="1"/>
  <c r="L856" i="13" s="1"/>
  <c r="I857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7" i="13" l="1"/>
  <c r="L857" i="13" s="1"/>
  <c r="I858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80" i="14" l="1"/>
  <c r="L880" i="14" s="1"/>
  <c r="I881" i="14" s="1"/>
  <c r="K858" i="13"/>
  <c r="L858" i="13" s="1"/>
  <c r="I859" i="13" s="1"/>
  <c r="N1045" i="13"/>
  <c r="J1044" i="13" a="1"/>
  <c r="J1044" i="13" s="1"/>
  <c r="M1047" i="13"/>
  <c r="M1048" i="14"/>
  <c r="N1044" i="14"/>
  <c r="J1043" i="14" a="1"/>
  <c r="J1043" i="14" s="1"/>
  <c r="K859" i="13" l="1"/>
  <c r="L859" i="13" s="1"/>
  <c r="I860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82" i="14" l="1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/>
  <c r="L860" i="13" s="1"/>
  <c r="I861" i="13" s="1"/>
  <c r="K883" i="14" l="1"/>
  <c r="L883" i="14" s="1"/>
  <c r="I884" i="14" s="1"/>
  <c r="K861" i="13"/>
  <c r="L861" i="13" s="1"/>
  <c r="I862" i="13" s="1"/>
  <c r="M1050" i="13"/>
  <c r="N1048" i="13"/>
  <c r="J1047" i="13" a="1"/>
  <c r="J1047" i="13" s="1"/>
  <c r="M1051" i="14"/>
  <c r="J1046" i="14" a="1"/>
  <c r="J1046" i="14" s="1"/>
  <c r="N1047" i="14"/>
  <c r="K862" i="13" l="1"/>
  <c r="L862" i="13" s="1"/>
  <c r="I863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3" i="13" l="1"/>
  <c r="L863" i="13" s="1"/>
  <c r="I864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86" i="14" l="1"/>
  <c r="L886" i="14" s="1"/>
  <c r="I887" i="14" s="1"/>
  <c r="K864" i="13"/>
  <c r="L864" i="13" s="1"/>
  <c r="I865" i="13" s="1"/>
  <c r="N1051" i="13"/>
  <c r="J1050" i="13" a="1"/>
  <c r="J1050" i="13" s="1"/>
  <c r="J1049" i="14" a="1"/>
  <c r="J1049" i="14" s="1"/>
  <c r="N1050" i="14"/>
  <c r="M1054" i="14"/>
  <c r="M1053" i="13"/>
  <c r="K887" i="14" l="1"/>
  <c r="L887" i="14" s="1"/>
  <c r="I888" i="14" s="1"/>
  <c r="K865" i="13"/>
  <c r="L865" i="13" s="1"/>
  <c r="I866" i="13" s="1"/>
  <c r="J1050" i="14" a="1"/>
  <c r="J1050" i="14" s="1"/>
  <c r="N1051" i="14"/>
  <c r="M1054" i="13"/>
  <c r="M1055" i="14"/>
  <c r="N1052" i="13"/>
  <c r="J1051" i="13" a="1"/>
  <c r="J1051" i="13" s="1"/>
  <c r="K866" i="13" l="1"/>
  <c r="L866" i="13" s="1"/>
  <c r="I867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89" i="14" l="1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/>
  <c r="L867" i="13" s="1"/>
  <c r="I868" i="13" s="1"/>
  <c r="K890" i="14" l="1"/>
  <c r="L890" i="14" s="1"/>
  <c r="I891" i="14" s="1"/>
  <c r="J1053" i="14" a="1"/>
  <c r="J1053" i="14" s="1"/>
  <c r="N1054" i="14"/>
  <c r="K868" i="13"/>
  <c r="L868" i="13" s="1"/>
  <c r="I869" i="13" s="1"/>
  <c r="N1055" i="13"/>
  <c r="J1054" i="13" a="1"/>
  <c r="J1054" i="13" s="1"/>
  <c r="M1058" i="14"/>
  <c r="M1057" i="13"/>
  <c r="K869" i="13" l="1"/>
  <c r="L869" i="13" s="1"/>
  <c r="I870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92" i="14" l="1"/>
  <c r="L892" i="14" s="1"/>
  <c r="I893" i="14" s="1"/>
  <c r="K870" i="13"/>
  <c r="L870" i="13" s="1"/>
  <c r="I871" i="13" s="1"/>
  <c r="M1059" i="13"/>
  <c r="N1057" i="13"/>
  <c r="J1056" i="13" a="1"/>
  <c r="J1056" i="13" s="1"/>
  <c r="M1060" i="14"/>
  <c r="N1056" i="14"/>
  <c r="J1055" i="14" a="1"/>
  <c r="J1055" i="14" s="1"/>
  <c r="K893" i="14" l="1"/>
  <c r="L893" i="14" s="1"/>
  <c r="I894" i="14" s="1"/>
  <c r="N1058" i="13"/>
  <c r="J1057" i="13" a="1"/>
  <c r="J1057" i="13" s="1"/>
  <c r="N1057" i="14"/>
  <c r="J1056" i="14" a="1"/>
  <c r="J1056" i="14" s="1"/>
  <c r="K871" i="13"/>
  <c r="L871" i="13" s="1"/>
  <c r="I872" i="13" s="1"/>
  <c r="M1060" i="13"/>
  <c r="M1061" i="14"/>
  <c r="K872" i="13" l="1"/>
  <c r="L872" i="13" s="1"/>
  <c r="I873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95" i="14" l="1"/>
  <c r="L895" i="14" s="1"/>
  <c r="I896" i="14" s="1"/>
  <c r="K873" i="13"/>
  <c r="L873" i="13" s="1"/>
  <c r="I874" i="13" s="1"/>
  <c r="J1058" i="14" a="1"/>
  <c r="J1058" i="14" s="1"/>
  <c r="N1059" i="14"/>
  <c r="N1060" i="13"/>
  <c r="J1059" i="13" a="1"/>
  <c r="J1059" i="13" s="1"/>
  <c r="M1062" i="13"/>
  <c r="M1063" i="14"/>
  <c r="K874" i="13" l="1"/>
  <c r="L874" i="13" s="1"/>
  <c r="I875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97" i="14" l="1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/>
  <c r="L875" i="13" s="1"/>
  <c r="I876" i="13" s="1"/>
  <c r="K876" i="13" l="1"/>
  <c r="L876" i="13" s="1"/>
  <c r="I877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7" i="13" l="1"/>
  <c r="L877" i="13" s="1"/>
  <c r="I878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8" i="13" l="1"/>
  <c r="L878" i="13" s="1"/>
  <c r="I879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901" i="14" l="1"/>
  <c r="L901" i="14" s="1"/>
  <c r="I902" i="14" s="1"/>
  <c r="K879" i="13"/>
  <c r="L879" i="13" s="1"/>
  <c r="I880" i="13" s="1"/>
  <c r="M1069" i="14"/>
  <c r="N1066" i="13"/>
  <c r="J1065" i="13" a="1"/>
  <c r="J1065" i="13" s="1"/>
  <c r="M1068" i="13"/>
  <c r="N1065" i="14"/>
  <c r="J1064" i="14" a="1"/>
  <c r="J1064" i="14" s="1"/>
  <c r="K902" i="14" l="1"/>
  <c r="L902" i="14" s="1"/>
  <c r="I903" i="14" s="1"/>
  <c r="K880" i="13"/>
  <c r="L880" i="13" s="1"/>
  <c r="I881" i="13" s="1"/>
  <c r="J1065" i="14" a="1"/>
  <c r="J1065" i="14" s="1"/>
  <c r="N1066" i="14"/>
  <c r="N1067" i="13"/>
  <c r="J1066" i="13" a="1"/>
  <c r="J1066" i="13" s="1"/>
  <c r="M1069" i="13"/>
  <c r="M1070" i="14"/>
  <c r="K903" i="14" l="1"/>
  <c r="L903" i="14" s="1"/>
  <c r="I904" i="14" s="1"/>
  <c r="K881" i="13"/>
  <c r="L881" i="13" s="1"/>
  <c r="I882" i="13" s="1"/>
  <c r="M1071" i="14"/>
  <c r="N1068" i="13"/>
  <c r="J1067" i="13" a="1"/>
  <c r="J1067" i="13" s="1"/>
  <c r="M1070" i="13"/>
  <c r="J1066" i="14" a="1"/>
  <c r="J1066" i="14" s="1"/>
  <c r="N1067" i="14"/>
  <c r="K904" i="14" l="1"/>
  <c r="L904" i="14" s="1"/>
  <c r="I905" i="14" s="1"/>
  <c r="K882" i="13"/>
  <c r="L882" i="13" s="1"/>
  <c r="I883" i="13" s="1"/>
  <c r="N1068" i="14"/>
  <c r="J1067" i="14" a="1"/>
  <c r="J1067" i="14" s="1"/>
  <c r="N1069" i="13"/>
  <c r="J1068" i="13" a="1"/>
  <c r="J1068" i="13" s="1"/>
  <c r="M1071" i="13"/>
  <c r="M1072" i="14"/>
  <c r="K905" i="14" l="1"/>
  <c r="L905" i="14" s="1"/>
  <c r="I906" i="14" s="1"/>
  <c r="K883" i="13"/>
  <c r="L883" i="13" s="1"/>
  <c r="I884" i="13" s="1"/>
  <c r="N1070" i="13"/>
  <c r="J1069" i="13" a="1"/>
  <c r="J1069" i="13" s="1"/>
  <c r="M1073" i="14"/>
  <c r="M1072" i="13"/>
  <c r="N1069" i="14"/>
  <c r="J1068" i="14" a="1"/>
  <c r="J1068" i="14" s="1"/>
  <c r="K906" i="14" l="1"/>
  <c r="L906" i="14" s="1"/>
  <c r="I907" i="14" s="1"/>
  <c r="K884" i="13"/>
  <c r="L884" i="13" s="1"/>
  <c r="I885" i="13" s="1"/>
  <c r="J1069" i="14" a="1"/>
  <c r="J1069" i="14" s="1"/>
  <c r="N1070" i="14"/>
  <c r="M1074" i="14"/>
  <c r="M1073" i="13"/>
  <c r="N1071" i="13"/>
  <c r="J1070" i="13" a="1"/>
  <c r="J1070" i="13" s="1"/>
  <c r="K907" i="14" l="1"/>
  <c r="L907" i="14" s="1"/>
  <c r="I908" i="14" s="1"/>
  <c r="M1075" i="14"/>
  <c r="K885" i="13"/>
  <c r="L885" i="13" s="1"/>
  <c r="I886" i="13" s="1"/>
  <c r="N1072" i="13"/>
  <c r="J1071" i="13" a="1"/>
  <c r="J1071" i="13" s="1"/>
  <c r="M1074" i="13"/>
  <c r="J1070" i="14" a="1"/>
  <c r="J1070" i="14" s="1"/>
  <c r="N1071" i="14"/>
  <c r="M1076" i="14" l="1"/>
  <c r="N1073" i="13"/>
  <c r="J1072" i="13" a="1"/>
  <c r="J1072" i="13" s="1"/>
  <c r="M1075" i="13"/>
  <c r="N1072" i="14"/>
  <c r="J1071" i="14" a="1"/>
  <c r="J1071" i="14" s="1"/>
  <c r="K886" i="13"/>
  <c r="L886" i="13" s="1"/>
  <c r="I887" i="13" s="1"/>
  <c r="K908" i="14"/>
  <c r="L908" i="14" s="1"/>
  <c r="I909" i="14" s="1"/>
  <c r="K909" i="14" l="1"/>
  <c r="L909" i="14" s="1"/>
  <c r="I910" i="14" s="1"/>
  <c r="K887" i="13"/>
  <c r="L887" i="13" s="1"/>
  <c r="I888" i="13" s="1"/>
  <c r="N1074" i="13"/>
  <c r="J1073" i="13" a="1"/>
  <c r="J1073" i="13" s="1"/>
  <c r="N1073" i="14"/>
  <c r="J1072" i="14" a="1"/>
  <c r="J1072" i="14" s="1"/>
  <c r="M1076" i="13"/>
  <c r="M1077" i="14"/>
  <c r="K888" i="13" l="1"/>
  <c r="L888" i="13" s="1"/>
  <c r="I889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911" i="14" l="1"/>
  <c r="L911" i="14" s="1"/>
  <c r="I912" i="14" s="1"/>
  <c r="K889" i="13"/>
  <c r="L889" i="13" s="1"/>
  <c r="I890" i="13" s="1"/>
  <c r="J1074" i="14" a="1"/>
  <c r="J1074" i="14" s="1"/>
  <c r="N1075" i="14"/>
  <c r="N1076" i="13"/>
  <c r="J1075" i="13" a="1"/>
  <c r="J1075" i="13" s="1"/>
  <c r="M1078" i="13"/>
  <c r="M1079" i="14"/>
  <c r="K912" i="14" l="1"/>
  <c r="L912" i="14" s="1"/>
  <c r="I913" i="14" s="1"/>
  <c r="K890" i="13"/>
  <c r="L890" i="13" s="1"/>
  <c r="I891" i="13" s="1"/>
  <c r="N1077" i="13"/>
  <c r="J1076" i="13" a="1"/>
  <c r="J1076" i="13" s="1"/>
  <c r="M1080" i="14"/>
  <c r="N1076" i="14"/>
  <c r="J1075" i="14" a="1"/>
  <c r="J1075" i="14" s="1"/>
  <c r="M1079" i="13"/>
  <c r="K891" i="13" l="1"/>
  <c r="L891" i="13" s="1"/>
  <c r="I892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914" i="14" l="1"/>
  <c r="L914" i="14" s="1"/>
  <c r="I915" i="14" s="1"/>
  <c r="K892" i="13"/>
  <c r="L892" i="13" s="1"/>
  <c r="I893" i="13" s="1"/>
  <c r="N1079" i="13"/>
  <c r="J1078" i="13" a="1"/>
  <c r="J1078" i="13" s="1"/>
  <c r="M1082" i="14"/>
  <c r="J1077" i="14" a="1"/>
  <c r="J1077" i="14" s="1"/>
  <c r="N1078" i="14"/>
  <c r="M1081" i="13"/>
  <c r="K915" i="14" l="1"/>
  <c r="L915" i="14" s="1"/>
  <c r="I916" i="14" s="1"/>
  <c r="K893" i="13"/>
  <c r="L893" i="13" s="1"/>
  <c r="I894" i="13" s="1"/>
  <c r="N1080" i="13"/>
  <c r="J1079" i="13" a="1"/>
  <c r="J1079" i="13" s="1"/>
  <c r="J1078" i="14" a="1"/>
  <c r="J1078" i="14" s="1"/>
  <c r="N1079" i="14"/>
  <c r="M1082" i="13"/>
  <c r="M1083" i="14"/>
  <c r="K916" i="14" l="1"/>
  <c r="L916" i="14" s="1"/>
  <c r="I917" i="14" s="1"/>
  <c r="K894" i="13"/>
  <c r="L894" i="13" s="1"/>
  <c r="I895" i="13" s="1"/>
  <c r="M1083" i="13"/>
  <c r="M1084" i="14"/>
  <c r="N1080" i="14"/>
  <c r="J1079" i="14" a="1"/>
  <c r="J1079" i="14" s="1"/>
  <c r="N1081" i="13"/>
  <c r="J1080" i="13" a="1"/>
  <c r="J1080" i="13" s="1"/>
  <c r="K917" i="14" l="1"/>
  <c r="L917" i="14" s="1"/>
  <c r="I918" i="14" s="1"/>
  <c r="K895" i="13"/>
  <c r="L895" i="13" s="1"/>
  <c r="I896" i="13" s="1"/>
  <c r="N1082" i="13"/>
  <c r="J1081" i="13" a="1"/>
  <c r="J1081" i="13" s="1"/>
  <c r="M1085" i="14"/>
  <c r="M1084" i="13"/>
  <c r="N1081" i="14"/>
  <c r="J1080" i="14" a="1"/>
  <c r="J1080" i="14" s="1"/>
  <c r="K918" i="14" l="1"/>
  <c r="L918" i="14" s="1"/>
  <c r="I919" i="14" s="1"/>
  <c r="K896" i="13"/>
  <c r="L896" i="13" s="1"/>
  <c r="I897" i="13" s="1"/>
  <c r="M1085" i="13"/>
  <c r="J1081" i="14" a="1"/>
  <c r="J1081" i="14" s="1"/>
  <c r="N1082" i="14"/>
  <c r="M1086" i="14"/>
  <c r="N1083" i="13"/>
  <c r="J1082" i="13" a="1"/>
  <c r="J1082" i="13" s="1"/>
  <c r="K897" i="13" l="1"/>
  <c r="L897" i="13" s="1"/>
  <c r="I898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920" i="14" l="1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/>
  <c r="L898" i="13" s="1"/>
  <c r="I899" i="13" s="1"/>
  <c r="K899" i="13" l="1"/>
  <c r="L899" i="13" s="1"/>
  <c r="I900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922" i="14" l="1"/>
  <c r="L922" i="14" s="1"/>
  <c r="I923" i="14" s="1"/>
  <c r="K900" i="13"/>
  <c r="L900" i="13" s="1"/>
  <c r="I901" i="13" s="1"/>
  <c r="N1087" i="13"/>
  <c r="J1086" i="13" a="1"/>
  <c r="J1086" i="13" s="1"/>
  <c r="M1090" i="14"/>
  <c r="M1089" i="13"/>
  <c r="J1085" i="14" a="1"/>
  <c r="J1085" i="14" s="1"/>
  <c r="N1086" i="14"/>
  <c r="K923" i="14" l="1"/>
  <c r="L923" i="14" s="1"/>
  <c r="I924" i="14" s="1"/>
  <c r="K901" i="13"/>
  <c r="L901" i="13" s="1"/>
  <c r="I902" i="13" s="1"/>
  <c r="M1091" i="14"/>
  <c r="J1086" i="14" a="1"/>
  <c r="J1086" i="14" s="1"/>
  <c r="N1087" i="14"/>
  <c r="M1090" i="13"/>
  <c r="N1088" i="13"/>
  <c r="J1087" i="13" a="1"/>
  <c r="J1087" i="13" s="1"/>
  <c r="K924" i="14" l="1"/>
  <c r="L924" i="14" s="1"/>
  <c r="I925" i="14" s="1"/>
  <c r="K902" i="13"/>
  <c r="L902" i="13" s="1"/>
  <c r="I903" i="13" s="1"/>
  <c r="N1088" i="14"/>
  <c r="J1087" i="14" a="1"/>
  <c r="J1087" i="14" s="1"/>
  <c r="M1091" i="13"/>
  <c r="N1089" i="13"/>
  <c r="J1088" i="13" a="1"/>
  <c r="J1088" i="13" s="1"/>
  <c r="M1092" i="14"/>
  <c r="K903" i="13" l="1"/>
  <c r="L903" i="13" s="1"/>
  <c r="I904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26" i="14" l="1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/>
  <c r="L904" i="13" s="1"/>
  <c r="I905" i="13" s="1"/>
  <c r="K905" i="13" l="1"/>
  <c r="L905" i="13" s="1"/>
  <c r="I906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28" i="14" l="1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/>
  <c r="L906" i="13" s="1"/>
  <c r="I907" i="13" s="1"/>
  <c r="K929" i="14" l="1"/>
  <c r="L929" i="14" s="1"/>
  <c r="I930" i="14" s="1"/>
  <c r="K907" i="13"/>
  <c r="L907" i="13" s="1"/>
  <c r="I908" i="13" s="1"/>
  <c r="M1096" i="13"/>
  <c r="N1094" i="13"/>
  <c r="J1093" i="13" a="1"/>
  <c r="J1093" i="13" s="1"/>
  <c r="N1093" i="14"/>
  <c r="J1092" i="14" a="1"/>
  <c r="J1092" i="14" s="1"/>
  <c r="M1097" i="14"/>
  <c r="K908" i="13" l="1"/>
  <c r="L908" i="13" s="1"/>
  <c r="I909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31" i="14" l="1"/>
  <c r="L931" i="14" s="1"/>
  <c r="I932" i="14" s="1"/>
  <c r="K909" i="13"/>
  <c r="L909" i="13" s="1"/>
  <c r="I910" i="13" s="1"/>
  <c r="N1096" i="13"/>
  <c r="J1095" i="13" a="1"/>
  <c r="J1095" i="13" s="1"/>
  <c r="J1094" i="14" a="1"/>
  <c r="J1094" i="14" s="1"/>
  <c r="N1095" i="14"/>
  <c r="M1098" i="13"/>
  <c r="M1099" i="14"/>
  <c r="K910" i="13" l="1"/>
  <c r="L910" i="13" s="1"/>
  <c r="I911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33" i="14" l="1"/>
  <c r="L933" i="14" s="1"/>
  <c r="I934" i="14" s="1"/>
  <c r="K911" i="13"/>
  <c r="L911" i="13" s="1"/>
  <c r="I912" i="13" s="1"/>
  <c r="N1098" i="13"/>
  <c r="J1097" i="13" a="1"/>
  <c r="J1097" i="13" s="1"/>
  <c r="M1101" i="14"/>
  <c r="M1100" i="13"/>
  <c r="N1097" i="14"/>
  <c r="J1096" i="14" a="1"/>
  <c r="J1096" i="14" s="1"/>
  <c r="K934" i="14" l="1"/>
  <c r="L934" i="14" s="1"/>
  <c r="I935" i="14" s="1"/>
  <c r="K912" i="13"/>
  <c r="L912" i="13" s="1"/>
  <c r="I913" i="13" s="1"/>
  <c r="J1097" i="14" a="1"/>
  <c r="J1097" i="14" s="1"/>
  <c r="N1098" i="14"/>
  <c r="M1102" i="14"/>
  <c r="M1101" i="13"/>
  <c r="N1099" i="13"/>
  <c r="J1098" i="13" a="1"/>
  <c r="J1098" i="13" s="1"/>
  <c r="K913" i="13" l="1"/>
  <c r="L913" i="13" s="1"/>
  <c r="I914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36" i="14" l="1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/>
  <c r="L914" i="13" s="1"/>
  <c r="I915" i="13" s="1"/>
  <c r="K915" i="13" l="1"/>
  <c r="L915" i="13" s="1"/>
  <c r="I916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6" i="13" l="1"/>
  <c r="L916" i="13" s="1"/>
  <c r="I917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39" i="14" l="1"/>
  <c r="L939" i="14" s="1"/>
  <c r="I940" i="14" s="1"/>
  <c r="K917" i="13"/>
  <c r="L917" i="13" s="1"/>
  <c r="I918" i="13" s="1"/>
  <c r="J1102" i="14" a="1"/>
  <c r="J1102" i="14" s="1"/>
  <c r="N1103" i="14"/>
  <c r="M1107" i="14"/>
  <c r="M1106" i="13"/>
  <c r="N1104" i="13"/>
  <c r="J1103" i="13" a="1"/>
  <c r="J1103" i="13" s="1"/>
  <c r="K918" i="13" l="1"/>
  <c r="L918" i="13" s="1"/>
  <c r="I919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41" i="14" l="1"/>
  <c r="L941" i="14" s="1"/>
  <c r="I942" i="14" s="1"/>
  <c r="K919" i="13"/>
  <c r="L919" i="13" s="1"/>
  <c r="I920" i="13" s="1"/>
  <c r="M1108" i="13"/>
  <c r="N1105" i="14"/>
  <c r="J1104" i="14" a="1"/>
  <c r="J1104" i="14" s="1"/>
  <c r="M1109" i="14"/>
  <c r="N1106" i="13"/>
  <c r="J1105" i="13" a="1"/>
  <c r="J1105" i="13" s="1"/>
  <c r="K920" i="13" l="1"/>
  <c r="L920" i="13" s="1"/>
  <c r="I921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43" i="14" l="1"/>
  <c r="L943" i="14" s="1"/>
  <c r="I944" i="14" s="1"/>
  <c r="K921" i="13"/>
  <c r="L921" i="13" s="1"/>
  <c r="I922" i="13" s="1"/>
  <c r="M1110" i="13"/>
  <c r="M1111" i="14"/>
  <c r="J1106" i="14" a="1"/>
  <c r="J1106" i="14" s="1"/>
  <c r="N1107" i="14"/>
  <c r="N1108" i="13"/>
  <c r="J1107" i="13" a="1"/>
  <c r="J1107" i="13" s="1"/>
  <c r="K922" i="13" l="1"/>
  <c r="L922" i="13" s="1"/>
  <c r="I923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45" i="14" l="1"/>
  <c r="L945" i="14" s="1"/>
  <c r="I946" i="14" s="1"/>
  <c r="K923" i="13"/>
  <c r="L923" i="13" s="1"/>
  <c r="I924" i="13" s="1"/>
  <c r="M1112" i="13"/>
  <c r="N1110" i="13"/>
  <c r="J1109" i="13" a="1"/>
  <c r="J1109" i="13" s="1"/>
  <c r="N1109" i="14"/>
  <c r="J1108" i="14" a="1"/>
  <c r="J1108" i="14" s="1"/>
  <c r="M1113" i="14"/>
  <c r="K924" i="13" l="1"/>
  <c r="L924" i="13" s="1"/>
  <c r="I925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5" i="13" l="1"/>
  <c r="L925" i="13" s="1"/>
  <c r="I926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6" i="13" l="1"/>
  <c r="L926" i="13" s="1"/>
  <c r="I927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7" i="13" l="1"/>
  <c r="L927" i="13" s="1"/>
  <c r="I928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8" i="13" l="1"/>
  <c r="L928" i="13" s="1"/>
  <c r="I929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9" i="13" l="1"/>
  <c r="L929" i="13" s="1"/>
  <c r="I930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52" i="14" l="1"/>
  <c r="L952" i="14" s="1"/>
  <c r="I953" i="14" s="1"/>
  <c r="K930" i="13"/>
  <c r="L930" i="13" s="1"/>
  <c r="I931" i="13" s="1"/>
  <c r="N1116" i="14"/>
  <c r="J1115" i="14" a="1"/>
  <c r="J1115" i="14" s="1"/>
  <c r="N1117" i="13"/>
  <c r="J1116" i="13" a="1"/>
  <c r="J1116" i="13" s="1"/>
  <c r="M1119" i="13"/>
  <c r="M1120" i="14"/>
  <c r="K931" i="13" l="1"/>
  <c r="L931" i="13" s="1"/>
  <c r="I932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54" i="14" l="1"/>
  <c r="L954" i="14" s="1"/>
  <c r="I955" i="14" s="1"/>
  <c r="K932" i="13"/>
  <c r="L932" i="13" s="1"/>
  <c r="I933" i="13" s="1"/>
  <c r="J1117" i="14" a="1"/>
  <c r="J1117" i="14" s="1"/>
  <c r="N1118" i="14"/>
  <c r="M1122" i="14"/>
  <c r="M1121" i="13"/>
  <c r="N1119" i="13"/>
  <c r="J1118" i="13" a="1"/>
  <c r="J1118" i="13" s="1"/>
  <c r="K933" i="13" l="1"/>
  <c r="L933" i="13" s="1"/>
  <c r="I934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4" i="13" l="1"/>
  <c r="L934" i="13" s="1"/>
  <c r="I935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57" i="14" l="1"/>
  <c r="L957" i="14" s="1"/>
  <c r="I958" i="14" s="1"/>
  <c r="K935" i="13"/>
  <c r="L935" i="13" s="1"/>
  <c r="I936" i="13" s="1"/>
  <c r="N1121" i="14"/>
  <c r="J1120" i="14" a="1"/>
  <c r="J1120" i="14" s="1"/>
  <c r="N1122" i="13"/>
  <c r="J1121" i="13" a="1"/>
  <c r="J1121" i="13" s="1"/>
  <c r="M1124" i="13"/>
  <c r="M1125" i="14"/>
  <c r="K958" i="14" l="1"/>
  <c r="L958" i="14" s="1"/>
  <c r="I959" i="14" s="1"/>
  <c r="K936" i="13"/>
  <c r="L936" i="13" s="1"/>
  <c r="I937" i="13" s="1"/>
  <c r="N1123" i="13"/>
  <c r="J1122" i="13" a="1"/>
  <c r="J1122" i="13" s="1"/>
  <c r="M1126" i="14"/>
  <c r="M1125" i="13"/>
  <c r="J1121" i="14" a="1"/>
  <c r="J1121" i="14" s="1"/>
  <c r="N1122" i="14"/>
  <c r="K959" i="14" l="1"/>
  <c r="L959" i="14" s="1"/>
  <c r="I960" i="14" s="1"/>
  <c r="K937" i="13"/>
  <c r="L937" i="13" s="1"/>
  <c r="I938" i="13" s="1"/>
  <c r="M1127" i="14"/>
  <c r="M1126" i="13"/>
  <c r="J1122" i="14" a="1"/>
  <c r="J1122" i="14" s="1"/>
  <c r="N1123" i="14"/>
  <c r="N1124" i="13"/>
  <c r="J1123" i="13" a="1"/>
  <c r="J1123" i="13" s="1"/>
  <c r="K938" i="13" l="1"/>
  <c r="L938" i="13" s="1"/>
  <c r="I939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61" i="14" l="1"/>
  <c r="L961" i="14" s="1"/>
  <c r="I962" i="14" s="1"/>
  <c r="K939" i="13"/>
  <c r="L939" i="13" s="1"/>
  <c r="I940" i="13" s="1"/>
  <c r="N1126" i="13"/>
  <c r="J1125" i="13" a="1"/>
  <c r="J1125" i="13" s="1"/>
  <c r="M1128" i="13"/>
  <c r="N1125" i="14"/>
  <c r="J1124" i="14" a="1"/>
  <c r="J1124" i="14" s="1"/>
  <c r="M1129" i="14"/>
  <c r="K962" i="14" l="1"/>
  <c r="L962" i="14" s="1"/>
  <c r="I963" i="14" s="1"/>
  <c r="K940" i="13"/>
  <c r="L940" i="13" s="1"/>
  <c r="I941" i="13" s="1"/>
  <c r="J1125" i="14" a="1"/>
  <c r="J1125" i="14" s="1"/>
  <c r="N1126" i="14"/>
  <c r="M1130" i="14"/>
  <c r="M1129" i="13"/>
  <c r="N1127" i="13"/>
  <c r="J1126" i="13" a="1"/>
  <c r="J1126" i="13" s="1"/>
  <c r="K941" i="13" l="1"/>
  <c r="L941" i="13" s="1"/>
  <c r="I942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2" i="13" l="1"/>
  <c r="L942" i="13" s="1"/>
  <c r="I943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65" i="14" l="1"/>
  <c r="L965" i="14" s="1"/>
  <c r="I966" i="14" s="1"/>
  <c r="K943" i="13"/>
  <c r="L943" i="13" s="1"/>
  <c r="I944" i="13" s="1"/>
  <c r="N1130" i="13"/>
  <c r="J1129" i="13" a="1"/>
  <c r="J1129" i="13" s="1"/>
  <c r="N1129" i="14"/>
  <c r="J1128" i="14" a="1"/>
  <c r="J1128" i="14" s="1"/>
  <c r="M1132" i="13"/>
  <c r="M1133" i="14"/>
  <c r="K944" i="13" l="1"/>
  <c r="L944" i="13" s="1"/>
  <c r="I945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5" i="13" l="1"/>
  <c r="L945" i="13" s="1"/>
  <c r="I946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68" i="14" l="1"/>
  <c r="L968" i="14" s="1"/>
  <c r="I969" i="14" s="1"/>
  <c r="K946" i="13"/>
  <c r="L946" i="13" s="1"/>
  <c r="I947" i="13" s="1"/>
  <c r="N1133" i="13"/>
  <c r="J1132" i="13" a="1"/>
  <c r="J1132" i="13" s="1"/>
  <c r="N1132" i="14"/>
  <c r="J1131" i="14" a="1"/>
  <c r="J1131" i="14" s="1"/>
  <c r="M1136" i="14"/>
  <c r="M1135" i="13"/>
  <c r="K947" i="13" l="1"/>
  <c r="L947" i="13" s="1"/>
  <c r="I948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8" i="13" l="1"/>
  <c r="L948" i="13" s="1"/>
  <c r="I949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71" i="14" l="1"/>
  <c r="L971" i="14" s="1"/>
  <c r="I972" i="14" s="1"/>
  <c r="K949" i="13"/>
  <c r="L949" i="13" s="1"/>
  <c r="I950" i="13" s="1"/>
  <c r="J1134" i="14" a="1"/>
  <c r="J1134" i="14" s="1"/>
  <c r="N1135" i="14"/>
  <c r="M1138" i="13"/>
  <c r="M1139" i="14"/>
  <c r="N1136" i="13"/>
  <c r="J1135" i="13" a="1"/>
  <c r="J1135" i="13" s="1"/>
  <c r="K950" i="13" l="1"/>
  <c r="L950" i="13" s="1"/>
  <c r="I951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73" i="14" l="1"/>
  <c r="L973" i="14" s="1"/>
  <c r="I974" i="14" s="1"/>
  <c r="K951" i="13"/>
  <c r="L951" i="13" s="1"/>
  <c r="I952" i="13" s="1"/>
  <c r="N1137" i="14"/>
  <c r="J1136" i="14" a="1"/>
  <c r="J1136" i="14" s="1"/>
  <c r="M1140" i="13"/>
  <c r="M1141" i="14"/>
  <c r="N1138" i="13"/>
  <c r="J1137" i="13" a="1"/>
  <c r="J1137" i="13" s="1"/>
  <c r="K974" i="14" l="1"/>
  <c r="L974" i="14" s="1"/>
  <c r="I975" i="14" s="1"/>
  <c r="N1139" i="13"/>
  <c r="J1138" i="13" a="1"/>
  <c r="J1138" i="13" s="1"/>
  <c r="K952" i="13"/>
  <c r="L952" i="13" s="1"/>
  <c r="I953" i="13" s="1"/>
  <c r="M1142" i="14"/>
  <c r="M1141" i="13"/>
  <c r="J1137" i="14" a="1"/>
  <c r="J1137" i="14" s="1"/>
  <c r="N1138" i="14"/>
  <c r="K953" i="13" l="1"/>
  <c r="L953" i="13" s="1"/>
  <c r="I954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76" i="14" l="1"/>
  <c r="L976" i="14" s="1"/>
  <c r="I977" i="14" s="1"/>
  <c r="K954" i="13"/>
  <c r="L954" i="13" s="1"/>
  <c r="I955" i="13" s="1"/>
  <c r="N1141" i="13"/>
  <c r="J1140" i="13" a="1"/>
  <c r="J1140" i="13" s="1"/>
  <c r="M1143" i="13"/>
  <c r="M1144" i="14"/>
  <c r="N1140" i="14"/>
  <c r="J1139" i="14" a="1"/>
  <c r="J1139" i="14" s="1"/>
  <c r="K955" i="13" l="1"/>
  <c r="L955" i="13" s="1"/>
  <c r="I956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78" i="14" l="1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/>
  <c r="L956" i="13" s="1"/>
  <c r="I957" i="13" s="1"/>
  <c r="K957" i="13" l="1"/>
  <c r="L957" i="13" s="1"/>
  <c r="I958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8" i="13" l="1"/>
  <c r="L958" i="13" s="1"/>
  <c r="I959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9" i="13" l="1"/>
  <c r="L959" i="13" s="1"/>
  <c r="I960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60" i="13" l="1"/>
  <c r="L960" i="13" s="1"/>
  <c r="I961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83" i="14" l="1"/>
  <c r="L983" i="14" s="1"/>
  <c r="I984" i="14" s="1"/>
  <c r="K961" i="13"/>
  <c r="L961" i="13" s="1"/>
  <c r="I962" i="13" s="1"/>
  <c r="J1146" i="14" a="1"/>
  <c r="J1146" i="14" s="1"/>
  <c r="N1147" i="14"/>
  <c r="M1150" i="13"/>
  <c r="N1148" i="13"/>
  <c r="J1147" i="13" a="1"/>
  <c r="J1147" i="13" s="1"/>
  <c r="M1151" i="14"/>
  <c r="K962" i="13" l="1"/>
  <c r="L962" i="13" s="1"/>
  <c r="I963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85" i="14" l="1"/>
  <c r="L985" i="14" s="1"/>
  <c r="I986" i="14" s="1"/>
  <c r="K963" i="13"/>
  <c r="L963" i="13" s="1"/>
  <c r="I964" i="13" s="1"/>
  <c r="N1150" i="13"/>
  <c r="J1149" i="13" a="1"/>
  <c r="J1149" i="13" s="1"/>
  <c r="M1153" i="14"/>
  <c r="M1152" i="13"/>
  <c r="N1149" i="14"/>
  <c r="J1148" i="14" a="1"/>
  <c r="J1148" i="14" s="1"/>
  <c r="K986" i="14" l="1"/>
  <c r="L986" i="14" s="1"/>
  <c r="I987" i="14" s="1"/>
  <c r="K964" i="13"/>
  <c r="L964" i="13" s="1"/>
  <c r="I965" i="13" s="1"/>
  <c r="J1149" i="14" a="1"/>
  <c r="J1149" i="14" s="1"/>
  <c r="N1150" i="14"/>
  <c r="M1154" i="14"/>
  <c r="M1153" i="13"/>
  <c r="N1151" i="13"/>
  <c r="J1150" i="13" a="1"/>
  <c r="J1150" i="13" s="1"/>
  <c r="K965" i="13" l="1"/>
  <c r="L965" i="13" s="1"/>
  <c r="I966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88" i="14" l="1"/>
  <c r="L988" i="14" s="1"/>
  <c r="I989" i="14" s="1"/>
  <c r="K966" i="13"/>
  <c r="L966" i="13" s="1"/>
  <c r="I967" i="13" s="1"/>
  <c r="N1153" i="13"/>
  <c r="J1152" i="13" a="1"/>
  <c r="J1152" i="13" s="1"/>
  <c r="M1155" i="13"/>
  <c r="M1156" i="14"/>
  <c r="N1152" i="14"/>
  <c r="J1151" i="14" a="1"/>
  <c r="J1151" i="14" s="1"/>
  <c r="K967" i="13" l="1"/>
  <c r="L967" i="13" s="1"/>
  <c r="I968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90" i="14" l="1"/>
  <c r="L990" i="14" s="1"/>
  <c r="I991" i="14" s="1"/>
  <c r="K968" i="13"/>
  <c r="L968" i="13" s="1"/>
  <c r="I969" i="13" s="1"/>
  <c r="N1155" i="13"/>
  <c r="J1154" i="13" a="1"/>
  <c r="J1154" i="13" s="1"/>
  <c r="J1153" i="14" a="1"/>
  <c r="J1153" i="14" s="1"/>
  <c r="N1154" i="14"/>
  <c r="M1157" i="13"/>
  <c r="M1158" i="14"/>
  <c r="K991" i="14" l="1"/>
  <c r="L991" i="14" s="1"/>
  <c r="I992" i="14" s="1"/>
  <c r="K969" i="13"/>
  <c r="L969" i="13" s="1"/>
  <c r="I970" i="13" s="1"/>
  <c r="J1154" i="14" a="1"/>
  <c r="J1154" i="14" s="1"/>
  <c r="N1155" i="14"/>
  <c r="M1158" i="13"/>
  <c r="M1159" i="14"/>
  <c r="N1156" i="13"/>
  <c r="J1155" i="13" a="1"/>
  <c r="J1155" i="13" s="1"/>
  <c r="K970" i="13" l="1"/>
  <c r="L970" i="13" s="1"/>
  <c r="I971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1" i="13" l="1"/>
  <c r="L971" i="13" s="1"/>
  <c r="I972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94" i="14" l="1"/>
  <c r="L994" i="14" s="1"/>
  <c r="I995" i="14" s="1"/>
  <c r="K972" i="13"/>
  <c r="L972" i="13" s="1"/>
  <c r="I973" i="13" s="1"/>
  <c r="M1161" i="13"/>
  <c r="M1162" i="14"/>
  <c r="N1159" i="13"/>
  <c r="J1158" i="13" a="1"/>
  <c r="J1158" i="13" s="1"/>
  <c r="J1157" i="14" a="1"/>
  <c r="J1157" i="14" s="1"/>
  <c r="N1158" i="14"/>
  <c r="K973" i="13" l="1"/>
  <c r="L973" i="13" s="1"/>
  <c r="I974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96" i="14" l="1"/>
  <c r="L996" i="14" s="1"/>
  <c r="I997" i="14" s="1"/>
  <c r="K974" i="13"/>
  <c r="L974" i="13" s="1"/>
  <c r="I975" i="13" s="1"/>
  <c r="M1163" i="13"/>
  <c r="N1161" i="13"/>
  <c r="J1160" i="13" a="1"/>
  <c r="J1160" i="13" s="1"/>
  <c r="N1160" i="14"/>
  <c r="J1159" i="14" a="1"/>
  <c r="J1159" i="14" s="1"/>
  <c r="M1164" i="14"/>
  <c r="K997" i="14" l="1"/>
  <c r="L997" i="14" s="1"/>
  <c r="I998" i="14" s="1"/>
  <c r="N1162" i="13"/>
  <c r="J1161" i="13" a="1"/>
  <c r="J1161" i="13" s="1"/>
  <c r="K975" i="13"/>
  <c r="L975" i="13" s="1"/>
  <c r="I976" i="13" s="1"/>
  <c r="M1164" i="13"/>
  <c r="M1165" i="14"/>
  <c r="N1161" i="14"/>
  <c r="J1160" i="14" a="1"/>
  <c r="J1160" i="14" s="1"/>
  <c r="K998" i="14" l="1"/>
  <c r="L998" i="14" s="1"/>
  <c r="I999" i="14" s="1"/>
  <c r="K976" i="13"/>
  <c r="L976" i="13" s="1"/>
  <c r="I977" i="13" s="1"/>
  <c r="M1165" i="13"/>
  <c r="J1161" i="14" a="1"/>
  <c r="J1161" i="14" s="1"/>
  <c r="N1162" i="14"/>
  <c r="N1163" i="13"/>
  <c r="J1162" i="13" a="1"/>
  <c r="J1162" i="13" s="1"/>
  <c r="M1166" i="14"/>
  <c r="K977" i="13" l="1"/>
  <c r="L977" i="13" s="1"/>
  <c r="I978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8" i="13" l="1"/>
  <c r="L978" i="13" s="1"/>
  <c r="I979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1001" i="14" l="1"/>
  <c r="L1001" i="14" s="1"/>
  <c r="I1002" i="14" s="1"/>
  <c r="K979" i="13"/>
  <c r="L979" i="13" s="1"/>
  <c r="I980" i="13" s="1"/>
  <c r="M1168" i="13"/>
  <c r="N1166" i="13"/>
  <c r="J1165" i="13" a="1"/>
  <c r="J1165" i="13" s="1"/>
  <c r="M1169" i="14"/>
  <c r="N1165" i="14"/>
  <c r="J1164" i="14" a="1"/>
  <c r="J1164" i="14" s="1"/>
  <c r="K980" i="13" l="1"/>
  <c r="L980" i="13" s="1"/>
  <c r="I981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1003" i="14" l="1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/>
  <c r="L981" i="13" s="1"/>
  <c r="I982" i="13" s="1"/>
  <c r="K982" i="13" l="1"/>
  <c r="L982" i="13" s="1"/>
  <c r="I983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1005" i="14" l="1"/>
  <c r="L1005" i="14" s="1"/>
  <c r="I1006" i="14" s="1"/>
  <c r="K983" i="13"/>
  <c r="L983" i="13" s="1"/>
  <c r="I984" i="13" s="1"/>
  <c r="M1172" i="13"/>
  <c r="N1170" i="13"/>
  <c r="J1169" i="13" a="1"/>
  <c r="J1169" i="13" s="1"/>
  <c r="N1169" i="14"/>
  <c r="J1168" i="14" a="1"/>
  <c r="J1168" i="14" s="1"/>
  <c r="M1173" i="14"/>
  <c r="K984" i="13" l="1"/>
  <c r="L984" i="13" s="1"/>
  <c r="I985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1007" i="14" l="1"/>
  <c r="L1007" i="14" s="1"/>
  <c r="I1008" i="14" s="1"/>
  <c r="K985" i="13"/>
  <c r="L985" i="13" s="1"/>
  <c r="I986" i="13" s="1"/>
  <c r="J1170" i="14" a="1"/>
  <c r="J1170" i="14" s="1"/>
  <c r="N1171" i="14"/>
  <c r="N1172" i="13"/>
  <c r="J1171" i="13" a="1"/>
  <c r="J1171" i="13" s="1"/>
  <c r="M1174" i="13"/>
  <c r="M1175" i="14"/>
  <c r="K986" i="13" l="1"/>
  <c r="L986" i="13" s="1"/>
  <c r="I987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1009" i="14" l="1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/>
  <c r="L987" i="13" s="1"/>
  <c r="I988" i="13" s="1"/>
  <c r="K1010" i="14" l="1"/>
  <c r="L1010" i="14" s="1"/>
  <c r="I1011" i="14" s="1"/>
  <c r="K988" i="13"/>
  <c r="L988" i="13" s="1"/>
  <c r="I989" i="13" s="1"/>
  <c r="N1175" i="13"/>
  <c r="J1174" i="13" a="1"/>
  <c r="J1174" i="13" s="1"/>
  <c r="M1178" i="14"/>
  <c r="J1173" i="14" a="1"/>
  <c r="J1173" i="14" s="1"/>
  <c r="N1174" i="14"/>
  <c r="M1177" i="13"/>
  <c r="K989" i="13" l="1"/>
  <c r="L989" i="13" s="1"/>
  <c r="I990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1012" i="14" l="1"/>
  <c r="L1012" i="14" s="1"/>
  <c r="I1013" i="14" s="1"/>
  <c r="K990" i="13"/>
  <c r="L990" i="13" s="1"/>
  <c r="I991" i="13" s="1"/>
  <c r="N1177" i="13"/>
  <c r="J1176" i="13" a="1"/>
  <c r="J1176" i="13" s="1"/>
  <c r="J1175" i="14" a="1"/>
  <c r="J1175" i="14" s="1"/>
  <c r="N1176" i="14"/>
  <c r="M1179" i="13"/>
  <c r="M1180" i="14"/>
  <c r="K991" i="13" l="1"/>
  <c r="L991" i="13" s="1"/>
  <c r="I992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1014" i="14" l="1"/>
  <c r="L1014" i="14" s="1"/>
  <c r="I1015" i="14" s="1"/>
  <c r="K992" i="13"/>
  <c r="L992" i="13" s="1"/>
  <c r="I993" i="13" s="1"/>
  <c r="N1179" i="13"/>
  <c r="J1178" i="13" a="1"/>
  <c r="J1178" i="13" s="1"/>
  <c r="J1177" i="14" a="1"/>
  <c r="J1177" i="14" s="1"/>
  <c r="N1178" i="14"/>
  <c r="M1181" i="13"/>
  <c r="M1182" i="14"/>
  <c r="K993" i="13" l="1"/>
  <c r="L993" i="13" s="1"/>
  <c r="I994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1016" i="14" l="1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/>
  <c r="L994" i="13" s="1"/>
  <c r="I995" i="13" s="1"/>
  <c r="K995" i="13" l="1"/>
  <c r="L995" i="13" s="1"/>
  <c r="I996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1018" i="14" l="1"/>
  <c r="L1018" i="14" s="1"/>
  <c r="I1019" i="14" s="1"/>
  <c r="K996" i="13"/>
  <c r="L996" i="13" s="1"/>
  <c r="I997" i="13" s="1"/>
  <c r="N1183" i="13"/>
  <c r="J1182" i="13" a="1"/>
  <c r="J1182" i="13" s="1"/>
  <c r="M1186" i="14"/>
  <c r="M1185" i="13"/>
  <c r="J1181" i="14" a="1"/>
  <c r="J1181" i="14" s="1"/>
  <c r="N1182" i="14"/>
  <c r="K997" i="13" l="1"/>
  <c r="L997" i="13" s="1"/>
  <c r="I998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1020" i="14" l="1"/>
  <c r="L1020" i="14" s="1"/>
  <c r="I1021" i="14" s="1"/>
  <c r="K998" i="13"/>
  <c r="L998" i="13" s="1"/>
  <c r="I999" i="13" s="1"/>
  <c r="M1188" i="14"/>
  <c r="N1185" i="13"/>
  <c r="J1184" i="13" a="1"/>
  <c r="J1184" i="13" s="1"/>
  <c r="J1183" i="14" a="1"/>
  <c r="J1183" i="14" s="1"/>
  <c r="N1184" i="14"/>
  <c r="M1187" i="13"/>
  <c r="K1021" i="14" l="1"/>
  <c r="L1021" i="14" s="1"/>
  <c r="I1022" i="14" s="1"/>
  <c r="N1186" i="13"/>
  <c r="J1185" i="13" a="1"/>
  <c r="J1185" i="13" s="1"/>
  <c r="K999" i="13"/>
  <c r="L999" i="13" s="1"/>
  <c r="I1000" i="13" s="1"/>
  <c r="M1188" i="13"/>
  <c r="N1185" i="14"/>
  <c r="J1184" i="14" a="1"/>
  <c r="J1184" i="14" s="1"/>
  <c r="M1189" i="14"/>
  <c r="K1000" i="13" l="1"/>
  <c r="L1000" i="13" s="1"/>
  <c r="I1001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23" i="14" l="1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/>
  <c r="L1001" i="13" s="1"/>
  <c r="I1002" i="13" s="1"/>
  <c r="K1002" i="13" l="1"/>
  <c r="L1002" i="13" s="1"/>
  <c r="I1003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25" i="14" l="1"/>
  <c r="L1025" i="14" s="1"/>
  <c r="I1026" i="14" s="1"/>
  <c r="K1003" i="13"/>
  <c r="L1003" i="13" s="1"/>
  <c r="I1004" i="13" s="1"/>
  <c r="M1192" i="13"/>
  <c r="N1189" i="14"/>
  <c r="J1188" i="14" a="1"/>
  <c r="J1188" i="14" s="1"/>
  <c r="M1193" i="14"/>
  <c r="N1190" i="13"/>
  <c r="J1189" i="13" a="1"/>
  <c r="J1189" i="13" s="1"/>
  <c r="K1026" i="14" l="1"/>
  <c r="L1026" i="14" s="1"/>
  <c r="I1027" i="14" s="1"/>
  <c r="K1004" i="13"/>
  <c r="L1004" i="13" s="1"/>
  <c r="I1005" i="13" s="1"/>
  <c r="N1191" i="13"/>
  <c r="J1190" i="13" a="1"/>
  <c r="J1190" i="13" s="1"/>
  <c r="J1189" i="14" a="1"/>
  <c r="J1189" i="14" s="1"/>
  <c r="N1190" i="14"/>
  <c r="M1193" i="13"/>
  <c r="M1194" i="14"/>
  <c r="K1005" i="13" l="1"/>
  <c r="L1005" i="13" s="1"/>
  <c r="I1006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28" i="14" l="1"/>
  <c r="L1028" i="14" s="1"/>
  <c r="I1029" i="14" s="1"/>
  <c r="K1006" i="13"/>
  <c r="L1006" i="13" s="1"/>
  <c r="I1007" i="13" s="1"/>
  <c r="M1196" i="14"/>
  <c r="N1193" i="13"/>
  <c r="J1192" i="13" a="1"/>
  <c r="J1192" i="13" s="1"/>
  <c r="J1191" i="14" a="1"/>
  <c r="J1191" i="14" s="1"/>
  <c r="N1192" i="14"/>
  <c r="M1195" i="13"/>
  <c r="K1007" i="13" l="1"/>
  <c r="L1007" i="13" s="1"/>
  <c r="I1008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30" i="14" l="1"/>
  <c r="L1030" i="14" s="1"/>
  <c r="I1031" i="14" s="1"/>
  <c r="K1008" i="13"/>
  <c r="L1008" i="13" s="1"/>
  <c r="I1009" i="13" s="1"/>
  <c r="J1193" i="14" a="1"/>
  <c r="J1193" i="14" s="1"/>
  <c r="N1194" i="14"/>
  <c r="M1198" i="14"/>
  <c r="M1197" i="13"/>
  <c r="N1195" i="13"/>
  <c r="J1194" i="13" a="1"/>
  <c r="J1194" i="13" s="1"/>
  <c r="K1009" i="13" l="1"/>
  <c r="L1009" i="13" s="1"/>
  <c r="I1010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32" i="14" l="1"/>
  <c r="L1032" i="14" s="1"/>
  <c r="I1033" i="14" s="1"/>
  <c r="K1010" i="13"/>
  <c r="L1010" i="13" s="1"/>
  <c r="I1011" i="13" s="1"/>
  <c r="J1195" i="14" a="1"/>
  <c r="J1195" i="14" s="1"/>
  <c r="N1196" i="14"/>
  <c r="M1200" i="14"/>
  <c r="M1199" i="13"/>
  <c r="N1197" i="13"/>
  <c r="J1196" i="13" a="1"/>
  <c r="J1196" i="13" s="1"/>
  <c r="K1011" i="13" l="1"/>
  <c r="L1011" i="13" s="1"/>
  <c r="I1012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34" i="14" l="1"/>
  <c r="L1034" i="14" s="1"/>
  <c r="I1035" i="14" s="1"/>
  <c r="K1012" i="13"/>
  <c r="L1012" i="13" s="1"/>
  <c r="I1013" i="13" s="1"/>
  <c r="M1201" i="13"/>
  <c r="J1197" i="14" a="1"/>
  <c r="J1197" i="14" s="1"/>
  <c r="N1198" i="14"/>
  <c r="M1202" i="14"/>
  <c r="N1199" i="13"/>
  <c r="J1198" i="13" a="1"/>
  <c r="J1198" i="13" s="1"/>
  <c r="K1035" i="14" l="1"/>
  <c r="L1035" i="14" s="1"/>
  <c r="I1036" i="14" s="1"/>
  <c r="J1198" i="14" a="1"/>
  <c r="J1198" i="14" s="1"/>
  <c r="N1199" i="14"/>
  <c r="K1013" i="13"/>
  <c r="L1013" i="13" s="1"/>
  <c r="I1014" i="13" s="1"/>
  <c r="N1200" i="13"/>
  <c r="J1199" i="13" a="1"/>
  <c r="J1199" i="13" s="1"/>
  <c r="M1202" i="13"/>
  <c r="M1203" i="14"/>
  <c r="K1014" i="13" l="1"/>
  <c r="L1014" i="13" s="1"/>
  <c r="I1015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5" i="13" l="1"/>
  <c r="L1015" i="13" s="1"/>
  <c r="I1016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38" i="14" l="1"/>
  <c r="L1038" i="14" s="1"/>
  <c r="I1039" i="14" s="1"/>
  <c r="K1016" i="13"/>
  <c r="L1016" i="13" s="1"/>
  <c r="I1017" i="13" s="1"/>
  <c r="M1205" i="13"/>
  <c r="M1206" i="14"/>
  <c r="N1203" i="13"/>
  <c r="J1202" i="13" a="1"/>
  <c r="J1202" i="13" s="1"/>
  <c r="J1201" i="14" a="1"/>
  <c r="J1201" i="14" s="1"/>
  <c r="N1202" i="14"/>
  <c r="K1017" i="13" l="1"/>
  <c r="L1017" i="13" s="1"/>
  <c r="I1018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40" i="14" l="1"/>
  <c r="L1040" i="14" s="1"/>
  <c r="I1041" i="14" s="1"/>
  <c r="K1018" i="13"/>
  <c r="L1018" i="13" s="1"/>
  <c r="I1019" i="13" s="1"/>
  <c r="M1207" i="13"/>
  <c r="N1205" i="13"/>
  <c r="J1204" i="13" a="1"/>
  <c r="J1204" i="13" s="1"/>
  <c r="M1208" i="14"/>
  <c r="J1203" i="14" a="1"/>
  <c r="J1203" i="14" s="1"/>
  <c r="N1204" i="14"/>
  <c r="K1019" i="13" l="1"/>
  <c r="L1019" i="13" s="1"/>
  <c r="I1020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42" i="14" l="1"/>
  <c r="L1042" i="14" s="1"/>
  <c r="I1043" i="14" s="1"/>
  <c r="K1020" i="13"/>
  <c r="L1020" i="13" s="1"/>
  <c r="I1021" i="13" s="1"/>
  <c r="N1207" i="13"/>
  <c r="J1206" i="13" a="1"/>
  <c r="J1206" i="13" s="1"/>
  <c r="M1210" i="14"/>
  <c r="M1209" i="13"/>
  <c r="J1205" i="14" a="1"/>
  <c r="J1205" i="14" s="1"/>
  <c r="N1206" i="14"/>
  <c r="K1021" i="13" l="1"/>
  <c r="L1021" i="13" s="1"/>
  <c r="I1022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44" i="14" l="1"/>
  <c r="L1044" i="14" s="1"/>
  <c r="I1045" i="14" s="1"/>
  <c r="K1022" i="13"/>
  <c r="L1022" i="13" s="1"/>
  <c r="I1023" i="13" s="1"/>
  <c r="N1209" i="13"/>
  <c r="J1208" i="13" a="1"/>
  <c r="J1208" i="13" s="1"/>
  <c r="M1212" i="14"/>
  <c r="J1207" i="14" a="1"/>
  <c r="J1207" i="14" s="1"/>
  <c r="N1208" i="14"/>
  <c r="M1211" i="13"/>
  <c r="K1023" i="13" l="1"/>
  <c r="L1023" i="13" s="1"/>
  <c r="I1024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46" i="14" l="1"/>
  <c r="L1046" i="14" s="1"/>
  <c r="I1047" i="14" s="1"/>
  <c r="K1024" i="13"/>
  <c r="L1024" i="13" s="1"/>
  <c r="I1025" i="13" s="1"/>
  <c r="N1211" i="13"/>
  <c r="J1210" i="13" a="1"/>
  <c r="J1210" i="13" s="1"/>
  <c r="M1213" i="13"/>
  <c r="M1214" i="14"/>
  <c r="J1209" i="14" a="1"/>
  <c r="J1209" i="14" s="1"/>
  <c r="N1210" i="14"/>
  <c r="K1025" i="13" l="1"/>
  <c r="L1025" i="13" s="1"/>
  <c r="I1026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48" i="14" l="1"/>
  <c r="L1048" i="14" s="1"/>
  <c r="I1049" i="14" s="1"/>
  <c r="K1026" i="13"/>
  <c r="L1026" i="13" s="1"/>
  <c r="I1027" i="13" s="1"/>
  <c r="N1213" i="13"/>
  <c r="J1212" i="13" a="1"/>
  <c r="J1212" i="13" s="1"/>
  <c r="M1215" i="13"/>
  <c r="M1216" i="14"/>
  <c r="J1211" i="14" a="1"/>
  <c r="J1211" i="14" s="1"/>
  <c r="N1212" i="14"/>
  <c r="K1027" i="13" l="1"/>
  <c r="L1027" i="13" s="1"/>
  <c r="I1028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50" i="14" l="1"/>
  <c r="L1050" i="14" s="1"/>
  <c r="I1051" i="14" s="1"/>
  <c r="K1028" i="13"/>
  <c r="L1028" i="13" s="1"/>
  <c r="I1029" i="13" s="1"/>
  <c r="N1215" i="13"/>
  <c r="J1214" i="13" a="1"/>
  <c r="J1214" i="13" s="1"/>
  <c r="M1217" i="13"/>
  <c r="M1218" i="14"/>
  <c r="J1213" i="14" a="1"/>
  <c r="J1213" i="14" s="1"/>
  <c r="N1214" i="14"/>
  <c r="K1029" i="13" l="1"/>
  <c r="L1029" i="13" s="1"/>
  <c r="I1030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52" i="14" l="1"/>
  <c r="L1052" i="14" s="1"/>
  <c r="I1053" i="14" s="1"/>
  <c r="K1030" i="13"/>
  <c r="L1030" i="13" s="1"/>
  <c r="I1031" i="13" s="1"/>
  <c r="M1219" i="13"/>
  <c r="N1217" i="13"/>
  <c r="J1216" i="13" a="1"/>
  <c r="J1216" i="13" s="1"/>
  <c r="J1215" i="14" a="1"/>
  <c r="J1215" i="14" s="1"/>
  <c r="N1216" i="14"/>
  <c r="M1220" i="14"/>
  <c r="K1031" i="13" l="1"/>
  <c r="L1031" i="13" s="1"/>
  <c r="I1032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54" i="14" l="1"/>
  <c r="L1054" i="14" s="1"/>
  <c r="I1055" i="14" s="1"/>
  <c r="K1032" i="13"/>
  <c r="L1032" i="13" s="1"/>
  <c r="I1033" i="13" s="1"/>
  <c r="M1222" i="14"/>
  <c r="J1217" i="14" a="1"/>
  <c r="J1217" i="14" s="1"/>
  <c r="N1218" i="14"/>
  <c r="M1221" i="13"/>
  <c r="N1219" i="13"/>
  <c r="J1218" i="13" a="1"/>
  <c r="J1218" i="13" s="1"/>
  <c r="K1033" i="13" l="1"/>
  <c r="L1033" i="13" s="1"/>
  <c r="I1034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56" i="14" l="1"/>
  <c r="L1056" i="14" s="1"/>
  <c r="I1057" i="14" s="1"/>
  <c r="K1034" i="13"/>
  <c r="L1034" i="13" s="1"/>
  <c r="I1035" i="13" s="1"/>
  <c r="J1220" i="13" a="1"/>
  <c r="J1220" i="13" s="1"/>
  <c r="N1221" i="13"/>
  <c r="J1219" i="14" a="1"/>
  <c r="J1219" i="14" s="1"/>
  <c r="N1220" i="14"/>
  <c r="M1224" i="14"/>
  <c r="M1223" i="13"/>
  <c r="K1035" i="13" l="1"/>
  <c r="L1035" i="13" s="1"/>
  <c r="I1036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58" i="14" l="1"/>
  <c r="L1058" i="14" s="1"/>
  <c r="I1059" i="14" s="1"/>
  <c r="K1036" i="13"/>
  <c r="L1036" i="13" s="1"/>
  <c r="I1037" i="13" s="1"/>
  <c r="M1226" i="14"/>
  <c r="J1222" i="13" a="1"/>
  <c r="J1222" i="13" s="1"/>
  <c r="N1223" i="13"/>
  <c r="M1225" i="13"/>
  <c r="J1221" i="14" a="1"/>
  <c r="J1221" i="14" s="1"/>
  <c r="N1222" i="14"/>
  <c r="K1059" i="14" l="1"/>
  <c r="L1059" i="14" s="1"/>
  <c r="I1060" i="14" s="1"/>
  <c r="J1223" i="13" a="1"/>
  <c r="J1223" i="13" s="1"/>
  <c r="N1224" i="13"/>
  <c r="K1037" i="13"/>
  <c r="L1037" i="13" s="1"/>
  <c r="I1038" i="13" s="1"/>
  <c r="J1222" i="14" a="1"/>
  <c r="J1222" i="14" s="1"/>
  <c r="N1223" i="14"/>
  <c r="M1226" i="13"/>
  <c r="M1227" i="14"/>
  <c r="K1038" i="13" l="1"/>
  <c r="L1038" i="13" s="1"/>
  <c r="I1039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61" i="14" l="1"/>
  <c r="L1061" i="14" s="1"/>
  <c r="I1062" i="14" s="1"/>
  <c r="K1039" i="13"/>
  <c r="L1039" i="13" s="1"/>
  <c r="I1040" i="13" s="1"/>
  <c r="M1228" i="13"/>
  <c r="N1226" i="13"/>
  <c r="J1225" i="13" a="1"/>
  <c r="J1225" i="13" s="1"/>
  <c r="N1225" i="14"/>
  <c r="J1224" i="14" a="1"/>
  <c r="J1224" i="14" s="1"/>
  <c r="M1229" i="14"/>
  <c r="K1040" i="13" l="1"/>
  <c r="L1040" i="13" s="1"/>
  <c r="I1041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63" i="14" l="1"/>
  <c r="L1063" i="14" s="1"/>
  <c r="I1064" i="14" s="1"/>
  <c r="K1041" i="13"/>
  <c r="L1041" i="13" s="1"/>
  <c r="I1042" i="13" s="1"/>
  <c r="J1227" i="13" a="1"/>
  <c r="J1227" i="13" s="1"/>
  <c r="N1228" i="13"/>
  <c r="J1226" i="14" a="1"/>
  <c r="J1226" i="14" s="1"/>
  <c r="N1227" i="14"/>
  <c r="M1230" i="13"/>
  <c r="M1231" i="14"/>
  <c r="K1042" i="13" l="1"/>
  <c r="L1042" i="13" s="1"/>
  <c r="I1043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65" i="14" l="1"/>
  <c r="L1065" i="14" s="1"/>
  <c r="I1066" i="14" s="1"/>
  <c r="K1043" i="13"/>
  <c r="L1043" i="13" s="1"/>
  <c r="I1044" i="13" s="1"/>
  <c r="N1230" i="13"/>
  <c r="J1229" i="13" a="1"/>
  <c r="J1229" i="13" s="1"/>
  <c r="M1232" i="13"/>
  <c r="M1233" i="14"/>
  <c r="N1229" i="14"/>
  <c r="J1228" i="14" a="1"/>
  <c r="J1228" i="14" s="1"/>
  <c r="K1066" i="14" l="1"/>
  <c r="L1066" i="14" s="1"/>
  <c r="I1067" i="14" s="1"/>
  <c r="M1233" i="13"/>
  <c r="J1229" i="14" a="1"/>
  <c r="J1229" i="14" s="1"/>
  <c r="N1230" i="14"/>
  <c r="K1044" i="13"/>
  <c r="L1044" i="13" s="1"/>
  <c r="I1045" i="13" s="1"/>
  <c r="M1234" i="14"/>
  <c r="J1230" i="13" a="1"/>
  <c r="J1230" i="13" s="1"/>
  <c r="N1231" i="13"/>
  <c r="K1045" i="13" l="1"/>
  <c r="L1045" i="13" s="1"/>
  <c r="I1046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68" i="14" l="1"/>
  <c r="L1068" i="14" s="1"/>
  <c r="I1069" i="14" s="1"/>
  <c r="K1046" i="13"/>
  <c r="L1046" i="13" s="1"/>
  <c r="I1047" i="13" s="1"/>
  <c r="M1236" i="14"/>
  <c r="M1235" i="13"/>
  <c r="J1232" i="13" a="1"/>
  <c r="J1232" i="13" s="1"/>
  <c r="N1233" i="13"/>
  <c r="J1231" i="14" a="1"/>
  <c r="J1231" i="14" s="1"/>
  <c r="N1232" i="14"/>
  <c r="K1047" i="13" l="1"/>
  <c r="L1047" i="13" s="1"/>
  <c r="I1048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70" i="14" l="1"/>
  <c r="L1070" i="14" s="1"/>
  <c r="I1071" i="14" s="1"/>
  <c r="K1048" i="13"/>
  <c r="L1048" i="13" s="1"/>
  <c r="I1049" i="13" s="1"/>
  <c r="J1234" i="13" a="1"/>
  <c r="J1234" i="13" s="1"/>
  <c r="N1235" i="13"/>
  <c r="M1237" i="13"/>
  <c r="M1238" i="14"/>
  <c r="J1233" i="14" a="1"/>
  <c r="J1233" i="14" s="1"/>
  <c r="N1234" i="14"/>
  <c r="K1049" i="13" l="1"/>
  <c r="L1049" i="13" s="1"/>
  <c r="I1050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72" i="14" l="1"/>
  <c r="L1072" i="14" s="1"/>
  <c r="I1073" i="14" s="1"/>
  <c r="K1050" i="13"/>
  <c r="L1050" i="13" s="1"/>
  <c r="I1051" i="13" s="1"/>
  <c r="M1240" i="14"/>
  <c r="M1239" i="13"/>
  <c r="J1235" i="14" a="1"/>
  <c r="J1235" i="14" s="1"/>
  <c r="N1236" i="14"/>
  <c r="J1236" i="13" a="1"/>
  <c r="J1236" i="13" s="1"/>
  <c r="N1237" i="13"/>
  <c r="K1051" i="13" l="1"/>
  <c r="L1051" i="13" s="1"/>
  <c r="I1052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74" i="14" l="1"/>
  <c r="L1074" i="14" s="1"/>
  <c r="I1075" i="14" s="1"/>
  <c r="K1052" i="13"/>
  <c r="L1052" i="13" s="1"/>
  <c r="I1053" i="13" s="1"/>
  <c r="J1238" i="13" a="1"/>
  <c r="J1238" i="13" s="1"/>
  <c r="N1239" i="13"/>
  <c r="M1241" i="13"/>
  <c r="M1242" i="14"/>
  <c r="J1237" i="14" a="1"/>
  <c r="J1237" i="14" s="1"/>
  <c r="N1238" i="14"/>
  <c r="K1075" i="14" l="1"/>
  <c r="L1075" i="14" s="1"/>
  <c r="I1076" i="14" s="1"/>
  <c r="J1238" i="14" a="1"/>
  <c r="J1238" i="14" s="1"/>
  <c r="N1239" i="14"/>
  <c r="K1053" i="13"/>
  <c r="L1053" i="13" s="1"/>
  <c r="I1054" i="13" s="1"/>
  <c r="J1239" i="13" a="1"/>
  <c r="J1239" i="13" s="1"/>
  <c r="N1240" i="13"/>
  <c r="M1242" i="13"/>
  <c r="M1243" i="14"/>
  <c r="K1054" i="13" l="1"/>
  <c r="L1054" i="13" s="1"/>
  <c r="I1055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77" i="14" l="1"/>
  <c r="L1077" i="14" s="1"/>
  <c r="I1078" i="14" s="1"/>
  <c r="K1055" i="13"/>
  <c r="L1055" i="13" s="1"/>
  <c r="I1056" i="13" s="1"/>
  <c r="N1241" i="14"/>
  <c r="J1240" i="14" a="1"/>
  <c r="J1240" i="14" s="1"/>
  <c r="M1244" i="13"/>
  <c r="N1242" i="13"/>
  <c r="J1241" i="13" a="1"/>
  <c r="J1241" i="13" s="1"/>
  <c r="M1245" i="14"/>
  <c r="K1056" i="13" l="1"/>
  <c r="L1056" i="13" s="1"/>
  <c r="I1057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7" i="13" l="1"/>
  <c r="L1057" i="13" s="1"/>
  <c r="I1058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80" i="14" l="1"/>
  <c r="L1080" i="14" s="1"/>
  <c r="I1081" i="14" s="1"/>
  <c r="K1058" i="13"/>
  <c r="L1058" i="13" s="1"/>
  <c r="I1059" i="13" s="1"/>
  <c r="J1243" i="14" a="1"/>
  <c r="J1243" i="14" s="1"/>
  <c r="N1244" i="14"/>
  <c r="J1244" i="13" a="1"/>
  <c r="J1244" i="13" s="1"/>
  <c r="N1245" i="13"/>
  <c r="M1248" i="14"/>
  <c r="M1247" i="13"/>
  <c r="K1059" i="13" l="1"/>
  <c r="L1059" i="13" s="1"/>
  <c r="I1060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82" i="14" l="1"/>
  <c r="L1082" i="14" s="1"/>
  <c r="I1083" i="14" s="1"/>
  <c r="K1060" i="13"/>
  <c r="L1060" i="13" s="1"/>
  <c r="I1061" i="13" s="1"/>
  <c r="J1245" i="14" a="1"/>
  <c r="J1245" i="14" s="1"/>
  <c r="N1246" i="14"/>
  <c r="M1250" i="14"/>
  <c r="M1249" i="13"/>
  <c r="J1246" i="13" a="1"/>
  <c r="J1246" i="13" s="1"/>
  <c r="N1247" i="13"/>
  <c r="K1061" i="13" l="1"/>
  <c r="L1061" i="13" s="1"/>
  <c r="I1062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84" i="14" l="1"/>
  <c r="L1084" i="14" s="1"/>
  <c r="I1085" i="14" s="1"/>
  <c r="K1062" i="13"/>
  <c r="L1062" i="13" s="1"/>
  <c r="I1063" i="13" s="1"/>
  <c r="M1252" i="14"/>
  <c r="M1251" i="13"/>
  <c r="J1248" i="13" a="1"/>
  <c r="J1248" i="13" s="1"/>
  <c r="N1249" i="13"/>
  <c r="J1247" i="14" a="1"/>
  <c r="J1247" i="14" s="1"/>
  <c r="N1248" i="14"/>
  <c r="K1063" i="13" l="1"/>
  <c r="L1063" i="13" s="1"/>
  <c r="I1064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86" i="14" l="1"/>
  <c r="L1086" i="14" s="1"/>
  <c r="I1087" i="14" s="1"/>
  <c r="K1064" i="13"/>
  <c r="L1064" i="13" s="1"/>
  <c r="I1065" i="13" s="1"/>
  <c r="M1253" i="13"/>
  <c r="M1254" i="14"/>
  <c r="J1250" i="13" a="1"/>
  <c r="J1250" i="13" s="1"/>
  <c r="N1251" i="13"/>
  <c r="J1249" i="14" a="1"/>
  <c r="J1249" i="14" s="1"/>
  <c r="N1250" i="14"/>
  <c r="K1065" i="13" l="1"/>
  <c r="L1065" i="13" s="1"/>
  <c r="I1066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88" i="14" l="1"/>
  <c r="L1088" i="14" s="1"/>
  <c r="I1089" i="14" s="1"/>
  <c r="K1066" i="13"/>
  <c r="L1066" i="13" s="1"/>
  <c r="I1067" i="13" s="1"/>
  <c r="J1252" i="13" a="1"/>
  <c r="J1252" i="13" s="1"/>
  <c r="N1253" i="13"/>
  <c r="M1256" i="14"/>
  <c r="M1255" i="13"/>
  <c r="J1251" i="14" a="1"/>
  <c r="J1251" i="14" s="1"/>
  <c r="N1252" i="14"/>
  <c r="K1067" i="13" l="1"/>
  <c r="L1067" i="13" s="1"/>
  <c r="I1068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8" i="13" l="1"/>
  <c r="L1068" i="13" s="1"/>
  <c r="I1069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91" i="14" l="1"/>
  <c r="L1091" i="14" s="1"/>
  <c r="I1092" i="14" s="1"/>
  <c r="K1069" i="13"/>
  <c r="L1069" i="13" s="1"/>
  <c r="I1070" i="13" s="1"/>
  <c r="J1254" i="14" a="1"/>
  <c r="J1254" i="14" s="1"/>
  <c r="N1255" i="14"/>
  <c r="M1259" i="14"/>
  <c r="M1258" i="13"/>
  <c r="J1255" i="13" a="1"/>
  <c r="J1255" i="13" s="1"/>
  <c r="N1256" i="13"/>
  <c r="K1070" i="13" l="1"/>
  <c r="L1070" i="13" s="1"/>
  <c r="I1071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93" i="14" l="1"/>
  <c r="L1093" i="14" s="1"/>
  <c r="I1094" i="14" s="1"/>
  <c r="K1071" i="13"/>
  <c r="L1071" i="13" s="1"/>
  <c r="I1072" i="13" s="1"/>
  <c r="N1258" i="13"/>
  <c r="J1257" i="13" a="1"/>
  <c r="J1257" i="13" s="1"/>
  <c r="M1260" i="13"/>
  <c r="N1257" i="14"/>
  <c r="J1256" i="14" a="1"/>
  <c r="J1256" i="14" s="1"/>
  <c r="M1261" i="14"/>
  <c r="K1072" i="13" l="1"/>
  <c r="L1072" i="13" s="1"/>
  <c r="I1073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95" i="14" l="1"/>
  <c r="L1095" i="14" s="1"/>
  <c r="I1096" i="14" s="1"/>
  <c r="K1073" i="13"/>
  <c r="L1073" i="13" s="1"/>
  <c r="I1074" i="13" s="1"/>
  <c r="M1263" i="14"/>
  <c r="J1258" i="14" a="1"/>
  <c r="J1258" i="14" s="1"/>
  <c r="N1259" i="14"/>
  <c r="J1259" i="13" a="1"/>
  <c r="J1259" i="13" s="1"/>
  <c r="N1260" i="13"/>
  <c r="M1262" i="13"/>
  <c r="K1074" i="13" l="1"/>
  <c r="L1074" i="13" s="1"/>
  <c r="I1075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97" i="14" l="1"/>
  <c r="L1097" i="14" s="1"/>
  <c r="I1098" i="14" s="1"/>
  <c r="K1075" i="13"/>
  <c r="L1075" i="13" s="1"/>
  <c r="I1076" i="13" s="1"/>
  <c r="N1262" i="13"/>
  <c r="J1261" i="13" a="1"/>
  <c r="J1261" i="13" s="1"/>
  <c r="M1265" i="14"/>
  <c r="M1264" i="13"/>
  <c r="N1261" i="14"/>
  <c r="J1260" i="14" a="1"/>
  <c r="J1260" i="14" s="1"/>
  <c r="K1076" i="13" l="1"/>
  <c r="L1076" i="13" s="1"/>
  <c r="I1077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99" i="14" l="1"/>
  <c r="L1099" i="14" s="1"/>
  <c r="I1100" i="14" s="1"/>
  <c r="K1077" i="13"/>
  <c r="L1077" i="13" s="1"/>
  <c r="I1078" i="13" s="1"/>
  <c r="M1267" i="14"/>
  <c r="J1263" i="13" a="1"/>
  <c r="J1263" i="13" s="1"/>
  <c r="N1264" i="13"/>
  <c r="J1262" i="14" a="1"/>
  <c r="J1262" i="14" s="1"/>
  <c r="N1263" i="14"/>
  <c r="M1266" i="13"/>
  <c r="K1078" i="13" l="1"/>
  <c r="L1078" i="13" s="1"/>
  <c r="I1079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M1269" i="14" l="1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/>
  <c r="L1079" i="13" s="1"/>
  <c r="I1080" i="13" s="1"/>
  <c r="K1080" i="13" l="1"/>
  <c r="L1080" i="13" s="1"/>
  <c r="I1081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103" i="14" l="1"/>
  <c r="L1103" i="14" s="1"/>
  <c r="I1104" i="14" s="1"/>
  <c r="K1081" i="13"/>
  <c r="L1081" i="13" s="1"/>
  <c r="I1082" i="13" s="1"/>
  <c r="J1267" i="13" a="1"/>
  <c r="J1267" i="13" s="1"/>
  <c r="N1268" i="13"/>
  <c r="J1266" i="14" a="1"/>
  <c r="J1266" i="14" s="1"/>
  <c r="N1267" i="14"/>
  <c r="M1271" i="14"/>
  <c r="M1270" i="13"/>
  <c r="K1104" i="14" l="1"/>
  <c r="L1104" i="14" s="1"/>
  <c r="I1105" i="14" s="1"/>
  <c r="J1267" i="14" a="1"/>
  <c r="J1267" i="14" s="1"/>
  <c r="N1268" i="14"/>
  <c r="M1271" i="13"/>
  <c r="K1082" i="13"/>
  <c r="L1082" i="13" s="1"/>
  <c r="I1083" i="13" s="1"/>
  <c r="J1268" i="13" a="1"/>
  <c r="J1268" i="13" s="1"/>
  <c r="N1269" i="13"/>
  <c r="M1272" i="14"/>
  <c r="K1083" i="13" l="1"/>
  <c r="L1083" i="13" s="1"/>
  <c r="I1084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106" i="14" l="1"/>
  <c r="L1106" i="14" s="1"/>
  <c r="I1107" i="14" s="1"/>
  <c r="K1084" i="13"/>
  <c r="L1084" i="13" s="1"/>
  <c r="I1085" i="13" s="1"/>
  <c r="M1273" i="13"/>
  <c r="M1274" i="14"/>
  <c r="J1270" i="13" a="1"/>
  <c r="J1270" i="13" s="1"/>
  <c r="N1271" i="13"/>
  <c r="J1269" i="14" a="1"/>
  <c r="J1269" i="14" s="1"/>
  <c r="N1270" i="14"/>
  <c r="K1085" i="13" l="1"/>
  <c r="L1085" i="13" s="1"/>
  <c r="I1086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108" i="14" l="1"/>
  <c r="L1108" i="14" s="1"/>
  <c r="I1109" i="14" s="1"/>
  <c r="K1086" i="13"/>
  <c r="L1086" i="13" s="1"/>
  <c r="I1087" i="13" s="1"/>
  <c r="J1272" i="13" a="1"/>
  <c r="J1272" i="13" s="1"/>
  <c r="N1273" i="13"/>
  <c r="J1271" i="14" a="1"/>
  <c r="J1271" i="14" s="1"/>
  <c r="N1272" i="14"/>
  <c r="M1275" i="13"/>
  <c r="M1276" i="14"/>
  <c r="K1087" i="13" l="1"/>
  <c r="L1087" i="13" s="1"/>
  <c r="I1088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110" i="14" l="1"/>
  <c r="L1110" i="14" s="1"/>
  <c r="I1111" i="14" s="1"/>
  <c r="K1088" i="13"/>
  <c r="L1088" i="13" s="1"/>
  <c r="I1089" i="13" s="1"/>
  <c r="M1277" i="13"/>
  <c r="J1274" i="13" a="1"/>
  <c r="J1274" i="13" s="1"/>
  <c r="N1275" i="13"/>
  <c r="M1278" i="14"/>
  <c r="J1273" i="14" a="1"/>
  <c r="J1273" i="14" s="1"/>
  <c r="N1274" i="14"/>
  <c r="K1089" i="13" l="1"/>
  <c r="L1089" i="13" s="1"/>
  <c r="I1090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112" i="14" l="1"/>
  <c r="L1112" i="14" s="1"/>
  <c r="I1113" i="14" s="1"/>
  <c r="K1090" i="13"/>
  <c r="L1090" i="13" s="1"/>
  <c r="I1091" i="13" s="1"/>
  <c r="J1275" i="14" a="1"/>
  <c r="J1275" i="14" s="1"/>
  <c r="N1276" i="14"/>
  <c r="J1276" i="13" a="1"/>
  <c r="J1276" i="13" s="1"/>
  <c r="N1277" i="13"/>
  <c r="M1279" i="13"/>
  <c r="M1280" i="14"/>
  <c r="K1091" i="13" l="1"/>
  <c r="L1091" i="13" s="1"/>
  <c r="I1092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114" i="14" l="1"/>
  <c r="L1114" i="14" s="1"/>
  <c r="I1115" i="14" s="1"/>
  <c r="K1092" i="13"/>
  <c r="L1092" i="13" s="1"/>
  <c r="I1093" i="13" s="1"/>
  <c r="M1281" i="13"/>
  <c r="M1282" i="14"/>
  <c r="J1277" i="14" a="1"/>
  <c r="J1277" i="14" s="1"/>
  <c r="N1278" i="14"/>
  <c r="J1278" i="13" a="1"/>
  <c r="J1278" i="13" s="1"/>
  <c r="N1279" i="13"/>
  <c r="K1093" i="13" l="1"/>
  <c r="L1093" i="13" s="1"/>
  <c r="I1094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116" i="14" l="1"/>
  <c r="L1116" i="14" s="1"/>
  <c r="I1117" i="14" s="1"/>
  <c r="K1094" i="13"/>
  <c r="L1094" i="13" s="1"/>
  <c r="I1095" i="13" s="1"/>
  <c r="J1279" i="14" a="1"/>
  <c r="J1279" i="14" s="1"/>
  <c r="N1280" i="14"/>
  <c r="M1283" i="13"/>
  <c r="J1280" i="13" a="1"/>
  <c r="J1280" i="13" s="1"/>
  <c r="N1281" i="13"/>
  <c r="M1284" i="14"/>
  <c r="K1095" i="13" l="1"/>
  <c r="L1095" i="13" s="1"/>
  <c r="I1096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118" i="14" l="1"/>
  <c r="L1118" i="14" s="1"/>
  <c r="I1119" i="14" s="1"/>
  <c r="K1096" i="13"/>
  <c r="L1096" i="13" s="1"/>
  <c r="I1097" i="13" s="1"/>
  <c r="J1281" i="14" a="1"/>
  <c r="J1281" i="14" s="1"/>
  <c r="N1282" i="14"/>
  <c r="M1286" i="14"/>
  <c r="M1285" i="13"/>
  <c r="J1282" i="13" a="1"/>
  <c r="J1282" i="13" s="1"/>
  <c r="N1283" i="13"/>
  <c r="K1097" i="13" l="1"/>
  <c r="L1097" i="13" s="1"/>
  <c r="I1098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120" i="14" l="1"/>
  <c r="L1120" i="14" s="1"/>
  <c r="I1121" i="14" s="1"/>
  <c r="K1098" i="13"/>
  <c r="L1098" i="13" s="1"/>
  <c r="I1099" i="13" s="1"/>
  <c r="J1283" i="14" a="1"/>
  <c r="J1283" i="14" s="1"/>
  <c r="N1284" i="14"/>
  <c r="M1287" i="13"/>
  <c r="J1284" i="13" a="1"/>
  <c r="J1284" i="13" s="1"/>
  <c r="N1285" i="13"/>
  <c r="M1288" i="14"/>
  <c r="K1099" i="13" l="1"/>
  <c r="L1099" i="13" s="1"/>
  <c r="I1100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122" i="14" l="1"/>
  <c r="L1122" i="14" s="1"/>
  <c r="I1123" i="14" s="1"/>
  <c r="K1100" i="13"/>
  <c r="L1100" i="13" s="1"/>
  <c r="I1101" i="13" s="1"/>
  <c r="M1289" i="13"/>
  <c r="J1285" i="14" a="1"/>
  <c r="J1285" i="14" s="1"/>
  <c r="N1286" i="14"/>
  <c r="J1286" i="13" a="1"/>
  <c r="J1286" i="13" s="1"/>
  <c r="N1287" i="13"/>
  <c r="M1290" i="14"/>
  <c r="K1101" i="13" l="1"/>
  <c r="L1101" i="13" s="1"/>
  <c r="I1102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24" i="14" l="1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/>
  <c r="L1102" i="13" s="1"/>
  <c r="I1103" i="13" s="1"/>
  <c r="K1103" i="13" l="1"/>
  <c r="L1103" i="13" s="1"/>
  <c r="I1104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26" i="14" l="1"/>
  <c r="L1126" i="14" s="1"/>
  <c r="I1127" i="14" s="1"/>
  <c r="K1104" i="13"/>
  <c r="L1104" i="13" s="1"/>
  <c r="I1105" i="13" s="1"/>
  <c r="M1293" i="13"/>
  <c r="M1294" i="14"/>
  <c r="J1289" i="14" a="1"/>
  <c r="J1289" i="14" s="1"/>
  <c r="N1290" i="14"/>
  <c r="J1290" i="13" a="1"/>
  <c r="J1290" i="13" s="1"/>
  <c r="N1291" i="13"/>
  <c r="K1105" i="13" l="1"/>
  <c r="L1105" i="13" s="1"/>
  <c r="I1106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28" i="14" l="1"/>
  <c r="L1128" i="14" s="1"/>
  <c r="I1129" i="14" s="1"/>
  <c r="K1106" i="13"/>
  <c r="L1106" i="13" s="1"/>
  <c r="I1107" i="13" s="1"/>
  <c r="J1291" i="14" a="1"/>
  <c r="J1291" i="14" s="1"/>
  <c r="N1292" i="14"/>
  <c r="J1292" i="13" a="1"/>
  <c r="J1292" i="13" s="1"/>
  <c r="N1293" i="13"/>
  <c r="M1296" i="14"/>
  <c r="M1295" i="13"/>
  <c r="K1129" i="14" l="1"/>
  <c r="L1129" i="14" s="1"/>
  <c r="I1130" i="14" s="1"/>
  <c r="K1107" i="13"/>
  <c r="L1107" i="13" s="1"/>
  <c r="I1108" i="13" s="1"/>
  <c r="N1294" i="13"/>
  <c r="J1293" i="13" a="1"/>
  <c r="J1293" i="13" s="1"/>
  <c r="N1293" i="14"/>
  <c r="J1292" i="14" a="1"/>
  <c r="J1292" i="14" s="1"/>
  <c r="M1296" i="13"/>
  <c r="M1297" i="14"/>
  <c r="K1108" i="13" l="1"/>
  <c r="L1108" i="13" s="1"/>
  <c r="I1109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31" i="14" l="1"/>
  <c r="L1131" i="14" s="1"/>
  <c r="I1132" i="14" s="1"/>
  <c r="K1109" i="13"/>
  <c r="L1109" i="13" s="1"/>
  <c r="I1110" i="13" s="1"/>
  <c r="J1294" i="14" a="1"/>
  <c r="J1294" i="14" s="1"/>
  <c r="N1295" i="14"/>
  <c r="J1295" i="13" a="1"/>
  <c r="J1295" i="13" s="1"/>
  <c r="N1296" i="13"/>
  <c r="M1298" i="13"/>
  <c r="M1299" i="14"/>
  <c r="K1110" i="13" l="1"/>
  <c r="L1110" i="13" s="1"/>
  <c r="I1111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33" i="14" l="1"/>
  <c r="L1133" i="14" s="1"/>
  <c r="I1134" i="14" s="1"/>
  <c r="K1111" i="13"/>
  <c r="L1111" i="13" s="1"/>
  <c r="I1112" i="13" s="1"/>
  <c r="M1300" i="13"/>
  <c r="N1298" i="13"/>
  <c r="J1297" i="13" a="1"/>
  <c r="J1297" i="13" s="1"/>
  <c r="N1297" i="14"/>
  <c r="J1296" i="14" a="1"/>
  <c r="J1296" i="14" s="1"/>
  <c r="M1301" i="14"/>
  <c r="K1112" i="13" l="1"/>
  <c r="L1112" i="13" s="1"/>
  <c r="I1113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35" i="14" l="1"/>
  <c r="L1135" i="14" s="1"/>
  <c r="I1136" i="14" s="1"/>
  <c r="K1113" i="13"/>
  <c r="L1113" i="13" s="1"/>
  <c r="I1114" i="13" s="1"/>
  <c r="J1298" i="14" a="1"/>
  <c r="J1298" i="14" s="1"/>
  <c r="N1299" i="14"/>
  <c r="M1303" i="14"/>
  <c r="J1299" i="13" a="1"/>
  <c r="J1299" i="13" s="1"/>
  <c r="N1300" i="13"/>
  <c r="M1302" i="13"/>
  <c r="K1114" i="13" l="1"/>
  <c r="L1114" i="13" s="1"/>
  <c r="I1115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37" i="14" l="1"/>
  <c r="L1137" i="14" s="1"/>
  <c r="I1138" i="14" s="1"/>
  <c r="K1115" i="13"/>
  <c r="L1115" i="13" s="1"/>
  <c r="I1116" i="13" s="1"/>
  <c r="M1304" i="13"/>
  <c r="N1301" i="14"/>
  <c r="J1300" i="14" a="1"/>
  <c r="J1300" i="14" s="1"/>
  <c r="N1302" i="13"/>
  <c r="J1301" i="13" a="1"/>
  <c r="J1301" i="13" s="1"/>
  <c r="M1305" i="14"/>
  <c r="K1116" i="13" l="1"/>
  <c r="L1116" i="13" s="1"/>
  <c r="I1117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39" i="14" l="1"/>
  <c r="L1139" i="14" s="1"/>
  <c r="I1140" i="14" s="1"/>
  <c r="K1117" i="13"/>
  <c r="L1117" i="13" s="1"/>
  <c r="I1118" i="13" s="1"/>
  <c r="J1303" i="13" a="1"/>
  <c r="J1303" i="13" s="1"/>
  <c r="N1304" i="13"/>
  <c r="M1306" i="13"/>
  <c r="J1302" i="14" a="1"/>
  <c r="J1302" i="14" s="1"/>
  <c r="N1303" i="14"/>
  <c r="M1307" i="14"/>
  <c r="K1118" i="13" l="1"/>
  <c r="L1118" i="13" s="1"/>
  <c r="I1119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41" i="14" l="1"/>
  <c r="L1141" i="14" s="1"/>
  <c r="I1142" i="14" s="1"/>
  <c r="K1119" i="13"/>
  <c r="L1119" i="13" s="1"/>
  <c r="I1120" i="13" s="1"/>
  <c r="M1308" i="13"/>
  <c r="N1305" i="14"/>
  <c r="J1304" i="14" a="1"/>
  <c r="J1304" i="14" s="1"/>
  <c r="N1306" i="13"/>
  <c r="J1305" i="13" a="1"/>
  <c r="J1305" i="13" s="1"/>
  <c r="M1309" i="14"/>
  <c r="K1120" i="13" l="1"/>
  <c r="L1120" i="13" s="1"/>
  <c r="I1121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43" i="14" l="1"/>
  <c r="L1143" i="14" s="1"/>
  <c r="I1144" i="14" s="1"/>
  <c r="K1121" i="13"/>
  <c r="L1121" i="13" s="1"/>
  <c r="I1122" i="13" s="1"/>
  <c r="J1307" i="13" a="1"/>
  <c r="J1307" i="13" s="1"/>
  <c r="N1308" i="13"/>
  <c r="M1310" i="13"/>
  <c r="J1306" i="14" a="1"/>
  <c r="J1306" i="14" s="1"/>
  <c r="N1307" i="14"/>
  <c r="M1311" i="14"/>
  <c r="K1122" i="13" l="1"/>
  <c r="L1122" i="13" s="1"/>
  <c r="I1123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45" i="14" l="1"/>
  <c r="L1145" i="14" s="1"/>
  <c r="I1146" i="14" s="1"/>
  <c r="K1123" i="13"/>
  <c r="L1123" i="13" s="1"/>
  <c r="I1124" i="13" s="1"/>
  <c r="N1310" i="13"/>
  <c r="J1309" i="13" a="1"/>
  <c r="J1309" i="13" s="1"/>
  <c r="N1309" i="14"/>
  <c r="J1308" i="14" a="1"/>
  <c r="J1308" i="14" s="1"/>
  <c r="M1313" i="14"/>
  <c r="M1312" i="13"/>
  <c r="K1124" i="13" l="1"/>
  <c r="L1124" i="13" s="1"/>
  <c r="I1125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47" i="14" l="1"/>
  <c r="L1147" i="14" s="1"/>
  <c r="I1148" i="14" s="1"/>
  <c r="K1125" i="13"/>
  <c r="L1125" i="13" s="1"/>
  <c r="I1126" i="13" s="1"/>
  <c r="J1311" i="13" a="1"/>
  <c r="J1311" i="13" s="1"/>
  <c r="N1312" i="13"/>
  <c r="J1310" i="14" a="1"/>
  <c r="J1310" i="14" s="1"/>
  <c r="N1311" i="14"/>
  <c r="M1315" i="14"/>
  <c r="M1314" i="13"/>
  <c r="K1126" i="13" l="1"/>
  <c r="L1126" i="13" s="1"/>
  <c r="I1127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49" i="14" l="1"/>
  <c r="L1149" i="14" s="1"/>
  <c r="I1150" i="14" s="1"/>
  <c r="K1127" i="13"/>
  <c r="L1127" i="13" s="1"/>
  <c r="I1128" i="13" s="1"/>
  <c r="N1314" i="13"/>
  <c r="J1313" i="13" a="1"/>
  <c r="J1313" i="13" s="1"/>
  <c r="N1313" i="14"/>
  <c r="J1312" i="14" a="1"/>
  <c r="J1312" i="14" s="1"/>
  <c r="M1317" i="14"/>
  <c r="M1316" i="13"/>
  <c r="K1128" i="13" l="1"/>
  <c r="L1128" i="13" s="1"/>
  <c r="I1129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51" i="14" l="1"/>
  <c r="L1151" i="14" s="1"/>
  <c r="I1152" i="14" s="1"/>
  <c r="K1129" i="13"/>
  <c r="L1129" i="13" s="1"/>
  <c r="I1130" i="13" s="1"/>
  <c r="M1318" i="13"/>
  <c r="J1315" i="13" a="1"/>
  <c r="J1315" i="13" s="1"/>
  <c r="N1316" i="13"/>
  <c r="J1314" i="14" a="1"/>
  <c r="J1314" i="14" s="1"/>
  <c r="N1315" i="14"/>
  <c r="M1319" i="14"/>
  <c r="K1130" i="13" l="1"/>
  <c r="L1130" i="13" s="1"/>
  <c r="I1131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53" i="14" l="1"/>
  <c r="L1153" i="14" s="1"/>
  <c r="I1154" i="14" s="1"/>
  <c r="K1131" i="13"/>
  <c r="L1131" i="13" s="1"/>
  <c r="I1132" i="13" s="1"/>
  <c r="M1320" i="13"/>
  <c r="M1321" i="14"/>
  <c r="N1317" i="14"/>
  <c r="J1316" i="14" a="1"/>
  <c r="J1316" i="14" s="1"/>
  <c r="N1318" i="13"/>
  <c r="J1317" i="13" a="1"/>
  <c r="J1317" i="13" s="1"/>
  <c r="K1132" i="13" l="1"/>
  <c r="L1132" i="13" s="1"/>
  <c r="I1133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55" i="14" l="1"/>
  <c r="L1155" i="14" s="1"/>
  <c r="I1156" i="14" s="1"/>
  <c r="K1133" i="13"/>
  <c r="L1133" i="13" s="1"/>
  <c r="I1134" i="13" s="1"/>
  <c r="J1318" i="14" a="1"/>
  <c r="J1318" i="14" s="1"/>
  <c r="N1319" i="14"/>
  <c r="M1323" i="14"/>
  <c r="J1319" i="13" a="1"/>
  <c r="J1319" i="13" s="1"/>
  <c r="N1320" i="13"/>
  <c r="M1322" i="13"/>
  <c r="K1134" i="13" l="1"/>
  <c r="L1134" i="13" s="1"/>
  <c r="I1135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57" i="14" l="1"/>
  <c r="L1157" i="14" s="1"/>
  <c r="I1158" i="14" s="1"/>
  <c r="K1135" i="13"/>
  <c r="L1135" i="13" s="1"/>
  <c r="I1136" i="13" s="1"/>
  <c r="N1321" i="14"/>
  <c r="J1320" i="14" a="1"/>
  <c r="J1320" i="14" s="1"/>
  <c r="M1324" i="13"/>
  <c r="N1322" i="13"/>
  <c r="J1321" i="13" a="1"/>
  <c r="J1321" i="13" s="1"/>
  <c r="M1325" i="14"/>
  <c r="K1136" i="13" l="1"/>
  <c r="L1136" i="13" s="1"/>
  <c r="I1137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59" i="14" l="1"/>
  <c r="L1159" i="14" s="1"/>
  <c r="I1160" i="14" s="1"/>
  <c r="K1137" i="13"/>
  <c r="L1137" i="13" s="1"/>
  <c r="I1138" i="13" s="1"/>
  <c r="J1322" i="14" a="1"/>
  <c r="J1322" i="14" s="1"/>
  <c r="N1323" i="14"/>
  <c r="M1327" i="14"/>
  <c r="J1323" i="13" a="1"/>
  <c r="J1323" i="13" s="1"/>
  <c r="N1324" i="13"/>
  <c r="M1326" i="13"/>
  <c r="K1138" i="13" l="1"/>
  <c r="L1138" i="13" s="1"/>
  <c r="I1139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9" i="13" l="1"/>
  <c r="L1139" i="13" s="1"/>
  <c r="I1140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40" i="13" l="1"/>
  <c r="L1140" i="13" s="1"/>
  <c r="I1141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63" i="14" l="1"/>
  <c r="L1163" i="14" s="1"/>
  <c r="I1164" i="14" s="1"/>
  <c r="K1141" i="13"/>
  <c r="L1141" i="13" s="1"/>
  <c r="I1142" i="13" s="1"/>
  <c r="M1330" i="13"/>
  <c r="J1326" i="14" a="1"/>
  <c r="J1326" i="14" s="1"/>
  <c r="N1327" i="14"/>
  <c r="M1331" i="14"/>
  <c r="J1327" i="13" a="1"/>
  <c r="J1327" i="13" s="1"/>
  <c r="N1328" i="13"/>
  <c r="K1142" i="13" l="1"/>
  <c r="L1142" i="13" s="1"/>
  <c r="I1143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65" i="14" l="1"/>
  <c r="L1165" i="14" s="1"/>
  <c r="I1166" i="14" s="1"/>
  <c r="K1143" i="13"/>
  <c r="L1143" i="13" s="1"/>
  <c r="I1144" i="13" s="1"/>
  <c r="M1332" i="13"/>
  <c r="N1330" i="13"/>
  <c r="J1329" i="13" a="1"/>
  <c r="J1329" i="13" s="1"/>
  <c r="N1329" i="14"/>
  <c r="J1328" i="14" a="1"/>
  <c r="J1328" i="14" s="1"/>
  <c r="M1333" i="14"/>
  <c r="K1144" i="13" l="1"/>
  <c r="L1144" i="13" s="1"/>
  <c r="I1145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67" i="14" l="1"/>
  <c r="L1167" i="14" s="1"/>
  <c r="I1168" i="14" s="1"/>
  <c r="K1145" i="13"/>
  <c r="L1145" i="13" s="1"/>
  <c r="I1146" i="13" s="1"/>
  <c r="J1330" i="14" a="1"/>
  <c r="J1330" i="14" s="1"/>
  <c r="N1331" i="14"/>
  <c r="J1331" i="13" a="1"/>
  <c r="J1331" i="13" s="1"/>
  <c r="N1332" i="13"/>
  <c r="M1334" i="13"/>
  <c r="M1335" i="14"/>
  <c r="K1146" i="13" l="1"/>
  <c r="L1146" i="13" s="1"/>
  <c r="I1147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69" i="14" l="1"/>
  <c r="L1169" i="14" s="1"/>
  <c r="I1170" i="14" s="1"/>
  <c r="K1147" i="13"/>
  <c r="L1147" i="13" s="1"/>
  <c r="I1148" i="13" s="1"/>
  <c r="N1333" i="14"/>
  <c r="J1332" i="14" a="1"/>
  <c r="J1332" i="14" s="1"/>
  <c r="N1334" i="13"/>
  <c r="J1333" i="13" a="1"/>
  <c r="J1333" i="13" s="1"/>
  <c r="M1336" i="13"/>
  <c r="M1337" i="14"/>
  <c r="K1148" i="13" l="1"/>
  <c r="L1148" i="13" s="1"/>
  <c r="I1149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71" i="14" l="1"/>
  <c r="L1171" i="14" s="1"/>
  <c r="I1172" i="14" s="1"/>
  <c r="K1149" i="13"/>
  <c r="L1149" i="13" s="1"/>
  <c r="I1150" i="13" s="1"/>
  <c r="J1334" i="14" a="1"/>
  <c r="J1334" i="14" s="1"/>
  <c r="N1335" i="14"/>
  <c r="J1335" i="13" a="1"/>
  <c r="J1335" i="13" s="1"/>
  <c r="N1336" i="13"/>
  <c r="M1338" i="13"/>
  <c r="M1339" i="14"/>
  <c r="K1150" i="13" l="1"/>
  <c r="L1150" i="13" s="1"/>
  <c r="I1151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73" i="14" l="1"/>
  <c r="L1173" i="14" s="1"/>
  <c r="I1174" i="14" s="1"/>
  <c r="K1151" i="13"/>
  <c r="L1151" i="13" s="1"/>
  <c r="I1152" i="13" s="1"/>
  <c r="N1337" i="14"/>
  <c r="J1336" i="14" a="1"/>
  <c r="J1336" i="14" s="1"/>
  <c r="N1338" i="13"/>
  <c r="J1337" i="13" a="1"/>
  <c r="J1337" i="13" s="1"/>
  <c r="M1340" i="13"/>
  <c r="M1341" i="14"/>
  <c r="K1152" i="13" l="1"/>
  <c r="L1152" i="13" s="1"/>
  <c r="I1153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75" i="14" l="1"/>
  <c r="L1175" i="14" s="1"/>
  <c r="I1176" i="14" s="1"/>
  <c r="K1153" i="13"/>
  <c r="L1153" i="13" s="1"/>
  <c r="I1154" i="13" s="1"/>
  <c r="J1339" i="13" a="1"/>
  <c r="J1339" i="13" s="1"/>
  <c r="N1340" i="13"/>
  <c r="J1338" i="14" a="1"/>
  <c r="J1338" i="14" s="1"/>
  <c r="N1339" i="14"/>
  <c r="M1342" i="13"/>
  <c r="M1343" i="14"/>
  <c r="K1154" i="13" l="1"/>
  <c r="L1154" i="13" s="1"/>
  <c r="I1155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77" i="14" l="1"/>
  <c r="L1177" i="14" s="1"/>
  <c r="I1178" i="14" s="1"/>
  <c r="K1155" i="13"/>
  <c r="L1155" i="13" s="1"/>
  <c r="I1156" i="13" s="1"/>
  <c r="N1342" i="13"/>
  <c r="J1341" i="13" a="1"/>
  <c r="J1341" i="13" s="1"/>
  <c r="M1344" i="13"/>
  <c r="N1341" i="14"/>
  <c r="J1340" i="14" a="1"/>
  <c r="J1340" i="14" s="1"/>
  <c r="M1345" i="14"/>
  <c r="K1156" i="13" l="1"/>
  <c r="L1156" i="13" s="1"/>
  <c r="I1157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79" i="14" l="1"/>
  <c r="L1179" i="14" s="1"/>
  <c r="I1180" i="14" s="1"/>
  <c r="K1157" i="13"/>
  <c r="L1157" i="13" s="1"/>
  <c r="I1158" i="13" s="1"/>
  <c r="J1343" i="13" a="1"/>
  <c r="J1343" i="13" s="1"/>
  <c r="N1344" i="13"/>
  <c r="M1347" i="14"/>
  <c r="J1342" i="14" a="1"/>
  <c r="J1342" i="14" s="1"/>
  <c r="N1343" i="14"/>
  <c r="M1346" i="13"/>
  <c r="K1158" i="13" l="1"/>
  <c r="L1158" i="13" s="1"/>
  <c r="I1159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81" i="14" l="1"/>
  <c r="L1181" i="14" s="1"/>
  <c r="I1182" i="14" s="1"/>
  <c r="K1159" i="13"/>
  <c r="L1159" i="13" s="1"/>
  <c r="I1160" i="13" s="1"/>
  <c r="M1348" i="13"/>
  <c r="N1345" i="14"/>
  <c r="J1344" i="14" a="1"/>
  <c r="J1344" i="14" s="1"/>
  <c r="N1346" i="13"/>
  <c r="J1345" i="13" a="1"/>
  <c r="J1345" i="13" s="1"/>
  <c r="M1349" i="14"/>
  <c r="K1182" i="14" l="1"/>
  <c r="L1182" i="14" s="1"/>
  <c r="I1183" i="14" s="1"/>
  <c r="K1160" i="13"/>
  <c r="L1160" i="13" s="1"/>
  <c r="I1161" i="13" s="1"/>
  <c r="M1350" i="14"/>
  <c r="J1345" i="14" a="1"/>
  <c r="J1345" i="14" s="1"/>
  <c r="N1346" i="14"/>
  <c r="M1349" i="13"/>
  <c r="J1346" i="13" a="1"/>
  <c r="J1346" i="13" s="1"/>
  <c r="N1347" i="13"/>
  <c r="K1161" i="13" l="1"/>
  <c r="L1161" i="13" s="1"/>
  <c r="I1162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84" i="14" l="1"/>
  <c r="L1184" i="14" s="1"/>
  <c r="I1185" i="14" s="1"/>
  <c r="K1162" i="13"/>
  <c r="L1162" i="13" s="1"/>
  <c r="I1163" i="13" s="1"/>
  <c r="J1347" i="14" a="1"/>
  <c r="J1347" i="14" s="1"/>
  <c r="N1348" i="14"/>
  <c r="J1348" i="13" a="1"/>
  <c r="J1348" i="13" s="1"/>
  <c r="N1349" i="13"/>
  <c r="M1352" i="14"/>
  <c r="M1351" i="13"/>
  <c r="K1163" i="13" l="1"/>
  <c r="L1163" i="13" s="1"/>
  <c r="I1164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86" i="14" l="1"/>
  <c r="L1186" i="14" s="1"/>
  <c r="I1187" i="14" s="1"/>
  <c r="K1164" i="13"/>
  <c r="L1164" i="13" s="1"/>
  <c r="I1165" i="13" s="1"/>
  <c r="M1354" i="14"/>
  <c r="M1353" i="13"/>
  <c r="J1349" i="14" a="1"/>
  <c r="J1349" i="14" s="1"/>
  <c r="N1350" i="14"/>
  <c r="J1350" i="13" a="1"/>
  <c r="J1350" i="13" s="1"/>
  <c r="N1351" i="13"/>
  <c r="K1165" i="13" l="1"/>
  <c r="L1165" i="13" s="1"/>
  <c r="I1166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88" i="14" l="1"/>
  <c r="L1188" i="14" s="1"/>
  <c r="I1189" i="14" s="1"/>
  <c r="K1166" i="13"/>
  <c r="L1166" i="13" s="1"/>
  <c r="I1167" i="13" s="1"/>
  <c r="M1356" i="14"/>
  <c r="M1355" i="13"/>
  <c r="J1351" i="14" a="1"/>
  <c r="J1351" i="14" s="1"/>
  <c r="N1352" i="14"/>
  <c r="J1352" i="13" a="1"/>
  <c r="J1352" i="13" s="1"/>
  <c r="N1353" i="13"/>
  <c r="K1189" i="14" l="1"/>
  <c r="L1189" i="14" s="1"/>
  <c r="I1190" i="14" s="1"/>
  <c r="K1167" i="13"/>
  <c r="L1167" i="13" s="1"/>
  <c r="I1168" i="13" s="1"/>
  <c r="N1354" i="13"/>
  <c r="J1353" i="13" a="1"/>
  <c r="J1353" i="13" s="1"/>
  <c r="M1356" i="13"/>
  <c r="N1353" i="14"/>
  <c r="J1352" i="14" a="1"/>
  <c r="J1352" i="14" s="1"/>
  <c r="M1357" i="14"/>
  <c r="K1168" i="13" l="1"/>
  <c r="L1168" i="13" s="1"/>
  <c r="I1169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9" i="13" l="1"/>
  <c r="L1169" i="13" s="1"/>
  <c r="I1170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70" i="13" l="1"/>
  <c r="L1170" i="13" s="1"/>
  <c r="I1171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93" i="14" l="1"/>
  <c r="L1193" i="14" s="1"/>
  <c r="I1194" i="14" s="1"/>
  <c r="K1171" i="13"/>
  <c r="L1171" i="13" s="1"/>
  <c r="I1172" i="13" s="1"/>
  <c r="N1358" i="13"/>
  <c r="J1357" i="13" a="1"/>
  <c r="J1357" i="13" s="1"/>
  <c r="M1360" i="13"/>
  <c r="N1357" i="14"/>
  <c r="J1356" i="14" a="1"/>
  <c r="J1356" i="14" s="1"/>
  <c r="M1361" i="14"/>
  <c r="K1194" i="14" l="1"/>
  <c r="L1194" i="14" s="1"/>
  <c r="I1195" i="14" s="1"/>
  <c r="K1172" i="13"/>
  <c r="L1172" i="13" s="1"/>
  <c r="I1173" i="13" s="1"/>
  <c r="M1361" i="13"/>
  <c r="M1362" i="14"/>
  <c r="J1357" i="14" a="1"/>
  <c r="J1357" i="14" s="1"/>
  <c r="N1358" i="14"/>
  <c r="J1358" i="13" a="1"/>
  <c r="J1358" i="13" s="1"/>
  <c r="N1359" i="13"/>
  <c r="K1173" i="13" l="1"/>
  <c r="L1173" i="13" s="1"/>
  <c r="I1174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96" i="14" l="1"/>
  <c r="L1196" i="14" s="1"/>
  <c r="I1197" i="14" s="1"/>
  <c r="K1174" i="13"/>
  <c r="L1174" i="13" s="1"/>
  <c r="I1175" i="13" s="1"/>
  <c r="J1359" i="14" a="1"/>
  <c r="J1359" i="14" s="1"/>
  <c r="N1360" i="14"/>
  <c r="M1363" i="13"/>
  <c r="M1364" i="14"/>
  <c r="J1360" i="13" a="1"/>
  <c r="J1360" i="13" s="1"/>
  <c r="N1361" i="13"/>
  <c r="K1197" i="14" l="1"/>
  <c r="L1197" i="14" s="1"/>
  <c r="I1198" i="14" s="1"/>
  <c r="K1175" i="13"/>
  <c r="L1175" i="13" s="1"/>
  <c r="I1176" i="13" s="1"/>
  <c r="N1362" i="13"/>
  <c r="J1361" i="13" a="1"/>
  <c r="J1361" i="13" s="1"/>
  <c r="M1364" i="13"/>
  <c r="N1361" i="14"/>
  <c r="J1360" i="14" a="1"/>
  <c r="J1360" i="14" s="1"/>
  <c r="M1365" i="14"/>
  <c r="K1176" i="13" l="1"/>
  <c r="L1176" i="13" s="1"/>
  <c r="I1177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99" i="14" l="1"/>
  <c r="L1199" i="14" s="1"/>
  <c r="I1200" i="14" s="1"/>
  <c r="K1177" i="13"/>
  <c r="L1177" i="13" s="1"/>
  <c r="I1178" i="13" s="1"/>
  <c r="M1366" i="13"/>
  <c r="J1362" i="14" a="1"/>
  <c r="J1362" i="14" s="1"/>
  <c r="N1363" i="14"/>
  <c r="J1363" i="13" a="1"/>
  <c r="J1363" i="13" s="1"/>
  <c r="N1364" i="13"/>
  <c r="M1367" i="14"/>
  <c r="K1178" i="13" l="1"/>
  <c r="L1178" i="13" s="1"/>
  <c r="I1179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201" i="14" l="1"/>
  <c r="L1201" i="14" s="1"/>
  <c r="I1202" i="14" s="1"/>
  <c r="K1179" i="13"/>
  <c r="L1179" i="13" s="1"/>
  <c r="I1180" i="13" s="1"/>
  <c r="N1365" i="14"/>
  <c r="J1364" i="14" a="1"/>
  <c r="J1364" i="14" s="1"/>
  <c r="M1368" i="13"/>
  <c r="N1366" i="13"/>
  <c r="J1365" i="13" a="1"/>
  <c r="J1365" i="13" s="1"/>
  <c r="M1369" i="14"/>
  <c r="K1180" i="13" l="1"/>
  <c r="L1180" i="13" s="1"/>
  <c r="I1181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203" i="14" l="1"/>
  <c r="L1203" i="14" s="1"/>
  <c r="I1204" i="14" s="1"/>
  <c r="M1370" i="13"/>
  <c r="K1181" i="13"/>
  <c r="L1181" i="13" s="1"/>
  <c r="I1182" i="13" s="1"/>
  <c r="M1371" i="14"/>
  <c r="J1366" i="14" a="1"/>
  <c r="J1366" i="14" s="1"/>
  <c r="N1367" i="14"/>
  <c r="J1367" i="13" a="1"/>
  <c r="J1367" i="13" s="1"/>
  <c r="N1368" i="13"/>
  <c r="J1368" i="13" l="1" a="1"/>
  <c r="J1368" i="13" s="1"/>
  <c r="N1369" i="13"/>
  <c r="M1372" i="14"/>
  <c r="M1371" i="13"/>
  <c r="K1182" i="13"/>
  <c r="L1182" i="13" s="1"/>
  <c r="I1183" i="13" s="1"/>
  <c r="K1204" i="14"/>
  <c r="L1204" i="14" s="1"/>
  <c r="I1205" i="14" s="1"/>
  <c r="J1367" i="14" a="1"/>
  <c r="J1367" i="14" s="1"/>
  <c r="N1368" i="14"/>
  <c r="K1205" i="14" l="1"/>
  <c r="L1205" i="14" s="1"/>
  <c r="I1206" i="14" s="1"/>
  <c r="K1183" i="13"/>
  <c r="L1183" i="13" s="1"/>
  <c r="I1184" i="13" s="1"/>
  <c r="N1370" i="13"/>
  <c r="J1369" i="13" a="1"/>
  <c r="J1369" i="13" s="1"/>
  <c r="N1369" i="14"/>
  <c r="J1368" i="14" a="1"/>
  <c r="J1368" i="14" s="1"/>
  <c r="M1373" i="14"/>
  <c r="M1372" i="13"/>
  <c r="K1184" i="13" l="1"/>
  <c r="L1184" i="13" s="1"/>
  <c r="I1185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5" i="13" l="1"/>
  <c r="L1185" i="13" s="1"/>
  <c r="I1186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208" i="14" l="1"/>
  <c r="L1208" i="14" s="1"/>
  <c r="I1209" i="14" s="1"/>
  <c r="K1186" i="13"/>
  <c r="L1186" i="13" s="1"/>
  <c r="I1187" i="13" s="1"/>
  <c r="M1375" i="13"/>
  <c r="M1376" i="14"/>
  <c r="J1372" i="13" a="1"/>
  <c r="J1372" i="13" s="1"/>
  <c r="N1373" i="13"/>
  <c r="J1371" i="14" a="1"/>
  <c r="J1371" i="14" s="1"/>
  <c r="N1372" i="14"/>
  <c r="K1187" i="13" l="1"/>
  <c r="L1187" i="13" s="1"/>
  <c r="I1188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8" i="13" l="1"/>
  <c r="L1188" i="13" s="1"/>
  <c r="I1189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211" i="14" l="1"/>
  <c r="L1211" i="14" s="1"/>
  <c r="I1212" i="14" s="1"/>
  <c r="K1189" i="13"/>
  <c r="L1189" i="13" s="1"/>
  <c r="I1190" i="13" s="1"/>
  <c r="J1374" i="14" a="1"/>
  <c r="J1374" i="14" s="1"/>
  <c r="N1375" i="14"/>
  <c r="M1379" i="14"/>
  <c r="J1375" i="13" a="1"/>
  <c r="J1375" i="13" s="1"/>
  <c r="N1376" i="13"/>
  <c r="M1378" i="13"/>
  <c r="K1190" i="13" l="1"/>
  <c r="L1190" i="13" s="1"/>
  <c r="I1191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213" i="14" l="1"/>
  <c r="L1213" i="14" s="1"/>
  <c r="I1214" i="14" s="1"/>
  <c r="K1191" i="13"/>
  <c r="L1191" i="13" s="1"/>
  <c r="I1192" i="13" s="1"/>
  <c r="N1378" i="13"/>
  <c r="J1377" i="13" a="1"/>
  <c r="J1377" i="13" s="1"/>
  <c r="M1381" i="14"/>
  <c r="N1377" i="14"/>
  <c r="J1376" i="14" a="1"/>
  <c r="J1376" i="14" s="1"/>
  <c r="M1380" i="13"/>
  <c r="K1192" i="13" l="1"/>
  <c r="L1192" i="13" s="1"/>
  <c r="I1193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215" i="14" l="1"/>
  <c r="L1215" i="14" s="1"/>
  <c r="I1216" i="14" s="1"/>
  <c r="K1193" i="13"/>
  <c r="L1193" i="13" s="1"/>
  <c r="I1194" i="13" s="1"/>
  <c r="M1383" i="14"/>
  <c r="J1379" i="13" a="1"/>
  <c r="J1379" i="13" s="1"/>
  <c r="N1380" i="13"/>
  <c r="J1378" i="14" a="1"/>
  <c r="J1378" i="14" s="1"/>
  <c r="N1379" i="14"/>
  <c r="M1382" i="13"/>
  <c r="K1194" i="13" l="1"/>
  <c r="L1194" i="13" s="1"/>
  <c r="I1195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217" i="14" l="1"/>
  <c r="L1217" i="14" s="1"/>
  <c r="I1218" i="14" s="1"/>
  <c r="K1195" i="13"/>
  <c r="L1195" i="13" s="1"/>
  <c r="I1196" i="13" s="1"/>
  <c r="N1382" i="13"/>
  <c r="J1381" i="13" a="1"/>
  <c r="J1381" i="13" s="1"/>
  <c r="N1381" i="14"/>
  <c r="J1380" i="14" a="1"/>
  <c r="J1380" i="14" s="1"/>
  <c r="M1384" i="13"/>
  <c r="M1385" i="14"/>
  <c r="K1196" i="13" l="1"/>
  <c r="L1196" i="13" s="1"/>
  <c r="I1197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219" i="14" l="1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/>
  <c r="L1197" i="13" s="1"/>
  <c r="I1198" i="13" s="1"/>
  <c r="K1198" i="13" l="1"/>
  <c r="L1198" i="13" s="1"/>
  <c r="I1199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9" i="13" l="1"/>
  <c r="L1199" i="13" s="1"/>
  <c r="I1200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222" i="14" l="1"/>
  <c r="L1222" i="14" s="1"/>
  <c r="I1223" i="14" s="1"/>
  <c r="K1200" i="13"/>
  <c r="L1200" i="13" s="1"/>
  <c r="I1201" i="13" s="1"/>
  <c r="J1386" i="13" a="1"/>
  <c r="J1386" i="13" s="1"/>
  <c r="N1387" i="13"/>
  <c r="M1390" i="14"/>
  <c r="M1389" i="13"/>
  <c r="J1385" i="14" a="1"/>
  <c r="J1385" i="14" s="1"/>
  <c r="N1386" i="14"/>
  <c r="K1201" i="13" l="1"/>
  <c r="L1201" i="13" s="1"/>
  <c r="I1202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24" i="14" l="1"/>
  <c r="L1224" i="14" s="1"/>
  <c r="I1225" i="14" s="1"/>
  <c r="K1202" i="13"/>
  <c r="L1202" i="13" s="1"/>
  <c r="I1203" i="13" s="1"/>
  <c r="M1392" i="14"/>
  <c r="J1388" i="13" a="1"/>
  <c r="J1388" i="13" s="1"/>
  <c r="N1389" i="13"/>
  <c r="M1391" i="13"/>
  <c r="J1387" i="14" a="1"/>
  <c r="J1387" i="14" s="1"/>
  <c r="N1388" i="14"/>
  <c r="K1203" i="13" l="1"/>
  <c r="L1203" i="13" s="1"/>
  <c r="I1204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26" i="14" l="1"/>
  <c r="L1226" i="14" s="1"/>
  <c r="I1227" i="14" s="1"/>
  <c r="K1204" i="13"/>
  <c r="L1204" i="13" s="1"/>
  <c r="I1205" i="13" s="1"/>
  <c r="J1390" i="13" a="1"/>
  <c r="J1390" i="13" s="1"/>
  <c r="N1391" i="13"/>
  <c r="M1394" i="14"/>
  <c r="M1393" i="13"/>
  <c r="J1389" i="14" a="1"/>
  <c r="J1389" i="14" s="1"/>
  <c r="N1390" i="14"/>
  <c r="K1205" i="13" l="1"/>
  <c r="L1205" i="13" s="1"/>
  <c r="I1206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28" i="14" l="1"/>
  <c r="L1228" i="14" s="1"/>
  <c r="I1229" i="14" s="1"/>
  <c r="K1206" i="13"/>
  <c r="L1206" i="13" s="1"/>
  <c r="I1207" i="13" s="1"/>
  <c r="J1392" i="13" a="1"/>
  <c r="J1392" i="13" s="1"/>
  <c r="N1393" i="13"/>
  <c r="M1396" i="14"/>
  <c r="M1395" i="13"/>
  <c r="J1391" i="14" a="1"/>
  <c r="J1391" i="14" s="1"/>
  <c r="N1392" i="14"/>
  <c r="K1229" i="14" l="1"/>
  <c r="L1229" i="14" s="1"/>
  <c r="I1230" i="14" s="1"/>
  <c r="K1207" i="13"/>
  <c r="L1207" i="13" s="1"/>
  <c r="I1208" i="13" s="1"/>
  <c r="M1397" i="14"/>
  <c r="N1393" i="14"/>
  <c r="J1392" i="14" a="1"/>
  <c r="J1392" i="14" s="1"/>
  <c r="N1394" i="13"/>
  <c r="J1393" i="13" a="1"/>
  <c r="J1393" i="13" s="1"/>
  <c r="M1396" i="13"/>
  <c r="K1208" i="13" l="1"/>
  <c r="L1208" i="13" s="1"/>
  <c r="I1209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31" i="14" l="1"/>
  <c r="L1231" i="14" s="1"/>
  <c r="I1232" i="14" s="1"/>
  <c r="K1209" i="13"/>
  <c r="L1209" i="13" s="1"/>
  <c r="I1210" i="13" s="1"/>
  <c r="J1394" i="14" a="1"/>
  <c r="J1394" i="14" s="1"/>
  <c r="N1395" i="14"/>
  <c r="J1395" i="13" a="1"/>
  <c r="J1395" i="13" s="1"/>
  <c r="N1396" i="13"/>
  <c r="M1399" i="14"/>
  <c r="M1398" i="13"/>
  <c r="K1210" i="13" l="1"/>
  <c r="L1210" i="13" s="1"/>
  <c r="I1211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33" i="14" l="1"/>
  <c r="L1233" i="14" s="1"/>
  <c r="I1234" i="14" s="1"/>
  <c r="K1211" i="13"/>
  <c r="L1211" i="13" s="1"/>
  <c r="I1212" i="13" s="1"/>
  <c r="N1397" i="14"/>
  <c r="J1396" i="14" a="1"/>
  <c r="J1396" i="14" s="1"/>
  <c r="N1398" i="13"/>
  <c r="J1397" i="13" a="1"/>
  <c r="J1397" i="13" s="1"/>
  <c r="M1401" i="14"/>
  <c r="M1400" i="13"/>
  <c r="K1212" i="13" l="1"/>
  <c r="L1212" i="13" s="1"/>
  <c r="I1213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35" i="14" l="1"/>
  <c r="L1235" i="14" s="1"/>
  <c r="I1236" i="14" s="1"/>
  <c r="K1213" i="13"/>
  <c r="L1213" i="13" s="1"/>
  <c r="I1214" i="13" s="1"/>
  <c r="J1398" i="14" a="1"/>
  <c r="J1398" i="14" s="1"/>
  <c r="N1399" i="14"/>
  <c r="M1402" i="13"/>
  <c r="J1399" i="13" a="1"/>
  <c r="J1399" i="13" s="1"/>
  <c r="N1400" i="13"/>
  <c r="M1403" i="14"/>
  <c r="K1214" i="13" l="1"/>
  <c r="L1214" i="13" s="1"/>
  <c r="I1215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37" i="14" l="1"/>
  <c r="L1237" i="14" s="1"/>
  <c r="I1238" i="14" s="1"/>
  <c r="K1215" i="13"/>
  <c r="L1215" i="13" s="1"/>
  <c r="I1216" i="13" s="1"/>
  <c r="N1402" i="13"/>
  <c r="J1401" i="13" a="1"/>
  <c r="J1401" i="13" s="1"/>
  <c r="M1405" i="14"/>
  <c r="N1401" i="14"/>
  <c r="J1400" i="14" a="1"/>
  <c r="J1400" i="14" s="1"/>
  <c r="M1404" i="13"/>
  <c r="K1216" i="13" l="1"/>
  <c r="L1216" i="13" s="1"/>
  <c r="I1217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39" i="14" l="1"/>
  <c r="L1239" i="14" s="1"/>
  <c r="I1240" i="14" s="1"/>
  <c r="K1217" i="13"/>
  <c r="L1217" i="13" s="1"/>
  <c r="I1218" i="13" s="1"/>
  <c r="M1407" i="14"/>
  <c r="J1402" i="14" a="1"/>
  <c r="J1402" i="14" s="1"/>
  <c r="N1403" i="14"/>
  <c r="J1403" i="13" a="1"/>
  <c r="J1403" i="13" s="1"/>
  <c r="N1404" i="13"/>
  <c r="M1406" i="13"/>
  <c r="K1218" i="13" l="1"/>
  <c r="L1218" i="13" s="1"/>
  <c r="I1219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41" i="14" l="1"/>
  <c r="L1241" i="14" s="1"/>
  <c r="I1242" i="14" s="1"/>
  <c r="K1219" i="13"/>
  <c r="L1219" i="13" s="1"/>
  <c r="I1220" i="13" s="1"/>
  <c r="N1406" i="13"/>
  <c r="J1405" i="13" a="1"/>
  <c r="J1405" i="13" s="1"/>
  <c r="N1405" i="14"/>
  <c r="J1404" i="14" a="1"/>
  <c r="J1404" i="14" s="1"/>
  <c r="M1408" i="13"/>
  <c r="M1409" i="14"/>
  <c r="K1220" i="13" l="1"/>
  <c r="L1220" i="13" s="1"/>
  <c r="I1221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43" i="14" l="1"/>
  <c r="L1243" i="14" s="1"/>
  <c r="I1244" i="14" s="1"/>
  <c r="K1221" i="13"/>
  <c r="L1221" i="13" s="1"/>
  <c r="I1222" i="13" s="1"/>
  <c r="M1411" i="14"/>
  <c r="J1407" i="13" a="1"/>
  <c r="J1407" i="13" s="1"/>
  <c r="N1408" i="13"/>
  <c r="J1406" i="14" a="1"/>
  <c r="J1406" i="14" s="1"/>
  <c r="N1407" i="14"/>
  <c r="M1410" i="13"/>
  <c r="K1222" i="13" l="1"/>
  <c r="L1222" i="13" s="1"/>
  <c r="I1223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45" i="14" l="1"/>
  <c r="L1245" i="14" s="1"/>
  <c r="I1246" i="14" s="1"/>
  <c r="K1223" i="13"/>
  <c r="L1223" i="13" s="1"/>
  <c r="I1224" i="13" s="1"/>
  <c r="N1410" i="13"/>
  <c r="J1409" i="13" a="1"/>
  <c r="J1409" i="13" s="1"/>
  <c r="N1409" i="14"/>
  <c r="J1408" i="14" a="1"/>
  <c r="J1408" i="14" s="1"/>
  <c r="M1412" i="13"/>
  <c r="M1413" i="14"/>
  <c r="K1224" i="13" l="1"/>
  <c r="L1224" i="13" s="1"/>
  <c r="I1225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47" i="14" l="1"/>
  <c r="L1247" i="14" s="1"/>
  <c r="I1248" i="14" s="1"/>
  <c r="K1225" i="13"/>
  <c r="L1225" i="13" s="1"/>
  <c r="I1226" i="13" s="1"/>
  <c r="M1415" i="14"/>
  <c r="J1411" i="13" a="1"/>
  <c r="J1411" i="13" s="1"/>
  <c r="N1412" i="13"/>
  <c r="J1410" i="14" a="1"/>
  <c r="J1410" i="14" s="1"/>
  <c r="N1411" i="14"/>
  <c r="M1414" i="13"/>
  <c r="K1226" i="13" l="1"/>
  <c r="L1226" i="13" s="1"/>
  <c r="I1227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7" i="13" l="1"/>
  <c r="L1227" i="13" s="1"/>
  <c r="I1228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50" i="14" l="1"/>
  <c r="L1250" i="14" s="1"/>
  <c r="I1251" i="14" s="1"/>
  <c r="K1228" i="13"/>
  <c r="L1228" i="13" s="1"/>
  <c r="I1229" i="13" s="1"/>
  <c r="J1414" i="13" a="1"/>
  <c r="J1414" i="13" s="1"/>
  <c r="N1415" i="13"/>
  <c r="M1418" i="14"/>
  <c r="M1417" i="13"/>
  <c r="J1413" i="14" a="1"/>
  <c r="J1413" i="14" s="1"/>
  <c r="N1414" i="14"/>
  <c r="K1229" i="13" l="1"/>
  <c r="L1229" i="13" s="1"/>
  <c r="I1230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52" i="14" l="1"/>
  <c r="L1252" i="14" s="1"/>
  <c r="I1253" i="14" s="1"/>
  <c r="K1230" i="13"/>
  <c r="L1230" i="13" s="1"/>
  <c r="I1231" i="13" s="1"/>
  <c r="J1416" i="13" a="1"/>
  <c r="J1416" i="13" s="1"/>
  <c r="N1417" i="13"/>
  <c r="J1415" i="14" a="1"/>
  <c r="J1415" i="14" s="1"/>
  <c r="N1416" i="14"/>
  <c r="M1420" i="14"/>
  <c r="M1419" i="13"/>
  <c r="K1231" i="13" l="1"/>
  <c r="L1231" i="13" s="1"/>
  <c r="I1232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2" i="13" l="1"/>
  <c r="L1232" i="13" s="1"/>
  <c r="I1233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55" i="14" l="1"/>
  <c r="L1255" i="14" s="1"/>
  <c r="I1256" i="14" s="1"/>
  <c r="K1233" i="13"/>
  <c r="L1233" i="13" s="1"/>
  <c r="I1234" i="13" s="1"/>
  <c r="J1418" i="14" a="1"/>
  <c r="J1418" i="14" s="1"/>
  <c r="N1419" i="14"/>
  <c r="J1419" i="13" a="1"/>
  <c r="J1419" i="13" s="1"/>
  <c r="N1420" i="13"/>
  <c r="M1422" i="13"/>
  <c r="M1423" i="14"/>
  <c r="K1234" i="13" l="1"/>
  <c r="L1234" i="13" s="1"/>
  <c r="I1235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57" i="14" l="1"/>
  <c r="L1257" i="14" s="1"/>
  <c r="I1258" i="14" s="1"/>
  <c r="K1235" i="13"/>
  <c r="L1235" i="13" s="1"/>
  <c r="I1236" i="13" s="1"/>
  <c r="M1424" i="13"/>
  <c r="N1422" i="13"/>
  <c r="J1421" i="13" a="1"/>
  <c r="J1421" i="13" s="1"/>
  <c r="N1421" i="14"/>
  <c r="J1420" i="14" a="1"/>
  <c r="J1420" i="14" s="1"/>
  <c r="M1425" i="14"/>
  <c r="K1236" i="13" l="1"/>
  <c r="L1236" i="13" s="1"/>
  <c r="I1237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7" i="13" l="1"/>
  <c r="L1237" i="13" s="1"/>
  <c r="I1238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60" i="14" l="1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/>
  <c r="L1238" i="13" s="1"/>
  <c r="I1239" i="13" s="1"/>
  <c r="K1239" i="13" l="1"/>
  <c r="L1239" i="13" s="1"/>
  <c r="I1240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62" i="14" l="1"/>
  <c r="L1262" i="14" s="1"/>
  <c r="I1263" i="14" s="1"/>
  <c r="K1240" i="13"/>
  <c r="L1240" i="13" s="1"/>
  <c r="I1241" i="13" s="1"/>
  <c r="M1430" i="14"/>
  <c r="J1426" i="13" a="1"/>
  <c r="J1426" i="13" s="1"/>
  <c r="N1427" i="13"/>
  <c r="M1429" i="13"/>
  <c r="J1425" i="14" a="1"/>
  <c r="J1425" i="14" s="1"/>
  <c r="N1426" i="14"/>
  <c r="K1241" i="13" l="1"/>
  <c r="L1241" i="13" s="1"/>
  <c r="I1242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64" i="14" l="1"/>
  <c r="L1264" i="14" s="1"/>
  <c r="I1265" i="14" s="1"/>
  <c r="K1242" i="13"/>
  <c r="L1242" i="13" s="1"/>
  <c r="I1243" i="13" s="1"/>
  <c r="J1427" i="14" a="1"/>
  <c r="J1427" i="14" s="1"/>
  <c r="N1428" i="14"/>
  <c r="M1431" i="13"/>
  <c r="J1428" i="13" a="1"/>
  <c r="J1428" i="13" s="1"/>
  <c r="N1429" i="13"/>
  <c r="M1432" i="14"/>
  <c r="K1243" i="13" l="1"/>
  <c r="L1243" i="13" s="1"/>
  <c r="I1244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66" i="14" l="1"/>
  <c r="L1266" i="14" s="1"/>
  <c r="I1267" i="14" s="1"/>
  <c r="K1244" i="13"/>
  <c r="L1244" i="13" s="1"/>
  <c r="I1245" i="13" s="1"/>
  <c r="M1434" i="14"/>
  <c r="M1433" i="13"/>
  <c r="J1430" i="13" a="1"/>
  <c r="J1430" i="13" s="1"/>
  <c r="N1431" i="13"/>
  <c r="J1429" i="14" a="1"/>
  <c r="J1429" i="14" s="1"/>
  <c r="N1430" i="14"/>
  <c r="K1245" i="13" l="1"/>
  <c r="L1245" i="13" s="1"/>
  <c r="I1246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68" i="14" l="1"/>
  <c r="L1268" i="14" s="1"/>
  <c r="I1269" i="14" s="1"/>
  <c r="K1246" i="13"/>
  <c r="L1246" i="13" s="1"/>
  <c r="I1247" i="13" s="1"/>
  <c r="M1436" i="14"/>
  <c r="J1431" i="14" a="1"/>
  <c r="J1431" i="14" s="1"/>
  <c r="N1432" i="14"/>
  <c r="J1432" i="13" a="1"/>
  <c r="J1432" i="13" s="1"/>
  <c r="N1433" i="13"/>
  <c r="M1435" i="13"/>
  <c r="K1247" i="13" l="1"/>
  <c r="L1247" i="13" s="1"/>
  <c r="I1248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70" i="14" l="1"/>
  <c r="L1270" i="14" s="1"/>
  <c r="I1271" i="14" s="1"/>
  <c r="K1248" i="13"/>
  <c r="L1248" i="13" s="1"/>
  <c r="I1249" i="13" s="1"/>
  <c r="M1437" i="13"/>
  <c r="M1438" i="14"/>
  <c r="J1434" i="13" a="1"/>
  <c r="J1434" i="13" s="1"/>
  <c r="N1435" i="13"/>
  <c r="J1433" i="14" a="1"/>
  <c r="J1433" i="14" s="1"/>
  <c r="N1434" i="14"/>
  <c r="K1249" i="13" l="1"/>
  <c r="L1249" i="13" s="1"/>
  <c r="I1250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72" i="14" l="1"/>
  <c r="L1272" i="14" s="1"/>
  <c r="I1273" i="14" s="1"/>
  <c r="K1250" i="13"/>
  <c r="L1250" i="13" s="1"/>
  <c r="I1251" i="13" s="1"/>
  <c r="M1440" i="14"/>
  <c r="M1439" i="13"/>
  <c r="J1436" i="13" a="1"/>
  <c r="J1436" i="13" s="1"/>
  <c r="N1437" i="13"/>
  <c r="J1435" i="14" a="1"/>
  <c r="J1435" i="14" s="1"/>
  <c r="N1436" i="14"/>
  <c r="K1251" i="13" l="1"/>
  <c r="L1251" i="13" s="1"/>
  <c r="I1252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74" i="14" l="1"/>
  <c r="L1274" i="14" s="1"/>
  <c r="I1275" i="14" s="1"/>
  <c r="K1252" i="13"/>
  <c r="L1252" i="13" s="1"/>
  <c r="I1253" i="13" s="1"/>
  <c r="J1438" i="13" a="1"/>
  <c r="J1438" i="13" s="1"/>
  <c r="N1439" i="13"/>
  <c r="M1441" i="13"/>
  <c r="M1442" i="14"/>
  <c r="J1437" i="14" a="1"/>
  <c r="J1437" i="14" s="1"/>
  <c r="N1438" i="14"/>
  <c r="K1253" i="13" l="1"/>
  <c r="L1253" i="13" s="1"/>
  <c r="I1254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4" i="13" l="1"/>
  <c r="L1254" i="13" s="1"/>
  <c r="I1255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5" i="13" l="1"/>
  <c r="L1255" i="13" s="1"/>
  <c r="I1256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6" i="13" l="1"/>
  <c r="L1256" i="13" s="1"/>
  <c r="I1257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7" i="13" l="1"/>
  <c r="L1257" i="13" s="1"/>
  <c r="I1258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8" i="13" l="1"/>
  <c r="L1258" i="13" s="1"/>
  <c r="I1259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81" i="14" l="1"/>
  <c r="L1281" i="14" s="1"/>
  <c r="I1282" i="14" s="1"/>
  <c r="K1259" i="13"/>
  <c r="L1259" i="13" s="1"/>
  <c r="I1260" i="13" s="1"/>
  <c r="N1446" i="13"/>
  <c r="J1445" i="13" a="1"/>
  <c r="J1445" i="13" s="1"/>
  <c r="M1449" i="14"/>
  <c r="M1448" i="13"/>
  <c r="N1445" i="14"/>
  <c r="J1444" i="14" a="1"/>
  <c r="J1444" i="14" s="1"/>
  <c r="K1260" i="13" l="1"/>
  <c r="L1260" i="13" s="1"/>
  <c r="I1261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83" i="14" l="1"/>
  <c r="L1283" i="14" s="1"/>
  <c r="I1284" i="14" s="1"/>
  <c r="K1261" i="13"/>
  <c r="L1261" i="13" s="1"/>
  <c r="I1262" i="13" s="1"/>
  <c r="M1451" i="14"/>
  <c r="J1446" i="14" a="1"/>
  <c r="J1446" i="14" s="1"/>
  <c r="N1447" i="14"/>
  <c r="J1447" i="13" a="1"/>
  <c r="J1447" i="13" s="1"/>
  <c r="N1448" i="13"/>
  <c r="M1450" i="13"/>
  <c r="K1262" i="13" l="1"/>
  <c r="L1262" i="13" s="1"/>
  <c r="I1263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85" i="14" l="1"/>
  <c r="L1285" i="14" s="1"/>
  <c r="I1286" i="14" s="1"/>
  <c r="K1263" i="13"/>
  <c r="L1263" i="13" s="1"/>
  <c r="I1264" i="13" s="1"/>
  <c r="N1450" i="13"/>
  <c r="J1449" i="13" a="1"/>
  <c r="J1449" i="13" s="1"/>
  <c r="N1449" i="14"/>
  <c r="J1448" i="14" a="1"/>
  <c r="J1448" i="14" s="1"/>
  <c r="M1452" i="13"/>
  <c r="M1453" i="14"/>
  <c r="K1264" i="13" l="1"/>
  <c r="L1264" i="13" s="1"/>
  <c r="I1265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87" i="14" l="1"/>
  <c r="L1287" i="14" s="1"/>
  <c r="I1288" i="14" s="1"/>
  <c r="M1454" i="13"/>
  <c r="J1451" i="13" a="1"/>
  <c r="J1451" i="13" s="1"/>
  <c r="N1452" i="13"/>
  <c r="M1455" i="14"/>
  <c r="K1265" i="13"/>
  <c r="L1265" i="13" s="1"/>
  <c r="I1266" i="13" s="1"/>
  <c r="J1450" i="14" a="1"/>
  <c r="J1450" i="14" s="1"/>
  <c r="N1451" i="14"/>
  <c r="K1266" i="13" l="1"/>
  <c r="L1266" i="13" s="1"/>
  <c r="I1267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89" i="14" l="1"/>
  <c r="L1289" i="14" s="1"/>
  <c r="I1290" i="14" s="1"/>
  <c r="K1267" i="13"/>
  <c r="L1267" i="13" s="1"/>
  <c r="I1268" i="13" s="1"/>
  <c r="M1456" i="13"/>
  <c r="N1453" i="14"/>
  <c r="J1452" i="14" a="1"/>
  <c r="J1452" i="14" s="1"/>
  <c r="N1454" i="13"/>
  <c r="J1453" i="13" a="1"/>
  <c r="J1453" i="13" s="1"/>
  <c r="M1457" i="14"/>
  <c r="K1268" i="13" l="1"/>
  <c r="L1268" i="13" s="1"/>
  <c r="I1269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91" i="14" l="1"/>
  <c r="L1291" i="14" s="1"/>
  <c r="I1292" i="14" s="1"/>
  <c r="K1269" i="13"/>
  <c r="L1269" i="13" s="1"/>
  <c r="I1270" i="13" s="1"/>
  <c r="M1458" i="13"/>
  <c r="J1454" i="14" a="1"/>
  <c r="J1454" i="14" s="1"/>
  <c r="N1455" i="14"/>
  <c r="J1455" i="13" a="1"/>
  <c r="J1455" i="13" s="1"/>
  <c r="N1456" i="13"/>
  <c r="M1459" i="14"/>
  <c r="K1270" i="13" l="1"/>
  <c r="L1270" i="13" s="1"/>
  <c r="I1271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93" i="14" l="1"/>
  <c r="L1293" i="14" s="1"/>
  <c r="I1294" i="14" s="1"/>
  <c r="K1271" i="13"/>
  <c r="L1271" i="13" s="1"/>
  <c r="I1272" i="13" s="1"/>
  <c r="N1457" i="14"/>
  <c r="J1456" i="14" a="1"/>
  <c r="J1456" i="14" s="1"/>
  <c r="N1458" i="13"/>
  <c r="J1457" i="13" a="1"/>
  <c r="J1457" i="13" s="1"/>
  <c r="M1460" i="13"/>
  <c r="M1461" i="14"/>
  <c r="K1272" i="13" l="1"/>
  <c r="L1272" i="13" s="1"/>
  <c r="I1273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95" i="14" l="1"/>
  <c r="L1295" i="14" s="1"/>
  <c r="I1296" i="14" s="1"/>
  <c r="K1273" i="13"/>
  <c r="L1273" i="13" s="1"/>
  <c r="I1274" i="13" s="1"/>
  <c r="J1459" i="13" a="1"/>
  <c r="J1459" i="13" s="1"/>
  <c r="N1460" i="13"/>
  <c r="J1458" i="14" a="1"/>
  <c r="J1458" i="14" s="1"/>
  <c r="N1459" i="14"/>
  <c r="M1462" i="13"/>
  <c r="M1463" i="14"/>
  <c r="K1274" i="13" l="1"/>
  <c r="L1274" i="13" s="1"/>
  <c r="I1275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97" i="14" l="1"/>
  <c r="L1297" i="14" s="1"/>
  <c r="I1298" i="14" s="1"/>
  <c r="K1275" i="13"/>
  <c r="L1275" i="13" s="1"/>
  <c r="I1276" i="13" s="1"/>
  <c r="M1464" i="13"/>
  <c r="N1461" i="14"/>
  <c r="J1460" i="14" a="1"/>
  <c r="J1460" i="14" s="1"/>
  <c r="N1462" i="13"/>
  <c r="J1461" i="13" a="1"/>
  <c r="J1461" i="13" s="1"/>
  <c r="M1465" i="14"/>
  <c r="K1276" i="13" l="1"/>
  <c r="L1276" i="13" s="1"/>
  <c r="I1277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99" i="14" l="1"/>
  <c r="L1299" i="14" s="1"/>
  <c r="I1300" i="14" s="1"/>
  <c r="K1277" i="13"/>
  <c r="L1277" i="13" s="1"/>
  <c r="I1278" i="13" s="1"/>
  <c r="M1466" i="13"/>
  <c r="J1463" i="13" a="1"/>
  <c r="J1463" i="13" s="1"/>
  <c r="N1464" i="13"/>
  <c r="J1462" i="14" a="1"/>
  <c r="J1462" i="14" s="1"/>
  <c r="N1463" i="14"/>
  <c r="M1467" i="14"/>
  <c r="K1278" i="13" l="1"/>
  <c r="L1278" i="13" s="1"/>
  <c r="I1279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301" i="14" l="1"/>
  <c r="L1301" i="14" s="1"/>
  <c r="I1302" i="14" s="1"/>
  <c r="K1279" i="13"/>
  <c r="L1279" i="13" s="1"/>
  <c r="I1280" i="13" s="1"/>
  <c r="N1465" i="14"/>
  <c r="J1464" i="14" a="1"/>
  <c r="J1464" i="14" s="1"/>
  <c r="N1466" i="13"/>
  <c r="J1465" i="13" a="1"/>
  <c r="J1465" i="13" s="1"/>
  <c r="M1468" i="13"/>
  <c r="M1469" i="14"/>
  <c r="K1280" i="13" l="1"/>
  <c r="L1280" i="13" s="1"/>
  <c r="I1281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303" i="14" l="1"/>
  <c r="L1303" i="14" s="1"/>
  <c r="I1304" i="14" s="1"/>
  <c r="K1281" i="13"/>
  <c r="L1281" i="13" s="1"/>
  <c r="I1282" i="13" s="1"/>
  <c r="J1467" i="13" a="1"/>
  <c r="J1467" i="13" s="1"/>
  <c r="N1468" i="13"/>
  <c r="J1466" i="14" a="1"/>
  <c r="J1466" i="14" s="1"/>
  <c r="N1467" i="14"/>
  <c r="M1470" i="13"/>
  <c r="M1471" i="14"/>
  <c r="K1282" i="13" l="1"/>
  <c r="L1282" i="13" s="1"/>
  <c r="I1283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305" i="14" l="1"/>
  <c r="L1305" i="14" s="1"/>
  <c r="I1306" i="14" s="1"/>
  <c r="K1283" i="13"/>
  <c r="L1283" i="13" s="1"/>
  <c r="I1284" i="13" s="1"/>
  <c r="N1469" i="14"/>
  <c r="J1468" i="14" a="1"/>
  <c r="J1468" i="14" s="1"/>
  <c r="M1472" i="13"/>
  <c r="N1470" i="13"/>
  <c r="J1469" i="13" a="1"/>
  <c r="J1469" i="13" s="1"/>
  <c r="M1473" i="14"/>
  <c r="K1284" i="13" l="1"/>
  <c r="L1284" i="13" s="1"/>
  <c r="I1285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307" i="14" l="1"/>
  <c r="L1307" i="14" s="1"/>
  <c r="I1308" i="14" s="1"/>
  <c r="K1285" i="13"/>
  <c r="L1285" i="13" s="1"/>
  <c r="I1286" i="13" s="1"/>
  <c r="M1475" i="14"/>
  <c r="J1470" i="14" a="1"/>
  <c r="J1470" i="14" s="1"/>
  <c r="N1471" i="14"/>
  <c r="J1471" i="13" a="1"/>
  <c r="J1471" i="13" s="1"/>
  <c r="N1472" i="13"/>
  <c r="M1474" i="13"/>
  <c r="K1286" i="13" l="1"/>
  <c r="L1286" i="13" s="1"/>
  <c r="I1287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309" i="14" l="1"/>
  <c r="L1309" i="14" s="1"/>
  <c r="I1310" i="14" s="1"/>
  <c r="K1287" i="13"/>
  <c r="L1287" i="13" s="1"/>
  <c r="I1288" i="13" s="1"/>
  <c r="M1476" i="13"/>
  <c r="N1473" i="14"/>
  <c r="J1472" i="14" a="1"/>
  <c r="J1472" i="14" s="1"/>
  <c r="N1474" i="13"/>
  <c r="J1473" i="13" a="1"/>
  <c r="J1473" i="13" s="1"/>
  <c r="M1477" i="14"/>
  <c r="K1288" i="13" l="1"/>
  <c r="L1288" i="13" s="1"/>
  <c r="I1289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311" i="14" l="1"/>
  <c r="L1311" i="14" s="1"/>
  <c r="I1312" i="14" s="1"/>
  <c r="K1289" i="13"/>
  <c r="L1289" i="13" s="1"/>
  <c r="I1290" i="13" s="1"/>
  <c r="J1475" i="13" a="1"/>
  <c r="J1475" i="13" s="1"/>
  <c r="N1476" i="13"/>
  <c r="J1474" i="14" a="1"/>
  <c r="J1474" i="14" s="1"/>
  <c r="N1475" i="14"/>
  <c r="M1479" i="14"/>
  <c r="M1478" i="13"/>
  <c r="K1290" i="13" l="1"/>
  <c r="L1290" i="13" s="1"/>
  <c r="I1291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1" i="13" l="1"/>
  <c r="L1291" i="13" s="1"/>
  <c r="I1292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314" i="14" l="1"/>
  <c r="L1314" i="14" s="1"/>
  <c r="I1315" i="14" s="1"/>
  <c r="K1292" i="13"/>
  <c r="L1292" i="13" s="1"/>
  <c r="I1293" i="13" s="1"/>
  <c r="M1481" i="13"/>
  <c r="M1482" i="14"/>
  <c r="J1478" i="13" a="1"/>
  <c r="J1478" i="13" s="1"/>
  <c r="N1479" i="13"/>
  <c r="J1477" i="14" a="1"/>
  <c r="J1477" i="14" s="1"/>
  <c r="N1478" i="14"/>
  <c r="K1293" i="13" l="1"/>
  <c r="L1293" i="13" s="1"/>
  <c r="I1294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316" i="14" l="1"/>
  <c r="L1316" i="14" s="1"/>
  <c r="I1317" i="14" s="1"/>
  <c r="K1294" i="13"/>
  <c r="L1294" i="13" s="1"/>
  <c r="I1295" i="13" s="1"/>
  <c r="J1480" i="13" a="1"/>
  <c r="J1480" i="13" s="1"/>
  <c r="N1481" i="13"/>
  <c r="M1484" i="14"/>
  <c r="M1483" i="13"/>
  <c r="J1479" i="14" a="1"/>
  <c r="J1479" i="14" s="1"/>
  <c r="N1480" i="14"/>
  <c r="K1295" i="13" l="1"/>
  <c r="L1295" i="13" s="1"/>
  <c r="I1296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318" i="14" l="1"/>
  <c r="L1318" i="14" s="1"/>
  <c r="I1319" i="14" s="1"/>
  <c r="K1296" i="13"/>
  <c r="L1296" i="13" s="1"/>
  <c r="I1297" i="13" s="1"/>
  <c r="M1485" i="13"/>
  <c r="M1486" i="14"/>
  <c r="J1482" i="13" a="1"/>
  <c r="J1482" i="13" s="1"/>
  <c r="N1483" i="13"/>
  <c r="J1481" i="14" a="1"/>
  <c r="J1481" i="14" s="1"/>
  <c r="N1482" i="14"/>
  <c r="K1297" i="13" l="1"/>
  <c r="L1297" i="13" s="1"/>
  <c r="I1298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320" i="14" l="1"/>
  <c r="L1320" i="14" s="1"/>
  <c r="I1321" i="14" s="1"/>
  <c r="K1298" i="13"/>
  <c r="L1298" i="13" s="1"/>
  <c r="I1299" i="13" s="1"/>
  <c r="M1488" i="14"/>
  <c r="M1487" i="13"/>
  <c r="J1483" i="14" a="1"/>
  <c r="J1483" i="14" s="1"/>
  <c r="N1484" i="14"/>
  <c r="J1484" i="13" a="1"/>
  <c r="J1484" i="13" s="1"/>
  <c r="N1485" i="13"/>
  <c r="K1299" i="13" l="1"/>
  <c r="L1299" i="13" s="1"/>
  <c r="I1300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322" i="14" l="1"/>
  <c r="L1322" i="14" s="1"/>
  <c r="I1323" i="14" s="1"/>
  <c r="K1300" i="13"/>
  <c r="L1300" i="13" s="1"/>
  <c r="I1301" i="13" s="1"/>
  <c r="M1489" i="13"/>
  <c r="M1490" i="14"/>
  <c r="J1485" i="14" a="1"/>
  <c r="J1485" i="14" s="1"/>
  <c r="N1486" i="14"/>
  <c r="J1486" i="13" a="1"/>
  <c r="J1486" i="13" s="1"/>
  <c r="N1487" i="13"/>
  <c r="K1301" i="13" l="1"/>
  <c r="L1301" i="13" s="1"/>
  <c r="I1302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24" i="14" l="1"/>
  <c r="L1324" i="14" s="1"/>
  <c r="I1325" i="14" s="1"/>
  <c r="K1302" i="13"/>
  <c r="L1302" i="13" s="1"/>
  <c r="I1303" i="13" s="1"/>
  <c r="J1487" i="14" a="1"/>
  <c r="J1487" i="14" s="1"/>
  <c r="N1488" i="14"/>
  <c r="J1488" i="13" a="1"/>
  <c r="J1488" i="13" s="1"/>
  <c r="N1489" i="13"/>
  <c r="M1492" i="14"/>
  <c r="M1491" i="13"/>
  <c r="K1303" i="13" l="1"/>
  <c r="L1303" i="13" s="1"/>
  <c r="I1304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26" i="14" l="1"/>
  <c r="L1326" i="14" s="1"/>
  <c r="I1327" i="14" s="1"/>
  <c r="K1304" i="13"/>
  <c r="L1304" i="13" s="1"/>
  <c r="I1305" i="13" s="1"/>
  <c r="M1493" i="13"/>
  <c r="M1494" i="14"/>
  <c r="J1489" i="14" a="1"/>
  <c r="J1489" i="14" s="1"/>
  <c r="N1490" i="14"/>
  <c r="J1490" i="13" a="1"/>
  <c r="J1490" i="13" s="1"/>
  <c r="N1491" i="13"/>
  <c r="K1305" i="13" l="1"/>
  <c r="L1305" i="13" s="1"/>
  <c r="I1306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28" i="14" l="1"/>
  <c r="L1328" i="14" s="1"/>
  <c r="I1329" i="14" s="1"/>
  <c r="K1306" i="13"/>
  <c r="L1306" i="13" s="1"/>
  <c r="I1307" i="13" s="1"/>
  <c r="M1496" i="14"/>
  <c r="J1491" i="14" a="1"/>
  <c r="J1491" i="14" s="1"/>
  <c r="N1492" i="14"/>
  <c r="M1495" i="13"/>
  <c r="J1492" i="13" a="1"/>
  <c r="J1492" i="13" s="1"/>
  <c r="N1493" i="13"/>
  <c r="K1307" i="13" l="1"/>
  <c r="L1307" i="13" s="1"/>
  <c r="I1308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30" i="14" l="1"/>
  <c r="L1330" i="14" s="1"/>
  <c r="I1331" i="14" s="1"/>
  <c r="K1308" i="13"/>
  <c r="L1308" i="13" s="1"/>
  <c r="I1309" i="13" s="1"/>
  <c r="J1494" i="13" a="1"/>
  <c r="J1494" i="13" s="1"/>
  <c r="N1495" i="13"/>
  <c r="M1498" i="14"/>
  <c r="M1497" i="13"/>
  <c r="J1493" i="14" a="1"/>
  <c r="J1493" i="14" s="1"/>
  <c r="N1494" i="14"/>
  <c r="K1309" i="13" l="1"/>
  <c r="L1309" i="13" s="1"/>
  <c r="I1310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32" i="14" l="1"/>
  <c r="L1332" i="14" s="1"/>
  <c r="I1333" i="14" s="1"/>
  <c r="K1310" i="13"/>
  <c r="L1310" i="13" s="1"/>
  <c r="I1311" i="13" s="1"/>
  <c r="J1496" i="13" a="1"/>
  <c r="J1496" i="13" s="1"/>
  <c r="N1497" i="13"/>
  <c r="M1500" i="14"/>
  <c r="M1499" i="13"/>
  <c r="J1495" i="14" a="1"/>
  <c r="J1495" i="14" s="1"/>
  <c r="N1496" i="14"/>
  <c r="K1333" i="14" l="1"/>
  <c r="L1333" i="14" s="1"/>
  <c r="I1334" i="14" s="1"/>
  <c r="K1311" i="13"/>
  <c r="L1311" i="13" s="1"/>
  <c r="I1312" i="13" s="1"/>
  <c r="M1501" i="14"/>
  <c r="N1498" i="13"/>
  <c r="J1497" i="13" a="1"/>
  <c r="J1497" i="13" s="1"/>
  <c r="N1497" i="14"/>
  <c r="J1496" i="14" a="1"/>
  <c r="J1496" i="14" s="1"/>
  <c r="M1500" i="13"/>
  <c r="K1334" i="14" l="1"/>
  <c r="L1334" i="14" s="1"/>
  <c r="I1335" i="14" s="1"/>
  <c r="K1312" i="13"/>
  <c r="L1312" i="13" s="1"/>
  <c r="I1313" i="13" s="1"/>
  <c r="M1501" i="13"/>
  <c r="J1498" i="13" a="1"/>
  <c r="J1498" i="13" s="1"/>
  <c r="N1499" i="13"/>
  <c r="J1497" i="14" a="1"/>
  <c r="J1497" i="14" s="1"/>
  <c r="N1498" i="14"/>
  <c r="M1502" i="14"/>
  <c r="K1313" i="13" l="1"/>
  <c r="L1313" i="13" s="1"/>
  <c r="I1314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36" i="14" l="1"/>
  <c r="L1336" i="14" s="1"/>
  <c r="I1337" i="14" s="1"/>
  <c r="K1314" i="13"/>
  <c r="L1314" i="13" s="1"/>
  <c r="I1315" i="13" s="1"/>
  <c r="M1503" i="13"/>
  <c r="J1499" i="14" a="1"/>
  <c r="J1499" i="14" s="1"/>
  <c r="N1500" i="14"/>
  <c r="M1504" i="14"/>
  <c r="J1500" i="13" a="1"/>
  <c r="J1500" i="13" s="1"/>
  <c r="N1501" i="13"/>
  <c r="K1337" i="14" l="1"/>
  <c r="L1337" i="14" s="1"/>
  <c r="I1338" i="14" s="1"/>
  <c r="K1315" i="13"/>
  <c r="L1315" i="13" s="1"/>
  <c r="I1316" i="13" s="1"/>
  <c r="N1501" i="14"/>
  <c r="J1500" i="14" a="1"/>
  <c r="J1500" i="14" s="1"/>
  <c r="N1502" i="13"/>
  <c r="J1501" i="13" a="1"/>
  <c r="J1501" i="13" s="1"/>
  <c r="M1505" i="14"/>
  <c r="M1504" i="13"/>
  <c r="K1316" i="13" l="1"/>
  <c r="L1316" i="13" s="1"/>
  <c r="I1317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7" i="13" l="1"/>
  <c r="L1317" i="13" s="1"/>
  <c r="I1318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8" i="13" l="1"/>
  <c r="L1318" i="13" s="1"/>
  <c r="I1319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41" i="14" l="1"/>
  <c r="L1341" i="14" s="1"/>
  <c r="I1342" i="14" s="1"/>
  <c r="K1319" i="13"/>
  <c r="L1319" i="13" s="1"/>
  <c r="I1320" i="13" s="1"/>
  <c r="N1506" i="13"/>
  <c r="J1505" i="13" a="1"/>
  <c r="J1505" i="13" s="1"/>
  <c r="M1508" i="13"/>
  <c r="N1505" i="14"/>
  <c r="J1504" i="14" a="1"/>
  <c r="J1504" i="14" s="1"/>
  <c r="M1509" i="14"/>
  <c r="K1320" i="13" l="1"/>
  <c r="L1320" i="13" s="1"/>
  <c r="I1321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1" i="13" l="1"/>
  <c r="L1321" i="13" s="1"/>
  <c r="I1322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44" i="14" l="1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/>
  <c r="L1322" i="13" s="1"/>
  <c r="I1323" i="13" s="1"/>
  <c r="K1323" i="13" l="1"/>
  <c r="L1323" i="13" s="1"/>
  <c r="I1324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46" i="14" l="1"/>
  <c r="L1346" i="14" s="1"/>
  <c r="I1347" i="14" s="1"/>
  <c r="K1324" i="13"/>
  <c r="L1324" i="13" s="1"/>
  <c r="I1325" i="13" s="1"/>
  <c r="M1513" i="13"/>
  <c r="M1514" i="14"/>
  <c r="J1509" i="14" a="1"/>
  <c r="J1509" i="14" s="1"/>
  <c r="N1510" i="14"/>
  <c r="J1510" i="13" a="1"/>
  <c r="J1510" i="13" s="1"/>
  <c r="N1511" i="13"/>
  <c r="K1347" i="14" l="1"/>
  <c r="L1347" i="14" s="1"/>
  <c r="I1348" i="14" s="1"/>
  <c r="M1515" i="14"/>
  <c r="J1511" i="13" a="1"/>
  <c r="J1511" i="13" s="1"/>
  <c r="N1512" i="13"/>
  <c r="K1325" i="13"/>
  <c r="L1325" i="13" s="1"/>
  <c r="I1326" i="13" s="1"/>
  <c r="J1510" i="14" a="1"/>
  <c r="J1510" i="14" s="1"/>
  <c r="N1511" i="14"/>
  <c r="M1514" i="13"/>
  <c r="K1326" i="13" l="1"/>
  <c r="L1326" i="13" s="1"/>
  <c r="I1327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7" i="13" l="1"/>
  <c r="L1327" i="13" s="1"/>
  <c r="I1328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50" i="14" l="1"/>
  <c r="L1350" i="14" s="1"/>
  <c r="I1351" i="14" s="1"/>
  <c r="K1328" i="13"/>
  <c r="L1328" i="13" s="1"/>
  <c r="I1329" i="13" s="1"/>
  <c r="M1517" i="13"/>
  <c r="M1518" i="14"/>
  <c r="J1513" i="14" a="1"/>
  <c r="J1513" i="14" s="1"/>
  <c r="N1514" i="14"/>
  <c r="J1514" i="13" a="1"/>
  <c r="J1514" i="13" s="1"/>
  <c r="N1515" i="13"/>
  <c r="K1351" i="14" l="1"/>
  <c r="L1351" i="14" s="1"/>
  <c r="I1352" i="14" s="1"/>
  <c r="K1329" i="13"/>
  <c r="L1329" i="13" s="1"/>
  <c r="I1330" i="13" s="1"/>
  <c r="J1515" i="13" a="1"/>
  <c r="J1515" i="13" s="1"/>
  <c r="N1516" i="13"/>
  <c r="M1519" i="14"/>
  <c r="J1514" i="14" a="1"/>
  <c r="J1514" i="14" s="1"/>
  <c r="N1515" i="14"/>
  <c r="M1518" i="13"/>
  <c r="K1352" i="14" l="1"/>
  <c r="L1352" i="14" s="1"/>
  <c r="I1353" i="14" s="1"/>
  <c r="K1330" i="13"/>
  <c r="L1330" i="13" s="1"/>
  <c r="I1331" i="13" s="1"/>
  <c r="M1520" i="14"/>
  <c r="M1519" i="13"/>
  <c r="J1515" i="14" a="1"/>
  <c r="J1515" i="14" s="1"/>
  <c r="N1516" i="14"/>
  <c r="J1516" i="13" a="1"/>
  <c r="J1516" i="13" s="1"/>
  <c r="N1517" i="13"/>
  <c r="K1331" i="13" l="1"/>
  <c r="L1331" i="13" s="1"/>
  <c r="I1332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2" i="13" l="1"/>
  <c r="L1332" i="13" s="1"/>
  <c r="I1333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55" i="14" l="1"/>
  <c r="L1355" i="14" s="1"/>
  <c r="I1356" i="14" s="1"/>
  <c r="K1333" i="13"/>
  <c r="L1333" i="13" s="1"/>
  <c r="I1334" i="13" s="1"/>
  <c r="J1519" i="13" a="1"/>
  <c r="J1519" i="13" s="1"/>
  <c r="N1520" i="13"/>
  <c r="J1518" i="14" a="1"/>
  <c r="J1518" i="14" s="1"/>
  <c r="N1519" i="14"/>
  <c r="M1522" i="13"/>
  <c r="M1523" i="14"/>
  <c r="K1334" i="13" l="1"/>
  <c r="L1334" i="13" s="1"/>
  <c r="I1335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57" i="14" l="1"/>
  <c r="L1357" i="14" s="1"/>
  <c r="I1358" i="14" s="1"/>
  <c r="K1335" i="13"/>
  <c r="L1335" i="13" s="1"/>
  <c r="I1336" i="13" s="1"/>
  <c r="N1522" i="13"/>
  <c r="J1521" i="13" a="1"/>
  <c r="J1521" i="13" s="1"/>
  <c r="M1524" i="13"/>
  <c r="N1521" i="14"/>
  <c r="J1520" i="14" a="1"/>
  <c r="J1520" i="14" s="1"/>
  <c r="M1525" i="14"/>
  <c r="J1522" i="13" l="1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/>
  <c r="L1336" i="13" s="1"/>
  <c r="I1337" i="13" s="1"/>
  <c r="K1337" i="13" l="1"/>
  <c r="L1337" i="13" s="1"/>
  <c r="I1338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8" i="13" l="1"/>
  <c r="L1338" i="13" s="1"/>
  <c r="I1339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9" i="13" l="1"/>
  <c r="L1339" i="13" s="1"/>
  <c r="I1340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62" i="14" l="1"/>
  <c r="L1362" i="14" s="1"/>
  <c r="I1363" i="14" s="1"/>
  <c r="K1340" i="13"/>
  <c r="L1340" i="13" s="1"/>
  <c r="I1341" i="13" s="1"/>
  <c r="M1529" i="13"/>
  <c r="J1525" i="14" a="1"/>
  <c r="J1525" i="14" s="1"/>
  <c r="N1526" i="14"/>
  <c r="M1530" i="14"/>
  <c r="J1526" i="13" a="1"/>
  <c r="J1526" i="13" s="1"/>
  <c r="N1527" i="13"/>
  <c r="K1341" i="13" l="1"/>
  <c r="L1341" i="13" s="1"/>
  <c r="I1342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64" i="14" l="1"/>
  <c r="L1364" i="14" s="1"/>
  <c r="I1365" i="14" s="1"/>
  <c r="K1342" i="13"/>
  <c r="L1342" i="13" s="1"/>
  <c r="I1343" i="13" s="1"/>
  <c r="M1532" i="14"/>
  <c r="J1528" i="13" a="1"/>
  <c r="J1528" i="13" s="1"/>
  <c r="N1529" i="13"/>
  <c r="M1531" i="13"/>
  <c r="J1527" i="14" a="1"/>
  <c r="J1527" i="14" s="1"/>
  <c r="N1528" i="14"/>
  <c r="K1343" i="13" l="1"/>
  <c r="L1343" i="13" s="1"/>
  <c r="I1344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66" i="14" l="1"/>
  <c r="L1366" i="14" s="1"/>
  <c r="I1367" i="14" s="1"/>
  <c r="K1344" i="13"/>
  <c r="L1344" i="13" s="1"/>
  <c r="I1345" i="13" s="1"/>
  <c r="J1529" i="14" a="1"/>
  <c r="J1529" i="14" s="1"/>
  <c r="N1530" i="14"/>
  <c r="M1534" i="14"/>
  <c r="M1533" i="13"/>
  <c r="J1530" i="13" a="1"/>
  <c r="J1530" i="13" s="1"/>
  <c r="N1531" i="13"/>
  <c r="K1345" i="13" l="1"/>
  <c r="L1345" i="13" s="1"/>
  <c r="I1346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68" i="14" l="1"/>
  <c r="L1368" i="14" s="1"/>
  <c r="I1369" i="14" s="1"/>
  <c r="K1346" i="13"/>
  <c r="L1346" i="13" s="1"/>
  <c r="I1347" i="13" s="1"/>
  <c r="J1531" i="14" a="1"/>
  <c r="J1531" i="14" s="1"/>
  <c r="N1532" i="14"/>
  <c r="M1535" i="13"/>
  <c r="J1532" i="13" a="1"/>
  <c r="J1532" i="13" s="1"/>
  <c r="N1533" i="13"/>
  <c r="M1536" i="14"/>
  <c r="K1347" i="13" l="1"/>
  <c r="L1347" i="13" s="1"/>
  <c r="I1348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70" i="14" l="1"/>
  <c r="L1370" i="14" s="1"/>
  <c r="I1371" i="14" s="1"/>
  <c r="K1348" i="13"/>
  <c r="L1348" i="13" s="1"/>
  <c r="I1349" i="13" s="1"/>
  <c r="M1537" i="13"/>
  <c r="J1533" i="14" a="1"/>
  <c r="J1533" i="14" s="1"/>
  <c r="N1534" i="14"/>
  <c r="M1538" i="14"/>
  <c r="J1534" i="13" a="1"/>
  <c r="J1534" i="13" s="1"/>
  <c r="N1535" i="13"/>
  <c r="K1349" i="13" l="1"/>
  <c r="L1349" i="13" s="1"/>
  <c r="I1350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72" i="14" l="1"/>
  <c r="L1372" i="14" s="1"/>
  <c r="I1373" i="14" s="1"/>
  <c r="K1350" i="13"/>
  <c r="L1350" i="13" s="1"/>
  <c r="I1351" i="13" s="1"/>
  <c r="J1536" i="13" a="1"/>
  <c r="J1536" i="13" s="1"/>
  <c r="N1537" i="13"/>
  <c r="J1535" i="14" a="1"/>
  <c r="J1535" i="14" s="1"/>
  <c r="N1536" i="14"/>
  <c r="M1539" i="13"/>
  <c r="M1540" i="14"/>
  <c r="K1373" i="14" l="1"/>
  <c r="L1373" i="14" s="1"/>
  <c r="I1374" i="14" s="1"/>
  <c r="N1537" i="14"/>
  <c r="J1536" i="14" a="1"/>
  <c r="J1536" i="14" s="1"/>
  <c r="N1538" i="13"/>
  <c r="J1537" i="13" a="1"/>
  <c r="J1537" i="13" s="1"/>
  <c r="M1541" i="14"/>
  <c r="K1351" i="13"/>
  <c r="L1351" i="13" s="1"/>
  <c r="I1352" i="13" s="1"/>
  <c r="M1540" i="13"/>
  <c r="K1352" i="13" l="1"/>
  <c r="L1352" i="13" s="1"/>
  <c r="I1353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3" i="13" l="1"/>
  <c r="L1353" i="13" s="1"/>
  <c r="I1354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4" i="13" l="1"/>
  <c r="L1354" i="13" s="1"/>
  <c r="I1355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77" i="14" l="1"/>
  <c r="L1377" i="14" s="1"/>
  <c r="I1378" i="14" s="1"/>
  <c r="K1355" i="13"/>
  <c r="L1355" i="13" s="1"/>
  <c r="I1356" i="13" s="1"/>
  <c r="N1542" i="13"/>
  <c r="J1541" i="13" a="1"/>
  <c r="J1541" i="13" s="1"/>
  <c r="M1544" i="13"/>
  <c r="N1541" i="14"/>
  <c r="J1540" i="14" a="1"/>
  <c r="J1540" i="14" s="1"/>
  <c r="M1545" i="14"/>
  <c r="K1356" i="13" l="1"/>
  <c r="L1356" i="13" s="1"/>
  <c r="I1357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79" i="14" l="1"/>
  <c r="L1379" i="14" s="1"/>
  <c r="I1380" i="14" s="1"/>
  <c r="K1357" i="13"/>
  <c r="L1357" i="13" s="1"/>
  <c r="I1358" i="13" s="1"/>
  <c r="J1543" i="13" a="1"/>
  <c r="J1543" i="13" s="1"/>
  <c r="N1544" i="13"/>
  <c r="M1547" i="14"/>
  <c r="J1542" i="14" a="1"/>
  <c r="J1542" i="14" s="1"/>
  <c r="N1543" i="14"/>
  <c r="M1546" i="13"/>
  <c r="K1380" i="14" l="1"/>
  <c r="L1380" i="14" s="1"/>
  <c r="I1381" i="14" s="1"/>
  <c r="M1548" i="14"/>
  <c r="M1547" i="13"/>
  <c r="K1358" i="13"/>
  <c r="L1358" i="13" s="1"/>
  <c r="I1359" i="13" s="1"/>
  <c r="J1544" i="13" a="1"/>
  <c r="J1544" i="13" s="1"/>
  <c r="N1545" i="13"/>
  <c r="J1543" i="14" a="1"/>
  <c r="J1543" i="14" s="1"/>
  <c r="N1544" i="14"/>
  <c r="K1359" i="13" l="1"/>
  <c r="L1359" i="13" s="1"/>
  <c r="I1360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82" i="14" l="1"/>
  <c r="L1382" i="14" s="1"/>
  <c r="I1383" i="14" s="1"/>
  <c r="K1360" i="13"/>
  <c r="L1360" i="13" s="1"/>
  <c r="I1361" i="13" s="1"/>
  <c r="M1549" i="13"/>
  <c r="M1550" i="14"/>
  <c r="J1546" i="13" a="1"/>
  <c r="J1546" i="13" s="1"/>
  <c r="N1547" i="13"/>
  <c r="J1545" i="14" a="1"/>
  <c r="J1545" i="14" s="1"/>
  <c r="N1546" i="14"/>
  <c r="K1383" i="14" l="1"/>
  <c r="L1383" i="14" s="1"/>
  <c r="I1384" i="14" s="1"/>
  <c r="J1546" i="14" a="1"/>
  <c r="J1546" i="14" s="1"/>
  <c r="N1547" i="14"/>
  <c r="M1551" i="14"/>
  <c r="K1361" i="13"/>
  <c r="L1361" i="13" s="1"/>
  <c r="I1362" i="13" s="1"/>
  <c r="J1547" i="13" a="1"/>
  <c r="J1547" i="13" s="1"/>
  <c r="N1548" i="13"/>
  <c r="M1550" i="13"/>
  <c r="K1362" i="13" l="1"/>
  <c r="L1362" i="13" s="1"/>
  <c r="I1363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85" i="14" l="1"/>
  <c r="L1385" i="14" s="1"/>
  <c r="I1386" i="14" s="1"/>
  <c r="K1363" i="13"/>
  <c r="L1363" i="13" s="1"/>
  <c r="I1364" i="13" s="1"/>
  <c r="N1550" i="13"/>
  <c r="J1549" i="13" a="1"/>
  <c r="J1549" i="13" s="1"/>
  <c r="N1549" i="14"/>
  <c r="J1548" i="14" a="1"/>
  <c r="J1548" i="14" s="1"/>
  <c r="M1552" i="13"/>
  <c r="M1553" i="14"/>
  <c r="K1364" i="13" l="1"/>
  <c r="L1364" i="13" s="1"/>
  <c r="I1365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87" i="14" l="1"/>
  <c r="L1387" i="14" s="1"/>
  <c r="I1388" i="14" s="1"/>
  <c r="K1365" i="13"/>
  <c r="L1365" i="13" s="1"/>
  <c r="I1366" i="13" s="1"/>
  <c r="M1555" i="14"/>
  <c r="J1551" i="13" a="1"/>
  <c r="J1551" i="13" s="1"/>
  <c r="N1552" i="13"/>
  <c r="J1550" i="14" a="1"/>
  <c r="J1550" i="14" s="1"/>
  <c r="N1551" i="14"/>
  <c r="M1554" i="13"/>
  <c r="K1366" i="13" l="1"/>
  <c r="L1366" i="13" s="1"/>
  <c r="I1367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89" i="14" l="1"/>
  <c r="L1389" i="14" s="1"/>
  <c r="I1390" i="14" s="1"/>
  <c r="K1367" i="13"/>
  <c r="L1367" i="13" s="1"/>
  <c r="I1368" i="13" s="1"/>
  <c r="N1553" i="14"/>
  <c r="J1552" i="14" a="1"/>
  <c r="J1552" i="14" s="1"/>
  <c r="N1554" i="13"/>
  <c r="J1553" i="13" a="1"/>
  <c r="J1553" i="13" s="1"/>
  <c r="M1557" i="14"/>
  <c r="M1556" i="13"/>
  <c r="K1368" i="13" l="1"/>
  <c r="L1368" i="13" s="1"/>
  <c r="I1369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91" i="14" l="1"/>
  <c r="L1391" i="14" s="1"/>
  <c r="I1392" i="14" s="1"/>
  <c r="K1369" i="13"/>
  <c r="L1369" i="13" s="1"/>
  <c r="I1370" i="13" s="1"/>
  <c r="J1555" i="13" a="1"/>
  <c r="J1555" i="13" s="1"/>
  <c r="N1556" i="13"/>
  <c r="J1554" i="14" a="1"/>
  <c r="J1554" i="14" s="1"/>
  <c r="N1555" i="14"/>
  <c r="M1559" i="14"/>
  <c r="M1558" i="13"/>
  <c r="K1392" i="14" l="1"/>
  <c r="L1392" i="14" s="1"/>
  <c r="I1393" i="14" s="1"/>
  <c r="K1370" i="13"/>
  <c r="L1370" i="13" s="1"/>
  <c r="I1371" i="13" s="1"/>
  <c r="M1560" i="14"/>
  <c r="J1555" i="14" a="1"/>
  <c r="J1555" i="14" s="1"/>
  <c r="N1556" i="14"/>
  <c r="M1559" i="13"/>
  <c r="J1556" i="13" a="1"/>
  <c r="J1556" i="13" s="1"/>
  <c r="N1557" i="13"/>
  <c r="K1371" i="13" l="1"/>
  <c r="L1371" i="13" s="1"/>
  <c r="I1372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94" i="14" l="1"/>
  <c r="L1394" i="14" s="1"/>
  <c r="I1395" i="14" s="1"/>
  <c r="K1372" i="13"/>
  <c r="L1372" i="13" s="1"/>
  <c r="I1373" i="13" s="1"/>
  <c r="J1558" i="13" a="1"/>
  <c r="J1558" i="13" s="1"/>
  <c r="N1559" i="13"/>
  <c r="M1562" i="14"/>
  <c r="M1561" i="13"/>
  <c r="J1557" i="14" a="1"/>
  <c r="J1557" i="14" s="1"/>
  <c r="N1558" i="14"/>
  <c r="K1373" i="13" l="1"/>
  <c r="L1373" i="13" s="1"/>
  <c r="I1374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96" i="14" l="1"/>
  <c r="L1396" i="14" s="1"/>
  <c r="I1397" i="14" s="1"/>
  <c r="K1374" i="13"/>
  <c r="L1374" i="13" s="1"/>
  <c r="I1375" i="13" s="1"/>
  <c r="J1560" i="13" a="1"/>
  <c r="J1560" i="13" s="1"/>
  <c r="N1561" i="13"/>
  <c r="M1564" i="14"/>
  <c r="J1559" i="14" a="1"/>
  <c r="J1559" i="14" s="1"/>
  <c r="N1560" i="14"/>
  <c r="M1563" i="13"/>
  <c r="K1375" i="13" l="1"/>
  <c r="L1375" i="13" s="1"/>
  <c r="I1376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98" i="14" l="1"/>
  <c r="L1398" i="14" s="1"/>
  <c r="I1399" i="14" s="1"/>
  <c r="K1376" i="13"/>
  <c r="L1376" i="13" s="1"/>
  <c r="I1377" i="13" s="1"/>
  <c r="J1561" i="14" a="1"/>
  <c r="J1561" i="14" s="1"/>
  <c r="N1562" i="14"/>
  <c r="M1566" i="14"/>
  <c r="M1565" i="13"/>
  <c r="J1562" i="13" a="1"/>
  <c r="J1562" i="13" s="1"/>
  <c r="N1563" i="13"/>
  <c r="K1399" i="14" l="1"/>
  <c r="L1399" i="14" s="1"/>
  <c r="I1400" i="14" s="1"/>
  <c r="K1377" i="13"/>
  <c r="L1377" i="13" s="1"/>
  <c r="I1378" i="13" s="1"/>
  <c r="M1566" i="13"/>
  <c r="J1563" i="13" a="1"/>
  <c r="J1563" i="13" s="1"/>
  <c r="N1564" i="13"/>
  <c r="M1567" i="14"/>
  <c r="J1562" i="14" a="1"/>
  <c r="J1562" i="14" s="1"/>
  <c r="N1563" i="14"/>
  <c r="K1378" i="13" l="1"/>
  <c r="L1378" i="13" s="1"/>
  <c r="I1379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401" i="14" l="1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/>
  <c r="L1379" i="13" s="1"/>
  <c r="I1380" i="13" s="1"/>
  <c r="K1380" i="13" l="1"/>
  <c r="L1380" i="13" s="1"/>
  <c r="I1381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403" i="14" l="1"/>
  <c r="L1403" i="14" s="1"/>
  <c r="I1404" i="14" s="1"/>
  <c r="K1381" i="13"/>
  <c r="L1381" i="13" s="1"/>
  <c r="I1382" i="13" s="1"/>
  <c r="J1567" i="13" a="1"/>
  <c r="J1567" i="13" s="1"/>
  <c r="N1568" i="13"/>
  <c r="J1566" i="14" a="1"/>
  <c r="J1566" i="14" s="1"/>
  <c r="N1567" i="14"/>
  <c r="M1571" i="14"/>
  <c r="M1570" i="13"/>
  <c r="K1382" i="13" l="1"/>
  <c r="L1382" i="13" s="1"/>
  <c r="I1383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405" i="14" l="1"/>
  <c r="L1405" i="14" s="1"/>
  <c r="I1406" i="14" s="1"/>
  <c r="K1383" i="13"/>
  <c r="L1383" i="13" s="1"/>
  <c r="I1384" i="13" s="1"/>
  <c r="N1570" i="13"/>
  <c r="J1569" i="13" a="1"/>
  <c r="J1569" i="13" s="1"/>
  <c r="N1569" i="14"/>
  <c r="J1568" i="14" a="1"/>
  <c r="J1568" i="14" s="1"/>
  <c r="M1573" i="14"/>
  <c r="M1572" i="13"/>
  <c r="K1406" i="14" l="1"/>
  <c r="L1406" i="14" s="1"/>
  <c r="I1407" i="14" s="1"/>
  <c r="M1573" i="13"/>
  <c r="K1384" i="13"/>
  <c r="L1384" i="13" s="1"/>
  <c r="I1385" i="13" s="1"/>
  <c r="J1569" i="14" a="1"/>
  <c r="J1569" i="14" s="1"/>
  <c r="N1570" i="14"/>
  <c r="M1574" i="14"/>
  <c r="J1570" i="13" a="1"/>
  <c r="J1570" i="13" s="1"/>
  <c r="N1571" i="13"/>
  <c r="K1407" i="14" l="1"/>
  <c r="L1407" i="14" s="1"/>
  <c r="I1408" i="14" s="1"/>
  <c r="K1385" i="13"/>
  <c r="L1385" i="13" s="1"/>
  <c r="I1386" i="13" s="1"/>
  <c r="J1570" i="14" a="1"/>
  <c r="J1570" i="14" s="1"/>
  <c r="N1571" i="14"/>
  <c r="J1571" i="13" a="1"/>
  <c r="J1571" i="13" s="1"/>
  <c r="N1572" i="13"/>
  <c r="M1574" i="13"/>
  <c r="M1575" i="14"/>
  <c r="K1408" i="14" l="1"/>
  <c r="L1408" i="14" s="1"/>
  <c r="I1409" i="14" s="1"/>
  <c r="M1576" i="14"/>
  <c r="J1572" i="13" a="1"/>
  <c r="J1572" i="13" s="1"/>
  <c r="N1573" i="13"/>
  <c r="K1386" i="13"/>
  <c r="L1386" i="13" s="1"/>
  <c r="I1387" i="13" s="1"/>
  <c r="J1571" i="14" a="1"/>
  <c r="J1571" i="14" s="1"/>
  <c r="N1572" i="14"/>
  <c r="M1575" i="13"/>
  <c r="K1387" i="13" l="1"/>
  <c r="L1387" i="13" s="1"/>
  <c r="I1388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410" i="14" l="1"/>
  <c r="L1410" i="14" s="1"/>
  <c r="I1411" i="14" s="1"/>
  <c r="K1388" i="13"/>
  <c r="L1388" i="13" s="1"/>
  <c r="I1389" i="13" s="1"/>
  <c r="M1577" i="13"/>
  <c r="J1573" i="14" a="1"/>
  <c r="J1573" i="14" s="1"/>
  <c r="N1574" i="14"/>
  <c r="M1578" i="14"/>
  <c r="J1574" i="13" a="1"/>
  <c r="J1574" i="13" s="1"/>
  <c r="N1575" i="13"/>
  <c r="K1389" i="13" l="1"/>
  <c r="L1389" i="13" s="1"/>
  <c r="I1390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90" i="13" l="1"/>
  <c r="L1390" i="13" s="1"/>
  <c r="I1391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1" i="13" l="1"/>
  <c r="L1391" i="13" s="1"/>
  <c r="I1392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414" i="14" l="1"/>
  <c r="L1414" i="14" s="1"/>
  <c r="I1415" i="14" s="1"/>
  <c r="K1392" i="13"/>
  <c r="L1392" i="13" s="1"/>
  <c r="I1393" i="13" s="1"/>
  <c r="M1582" i="14"/>
  <c r="J1578" i="13" a="1"/>
  <c r="J1578" i="13" s="1"/>
  <c r="N1579" i="13"/>
  <c r="M1581" i="13"/>
  <c r="J1577" i="14" a="1"/>
  <c r="J1577" i="14" s="1"/>
  <c r="N1578" i="14"/>
  <c r="K1415" i="14" l="1"/>
  <c r="L1415" i="14" s="1"/>
  <c r="I1416" i="14" s="1"/>
  <c r="K1393" i="13"/>
  <c r="L1393" i="13" s="1"/>
  <c r="I1394" i="13" s="1"/>
  <c r="J1578" i="14" a="1"/>
  <c r="J1578" i="14" s="1"/>
  <c r="N1579" i="14"/>
  <c r="J1579" i="13" a="1"/>
  <c r="J1579" i="13" s="1"/>
  <c r="N1580" i="13"/>
  <c r="M1582" i="13"/>
  <c r="M1583" i="14"/>
  <c r="K1394" i="13" l="1"/>
  <c r="L1394" i="13" s="1"/>
  <c r="I1395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5" i="13" l="1"/>
  <c r="L1395" i="13" s="1"/>
  <c r="I1396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418" i="14" l="1"/>
  <c r="L1418" i="14" s="1"/>
  <c r="I1419" i="14" s="1"/>
  <c r="K1396" i="13"/>
  <c r="L1396" i="13" s="1"/>
  <c r="I1397" i="13" s="1"/>
  <c r="J1581" i="14" a="1"/>
  <c r="J1581" i="14" s="1"/>
  <c r="N1582" i="14"/>
  <c r="M1586" i="14"/>
  <c r="M1585" i="13"/>
  <c r="J1582" i="13" a="1"/>
  <c r="J1582" i="13" s="1"/>
  <c r="N1583" i="13"/>
  <c r="K1419" i="14" l="1"/>
  <c r="L1419" i="14" s="1"/>
  <c r="I1420" i="14" s="1"/>
  <c r="K1397" i="13"/>
  <c r="L1397" i="13" s="1"/>
  <c r="I1398" i="13" s="1"/>
  <c r="J1583" i="13" a="1"/>
  <c r="J1583" i="13" s="1"/>
  <c r="N1584" i="13"/>
  <c r="M1587" i="14"/>
  <c r="J1582" i="14" a="1"/>
  <c r="J1582" i="14" s="1"/>
  <c r="N1583" i="14"/>
  <c r="M1586" i="13"/>
  <c r="K1398" i="13" l="1"/>
  <c r="L1398" i="13" s="1"/>
  <c r="I1399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421" i="14" l="1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/>
  <c r="L1399" i="13" s="1"/>
  <c r="I1400" i="13" s="1"/>
  <c r="K1400" i="13" l="1"/>
  <c r="L1400" i="13" s="1"/>
  <c r="I1401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23" i="14" l="1"/>
  <c r="L1423" i="14" s="1"/>
  <c r="I1424" i="14" s="1"/>
  <c r="K1401" i="13"/>
  <c r="L1401" i="13" s="1"/>
  <c r="I1402" i="13" s="1"/>
  <c r="J1586" i="14" a="1"/>
  <c r="J1586" i="14" s="1"/>
  <c r="N1587" i="14"/>
  <c r="J1587" i="13" a="1"/>
  <c r="J1587" i="13" s="1"/>
  <c r="N1588" i="13"/>
  <c r="M1590" i="13"/>
  <c r="M1591" i="14"/>
  <c r="K1402" i="13" l="1"/>
  <c r="L1402" i="13" s="1"/>
  <c r="I1403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25" i="14" l="1"/>
  <c r="L1425" i="14" s="1"/>
  <c r="I1426" i="14" s="1"/>
  <c r="K1403" i="13"/>
  <c r="L1403" i="13" s="1"/>
  <c r="I1404" i="13" s="1"/>
  <c r="N1590" i="13"/>
  <c r="J1589" i="13" a="1"/>
  <c r="J1589" i="13" s="1"/>
  <c r="M1592" i="13"/>
  <c r="N1589" i="14"/>
  <c r="J1588" i="14" a="1"/>
  <c r="J1588" i="14" s="1"/>
  <c r="M1593" i="14"/>
  <c r="K1426" i="14" l="1"/>
  <c r="L1426" i="14" s="1"/>
  <c r="I1427" i="14" s="1"/>
  <c r="K1404" i="13"/>
  <c r="L1404" i="13" s="1"/>
  <c r="I1405" i="13" s="1"/>
  <c r="J1589" i="14" a="1"/>
  <c r="J1589" i="14" s="1"/>
  <c r="N1590" i="14"/>
  <c r="M1593" i="13"/>
  <c r="M1594" i="14"/>
  <c r="J1590" i="13" a="1"/>
  <c r="J1590" i="13" s="1"/>
  <c r="N1591" i="13"/>
  <c r="K1427" i="14" l="1"/>
  <c r="L1427" i="14" s="1"/>
  <c r="I1428" i="14" s="1"/>
  <c r="K1405" i="13"/>
  <c r="L1405" i="13" s="1"/>
  <c r="I1406" i="13" s="1"/>
  <c r="M1594" i="13"/>
  <c r="J1590" i="14" a="1"/>
  <c r="J1590" i="14" s="1"/>
  <c r="N1591" i="14"/>
  <c r="J1591" i="13" a="1"/>
  <c r="J1591" i="13" s="1"/>
  <c r="N1592" i="13"/>
  <c r="M1595" i="14"/>
  <c r="K1406" i="13" l="1"/>
  <c r="L1406" i="13" s="1"/>
  <c r="I1407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29" i="14" l="1"/>
  <c r="L1429" i="14" s="1"/>
  <c r="I1430" i="14" s="1"/>
  <c r="K1407" i="13"/>
  <c r="L1407" i="13" s="1"/>
  <c r="I1408" i="13" s="1"/>
  <c r="N1594" i="13"/>
  <c r="J1593" i="13" a="1"/>
  <c r="J1593" i="13" s="1"/>
  <c r="M1596" i="13"/>
  <c r="M1597" i="14"/>
  <c r="N1593" i="14"/>
  <c r="J1592" i="14" a="1"/>
  <c r="J1592" i="14" s="1"/>
  <c r="K1430" i="14" l="1"/>
  <c r="L1430" i="14" s="1"/>
  <c r="I1431" i="14" s="1"/>
  <c r="M1597" i="13"/>
  <c r="J1593" i="14" a="1"/>
  <c r="J1593" i="14" s="1"/>
  <c r="N1594" i="14"/>
  <c r="K1408" i="13"/>
  <c r="L1408" i="13" s="1"/>
  <c r="I1409" i="13" s="1"/>
  <c r="M1598" i="14"/>
  <c r="J1594" i="13" a="1"/>
  <c r="J1594" i="13" s="1"/>
  <c r="N1595" i="13"/>
  <c r="K1431" i="14" l="1"/>
  <c r="L1431" i="14" s="1"/>
  <c r="I1432" i="14" s="1"/>
  <c r="M1599" i="14"/>
  <c r="J1595" i="13" a="1"/>
  <c r="J1595" i="13" s="1"/>
  <c r="N1596" i="13"/>
  <c r="K1409" i="13"/>
  <c r="L1409" i="13" s="1"/>
  <c r="I1410" i="13" s="1"/>
  <c r="M1598" i="13"/>
  <c r="J1594" i="14" a="1"/>
  <c r="J1594" i="14" s="1"/>
  <c r="N1595" i="14"/>
  <c r="K1410" i="13" l="1"/>
  <c r="L1410" i="13" s="1"/>
  <c r="I1411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1" i="13" l="1"/>
  <c r="L1411" i="13" s="1"/>
  <c r="I1412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34" i="14" l="1"/>
  <c r="L1434" i="14" s="1"/>
  <c r="I1435" i="14" s="1"/>
  <c r="K1412" i="13"/>
  <c r="L1412" i="13" s="1"/>
  <c r="I1413" i="13" s="1"/>
  <c r="M1602" i="14"/>
  <c r="J1598" i="13" a="1"/>
  <c r="J1598" i="13" s="1"/>
  <c r="N1599" i="13"/>
  <c r="M1601" i="13"/>
  <c r="J1597" i="14" a="1"/>
  <c r="J1597" i="14" s="1"/>
  <c r="N1598" i="14"/>
  <c r="K1435" i="14" l="1"/>
  <c r="L1435" i="14" s="1"/>
  <c r="I1436" i="14" s="1"/>
  <c r="J1599" i="13" a="1"/>
  <c r="J1599" i="13" s="1"/>
  <c r="N1600" i="13"/>
  <c r="J1598" i="14" a="1"/>
  <c r="J1598" i="14" s="1"/>
  <c r="N1599" i="14"/>
  <c r="K1413" i="13"/>
  <c r="L1413" i="13" s="1"/>
  <c r="I1414" i="13" s="1"/>
  <c r="M1602" i="13"/>
  <c r="M1603" i="14"/>
  <c r="K1436" i="14" l="1"/>
  <c r="L1436" i="14" s="1"/>
  <c r="I1437" i="14" s="1"/>
  <c r="M1604" i="14"/>
  <c r="J1600" i="13" a="1"/>
  <c r="J1600" i="13" s="1"/>
  <c r="N1601" i="13"/>
  <c r="J1599" i="14" a="1"/>
  <c r="J1599" i="14" s="1"/>
  <c r="N1600" i="14"/>
  <c r="K1414" i="13"/>
  <c r="L1414" i="13" s="1"/>
  <c r="I1415" i="13" s="1"/>
  <c r="M1603" i="13"/>
  <c r="K1437" i="14" l="1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/>
  <c r="L1415" i="13" s="1"/>
  <c r="I1416" i="13" s="1"/>
  <c r="K1416" i="13" l="1"/>
  <c r="L1416" i="13" s="1"/>
  <c r="I1417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39" i="14" l="1"/>
  <c r="L1439" i="14" s="1"/>
  <c r="I1440" i="14" s="1"/>
  <c r="K1417" i="13"/>
  <c r="L1417" i="13" s="1"/>
  <c r="I1418" i="13" s="1"/>
  <c r="J1603" i="13" a="1"/>
  <c r="J1603" i="13" s="1"/>
  <c r="N1604" i="13"/>
  <c r="M1606" i="13"/>
  <c r="M1607" i="14"/>
  <c r="J1602" i="14" a="1"/>
  <c r="J1602" i="14" s="1"/>
  <c r="N1603" i="14"/>
  <c r="K1440" i="14" l="1"/>
  <c r="L1440" i="14" s="1"/>
  <c r="I1441" i="14" s="1"/>
  <c r="M1607" i="13"/>
  <c r="J1604" i="13" a="1"/>
  <c r="J1604" i="13" s="1"/>
  <c r="N1605" i="13"/>
  <c r="J1603" i="14" a="1"/>
  <c r="J1603" i="14" s="1"/>
  <c r="N1604" i="14"/>
  <c r="K1418" i="13"/>
  <c r="L1418" i="13" s="1"/>
  <c r="I1419" i="13" s="1"/>
  <c r="M1608" i="14"/>
  <c r="K1419" i="13" l="1"/>
  <c r="L1419" i="13" s="1"/>
  <c r="I1420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42" i="14" l="1"/>
  <c r="L1442" i="14" s="1"/>
  <c r="I1443" i="14" s="1"/>
  <c r="K1420" i="13"/>
  <c r="L1420" i="13" s="1"/>
  <c r="I1421" i="13" s="1"/>
  <c r="J1606" i="13" a="1"/>
  <c r="J1606" i="13" s="1"/>
  <c r="N1607" i="13"/>
  <c r="M1610" i="14"/>
  <c r="M1609" i="13"/>
  <c r="J1605" i="14" a="1"/>
  <c r="J1605" i="14" s="1"/>
  <c r="N1606" i="14"/>
  <c r="K1421" i="13" l="1"/>
  <c r="L1421" i="13" s="1"/>
  <c r="I1422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2" i="13" l="1"/>
  <c r="L1422" i="13" s="1"/>
  <c r="I1423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45" i="14" l="1"/>
  <c r="L1445" i="14" s="1"/>
  <c r="I1446" i="14" s="1"/>
  <c r="K1423" i="13"/>
  <c r="L1423" i="13" s="1"/>
  <c r="I1424" i="13" s="1"/>
  <c r="N1609" i="14"/>
  <c r="J1608" i="14" a="1"/>
  <c r="J1608" i="14" s="1"/>
  <c r="N1610" i="13"/>
  <c r="J1609" i="13" a="1"/>
  <c r="J1609" i="13" s="1"/>
  <c r="M1613" i="14"/>
  <c r="M1612" i="13"/>
  <c r="K1446" i="14" l="1"/>
  <c r="L1446" i="14" s="1"/>
  <c r="I1447" i="14" s="1"/>
  <c r="M1614" i="14"/>
  <c r="M1613" i="13"/>
  <c r="K1424" i="13"/>
  <c r="L1424" i="13" s="1"/>
  <c r="I1425" i="13" s="1"/>
  <c r="J1610" i="13" a="1"/>
  <c r="J1610" i="13" s="1"/>
  <c r="N1611" i="13"/>
  <c r="J1609" i="14" a="1"/>
  <c r="J1609" i="14" s="1"/>
  <c r="N1610" i="14"/>
  <c r="K1425" i="13" l="1"/>
  <c r="L1425" i="13" s="1"/>
  <c r="I1426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48" i="14" l="1"/>
  <c r="L1448" i="14" s="1"/>
  <c r="I1449" i="14" s="1"/>
  <c r="K1426" i="13"/>
  <c r="L1426" i="13" s="1"/>
  <c r="I1427" i="13" s="1"/>
  <c r="M1616" i="14"/>
  <c r="J1612" i="13" a="1"/>
  <c r="J1612" i="13" s="1"/>
  <c r="N1613" i="13"/>
  <c r="M1615" i="13"/>
  <c r="J1611" i="14" a="1"/>
  <c r="J1611" i="14" s="1"/>
  <c r="N1612" i="14"/>
  <c r="K1427" i="13" l="1"/>
  <c r="L1427" i="13" s="1"/>
  <c r="I1428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50" i="14" l="1"/>
  <c r="L1450" i="14" s="1"/>
  <c r="I1451" i="14" s="1"/>
  <c r="K1428" i="13"/>
  <c r="L1428" i="13" s="1"/>
  <c r="I1429" i="13" s="1"/>
  <c r="M1618" i="14"/>
  <c r="J1614" i="13" a="1"/>
  <c r="J1614" i="13" s="1"/>
  <c r="N1615" i="13"/>
  <c r="M1617" i="13"/>
  <c r="J1613" i="14" a="1"/>
  <c r="J1613" i="14" s="1"/>
  <c r="N1614" i="14"/>
  <c r="K1451" i="14" l="1"/>
  <c r="L1451" i="14" s="1"/>
  <c r="I1452" i="14" s="1"/>
  <c r="K1429" i="13"/>
  <c r="L1429" i="13" s="1"/>
  <c r="I1430" i="13" s="1"/>
  <c r="J1614" i="14" a="1"/>
  <c r="J1614" i="14" s="1"/>
  <c r="N1615" i="14"/>
  <c r="J1615" i="13" a="1"/>
  <c r="J1615" i="13" s="1"/>
  <c r="N1616" i="13"/>
  <c r="M1618" i="13"/>
  <c r="M1619" i="14"/>
  <c r="K1430" i="13" l="1"/>
  <c r="L1430" i="13" s="1"/>
  <c r="I1431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53" i="14" l="1"/>
  <c r="L1453" i="14" s="1"/>
  <c r="I1454" i="14" s="1"/>
  <c r="K1431" i="13"/>
  <c r="L1431" i="13" s="1"/>
  <c r="I1432" i="13" s="1"/>
  <c r="N1618" i="13"/>
  <c r="J1617" i="13" a="1"/>
  <c r="J1617" i="13" s="1"/>
  <c r="N1617" i="14"/>
  <c r="J1616" i="14" a="1"/>
  <c r="J1616" i="14" s="1"/>
  <c r="M1620" i="13"/>
  <c r="M1621" i="14"/>
  <c r="K1432" i="13" l="1"/>
  <c r="L1432" i="13" s="1"/>
  <c r="I1433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55" i="14" l="1"/>
  <c r="L1455" i="14" s="1"/>
  <c r="I1456" i="14" s="1"/>
  <c r="K1433" i="13"/>
  <c r="L1433" i="13" s="1"/>
  <c r="I1434" i="13" s="1"/>
  <c r="J1619" i="13" a="1"/>
  <c r="J1619" i="13" s="1"/>
  <c r="N1620" i="13"/>
  <c r="M1623" i="14"/>
  <c r="J1618" i="14" a="1"/>
  <c r="J1618" i="14" s="1"/>
  <c r="N1619" i="14"/>
  <c r="M1622" i="13"/>
  <c r="K1456" i="14" l="1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/>
  <c r="L1434" i="13" s="1"/>
  <c r="I1435" i="13" s="1"/>
  <c r="K1435" i="13" l="1"/>
  <c r="L1435" i="13" s="1"/>
  <c r="I1436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6" i="13" l="1"/>
  <c r="L1436" i="13" s="1"/>
  <c r="I1437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59" i="14" l="1"/>
  <c r="L1459" i="14" s="1"/>
  <c r="I1460" i="14" s="1"/>
  <c r="K1437" i="13"/>
  <c r="L1437" i="13" s="1"/>
  <c r="I1438" i="13" s="1"/>
  <c r="J1623" i="13" a="1"/>
  <c r="J1623" i="13" s="1"/>
  <c r="N1624" i="13"/>
  <c r="J1622" i="14" a="1"/>
  <c r="J1622" i="14" s="1"/>
  <c r="N1623" i="14"/>
  <c r="M1626" i="13"/>
  <c r="M1627" i="14"/>
  <c r="K1438" i="13" l="1"/>
  <c r="L1438" i="13" s="1"/>
  <c r="I1439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61" i="14" l="1"/>
  <c r="L1461" i="14" s="1"/>
  <c r="I1462" i="14" s="1"/>
  <c r="K1439" i="13"/>
  <c r="L1439" i="13" s="1"/>
  <c r="I1440" i="13" s="1"/>
  <c r="N1625" i="14"/>
  <c r="J1624" i="14" a="1"/>
  <c r="J1624" i="14" s="1"/>
  <c r="M1628" i="13"/>
  <c r="N1626" i="13"/>
  <c r="J1625" i="13" a="1"/>
  <c r="J1625" i="13" s="1"/>
  <c r="M1629" i="14"/>
  <c r="K1440" i="13" l="1"/>
  <c r="L1440" i="13" s="1"/>
  <c r="I1441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63" i="14" l="1"/>
  <c r="L1463" i="14" s="1"/>
  <c r="I1464" i="14" s="1"/>
  <c r="K1441" i="13"/>
  <c r="L1441" i="13" s="1"/>
  <c r="I1442" i="13" s="1"/>
  <c r="J1626" i="14" a="1"/>
  <c r="J1626" i="14" s="1"/>
  <c r="N1627" i="14"/>
  <c r="M1630" i="13"/>
  <c r="J1627" i="13" a="1"/>
  <c r="J1627" i="13" s="1"/>
  <c r="N1628" i="13"/>
  <c r="M1631" i="14"/>
  <c r="K1442" i="13" l="1"/>
  <c r="L1442" i="13" s="1"/>
  <c r="I1443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65" i="14" l="1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/>
  <c r="L1443" i="13" s="1"/>
  <c r="I1444" i="13" s="1"/>
  <c r="K1466" i="14" l="1"/>
  <c r="L1466" i="14" s="1"/>
  <c r="I1467" i="14" s="1"/>
  <c r="K1444" i="13"/>
  <c r="L1444" i="13" s="1"/>
  <c r="I1445" i="13" s="1"/>
  <c r="J1630" i="13" a="1"/>
  <c r="J1630" i="13" s="1"/>
  <c r="N1631" i="13"/>
  <c r="J1629" i="14" a="1"/>
  <c r="J1629" i="14" s="1"/>
  <c r="N1630" i="14"/>
  <c r="M1633" i="13"/>
  <c r="M1634" i="14"/>
  <c r="K1467" i="14" l="1"/>
  <c r="L1467" i="14" s="1"/>
  <c r="I1468" i="14" s="1"/>
  <c r="M1635" i="14"/>
  <c r="J1630" i="14" a="1"/>
  <c r="J1630" i="14" s="1"/>
  <c r="N1631" i="14"/>
  <c r="K1445" i="13"/>
  <c r="L1445" i="13" s="1"/>
  <c r="I1446" i="13" s="1"/>
  <c r="J1631" i="13" a="1"/>
  <c r="J1631" i="13" s="1"/>
  <c r="N1632" i="13"/>
  <c r="M1634" i="13"/>
  <c r="K1468" i="14" l="1"/>
  <c r="L1468" i="14" s="1"/>
  <c r="I1469" i="14" s="1"/>
  <c r="M1635" i="13"/>
  <c r="M1636" i="14"/>
  <c r="K1446" i="13"/>
  <c r="L1446" i="13" s="1"/>
  <c r="I1447" i="13" s="1"/>
  <c r="J1631" i="14" a="1"/>
  <c r="J1631" i="14" s="1"/>
  <c r="N1632" i="14"/>
  <c r="J1632" i="13" a="1"/>
  <c r="J1632" i="13" s="1"/>
  <c r="N1633" i="13"/>
  <c r="K1447" i="13" l="1"/>
  <c r="L1447" i="13" s="1"/>
  <c r="I1448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70" i="14" l="1"/>
  <c r="L1470" i="14" s="1"/>
  <c r="I1471" i="14" s="1"/>
  <c r="K1448" i="13"/>
  <c r="L1448" i="13" s="1"/>
  <c r="I1449" i="13" s="1"/>
  <c r="J1633" i="14" a="1"/>
  <c r="J1633" i="14" s="1"/>
  <c r="N1634" i="14"/>
  <c r="M1637" i="13"/>
  <c r="M1638" i="14"/>
  <c r="J1634" i="13" a="1"/>
  <c r="J1634" i="13" s="1"/>
  <c r="N1635" i="13"/>
  <c r="K1471" i="14" l="1"/>
  <c r="L1471" i="14" s="1"/>
  <c r="I1472" i="14" s="1"/>
  <c r="M1639" i="14"/>
  <c r="J1635" i="13" a="1"/>
  <c r="J1635" i="13" s="1"/>
  <c r="N1636" i="13"/>
  <c r="M1638" i="13"/>
  <c r="K1449" i="13"/>
  <c r="L1449" i="13" s="1"/>
  <c r="I1450" i="13" s="1"/>
  <c r="J1634" i="14" a="1"/>
  <c r="J1634" i="14" s="1"/>
  <c r="N1635" i="14"/>
  <c r="K1450" i="13" l="1"/>
  <c r="L1450" i="13" s="1"/>
  <c r="I1451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73" i="14" l="1"/>
  <c r="L1473" i="14" s="1"/>
  <c r="I1474" i="14" s="1"/>
  <c r="K1451" i="13"/>
  <c r="L1451" i="13" s="1"/>
  <c r="I1452" i="13" s="1"/>
  <c r="N1638" i="13"/>
  <c r="J1637" i="13" a="1"/>
  <c r="J1637" i="13" s="1"/>
  <c r="N1637" i="14"/>
  <c r="J1636" i="14" a="1"/>
  <c r="J1636" i="14" s="1"/>
  <c r="M1641" i="14"/>
  <c r="M1640" i="13"/>
  <c r="K1452" i="13" l="1"/>
  <c r="L1452" i="13" s="1"/>
  <c r="I1453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75" i="14" l="1"/>
  <c r="L1475" i="14" s="1"/>
  <c r="I1476" i="14" s="1"/>
  <c r="K1453" i="13"/>
  <c r="L1453" i="13" s="1"/>
  <c r="I1454" i="13" s="1"/>
  <c r="J1639" i="13" a="1"/>
  <c r="J1639" i="13" s="1"/>
  <c r="N1640" i="13"/>
  <c r="M1642" i="13"/>
  <c r="J1638" i="14" a="1"/>
  <c r="J1638" i="14" s="1"/>
  <c r="N1639" i="14"/>
  <c r="M1643" i="14"/>
  <c r="K1454" i="13" l="1"/>
  <c r="L1454" i="13" s="1"/>
  <c r="I1455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77" i="14" l="1"/>
  <c r="L1477" i="14" s="1"/>
  <c r="I1478" i="14" s="1"/>
  <c r="K1455" i="13"/>
  <c r="L1455" i="13" s="1"/>
  <c r="I1456" i="13" s="1"/>
  <c r="N1642" i="13"/>
  <c r="J1641" i="13" a="1"/>
  <c r="J1641" i="13" s="1"/>
  <c r="M1645" i="14"/>
  <c r="N1641" i="14"/>
  <c r="J1640" i="14" a="1"/>
  <c r="J1640" i="14" s="1"/>
  <c r="M1644" i="13"/>
  <c r="K1456" i="13" l="1"/>
  <c r="L1456" i="13" s="1"/>
  <c r="I1457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79" i="14" l="1"/>
  <c r="L1479" i="14" s="1"/>
  <c r="I1480" i="14" s="1"/>
  <c r="K1457" i="13"/>
  <c r="L1457" i="13" s="1"/>
  <c r="I1458" i="13" s="1"/>
  <c r="J1643" i="13" a="1"/>
  <c r="J1643" i="13" s="1"/>
  <c r="N1644" i="13"/>
  <c r="M1646" i="13"/>
  <c r="J1642" i="14" a="1"/>
  <c r="J1642" i="14" s="1"/>
  <c r="N1643" i="14"/>
  <c r="M1647" i="14"/>
  <c r="K1458" i="13" l="1"/>
  <c r="L1458" i="13" s="1"/>
  <c r="I1459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81" i="14" l="1"/>
  <c r="L1481" i="14" s="1"/>
  <c r="I1482" i="14" s="1"/>
  <c r="K1459" i="13"/>
  <c r="L1459" i="13" s="1"/>
  <c r="I1460" i="13" s="1"/>
  <c r="M1648" i="13"/>
  <c r="N1646" i="13"/>
  <c r="J1645" i="13" a="1"/>
  <c r="J1645" i="13" s="1"/>
  <c r="N1645" i="14"/>
  <c r="J1644" i="14" a="1"/>
  <c r="J1644" i="14" s="1"/>
  <c r="M1649" i="14"/>
  <c r="K1482" i="14" l="1"/>
  <c r="L1482" i="14" s="1"/>
  <c r="I1483" i="14" s="1"/>
  <c r="J1646" i="13" a="1"/>
  <c r="J1646" i="13" s="1"/>
  <c r="N1647" i="13"/>
  <c r="M1649" i="13"/>
  <c r="M1650" i="14"/>
  <c r="K1460" i="13"/>
  <c r="L1460" i="13" s="1"/>
  <c r="I1461" i="13" s="1"/>
  <c r="J1645" i="14" a="1"/>
  <c r="J1645" i="14" s="1"/>
  <c r="N1646" i="14"/>
  <c r="K1461" i="13" l="1"/>
  <c r="L1461" i="13" s="1"/>
  <c r="I1462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2" i="13" l="1"/>
  <c r="L1462" i="13" s="1"/>
  <c r="I1463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85" i="14" l="1"/>
  <c r="L1485" i="14" s="1"/>
  <c r="I1486" i="14" s="1"/>
  <c r="K1463" i="13"/>
  <c r="L1463" i="13" s="1"/>
  <c r="I1464" i="13" s="1"/>
  <c r="M1652" i="13"/>
  <c r="M1653" i="14"/>
  <c r="N1649" i="14"/>
  <c r="J1648" i="14" a="1"/>
  <c r="J1648" i="14" s="1"/>
  <c r="N1650" i="13"/>
  <c r="J1649" i="13" a="1"/>
  <c r="J1649" i="13" s="1"/>
  <c r="K1486" i="14" l="1"/>
  <c r="L1486" i="14" s="1"/>
  <c r="I1487" i="14" s="1"/>
  <c r="J1650" i="13" a="1"/>
  <c r="J1650" i="13" s="1"/>
  <c r="N1651" i="13"/>
  <c r="M1654" i="14"/>
  <c r="K1464" i="13"/>
  <c r="L1464" i="13" s="1"/>
  <c r="I1465" i="13" s="1"/>
  <c r="M1653" i="13"/>
  <c r="J1649" i="14" a="1"/>
  <c r="J1649" i="14" s="1"/>
  <c r="N1650" i="14"/>
  <c r="K1465" i="13" l="1"/>
  <c r="L1465" i="13" s="1"/>
  <c r="I1466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88" i="14" l="1"/>
  <c r="L1488" i="14" s="1"/>
  <c r="I1489" i="14" s="1"/>
  <c r="K1466" i="13"/>
  <c r="L1466" i="13" s="1"/>
  <c r="I1467" i="13" s="1"/>
  <c r="J1652" i="13" a="1"/>
  <c r="J1652" i="13" s="1"/>
  <c r="N1653" i="13"/>
  <c r="J1651" i="14" a="1"/>
  <c r="J1651" i="14" s="1"/>
  <c r="N1652" i="14"/>
  <c r="M1656" i="14"/>
  <c r="M1655" i="13"/>
  <c r="K1489" i="14" l="1"/>
  <c r="L1489" i="14" s="1"/>
  <c r="I1490" i="14" s="1"/>
  <c r="K1467" i="13"/>
  <c r="L1467" i="13" s="1"/>
  <c r="I1468" i="13" s="1"/>
  <c r="M1656" i="13"/>
  <c r="N1654" i="13"/>
  <c r="J1653" i="13" a="1"/>
  <c r="J1653" i="13" s="1"/>
  <c r="N1653" i="14"/>
  <c r="J1652" i="14" a="1"/>
  <c r="J1652" i="14" s="1"/>
  <c r="M1657" i="14"/>
  <c r="K1468" i="13" l="1"/>
  <c r="L1468" i="13" s="1"/>
  <c r="I1469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91" i="14" l="1"/>
  <c r="L1491" i="14" s="1"/>
  <c r="I1492" i="14" s="1"/>
  <c r="K1469" i="13"/>
  <c r="L1469" i="13" s="1"/>
  <c r="I1470" i="13" s="1"/>
  <c r="J1655" i="13" a="1"/>
  <c r="J1655" i="13" s="1"/>
  <c r="N1656" i="13"/>
  <c r="J1654" i="14" a="1"/>
  <c r="J1654" i="14" s="1"/>
  <c r="N1655" i="14"/>
  <c r="M1658" i="13"/>
  <c r="M1659" i="14"/>
  <c r="K1470" i="13" l="1"/>
  <c r="L1470" i="13" s="1"/>
  <c r="I1471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93" i="14" l="1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/>
  <c r="L1471" i="13" s="1"/>
  <c r="I1472" i="13" s="1"/>
  <c r="K1472" i="13" l="1"/>
  <c r="L1472" i="13" s="1"/>
  <c r="I1473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3" i="13" l="1"/>
  <c r="L1473" i="13" s="1"/>
  <c r="I1474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96" i="14" l="1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/>
  <c r="L1474" i="13" s="1"/>
  <c r="I1475" i="13" s="1"/>
  <c r="K1475" i="13" l="1"/>
  <c r="L1475" i="13" s="1"/>
  <c r="I1476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98" i="14" l="1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/>
  <c r="L1476" i="13" s="1"/>
  <c r="I1477" i="13" s="1"/>
  <c r="K1477" i="13" l="1"/>
  <c r="L1477" i="13" s="1"/>
  <c r="I1478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500" i="14" l="1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/>
  <c r="L1478" i="13" s="1"/>
  <c r="I1479" i="13" s="1"/>
  <c r="K1479" i="13" l="1"/>
  <c r="L1479" i="13" s="1"/>
  <c r="I1480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502" i="14" l="1"/>
  <c r="L1502" i="14" s="1"/>
  <c r="I1503" i="14" s="1"/>
  <c r="K1480" i="13"/>
  <c r="L1480" i="13" s="1"/>
  <c r="I1481" i="13" s="1"/>
  <c r="J1665" i="14" a="1"/>
  <c r="J1665" i="14" s="1"/>
  <c r="N1666" i="14"/>
  <c r="M1670" i="14"/>
  <c r="M1669" i="13"/>
  <c r="J1666" i="13" a="1"/>
  <c r="J1666" i="13" s="1"/>
  <c r="N1667" i="13"/>
  <c r="K1481" i="13" l="1"/>
  <c r="L1481" i="13" s="1"/>
  <c r="I1482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2" i="13" l="1"/>
  <c r="L1482" i="13" s="1"/>
  <c r="I1483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3" i="13" l="1"/>
  <c r="L1483" i="13" s="1"/>
  <c r="I1484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506" i="14" l="1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/>
  <c r="L1484" i="13" s="1"/>
  <c r="I1485" i="13" s="1"/>
  <c r="K1507" i="14" l="1"/>
  <c r="L1507" i="14" s="1"/>
  <c r="I1508" i="14" s="1"/>
  <c r="K1485" i="13"/>
  <c r="L1485" i="13" s="1"/>
  <c r="I1486" i="13" s="1"/>
  <c r="J1670" i="14" a="1"/>
  <c r="J1670" i="14" s="1"/>
  <c r="N1671" i="14"/>
  <c r="J1671" i="13" a="1"/>
  <c r="J1671" i="13" s="1"/>
  <c r="N1672" i="13"/>
  <c r="M1674" i="13"/>
  <c r="M1675" i="14"/>
  <c r="K1486" i="13" l="1"/>
  <c r="L1486" i="13" s="1"/>
  <c r="I1487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509" i="14" l="1"/>
  <c r="L1509" i="14" s="1"/>
  <c r="I1510" i="14" s="1"/>
  <c r="K1487" i="13"/>
  <c r="L1487" i="13" s="1"/>
  <c r="I1488" i="13" s="1"/>
  <c r="N1674" i="13"/>
  <c r="J1673" i="13" a="1"/>
  <c r="J1673" i="13" s="1"/>
  <c r="M1677" i="14"/>
  <c r="N1673" i="14"/>
  <c r="J1672" i="14" a="1"/>
  <c r="J1672" i="14" s="1"/>
  <c r="M1676" i="13"/>
  <c r="K1510" i="14" l="1"/>
  <c r="L1510" i="14" s="1"/>
  <c r="I1511" i="14" s="1"/>
  <c r="K1488" i="13"/>
  <c r="L1488" i="13" s="1"/>
  <c r="I1489" i="13" s="1"/>
  <c r="M1678" i="14"/>
  <c r="M1677" i="13"/>
  <c r="J1673" i="14" a="1"/>
  <c r="J1673" i="14" s="1"/>
  <c r="N1674" i="14"/>
  <c r="J1674" i="13" a="1"/>
  <c r="J1674" i="13" s="1"/>
  <c r="N1675" i="13"/>
  <c r="K1489" i="13" l="1"/>
  <c r="L1489" i="13" s="1"/>
  <c r="I1490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512" i="14" l="1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/>
  <c r="L1490" i="13" s="1"/>
  <c r="I1491" i="13" s="1"/>
  <c r="K1491" i="13" l="1"/>
  <c r="L1491" i="13" s="1"/>
  <c r="I1492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514" i="14" l="1"/>
  <c r="L1514" i="14" s="1"/>
  <c r="I1515" i="14" s="1"/>
  <c r="K1492" i="13"/>
  <c r="L1492" i="13" s="1"/>
  <c r="I1493" i="13" s="1"/>
  <c r="M1681" i="13"/>
  <c r="M1682" i="14"/>
  <c r="J1678" i="13" a="1"/>
  <c r="J1678" i="13" s="1"/>
  <c r="N1679" i="13"/>
  <c r="J1677" i="14" a="1"/>
  <c r="J1677" i="14" s="1"/>
  <c r="N1678" i="14"/>
  <c r="K1515" i="14" l="1"/>
  <c r="L1515" i="14" s="1"/>
  <c r="I1516" i="14" s="1"/>
  <c r="K1493" i="13"/>
  <c r="L1493" i="13" s="1"/>
  <c r="I1494" i="13" s="1"/>
  <c r="M1683" i="14"/>
  <c r="J1679" i="13" a="1"/>
  <c r="J1679" i="13" s="1"/>
  <c r="N1680" i="13"/>
  <c r="J1678" i="14" a="1"/>
  <c r="J1678" i="14" s="1"/>
  <c r="N1679" i="14"/>
  <c r="M1682" i="13"/>
  <c r="K1516" i="14" l="1"/>
  <c r="L1516" i="14" s="1"/>
  <c r="I1517" i="14" s="1"/>
  <c r="K1494" i="13"/>
  <c r="L1494" i="13" s="1"/>
  <c r="I1495" i="13" s="1"/>
  <c r="J1680" i="13" a="1"/>
  <c r="J1680" i="13" s="1"/>
  <c r="N1681" i="13"/>
  <c r="M1683" i="13"/>
  <c r="J1679" i="14" a="1"/>
  <c r="J1679" i="14" s="1"/>
  <c r="N1680" i="14"/>
  <c r="M1684" i="14"/>
  <c r="K1495" i="13" l="1"/>
  <c r="L1495" i="13" s="1"/>
  <c r="I1496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518" i="14" l="1"/>
  <c r="L1518" i="14" s="1"/>
  <c r="I1519" i="14" s="1"/>
  <c r="K1496" i="13"/>
  <c r="L1496" i="13" s="1"/>
  <c r="I1497" i="13" s="1"/>
  <c r="J1681" i="14" a="1"/>
  <c r="J1681" i="14" s="1"/>
  <c r="N1682" i="14"/>
  <c r="M1686" i="14"/>
  <c r="M1685" i="13"/>
  <c r="J1682" i="13" a="1"/>
  <c r="J1682" i="13" s="1"/>
  <c r="N1683" i="13"/>
  <c r="K1519" i="14" l="1"/>
  <c r="L1519" i="14" s="1"/>
  <c r="I1520" i="14" s="1"/>
  <c r="K1497" i="13"/>
  <c r="L1497" i="13" s="1"/>
  <c r="I1498" i="13" s="1"/>
  <c r="J1683" i="13" a="1"/>
  <c r="J1683" i="13" s="1"/>
  <c r="N1684" i="13"/>
  <c r="M1687" i="14"/>
  <c r="J1682" i="14" a="1"/>
  <c r="J1682" i="14" s="1"/>
  <c r="N1683" i="14"/>
  <c r="M1686" i="13"/>
  <c r="K1498" i="13" l="1"/>
  <c r="L1498" i="13" s="1"/>
  <c r="I1499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521" i="14" l="1"/>
  <c r="L1521" i="14" s="1"/>
  <c r="I1522" i="14" s="1"/>
  <c r="K1499" i="13"/>
  <c r="L1499" i="13" s="1"/>
  <c r="I1500" i="13" s="1"/>
  <c r="M1688" i="13"/>
  <c r="N1685" i="14"/>
  <c r="J1684" i="14" a="1"/>
  <c r="J1684" i="14" s="1"/>
  <c r="N1686" i="13"/>
  <c r="J1685" i="13" a="1"/>
  <c r="J1685" i="13" s="1"/>
  <c r="M1689" i="14"/>
  <c r="K1500" i="13" l="1"/>
  <c r="L1500" i="13" s="1"/>
  <c r="I1501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23" i="14" l="1"/>
  <c r="L1523" i="14" s="1"/>
  <c r="I1524" i="14" s="1"/>
  <c r="K1501" i="13"/>
  <c r="L1501" i="13" s="1"/>
  <c r="I1502" i="13" s="1"/>
  <c r="J1686" i="14" a="1"/>
  <c r="J1686" i="14" s="1"/>
  <c r="N1687" i="14"/>
  <c r="J1687" i="13" a="1"/>
  <c r="J1687" i="13" s="1"/>
  <c r="N1688" i="13"/>
  <c r="M1690" i="13"/>
  <c r="M1691" i="14"/>
  <c r="K1502" i="13" l="1"/>
  <c r="L1502" i="13" s="1"/>
  <c r="I1503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3" i="13" l="1"/>
  <c r="L1503" i="13" s="1"/>
  <c r="I1504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26" i="14" l="1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/>
  <c r="L1504" i="13" s="1"/>
  <c r="I1505" i="13" s="1"/>
  <c r="K1505" i="13" l="1"/>
  <c r="L1505" i="13" s="1"/>
  <c r="I1506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6" i="13" l="1"/>
  <c r="L1506" i="13" s="1"/>
  <c r="I1507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29" i="14" l="1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/>
  <c r="L1507" i="13" s="1"/>
  <c r="I1508" i="13" s="1"/>
  <c r="K1508" i="13" l="1"/>
  <c r="L1508" i="13" s="1"/>
  <c r="I1509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31" i="14" l="1"/>
  <c r="L1531" i="14" s="1"/>
  <c r="I1532" i="14" s="1"/>
  <c r="K1509" i="13"/>
  <c r="L1509" i="13" s="1"/>
  <c r="I1510" i="13" s="1"/>
  <c r="J1694" i="14" a="1"/>
  <c r="J1694" i="14" s="1"/>
  <c r="N1695" i="14"/>
  <c r="M1699" i="14"/>
  <c r="J1695" i="13" a="1"/>
  <c r="J1695" i="13" s="1"/>
  <c r="N1696" i="13"/>
  <c r="M1698" i="13"/>
  <c r="K1532" i="14" l="1"/>
  <c r="L1532" i="14" s="1"/>
  <c r="I1533" i="14" s="1"/>
  <c r="K1510" i="13"/>
  <c r="L1510" i="13" s="1"/>
  <c r="I1511" i="13" s="1"/>
  <c r="M1700" i="14"/>
  <c r="M1699" i="13"/>
  <c r="J1696" i="13" a="1"/>
  <c r="J1696" i="13" s="1"/>
  <c r="N1697" i="13"/>
  <c r="J1695" i="14" a="1"/>
  <c r="J1695" i="14" s="1"/>
  <c r="N1696" i="14"/>
  <c r="K1511" i="13" l="1"/>
  <c r="L1511" i="13" s="1"/>
  <c r="I1512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34" i="14" l="1"/>
  <c r="L1534" i="14" s="1"/>
  <c r="I1535" i="14" s="1"/>
  <c r="K1512" i="13"/>
  <c r="L1512" i="13" s="1"/>
  <c r="I1513" i="13" s="1"/>
  <c r="M1702" i="14"/>
  <c r="J1698" i="13" a="1"/>
  <c r="J1698" i="13" s="1"/>
  <c r="N1699" i="13"/>
  <c r="M1701" i="13"/>
  <c r="J1697" i="14" a="1"/>
  <c r="J1697" i="14" s="1"/>
  <c r="N1698" i="14"/>
  <c r="K1535" i="14" l="1"/>
  <c r="L1535" i="14" s="1"/>
  <c r="I1536" i="14" s="1"/>
  <c r="K1513" i="13"/>
  <c r="L1513" i="13" s="1"/>
  <c r="I1514" i="13" s="1"/>
  <c r="J1699" i="13" a="1"/>
  <c r="J1699" i="13" s="1"/>
  <c r="N1700" i="13"/>
  <c r="J1698" i="14" a="1"/>
  <c r="J1698" i="14" s="1"/>
  <c r="N1699" i="14"/>
  <c r="M1702" i="13"/>
  <c r="M1703" i="14"/>
  <c r="K1514" i="13" l="1"/>
  <c r="L1514" i="13" s="1"/>
  <c r="I1515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37" i="14" l="1"/>
  <c r="L1537" i="14" s="1"/>
  <c r="I1538" i="14" s="1"/>
  <c r="K1515" i="13"/>
  <c r="L1515" i="13" s="1"/>
  <c r="I1516" i="13" s="1"/>
  <c r="M1704" i="13"/>
  <c r="M1705" i="14"/>
  <c r="N1701" i="14"/>
  <c r="J1700" i="14" a="1"/>
  <c r="J1700" i="14" s="1"/>
  <c r="N1702" i="13"/>
  <c r="J1701" i="13" a="1"/>
  <c r="J1701" i="13" s="1"/>
  <c r="K1516" i="13" l="1"/>
  <c r="L1516" i="13" s="1"/>
  <c r="I1517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7" i="13" l="1"/>
  <c r="L1517" i="13" s="1"/>
  <c r="I1518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40" i="14" l="1"/>
  <c r="L1540" i="14" s="1"/>
  <c r="I1541" i="14" s="1"/>
  <c r="K1518" i="13"/>
  <c r="L1518" i="13" s="1"/>
  <c r="I1519" i="13" s="1"/>
  <c r="J1703" i="14" a="1"/>
  <c r="J1703" i="14" s="1"/>
  <c r="N1704" i="14"/>
  <c r="M1707" i="13"/>
  <c r="J1704" i="13" a="1"/>
  <c r="J1704" i="13" s="1"/>
  <c r="N1705" i="13"/>
  <c r="M1708" i="14"/>
  <c r="K1519" i="13" l="1"/>
  <c r="L1519" i="13" s="1"/>
  <c r="I1520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42" i="14" l="1"/>
  <c r="L1542" i="14" s="1"/>
  <c r="I1543" i="14" s="1"/>
  <c r="K1520" i="13"/>
  <c r="L1520" i="13" s="1"/>
  <c r="I1521" i="13" s="1"/>
  <c r="J1705" i="14" a="1"/>
  <c r="J1705" i="14" s="1"/>
  <c r="N1706" i="14"/>
  <c r="M1710" i="14"/>
  <c r="M1709" i="13"/>
  <c r="J1706" i="13" a="1"/>
  <c r="J1706" i="13" s="1"/>
  <c r="N1707" i="13"/>
  <c r="K1521" i="13" l="1"/>
  <c r="L1521" i="13" s="1"/>
  <c r="I1522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44" i="14" l="1"/>
  <c r="L1544" i="14" s="1"/>
  <c r="I1545" i="14" s="1"/>
  <c r="K1522" i="13"/>
  <c r="L1522" i="13" s="1"/>
  <c r="I1523" i="13" s="1"/>
  <c r="J1707" i="14" a="1"/>
  <c r="J1707" i="14" s="1"/>
  <c r="N1708" i="14"/>
  <c r="J1708" i="13" a="1"/>
  <c r="J1708" i="13" s="1"/>
  <c r="N1709" i="13"/>
  <c r="M1712" i="14"/>
  <c r="M1711" i="13"/>
  <c r="K1523" i="13" l="1"/>
  <c r="L1523" i="13" s="1"/>
  <c r="I1524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46" i="14" l="1"/>
  <c r="L1546" i="14" s="1"/>
  <c r="I1547" i="14" s="1"/>
  <c r="K1524" i="13"/>
  <c r="L1524" i="13" s="1"/>
  <c r="I1525" i="13" s="1"/>
  <c r="M1714" i="14"/>
  <c r="J1710" i="13" a="1"/>
  <c r="J1710" i="13" s="1"/>
  <c r="N1711" i="13"/>
  <c r="M1713" i="13"/>
  <c r="J1709" i="14" a="1"/>
  <c r="J1709" i="14" s="1"/>
  <c r="N1710" i="14"/>
  <c r="K1547" i="14" l="1"/>
  <c r="L1547" i="14" s="1"/>
  <c r="I1548" i="14" s="1"/>
  <c r="K1525" i="13"/>
  <c r="L1525" i="13" s="1"/>
  <c r="I1526" i="13" s="1"/>
  <c r="J1710" i="14" a="1"/>
  <c r="J1710" i="14" s="1"/>
  <c r="N1711" i="14"/>
  <c r="J1711" i="13" a="1"/>
  <c r="J1711" i="13" s="1"/>
  <c r="N1712" i="13"/>
  <c r="M1714" i="13"/>
  <c r="M1715" i="14"/>
  <c r="K1526" i="13" l="1"/>
  <c r="L1526" i="13" s="1"/>
  <c r="I1527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49" i="14" l="1"/>
  <c r="L1549" i="14" s="1"/>
  <c r="I1550" i="14" s="1"/>
  <c r="K1527" i="13"/>
  <c r="L1527" i="13" s="1"/>
  <c r="I1528" i="13" s="1"/>
  <c r="N1713" i="14"/>
  <c r="J1712" i="14" a="1"/>
  <c r="J1712" i="14" s="1"/>
  <c r="M1717" i="14"/>
  <c r="N1714" i="13"/>
  <c r="J1713" i="13" a="1"/>
  <c r="J1713" i="13" s="1"/>
  <c r="M1716" i="13"/>
  <c r="K1528" i="13" l="1"/>
  <c r="L1528" i="13" s="1"/>
  <c r="I1529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9" i="13" l="1"/>
  <c r="L1529" i="13" s="1"/>
  <c r="I1530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52" i="14" l="1"/>
  <c r="L1552" i="14" s="1"/>
  <c r="I1553" i="14" s="1"/>
  <c r="K1530" i="13"/>
  <c r="L1530" i="13" s="1"/>
  <c r="I1531" i="13" s="1"/>
  <c r="N1716" i="14"/>
  <c r="J1715" i="14" a="1"/>
  <c r="J1715" i="14" s="1"/>
  <c r="J1716" i="13" a="1"/>
  <c r="J1716" i="13" s="1"/>
  <c r="N1717" i="13"/>
  <c r="M1719" i="13"/>
  <c r="M1720" i="14"/>
  <c r="K1531" i="13" l="1"/>
  <c r="L1531" i="13" s="1"/>
  <c r="I1532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54" i="14" l="1"/>
  <c r="L1554" i="14" s="1"/>
  <c r="I1555" i="14" s="1"/>
  <c r="K1532" i="13"/>
  <c r="L1532" i="13" s="1"/>
  <c r="I1533" i="13" s="1"/>
  <c r="N1718" i="14"/>
  <c r="J1717" i="14" a="1"/>
  <c r="J1717" i="14" s="1"/>
  <c r="M1722" i="14"/>
  <c r="M1721" i="13"/>
  <c r="J1718" i="13" a="1"/>
  <c r="J1718" i="13" s="1"/>
  <c r="N1719" i="13"/>
  <c r="J1719" i="13" l="1" a="1"/>
  <c r="J1719" i="13" s="1"/>
  <c r="N1720" i="13"/>
  <c r="M1723" i="14"/>
  <c r="K1533" i="13"/>
  <c r="L1533" i="13" s="1"/>
  <c r="I1534" i="13" s="1"/>
  <c r="M1722" i="13"/>
  <c r="J1718" i="14" a="1"/>
  <c r="J1718" i="14" s="1"/>
  <c r="N1719" i="14"/>
  <c r="K1555" i="14"/>
  <c r="L1555" i="14" s="1"/>
  <c r="I1556" i="14" s="1"/>
  <c r="K1556" i="14" l="1"/>
  <c r="L1556" i="14" s="1"/>
  <c r="I1557" i="14" s="1"/>
  <c r="K1534" i="13"/>
  <c r="L1534" i="13" s="1"/>
  <c r="I1535" i="13" s="1"/>
  <c r="M1723" i="13"/>
  <c r="M1724" i="14"/>
  <c r="N1720" i="14"/>
  <c r="J1719" i="14" a="1"/>
  <c r="J1719" i="14" s="1"/>
  <c r="J1720" i="13" a="1"/>
  <c r="J1720" i="13" s="1"/>
  <c r="N1721" i="13"/>
  <c r="K1535" i="13" l="1"/>
  <c r="L1535" i="13" s="1"/>
  <c r="I1536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6" i="13" l="1"/>
  <c r="L1536" i="13" s="1"/>
  <c r="I1537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59" i="14" l="1"/>
  <c r="L1559" i="14" s="1"/>
  <c r="I1560" i="14" s="1"/>
  <c r="K1537" i="13"/>
  <c r="L1537" i="13" s="1"/>
  <c r="I1538" i="13" s="1"/>
  <c r="J1723" i="13" a="1"/>
  <c r="J1723" i="13" s="1"/>
  <c r="N1724" i="13"/>
  <c r="M1726" i="13"/>
  <c r="J1722" i="14" a="1"/>
  <c r="J1722" i="14" s="1"/>
  <c r="N1723" i="14"/>
  <c r="M1727" i="14"/>
  <c r="K1538" i="13" l="1"/>
  <c r="L1538" i="13" s="1"/>
  <c r="I1539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9" i="13" l="1"/>
  <c r="L1539" i="13" s="1"/>
  <c r="I1540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62" i="14" l="1"/>
  <c r="L1562" i="14" s="1"/>
  <c r="I1563" i="14" s="1"/>
  <c r="K1540" i="13"/>
  <c r="L1540" i="13" s="1"/>
  <c r="I1541" i="13" s="1"/>
  <c r="J1726" i="13" a="1"/>
  <c r="J1726" i="13" s="1"/>
  <c r="N1727" i="13"/>
  <c r="J1725" i="14" a="1"/>
  <c r="J1725" i="14" s="1"/>
  <c r="N1726" i="14"/>
  <c r="M1730" i="14"/>
  <c r="M1729" i="13"/>
  <c r="K1541" i="13" l="1"/>
  <c r="L1541" i="13" s="1"/>
  <c r="I1542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64" i="14" l="1"/>
  <c r="L1564" i="14" s="1"/>
  <c r="I1565" i="14" s="1"/>
  <c r="K1542" i="13"/>
  <c r="L1542" i="13" s="1"/>
  <c r="I1543" i="13" s="1"/>
  <c r="M1732" i="14"/>
  <c r="M1731" i="13"/>
  <c r="N1728" i="14"/>
  <c r="J1727" i="14" a="1"/>
  <c r="J1727" i="14" s="1"/>
  <c r="J1728" i="13" a="1"/>
  <c r="J1728" i="13" s="1"/>
  <c r="N1729" i="13"/>
  <c r="K1565" i="14" l="1"/>
  <c r="L1565" i="14" s="1"/>
  <c r="I1566" i="14" s="1"/>
  <c r="N1730" i="13"/>
  <c r="J1729" i="13" a="1"/>
  <c r="J1729" i="13" s="1"/>
  <c r="K1543" i="13"/>
  <c r="L1543" i="13" s="1"/>
  <c r="I1544" i="13" s="1"/>
  <c r="M1732" i="13"/>
  <c r="J1728" i="14" a="1"/>
  <c r="J1728" i="14" s="1"/>
  <c r="N1729" i="14"/>
  <c r="M1733" i="14"/>
  <c r="K1544" i="13" l="1"/>
  <c r="L1544" i="13" s="1"/>
  <c r="I1545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67" i="14" l="1"/>
  <c r="L1567" i="14" s="1"/>
  <c r="I1568" i="14" s="1"/>
  <c r="K1545" i="13"/>
  <c r="L1545" i="13" s="1"/>
  <c r="I1546" i="13" s="1"/>
  <c r="M1734" i="13"/>
  <c r="J1730" i="14" a="1"/>
  <c r="J1730" i="14" s="1"/>
  <c r="N1731" i="14"/>
  <c r="J1731" i="13" a="1"/>
  <c r="J1731" i="13" s="1"/>
  <c r="N1732" i="13"/>
  <c r="M1735" i="14"/>
  <c r="K1546" i="13" l="1"/>
  <c r="L1546" i="13" s="1"/>
  <c r="I1547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7" i="13" l="1"/>
  <c r="L1547" i="13" s="1"/>
  <c r="I1548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70" i="14" l="1"/>
  <c r="L1570" i="14" s="1"/>
  <c r="I1571" i="14" s="1"/>
  <c r="K1548" i="13"/>
  <c r="L1548" i="13" s="1"/>
  <c r="I1549" i="13" s="1"/>
  <c r="J1733" i="14" a="1"/>
  <c r="J1733" i="14" s="1"/>
  <c r="N1734" i="14"/>
  <c r="M1737" i="13"/>
  <c r="J1734" i="13" a="1"/>
  <c r="J1734" i="13" s="1"/>
  <c r="N1735" i="13"/>
  <c r="M1738" i="14"/>
  <c r="K1549" i="13" l="1"/>
  <c r="L1549" i="13" s="1"/>
  <c r="I1550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72" i="14" l="1"/>
  <c r="L1572" i="14" s="1"/>
  <c r="I1573" i="14" s="1"/>
  <c r="K1550" i="13"/>
  <c r="L1550" i="13" s="1"/>
  <c r="I1551" i="13" s="1"/>
  <c r="J1736" i="13" a="1"/>
  <c r="J1736" i="13" s="1"/>
  <c r="N1737" i="13"/>
  <c r="M1740" i="14"/>
  <c r="N1736" i="14"/>
  <c r="J1735" i="14" a="1"/>
  <c r="J1735" i="14" s="1"/>
  <c r="M1739" i="13"/>
  <c r="K1551" i="13" l="1"/>
  <c r="L1551" i="13" s="1"/>
  <c r="I1552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74" i="14" l="1"/>
  <c r="L1574" i="14" s="1"/>
  <c r="I1575" i="14" s="1"/>
  <c r="K1552" i="13"/>
  <c r="L1552" i="13" s="1"/>
  <c r="I1553" i="13" s="1"/>
  <c r="J1737" i="14" a="1"/>
  <c r="J1737" i="14" s="1"/>
  <c r="N1738" i="14"/>
  <c r="M1742" i="14"/>
  <c r="M1741" i="13"/>
  <c r="J1738" i="13" a="1"/>
  <c r="J1738" i="13" s="1"/>
  <c r="N1739" i="13"/>
  <c r="K1575" i="14" l="1"/>
  <c r="L1575" i="14" s="1"/>
  <c r="I1576" i="14" s="1"/>
  <c r="J1739" i="13" a="1"/>
  <c r="J1739" i="13" s="1"/>
  <c r="N1740" i="13"/>
  <c r="M1743" i="14"/>
  <c r="K1553" i="13"/>
  <c r="L1553" i="13" s="1"/>
  <c r="I1554" i="13" s="1"/>
  <c r="J1738" i="14" a="1"/>
  <c r="J1738" i="14" s="1"/>
  <c r="N1739" i="14"/>
  <c r="M1742" i="13"/>
  <c r="K1576" i="14" l="1"/>
  <c r="L1576" i="14" s="1"/>
  <c r="I1577" i="14" s="1"/>
  <c r="M1743" i="13"/>
  <c r="K1554" i="13"/>
  <c r="L1554" i="13" s="1"/>
  <c r="I1555" i="13" s="1"/>
  <c r="J1740" i="13" a="1"/>
  <c r="J1740" i="13" s="1"/>
  <c r="N1741" i="13"/>
  <c r="N1740" i="14"/>
  <c r="J1739" i="14" a="1"/>
  <c r="J1739" i="14" s="1"/>
  <c r="M1744" i="14"/>
  <c r="J1740" i="14" l="1" a="1"/>
  <c r="J1740" i="14" s="1"/>
  <c r="N1741" i="14"/>
  <c r="K1555" i="13"/>
  <c r="L1555" i="13" s="1"/>
  <c r="I1556" i="13" s="1"/>
  <c r="K1577" i="14"/>
  <c r="L1577" i="14" s="1"/>
  <c r="I1578" i="14" s="1"/>
  <c r="N1742" i="13"/>
  <c r="J1741" i="13" a="1"/>
  <c r="J1741" i="13" s="1"/>
  <c r="M1744" i="13"/>
  <c r="M1745" i="14"/>
  <c r="K1556" i="13" l="1"/>
  <c r="L1556" i="13" s="1"/>
  <c r="I1557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79" i="14" l="1"/>
  <c r="L1579" i="14" s="1"/>
  <c r="I1580" i="14" s="1"/>
  <c r="K1557" i="13"/>
  <c r="L1557" i="13" s="1"/>
  <c r="I1558" i="13" s="1"/>
  <c r="J1743" i="13" a="1"/>
  <c r="J1743" i="13" s="1"/>
  <c r="N1744" i="13"/>
  <c r="J1742" i="14" a="1"/>
  <c r="J1742" i="14" s="1"/>
  <c r="N1743" i="14"/>
  <c r="M1747" i="14"/>
  <c r="M1746" i="13"/>
  <c r="K1558" i="13" l="1"/>
  <c r="L1558" i="13" s="1"/>
  <c r="I1559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81" i="14" l="1"/>
  <c r="L1581" i="14" s="1"/>
  <c r="I1582" i="14" s="1"/>
  <c r="K1559" i="13"/>
  <c r="L1559" i="13" s="1"/>
  <c r="I1560" i="13" s="1"/>
  <c r="N1746" i="13"/>
  <c r="J1745" i="13" a="1"/>
  <c r="J1745" i="13" s="1"/>
  <c r="M1749" i="14"/>
  <c r="M1748" i="13"/>
  <c r="J1744" i="14" a="1"/>
  <c r="J1744" i="14" s="1"/>
  <c r="N1745" i="14"/>
  <c r="K1560" i="13" l="1"/>
  <c r="L1560" i="13" s="1"/>
  <c r="I1561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83" i="14" l="1"/>
  <c r="L1583" i="14" s="1"/>
  <c r="I1584" i="14" s="1"/>
  <c r="K1561" i="13"/>
  <c r="L1561" i="13" s="1"/>
  <c r="I1562" i="13" s="1"/>
  <c r="J1747" i="13" a="1"/>
  <c r="J1747" i="13" s="1"/>
  <c r="N1748" i="13"/>
  <c r="M1751" i="14"/>
  <c r="J1746" i="14" a="1"/>
  <c r="J1746" i="14" s="1"/>
  <c r="N1747" i="14"/>
  <c r="M1750" i="13"/>
  <c r="K1562" i="13" l="1"/>
  <c r="L1562" i="13" s="1"/>
  <c r="I1563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85" i="14" l="1"/>
  <c r="L1585" i="14" s="1"/>
  <c r="I1586" i="14" s="1"/>
  <c r="K1563" i="13"/>
  <c r="L1563" i="13" s="1"/>
  <c r="I1564" i="13" s="1"/>
  <c r="N1750" i="13"/>
  <c r="J1749" i="13" a="1"/>
  <c r="J1749" i="13" s="1"/>
  <c r="M1753" i="14"/>
  <c r="M1752" i="13"/>
  <c r="J1748" i="14" a="1"/>
  <c r="J1748" i="14" s="1"/>
  <c r="N1749" i="14"/>
  <c r="K1586" i="14" l="1"/>
  <c r="L1586" i="14" s="1"/>
  <c r="I1587" i="14" s="1"/>
  <c r="J1749" i="14" a="1"/>
  <c r="J1749" i="14" s="1"/>
  <c r="N1750" i="14"/>
  <c r="K1564" i="13"/>
  <c r="L1564" i="13" s="1"/>
  <c r="I1565" i="13" s="1"/>
  <c r="M1753" i="13"/>
  <c r="M1754" i="14"/>
  <c r="J1750" i="13" a="1"/>
  <c r="J1750" i="13" s="1"/>
  <c r="N1751" i="13"/>
  <c r="K1565" i="13" l="1"/>
  <c r="L1565" i="13" s="1"/>
  <c r="I1566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6" i="13" l="1"/>
  <c r="L1566" i="13" s="1"/>
  <c r="I1567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7" i="13" l="1"/>
  <c r="L1567" i="13" s="1"/>
  <c r="I1568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90" i="14" l="1"/>
  <c r="L1590" i="14" s="1"/>
  <c r="I1591" i="14" s="1"/>
  <c r="K1568" i="13"/>
  <c r="L1568" i="13" s="1"/>
  <c r="I1569" i="13" s="1"/>
  <c r="J1754" i="13" a="1"/>
  <c r="J1754" i="13" s="1"/>
  <c r="N1755" i="13"/>
  <c r="M1758" i="14"/>
  <c r="J1753" i="14" a="1"/>
  <c r="J1753" i="14" s="1"/>
  <c r="N1754" i="14"/>
  <c r="M1757" i="13"/>
  <c r="K1591" i="14" l="1"/>
  <c r="L1591" i="14" s="1"/>
  <c r="I1592" i="14" s="1"/>
  <c r="J1754" i="14" a="1"/>
  <c r="J1754" i="14" s="1"/>
  <c r="N1755" i="14"/>
  <c r="M1759" i="14"/>
  <c r="M1758" i="13"/>
  <c r="K1569" i="13"/>
  <c r="L1569" i="13" s="1"/>
  <c r="I1570" i="13" s="1"/>
  <c r="J1755" i="13" a="1"/>
  <c r="J1755" i="13" s="1"/>
  <c r="N1756" i="13"/>
  <c r="K1570" i="13" l="1"/>
  <c r="L1570" i="13" s="1"/>
  <c r="I1571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93" i="14" l="1"/>
  <c r="L1593" i="14" s="1"/>
  <c r="I1594" i="14" s="1"/>
  <c r="K1571" i="13"/>
  <c r="L1571" i="13" s="1"/>
  <c r="I1572" i="13" s="1"/>
  <c r="M1761" i="14"/>
  <c r="M1760" i="13"/>
  <c r="N1758" i="13"/>
  <c r="J1757" i="13" a="1"/>
  <c r="J1757" i="13" s="1"/>
  <c r="J1756" i="14" a="1"/>
  <c r="J1756" i="14" s="1"/>
  <c r="N1757" i="14"/>
  <c r="K1594" i="14" l="1"/>
  <c r="L1594" i="14" s="1"/>
  <c r="I1595" i="14" s="1"/>
  <c r="J1757" i="14" a="1"/>
  <c r="J1757" i="14" s="1"/>
  <c r="N1758" i="14"/>
  <c r="M1761" i="13"/>
  <c r="K1572" i="13"/>
  <c r="L1572" i="13" s="1"/>
  <c r="I1573" i="13" s="1"/>
  <c r="J1758" i="13" a="1"/>
  <c r="J1758" i="13" s="1"/>
  <c r="N1759" i="13"/>
  <c r="M1762" i="14"/>
  <c r="K1595" i="14" l="1"/>
  <c r="L1595" i="14" s="1"/>
  <c r="I1596" i="14" s="1"/>
  <c r="M1763" i="14"/>
  <c r="J1758" i="14" a="1"/>
  <c r="J1758" i="14" s="1"/>
  <c r="N1759" i="14"/>
  <c r="K1573" i="13"/>
  <c r="L1573" i="13" s="1"/>
  <c r="I1574" i="13" s="1"/>
  <c r="J1759" i="13" a="1"/>
  <c r="J1759" i="13" s="1"/>
  <c r="N1760" i="13"/>
  <c r="M1762" i="13"/>
  <c r="K1574" i="13" l="1"/>
  <c r="L1574" i="13" s="1"/>
  <c r="I1575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97" i="14" l="1"/>
  <c r="L1597" i="14" s="1"/>
  <c r="I1598" i="14" s="1"/>
  <c r="K1575" i="13"/>
  <c r="L1575" i="13" s="1"/>
  <c r="I1576" i="13" s="1"/>
  <c r="M1764" i="13"/>
  <c r="N1762" i="13"/>
  <c r="J1761" i="13" a="1"/>
  <c r="J1761" i="13" s="1"/>
  <c r="J1760" i="14" a="1"/>
  <c r="J1760" i="14" s="1"/>
  <c r="N1761" i="14"/>
  <c r="M1765" i="14"/>
  <c r="K1576" i="13" l="1"/>
  <c r="L1576" i="13" s="1"/>
  <c r="I1577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99" i="14" l="1"/>
  <c r="L1599" i="14" s="1"/>
  <c r="I1600" i="14" s="1"/>
  <c r="K1577" i="13"/>
  <c r="L1577" i="13" s="1"/>
  <c r="I1578" i="13" s="1"/>
  <c r="J1762" i="14" a="1"/>
  <c r="J1762" i="14" s="1"/>
  <c r="N1763" i="14"/>
  <c r="M1767" i="14"/>
  <c r="J1763" i="13" a="1"/>
  <c r="J1763" i="13" s="1"/>
  <c r="N1764" i="13"/>
  <c r="M1766" i="13"/>
  <c r="K1578" i="13" l="1"/>
  <c r="L1578" i="13" s="1"/>
  <c r="I1579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601" i="14" l="1"/>
  <c r="L1601" i="14" s="1"/>
  <c r="I1602" i="14" s="1"/>
  <c r="K1579" i="13"/>
  <c r="L1579" i="13" s="1"/>
  <c r="I1580" i="13" s="1"/>
  <c r="J1764" i="14" a="1"/>
  <c r="J1764" i="14" s="1"/>
  <c r="N1765" i="14"/>
  <c r="M1769" i="14"/>
  <c r="N1766" i="13"/>
  <c r="J1765" i="13" a="1"/>
  <c r="J1765" i="13" s="1"/>
  <c r="M1768" i="13"/>
  <c r="K1580" i="13" l="1"/>
  <c r="L1580" i="13" s="1"/>
  <c r="I1581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603" i="14" l="1"/>
  <c r="L1603" i="14" s="1"/>
  <c r="I1604" i="14" s="1"/>
  <c r="K1581" i="13"/>
  <c r="L1581" i="13" s="1"/>
  <c r="I1582" i="13" s="1"/>
  <c r="J1766" i="14" a="1"/>
  <c r="J1766" i="14" s="1"/>
  <c r="N1767" i="14"/>
  <c r="M1770" i="13"/>
  <c r="M1771" i="14"/>
  <c r="J1767" i="13" a="1"/>
  <c r="J1767" i="13" s="1"/>
  <c r="N1768" i="13"/>
  <c r="K1582" i="13" l="1"/>
  <c r="L1582" i="13" s="1"/>
  <c r="I1583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3" i="13" l="1"/>
  <c r="L1583" i="13" s="1"/>
  <c r="I1584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4" i="13" l="1"/>
  <c r="L1584" i="13" s="1"/>
  <c r="I1585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607" i="14" l="1"/>
  <c r="L1607" i="14" s="1"/>
  <c r="I1608" i="14" s="1"/>
  <c r="K1585" i="13"/>
  <c r="L1585" i="13" s="1"/>
  <c r="I1586" i="13" s="1"/>
  <c r="J1770" i="14" a="1"/>
  <c r="J1770" i="14" s="1"/>
  <c r="N1771" i="14"/>
  <c r="M1774" i="13"/>
  <c r="J1771" i="13" a="1"/>
  <c r="J1771" i="13" s="1"/>
  <c r="N1772" i="13"/>
  <c r="M1775" i="14"/>
  <c r="K1586" i="13" l="1"/>
  <c r="L1586" i="13" s="1"/>
  <c r="I1587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609" i="14" l="1"/>
  <c r="L1609" i="14" s="1"/>
  <c r="I1610" i="14" s="1"/>
  <c r="K1587" i="13"/>
  <c r="L1587" i="13" s="1"/>
  <c r="I1588" i="13" s="1"/>
  <c r="J1772" i="14" a="1"/>
  <c r="J1772" i="14" s="1"/>
  <c r="N1773" i="14"/>
  <c r="M1777" i="14"/>
  <c r="N1774" i="13"/>
  <c r="J1773" i="13" a="1"/>
  <c r="J1773" i="13" s="1"/>
  <c r="M1776" i="13"/>
  <c r="K1610" i="14" l="1"/>
  <c r="L1610" i="14" s="1"/>
  <c r="I1611" i="14" s="1"/>
  <c r="M1777" i="13"/>
  <c r="M1778" i="14"/>
  <c r="K1588" i="13"/>
  <c r="L1588" i="13" s="1"/>
  <c r="I1589" i="13" s="1"/>
  <c r="J1773" i="14" a="1"/>
  <c r="J1773" i="14" s="1"/>
  <c r="N1774" i="14"/>
  <c r="J1774" i="13" a="1"/>
  <c r="J1774" i="13" s="1"/>
  <c r="N1775" i="13"/>
  <c r="K1589" i="13" l="1"/>
  <c r="L1589" i="13" s="1"/>
  <c r="I1590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612" i="14" l="1"/>
  <c r="L1612" i="14" s="1"/>
  <c r="I1613" i="14" s="1"/>
  <c r="K1590" i="13"/>
  <c r="L1590" i="13" s="1"/>
  <c r="I1591" i="13" s="1"/>
  <c r="N1776" i="14"/>
  <c r="J1775" i="14" a="1"/>
  <c r="J1775" i="14" s="1"/>
  <c r="M1780" i="14"/>
  <c r="M1779" i="13"/>
  <c r="J1776" i="13" a="1"/>
  <c r="J1776" i="13" s="1"/>
  <c r="N1777" i="13"/>
  <c r="K1591" i="13" l="1"/>
  <c r="L1591" i="13" s="1"/>
  <c r="I1592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2" i="13" l="1"/>
  <c r="L1592" i="13" s="1"/>
  <c r="I1593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3" i="13" l="1"/>
  <c r="L1593" i="13" s="1"/>
  <c r="I1594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4" i="13" l="1"/>
  <c r="L1594" i="13" s="1"/>
  <c r="I1595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617" i="14" l="1"/>
  <c r="L1617" i="14" s="1"/>
  <c r="I1618" i="14" s="1"/>
  <c r="K1595" i="13"/>
  <c r="L1595" i="13" s="1"/>
  <c r="I1596" i="13" s="1"/>
  <c r="N1782" i="13"/>
  <c r="J1781" i="13" a="1"/>
  <c r="J1781" i="13" s="1"/>
  <c r="M1784" i="13"/>
  <c r="J1780" i="14" a="1"/>
  <c r="J1780" i="14" s="1"/>
  <c r="N1781" i="14"/>
  <c r="M1785" i="14"/>
  <c r="K1596" i="13" l="1"/>
  <c r="L1596" i="13" s="1"/>
  <c r="I1597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619" i="14" l="1"/>
  <c r="L1619" i="14" s="1"/>
  <c r="I1620" i="14" s="1"/>
  <c r="K1597" i="13"/>
  <c r="L1597" i="13" s="1"/>
  <c r="I1598" i="13" s="1"/>
  <c r="J1783" i="13" a="1"/>
  <c r="J1783" i="13" s="1"/>
  <c r="N1784" i="13"/>
  <c r="M1786" i="13"/>
  <c r="J1782" i="14" a="1"/>
  <c r="J1782" i="14" s="1"/>
  <c r="N1783" i="14"/>
  <c r="M1787" i="14"/>
  <c r="N1784" i="14" l="1"/>
  <c r="J1783" i="14" a="1"/>
  <c r="J1783" i="14" s="1"/>
  <c r="M1788" i="14"/>
  <c r="M1787" i="13"/>
  <c r="K1598" i="13"/>
  <c r="L1598" i="13" s="1"/>
  <c r="I1599" i="13" s="1"/>
  <c r="J1784" i="13" a="1"/>
  <c r="J1784" i="13" s="1"/>
  <c r="N1785" i="13"/>
  <c r="K1620" i="14"/>
  <c r="L1620" i="14" s="1"/>
  <c r="I1621" i="14" s="1"/>
  <c r="K1621" i="14" l="1"/>
  <c r="L1621" i="14" s="1"/>
  <c r="I1622" i="14" s="1"/>
  <c r="K1599" i="13"/>
  <c r="L1599" i="13" s="1"/>
  <c r="I1600" i="13" s="1"/>
  <c r="N1786" i="13"/>
  <c r="J1785" i="13" a="1"/>
  <c r="J1785" i="13" s="1"/>
  <c r="M1788" i="13"/>
  <c r="M1789" i="14"/>
  <c r="J1784" i="14" a="1"/>
  <c r="J1784" i="14" s="1"/>
  <c r="N1785" i="14"/>
  <c r="K1600" i="13" l="1"/>
  <c r="L1600" i="13" s="1"/>
  <c r="I1601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23" i="14" l="1"/>
  <c r="L1623" i="14" s="1"/>
  <c r="I1624" i="14" s="1"/>
  <c r="K1601" i="13"/>
  <c r="L1601" i="13" s="1"/>
  <c r="I1602" i="13" s="1"/>
  <c r="J1787" i="13" a="1"/>
  <c r="J1787" i="13" s="1"/>
  <c r="N1788" i="13"/>
  <c r="M1790" i="13"/>
  <c r="J1786" i="14" a="1"/>
  <c r="J1786" i="14" s="1"/>
  <c r="N1787" i="14"/>
  <c r="M1791" i="14"/>
  <c r="K1602" i="13" l="1"/>
  <c r="L1602" i="13" s="1"/>
  <c r="I1603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25" i="14" l="1"/>
  <c r="L1625" i="14" s="1"/>
  <c r="I1626" i="14" s="1"/>
  <c r="K1603" i="13"/>
  <c r="L1603" i="13" s="1"/>
  <c r="I1604" i="13" s="1"/>
  <c r="J1788" i="14" a="1"/>
  <c r="J1788" i="14" s="1"/>
  <c r="N1789" i="14"/>
  <c r="M1792" i="13"/>
  <c r="N1790" i="13"/>
  <c r="J1789" i="13" a="1"/>
  <c r="J1789" i="13" s="1"/>
  <c r="M1793" i="14"/>
  <c r="K1604" i="13" l="1"/>
  <c r="L1604" i="13" s="1"/>
  <c r="I1605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27" i="14" l="1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/>
  <c r="L1605" i="13" s="1"/>
  <c r="I1606" i="13" s="1"/>
  <c r="K1606" i="13" l="1"/>
  <c r="L1606" i="13" s="1"/>
  <c r="I1607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29" i="14" l="1"/>
  <c r="L1629" i="14" s="1"/>
  <c r="I1630" i="14" s="1"/>
  <c r="K1607" i="13"/>
  <c r="L1607" i="13" s="1"/>
  <c r="I1608" i="13" s="1"/>
  <c r="N1794" i="13"/>
  <c r="J1793" i="13" a="1"/>
  <c r="J1793" i="13" s="1"/>
  <c r="M1796" i="13"/>
  <c r="M1797" i="14"/>
  <c r="J1792" i="14" a="1"/>
  <c r="J1792" i="14" s="1"/>
  <c r="N1793" i="14"/>
  <c r="K1608" i="13" l="1"/>
  <c r="L1608" i="13" s="1"/>
  <c r="I1609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31" i="14" l="1"/>
  <c r="L1631" i="14" s="1"/>
  <c r="I1632" i="14" s="1"/>
  <c r="M1799" i="14"/>
  <c r="J1795" i="13" a="1"/>
  <c r="J1795" i="13" s="1"/>
  <c r="N1796" i="13"/>
  <c r="K1609" i="13"/>
  <c r="L1609" i="13" s="1"/>
  <c r="I1610" i="13" s="1"/>
  <c r="M1798" i="13"/>
  <c r="J1794" i="14" a="1"/>
  <c r="J1794" i="14" s="1"/>
  <c r="N1795" i="14"/>
  <c r="K1632" i="14" l="1"/>
  <c r="L1632" i="14" s="1"/>
  <c r="I1633" i="14" s="1"/>
  <c r="M1799" i="13"/>
  <c r="N1796" i="14"/>
  <c r="J1795" i="14" a="1"/>
  <c r="J1795" i="14" s="1"/>
  <c r="K1610" i="13"/>
  <c r="L1610" i="13" s="1"/>
  <c r="I1611" i="13" s="1"/>
  <c r="M1800" i="14"/>
  <c r="J1796" i="13" a="1"/>
  <c r="J1796" i="13" s="1"/>
  <c r="N1797" i="13"/>
  <c r="K1611" i="13" l="1"/>
  <c r="L1611" i="13" s="1"/>
  <c r="I1612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34" i="14" l="1"/>
  <c r="L1634" i="14" s="1"/>
  <c r="I1635" i="14" s="1"/>
  <c r="K1612" i="13"/>
  <c r="L1612" i="13" s="1"/>
  <c r="I1613" i="13" s="1"/>
  <c r="J1797" i="14" a="1"/>
  <c r="J1797" i="14" s="1"/>
  <c r="N1798" i="14"/>
  <c r="M1801" i="13"/>
  <c r="M1802" i="14"/>
  <c r="J1798" i="13" a="1"/>
  <c r="J1798" i="13" s="1"/>
  <c r="N1799" i="13"/>
  <c r="K1613" i="13" l="1"/>
  <c r="L1613" i="13" s="1"/>
  <c r="I1614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4" i="13" l="1"/>
  <c r="L1614" i="13" s="1"/>
  <c r="I1615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37" i="14" l="1"/>
  <c r="L1637" i="14" s="1"/>
  <c r="I1638" i="14" s="1"/>
  <c r="K1615" i="13"/>
  <c r="L1615" i="13" s="1"/>
  <c r="I1616" i="13" s="1"/>
  <c r="N1802" i="13"/>
  <c r="J1801" i="13" a="1"/>
  <c r="J1801" i="13" s="1"/>
  <c r="M1805" i="14"/>
  <c r="M1804" i="13"/>
  <c r="J1800" i="14" a="1"/>
  <c r="J1800" i="14" s="1"/>
  <c r="N1801" i="14"/>
  <c r="K1616" i="13" l="1"/>
  <c r="L1616" i="13" s="1"/>
  <c r="I1617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39" i="14" l="1"/>
  <c r="L1639" i="14" s="1"/>
  <c r="I1640" i="14" s="1"/>
  <c r="K1617" i="13"/>
  <c r="L1617" i="13" s="1"/>
  <c r="I1618" i="13" s="1"/>
  <c r="J1803" i="13" a="1"/>
  <c r="J1803" i="13" s="1"/>
  <c r="N1804" i="13"/>
  <c r="M1807" i="14"/>
  <c r="J1802" i="14" a="1"/>
  <c r="J1802" i="14" s="1"/>
  <c r="N1803" i="14"/>
  <c r="M1806" i="13"/>
  <c r="K1618" i="13" l="1"/>
  <c r="L1618" i="13" s="1"/>
  <c r="I1619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41" i="14" l="1"/>
  <c r="L1641" i="14" s="1"/>
  <c r="I1642" i="14" s="1"/>
  <c r="K1619" i="13"/>
  <c r="L1619" i="13" s="1"/>
  <c r="I1620" i="13" s="1"/>
  <c r="M1808" i="13"/>
  <c r="N1806" i="13"/>
  <c r="J1805" i="13" a="1"/>
  <c r="J1805" i="13" s="1"/>
  <c r="M1809" i="14"/>
  <c r="J1804" i="14" a="1"/>
  <c r="J1804" i="14" s="1"/>
  <c r="N1805" i="14"/>
  <c r="K1620" i="13" l="1"/>
  <c r="L1620" i="13" s="1"/>
  <c r="I1621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43" i="14" l="1"/>
  <c r="L1643" i="14" s="1"/>
  <c r="I1644" i="14" s="1"/>
  <c r="K1621" i="13"/>
  <c r="L1621" i="13" s="1"/>
  <c r="I1622" i="13" s="1"/>
  <c r="M1811" i="14"/>
  <c r="M1810" i="13"/>
  <c r="J1806" i="14" a="1"/>
  <c r="J1806" i="14" s="1"/>
  <c r="N1807" i="14"/>
  <c r="J1807" i="13" a="1"/>
  <c r="J1807" i="13" s="1"/>
  <c r="N1808" i="13"/>
  <c r="K1644" i="14" l="1"/>
  <c r="L1644" i="14" s="1"/>
  <c r="I1645" i="14" s="1"/>
  <c r="K1622" i="13"/>
  <c r="L1622" i="13" s="1"/>
  <c r="I1623" i="13" s="1"/>
  <c r="J1808" i="13" a="1"/>
  <c r="J1808" i="13" s="1"/>
  <c r="N1809" i="13"/>
  <c r="M1811" i="13"/>
  <c r="N1808" i="14"/>
  <c r="J1807" i="14" a="1"/>
  <c r="J1807" i="14" s="1"/>
  <c r="M1812" i="14"/>
  <c r="K1623" i="13" l="1"/>
  <c r="L1623" i="13" s="1"/>
  <c r="I1624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46" i="14" l="1"/>
  <c r="L1646" i="14" s="1"/>
  <c r="I1647" i="14" s="1"/>
  <c r="K1624" i="13"/>
  <c r="L1624" i="13" s="1"/>
  <c r="I1625" i="13" s="1"/>
  <c r="J1810" i="13" a="1"/>
  <c r="J1810" i="13" s="1"/>
  <c r="N1811" i="13"/>
  <c r="M1814" i="14"/>
  <c r="M1813" i="13"/>
  <c r="J1809" i="14" a="1"/>
  <c r="J1809" i="14" s="1"/>
  <c r="N1810" i="14"/>
  <c r="K1625" i="13" l="1"/>
  <c r="L1625" i="13" s="1"/>
  <c r="I1626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48" i="14" l="1"/>
  <c r="L1648" i="14" s="1"/>
  <c r="I1649" i="14" s="1"/>
  <c r="K1626" i="13"/>
  <c r="L1626" i="13" s="1"/>
  <c r="I1627" i="13" s="1"/>
  <c r="J1812" i="13" a="1"/>
  <c r="J1812" i="13" s="1"/>
  <c r="N1813" i="13"/>
  <c r="M1815" i="13"/>
  <c r="M1816" i="14"/>
  <c r="N1812" i="14"/>
  <c r="J1811" i="14" a="1"/>
  <c r="J1811" i="14" s="1"/>
  <c r="K1627" i="13" l="1"/>
  <c r="L1627" i="13" s="1"/>
  <c r="I1628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50" i="14" l="1"/>
  <c r="L1650" i="14" s="1"/>
  <c r="I1651" i="14" s="1"/>
  <c r="K1628" i="13"/>
  <c r="L1628" i="13" s="1"/>
  <c r="I1629" i="13" s="1"/>
  <c r="M1817" i="13"/>
  <c r="M1818" i="14"/>
  <c r="J1813" i="14" a="1"/>
  <c r="J1813" i="14" s="1"/>
  <c r="N1814" i="14"/>
  <c r="J1814" i="13" a="1"/>
  <c r="J1814" i="13" s="1"/>
  <c r="N1815" i="13"/>
  <c r="K1651" i="14" l="1"/>
  <c r="L1651" i="14" s="1"/>
  <c r="I1652" i="14" s="1"/>
  <c r="J1815" i="13" a="1"/>
  <c r="J1815" i="13" s="1"/>
  <c r="N1816" i="13"/>
  <c r="M1819" i="14"/>
  <c r="K1629" i="13"/>
  <c r="L1629" i="13" s="1"/>
  <c r="I1630" i="13" s="1"/>
  <c r="J1814" i="14" a="1"/>
  <c r="J1814" i="14" s="1"/>
  <c r="N1815" i="14"/>
  <c r="M1818" i="13"/>
  <c r="K1630" i="13" l="1"/>
  <c r="L1630" i="13" s="1"/>
  <c r="I1631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53" i="14" l="1"/>
  <c r="L1653" i="14" s="1"/>
  <c r="I1654" i="14" s="1"/>
  <c r="K1631" i="13"/>
  <c r="L1631" i="13" s="1"/>
  <c r="I1632" i="13" s="1"/>
  <c r="M1821" i="14"/>
  <c r="J1816" i="14" a="1"/>
  <c r="J1816" i="14" s="1"/>
  <c r="N1817" i="14"/>
  <c r="N1818" i="13"/>
  <c r="J1817" i="13" a="1"/>
  <c r="J1817" i="13" s="1"/>
  <c r="M1820" i="13"/>
  <c r="K1654" i="14" l="1"/>
  <c r="L1654" i="14" s="1"/>
  <c r="I1655" i="14" s="1"/>
  <c r="M1821" i="13"/>
  <c r="J1817" i="14" a="1"/>
  <c r="J1817" i="14" s="1"/>
  <c r="N1818" i="14"/>
  <c r="K1632" i="13"/>
  <c r="L1632" i="13" s="1"/>
  <c r="I1633" i="13" s="1"/>
  <c r="J1818" i="13" a="1"/>
  <c r="J1818" i="13" s="1"/>
  <c r="N1819" i="13"/>
  <c r="M1822" i="14"/>
  <c r="K1633" i="13" l="1"/>
  <c r="L1633" i="13" s="1"/>
  <c r="I1634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56" i="14" l="1"/>
  <c r="L1656" i="14" s="1"/>
  <c r="I1657" i="14" s="1"/>
  <c r="K1634" i="13"/>
  <c r="L1634" i="13" s="1"/>
  <c r="I1635" i="13" s="1"/>
  <c r="N1820" i="14"/>
  <c r="J1819" i="14" a="1"/>
  <c r="J1819" i="14" s="1"/>
  <c r="M1824" i="14"/>
  <c r="J1820" i="13" a="1"/>
  <c r="J1820" i="13" s="1"/>
  <c r="N1821" i="13"/>
  <c r="M1823" i="13"/>
  <c r="K1635" i="13" l="1"/>
  <c r="L1635" i="13" s="1"/>
  <c r="I1636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58" i="14" l="1"/>
  <c r="L1658" i="14" s="1"/>
  <c r="I1659" i="14" s="1"/>
  <c r="K1636" i="13"/>
  <c r="L1636" i="13" s="1"/>
  <c r="I1637" i="13" s="1"/>
  <c r="J1821" i="14" a="1"/>
  <c r="J1821" i="14" s="1"/>
  <c r="N1822" i="14"/>
  <c r="M1826" i="14"/>
  <c r="M1825" i="13"/>
  <c r="J1822" i="13" a="1"/>
  <c r="J1822" i="13" s="1"/>
  <c r="N1823" i="13"/>
  <c r="K1637" i="13" l="1"/>
  <c r="L1637" i="13" s="1"/>
  <c r="I1638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60" i="14" l="1"/>
  <c r="L1660" i="14" s="1"/>
  <c r="I1661" i="14" s="1"/>
  <c r="K1638" i="13"/>
  <c r="L1638" i="13" s="1"/>
  <c r="I1639" i="13" s="1"/>
  <c r="M1827" i="13"/>
  <c r="M1828" i="14"/>
  <c r="N1824" i="14"/>
  <c r="J1823" i="14" a="1"/>
  <c r="J1823" i="14" s="1"/>
  <c r="J1824" i="13" a="1"/>
  <c r="J1824" i="13" s="1"/>
  <c r="N1825" i="13"/>
  <c r="K1639" i="13" l="1"/>
  <c r="L1639" i="13" s="1"/>
  <c r="I1640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62" i="14" l="1"/>
  <c r="L1662" i="14" s="1"/>
  <c r="I1663" i="14" s="1"/>
  <c r="K1640" i="13"/>
  <c r="L1640" i="13" s="1"/>
  <c r="I1641" i="13" s="1"/>
  <c r="J1826" i="13" a="1"/>
  <c r="J1826" i="13" s="1"/>
  <c r="N1827" i="13"/>
  <c r="M1829" i="13"/>
  <c r="J1825" i="14" a="1"/>
  <c r="J1825" i="14" s="1"/>
  <c r="N1826" i="14"/>
  <c r="M1830" i="14"/>
  <c r="K1641" i="13" l="1"/>
  <c r="L1641" i="13" s="1"/>
  <c r="I1642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64" i="14" l="1"/>
  <c r="L1664" i="14" s="1"/>
  <c r="I1665" i="14" s="1"/>
  <c r="K1642" i="13"/>
  <c r="L1642" i="13" s="1"/>
  <c r="I1643" i="13" s="1"/>
  <c r="M1832" i="14"/>
  <c r="N1828" i="14"/>
  <c r="J1827" i="14" a="1"/>
  <c r="J1827" i="14" s="1"/>
  <c r="J1828" i="13" a="1"/>
  <c r="J1828" i="13" s="1"/>
  <c r="N1829" i="13"/>
  <c r="M1831" i="13"/>
  <c r="K1643" i="13" l="1"/>
  <c r="L1643" i="13" s="1"/>
  <c r="I1644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66" i="14" l="1"/>
  <c r="L1666" i="14" s="1"/>
  <c r="I1667" i="14" s="1"/>
  <c r="K1644" i="13"/>
  <c r="L1644" i="13" s="1"/>
  <c r="I1645" i="13" s="1"/>
  <c r="M1834" i="14"/>
  <c r="J1830" i="13" a="1"/>
  <c r="J1830" i="13" s="1"/>
  <c r="N1831" i="13"/>
  <c r="J1829" i="14" a="1"/>
  <c r="J1829" i="14" s="1"/>
  <c r="N1830" i="14"/>
  <c r="M1833" i="13"/>
  <c r="K1645" i="13" l="1"/>
  <c r="L1645" i="13" s="1"/>
  <c r="I1646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68" i="14" l="1"/>
  <c r="L1668" i="14" s="1"/>
  <c r="I1669" i="14" s="1"/>
  <c r="K1646" i="13"/>
  <c r="L1646" i="13" s="1"/>
  <c r="I1647" i="13" s="1"/>
  <c r="N1832" i="14"/>
  <c r="J1831" i="14" a="1"/>
  <c r="J1831" i="14" s="1"/>
  <c r="M1835" i="13"/>
  <c r="J1832" i="13" a="1"/>
  <c r="J1832" i="13" s="1"/>
  <c r="N1833" i="13"/>
  <c r="M1836" i="14"/>
  <c r="K1647" i="13" l="1"/>
  <c r="L1647" i="13" s="1"/>
  <c r="I1648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70" i="14" l="1"/>
  <c r="L1670" i="14" s="1"/>
  <c r="I1671" i="14" s="1"/>
  <c r="K1648" i="13"/>
  <c r="L1648" i="13" s="1"/>
  <c r="I1649" i="13" s="1"/>
  <c r="M1838" i="14"/>
  <c r="J1833" i="14" a="1"/>
  <c r="J1833" i="14" s="1"/>
  <c r="N1834" i="14"/>
  <c r="M1837" i="13"/>
  <c r="J1834" i="13" a="1"/>
  <c r="J1834" i="13" s="1"/>
  <c r="N1835" i="13"/>
  <c r="K1649" i="13" l="1"/>
  <c r="L1649" i="13" s="1"/>
  <c r="I1650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72" i="14" l="1"/>
  <c r="L1672" i="14" s="1"/>
  <c r="I1673" i="14" s="1"/>
  <c r="K1650" i="13"/>
  <c r="L1650" i="13" s="1"/>
  <c r="I1651" i="13" s="1"/>
  <c r="M1839" i="13"/>
  <c r="N1836" i="14"/>
  <c r="J1835" i="14" a="1"/>
  <c r="J1835" i="14" s="1"/>
  <c r="J1836" i="13" a="1"/>
  <c r="J1836" i="13" s="1"/>
  <c r="N1837" i="13"/>
  <c r="M1840" i="14"/>
  <c r="K1651" i="13" l="1"/>
  <c r="L1651" i="13" s="1"/>
  <c r="I1652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74" i="14" l="1"/>
  <c r="L1674" i="14" s="1"/>
  <c r="I1675" i="14" s="1"/>
  <c r="K1652" i="13"/>
  <c r="L1652" i="13" s="1"/>
  <c r="I1653" i="13" s="1"/>
  <c r="J1837" i="14" a="1"/>
  <c r="J1837" i="14" s="1"/>
  <c r="N1838" i="14"/>
  <c r="M1841" i="13"/>
  <c r="J1838" i="13" a="1"/>
  <c r="J1838" i="13" s="1"/>
  <c r="N1839" i="13"/>
  <c r="M1842" i="14"/>
  <c r="K1653" i="13" l="1"/>
  <c r="L1653" i="13" s="1"/>
  <c r="I1654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76" i="14" l="1"/>
  <c r="L1676" i="14" s="1"/>
  <c r="I1677" i="14" s="1"/>
  <c r="K1654" i="13"/>
  <c r="L1654" i="13" s="1"/>
  <c r="I1655" i="13" s="1"/>
  <c r="M1843" i="13"/>
  <c r="J1840" i="13" a="1"/>
  <c r="J1840" i="13" s="1"/>
  <c r="N1841" i="13"/>
  <c r="N1840" i="14"/>
  <c r="J1839" i="14" a="1"/>
  <c r="J1839" i="14" s="1"/>
  <c r="M1844" i="14"/>
  <c r="K1677" i="14" l="1"/>
  <c r="L1677" i="14" s="1"/>
  <c r="I1678" i="14" s="1"/>
  <c r="K1655" i="13"/>
  <c r="L1655" i="13" s="1"/>
  <c r="I1656" i="13" s="1"/>
  <c r="N1842" i="13"/>
  <c r="J1841" i="13" a="1"/>
  <c r="J1841" i="13" s="1"/>
  <c r="M1845" i="14"/>
  <c r="J1840" i="14" a="1"/>
  <c r="J1840" i="14" s="1"/>
  <c r="N1841" i="14"/>
  <c r="M1844" i="13"/>
  <c r="K1656" i="13" l="1"/>
  <c r="L1656" i="13" s="1"/>
  <c r="I1657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79" i="14" l="1"/>
  <c r="L1679" i="14" s="1"/>
  <c r="I1680" i="14" s="1"/>
  <c r="K1657" i="13"/>
  <c r="L1657" i="13" s="1"/>
  <c r="I1658" i="13" s="1"/>
  <c r="J1843" i="13" a="1"/>
  <c r="J1843" i="13" s="1"/>
  <c r="N1844" i="13"/>
  <c r="M1846" i="13"/>
  <c r="M1847" i="14"/>
  <c r="J1842" i="14" a="1"/>
  <c r="J1842" i="14" s="1"/>
  <c r="N1843" i="14"/>
  <c r="K1658" i="13" l="1"/>
  <c r="L1658" i="13" s="1"/>
  <c r="I1659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81" i="14" l="1"/>
  <c r="L1681" i="14" s="1"/>
  <c r="I1682" i="14" s="1"/>
  <c r="K1659" i="13"/>
  <c r="L1659" i="13" s="1"/>
  <c r="I1660" i="13" s="1"/>
  <c r="M1849" i="14"/>
  <c r="J1844" i="14" a="1"/>
  <c r="J1844" i="14" s="1"/>
  <c r="N1845" i="14"/>
  <c r="N1846" i="13"/>
  <c r="J1845" i="13" a="1"/>
  <c r="J1845" i="13" s="1"/>
  <c r="M1848" i="13"/>
  <c r="K1660" i="13" l="1"/>
  <c r="L1660" i="13" s="1"/>
  <c r="I1661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83" i="14" l="1"/>
  <c r="L1683" i="14" s="1"/>
  <c r="I1684" i="14" s="1"/>
  <c r="K1661" i="13"/>
  <c r="L1661" i="13" s="1"/>
  <c r="I1662" i="13" s="1"/>
  <c r="M1851" i="14"/>
  <c r="M1850" i="13"/>
  <c r="J1847" i="13" a="1"/>
  <c r="J1847" i="13" s="1"/>
  <c r="N1848" i="13"/>
  <c r="J1846" i="14" a="1"/>
  <c r="J1846" i="14" s="1"/>
  <c r="N1847" i="14"/>
  <c r="K1662" i="13" l="1"/>
  <c r="L1662" i="13" s="1"/>
  <c r="I1663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85" i="14" l="1"/>
  <c r="L1685" i="14" s="1"/>
  <c r="I1686" i="14" s="1"/>
  <c r="K1663" i="13"/>
  <c r="L1663" i="13" s="1"/>
  <c r="I1664" i="13" s="1"/>
  <c r="M1852" i="13"/>
  <c r="M1853" i="14"/>
  <c r="N1850" i="13"/>
  <c r="J1849" i="13" a="1"/>
  <c r="J1849" i="13" s="1"/>
  <c r="J1848" i="14" a="1"/>
  <c r="J1848" i="14" s="1"/>
  <c r="N1849" i="14"/>
  <c r="K1664" i="13" l="1"/>
  <c r="L1664" i="13" s="1"/>
  <c r="I1665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87" i="14" l="1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/>
  <c r="L1665" i="13" s="1"/>
  <c r="I1666" i="13" s="1"/>
  <c r="K1666" i="13" l="1"/>
  <c r="L1666" i="13" s="1"/>
  <c r="I1667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7" i="13" l="1"/>
  <c r="L1667" i="13" s="1"/>
  <c r="I1668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8" i="13" l="1"/>
  <c r="L1668" i="13" s="1"/>
  <c r="I1669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9" i="13" l="1"/>
  <c r="L1669" i="13" s="1"/>
  <c r="I1670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92" i="14" l="1"/>
  <c r="L1692" i="14" s="1"/>
  <c r="I1693" i="14" s="1"/>
  <c r="K1670" i="13"/>
  <c r="L1670" i="13" s="1"/>
  <c r="I1671" i="13" s="1"/>
  <c r="M1859" i="13"/>
  <c r="M1860" i="14"/>
  <c r="J1856" i="13" a="1"/>
  <c r="J1856" i="13" s="1"/>
  <c r="N1857" i="13"/>
  <c r="N1856" i="14"/>
  <c r="J1855" i="14" a="1"/>
  <c r="J1855" i="14" s="1"/>
  <c r="K1671" i="13" l="1"/>
  <c r="L1671" i="13" s="1"/>
  <c r="I1672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94" i="14" l="1"/>
  <c r="L1694" i="14" s="1"/>
  <c r="I1695" i="14" s="1"/>
  <c r="K1672" i="13"/>
  <c r="L1672" i="13" s="1"/>
  <c r="I1673" i="13" s="1"/>
  <c r="J1858" i="13" a="1"/>
  <c r="J1858" i="13" s="1"/>
  <c r="N1859" i="13"/>
  <c r="M1861" i="13"/>
  <c r="M1862" i="14"/>
  <c r="J1857" i="14" a="1"/>
  <c r="J1857" i="14" s="1"/>
  <c r="N1858" i="14"/>
  <c r="K1673" i="13" l="1"/>
  <c r="L1673" i="13" s="1"/>
  <c r="I1674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4" i="13" l="1"/>
  <c r="L1674" i="13" s="1"/>
  <c r="I1675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5" i="13" l="1"/>
  <c r="L1675" i="13" s="1"/>
  <c r="I1676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98" i="14" l="1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/>
  <c r="L1676" i="13" s="1"/>
  <c r="I1677" i="13" s="1"/>
  <c r="K1677" i="13" l="1"/>
  <c r="L1677" i="13" s="1"/>
  <c r="I1678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700" i="14" l="1"/>
  <c r="L1700" i="14" s="1"/>
  <c r="I1701" i="14" s="1"/>
  <c r="K1678" i="13"/>
  <c r="L1678" i="13" s="1"/>
  <c r="I1679" i="13" s="1"/>
  <c r="J1864" i="13" a="1"/>
  <c r="J1864" i="13" s="1"/>
  <c r="N1865" i="13"/>
  <c r="M1867" i="13"/>
  <c r="N1864" i="14"/>
  <c r="J1863" i="14" a="1"/>
  <c r="J1863" i="14" s="1"/>
  <c r="M1868" i="14"/>
  <c r="K1679" i="13" l="1"/>
  <c r="L1679" i="13" s="1"/>
  <c r="I1680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80" i="13" l="1"/>
  <c r="L1680" i="13" s="1"/>
  <c r="I1681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703" i="14" l="1"/>
  <c r="L1703" i="14" s="1"/>
  <c r="I1704" i="14" s="1"/>
  <c r="K1681" i="13"/>
  <c r="L1681" i="13" s="1"/>
  <c r="I1682" i="13" s="1"/>
  <c r="J1866" i="14" a="1"/>
  <c r="J1866" i="14" s="1"/>
  <c r="N1867" i="14"/>
  <c r="M1871" i="14"/>
  <c r="J1867" i="13" a="1"/>
  <c r="J1867" i="13" s="1"/>
  <c r="N1868" i="13"/>
  <c r="M1870" i="13"/>
  <c r="K1704" i="14" l="1"/>
  <c r="L1704" i="14" s="1"/>
  <c r="I1705" i="14" s="1"/>
  <c r="K1682" i="13"/>
  <c r="L1682" i="13" s="1"/>
  <c r="I1683" i="13" s="1"/>
  <c r="M1871" i="13"/>
  <c r="M1872" i="14"/>
  <c r="J1868" i="13" a="1"/>
  <c r="J1868" i="13" s="1"/>
  <c r="N1869" i="13"/>
  <c r="N1868" i="14"/>
  <c r="J1867" i="14" a="1"/>
  <c r="J1867" i="14" s="1"/>
  <c r="K1683" i="13" l="1"/>
  <c r="L1683" i="13" s="1"/>
  <c r="I1684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4" i="13" l="1"/>
  <c r="L1684" i="13" s="1"/>
  <c r="I1685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5" i="13" l="1"/>
  <c r="L1685" i="13" s="1"/>
  <c r="I1686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6" i="13" l="1"/>
  <c r="L1686" i="13" s="1"/>
  <c r="I1687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7" i="13" l="1"/>
  <c r="L1687" i="13" s="1"/>
  <c r="I1688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710" i="14" l="1"/>
  <c r="L1710" i="14" s="1"/>
  <c r="I1711" i="14" s="1"/>
  <c r="K1688" i="13"/>
  <c r="L1688" i="13" s="1"/>
  <c r="I1689" i="13" s="1"/>
  <c r="J1874" i="13" a="1"/>
  <c r="J1874" i="13" s="1"/>
  <c r="N1875" i="13"/>
  <c r="M1877" i="13"/>
  <c r="M1878" i="14"/>
  <c r="J1873" i="14" a="1"/>
  <c r="J1873" i="14" s="1"/>
  <c r="N1874" i="14"/>
  <c r="K1689" i="13" l="1"/>
  <c r="L1689" i="13" s="1"/>
  <c r="I1690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90" i="13" l="1"/>
  <c r="L1690" i="13" s="1"/>
  <c r="I1691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713" i="14" l="1"/>
  <c r="L1713" i="14" s="1"/>
  <c r="I1714" i="14" s="1"/>
  <c r="K1691" i="13"/>
  <c r="L1691" i="13" s="1"/>
  <c r="I1692" i="13" s="1"/>
  <c r="N1878" i="13"/>
  <c r="J1877" i="13" a="1"/>
  <c r="J1877" i="13" s="1"/>
  <c r="M1880" i="13"/>
  <c r="M1881" i="14"/>
  <c r="J1876" i="14" a="1"/>
  <c r="J1876" i="14" s="1"/>
  <c r="N1877" i="14"/>
  <c r="M1882" i="14" l="1"/>
  <c r="J1877" i="14" a="1"/>
  <c r="J1877" i="14" s="1"/>
  <c r="N1878" i="14"/>
  <c r="M1881" i="13"/>
  <c r="K1692" i="13"/>
  <c r="L1692" i="13" s="1"/>
  <c r="I1693" i="13" s="1"/>
  <c r="J1878" i="13" a="1"/>
  <c r="J1878" i="13" s="1"/>
  <c r="N1879" i="13"/>
  <c r="K1714" i="14"/>
  <c r="L1714" i="14" s="1"/>
  <c r="I1715" i="14" s="1"/>
  <c r="K1715" i="14" l="1"/>
  <c r="L1715" i="14" s="1"/>
  <c r="I1716" i="14" s="1"/>
  <c r="K1693" i="13"/>
  <c r="L1693" i="13" s="1"/>
  <c r="I1694" i="13" s="1"/>
  <c r="J1878" i="14" a="1"/>
  <c r="J1878" i="14" s="1"/>
  <c r="N1879" i="14"/>
  <c r="J1879" i="13" a="1"/>
  <c r="J1879" i="13" s="1"/>
  <c r="N1880" i="13"/>
  <c r="M1883" i="14"/>
  <c r="M1882" i="13"/>
  <c r="K1716" i="14" l="1"/>
  <c r="L1716" i="14" s="1"/>
  <c r="I1717" i="14" s="1"/>
  <c r="K1694" i="13"/>
  <c r="L1694" i="13" s="1"/>
  <c r="I1695" i="13" s="1"/>
  <c r="M1884" i="14"/>
  <c r="J1880" i="13" a="1"/>
  <c r="J1880" i="13" s="1"/>
  <c r="N1881" i="13"/>
  <c r="N1880" i="14"/>
  <c r="J1879" i="14" a="1"/>
  <c r="J1879" i="14" s="1"/>
  <c r="M1883" i="13"/>
  <c r="K1717" i="14" l="1"/>
  <c r="L1717" i="14" s="1"/>
  <c r="I1718" i="14" s="1"/>
  <c r="N1882" i="13"/>
  <c r="J1881" i="13" a="1"/>
  <c r="J1881" i="13" s="1"/>
  <c r="M1884" i="13"/>
  <c r="K1695" i="13"/>
  <c r="L1695" i="13" s="1"/>
  <c r="I1696" i="13" s="1"/>
  <c r="J1880" i="14" a="1"/>
  <c r="J1880" i="14" s="1"/>
  <c r="N1881" i="14"/>
  <c r="M1885" i="14"/>
  <c r="K1696" i="13" l="1"/>
  <c r="L1696" i="13" s="1"/>
  <c r="I1697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719" i="14" l="1"/>
  <c r="L1719" i="14" s="1"/>
  <c r="I1720" i="14" s="1"/>
  <c r="K1697" i="13"/>
  <c r="L1697" i="13" s="1"/>
  <c r="I1698" i="13" s="1"/>
  <c r="J1882" i="14" a="1"/>
  <c r="J1882" i="14" s="1"/>
  <c r="N1883" i="14"/>
  <c r="M1887" i="14"/>
  <c r="M1886" i="13"/>
  <c r="J1883" i="13" a="1"/>
  <c r="J1883" i="13" s="1"/>
  <c r="N1884" i="13"/>
  <c r="K1698" i="13" l="1"/>
  <c r="L1698" i="13" s="1"/>
  <c r="I1699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9" i="13" l="1"/>
  <c r="L1699" i="13" s="1"/>
  <c r="I1700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722" i="14" l="1"/>
  <c r="L1722" i="14" s="1"/>
  <c r="I1723" i="14" s="1"/>
  <c r="K1700" i="13"/>
  <c r="L1700" i="13" s="1"/>
  <c r="I1701" i="13" s="1"/>
  <c r="J1885" i="14" a="1"/>
  <c r="J1885" i="14" s="1"/>
  <c r="N1886" i="14"/>
  <c r="M1889" i="13"/>
  <c r="J1886" i="13" a="1"/>
  <c r="J1886" i="13" s="1"/>
  <c r="N1887" i="13"/>
  <c r="M1890" i="14"/>
  <c r="K1701" i="13" l="1"/>
  <c r="L1701" i="13" s="1"/>
  <c r="I1702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2" i="13" l="1"/>
  <c r="L1702" i="13" s="1"/>
  <c r="I1703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3" i="13" l="1"/>
  <c r="L1703" i="13" s="1"/>
  <c r="I1704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4" i="13" l="1"/>
  <c r="L1704" i="13" s="1"/>
  <c r="I1705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27" i="14" l="1"/>
  <c r="L1727" i="14" s="1"/>
  <c r="I1728" i="14" s="1"/>
  <c r="K1705" i="13"/>
  <c r="L1705" i="13" s="1"/>
  <c r="I1706" i="13" s="1"/>
  <c r="J1890" i="14" a="1"/>
  <c r="J1890" i="14" s="1"/>
  <c r="N1891" i="14"/>
  <c r="J1891" i="13" a="1"/>
  <c r="J1891" i="13" s="1"/>
  <c r="N1892" i="13"/>
  <c r="M1895" i="14"/>
  <c r="M1894" i="13"/>
  <c r="K1728" i="14" l="1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/>
  <c r="L1706" i="13" s="1"/>
  <c r="I1707" i="13" s="1"/>
  <c r="K1707" i="13" l="1"/>
  <c r="L1707" i="13" s="1"/>
  <c r="I1708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8" i="13" l="1"/>
  <c r="L1708" i="13" s="1"/>
  <c r="I1709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31" i="14" l="1"/>
  <c r="L1731" i="14" s="1"/>
  <c r="I1732" i="14" s="1"/>
  <c r="K1709" i="13"/>
  <c r="L1709" i="13" s="1"/>
  <c r="I1710" i="13" s="1"/>
  <c r="J1895" i="13" a="1"/>
  <c r="J1895" i="13" s="1"/>
  <c r="N1896" i="13"/>
  <c r="J1894" i="14" a="1"/>
  <c r="J1894" i="14" s="1"/>
  <c r="N1895" i="14"/>
  <c r="M1899" i="14"/>
  <c r="M1898" i="13"/>
  <c r="K1732" i="14" l="1"/>
  <c r="L1732" i="14" s="1"/>
  <c r="I1733" i="14" s="1"/>
  <c r="N1896" i="14"/>
  <c r="J1895" i="14" a="1"/>
  <c r="J1895" i="14" s="1"/>
  <c r="K1710" i="13"/>
  <c r="L1710" i="13" s="1"/>
  <c r="I1711" i="13" s="1"/>
  <c r="M1899" i="13"/>
  <c r="J1896" i="13" a="1"/>
  <c r="J1896" i="13" s="1"/>
  <c r="N1897" i="13"/>
  <c r="M1900" i="14"/>
  <c r="K1711" i="13" l="1"/>
  <c r="L1711" i="13" s="1"/>
  <c r="I1712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34" i="14" l="1"/>
  <c r="L1734" i="14" s="1"/>
  <c r="I1735" i="14" s="1"/>
  <c r="K1712" i="13"/>
  <c r="L1712" i="13" s="1"/>
  <c r="I1713" i="13" s="1"/>
  <c r="M1901" i="13"/>
  <c r="J1898" i="13" a="1"/>
  <c r="J1898" i="13" s="1"/>
  <c r="N1899" i="13"/>
  <c r="J1897" i="14" a="1"/>
  <c r="J1897" i="14" s="1"/>
  <c r="N1898" i="14"/>
  <c r="M1902" i="14"/>
  <c r="K1713" i="13" l="1"/>
  <c r="L1713" i="13" s="1"/>
  <c r="I1714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4" i="13" l="1"/>
  <c r="L1714" i="13" s="1"/>
  <c r="I1715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37" i="14" l="1"/>
  <c r="L1737" i="14" s="1"/>
  <c r="I1738" i="14" s="1"/>
  <c r="K1715" i="13"/>
  <c r="L1715" i="13" s="1"/>
  <c r="I1716" i="13" s="1"/>
  <c r="N1902" i="13"/>
  <c r="J1901" i="13" a="1"/>
  <c r="J1901" i="13" s="1"/>
  <c r="J1900" i="14" a="1"/>
  <c r="J1900" i="14" s="1"/>
  <c r="N1901" i="14"/>
  <c r="M1905" i="14"/>
  <c r="M1904" i="13"/>
  <c r="K1738" i="14" l="1"/>
  <c r="L1738" i="14" s="1"/>
  <c r="I1739" i="14" s="1"/>
  <c r="M1906" i="14"/>
  <c r="M1905" i="13"/>
  <c r="J1901" i="14" a="1"/>
  <c r="J1901" i="14" s="1"/>
  <c r="N1902" i="14"/>
  <c r="K1716" i="13"/>
  <c r="L1716" i="13" s="1"/>
  <c r="I1717" i="13" s="1"/>
  <c r="J1902" i="13" a="1"/>
  <c r="J1902" i="13" s="1"/>
  <c r="N1903" i="13"/>
  <c r="K1717" i="13" l="1"/>
  <c r="L1717" i="13" s="1"/>
  <c r="I1718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8" i="13" l="1"/>
  <c r="L1718" i="13" s="1"/>
  <c r="I1719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41" i="14" l="1"/>
  <c r="L1741" i="14" s="1"/>
  <c r="I1742" i="14" s="1"/>
  <c r="K1719" i="13"/>
  <c r="L1719" i="13" s="1"/>
  <c r="I1720" i="13" s="1"/>
  <c r="J1904" i="14" a="1"/>
  <c r="J1904" i="14" s="1"/>
  <c r="N1905" i="14"/>
  <c r="N1906" i="13"/>
  <c r="J1905" i="13" a="1"/>
  <c r="J1905" i="13" s="1"/>
  <c r="M1909" i="14"/>
  <c r="M1908" i="13"/>
  <c r="K1742" i="14" l="1"/>
  <c r="L1742" i="14" s="1"/>
  <c r="I1743" i="14" s="1"/>
  <c r="K1720" i="13"/>
  <c r="L1720" i="13" s="1"/>
  <c r="I1721" i="13" s="1"/>
  <c r="M1909" i="13"/>
  <c r="J1905" i="14" a="1"/>
  <c r="J1905" i="14" s="1"/>
  <c r="N1906" i="14"/>
  <c r="J1906" i="13" a="1"/>
  <c r="J1906" i="13" s="1"/>
  <c r="N1907" i="13"/>
  <c r="M1910" i="14"/>
  <c r="K1721" i="13" l="1"/>
  <c r="L1721" i="13" s="1"/>
  <c r="I1722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44" i="14" l="1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/>
  <c r="L1722" i="13" s="1"/>
  <c r="I1723" i="13" s="1"/>
  <c r="K1723" i="13" l="1"/>
  <c r="L1723" i="13" s="1"/>
  <c r="I1724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4" i="13" l="1"/>
  <c r="L1724" i="13" s="1"/>
  <c r="I1725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47" i="14" l="1"/>
  <c r="L1747" i="14" s="1"/>
  <c r="I1748" i="14" s="1"/>
  <c r="K1725" i="13"/>
  <c r="L1725" i="13" s="1"/>
  <c r="I1726" i="13" s="1"/>
  <c r="J1911" i="13" a="1"/>
  <c r="J1911" i="13" s="1"/>
  <c r="N1912" i="13"/>
  <c r="M1915" i="14"/>
  <c r="M1914" i="13"/>
  <c r="J1910" i="14" a="1"/>
  <c r="J1910" i="14" s="1"/>
  <c r="N1911" i="14"/>
  <c r="K1748" i="14" l="1"/>
  <c r="L1748" i="14" s="1"/>
  <c r="I1749" i="14" s="1"/>
  <c r="M1915" i="13"/>
  <c r="N1912" i="14"/>
  <c r="J1911" i="14" a="1"/>
  <c r="J1911" i="14" s="1"/>
  <c r="K1726" i="13"/>
  <c r="L1726" i="13" s="1"/>
  <c r="I1727" i="13" s="1"/>
  <c r="M1916" i="14"/>
  <c r="J1912" i="13" a="1"/>
  <c r="J1912" i="13" s="1"/>
  <c r="N1913" i="13"/>
  <c r="K1749" i="14" l="1"/>
  <c r="L1749" i="14" s="1"/>
  <c r="I1750" i="14" s="1"/>
  <c r="N1914" i="13"/>
  <c r="J1913" i="13" a="1"/>
  <c r="J1913" i="13" s="1"/>
  <c r="K1727" i="13"/>
  <c r="L1727" i="13" s="1"/>
  <c r="I1728" i="13" s="1"/>
  <c r="M1916" i="13"/>
  <c r="M1917" i="14"/>
  <c r="J1912" i="14" a="1"/>
  <c r="J1912" i="14" s="1"/>
  <c r="N1913" i="14"/>
  <c r="K1728" i="13" l="1"/>
  <c r="L1728" i="13" s="1"/>
  <c r="I1729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M1918" i="13" l="1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/>
  <c r="L1729" i="13" s="1"/>
  <c r="I1730" i="13" s="1"/>
  <c r="K1752" i="14" l="1"/>
  <c r="L1752" i="14" s="1"/>
  <c r="I1753" i="14" s="1"/>
  <c r="K1730" i="13"/>
  <c r="L1730" i="13" s="1"/>
  <c r="I1731" i="13" s="1"/>
  <c r="J1916" i="13" a="1"/>
  <c r="J1916" i="13" s="1"/>
  <c r="N1917" i="13"/>
  <c r="M1920" i="14"/>
  <c r="N1916" i="14"/>
  <c r="J1915" i="14" a="1"/>
  <c r="J1915" i="14" s="1"/>
  <c r="M1919" i="13"/>
  <c r="K1731" i="13" l="1"/>
  <c r="L1731" i="13" s="1"/>
  <c r="I1732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54" i="14" l="1"/>
  <c r="L1754" i="14" s="1"/>
  <c r="I1755" i="14" s="1"/>
  <c r="K1732" i="13"/>
  <c r="L1732" i="13" s="1"/>
  <c r="I1733" i="13" s="1"/>
  <c r="M1922" i="14"/>
  <c r="M1921" i="13"/>
  <c r="J1917" i="14" a="1"/>
  <c r="J1917" i="14" s="1"/>
  <c r="N1918" i="14"/>
  <c r="J1918" i="13" a="1"/>
  <c r="J1918" i="13" s="1"/>
  <c r="N1919" i="13"/>
  <c r="K1733" i="13" l="1"/>
  <c r="L1733" i="13" s="1"/>
  <c r="I1734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56" i="14" l="1"/>
  <c r="L1756" i="14" s="1"/>
  <c r="I1757" i="14" s="1"/>
  <c r="K1734" i="13"/>
  <c r="L1734" i="13" s="1"/>
  <c r="I1735" i="13" s="1"/>
  <c r="J1920" i="13" a="1"/>
  <c r="J1920" i="13" s="1"/>
  <c r="N1921" i="13"/>
  <c r="N1920" i="14"/>
  <c r="J1919" i="14" a="1"/>
  <c r="J1919" i="14" s="1"/>
  <c r="M1924" i="14"/>
  <c r="M1923" i="13"/>
  <c r="K1757" i="14" l="1"/>
  <c r="L1757" i="14" s="1"/>
  <c r="I1758" i="14" s="1"/>
  <c r="M1924" i="13"/>
  <c r="K1735" i="13"/>
  <c r="L1735" i="13" s="1"/>
  <c r="I1736" i="13" s="1"/>
  <c r="N1922" i="13"/>
  <c r="J1921" i="13" a="1"/>
  <c r="J1921" i="13" s="1"/>
  <c r="J1920" i="14" a="1"/>
  <c r="J1920" i="14" s="1"/>
  <c r="N1921" i="14"/>
  <c r="M1925" i="14"/>
  <c r="K1736" i="13" l="1"/>
  <c r="L1736" i="13" s="1"/>
  <c r="I1737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59" i="14" l="1"/>
  <c r="L1759" i="14" s="1"/>
  <c r="I1760" i="14" s="1"/>
  <c r="K1737" i="13"/>
  <c r="L1737" i="13" s="1"/>
  <c r="I1738" i="13" s="1"/>
  <c r="J1923" i="13" a="1"/>
  <c r="J1923" i="13" s="1"/>
  <c r="N1924" i="13"/>
  <c r="M1926" i="13"/>
  <c r="J1922" i="14" a="1"/>
  <c r="J1922" i="14" s="1"/>
  <c r="N1923" i="14"/>
  <c r="M1927" i="14"/>
  <c r="K1738" i="13" l="1"/>
  <c r="L1738" i="13" s="1"/>
  <c r="I1739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9" i="13" l="1"/>
  <c r="L1739" i="13" s="1"/>
  <c r="I1740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62" i="14" l="1"/>
  <c r="L1762" i="14" s="1"/>
  <c r="I1763" i="14" s="1"/>
  <c r="K1740" i="13"/>
  <c r="L1740" i="13" s="1"/>
  <c r="I1741" i="13" s="1"/>
  <c r="M1929" i="13"/>
  <c r="J1926" i="13" a="1"/>
  <c r="J1926" i="13" s="1"/>
  <c r="N1927" i="13"/>
  <c r="J1925" i="14" a="1"/>
  <c r="J1925" i="14" s="1"/>
  <c r="N1926" i="14"/>
  <c r="M1930" i="14"/>
  <c r="K1741" i="13" l="1"/>
  <c r="L1741" i="13" s="1"/>
  <c r="I1742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64" i="14" l="1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/>
  <c r="L1742" i="13" s="1"/>
  <c r="I1743" i="13" s="1"/>
  <c r="K1743" i="13" l="1"/>
  <c r="L1743" i="13" s="1"/>
  <c r="I1744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4" i="13" l="1"/>
  <c r="L1744" i="13" s="1"/>
  <c r="I1745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67" i="14" l="1"/>
  <c r="L1767" i="14" s="1"/>
  <c r="I1768" i="14" s="1"/>
  <c r="K1745" i="13"/>
  <c r="L1745" i="13" s="1"/>
  <c r="I1746" i="13" s="1"/>
  <c r="J1931" i="13" a="1"/>
  <c r="J1931" i="13" s="1"/>
  <c r="N1932" i="13"/>
  <c r="M1934" i="13"/>
  <c r="M1935" i="14"/>
  <c r="J1930" i="14" a="1"/>
  <c r="J1930" i="14" s="1"/>
  <c r="N1931" i="14"/>
  <c r="K1746" i="13" l="1"/>
  <c r="L1746" i="13" s="1"/>
  <c r="I1747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7" i="13" l="1"/>
  <c r="L1747" i="13" s="1"/>
  <c r="I1748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8" i="13" l="1"/>
  <c r="L1748" i="13" s="1"/>
  <c r="I1749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9" i="13" l="1"/>
  <c r="L1749" i="13" s="1"/>
  <c r="I1750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50" i="13" l="1"/>
  <c r="L1750" i="13" s="1"/>
  <c r="I1751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1" i="13" l="1"/>
  <c r="L1751" i="13" s="1"/>
  <c r="I1752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74" i="14" l="1"/>
  <c r="L1774" i="14" s="1"/>
  <c r="I1775" i="14" s="1"/>
  <c r="K1752" i="13"/>
  <c r="L1752" i="13" s="1"/>
  <c r="I1753" i="13" s="1"/>
  <c r="J1937" i="14" a="1"/>
  <c r="J1937" i="14" s="1"/>
  <c r="N1938" i="14"/>
  <c r="M1942" i="14"/>
  <c r="M1941" i="13"/>
  <c r="J1938" i="13" a="1"/>
  <c r="J1938" i="13" s="1"/>
  <c r="N1939" i="13"/>
  <c r="K1753" i="13" l="1"/>
  <c r="L1753" i="13" s="1"/>
  <c r="I1754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4" i="13" l="1"/>
  <c r="L1754" i="13" s="1"/>
  <c r="I1755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77" i="14" l="1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/>
  <c r="L1755" i="13" s="1"/>
  <c r="I1756" i="13" s="1"/>
  <c r="K1756" i="13" l="1"/>
  <c r="L1756" i="13" s="1"/>
  <c r="I1757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7" i="13" l="1"/>
  <c r="L1757" i="13" s="1"/>
  <c r="I1758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80" i="14" l="1"/>
  <c r="L1780" i="14" s="1"/>
  <c r="I1781" i="14" s="1"/>
  <c r="K1758" i="13"/>
  <c r="L1758" i="13" s="1"/>
  <c r="I1759" i="13" s="1"/>
  <c r="N1944" i="14"/>
  <c r="J1943" i="14" a="1"/>
  <c r="J1943" i="14" s="1"/>
  <c r="M1948" i="14"/>
  <c r="M1947" i="13"/>
  <c r="J1944" i="13" a="1"/>
  <c r="J1944" i="13" s="1"/>
  <c r="N1945" i="13"/>
  <c r="K1759" i="13" l="1"/>
  <c r="L1759" i="13" s="1"/>
  <c r="I1760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82" i="14" l="1"/>
  <c r="L1782" i="14" s="1"/>
  <c r="I1783" i="14" s="1"/>
  <c r="K1760" i="13"/>
  <c r="L1760" i="13" s="1"/>
  <c r="I1761" i="13" s="1"/>
  <c r="J1946" i="13" a="1"/>
  <c r="J1946" i="13" s="1"/>
  <c r="N1947" i="13"/>
  <c r="J1945" i="14" a="1"/>
  <c r="J1945" i="14" s="1"/>
  <c r="N1946" i="14"/>
  <c r="M1949" i="13"/>
  <c r="M1950" i="14"/>
  <c r="K1761" i="13" l="1"/>
  <c r="L1761" i="13" s="1"/>
  <c r="I1762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84" i="14" l="1"/>
  <c r="L1784" i="14" s="1"/>
  <c r="I1785" i="14" s="1"/>
  <c r="K1762" i="13"/>
  <c r="L1762" i="13" s="1"/>
  <c r="I1763" i="13" s="1"/>
  <c r="J1948" i="13" a="1"/>
  <c r="J1948" i="13" s="1"/>
  <c r="N1949" i="13"/>
  <c r="N1948" i="14"/>
  <c r="J1947" i="14" a="1"/>
  <c r="J1947" i="14" s="1"/>
  <c r="M1951" i="13"/>
  <c r="M1952" i="14"/>
  <c r="K1763" i="13" l="1"/>
  <c r="L1763" i="13" s="1"/>
  <c r="I1764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4" i="13" l="1"/>
  <c r="L1764" i="13" s="1"/>
  <c r="I1765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87" i="14" l="1"/>
  <c r="L1787" i="14" s="1"/>
  <c r="I1788" i="14" s="1"/>
  <c r="K1765" i="13"/>
  <c r="L1765" i="13" s="1"/>
  <c r="I1766" i="13" s="1"/>
  <c r="J1950" i="14" a="1"/>
  <c r="J1950" i="14" s="1"/>
  <c r="N1951" i="14"/>
  <c r="M1955" i="14"/>
  <c r="M1954" i="13"/>
  <c r="J1951" i="13" a="1"/>
  <c r="J1951" i="13" s="1"/>
  <c r="N1952" i="13"/>
  <c r="K1766" i="13" l="1"/>
  <c r="L1766" i="13" s="1"/>
  <c r="I1767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7" i="13" l="1"/>
  <c r="L1767" i="13" s="1"/>
  <c r="I1768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90" i="14" l="1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/>
  <c r="L1768" i="13" s="1"/>
  <c r="I1769" i="13" s="1"/>
  <c r="K1769" i="13" l="1"/>
  <c r="L1769" i="13" s="1"/>
  <c r="I1770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92" i="14" l="1"/>
  <c r="L1792" i="14" s="1"/>
  <c r="I1793" i="14" s="1"/>
  <c r="K1770" i="13"/>
  <c r="L1770" i="13" s="1"/>
  <c r="I1771" i="13" s="1"/>
  <c r="M1959" i="13"/>
  <c r="J1956" i="13" a="1"/>
  <c r="J1956" i="13" s="1"/>
  <c r="N1957" i="13"/>
  <c r="N1956" i="14"/>
  <c r="J1955" i="14" a="1"/>
  <c r="J1955" i="14" s="1"/>
  <c r="M1960" i="14"/>
  <c r="K1771" i="13" l="1"/>
  <c r="L1771" i="13" s="1"/>
  <c r="I1772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94" i="14" l="1"/>
  <c r="L1794" i="14" s="1"/>
  <c r="I1795" i="14" s="1"/>
  <c r="K1772" i="13"/>
  <c r="L1772" i="13" s="1"/>
  <c r="I1773" i="13" s="1"/>
  <c r="M1961" i="13"/>
  <c r="M1962" i="14"/>
  <c r="J1957" i="14" a="1"/>
  <c r="J1957" i="14" s="1"/>
  <c r="N1958" i="14"/>
  <c r="J1958" i="13" a="1"/>
  <c r="J1958" i="13" s="1"/>
  <c r="N1959" i="13"/>
  <c r="K1773" i="13" l="1"/>
  <c r="L1773" i="13" s="1"/>
  <c r="I1774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4" i="13" l="1"/>
  <c r="L1774" i="13" s="1"/>
  <c r="I1775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97" i="14" l="1"/>
  <c r="L1797" i="14" s="1"/>
  <c r="I1798" i="14" s="1"/>
  <c r="K1775" i="13"/>
  <c r="L1775" i="13" s="1"/>
  <c r="I1776" i="13" s="1"/>
  <c r="M1965" i="14"/>
  <c r="J1960" i="14" a="1"/>
  <c r="J1960" i="14" s="1"/>
  <c r="N1961" i="14"/>
  <c r="N1962" i="13"/>
  <c r="J1961" i="13" a="1"/>
  <c r="J1961" i="13" s="1"/>
  <c r="M1964" i="13"/>
  <c r="K1776" i="13" l="1"/>
  <c r="L1776" i="13" s="1"/>
  <c r="I1777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99" i="14" l="1"/>
  <c r="L1799" i="14" s="1"/>
  <c r="I1800" i="14" s="1"/>
  <c r="K1777" i="13"/>
  <c r="L1777" i="13" s="1"/>
  <c r="I1778" i="13" s="1"/>
  <c r="M1967" i="14"/>
  <c r="M1966" i="13"/>
  <c r="J1962" i="14" a="1"/>
  <c r="J1962" i="14" s="1"/>
  <c r="N1963" i="14"/>
  <c r="J1963" i="13" a="1"/>
  <c r="J1963" i="13" s="1"/>
  <c r="N1964" i="13"/>
  <c r="K1778" i="13" l="1"/>
  <c r="L1778" i="13" s="1"/>
  <c r="I1779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801" i="14" l="1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/>
  <c r="L1779" i="13" s="1"/>
  <c r="I1780" i="13" s="1"/>
  <c r="K1780" i="13" l="1"/>
  <c r="L1780" i="13" s="1"/>
  <c r="I1781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803" i="14" l="1"/>
  <c r="L1803" i="14" s="1"/>
  <c r="I1804" i="14" s="1"/>
  <c r="K1781" i="13"/>
  <c r="L1781" i="13" s="1"/>
  <c r="I1782" i="13" s="1"/>
  <c r="M1970" i="13"/>
  <c r="M1971" i="14"/>
  <c r="J1967" i="13" a="1"/>
  <c r="J1967" i="13" s="1"/>
  <c r="N1968" i="13"/>
  <c r="J1966" i="14" a="1"/>
  <c r="J1966" i="14" s="1"/>
  <c r="N1967" i="14"/>
  <c r="K1782" i="13" l="1"/>
  <c r="L1782" i="13" s="1"/>
  <c r="I1783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3" i="13" l="1"/>
  <c r="L1783" i="13" s="1"/>
  <c r="I1784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806" i="14" l="1"/>
  <c r="L1806" i="14" s="1"/>
  <c r="I1807" i="14" s="1"/>
  <c r="K1784" i="13"/>
  <c r="L1784" i="13" s="1"/>
  <c r="I1785" i="13" s="1"/>
  <c r="M1973" i="13"/>
  <c r="J1969" i="14" a="1"/>
  <c r="J1969" i="14" s="1"/>
  <c r="N1970" i="14"/>
  <c r="J1970" i="13" a="1"/>
  <c r="J1970" i="13" s="1"/>
  <c r="N1971" i="13"/>
  <c r="M1974" i="14"/>
  <c r="K1807" i="14" l="1"/>
  <c r="L1807" i="14" s="1"/>
  <c r="I1808" i="14" s="1"/>
  <c r="J1970" i="14" a="1"/>
  <c r="J1970" i="14" s="1"/>
  <c r="N1971" i="14"/>
  <c r="M1975" i="14"/>
  <c r="K1785" i="13"/>
  <c r="L1785" i="13" s="1"/>
  <c r="I1786" i="13" s="1"/>
  <c r="J1971" i="13" a="1"/>
  <c r="J1971" i="13" s="1"/>
  <c r="N1972" i="13"/>
  <c r="M1974" i="13"/>
  <c r="K1786" i="13" l="1"/>
  <c r="L1786" i="13" s="1"/>
  <c r="I1787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809" i="14" l="1"/>
  <c r="L1809" i="14" s="1"/>
  <c r="I1810" i="14" s="1"/>
  <c r="K1787" i="13"/>
  <c r="L1787" i="13" s="1"/>
  <c r="I1788" i="13" s="1"/>
  <c r="N1974" i="13"/>
  <c r="J1973" i="13" a="1"/>
  <c r="J1973" i="13" s="1"/>
  <c r="M1977" i="14"/>
  <c r="M1976" i="13"/>
  <c r="J1972" i="14" a="1"/>
  <c r="J1972" i="14" s="1"/>
  <c r="N1973" i="14"/>
  <c r="K1788" i="13" l="1"/>
  <c r="L1788" i="13" s="1"/>
  <c r="I1789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9" i="13" l="1"/>
  <c r="L1789" i="13" s="1"/>
  <c r="I1790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90" i="13" l="1"/>
  <c r="L1790" i="13" s="1"/>
  <c r="I1791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1" i="13" l="1"/>
  <c r="L1791" i="13" s="1"/>
  <c r="I1792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814" i="14" l="1"/>
  <c r="L1814" i="14" s="1"/>
  <c r="I1815" i="14" s="1"/>
  <c r="K1792" i="13"/>
  <c r="L1792" i="13" s="1"/>
  <c r="I1793" i="13" s="1"/>
  <c r="J1977" i="14" a="1"/>
  <c r="J1977" i="14" s="1"/>
  <c r="N1978" i="14"/>
  <c r="M1981" i="13"/>
  <c r="J1978" i="13" a="1"/>
  <c r="J1978" i="13" s="1"/>
  <c r="N1979" i="13"/>
  <c r="M1982" i="14"/>
  <c r="K1815" i="14" l="1"/>
  <c r="L1815" i="14" s="1"/>
  <c r="I1816" i="14" s="1"/>
  <c r="K1793" i="13"/>
  <c r="L1793" i="13" s="1"/>
  <c r="I1794" i="13" s="1"/>
  <c r="J1979" i="13" a="1"/>
  <c r="J1979" i="13" s="1"/>
  <c r="N1980" i="13"/>
  <c r="J1978" i="14" a="1"/>
  <c r="J1978" i="14" s="1"/>
  <c r="N1979" i="14"/>
  <c r="M1983" i="14"/>
  <c r="M1982" i="13"/>
  <c r="K1794" i="13" l="1"/>
  <c r="L1794" i="13" s="1"/>
  <c r="I1795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5" i="13" l="1"/>
  <c r="L1795" i="13" s="1"/>
  <c r="I1796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6" i="13" l="1"/>
  <c r="L1796" i="13" s="1"/>
  <c r="I1797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819" i="14" l="1"/>
  <c r="L1819" i="14" s="1"/>
  <c r="I1820" i="14" s="1"/>
  <c r="K1797" i="13"/>
  <c r="L1797" i="13" s="1"/>
  <c r="I1798" i="13" s="1"/>
  <c r="J1982" i="14" a="1"/>
  <c r="J1982" i="14" s="1"/>
  <c r="N1983" i="14"/>
  <c r="J1983" i="13" a="1"/>
  <c r="J1983" i="13" s="1"/>
  <c r="N1984" i="13"/>
  <c r="M1986" i="13"/>
  <c r="M1987" i="14"/>
  <c r="K1798" i="13" l="1"/>
  <c r="L1798" i="13" s="1"/>
  <c r="I1799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821" i="14" l="1"/>
  <c r="L1821" i="14" s="1"/>
  <c r="I1822" i="14" s="1"/>
  <c r="K1799" i="13"/>
  <c r="L1799" i="13" s="1"/>
  <c r="I1800" i="13" s="1"/>
  <c r="M1988" i="13"/>
  <c r="M1989" i="14"/>
  <c r="N1986" i="13"/>
  <c r="J1985" i="13" a="1"/>
  <c r="J1985" i="13" s="1"/>
  <c r="J1984" i="14" a="1"/>
  <c r="J1984" i="14" s="1"/>
  <c r="N1985" i="14"/>
  <c r="K1800" i="13" l="1"/>
  <c r="L1800" i="13" s="1"/>
  <c r="I1801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23" i="14" l="1"/>
  <c r="L1823" i="14" s="1"/>
  <c r="I1824" i="14" s="1"/>
  <c r="K1801" i="13"/>
  <c r="L1801" i="13" s="1"/>
  <c r="I1802" i="13" s="1"/>
  <c r="J1986" i="14" a="1"/>
  <c r="J1986" i="14" s="1"/>
  <c r="N1987" i="14"/>
  <c r="J1987" i="13" a="1"/>
  <c r="J1987" i="13" s="1"/>
  <c r="N1988" i="13"/>
  <c r="M1991" i="14"/>
  <c r="M1990" i="13"/>
  <c r="K1802" i="13" l="1"/>
  <c r="L1802" i="13" s="1"/>
  <c r="I1803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25" i="14" l="1"/>
  <c r="L1825" i="14" s="1"/>
  <c r="I1826" i="14" s="1"/>
  <c r="K1803" i="13"/>
  <c r="L1803" i="13" s="1"/>
  <c r="I1804" i="13" s="1"/>
  <c r="N1990" i="13"/>
  <c r="J1989" i="13" a="1"/>
  <c r="J1989" i="13" s="1"/>
  <c r="J1988" i="14" a="1"/>
  <c r="J1988" i="14" s="1"/>
  <c r="N1989" i="14"/>
  <c r="M1992" i="13"/>
  <c r="M1993" i="14"/>
  <c r="K1826" i="14" l="1"/>
  <c r="L1826" i="14" s="1"/>
  <c r="I1827" i="14" s="1"/>
  <c r="K1804" i="13"/>
  <c r="L1804" i="13" s="1"/>
  <c r="I1805" i="13" s="1"/>
  <c r="M1993" i="13"/>
  <c r="J1989" i="14" a="1"/>
  <c r="J1989" i="14" s="1"/>
  <c r="N1990" i="14"/>
  <c r="M1994" i="14"/>
  <c r="J1990" i="13" a="1"/>
  <c r="J1990" i="13" s="1"/>
  <c r="N1991" i="13"/>
  <c r="K1827" i="14" l="1"/>
  <c r="L1827" i="14" s="1"/>
  <c r="I1828" i="14" s="1"/>
  <c r="K1805" i="13"/>
  <c r="L1805" i="13" s="1"/>
  <c r="I1806" i="13" s="1"/>
  <c r="J1991" i="13" a="1"/>
  <c r="J1991" i="13" s="1"/>
  <c r="N1992" i="13"/>
  <c r="J1990" i="14" a="1"/>
  <c r="J1990" i="14" s="1"/>
  <c r="N1991" i="14"/>
  <c r="M1995" i="14"/>
  <c r="M1994" i="13"/>
  <c r="K1828" i="14" l="1"/>
  <c r="L1828" i="14" s="1"/>
  <c r="I1829" i="14" s="1"/>
  <c r="K1806" i="13"/>
  <c r="L1806" i="13" s="1"/>
  <c r="I1807" i="13" s="1"/>
  <c r="N1992" i="14"/>
  <c r="J1991" i="14" a="1"/>
  <c r="J1991" i="14" s="1"/>
  <c r="M1996" i="14"/>
  <c r="M1995" i="13"/>
  <c r="J1992" i="13" a="1"/>
  <c r="J1992" i="13" s="1"/>
  <c r="N1993" i="13"/>
  <c r="K1807" i="13" l="1"/>
  <c r="L1807" i="13" s="1"/>
  <c r="I1808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30" i="14" l="1"/>
  <c r="L1830" i="14" s="1"/>
  <c r="I1831" i="14" s="1"/>
  <c r="K1808" i="13"/>
  <c r="L1808" i="13" s="1"/>
  <c r="I1809" i="13" s="1"/>
  <c r="J1993" i="14" a="1"/>
  <c r="J1993" i="14" s="1"/>
  <c r="N1994" i="14"/>
  <c r="M1997" i="13"/>
  <c r="M1998" i="14"/>
  <c r="J1994" i="13" a="1"/>
  <c r="J1994" i="13" s="1"/>
  <c r="N1995" i="13"/>
  <c r="K1809" i="13" l="1"/>
  <c r="L1809" i="13" s="1"/>
  <c r="I1810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10" i="13" l="1"/>
  <c r="L1810" i="13" s="1"/>
  <c r="I1811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33" i="14" l="1"/>
  <c r="L1833" i="14" s="1"/>
  <c r="I1834" i="14" s="1"/>
  <c r="K1811" i="13"/>
  <c r="L1811" i="13" s="1"/>
  <c r="I1812" i="13" s="1"/>
  <c r="N1998" i="13"/>
  <c r="J1997" i="13" a="1"/>
  <c r="J1997" i="13" s="1"/>
  <c r="M2001" i="14"/>
  <c r="J1996" i="14" a="1"/>
  <c r="J1996" i="14" s="1"/>
  <c r="N1997" i="14"/>
  <c r="M2000" i="13"/>
  <c r="K1834" i="14" l="1"/>
  <c r="L1834" i="14" s="1"/>
  <c r="I1835" i="14" s="1"/>
  <c r="K1812" i="13"/>
  <c r="L1812" i="13" s="1"/>
  <c r="I1813" i="13" s="1"/>
  <c r="J1997" i="14" a="1"/>
  <c r="J1997" i="14" s="1"/>
  <c r="N1998" i="14"/>
  <c r="M2001" i="13"/>
  <c r="M2002" i="14"/>
  <c r="J1998" i="13" a="1"/>
  <c r="J1998" i="13" s="1"/>
  <c r="N1999" i="13"/>
  <c r="K1835" i="14" l="1"/>
  <c r="L1835" i="14" s="1"/>
  <c r="I1836" i="14" s="1"/>
  <c r="K1813" i="13"/>
  <c r="L1813" i="13" s="1"/>
  <c r="I1814" i="13" s="1"/>
  <c r="J1999" i="13" a="1"/>
  <c r="J1999" i="13" s="1"/>
  <c r="N2000" i="13"/>
  <c r="J1998" i="14" a="1"/>
  <c r="J1998" i="14" s="1"/>
  <c r="N1999" i="14"/>
  <c r="M2002" i="13"/>
  <c r="M2003" i="14"/>
  <c r="K1814" i="13" l="1"/>
  <c r="L1814" i="13" s="1"/>
  <c r="I1815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37" i="14" l="1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/>
  <c r="L1815" i="13" s="1"/>
  <c r="I1816" i="13" s="1"/>
  <c r="K1816" i="13" l="1"/>
  <c r="L1816" i="13" s="1"/>
  <c r="I1817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39" i="14" l="1"/>
  <c r="L1839" i="14" s="1"/>
  <c r="I1840" i="14" s="1"/>
  <c r="K1817" i="13"/>
  <c r="L1817" i="13" s="1"/>
  <c r="I1818" i="13" s="1"/>
  <c r="J2002" i="14" a="1"/>
  <c r="J2002" i="14" s="1"/>
  <c r="N2003" i="14"/>
  <c r="J2003" i="13" a="1"/>
  <c r="J2003" i="13" s="1"/>
  <c r="N2004" i="13"/>
  <c r="M2007" i="14"/>
  <c r="M2006" i="13"/>
  <c r="K1818" i="13" l="1"/>
  <c r="L1818" i="13" s="1"/>
  <c r="I1819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41" i="14" l="1"/>
  <c r="L1841" i="14" s="1"/>
  <c r="I1842" i="14" s="1"/>
  <c r="K1819" i="13"/>
  <c r="L1819" i="13" s="1"/>
  <c r="I1820" i="13" s="1"/>
  <c r="N2006" i="13"/>
  <c r="J2005" i="13" a="1"/>
  <c r="J2005" i="13" s="1"/>
  <c r="M2008" i="13"/>
  <c r="J2004" i="14" a="1"/>
  <c r="J2004" i="14" s="1"/>
  <c r="N2005" i="14"/>
  <c r="M2009" i="14"/>
  <c r="K1820" i="13" l="1"/>
  <c r="L1820" i="13" s="1"/>
  <c r="I1821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43" i="14" l="1"/>
  <c r="L1843" i="14" s="1"/>
  <c r="I1844" i="14" s="1"/>
  <c r="K1821" i="13"/>
  <c r="L1821" i="13" s="1"/>
  <c r="I1822" i="13" s="1"/>
  <c r="M2011" i="14"/>
  <c r="J2007" i="13" a="1"/>
  <c r="J2007" i="13" s="1"/>
  <c r="N2008" i="13"/>
  <c r="J2006" i="14" a="1"/>
  <c r="J2006" i="14" s="1"/>
  <c r="N2007" i="14"/>
  <c r="M2010" i="13"/>
  <c r="K1822" i="13" l="1"/>
  <c r="L1822" i="13" s="1"/>
  <c r="I1823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45" i="14" l="1"/>
  <c r="L1845" i="14" s="1"/>
  <c r="I1846" i="14" s="1"/>
  <c r="K1823" i="13"/>
  <c r="L1823" i="13" s="1"/>
  <c r="I1824" i="13" s="1"/>
  <c r="M2012" i="13"/>
  <c r="M2013" i="14"/>
  <c r="J2008" i="14" a="1"/>
  <c r="J2008" i="14" s="1"/>
  <c r="N2009" i="14"/>
  <c r="N2010" i="13"/>
  <c r="J2009" i="13" a="1"/>
  <c r="J2009" i="13" s="1"/>
  <c r="K1824" i="13" l="1"/>
  <c r="L1824" i="13" s="1"/>
  <c r="I1825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47" i="14" l="1"/>
  <c r="L1847" i="14" s="1"/>
  <c r="I1848" i="14" s="1"/>
  <c r="K1825" i="13"/>
  <c r="L1825" i="13" s="1"/>
  <c r="I1826" i="13" s="1"/>
  <c r="J2010" i="14" a="1"/>
  <c r="J2010" i="14" s="1"/>
  <c r="N2011" i="14"/>
  <c r="M2015" i="14"/>
  <c r="M2014" i="13"/>
  <c r="J2011" i="13" a="1"/>
  <c r="J2011" i="13" s="1"/>
  <c r="N2012" i="13"/>
  <c r="K1826" i="13" l="1"/>
  <c r="L1826" i="13" s="1"/>
  <c r="I1827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49" i="14" l="1"/>
  <c r="L1849" i="14" s="1"/>
  <c r="I1850" i="14" s="1"/>
  <c r="K1827" i="13"/>
  <c r="L1827" i="13" s="1"/>
  <c r="I1828" i="13" s="1"/>
  <c r="M2016" i="13"/>
  <c r="M2017" i="14"/>
  <c r="N2014" i="13"/>
  <c r="J2013" i="13" a="1"/>
  <c r="J2013" i="13" s="1"/>
  <c r="J2012" i="14" a="1"/>
  <c r="J2012" i="14" s="1"/>
  <c r="N2013" i="14"/>
  <c r="K1828" i="13" l="1"/>
  <c r="L1828" i="13" s="1"/>
  <c r="I1829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51" i="14" l="1"/>
  <c r="L1851" i="14" s="1"/>
  <c r="I1852" i="14" s="1"/>
  <c r="K1829" i="13"/>
  <c r="L1829" i="13" s="1"/>
  <c r="I1830" i="13" s="1"/>
  <c r="J2015" i="13" a="1"/>
  <c r="J2015" i="13" s="1"/>
  <c r="N2016" i="13"/>
  <c r="M2018" i="13"/>
  <c r="J2014" i="14" a="1"/>
  <c r="J2014" i="14" s="1"/>
  <c r="N2015" i="14"/>
  <c r="M2019" i="14"/>
  <c r="K1830" i="13" l="1"/>
  <c r="L1830" i="13" s="1"/>
  <c r="I1831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53" i="14" l="1"/>
  <c r="L1853" i="14" s="1"/>
  <c r="I1854" i="14" s="1"/>
  <c r="K1831" i="13"/>
  <c r="L1831" i="13" s="1"/>
  <c r="I1832" i="13" s="1"/>
  <c r="M2021" i="14"/>
  <c r="N2018" i="13"/>
  <c r="J2017" i="13" a="1"/>
  <c r="J2017" i="13" s="1"/>
  <c r="M2020" i="13"/>
  <c r="J2016" i="14" a="1"/>
  <c r="J2016" i="14" s="1"/>
  <c r="N2017" i="14"/>
  <c r="K1832" i="13" l="1"/>
  <c r="L1832" i="13" s="1"/>
  <c r="I1833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55" i="14" l="1"/>
  <c r="L1855" i="14" s="1"/>
  <c r="I1856" i="14" s="1"/>
  <c r="K1833" i="13"/>
  <c r="L1833" i="13" s="1"/>
  <c r="I1834" i="13" s="1"/>
  <c r="M2023" i="14"/>
  <c r="J2019" i="13" a="1"/>
  <c r="J2019" i="13" s="1"/>
  <c r="N2020" i="13"/>
  <c r="M2022" i="13"/>
  <c r="J2018" i="14" a="1"/>
  <c r="J2018" i="14" s="1"/>
  <c r="N2019" i="14"/>
  <c r="K1834" i="13" l="1"/>
  <c r="L1834" i="13" s="1"/>
  <c r="I1835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57" i="14" l="1"/>
  <c r="L1857" i="14" s="1"/>
  <c r="I1858" i="14" s="1"/>
  <c r="K1835" i="13"/>
  <c r="L1835" i="13" s="1"/>
  <c r="I1836" i="13" s="1"/>
  <c r="J2020" i="14" a="1"/>
  <c r="J2020" i="14" s="1"/>
  <c r="N2021" i="14"/>
  <c r="N2022" i="13"/>
  <c r="J2021" i="13" a="1"/>
  <c r="J2021" i="13" s="1"/>
  <c r="M2025" i="14"/>
  <c r="M2024" i="13"/>
  <c r="K1836" i="13" l="1"/>
  <c r="L1836" i="13" s="1"/>
  <c r="I1837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59" i="14" l="1"/>
  <c r="L1859" i="14" s="1"/>
  <c r="I1860" i="14" s="1"/>
  <c r="K1837" i="13"/>
  <c r="L1837" i="13" s="1"/>
  <c r="I1838" i="13" s="1"/>
  <c r="J2023" i="13" a="1"/>
  <c r="J2023" i="13" s="1"/>
  <c r="N2024" i="13"/>
  <c r="J2022" i="14" a="1"/>
  <c r="J2022" i="14" s="1"/>
  <c r="N2023" i="14"/>
  <c r="M2027" i="14"/>
  <c r="M2026" i="13"/>
  <c r="K1838" i="13" l="1"/>
  <c r="L1838" i="13" s="1"/>
  <c r="I1839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61" i="14" l="1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/>
  <c r="L1839" i="13" s="1"/>
  <c r="I1840" i="13" s="1"/>
  <c r="K1840" i="13" l="1"/>
  <c r="L1840" i="13" s="1"/>
  <c r="I1841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63" i="14" l="1"/>
  <c r="L1863" i="14" s="1"/>
  <c r="I1864" i="14" s="1"/>
  <c r="K1841" i="13"/>
  <c r="L1841" i="13" s="1"/>
  <c r="I1842" i="13" s="1"/>
  <c r="J2027" i="13" a="1"/>
  <c r="J2027" i="13" s="1"/>
  <c r="N2028" i="13"/>
  <c r="M2031" i="14"/>
  <c r="J2026" i="14" a="1"/>
  <c r="J2026" i="14" s="1"/>
  <c r="N2027" i="14"/>
  <c r="M2030" i="13"/>
  <c r="K1842" i="13" l="1"/>
  <c r="L1842" i="13" s="1"/>
  <c r="I1843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3" i="13" l="1"/>
  <c r="L1843" i="13" s="1"/>
  <c r="I1844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66" i="14" l="1"/>
  <c r="L1866" i="14" s="1"/>
  <c r="I1867" i="14" s="1"/>
  <c r="K1844" i="13"/>
  <c r="L1844" i="13" s="1"/>
  <c r="I1845" i="13" s="1"/>
  <c r="M2033" i="13"/>
  <c r="M2034" i="14"/>
  <c r="J2029" i="14" a="1"/>
  <c r="J2029" i="14" s="1"/>
  <c r="N2030" i="14"/>
  <c r="J2030" i="13" a="1"/>
  <c r="J2030" i="13" s="1"/>
  <c r="N2031" i="13"/>
  <c r="K1845" i="13" l="1"/>
  <c r="L1845" i="13" s="1"/>
  <c r="I1846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68" i="14" l="1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/>
  <c r="L1846" i="13" s="1"/>
  <c r="I1847" i="13" s="1"/>
  <c r="K1847" i="13" l="1"/>
  <c r="L1847" i="13" s="1"/>
  <c r="I1848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70" i="14" l="1"/>
  <c r="L1870" i="14" s="1"/>
  <c r="I1871" i="14" s="1"/>
  <c r="K1848" i="13"/>
  <c r="L1848" i="13" s="1"/>
  <c r="I1849" i="13" s="1"/>
  <c r="J2033" i="14" a="1"/>
  <c r="J2033" i="14" s="1"/>
  <c r="N2034" i="14"/>
  <c r="M2037" i="13"/>
  <c r="M2038" i="14"/>
  <c r="J2034" i="13" a="1"/>
  <c r="J2034" i="13" s="1"/>
  <c r="N2035" i="13"/>
  <c r="K1849" i="13" l="1"/>
  <c r="L1849" i="13" s="1"/>
  <c r="I1850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72" i="14" l="1"/>
  <c r="L1872" i="14" s="1"/>
  <c r="I1873" i="14" s="1"/>
  <c r="K1850" i="13"/>
  <c r="L1850" i="13" s="1"/>
  <c r="I1851" i="13" s="1"/>
  <c r="J2036" i="13" a="1"/>
  <c r="J2036" i="13" s="1"/>
  <c r="N2037" i="13"/>
  <c r="N2036" i="14"/>
  <c r="J2035" i="14" a="1"/>
  <c r="J2035" i="14" s="1"/>
  <c r="M2040" i="14"/>
  <c r="M2039" i="13"/>
  <c r="K1851" i="13" l="1"/>
  <c r="L1851" i="13" s="1"/>
  <c r="I1852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74" i="14" l="1"/>
  <c r="L1874" i="14" s="1"/>
  <c r="I1875" i="14" s="1"/>
  <c r="K1852" i="13"/>
  <c r="L1852" i="13" s="1"/>
  <c r="I1853" i="13" s="1"/>
  <c r="J2037" i="14" a="1"/>
  <c r="J2037" i="14" s="1"/>
  <c r="N2038" i="14"/>
  <c r="M2042" i="14"/>
  <c r="M2041" i="13"/>
  <c r="J2038" i="13" a="1"/>
  <c r="J2038" i="13" s="1"/>
  <c r="N2039" i="13"/>
  <c r="K1853" i="13" l="1"/>
  <c r="L1853" i="13" s="1"/>
  <c r="I1854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76" i="14" l="1"/>
  <c r="L1876" i="14" s="1"/>
  <c r="I1877" i="14" s="1"/>
  <c r="K1854" i="13"/>
  <c r="L1854" i="13" s="1"/>
  <c r="I1855" i="13" s="1"/>
  <c r="N2040" i="14"/>
  <c r="J2039" i="14" a="1"/>
  <c r="J2039" i="14" s="1"/>
  <c r="J2040" i="13" a="1"/>
  <c r="J2040" i="13" s="1"/>
  <c r="N2041" i="13"/>
  <c r="M2043" i="13"/>
  <c r="M2044" i="14"/>
  <c r="K1855" i="13" l="1"/>
  <c r="L1855" i="13" s="1"/>
  <c r="I1856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78" i="14" l="1"/>
  <c r="L1878" i="14" s="1"/>
  <c r="I1879" i="14" s="1"/>
  <c r="K1856" i="13"/>
  <c r="L1856" i="13" s="1"/>
  <c r="I1857" i="13" s="1"/>
  <c r="J2041" i="14" a="1"/>
  <c r="J2041" i="14" s="1"/>
  <c r="N2042" i="14"/>
  <c r="M2046" i="14"/>
  <c r="M2045" i="13"/>
  <c r="J2042" i="13" a="1"/>
  <c r="J2042" i="13" s="1"/>
  <c r="N2043" i="13"/>
  <c r="K1879" i="14" l="1"/>
  <c r="L1879" i="14" s="1"/>
  <c r="I1880" i="14" s="1"/>
  <c r="K1857" i="13"/>
  <c r="L1857" i="13" s="1"/>
  <c r="I1858" i="13" s="1"/>
  <c r="M2046" i="13"/>
  <c r="J2043" i="13" a="1"/>
  <c r="J2043" i="13" s="1"/>
  <c r="N2044" i="13"/>
  <c r="M2047" i="14"/>
  <c r="J2042" i="14" a="1"/>
  <c r="J2042" i="14" s="1"/>
  <c r="N2043" i="14"/>
  <c r="K1858" i="13" l="1"/>
  <c r="L1858" i="13" s="1"/>
  <c r="I1859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81" i="14" l="1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/>
  <c r="L1859" i="13" s="1"/>
  <c r="I1860" i="13" s="1"/>
  <c r="K1860" i="13" l="1"/>
  <c r="L1860" i="13" s="1"/>
  <c r="I1861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83" i="14" l="1"/>
  <c r="L1883" i="14" s="1"/>
  <c r="I1884" i="14" s="1"/>
  <c r="K1861" i="13"/>
  <c r="L1861" i="13" s="1"/>
  <c r="I1862" i="13" s="1"/>
  <c r="M2051" i="14"/>
  <c r="M2050" i="13"/>
  <c r="J2047" i="13" a="1"/>
  <c r="J2047" i="13" s="1"/>
  <c r="N2048" i="13"/>
  <c r="J2046" i="14" a="1"/>
  <c r="J2046" i="14" s="1"/>
  <c r="N2047" i="14"/>
  <c r="K1884" i="14" l="1"/>
  <c r="L1884" i="14" s="1"/>
  <c r="I1885" i="14" s="1"/>
  <c r="K1862" i="13"/>
  <c r="L1862" i="13" s="1"/>
  <c r="I1863" i="13" s="1"/>
  <c r="N2048" i="14"/>
  <c r="J2047" i="14" a="1"/>
  <c r="J2047" i="14" s="1"/>
  <c r="M2051" i="13"/>
  <c r="J2048" i="13" a="1"/>
  <c r="J2048" i="13" s="1"/>
  <c r="N2049" i="13"/>
  <c r="M2052" i="14"/>
  <c r="K1863" i="13" l="1"/>
  <c r="L1863" i="13" s="1"/>
  <c r="I1864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86" i="14" l="1"/>
  <c r="L1886" i="14" s="1"/>
  <c r="I1887" i="14" s="1"/>
  <c r="K1864" i="13"/>
  <c r="L1864" i="13" s="1"/>
  <c r="I1865" i="13" s="1"/>
  <c r="J2049" i="14" a="1"/>
  <c r="J2049" i="14" s="1"/>
  <c r="N2050" i="14"/>
  <c r="M2054" i="14"/>
  <c r="M2053" i="13"/>
  <c r="J2050" i="13" a="1"/>
  <c r="J2050" i="13" s="1"/>
  <c r="N2051" i="13"/>
  <c r="K1887" i="14" l="1"/>
  <c r="L1887" i="14" s="1"/>
  <c r="I1888" i="14" s="1"/>
  <c r="K1865" i="13"/>
  <c r="L1865" i="13" s="1"/>
  <c r="I1866" i="13" s="1"/>
  <c r="M2054" i="13"/>
  <c r="M2055" i="14"/>
  <c r="J2051" i="13" a="1"/>
  <c r="J2051" i="13" s="1"/>
  <c r="N2052" i="13"/>
  <c r="J2050" i="14" a="1"/>
  <c r="J2050" i="14" s="1"/>
  <c r="N2051" i="14"/>
  <c r="K1866" i="13" l="1"/>
  <c r="L1866" i="13" s="1"/>
  <c r="I1867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89" i="14" l="1"/>
  <c r="L1889" i="14" s="1"/>
  <c r="I1890" i="14" s="1"/>
  <c r="K1867" i="13"/>
  <c r="L1867" i="13" s="1"/>
  <c r="I1868" i="13" s="1"/>
  <c r="N2054" i="13"/>
  <c r="J2053" i="13" a="1"/>
  <c r="J2053" i="13" s="1"/>
  <c r="J2052" i="14" a="1"/>
  <c r="J2052" i="14" s="1"/>
  <c r="N2053" i="14"/>
  <c r="M2056" i="13"/>
  <c r="M2057" i="14"/>
  <c r="K1868" i="13" l="1"/>
  <c r="L1868" i="13" s="1"/>
  <c r="I1869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9" i="13" l="1"/>
  <c r="L1869" i="13" s="1"/>
  <c r="I1870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92" i="14" l="1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/>
  <c r="L1870" i="13" s="1"/>
  <c r="I1871" i="13" s="1"/>
  <c r="K1871" i="13" l="1"/>
  <c r="L1871" i="13" s="1"/>
  <c r="I1872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2" i="13" l="1"/>
  <c r="L1872" i="13" s="1"/>
  <c r="I1873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95" i="14" l="1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/>
  <c r="L1873" i="13" s="1"/>
  <c r="I1874" i="13" s="1"/>
  <c r="K1874" i="13" l="1"/>
  <c r="L1874" i="13" s="1"/>
  <c r="I1875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5" i="13" l="1"/>
  <c r="L1875" i="13" s="1"/>
  <c r="I1876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98" i="14" l="1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/>
  <c r="L1876" i="13" s="1"/>
  <c r="I1877" i="13" s="1"/>
  <c r="K1877" i="13" l="1"/>
  <c r="L1877" i="13" s="1"/>
  <c r="I1878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900" i="14" l="1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/>
  <c r="L1878" i="13" s="1"/>
  <c r="I1879" i="13" s="1"/>
  <c r="K1879" i="13" l="1"/>
  <c r="L1879" i="13" s="1"/>
  <c r="I1880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902" i="14" l="1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/>
  <c r="L1880" i="13" s="1"/>
  <c r="I1881" i="13" s="1"/>
  <c r="K1903" i="14" l="1"/>
  <c r="L1903" i="14" s="1"/>
  <c r="I1904" i="14" s="1"/>
  <c r="K1881" i="13"/>
  <c r="L1881" i="13" s="1"/>
  <c r="I1882" i="13" s="1"/>
  <c r="J2066" i="14" a="1"/>
  <c r="J2066" i="14" s="1"/>
  <c r="N2067" i="14"/>
  <c r="M2070" i="13"/>
  <c r="M2071" i="14"/>
  <c r="J2067" i="13" a="1"/>
  <c r="J2067" i="13" s="1"/>
  <c r="N2068" i="13"/>
  <c r="K1882" i="13" l="1"/>
  <c r="L1882" i="13" s="1"/>
  <c r="I1883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905" i="14" l="1"/>
  <c r="L1905" i="14" s="1"/>
  <c r="I1906" i="14" s="1"/>
  <c r="K1883" i="13"/>
  <c r="L1883" i="13" s="1"/>
  <c r="I1884" i="13" s="1"/>
  <c r="M2072" i="13"/>
  <c r="N2070" i="13"/>
  <c r="J2069" i="13" a="1"/>
  <c r="J2069" i="13" s="1"/>
  <c r="J2068" i="14" a="1"/>
  <c r="J2068" i="14" s="1"/>
  <c r="N2069" i="14"/>
  <c r="M2073" i="14"/>
  <c r="K1884" i="13" l="1"/>
  <c r="L1884" i="13" s="1"/>
  <c r="I1885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5" i="13" l="1"/>
  <c r="L1885" i="13" s="1"/>
  <c r="I1886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6" i="13" l="1"/>
  <c r="L1886" i="13" s="1"/>
  <c r="I1887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909" i="14" l="1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/>
  <c r="L1887" i="13" s="1"/>
  <c r="I1888" i="13" s="1"/>
  <c r="K1888" i="13" l="1"/>
  <c r="L1888" i="13" s="1"/>
  <c r="I1889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911" i="14" l="1"/>
  <c r="L1911" i="14" s="1"/>
  <c r="I1912" i="14" s="1"/>
  <c r="K1889" i="13"/>
  <c r="L1889" i="13" s="1"/>
  <c r="I1890" i="13" s="1"/>
  <c r="J2074" i="14" a="1"/>
  <c r="J2074" i="14" s="1"/>
  <c r="N2075" i="14"/>
  <c r="M2078" i="13"/>
  <c r="J2075" i="13" a="1"/>
  <c r="J2075" i="13" s="1"/>
  <c r="N2076" i="13"/>
  <c r="M2079" i="14"/>
  <c r="K1912" i="14" l="1"/>
  <c r="L1912" i="14" s="1"/>
  <c r="I1913" i="14" s="1"/>
  <c r="J2076" i="13" a="1"/>
  <c r="J2076" i="13" s="1"/>
  <c r="N2077" i="13"/>
  <c r="M2080" i="14"/>
  <c r="M2079" i="13"/>
  <c r="K1890" i="13"/>
  <c r="L1890" i="13" s="1"/>
  <c r="I1891" i="13" s="1"/>
  <c r="N2076" i="14"/>
  <c r="J2075" i="14" a="1"/>
  <c r="J2075" i="14" s="1"/>
  <c r="K1891" i="13" l="1"/>
  <c r="L1891" i="13" s="1"/>
  <c r="I1892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2" i="13" l="1"/>
  <c r="L1892" i="13" s="1"/>
  <c r="I1893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915" i="14" l="1"/>
  <c r="L1915" i="14" s="1"/>
  <c r="I1916" i="14" s="1"/>
  <c r="K1893" i="13"/>
  <c r="L1893" i="13" s="1"/>
  <c r="I1894" i="13" s="1"/>
  <c r="J2079" i="13" a="1"/>
  <c r="J2079" i="13" s="1"/>
  <c r="N2080" i="13"/>
  <c r="M2083" i="14"/>
  <c r="J2078" i="14" a="1"/>
  <c r="J2078" i="14" s="1"/>
  <c r="N2079" i="14"/>
  <c r="M2082" i="13"/>
  <c r="K1916" i="14" l="1"/>
  <c r="L1916" i="14" s="1"/>
  <c r="I1917" i="14" s="1"/>
  <c r="J2080" i="13" a="1"/>
  <c r="J2080" i="13" s="1"/>
  <c r="N2081" i="13"/>
  <c r="K1894" i="13"/>
  <c r="L1894" i="13" s="1"/>
  <c r="I1895" i="13" s="1"/>
  <c r="N2080" i="14"/>
  <c r="J2079" i="14" a="1"/>
  <c r="J2079" i="14" s="1"/>
  <c r="M2083" i="13"/>
  <c r="M2084" i="14"/>
  <c r="K1895" i="13" l="1"/>
  <c r="L1895" i="13" s="1"/>
  <c r="I1896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918" i="14" l="1"/>
  <c r="L1918" i="14" s="1"/>
  <c r="I1919" i="14" s="1"/>
  <c r="K1896" i="13"/>
  <c r="L1896" i="13" s="1"/>
  <c r="I1897" i="13" s="1"/>
  <c r="J2081" i="14" a="1"/>
  <c r="J2081" i="14" s="1"/>
  <c r="N2082" i="14"/>
  <c r="M2085" i="13"/>
  <c r="M2086" i="14"/>
  <c r="J2082" i="13" a="1"/>
  <c r="J2082" i="13" s="1"/>
  <c r="N2083" i="13"/>
  <c r="K1919" i="14" l="1"/>
  <c r="L1919" i="14" s="1"/>
  <c r="I1920" i="14" s="1"/>
  <c r="J2083" i="13" a="1"/>
  <c r="J2083" i="13" s="1"/>
  <c r="N2084" i="13"/>
  <c r="M2086" i="13"/>
  <c r="K1897" i="13"/>
  <c r="L1897" i="13" s="1"/>
  <c r="I1898" i="13" s="1"/>
  <c r="M2087" i="14"/>
  <c r="J2082" i="14" a="1"/>
  <c r="J2082" i="14" s="1"/>
  <c r="N2083" i="14"/>
  <c r="K1898" i="13" l="1"/>
  <c r="L1898" i="13" s="1"/>
  <c r="I1899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9" i="13" l="1"/>
  <c r="L1899" i="13" s="1"/>
  <c r="I1900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922" i="14" l="1"/>
  <c r="L1922" i="14" s="1"/>
  <c r="I1923" i="14" s="1"/>
  <c r="K1900" i="13"/>
  <c r="L1900" i="13" s="1"/>
  <c r="I1901" i="13" s="1"/>
  <c r="J2085" i="14" a="1"/>
  <c r="J2085" i="14" s="1"/>
  <c r="N2086" i="14"/>
  <c r="J2086" i="13" a="1"/>
  <c r="J2086" i="13" s="1"/>
  <c r="N2087" i="13"/>
  <c r="M2089" i="13"/>
  <c r="M2090" i="14"/>
  <c r="K1901" i="13" l="1"/>
  <c r="L1901" i="13" s="1"/>
  <c r="I1902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2" i="13" l="1"/>
  <c r="L1902" i="13" s="1"/>
  <c r="I1903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25" i="14" l="1"/>
  <c r="L1925" i="14" s="1"/>
  <c r="I1926" i="14" s="1"/>
  <c r="K1903" i="13"/>
  <c r="L1903" i="13" s="1"/>
  <c r="I1904" i="13" s="1"/>
  <c r="J2088" i="14" a="1"/>
  <c r="J2088" i="14" s="1"/>
  <c r="N2089" i="14"/>
  <c r="M2093" i="14"/>
  <c r="N2090" i="13"/>
  <c r="J2089" i="13" a="1"/>
  <c r="J2089" i="13" s="1"/>
  <c r="M2092" i="13"/>
  <c r="K1904" i="13" l="1"/>
  <c r="L1904" i="13" s="1"/>
  <c r="I1905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27" i="14" l="1"/>
  <c r="L1927" i="14" s="1"/>
  <c r="I1928" i="14" s="1"/>
  <c r="K1905" i="13"/>
  <c r="L1905" i="13" s="1"/>
  <c r="I1906" i="13" s="1"/>
  <c r="J2090" i="14" a="1"/>
  <c r="J2090" i="14" s="1"/>
  <c r="N2091" i="14"/>
  <c r="M2094" i="13"/>
  <c r="M2095" i="14"/>
  <c r="J2091" i="13" a="1"/>
  <c r="J2091" i="13" s="1"/>
  <c r="N2092" i="13"/>
  <c r="K1928" i="14" l="1"/>
  <c r="L1928" i="14" s="1"/>
  <c r="I1929" i="14" s="1"/>
  <c r="K1906" i="13"/>
  <c r="L1906" i="13" s="1"/>
  <c r="I1907" i="13" s="1"/>
  <c r="M2096" i="14"/>
  <c r="M2095" i="13"/>
  <c r="J2092" i="13" a="1"/>
  <c r="J2092" i="13" s="1"/>
  <c r="N2093" i="13"/>
  <c r="N2092" i="14"/>
  <c r="J2091" i="14" a="1"/>
  <c r="J2091" i="14" s="1"/>
  <c r="K1929" i="14" l="1"/>
  <c r="L1929" i="14" s="1"/>
  <c r="I1930" i="14" s="1"/>
  <c r="K1907" i="13"/>
  <c r="L1907" i="13" s="1"/>
  <c r="I1908" i="13" s="1"/>
  <c r="J2092" i="14" a="1"/>
  <c r="J2092" i="14" s="1"/>
  <c r="N2093" i="14"/>
  <c r="M2096" i="13"/>
  <c r="N2094" i="13"/>
  <c r="J2093" i="13" a="1"/>
  <c r="J2093" i="13" s="1"/>
  <c r="M2097" i="14"/>
  <c r="K1930" i="14" l="1"/>
  <c r="L1930" i="14" s="1"/>
  <c r="I1931" i="14" s="1"/>
  <c r="K1908" i="13"/>
  <c r="L1908" i="13" s="1"/>
  <c r="I1909" i="13" s="1"/>
  <c r="J2094" i="13" a="1"/>
  <c r="J2094" i="13" s="1"/>
  <c r="N2095" i="13"/>
  <c r="M2097" i="13"/>
  <c r="M2098" i="14"/>
  <c r="J2093" i="14" a="1"/>
  <c r="J2093" i="14" s="1"/>
  <c r="N2094" i="14"/>
  <c r="K1909" i="13" l="1"/>
  <c r="L1909" i="13" s="1"/>
  <c r="I1910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10" i="13" l="1"/>
  <c r="L1910" i="13" s="1"/>
  <c r="I1911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1" i="13" l="1"/>
  <c r="L1911" i="13" s="1"/>
  <c r="I1912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34" i="14" l="1"/>
  <c r="L1934" i="14" s="1"/>
  <c r="I1935" i="14" s="1"/>
  <c r="K1912" i="13"/>
  <c r="L1912" i="13" s="1"/>
  <c r="I1913" i="13" s="1"/>
  <c r="J2097" i="14" a="1"/>
  <c r="J2097" i="14" s="1"/>
  <c r="N2098" i="14"/>
  <c r="M2101" i="13"/>
  <c r="M2102" i="14"/>
  <c r="J2098" i="13" a="1"/>
  <c r="J2098" i="13" s="1"/>
  <c r="N2099" i="13"/>
  <c r="K1913" i="13" l="1"/>
  <c r="L1913" i="13" s="1"/>
  <c r="I1914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36" i="14" l="1"/>
  <c r="L1936" i="14" s="1"/>
  <c r="I1937" i="14" s="1"/>
  <c r="K1914" i="13"/>
  <c r="L1914" i="13" s="1"/>
  <c r="I1915" i="13" s="1"/>
  <c r="J2100" i="13" a="1"/>
  <c r="J2100" i="13" s="1"/>
  <c r="N2101" i="13"/>
  <c r="N2100" i="14"/>
  <c r="J2099" i="14" a="1"/>
  <c r="J2099" i="14" s="1"/>
  <c r="M2103" i="13"/>
  <c r="M2104" i="14"/>
  <c r="K1915" i="13" l="1"/>
  <c r="L1915" i="13" s="1"/>
  <c r="I1916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38" i="14" l="1"/>
  <c r="L1938" i="14" s="1"/>
  <c r="I1939" i="14" s="1"/>
  <c r="K1916" i="13"/>
  <c r="L1916" i="13" s="1"/>
  <c r="I1917" i="13" s="1"/>
  <c r="J2101" i="14" a="1"/>
  <c r="J2101" i="14" s="1"/>
  <c r="N2102" i="14"/>
  <c r="J2102" i="13" a="1"/>
  <c r="J2102" i="13" s="1"/>
  <c r="N2103" i="13"/>
  <c r="M2105" i="13"/>
  <c r="M2106" i="14"/>
  <c r="K1917" i="13" l="1"/>
  <c r="L1917" i="13" s="1"/>
  <c r="I1918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8" i="13" l="1"/>
  <c r="L1918" i="13" s="1"/>
  <c r="I1919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41" i="14" l="1"/>
  <c r="L1941" i="14" s="1"/>
  <c r="I1942" i="14" s="1"/>
  <c r="K1919" i="13"/>
  <c r="L1919" i="13" s="1"/>
  <c r="I1920" i="13" s="1"/>
  <c r="N2106" i="13"/>
  <c r="J2105" i="13" a="1"/>
  <c r="J2105" i="13" s="1"/>
  <c r="J2104" i="14" a="1"/>
  <c r="J2104" i="14" s="1"/>
  <c r="N2105" i="14"/>
  <c r="M2108" i="13"/>
  <c r="M2109" i="14"/>
  <c r="K1920" i="13" l="1"/>
  <c r="L1920" i="13" s="1"/>
  <c r="I1921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1" i="13" l="1"/>
  <c r="L1921" i="13" s="1"/>
  <c r="I1922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44" i="14" l="1"/>
  <c r="L1944" i="14" s="1"/>
  <c r="I1945" i="14" s="1"/>
  <c r="K1922" i="13"/>
  <c r="L1922" i="13" s="1"/>
  <c r="I1923" i="13" s="1"/>
  <c r="N2108" i="14"/>
  <c r="J2107" i="14" a="1"/>
  <c r="J2107" i="14" s="1"/>
  <c r="M2112" i="14"/>
  <c r="M2111" i="13"/>
  <c r="J2108" i="13" a="1"/>
  <c r="J2108" i="13" s="1"/>
  <c r="N2109" i="13"/>
  <c r="K1923" i="13" l="1"/>
  <c r="L1923" i="13" s="1"/>
  <c r="I1924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46" i="14" l="1"/>
  <c r="L1946" i="14" s="1"/>
  <c r="I1947" i="14" s="1"/>
  <c r="K1924" i="13"/>
  <c r="L1924" i="13" s="1"/>
  <c r="I1925" i="13" s="1"/>
  <c r="J2109" i="14" a="1"/>
  <c r="J2109" i="14" s="1"/>
  <c r="N2110" i="14"/>
  <c r="M2114" i="14"/>
  <c r="M2113" i="13"/>
  <c r="J2110" i="13" a="1"/>
  <c r="J2110" i="13" s="1"/>
  <c r="N2111" i="13"/>
  <c r="K1925" i="13" l="1"/>
  <c r="L1925" i="13" s="1"/>
  <c r="I1926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6" i="13" l="1"/>
  <c r="L1926" i="13" s="1"/>
  <c r="I1927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7" i="13" l="1"/>
  <c r="L1927" i="13" s="1"/>
  <c r="I1928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50" i="14" l="1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/>
  <c r="L1928" i="13" s="1"/>
  <c r="I1929" i="13" s="1"/>
  <c r="K1929" i="13" l="1"/>
  <c r="L1929" i="13" s="1"/>
  <c r="I1930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52" i="14" l="1"/>
  <c r="L1952" i="14" s="1"/>
  <c r="I1953" i="14" s="1"/>
  <c r="K1930" i="13"/>
  <c r="L1930" i="13" s="1"/>
  <c r="I1931" i="13" s="1"/>
  <c r="J2116" i="13" a="1"/>
  <c r="J2116" i="13" s="1"/>
  <c r="N2117" i="13"/>
  <c r="N2116" i="14"/>
  <c r="J2115" i="14" a="1"/>
  <c r="J2115" i="14" s="1"/>
  <c r="M2120" i="14"/>
  <c r="M2119" i="13"/>
  <c r="K1953" i="14" l="1"/>
  <c r="L1953" i="14" s="1"/>
  <c r="I1954" i="14" s="1"/>
  <c r="J2116" i="14" a="1"/>
  <c r="J2116" i="14" s="1"/>
  <c r="N2117" i="14"/>
  <c r="K1931" i="13"/>
  <c r="L1931" i="13" s="1"/>
  <c r="I1932" i="13" s="1"/>
  <c r="M2121" i="14"/>
  <c r="M2120" i="13"/>
  <c r="N2118" i="13"/>
  <c r="J2117" i="13" a="1"/>
  <c r="J2117" i="13" s="1"/>
  <c r="K1932" i="13" l="1"/>
  <c r="L1932" i="13" s="1"/>
  <c r="I1933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3" i="13" l="1"/>
  <c r="L1933" i="13" s="1"/>
  <c r="I1934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4" i="13" l="1"/>
  <c r="L1934" i="13" s="1"/>
  <c r="I1935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57" i="14" l="1"/>
  <c r="L1957" i="14" s="1"/>
  <c r="I1958" i="14" s="1"/>
  <c r="K1935" i="13"/>
  <c r="L1935" i="13" s="1"/>
  <c r="I1936" i="13" s="1"/>
  <c r="N2122" i="13"/>
  <c r="J2121" i="13" a="1"/>
  <c r="J2121" i="13" s="1"/>
  <c r="M2124" i="13"/>
  <c r="J2120" i="14" a="1"/>
  <c r="J2120" i="14" s="1"/>
  <c r="N2121" i="14"/>
  <c r="M2125" i="14"/>
  <c r="K1936" i="13" l="1"/>
  <c r="L1936" i="13" s="1"/>
  <c r="I1937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59" i="14" l="1"/>
  <c r="L1959" i="14" s="1"/>
  <c r="I1960" i="14" s="1"/>
  <c r="K1937" i="13"/>
  <c r="L1937" i="13" s="1"/>
  <c r="I1938" i="13" s="1"/>
  <c r="J2123" i="13" a="1"/>
  <c r="J2123" i="13" s="1"/>
  <c r="N2124" i="13"/>
  <c r="M2127" i="14"/>
  <c r="M2126" i="13"/>
  <c r="J2122" i="14" a="1"/>
  <c r="J2122" i="14" s="1"/>
  <c r="N2123" i="14"/>
  <c r="K1938" i="13" l="1"/>
  <c r="L1938" i="13" s="1"/>
  <c r="I1939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61" i="14" l="1"/>
  <c r="L1961" i="14" s="1"/>
  <c r="I1962" i="14" s="1"/>
  <c r="K1939" i="13"/>
  <c r="L1939" i="13" s="1"/>
  <c r="I1940" i="13" s="1"/>
  <c r="N2126" i="13"/>
  <c r="J2125" i="13" a="1"/>
  <c r="J2125" i="13" s="1"/>
  <c r="M2129" i="14"/>
  <c r="M2128" i="13"/>
  <c r="J2124" i="14" a="1"/>
  <c r="J2124" i="14" s="1"/>
  <c r="N2125" i="14"/>
  <c r="K1940" i="13" l="1"/>
  <c r="L1940" i="13" s="1"/>
  <c r="I1941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1" i="13" l="1"/>
  <c r="L1941" i="13" s="1"/>
  <c r="I1942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2" i="13" l="1"/>
  <c r="L1942" i="13" s="1"/>
  <c r="I1943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3" i="13" l="1"/>
  <c r="L1943" i="13" s="1"/>
  <c r="I1944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4" i="13" l="1"/>
  <c r="L1944" i="13" s="1"/>
  <c r="I1945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67" i="14" l="1"/>
  <c r="L1967" i="14" s="1"/>
  <c r="I1968" i="14" s="1"/>
  <c r="K1945" i="13"/>
  <c r="L1945" i="13" s="1"/>
  <c r="I1946" i="13" s="1"/>
  <c r="J2131" i="13" a="1"/>
  <c r="J2131" i="13" s="1"/>
  <c r="N2132" i="13"/>
  <c r="J2130" i="14" a="1"/>
  <c r="J2130" i="14" s="1"/>
  <c r="N2131" i="14"/>
  <c r="M2135" i="14"/>
  <c r="M2134" i="13"/>
  <c r="K1946" i="13" l="1"/>
  <c r="L1946" i="13" s="1"/>
  <c r="I1947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69" i="14" l="1"/>
  <c r="L1969" i="14" s="1"/>
  <c r="I1970" i="14" s="1"/>
  <c r="K1947" i="13"/>
  <c r="L1947" i="13" s="1"/>
  <c r="I1948" i="13" s="1"/>
  <c r="N2134" i="13"/>
  <c r="J2133" i="13" a="1"/>
  <c r="J2133" i="13" s="1"/>
  <c r="J2132" i="14" a="1"/>
  <c r="J2132" i="14" s="1"/>
  <c r="N2133" i="14"/>
  <c r="M2136" i="13"/>
  <c r="M2137" i="14"/>
  <c r="K1970" i="14" l="1"/>
  <c r="L1970" i="14" s="1"/>
  <c r="I1971" i="14" s="1"/>
  <c r="J2133" i="14" a="1"/>
  <c r="J2133" i="14" s="1"/>
  <c r="N2134" i="14"/>
  <c r="K1948" i="13"/>
  <c r="L1948" i="13" s="1"/>
  <c r="I1949" i="13" s="1"/>
  <c r="M2138" i="14"/>
  <c r="M2137" i="13"/>
  <c r="J2134" i="13" a="1"/>
  <c r="J2134" i="13" s="1"/>
  <c r="N2135" i="13"/>
  <c r="K1949" i="13" l="1"/>
  <c r="L1949" i="13" s="1"/>
  <c r="I1950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72" i="14" l="1"/>
  <c r="L1972" i="14" s="1"/>
  <c r="I1973" i="14" s="1"/>
  <c r="K1950" i="13"/>
  <c r="L1950" i="13" s="1"/>
  <c r="I1951" i="13" s="1"/>
  <c r="M2139" i="13"/>
  <c r="M2140" i="14"/>
  <c r="J2136" i="13" a="1"/>
  <c r="J2136" i="13" s="1"/>
  <c r="N2137" i="13"/>
  <c r="N2136" i="14"/>
  <c r="J2135" i="14" a="1"/>
  <c r="J2135" i="14" s="1"/>
  <c r="K1951" i="13" l="1"/>
  <c r="L1951" i="13" s="1"/>
  <c r="I1952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2" i="13" l="1"/>
  <c r="L1952" i="13" s="1"/>
  <c r="I1953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75" i="14" l="1"/>
  <c r="L1975" i="14" s="1"/>
  <c r="I1976" i="14" s="1"/>
  <c r="K1953" i="13"/>
  <c r="L1953" i="13" s="1"/>
  <c r="I1954" i="13" s="1"/>
  <c r="M2143" i="14"/>
  <c r="M2142" i="13"/>
  <c r="J2139" i="13" a="1"/>
  <c r="J2139" i="13" s="1"/>
  <c r="N2140" i="13"/>
  <c r="J2138" i="14" a="1"/>
  <c r="J2138" i="14" s="1"/>
  <c r="N2139" i="14"/>
  <c r="K1976" i="14" l="1"/>
  <c r="L1976" i="14" s="1"/>
  <c r="I1977" i="14" s="1"/>
  <c r="N2140" i="14"/>
  <c r="J2139" i="14" a="1"/>
  <c r="J2139" i="14" s="1"/>
  <c r="K1954" i="13"/>
  <c r="L1954" i="13" s="1"/>
  <c r="I1955" i="13" s="1"/>
  <c r="J2140" i="13" a="1"/>
  <c r="J2140" i="13" s="1"/>
  <c r="N2141" i="13"/>
  <c r="M2143" i="13"/>
  <c r="M2144" i="14"/>
  <c r="K1955" i="13" l="1"/>
  <c r="L1955" i="13" s="1"/>
  <c r="I1956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6" i="13" l="1"/>
  <c r="L1956" i="13" s="1"/>
  <c r="I1957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7" i="13" l="1"/>
  <c r="L1957" i="13" s="1"/>
  <c r="I1958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80" i="14" l="1"/>
  <c r="L1980" i="14" s="1"/>
  <c r="I1981" i="14" s="1"/>
  <c r="K1958" i="13"/>
  <c r="L1958" i="13" s="1"/>
  <c r="I1959" i="13" s="1"/>
  <c r="J2144" i="13" a="1"/>
  <c r="J2144" i="13" s="1"/>
  <c r="N2145" i="13"/>
  <c r="M2147" i="13"/>
  <c r="M2148" i="14"/>
  <c r="N2144" i="14"/>
  <c r="J2143" i="14" a="1"/>
  <c r="J2143" i="14" s="1"/>
  <c r="K1981" i="14" l="1"/>
  <c r="L1981" i="14" s="1"/>
  <c r="I1982" i="14" s="1"/>
  <c r="K1959" i="13"/>
  <c r="L1959" i="13" s="1"/>
  <c r="I1960" i="13" s="1"/>
  <c r="N2146" i="13"/>
  <c r="J2145" i="13" a="1"/>
  <c r="J2145" i="13" s="1"/>
  <c r="J2144" i="14" a="1"/>
  <c r="J2144" i="14" s="1"/>
  <c r="N2145" i="14"/>
  <c r="M2148" i="13"/>
  <c r="M2149" i="14"/>
  <c r="K1960" i="13" l="1"/>
  <c r="L1960" i="13" s="1"/>
  <c r="I1961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83" i="14" l="1"/>
  <c r="L1983" i="14" s="1"/>
  <c r="I1984" i="14" s="1"/>
  <c r="K1961" i="13"/>
  <c r="L1961" i="13" s="1"/>
  <c r="I1962" i="13" s="1"/>
  <c r="J2146" i="14" a="1"/>
  <c r="J2146" i="14" s="1"/>
  <c r="N2147" i="14"/>
  <c r="J2147" i="13" a="1"/>
  <c r="J2147" i="13" s="1"/>
  <c r="N2148" i="13"/>
  <c r="M2151" i="14"/>
  <c r="M2150" i="13"/>
  <c r="K1962" i="13" l="1"/>
  <c r="L1962" i="13" s="1"/>
  <c r="I1963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3" i="13" l="1"/>
  <c r="L1963" i="13" s="1"/>
  <c r="I1964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86" i="14" l="1"/>
  <c r="L1986" i="14" s="1"/>
  <c r="I1987" i="14" s="1"/>
  <c r="K1964" i="13"/>
  <c r="L1964" i="13" s="1"/>
  <c r="I1965" i="13" s="1"/>
  <c r="M2153" i="13"/>
  <c r="J2149" i="14" a="1"/>
  <c r="J2149" i="14" s="1"/>
  <c r="N2150" i="14"/>
  <c r="J2150" i="13" a="1"/>
  <c r="J2150" i="13" s="1"/>
  <c r="N2151" i="13"/>
  <c r="M2154" i="14"/>
  <c r="K1987" i="14" l="1"/>
  <c r="L1987" i="14" s="1"/>
  <c r="I1988" i="14" s="1"/>
  <c r="J2151" i="13" a="1"/>
  <c r="J2151" i="13" s="1"/>
  <c r="N2152" i="13"/>
  <c r="M2155" i="14"/>
  <c r="J2150" i="14" a="1"/>
  <c r="J2150" i="14" s="1"/>
  <c r="N2151" i="14"/>
  <c r="K1965" i="13"/>
  <c r="L1965" i="13" s="1"/>
  <c r="I1966" i="13" s="1"/>
  <c r="M2154" i="13"/>
  <c r="K1966" i="13" l="1"/>
  <c r="L1966" i="13" s="1"/>
  <c r="I1967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7" i="13" l="1"/>
  <c r="L1967" i="13" s="1"/>
  <c r="I1968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8" i="13" l="1"/>
  <c r="L1968" i="13" s="1"/>
  <c r="I1969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91" i="14" l="1"/>
  <c r="L1991" i="14" s="1"/>
  <c r="I1992" i="14" s="1"/>
  <c r="K1969" i="13"/>
  <c r="L1969" i="13" s="1"/>
  <c r="I1970" i="13" s="1"/>
  <c r="J2154" i="14" a="1"/>
  <c r="J2154" i="14" s="1"/>
  <c r="N2155" i="14"/>
  <c r="J2155" i="13" a="1"/>
  <c r="J2155" i="13" s="1"/>
  <c r="N2156" i="13"/>
  <c r="M2159" i="14"/>
  <c r="M2158" i="13"/>
  <c r="K1970" i="13" l="1"/>
  <c r="L1970" i="13" s="1"/>
  <c r="I1971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93" i="14" l="1"/>
  <c r="L1993" i="14" s="1"/>
  <c r="I1994" i="14" s="1"/>
  <c r="K1971" i="13"/>
  <c r="L1971" i="13" s="1"/>
  <c r="I1972" i="13" s="1"/>
  <c r="N2158" i="13"/>
  <c r="J2157" i="13" a="1"/>
  <c r="J2157" i="13" s="1"/>
  <c r="J2156" i="14" a="1"/>
  <c r="J2156" i="14" s="1"/>
  <c r="N2157" i="14"/>
  <c r="M2161" i="14"/>
  <c r="M2160" i="13"/>
  <c r="K1994" i="14" l="1"/>
  <c r="L1994" i="14" s="1"/>
  <c r="I1995" i="14" s="1"/>
  <c r="M2161" i="13"/>
  <c r="J2157" i="14" a="1"/>
  <c r="J2157" i="14" s="1"/>
  <c r="N2158" i="14"/>
  <c r="K1972" i="13"/>
  <c r="L1972" i="13" s="1"/>
  <c r="I1973" i="13" s="1"/>
  <c r="M2162" i="14"/>
  <c r="J2158" i="13" a="1"/>
  <c r="J2158" i="13" s="1"/>
  <c r="N2159" i="13"/>
  <c r="K1995" i="14" l="1"/>
  <c r="L1995" i="14" s="1"/>
  <c r="I1996" i="14" s="1"/>
  <c r="J2159" i="13" a="1"/>
  <c r="J2159" i="13" s="1"/>
  <c r="N2160" i="13"/>
  <c r="K1973" i="13"/>
  <c r="L1973" i="13" s="1"/>
  <c r="I1974" i="13" s="1"/>
  <c r="M2162" i="13"/>
  <c r="M2163" i="14"/>
  <c r="J2158" i="14" a="1"/>
  <c r="J2158" i="14" s="1"/>
  <c r="N2159" i="14"/>
  <c r="K1974" i="13" l="1"/>
  <c r="L1974" i="13" s="1"/>
  <c r="I1975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5" i="13" l="1"/>
  <c r="L1975" i="13" s="1"/>
  <c r="I1976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98" i="14" l="1"/>
  <c r="L1998" i="14" s="1"/>
  <c r="I1999" i="14" s="1"/>
  <c r="K1976" i="13"/>
  <c r="L1976" i="13" s="1"/>
  <c r="I1977" i="13" s="1"/>
  <c r="J2161" i="14" a="1"/>
  <c r="J2161" i="14" s="1"/>
  <c r="N2162" i="14"/>
  <c r="J2162" i="13" a="1"/>
  <c r="J2162" i="13" s="1"/>
  <c r="N2163" i="13"/>
  <c r="M2165" i="13"/>
  <c r="M2166" i="14"/>
  <c r="K1999" i="14" l="1"/>
  <c r="L1999" i="14" s="1"/>
  <c r="I2000" i="14" s="1"/>
  <c r="M2167" i="14"/>
  <c r="J2163" i="13" a="1"/>
  <c r="J2163" i="13" s="1"/>
  <c r="N2164" i="13"/>
  <c r="K1977" i="13"/>
  <c r="L1977" i="13" s="1"/>
  <c r="I1978" i="13" s="1"/>
  <c r="J2162" i="14" a="1"/>
  <c r="J2162" i="14" s="1"/>
  <c r="N2163" i="14"/>
  <c r="M2166" i="13"/>
  <c r="K1978" i="13" l="1"/>
  <c r="L1978" i="13" s="1"/>
  <c r="I1979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2001" i="14" l="1"/>
  <c r="L2001" i="14" s="1"/>
  <c r="I2002" i="14" s="1"/>
  <c r="K1979" i="13"/>
  <c r="L1979" i="13" s="1"/>
  <c r="I1980" i="13" s="1"/>
  <c r="N2166" i="13"/>
  <c r="J2165" i="13" a="1"/>
  <c r="J2165" i="13" s="1"/>
  <c r="M2168" i="13"/>
  <c r="M2169" i="14"/>
  <c r="J2164" i="14" a="1"/>
  <c r="J2164" i="14" s="1"/>
  <c r="N2165" i="14"/>
  <c r="K1980" i="13" l="1"/>
  <c r="L1980" i="13" s="1"/>
  <c r="I1981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2003" i="14" l="1"/>
  <c r="L2003" i="14" s="1"/>
  <c r="I2004" i="14" s="1"/>
  <c r="K1981" i="13"/>
  <c r="L1981" i="13" s="1"/>
  <c r="I1982" i="13" s="1"/>
  <c r="J2167" i="13" a="1"/>
  <c r="J2167" i="13" s="1"/>
  <c r="N2168" i="13"/>
  <c r="J2166" i="14" a="1"/>
  <c r="J2166" i="14" s="1"/>
  <c r="N2167" i="14"/>
  <c r="M2171" i="14"/>
  <c r="M2170" i="13"/>
  <c r="K2004" i="14" l="1"/>
  <c r="L2004" i="14" s="1"/>
  <c r="I2005" i="14" s="1"/>
  <c r="N2168" i="14"/>
  <c r="J2167" i="14" a="1"/>
  <c r="J2167" i="14" s="1"/>
  <c r="K1982" i="13"/>
  <c r="L1982" i="13" s="1"/>
  <c r="I1983" i="13" s="1"/>
  <c r="J2168" i="13" a="1"/>
  <c r="J2168" i="13" s="1"/>
  <c r="N2169" i="13"/>
  <c r="M2171" i="13"/>
  <c r="M2172" i="14"/>
  <c r="K2005" i="14" l="1"/>
  <c r="L2005" i="14" s="1"/>
  <c r="I2006" i="14" s="1"/>
  <c r="K1983" i="13"/>
  <c r="L1983" i="13" s="1"/>
  <c r="I1984" i="13" s="1"/>
  <c r="J2168" i="14" a="1"/>
  <c r="J2168" i="14" s="1"/>
  <c r="N2169" i="14"/>
  <c r="N2170" i="13"/>
  <c r="J2169" i="13" a="1"/>
  <c r="J2169" i="13" s="1"/>
  <c r="M2173" i="14"/>
  <c r="M2172" i="13"/>
  <c r="K1984" i="13" l="1"/>
  <c r="L1984" i="13" s="1"/>
  <c r="I1985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2007" i="14" l="1"/>
  <c r="L2007" i="14" s="1"/>
  <c r="I2008" i="14" s="1"/>
  <c r="K1985" i="13"/>
  <c r="L1985" i="13" s="1"/>
  <c r="I1986" i="13" s="1"/>
  <c r="M2175" i="14"/>
  <c r="J2171" i="13" a="1"/>
  <c r="J2171" i="13" s="1"/>
  <c r="N2172" i="13"/>
  <c r="J2170" i="14" a="1"/>
  <c r="J2170" i="14" s="1"/>
  <c r="N2171" i="14"/>
  <c r="M2174" i="13"/>
  <c r="K1986" i="13" l="1"/>
  <c r="L1986" i="13" s="1"/>
  <c r="I1987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2009" i="14" l="1"/>
  <c r="L2009" i="14" s="1"/>
  <c r="I2010" i="14" s="1"/>
  <c r="K1987" i="13"/>
  <c r="L1987" i="13" s="1"/>
  <c r="I1988" i="13" s="1"/>
  <c r="N2174" i="13"/>
  <c r="J2173" i="13" a="1"/>
  <c r="J2173" i="13" s="1"/>
  <c r="M2176" i="13"/>
  <c r="M2177" i="14"/>
  <c r="J2172" i="14" a="1"/>
  <c r="J2172" i="14" s="1"/>
  <c r="N2173" i="14"/>
  <c r="K2010" i="14" l="1"/>
  <c r="L2010" i="14" s="1"/>
  <c r="I2011" i="14" s="1"/>
  <c r="J2173" i="14" a="1"/>
  <c r="J2173" i="14" s="1"/>
  <c r="N2174" i="14"/>
  <c r="M2177" i="13"/>
  <c r="K1988" i="13"/>
  <c r="L1988" i="13" s="1"/>
  <c r="I1989" i="13" s="1"/>
  <c r="M2178" i="14"/>
  <c r="J2174" i="13" a="1"/>
  <c r="J2174" i="13" s="1"/>
  <c r="N2175" i="13"/>
  <c r="K1989" i="13" l="1"/>
  <c r="L1989" i="13" s="1"/>
  <c r="I1990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2012" i="14" l="1"/>
  <c r="L2012" i="14" s="1"/>
  <c r="I2013" i="14" s="1"/>
  <c r="K1990" i="13"/>
  <c r="L1990" i="13" s="1"/>
  <c r="I1991" i="13" s="1"/>
  <c r="M2179" i="13"/>
  <c r="M2180" i="14"/>
  <c r="J2176" i="13" a="1"/>
  <c r="J2176" i="13" s="1"/>
  <c r="N2177" i="13"/>
  <c r="N2176" i="14"/>
  <c r="J2175" i="14" a="1"/>
  <c r="J2175" i="14" s="1"/>
  <c r="K1991" i="13" l="1"/>
  <c r="L1991" i="13" s="1"/>
  <c r="I1992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2" i="13" l="1"/>
  <c r="L1992" i="13" s="1"/>
  <c r="I1993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3" i="13" l="1"/>
  <c r="L1993" i="13" s="1"/>
  <c r="I1994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2016" i="14" l="1"/>
  <c r="L2016" i="14" s="1"/>
  <c r="I2017" i="14" s="1"/>
  <c r="K1994" i="13"/>
  <c r="L1994" i="13" s="1"/>
  <c r="I1995" i="13" s="1"/>
  <c r="N2180" i="14"/>
  <c r="J2179" i="14" a="1"/>
  <c r="J2179" i="14" s="1"/>
  <c r="J2180" i="13" a="1"/>
  <c r="J2180" i="13" s="1"/>
  <c r="N2181" i="13"/>
  <c r="M2184" i="14"/>
  <c r="M2183" i="13"/>
  <c r="K1995" i="13" l="1"/>
  <c r="L1995" i="13" s="1"/>
  <c r="I1996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6" i="13" l="1"/>
  <c r="L1996" i="13" s="1"/>
  <c r="I1997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7" i="13" l="1"/>
  <c r="L1997" i="13" s="1"/>
  <c r="I1998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8" i="13" l="1"/>
  <c r="L1998" i="13" s="1"/>
  <c r="I1999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2021" i="14" l="1"/>
  <c r="L2021" i="14" s="1"/>
  <c r="I2022" i="14" s="1"/>
  <c r="K1999" i="13"/>
  <c r="L1999" i="13" s="1"/>
  <c r="I2000" i="13" s="1"/>
  <c r="N2186" i="13"/>
  <c r="J2185" i="13" a="1"/>
  <c r="J2185" i="13" s="1"/>
  <c r="J2184" i="14" a="1"/>
  <c r="J2184" i="14" s="1"/>
  <c r="N2185" i="14"/>
  <c r="M2188" i="13"/>
  <c r="M2189" i="14"/>
  <c r="K2022" i="14" l="1"/>
  <c r="L2022" i="14" s="1"/>
  <c r="I2023" i="14" s="1"/>
  <c r="J2185" i="14" a="1"/>
  <c r="J2185" i="14" s="1"/>
  <c r="N2186" i="14"/>
  <c r="M2190" i="14"/>
  <c r="K2000" i="13"/>
  <c r="L2000" i="13" s="1"/>
  <c r="I2001" i="13" s="1"/>
  <c r="M2189" i="13"/>
  <c r="J2186" i="13" a="1"/>
  <c r="J2186" i="13" s="1"/>
  <c r="N2187" i="13"/>
  <c r="K2001" i="13" l="1"/>
  <c r="L2001" i="13" s="1"/>
  <c r="I2002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2" i="13" l="1"/>
  <c r="L2002" i="13" s="1"/>
  <c r="I2003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3" i="13" l="1"/>
  <c r="L2003" i="13" s="1"/>
  <c r="I2004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4" i="13" l="1"/>
  <c r="L2004" i="13" s="1"/>
  <c r="I2005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5" i="13" l="1"/>
  <c r="L2005" i="13" s="1"/>
  <c r="I2006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6" i="13" l="1"/>
  <c r="L2006" i="13" s="1"/>
  <c r="I2007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7" i="13" l="1"/>
  <c r="L2007" i="13" s="1"/>
  <c r="I2008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30" i="14" l="1"/>
  <c r="L2030" i="14" s="1"/>
  <c r="I2031" i="14" s="1"/>
  <c r="K2008" i="13"/>
  <c r="L2008" i="13" s="1"/>
  <c r="I2009" i="13" s="1"/>
  <c r="M2198" i="14"/>
  <c r="J2193" i="14" a="1"/>
  <c r="J2193" i="14" s="1"/>
  <c r="N2194" i="14"/>
  <c r="M2197" i="13"/>
  <c r="J2194" i="13" a="1"/>
  <c r="J2194" i="13" s="1"/>
  <c r="N2195" i="13"/>
  <c r="K2009" i="13" l="1"/>
  <c r="L2009" i="13" s="1"/>
  <c r="I2010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32" i="14" l="1"/>
  <c r="L2032" i="14" s="1"/>
  <c r="I2033" i="14" s="1"/>
  <c r="K2010" i="13"/>
  <c r="L2010" i="13" s="1"/>
  <c r="I2011" i="13" s="1"/>
  <c r="N2196" i="14"/>
  <c r="J2195" i="14" a="1"/>
  <c r="J2195" i="14" s="1"/>
  <c r="J2196" i="13" a="1"/>
  <c r="J2196" i="13" s="1"/>
  <c r="N2197" i="13"/>
  <c r="M2199" i="13"/>
  <c r="M2200" i="14"/>
  <c r="K2033" i="14" l="1"/>
  <c r="L2033" i="14" s="1"/>
  <c r="I2034" i="14" s="1"/>
  <c r="M2200" i="13"/>
  <c r="N2198" i="13"/>
  <c r="J2197" i="13" a="1"/>
  <c r="J2197" i="13" s="1"/>
  <c r="M2201" i="14"/>
  <c r="K2011" i="13"/>
  <c r="L2011" i="13" s="1"/>
  <c r="I2012" i="13" s="1"/>
  <c r="J2196" i="14" a="1"/>
  <c r="J2196" i="14" s="1"/>
  <c r="N2197" i="14"/>
  <c r="K2034" i="14" l="1"/>
  <c r="L2034" i="14" s="1"/>
  <c r="I2035" i="14" s="1"/>
  <c r="K2012" i="13"/>
  <c r="L2012" i="13" s="1"/>
  <c r="I2013" i="13" s="1"/>
  <c r="J2197" i="14" a="1"/>
  <c r="J2197" i="14" s="1"/>
  <c r="N2198" i="14"/>
  <c r="M2201" i="13"/>
  <c r="M2202" i="14"/>
  <c r="J2198" i="13" a="1"/>
  <c r="J2198" i="13" s="1"/>
  <c r="N2199" i="13"/>
  <c r="K2035" i="14" l="1"/>
  <c r="L2035" i="14" s="1"/>
  <c r="I2036" i="14" s="1"/>
  <c r="M2203" i="14"/>
  <c r="J2199" i="13" a="1"/>
  <c r="J2199" i="13" s="1"/>
  <c r="N2200" i="13"/>
  <c r="K2013" i="13"/>
  <c r="L2013" i="13" s="1"/>
  <c r="I2014" i="13" s="1"/>
  <c r="J2198" i="14" a="1"/>
  <c r="J2198" i="14" s="1"/>
  <c r="N2199" i="14"/>
  <c r="M2202" i="13"/>
  <c r="K2036" i="14" l="1"/>
  <c r="L2036" i="14" s="1"/>
  <c r="I2037" i="14" s="1"/>
  <c r="M2203" i="13"/>
  <c r="K2014" i="13"/>
  <c r="L2014" i="13" s="1"/>
  <c r="I2015" i="13" s="1"/>
  <c r="M2204" i="14"/>
  <c r="J2200" i="13" a="1"/>
  <c r="J2200" i="13" s="1"/>
  <c r="N2201" i="13"/>
  <c r="N2200" i="14"/>
  <c r="J2199" i="14" a="1"/>
  <c r="J2199" i="14" s="1"/>
  <c r="K2015" i="13" l="1"/>
  <c r="L2015" i="13" s="1"/>
  <c r="I2016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38" i="14" l="1"/>
  <c r="L2038" i="14" s="1"/>
  <c r="I2039" i="14" s="1"/>
  <c r="K2016" i="13"/>
  <c r="L2016" i="13" s="1"/>
  <c r="I2017" i="13" s="1"/>
  <c r="J2202" i="13" a="1"/>
  <c r="J2202" i="13" s="1"/>
  <c r="N2203" i="13"/>
  <c r="M2206" i="14"/>
  <c r="M2205" i="13"/>
  <c r="J2201" i="14" a="1"/>
  <c r="J2201" i="14" s="1"/>
  <c r="N2202" i="14"/>
  <c r="K2017" i="13" l="1"/>
  <c r="L2017" i="13" s="1"/>
  <c r="I2018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8" i="13" l="1"/>
  <c r="L2018" i="13" s="1"/>
  <c r="I2019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9" i="13" l="1"/>
  <c r="L2019" i="13" s="1"/>
  <c r="I2020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20" i="13" l="1"/>
  <c r="L2020" i="13" s="1"/>
  <c r="I2021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1" i="13" l="1"/>
  <c r="L2021" i="13" s="1"/>
  <c r="I2022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44" i="14" l="1"/>
  <c r="L2044" i="14" s="1"/>
  <c r="I2045" i="14" s="1"/>
  <c r="K2022" i="13"/>
  <c r="L2022" i="13" s="1"/>
  <c r="I2023" i="13" s="1"/>
  <c r="N2208" i="14"/>
  <c r="J2207" i="14" a="1"/>
  <c r="J2207" i="14" s="1"/>
  <c r="J2208" i="13" a="1"/>
  <c r="J2208" i="13" s="1"/>
  <c r="N2209" i="13"/>
  <c r="M2211" i="13"/>
  <c r="M2212" i="14"/>
  <c r="N2210" i="13" l="1"/>
  <c r="J2209" i="13" a="1"/>
  <c r="J2209" i="13" s="1"/>
  <c r="M2212" i="13"/>
  <c r="M2213" i="14"/>
  <c r="K2023" i="13"/>
  <c r="L2023" i="13" s="1"/>
  <c r="I2024" i="13" s="1"/>
  <c r="J2208" i="14" a="1"/>
  <c r="J2208" i="14" s="1"/>
  <c r="N2209" i="14"/>
  <c r="K2045" i="14"/>
  <c r="L2045" i="14" s="1"/>
  <c r="I2046" i="14" s="1"/>
  <c r="J2209" i="14" l="1" a="1"/>
  <c r="J2209" i="14" s="1"/>
  <c r="N2210" i="14"/>
  <c r="M2213" i="13"/>
  <c r="K2046" i="14"/>
  <c r="L2046" i="14" s="1"/>
  <c r="I2047" i="14" s="1"/>
  <c r="K2024" i="13"/>
  <c r="L2024" i="13" s="1"/>
  <c r="I2025" i="13" s="1"/>
  <c r="M2214" i="14"/>
  <c r="J2210" i="13" a="1"/>
  <c r="J2210" i="13" s="1"/>
  <c r="N2211" i="13"/>
  <c r="K2047" i="14" l="1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/>
  <c r="L2025" i="13" s="1"/>
  <c r="I2026" i="13" s="1"/>
  <c r="K2048" i="14" l="1"/>
  <c r="L2048" i="14" s="1"/>
  <c r="I2049" i="14" s="1"/>
  <c r="K2026" i="13"/>
  <c r="L2026" i="13" s="1"/>
  <c r="I2027" i="13" s="1"/>
  <c r="M2215" i="13"/>
  <c r="M2216" i="14"/>
  <c r="N2212" i="14"/>
  <c r="J2211" i="14" a="1"/>
  <c r="J2211" i="14" s="1"/>
  <c r="J2212" i="13" a="1"/>
  <c r="J2212" i="13" s="1"/>
  <c r="N2213" i="13"/>
  <c r="K2027" i="13" l="1"/>
  <c r="L2027" i="13" s="1"/>
  <c r="I2028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50" i="14" l="1"/>
  <c r="L2050" i="14" s="1"/>
  <c r="I2051" i="14" s="1"/>
  <c r="K2028" i="13"/>
  <c r="L2028" i="13" s="1"/>
  <c r="I2029" i="13" s="1"/>
  <c r="J2214" i="13" a="1"/>
  <c r="J2214" i="13" s="1"/>
  <c r="N2215" i="13"/>
  <c r="J2213" i="14" a="1"/>
  <c r="J2213" i="14" s="1"/>
  <c r="N2214" i="14"/>
  <c r="M2217" i="13"/>
  <c r="M2218" i="14"/>
  <c r="K2029" i="13" l="1"/>
  <c r="L2029" i="13" s="1"/>
  <c r="I2030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30" i="13" l="1"/>
  <c r="L2030" i="13" s="1"/>
  <c r="I2031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53" i="14" l="1"/>
  <c r="L2053" i="14" s="1"/>
  <c r="I2054" i="14" s="1"/>
  <c r="K2031" i="13"/>
  <c r="L2031" i="13" s="1"/>
  <c r="I2032" i="13" s="1"/>
  <c r="M2220" i="13"/>
  <c r="M2221" i="14"/>
  <c r="N2218" i="13"/>
  <c r="J2217" i="13" a="1"/>
  <c r="J2217" i="13" s="1"/>
  <c r="J2216" i="14" a="1"/>
  <c r="J2216" i="14" s="1"/>
  <c r="N2217" i="14"/>
  <c r="K2032" i="13" l="1"/>
  <c r="L2032" i="13" s="1"/>
  <c r="I2033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3" i="13" l="1"/>
  <c r="L2033" i="13" s="1"/>
  <c r="I2034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56" i="14" l="1"/>
  <c r="L2056" i="14" s="1"/>
  <c r="I2057" i="14" s="1"/>
  <c r="K2034" i="13"/>
  <c r="L2034" i="13" s="1"/>
  <c r="I2035" i="13" s="1"/>
  <c r="M2223" i="13"/>
  <c r="M2224" i="14"/>
  <c r="N2220" i="14"/>
  <c r="J2219" i="14" a="1"/>
  <c r="J2219" i="14" s="1"/>
  <c r="J2220" i="13" a="1"/>
  <c r="J2220" i="13" s="1"/>
  <c r="N2221" i="13"/>
  <c r="K2035" i="13" l="1"/>
  <c r="L2035" i="13" s="1"/>
  <c r="I2036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6" i="13" l="1"/>
  <c r="L2036" i="13" s="1"/>
  <c r="I2037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59" i="14" l="1"/>
  <c r="L2059" i="14" s="1"/>
  <c r="I2060" i="14" s="1"/>
  <c r="K2037" i="13"/>
  <c r="L2037" i="13" s="1"/>
  <c r="I2038" i="13" s="1"/>
  <c r="J2223" i="13" a="1"/>
  <c r="J2223" i="13" s="1"/>
  <c r="N2224" i="13"/>
  <c r="M2227" i="14"/>
  <c r="J2222" i="14" a="1"/>
  <c r="J2222" i="14" s="1"/>
  <c r="N2223" i="14"/>
  <c r="M2226" i="13"/>
  <c r="K2060" i="14" l="1"/>
  <c r="L2060" i="14" s="1"/>
  <c r="I2061" i="14" s="1"/>
  <c r="K2038" i="13"/>
  <c r="L2038" i="13" s="1"/>
  <c r="I2039" i="13" s="1"/>
  <c r="N2224" i="14"/>
  <c r="J2223" i="14" a="1"/>
  <c r="J2223" i="14" s="1"/>
  <c r="J2224" i="13" a="1"/>
  <c r="J2224" i="13" s="1"/>
  <c r="N2225" i="13"/>
  <c r="M2227" i="13"/>
  <c r="M2228" i="14"/>
  <c r="K2061" i="14" l="1"/>
  <c r="L2061" i="14" s="1"/>
  <c r="I2062" i="14" s="1"/>
  <c r="M2229" i="14"/>
  <c r="N2226" i="13"/>
  <c r="J2225" i="13" a="1"/>
  <c r="J2225" i="13" s="1"/>
  <c r="K2039" i="13"/>
  <c r="L2039" i="13" s="1"/>
  <c r="I2040" i="13" s="1"/>
  <c r="M2228" i="13"/>
  <c r="J2224" i="14" a="1"/>
  <c r="J2224" i="14" s="1"/>
  <c r="N2225" i="14"/>
  <c r="K2062" i="14" l="1"/>
  <c r="L2062" i="14" s="1"/>
  <c r="I2063" i="14" s="1"/>
  <c r="J2225" i="14" a="1"/>
  <c r="J2225" i="14" s="1"/>
  <c r="N2226" i="14"/>
  <c r="K2040" i="13"/>
  <c r="L2040" i="13" s="1"/>
  <c r="I2041" i="13" s="1"/>
  <c r="M2230" i="14"/>
  <c r="M2229" i="13"/>
  <c r="J2226" i="13" a="1"/>
  <c r="J2226" i="13" s="1"/>
  <c r="N2227" i="13"/>
  <c r="K2041" i="13" l="1"/>
  <c r="L2041" i="13" s="1"/>
  <c r="I2042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64" i="14" l="1"/>
  <c r="L2064" i="14" s="1"/>
  <c r="I2065" i="14" s="1"/>
  <c r="K2042" i="13"/>
  <c r="L2042" i="13" s="1"/>
  <c r="I2043" i="13" s="1"/>
  <c r="M2231" i="13"/>
  <c r="N2228" i="14"/>
  <c r="J2227" i="14" a="1"/>
  <c r="J2227" i="14" s="1"/>
  <c r="J2228" i="13" a="1"/>
  <c r="J2228" i="13" s="1"/>
  <c r="N2229" i="13"/>
  <c r="M2232" i="14"/>
  <c r="K2043" i="13" l="1"/>
  <c r="L2043" i="13" s="1"/>
  <c r="I2044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4" i="13" l="1"/>
  <c r="L2044" i="13" s="1"/>
  <c r="I2045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5" i="13" l="1"/>
  <c r="L2045" i="13" s="1"/>
  <c r="I2046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68" i="14" l="1"/>
  <c r="L2068" i="14" s="1"/>
  <c r="I2069" i="14" s="1"/>
  <c r="K2046" i="13"/>
  <c r="L2046" i="13" s="1"/>
  <c r="I2047" i="13" s="1"/>
  <c r="J2232" i="13" a="1"/>
  <c r="J2232" i="13" s="1"/>
  <c r="N2233" i="13"/>
  <c r="M2236" i="14"/>
  <c r="M2235" i="13"/>
  <c r="N2232" i="14"/>
  <c r="J2231" i="14" a="1"/>
  <c r="J2231" i="14" s="1"/>
  <c r="K2069" i="14" l="1"/>
  <c r="L2069" i="14" s="1"/>
  <c r="I2070" i="14" s="1"/>
  <c r="N2233" i="14"/>
  <c r="J2232" i="14" a="1"/>
  <c r="J2232" i="14" s="1"/>
  <c r="M2237" i="14"/>
  <c r="K2047" i="13"/>
  <c r="L2047" i="13" s="1"/>
  <c r="I2048" i="13" s="1"/>
  <c r="N2234" i="13"/>
  <c r="J2233" i="13" a="1"/>
  <c r="J2233" i="13" s="1"/>
  <c r="M2236" i="13"/>
  <c r="K2048" i="13" l="1"/>
  <c r="L2048" i="13" s="1"/>
  <c r="I2049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71" i="14" l="1"/>
  <c r="L2071" i="14" s="1"/>
  <c r="I2072" i="14" s="1"/>
  <c r="K2049" i="13"/>
  <c r="L2049" i="13" s="1"/>
  <c r="I2050" i="13" s="1"/>
  <c r="J2235" i="13" a="1"/>
  <c r="J2235" i="13" s="1"/>
  <c r="N2236" i="13"/>
  <c r="J2234" i="14" a="1"/>
  <c r="J2234" i="14" s="1"/>
  <c r="N2235" i="14"/>
  <c r="M2239" i="14"/>
  <c r="M2238" i="13"/>
  <c r="K2050" i="13" l="1"/>
  <c r="L2050" i="13" s="1"/>
  <c r="I2051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73" i="14" l="1"/>
  <c r="L2073" i="14" s="1"/>
  <c r="I2074" i="14" s="1"/>
  <c r="K2051" i="13"/>
  <c r="L2051" i="13" s="1"/>
  <c r="I2052" i="13" s="1"/>
  <c r="M2241" i="14"/>
  <c r="N2238" i="13"/>
  <c r="J2237" i="13" a="1"/>
  <c r="J2237" i="13" s="1"/>
  <c r="M2240" i="13"/>
  <c r="N2237" i="14"/>
  <c r="J2236" i="14" a="1"/>
  <c r="J2236" i="14" s="1"/>
  <c r="K2052" i="13" l="1"/>
  <c r="L2052" i="13" s="1"/>
  <c r="I2053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3" i="13" l="1"/>
  <c r="L2053" i="13" s="1"/>
  <c r="I2054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76" i="14" l="1"/>
  <c r="L2076" i="14" s="1"/>
  <c r="I2077" i="14" s="1"/>
  <c r="K2054" i="13"/>
  <c r="L2054" i="13" s="1"/>
  <c r="I2055" i="13" s="1"/>
  <c r="J2240" i="13" a="1"/>
  <c r="J2240" i="13" s="1"/>
  <c r="N2241" i="13"/>
  <c r="N2240" i="14"/>
  <c r="J2239" i="14" a="1"/>
  <c r="J2239" i="14" s="1"/>
  <c r="M2243" i="13"/>
  <c r="M2244" i="14"/>
  <c r="K2055" i="13" l="1"/>
  <c r="L2055" i="13" s="1"/>
  <c r="I2056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6" i="13" l="1"/>
  <c r="L2056" i="13" s="1"/>
  <c r="I2057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79" i="14" l="1"/>
  <c r="L2079" i="14" s="1"/>
  <c r="I2080" i="14" s="1"/>
  <c r="K2057" i="13"/>
  <c r="L2057" i="13" s="1"/>
  <c r="I2058" i="13" s="1"/>
  <c r="J2243" i="13" a="1"/>
  <c r="J2243" i="13" s="1"/>
  <c r="N2244" i="13"/>
  <c r="N2243" i="14"/>
  <c r="J2242" i="14" a="1"/>
  <c r="J2242" i="14" s="1"/>
  <c r="M2247" i="14"/>
  <c r="M2246" i="13"/>
  <c r="K2080" i="14" l="1"/>
  <c r="L2080" i="14" s="1"/>
  <c r="I2081" i="14" s="1"/>
  <c r="K2058" i="13"/>
  <c r="L2058" i="13" s="1"/>
  <c r="I2059" i="13" s="1"/>
  <c r="M2247" i="13"/>
  <c r="M2248" i="14"/>
  <c r="N2244" i="14"/>
  <c r="J2243" i="14" a="1"/>
  <c r="J2243" i="14" s="1"/>
  <c r="J2244" i="13" a="1"/>
  <c r="J2244" i="13" s="1"/>
  <c r="N2245" i="13"/>
  <c r="K2059" i="13" l="1"/>
  <c r="L2059" i="13" s="1"/>
  <c r="I2060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82" i="14" l="1"/>
  <c r="L2082" i="14" s="1"/>
  <c r="I2083" i="14" s="1"/>
  <c r="K2060" i="13"/>
  <c r="L2060" i="13" s="1"/>
  <c r="I2061" i="13" s="1"/>
  <c r="M2249" i="13"/>
  <c r="J2245" i="14" a="1"/>
  <c r="J2245" i="14" s="1"/>
  <c r="N2246" i="14"/>
  <c r="M2250" i="14"/>
  <c r="J2246" i="13" a="1"/>
  <c r="J2246" i="13" s="1"/>
  <c r="N2247" i="13"/>
  <c r="K2061" i="13" l="1"/>
  <c r="L2061" i="13" s="1"/>
  <c r="I2062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2" i="13" l="1"/>
  <c r="L2062" i="13" s="1"/>
  <c r="I2063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85" i="14" l="1"/>
  <c r="L2085" i="14" s="1"/>
  <c r="I2086" i="14" s="1"/>
  <c r="K2063" i="13"/>
  <c r="L2063" i="13" s="1"/>
  <c r="I2064" i="13" s="1"/>
  <c r="N2249" i="14"/>
  <c r="J2248" i="14" a="1"/>
  <c r="J2248" i="14" s="1"/>
  <c r="M2252" i="13"/>
  <c r="N2250" i="13"/>
  <c r="J2249" i="13" a="1"/>
  <c r="J2249" i="13" s="1"/>
  <c r="M2253" i="14"/>
  <c r="J2250" i="13" l="1" a="1"/>
  <c r="J2250" i="13" s="1"/>
  <c r="N2251" i="13"/>
  <c r="M2254" i="14"/>
  <c r="M2253" i="13"/>
  <c r="K2064" i="13"/>
  <c r="L2064" i="13" s="1"/>
  <c r="I2065" i="13" s="1"/>
  <c r="J2249" i="14" a="1"/>
  <c r="J2249" i="14" s="1"/>
  <c r="N2250" i="14"/>
  <c r="K2086" i="14"/>
  <c r="L2086" i="14" s="1"/>
  <c r="I2087" i="14" s="1"/>
  <c r="K2087" i="14" l="1"/>
  <c r="L2087" i="14" s="1"/>
  <c r="I2088" i="14" s="1"/>
  <c r="K2065" i="13"/>
  <c r="L2065" i="13" s="1"/>
  <c r="I2066" i="13" s="1"/>
  <c r="J2250" i="14" a="1"/>
  <c r="J2250" i="14" s="1"/>
  <c r="N2251" i="14"/>
  <c r="M2255" i="14"/>
  <c r="J2251" i="13" a="1"/>
  <c r="J2251" i="13" s="1"/>
  <c r="N2252" i="13"/>
  <c r="M2254" i="13"/>
  <c r="K2088" i="14" l="1"/>
  <c r="L2088" i="14" s="1"/>
  <c r="I2089" i="14" s="1"/>
  <c r="M2256" i="14"/>
  <c r="M2255" i="13"/>
  <c r="K2066" i="13"/>
  <c r="L2066" i="13" s="1"/>
  <c r="I2067" i="13" s="1"/>
  <c r="J2252" i="13" a="1"/>
  <c r="J2252" i="13" s="1"/>
  <c r="N2253" i="13"/>
  <c r="N2252" i="14"/>
  <c r="J2251" i="14" a="1"/>
  <c r="J2251" i="14" s="1"/>
  <c r="K2089" i="14" l="1"/>
  <c r="L2089" i="14" s="1"/>
  <c r="I2090" i="14" s="1"/>
  <c r="N2254" i="13"/>
  <c r="J2253" i="13" a="1"/>
  <c r="J2253" i="13" s="1"/>
  <c r="N2253" i="14"/>
  <c r="J2252" i="14" a="1"/>
  <c r="J2252" i="14" s="1"/>
  <c r="K2067" i="13"/>
  <c r="L2067" i="13" s="1"/>
  <c r="I2068" i="13" s="1"/>
  <c r="M2257" i="14"/>
  <c r="M2256" i="13"/>
  <c r="K2068" i="13" l="1"/>
  <c r="L2068" i="13" s="1"/>
  <c r="I2069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91" i="14" l="1"/>
  <c r="L2091" i="14" s="1"/>
  <c r="I2092" i="14" s="1"/>
  <c r="K2069" i="13"/>
  <c r="L2069" i="13" s="1"/>
  <c r="I2070" i="13" s="1"/>
  <c r="N2255" i="14"/>
  <c r="J2254" i="14" a="1"/>
  <c r="J2254" i="14" s="1"/>
  <c r="M2259" i="14"/>
  <c r="M2258" i="13"/>
  <c r="J2255" i="13" a="1"/>
  <c r="J2255" i="13" s="1"/>
  <c r="N2256" i="13"/>
  <c r="K2092" i="14" l="1"/>
  <c r="L2092" i="14" s="1"/>
  <c r="I2093" i="14" s="1"/>
  <c r="J2256" i="13" a="1"/>
  <c r="J2256" i="13" s="1"/>
  <c r="N2257" i="13"/>
  <c r="M2260" i="14"/>
  <c r="K2070" i="13"/>
  <c r="L2070" i="13" s="1"/>
  <c r="I2071" i="13" s="1"/>
  <c r="M2259" i="13"/>
  <c r="N2256" i="14"/>
  <c r="J2255" i="14" a="1"/>
  <c r="J2255" i="14" s="1"/>
  <c r="K2071" i="13" l="1"/>
  <c r="L2071" i="13" s="1"/>
  <c r="I2072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2" i="13" l="1"/>
  <c r="L2072" i="13" s="1"/>
  <c r="I2073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95" i="14" l="1"/>
  <c r="L2095" i="14" s="1"/>
  <c r="I2096" i="14" s="1"/>
  <c r="K2073" i="13"/>
  <c r="L2073" i="13" s="1"/>
  <c r="I2074" i="13" s="1"/>
  <c r="J2259" i="13" a="1"/>
  <c r="J2259" i="13" s="1"/>
  <c r="N2260" i="13"/>
  <c r="M2263" i="14"/>
  <c r="N2259" i="14"/>
  <c r="J2258" i="14" a="1"/>
  <c r="J2258" i="14" s="1"/>
  <c r="M2262" i="13"/>
  <c r="K2096" i="14" l="1"/>
  <c r="L2096" i="14" s="1"/>
  <c r="I2097" i="14" s="1"/>
  <c r="N2260" i="14"/>
  <c r="J2259" i="14" a="1"/>
  <c r="J2259" i="14" s="1"/>
  <c r="K2074" i="13"/>
  <c r="L2074" i="13" s="1"/>
  <c r="I2075" i="13" s="1"/>
  <c r="M2263" i="13"/>
  <c r="M2264" i="14"/>
  <c r="J2260" i="13" a="1"/>
  <c r="J2260" i="13" s="1"/>
  <c r="N2261" i="13"/>
  <c r="K2075" i="13" l="1"/>
  <c r="L2075" i="13" s="1"/>
  <c r="I2076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6" i="13" l="1"/>
  <c r="L2076" i="13" s="1"/>
  <c r="I2077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99" i="14" l="1"/>
  <c r="L2099" i="14" s="1"/>
  <c r="I2100" i="14" s="1"/>
  <c r="K2077" i="13"/>
  <c r="L2077" i="13" s="1"/>
  <c r="I2078" i="13" s="1"/>
  <c r="J2263" i="13" a="1"/>
  <c r="J2263" i="13" s="1"/>
  <c r="N2264" i="13"/>
  <c r="N2263" i="14"/>
  <c r="J2262" i="14" a="1"/>
  <c r="J2262" i="14" s="1"/>
  <c r="M2267" i="14"/>
  <c r="M2266" i="13"/>
  <c r="K2078" i="13" l="1"/>
  <c r="L2078" i="13" s="1"/>
  <c r="I2079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101" i="14" l="1"/>
  <c r="L2101" i="14" s="1"/>
  <c r="I2102" i="14" s="1"/>
  <c r="K2079" i="13"/>
  <c r="L2079" i="13" s="1"/>
  <c r="I2080" i="13" s="1"/>
  <c r="N2266" i="13"/>
  <c r="J2265" i="13" a="1"/>
  <c r="J2265" i="13" s="1"/>
  <c r="M2269" i="14"/>
  <c r="M2268" i="13"/>
  <c r="J2264" i="14" a="1"/>
  <c r="J2264" i="14" s="1"/>
  <c r="N2265" i="14"/>
  <c r="K2102" i="14" l="1"/>
  <c r="L2102" i="14" s="1"/>
  <c r="I2103" i="14" s="1"/>
  <c r="J2265" i="14" a="1"/>
  <c r="J2265" i="14" s="1"/>
  <c r="N2266" i="14"/>
  <c r="M2270" i="14"/>
  <c r="K2080" i="13"/>
  <c r="L2080" i="13" s="1"/>
  <c r="I2081" i="13" s="1"/>
  <c r="M2269" i="13"/>
  <c r="J2266" i="13" a="1"/>
  <c r="J2266" i="13" s="1"/>
  <c r="N2267" i="13"/>
  <c r="K2081" i="13" l="1"/>
  <c r="L2081" i="13" s="1"/>
  <c r="I2082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2" i="13" l="1"/>
  <c r="L2082" i="13" s="1"/>
  <c r="I2083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105" i="14" l="1"/>
  <c r="L2105" i="14" s="1"/>
  <c r="I2106" i="14" s="1"/>
  <c r="K2083" i="13"/>
  <c r="L2083" i="13" s="1"/>
  <c r="I2084" i="13" s="1"/>
  <c r="N2270" i="13"/>
  <c r="J2269" i="13" a="1"/>
  <c r="J2269" i="13" s="1"/>
  <c r="M2273" i="14"/>
  <c r="J2268" i="14" a="1"/>
  <c r="J2268" i="14" s="1"/>
  <c r="N2269" i="14"/>
  <c r="M2272" i="13"/>
  <c r="K2084" i="13" l="1"/>
  <c r="L2084" i="13" s="1"/>
  <c r="I2085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5" i="13" l="1"/>
  <c r="L2085" i="13" s="1"/>
  <c r="I2086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6" i="13" l="1"/>
  <c r="L2086" i="13" s="1"/>
  <c r="I2087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109" i="14" l="1"/>
  <c r="L2109" i="14" s="1"/>
  <c r="I2110" i="14" s="1"/>
  <c r="K2087" i="13"/>
  <c r="L2087" i="13" s="1"/>
  <c r="I2088" i="13" s="1"/>
  <c r="N2274" i="13"/>
  <c r="J2273" i="13" a="1"/>
  <c r="J2273" i="13" s="1"/>
  <c r="M2276" i="13"/>
  <c r="M2277" i="14"/>
  <c r="J2272" i="14" a="1"/>
  <c r="J2272" i="14" s="1"/>
  <c r="N2273" i="14"/>
  <c r="K2088" i="13" l="1"/>
  <c r="L2088" i="13" s="1"/>
  <c r="I2089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111" i="14" l="1"/>
  <c r="L2111" i="14" s="1"/>
  <c r="I2112" i="14" s="1"/>
  <c r="K2089" i="13"/>
  <c r="L2089" i="13" s="1"/>
  <c r="I2090" i="13" s="1"/>
  <c r="M2279" i="14"/>
  <c r="N2275" i="14"/>
  <c r="J2274" i="14" a="1"/>
  <c r="J2274" i="14" s="1"/>
  <c r="J2275" i="13" a="1"/>
  <c r="J2275" i="13" s="1"/>
  <c r="N2276" i="13"/>
  <c r="M2278" i="13"/>
  <c r="K2090" i="13" l="1"/>
  <c r="L2090" i="13" s="1"/>
  <c r="I2091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113" i="14" l="1"/>
  <c r="L2113" i="14" s="1"/>
  <c r="I2114" i="14" s="1"/>
  <c r="K2091" i="13"/>
  <c r="L2091" i="13" s="1"/>
  <c r="I2092" i="13" s="1"/>
  <c r="N2278" i="13"/>
  <c r="J2277" i="13" a="1"/>
  <c r="J2277" i="13" s="1"/>
  <c r="M2281" i="14"/>
  <c r="J2276" i="14" a="1"/>
  <c r="J2276" i="14" s="1"/>
  <c r="N2277" i="14"/>
  <c r="M2280" i="13"/>
  <c r="K2092" i="13" l="1"/>
  <c r="L2092" i="13" s="1"/>
  <c r="I2093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115" i="14" l="1"/>
  <c r="L2115" i="14" s="1"/>
  <c r="I2116" i="14" s="1"/>
  <c r="K2093" i="13"/>
  <c r="L2093" i="13" s="1"/>
  <c r="I2094" i="13" s="1"/>
  <c r="N2279" i="14"/>
  <c r="J2278" i="14" a="1"/>
  <c r="J2278" i="14" s="1"/>
  <c r="J2279" i="13" a="1"/>
  <c r="J2279" i="13" s="1"/>
  <c r="N2280" i="13"/>
  <c r="M2283" i="14"/>
  <c r="M2282" i="13"/>
  <c r="K2116" i="14" l="1"/>
  <c r="L2116" i="14" s="1"/>
  <c r="I2117" i="14" s="1"/>
  <c r="J2280" i="13" a="1"/>
  <c r="J2280" i="13" s="1"/>
  <c r="N2281" i="13"/>
  <c r="M2283" i="13"/>
  <c r="K2094" i="13"/>
  <c r="L2094" i="13" s="1"/>
  <c r="I2095" i="13" s="1"/>
  <c r="M2284" i="14"/>
  <c r="N2280" i="14"/>
  <c r="J2279" i="14" a="1"/>
  <c r="J2279" i="14" s="1"/>
  <c r="K2095" i="13" l="1"/>
  <c r="L2095" i="13" s="1"/>
  <c r="I2096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6" i="13" l="1"/>
  <c r="L2096" i="13" s="1"/>
  <c r="I2097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7" i="13" l="1"/>
  <c r="L2097" i="13" s="1"/>
  <c r="I2098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120" i="14" l="1"/>
  <c r="L2120" i="14" s="1"/>
  <c r="I2121" i="14" s="1"/>
  <c r="K2098" i="13"/>
  <c r="L2098" i="13" s="1"/>
  <c r="I2099" i="13" s="1"/>
  <c r="J2284" i="13" a="1"/>
  <c r="J2284" i="13" s="1"/>
  <c r="N2285" i="13"/>
  <c r="N2284" i="14"/>
  <c r="J2283" i="14" a="1"/>
  <c r="J2283" i="14" s="1"/>
  <c r="M2288" i="14"/>
  <c r="M2287" i="13"/>
  <c r="K2121" i="14" l="1"/>
  <c r="L2121" i="14" s="1"/>
  <c r="I2122" i="14" s="1"/>
  <c r="K2099" i="13"/>
  <c r="L2099" i="13" s="1"/>
  <c r="I2100" i="13" s="1"/>
  <c r="M2288" i="13"/>
  <c r="J2284" i="14" a="1"/>
  <c r="J2284" i="14" s="1"/>
  <c r="N2285" i="14"/>
  <c r="N2286" i="13"/>
  <c r="J2285" i="13" a="1"/>
  <c r="J2285" i="13" s="1"/>
  <c r="M2289" i="14"/>
  <c r="K2100" i="13" l="1"/>
  <c r="L2100" i="13" s="1"/>
  <c r="I2101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23" i="14" l="1"/>
  <c r="L2123" i="14" s="1"/>
  <c r="I2124" i="14" s="1"/>
  <c r="K2101" i="13"/>
  <c r="L2101" i="13" s="1"/>
  <c r="I2102" i="13" s="1"/>
  <c r="M2290" i="13"/>
  <c r="J2287" i="13" a="1"/>
  <c r="J2287" i="13" s="1"/>
  <c r="N2288" i="13"/>
  <c r="M2291" i="14"/>
  <c r="N2287" i="14"/>
  <c r="J2286" i="14" a="1"/>
  <c r="J2286" i="14" s="1"/>
  <c r="K2102" i="13" l="1"/>
  <c r="L2102" i="13" s="1"/>
  <c r="I2103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3" i="13" l="1"/>
  <c r="L2103" i="13" s="1"/>
  <c r="I2104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26" i="14" l="1"/>
  <c r="L2126" i="14" s="1"/>
  <c r="I2127" i="14" s="1"/>
  <c r="K2104" i="13"/>
  <c r="L2104" i="13" s="1"/>
  <c r="I2105" i="13" s="1"/>
  <c r="J2289" i="14" a="1"/>
  <c r="J2289" i="14" s="1"/>
  <c r="N2290" i="14"/>
  <c r="M2294" i="14"/>
  <c r="J2290" i="13" a="1"/>
  <c r="J2290" i="13" s="1"/>
  <c r="N2291" i="13"/>
  <c r="M2293" i="13"/>
  <c r="K2127" i="14" l="1"/>
  <c r="L2127" i="14" s="1"/>
  <c r="I2128" i="14" s="1"/>
  <c r="J2291" i="13" a="1"/>
  <c r="J2291" i="13" s="1"/>
  <c r="N2292" i="13"/>
  <c r="M2295" i="14"/>
  <c r="M2294" i="13"/>
  <c r="K2105" i="13"/>
  <c r="L2105" i="13" s="1"/>
  <c r="I2106" i="13" s="1"/>
  <c r="J2290" i="14" a="1"/>
  <c r="J2290" i="14" s="1"/>
  <c r="N2291" i="14"/>
  <c r="K2106" i="13" l="1"/>
  <c r="L2106" i="13" s="1"/>
  <c r="I2107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7" i="13" l="1"/>
  <c r="L2107" i="13" s="1"/>
  <c r="I2108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30" i="14" l="1"/>
  <c r="L2130" i="14" s="1"/>
  <c r="I2131" i="14" s="1"/>
  <c r="K2108" i="13"/>
  <c r="L2108" i="13" s="1"/>
  <c r="I2109" i="13" s="1"/>
  <c r="J2293" i="14" a="1"/>
  <c r="J2293" i="14" s="1"/>
  <c r="N2294" i="14"/>
  <c r="M2297" i="13"/>
  <c r="M2298" i="14"/>
  <c r="J2294" i="13" a="1"/>
  <c r="J2294" i="13" s="1"/>
  <c r="N2295" i="13"/>
  <c r="K2109" i="13" l="1"/>
  <c r="L2109" i="13" s="1"/>
  <c r="I2110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32" i="14" l="1"/>
  <c r="L2132" i="14" s="1"/>
  <c r="I2133" i="14" s="1"/>
  <c r="K2110" i="13"/>
  <c r="L2110" i="13" s="1"/>
  <c r="I2111" i="13" s="1"/>
  <c r="J2296" i="13" a="1"/>
  <c r="J2296" i="13" s="1"/>
  <c r="N2297" i="13"/>
  <c r="N2296" i="14"/>
  <c r="J2295" i="14" a="1"/>
  <c r="J2295" i="14" s="1"/>
  <c r="M2299" i="13"/>
  <c r="M2300" i="14"/>
  <c r="K2111" i="13" l="1"/>
  <c r="L2111" i="13" s="1"/>
  <c r="I2112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J2297" i="14" l="1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/>
  <c r="L2112" i="13" s="1"/>
  <c r="I2113" i="13" s="1"/>
  <c r="K2135" i="14" l="1"/>
  <c r="L2135" i="14" s="1"/>
  <c r="I2136" i="14" s="1"/>
  <c r="M2302" i="13"/>
  <c r="K2113" i="13"/>
  <c r="L2113" i="13" s="1"/>
  <c r="I2114" i="13" s="1"/>
  <c r="M2303" i="14"/>
  <c r="J2299" i="13" a="1"/>
  <c r="J2299" i="13" s="1"/>
  <c r="N2300" i="13"/>
  <c r="J2298" i="14" a="1"/>
  <c r="J2298" i="14" s="1"/>
  <c r="N2299" i="14"/>
  <c r="K2114" i="13" l="1"/>
  <c r="L2114" i="13" s="1"/>
  <c r="I2115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5" i="13" l="1"/>
  <c r="L2115" i="13" s="1"/>
  <c r="I2116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6" i="13" l="1"/>
  <c r="L2116" i="13" s="1"/>
  <c r="I2117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39" i="14" l="1"/>
  <c r="L2139" i="14" s="1"/>
  <c r="I2140" i="14" s="1"/>
  <c r="K2117" i="13"/>
  <c r="L2117" i="13" s="1"/>
  <c r="I2118" i="13" s="1"/>
  <c r="J2303" i="13" a="1"/>
  <c r="J2303" i="13" s="1"/>
  <c r="N2304" i="13"/>
  <c r="N2303" i="14"/>
  <c r="J2302" i="14" a="1"/>
  <c r="J2302" i="14" s="1"/>
  <c r="M2307" i="14"/>
  <c r="M2306" i="13"/>
  <c r="K2140" i="14" l="1"/>
  <c r="L2140" i="14" s="1"/>
  <c r="I2141" i="14" s="1"/>
  <c r="M2307" i="13"/>
  <c r="N2304" i="14"/>
  <c r="J2303" i="14" a="1"/>
  <c r="J2303" i="14" s="1"/>
  <c r="K2118" i="13"/>
  <c r="L2118" i="13" s="1"/>
  <c r="I2119" i="13" s="1"/>
  <c r="J2304" i="13" a="1"/>
  <c r="J2304" i="13" s="1"/>
  <c r="N2305" i="13"/>
  <c r="M2308" i="14"/>
  <c r="K2141" i="14" l="1"/>
  <c r="L2141" i="14" s="1"/>
  <c r="I2142" i="14" s="1"/>
  <c r="M2309" i="14"/>
  <c r="K2119" i="13"/>
  <c r="L2119" i="13" s="1"/>
  <c r="I2120" i="13" s="1"/>
  <c r="M2308" i="13"/>
  <c r="N2306" i="13"/>
  <c r="J2305" i="13" a="1"/>
  <c r="J2305" i="13" s="1"/>
  <c r="J2304" i="14" a="1"/>
  <c r="J2304" i="14" s="1"/>
  <c r="N2305" i="14"/>
  <c r="K2120" i="13" l="1"/>
  <c r="L2120" i="13" s="1"/>
  <c r="I2121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1" i="13" l="1"/>
  <c r="L2121" i="13" s="1"/>
  <c r="I2122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44" i="14" l="1"/>
  <c r="L2144" i="14" s="1"/>
  <c r="I2145" i="14" s="1"/>
  <c r="K2122" i="13"/>
  <c r="L2122" i="13" s="1"/>
  <c r="I2123" i="13" s="1"/>
  <c r="M2312" i="14"/>
  <c r="N2308" i="14"/>
  <c r="J2307" i="14" a="1"/>
  <c r="J2307" i="14" s="1"/>
  <c r="J2308" i="13" a="1"/>
  <c r="J2308" i="13" s="1"/>
  <c r="N2309" i="13"/>
  <c r="M2311" i="13"/>
  <c r="K2123" i="13" l="1"/>
  <c r="L2123" i="13" s="1"/>
  <c r="I2124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46" i="14" l="1"/>
  <c r="L2146" i="14" s="1"/>
  <c r="I2147" i="14" s="1"/>
  <c r="K2124" i="13"/>
  <c r="L2124" i="13" s="1"/>
  <c r="I2125" i="13" s="1"/>
  <c r="J2309" i="14" a="1"/>
  <c r="J2309" i="14" s="1"/>
  <c r="N2310" i="14"/>
  <c r="M2314" i="14"/>
  <c r="M2313" i="13"/>
  <c r="J2310" i="13" a="1"/>
  <c r="J2310" i="13" s="1"/>
  <c r="N2311" i="13"/>
  <c r="K2125" i="13" l="1"/>
  <c r="L2125" i="13" s="1"/>
  <c r="I2126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6" i="13" l="1"/>
  <c r="L2126" i="13" s="1"/>
  <c r="I2127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49" i="14" l="1"/>
  <c r="L2149" i="14" s="1"/>
  <c r="I2150" i="14" s="1"/>
  <c r="K2127" i="13"/>
  <c r="L2127" i="13" s="1"/>
  <c r="I2128" i="13" s="1"/>
  <c r="M2316" i="13"/>
  <c r="N2314" i="13"/>
  <c r="J2313" i="13" a="1"/>
  <c r="J2313" i="13" s="1"/>
  <c r="M2317" i="14"/>
  <c r="J2312" i="14" a="1"/>
  <c r="J2312" i="14" s="1"/>
  <c r="N2313" i="14"/>
  <c r="K2128" i="13" l="1"/>
  <c r="L2128" i="13" s="1"/>
  <c r="I2129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9" i="13" l="1"/>
  <c r="L2129" i="13" s="1"/>
  <c r="I2130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52" i="14" l="1"/>
  <c r="L2152" i="14" s="1"/>
  <c r="I2153" i="14" s="1"/>
  <c r="K2130" i="13"/>
  <c r="L2130" i="13" s="1"/>
  <c r="I2131" i="13" s="1"/>
  <c r="J2316" i="13" a="1"/>
  <c r="J2316" i="13" s="1"/>
  <c r="N2317" i="13"/>
  <c r="M2319" i="13"/>
  <c r="M2320" i="14"/>
  <c r="N2316" i="14"/>
  <c r="J2315" i="14" a="1"/>
  <c r="J2315" i="14" s="1"/>
  <c r="M2321" i="14" l="1"/>
  <c r="M2320" i="13"/>
  <c r="K2131" i="13"/>
  <c r="L2131" i="13" s="1"/>
  <c r="I2132" i="13" s="1"/>
  <c r="J2316" i="14" a="1"/>
  <c r="J2316" i="14" s="1"/>
  <c r="N2317" i="14"/>
  <c r="N2318" i="13"/>
  <c r="J2317" i="13" a="1"/>
  <c r="J2317" i="13" s="1"/>
  <c r="K2153" i="14"/>
  <c r="L2153" i="14" s="1"/>
  <c r="I2154" i="14" s="1"/>
  <c r="K2154" i="14" l="1"/>
  <c r="L2154" i="14" s="1"/>
  <c r="I2155" i="14" s="1"/>
  <c r="K2132" i="13"/>
  <c r="L2132" i="13" s="1"/>
  <c r="I2133" i="13" s="1"/>
  <c r="J2317" i="14" a="1"/>
  <c r="J2317" i="14" s="1"/>
  <c r="N2318" i="14"/>
  <c r="M2321" i="13"/>
  <c r="J2318" i="13" a="1"/>
  <c r="J2318" i="13" s="1"/>
  <c r="N2319" i="13"/>
  <c r="M2322" i="14"/>
  <c r="K2155" i="14" l="1"/>
  <c r="L2155" i="14" s="1"/>
  <c r="I2156" i="14" s="1"/>
  <c r="M2323" i="14"/>
  <c r="M2322" i="13"/>
  <c r="K2133" i="13"/>
  <c r="L2133" i="13" s="1"/>
  <c r="I2134" i="13" s="1"/>
  <c r="J2319" i="13" a="1"/>
  <c r="J2319" i="13" s="1"/>
  <c r="N2320" i="13"/>
  <c r="N2319" i="14"/>
  <c r="J2318" i="14" a="1"/>
  <c r="J2318" i="14" s="1"/>
  <c r="K2134" i="13" l="1"/>
  <c r="L2134" i="13" s="1"/>
  <c r="I2135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57" i="14" l="1"/>
  <c r="L2157" i="14" s="1"/>
  <c r="I2158" i="14" s="1"/>
  <c r="K2135" i="13"/>
  <c r="L2135" i="13" s="1"/>
  <c r="I2136" i="13" s="1"/>
  <c r="N2322" i="13"/>
  <c r="J2321" i="13" a="1"/>
  <c r="J2321" i="13" s="1"/>
  <c r="M2325" i="14"/>
  <c r="M2324" i="13"/>
  <c r="J2320" i="14" a="1"/>
  <c r="J2320" i="14" s="1"/>
  <c r="N2321" i="14"/>
  <c r="K2136" i="13" l="1"/>
  <c r="L2136" i="13" s="1"/>
  <c r="I2137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7" i="13" l="1"/>
  <c r="L2137" i="13" s="1"/>
  <c r="I2138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60" i="14" l="1"/>
  <c r="L2160" i="14" s="1"/>
  <c r="I2161" i="14" s="1"/>
  <c r="K2138" i="13"/>
  <c r="L2138" i="13" s="1"/>
  <c r="I2139" i="13" s="1"/>
  <c r="J2324" i="13" a="1"/>
  <c r="J2324" i="13" s="1"/>
  <c r="N2325" i="13"/>
  <c r="M2327" i="13"/>
  <c r="N2324" i="14"/>
  <c r="J2323" i="14" a="1"/>
  <c r="J2323" i="14" s="1"/>
  <c r="M2328" i="14"/>
  <c r="K2139" i="13" l="1"/>
  <c r="L2139" i="13" s="1"/>
  <c r="I2140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40" i="13" l="1"/>
  <c r="L2140" i="13" s="1"/>
  <c r="I2141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1" i="13" l="1"/>
  <c r="L2141" i="13" s="1"/>
  <c r="I2142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2" i="13" l="1"/>
  <c r="L2142" i="13" s="1"/>
  <c r="I2143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3" i="13" l="1"/>
  <c r="L2143" i="13" s="1"/>
  <c r="I2144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66" i="14" l="1"/>
  <c r="L2166" i="14" s="1"/>
  <c r="I2167" i="14" s="1"/>
  <c r="K2144" i="13"/>
  <c r="L2144" i="13" s="1"/>
  <c r="I2145" i="13" s="1"/>
  <c r="J2329" i="14" a="1"/>
  <c r="J2329" i="14" s="1"/>
  <c r="N2330" i="14"/>
  <c r="M2334" i="14"/>
  <c r="J2330" i="13" a="1"/>
  <c r="J2330" i="13" s="1"/>
  <c r="N2331" i="13"/>
  <c r="M2333" i="13"/>
  <c r="K2167" i="14" l="1"/>
  <c r="L2167" i="14" s="1"/>
  <c r="I2168" i="14" s="1"/>
  <c r="M2335" i="14"/>
  <c r="J2330" i="14" a="1"/>
  <c r="J2330" i="14" s="1"/>
  <c r="N2331" i="14"/>
  <c r="M2334" i="13"/>
  <c r="K2145" i="13"/>
  <c r="L2145" i="13" s="1"/>
  <c r="I2146" i="13" s="1"/>
  <c r="J2331" i="13" a="1"/>
  <c r="J2331" i="13" s="1"/>
  <c r="N2332" i="13"/>
  <c r="K2168" i="14" l="1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/>
  <c r="L2146" i="13" s="1"/>
  <c r="I2147" i="13" s="1"/>
  <c r="K2147" i="13" l="1"/>
  <c r="L2147" i="13" s="1"/>
  <c r="I2148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70" i="14" l="1"/>
  <c r="L2170" i="14" s="1"/>
  <c r="I2171" i="14" s="1"/>
  <c r="K2148" i="13"/>
  <c r="L2148" i="13" s="1"/>
  <c r="I2149" i="13" s="1"/>
  <c r="J2333" i="14" a="1"/>
  <c r="J2333" i="14" s="1"/>
  <c r="N2334" i="14"/>
  <c r="M2337" i="13"/>
  <c r="M2338" i="14"/>
  <c r="J2334" i="13" a="1"/>
  <c r="J2334" i="13" s="1"/>
  <c r="N2335" i="13"/>
  <c r="K2149" i="13" l="1"/>
  <c r="L2149" i="13" s="1"/>
  <c r="I2150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72" i="14" l="1"/>
  <c r="L2172" i="14" s="1"/>
  <c r="I2173" i="14" s="1"/>
  <c r="K2150" i="13"/>
  <c r="L2150" i="13" s="1"/>
  <c r="I2151" i="13" s="1"/>
  <c r="J2336" i="13" a="1"/>
  <c r="J2336" i="13" s="1"/>
  <c r="N2337" i="13"/>
  <c r="M2340" i="14"/>
  <c r="M2339" i="13"/>
  <c r="N2336" i="14"/>
  <c r="J2335" i="14" a="1"/>
  <c r="J2335" i="14" s="1"/>
  <c r="K2151" i="13" l="1"/>
  <c r="L2151" i="13" s="1"/>
  <c r="I2152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74" i="14" l="1"/>
  <c r="L2174" i="14" s="1"/>
  <c r="I2175" i="14" s="1"/>
  <c r="K2152" i="13"/>
  <c r="L2152" i="13" s="1"/>
  <c r="I2153" i="13" s="1"/>
  <c r="J2338" i="13" a="1"/>
  <c r="J2338" i="13" s="1"/>
  <c r="N2339" i="13"/>
  <c r="M2341" i="13"/>
  <c r="M2342" i="14"/>
  <c r="J2337" i="14" a="1"/>
  <c r="J2337" i="14" s="1"/>
  <c r="N2338" i="14"/>
  <c r="K2153" i="13" l="1"/>
  <c r="L2153" i="13" s="1"/>
  <c r="I2154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4" i="13" l="1"/>
  <c r="L2154" i="13" s="1"/>
  <c r="I2155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77" i="14" l="1"/>
  <c r="L2177" i="14" s="1"/>
  <c r="I2178" i="14" s="1"/>
  <c r="K2155" i="13"/>
  <c r="L2155" i="13" s="1"/>
  <c r="I2156" i="13" s="1"/>
  <c r="N2342" i="13"/>
  <c r="J2341" i="13" a="1"/>
  <c r="J2341" i="13" s="1"/>
  <c r="M2345" i="14"/>
  <c r="M2344" i="13"/>
  <c r="J2340" i="14" a="1"/>
  <c r="J2340" i="14" s="1"/>
  <c r="N2341" i="14"/>
  <c r="K2178" i="14" l="1"/>
  <c r="L2178" i="14" s="1"/>
  <c r="I2179" i="14" s="1"/>
  <c r="K2156" i="13"/>
  <c r="L2156" i="13" s="1"/>
  <c r="I2157" i="13" s="1"/>
  <c r="J2341" i="14" a="1"/>
  <c r="J2341" i="14" s="1"/>
  <c r="N2342" i="14"/>
  <c r="M2346" i="14"/>
  <c r="M2345" i="13"/>
  <c r="J2342" i="13" a="1"/>
  <c r="J2342" i="13" s="1"/>
  <c r="N2343" i="13"/>
  <c r="K2157" i="13" l="1"/>
  <c r="L2157" i="13" s="1"/>
  <c r="I2158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80" i="14" l="1"/>
  <c r="L2180" i="14" s="1"/>
  <c r="I2181" i="14" s="1"/>
  <c r="K2158" i="13"/>
  <c r="L2158" i="13" s="1"/>
  <c r="I2159" i="13" s="1"/>
  <c r="N2344" i="14"/>
  <c r="J2343" i="14" a="1"/>
  <c r="J2343" i="14" s="1"/>
  <c r="M2347" i="13"/>
  <c r="M2348" i="14"/>
  <c r="J2344" i="13" a="1"/>
  <c r="J2344" i="13" s="1"/>
  <c r="N2345" i="13"/>
  <c r="K2181" i="14" l="1"/>
  <c r="L2181" i="14" s="1"/>
  <c r="I2182" i="14" s="1"/>
  <c r="K2159" i="13"/>
  <c r="L2159" i="13" s="1"/>
  <c r="I2160" i="13" s="1"/>
  <c r="N2346" i="13"/>
  <c r="J2345" i="13" a="1"/>
  <c r="J2345" i="13" s="1"/>
  <c r="M2348" i="13"/>
  <c r="M2349" i="14"/>
  <c r="J2344" i="14" a="1"/>
  <c r="J2344" i="14" s="1"/>
  <c r="N2345" i="14"/>
  <c r="K2160" i="13" l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<sst xmlns="http://schemas.openxmlformats.org/spreadsheetml/2006/main" count="2767" uniqueCount="872">
  <si>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</si>
  <si>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</si>
  <si>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</si>
  <si>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</si>
  <si>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</si>
  <si>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</si>
  <si>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</si>
  <si>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</si>
  <si>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</si>
  <si>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</si>
  <si>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</si>
  <si>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</si>
  <si>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</si>
  <si>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</si>
  <si>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</si>
  <si>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</si>
  <si>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</si>
  <si>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</si>
  <si>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</si>
  <si>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</si>
  <si>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</si>
  <si>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</si>
  <si>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</si>
  <si>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</si>
  <si>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</si>
  <si>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</si>
  <si>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</si>
  <si>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</si>
  <si>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</si>
  <si>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</si>
  <si>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</si>
  <si>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</si>
  <si>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</si>
  <si>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</si>
  <si>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</si>
  <si>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</si>
  <si>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</si>
  <si>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</si>
  <si>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</si>
  <si>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</si>
  <si>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</si>
  <si>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</si>
  <si>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</si>
  <si>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</si>
  <si>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</si>
  <si>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</si>
  <si>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</si>
  <si>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</si>
  <si>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</si>
  <si>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</si>
  <si>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</si>
  <si>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</si>
  <si>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</si>
  <si>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</si>
  <si>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</si>
  <si>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</si>
  <si>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</si>
  <si>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</si>
  <si>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</si>
  <si>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</si>
  <si>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</si>
  <si>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</si>
  <si>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</si>
  <si>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</si>
  <si>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</si>
  <si>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</si>
  <si>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</si>
  <si>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</si>
  <si>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</si>
  <si>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</si>
  <si>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</si>
  <si>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</si>
  <si>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</si>
  <si>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</si>
  <si>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</si>
  <si>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</si>
  <si>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</si>
  <si>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</si>
  <si>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</si>
  <si>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</si>
  <si>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</si>
  <si>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</si>
  <si>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</si>
  <si>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</si>
  <si>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</si>
  <si>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</si>
  <si>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</si>
  <si>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</si>
  <si>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</si>
  <si>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</si>
  <si>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</si>
  <si>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</si>
  <si>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</si>
  <si>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</si>
  <si>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</si>
  <si>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</si>
  <si>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</si>
  <si>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</si>
  <si>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</si>
  <si>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</si>
  <si>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</si>
  <si>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</si>
  <si>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</si>
  <si>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</si>
  <si>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</si>
  <si>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</si>
  <si>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</si>
  <si>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</si>
  <si>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</si>
  <si>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</si>
  <si>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</si>
  <si>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</si>
  <si>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</si>
  <si>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</si>
  <si>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</si>
  <si>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</si>
  <si>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</si>
  <si>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</si>
  <si>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</si>
  <si>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</si>
  <si>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</si>
  <si>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</si>
  <si>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</si>
  <si>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</si>
  <si>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</si>
  <si>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</si>
  <si>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</si>
  <si>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</si>
  <si>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</si>
  <si>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</si>
  <si>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</si>
  <si>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</si>
  <si>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</si>
  <si>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</si>
  <si>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</si>
  <si>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</si>
  <si>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</si>
  <si>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</si>
  <si>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</si>
  <si>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</si>
  <si>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</si>
  <si>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</si>
  <si>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</si>
  <si>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</si>
  <si>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</si>
  <si>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</si>
  <si>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</si>
  <si>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</si>
  <si>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</si>
  <si>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</si>
  <si>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</si>
  <si>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</si>
  <si>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</si>
  <si>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</si>
  <si>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</si>
  <si>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</si>
  <si>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</si>
  <si>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</si>
  <si>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</si>
  <si>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</si>
  <si>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</si>
  <si>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</si>
  <si>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</si>
  <si>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</si>
  <si>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</si>
  <si>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</si>
  <si>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</si>
  <si>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</si>
  <si>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</si>
  <si>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</si>
  <si>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</si>
  <si>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</si>
  <si>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</si>
  <si>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</si>
  <si>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</si>
  <si>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</si>
  <si>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</si>
  <si>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</si>
  <si>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</si>
  <si>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</si>
  <si>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</si>
  <si>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</si>
  <si>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</si>
  <si>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</si>
  <si>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</si>
  <si>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</si>
  <si>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</si>
  <si>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</si>
  <si>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</si>
  <si>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</si>
  <si>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</si>
  <si>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</si>
  <si>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</si>
  <si>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</si>
  <si>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</si>
  <si>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</si>
  <si>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</si>
  <si>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</si>
  <si>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</si>
  <si>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</si>
  <si>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</si>
  <si>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</si>
  <si>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</si>
  <si>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</si>
  <si>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</si>
  <si>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</si>
  <si>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</si>
  <si>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</si>
  <si>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</si>
  <si>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</si>
  <si>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</si>
  <si>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</si>
  <si>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</si>
  <si>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</si>
  <si>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</si>
  <si>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</si>
  <si>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</si>
  <si>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</si>
  <si>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</si>
  <si>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</si>
  <si>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</si>
  <si>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</si>
  <si>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</si>
  <si>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</si>
  <si>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</si>
  <si>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</si>
  <si>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</si>
  <si>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</si>
  <si>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</si>
  <si>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</si>
  <si>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</si>
  <si>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</si>
  <si>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</si>
  <si>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</si>
  <si>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</si>
  <si>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</si>
  <si>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</si>
  <si>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</si>
  <si>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</si>
  <si>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</si>
  <si>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</si>
  <si>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</si>
  <si>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</si>
  <si>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</si>
  <si>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</si>
  <si>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</si>
  <si>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</si>
  <si>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</si>
  <si>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</si>
  <si>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</si>
  <si>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</si>
  <si>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</si>
  <si>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</si>
  <si>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</si>
  <si>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</si>
  <si>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</si>
  <si>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</si>
  <si>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</si>
  <si>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</si>
  <si>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</si>
  <si>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</si>
  <si>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</si>
  <si>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</si>
  <si>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</si>
  <si>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</si>
  <si>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</si>
  <si>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</si>
  <si>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</si>
  <si>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</si>
  <si>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</si>
  <si>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</si>
  <si>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</si>
  <si>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</si>
  <si>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</si>
  <si>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</si>
  <si>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</si>
  <si>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</si>
  <si>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</si>
  <si>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</si>
  <si>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</si>
  <si>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</si>
  <si>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</si>
  <si>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</si>
  <si>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</si>
  <si>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</si>
  <si>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</si>
  <si>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</si>
  <si>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</si>
  <si>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</si>
  <si>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</si>
  <si>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</si>
  <si>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</si>
  <si>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</si>
  <si>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</si>
  <si>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</si>
  <si>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</si>
  <si>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</si>
  <si>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</si>
  <si>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</si>
  <si>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</si>
  <si>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</si>
  <si>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</si>
  <si>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</si>
  <si>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</si>
  <si>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</si>
  <si>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</si>
  <si>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Amazon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</si>
  <si>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</si>
  <si>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</si>
  <si>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</si>
  <si>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</si>
  <si>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</si>
  <si>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</si>
  <si>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</si>
  <si>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</si>
  <si>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</si>
  <si>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</si>
  <si>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CashApp - Yasmary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</si>
  <si>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</si>
  <si>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</si>
  <si>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</si>
  <si>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</si>
  <si>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</si>
  <si>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</si>
  <si>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</si>
  <si>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</si>
  <si>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Regan Cash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</si>
  <si>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</si>
  <si>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</si>
  <si>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</si>
  <si>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</si>
  <si>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</si>
  <si>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</si>
  <si>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</si>
  <si>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AppleTV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</si>
  <si>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</si>
  <si>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</si>
  <si>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</si>
  <si>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</si>
  <si>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</si>
  <si>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</si>
  <si>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</si>
  <si>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</si>
  <si>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</si>
  <si>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</si>
  <si>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</si>
  <si>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</si>
  <si>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</si>
  <si>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</si>
  <si>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</si>
  <si>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</si>
  <si>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</si>
  <si>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</si>
  <si>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</si>
  <si>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</si>
  <si>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</si>
  <si>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</si>
  <si>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</si>
  <si>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</si>
  <si>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</si>
  <si>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</si>
  <si>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</si>
  <si>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</si>
  <si>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</si>
  <si>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</si>
  <si>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</si>
  <si>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</si>
  <si>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</si>
  <si>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</si>
  <si>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</si>
  <si>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</si>
  <si>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</si>
  <si>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</si>
  <si>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</si>
  <si>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</si>
  <si>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</si>
  <si>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</si>
  <si>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</si>
  <si>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</si>
  <si>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</si>
  <si>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</si>
  <si>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</si>
  <si>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</si>
  <si>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</si>
  <si>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</si>
  <si>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</si>
  <si>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</si>
  <si>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</si>
  <si>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</si>
  <si>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</si>
  <si>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</si>
  <si>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</si>
  <si>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</si>
  <si>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</si>
  <si>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</si>
  <si>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</si>
  <si>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</si>
  <si>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</si>
  <si>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</si>
  <si>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</si>
  <si>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</si>
  <si>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Julie - Can Insruance</t>
  </si>
  <si>
    <t>Lowes</t>
  </si>
  <si>
    <t>Action Network</t>
  </si>
  <si>
    <t>Northfield Park</t>
  </si>
  <si>
    <t>Amazon Digital Services</t>
  </si>
  <si>
    <t>Disney Plus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</si>
  <si>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</si>
  <si>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</si>
  <si>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</si>
  <si>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</si>
  <si>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</si>
  <si>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</si>
  <si>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</si>
  <si>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</si>
  <si>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</si>
  <si>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</si>
  <si>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</si>
  <si>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</si>
  <si>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</si>
  <si>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</si>
  <si>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</si>
  <si>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</si>
  <si>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</si>
  <si>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</si>
  <si>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</si>
  <si>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</si>
  <si>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</si>
  <si>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</si>
  <si>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</si>
  <si>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</si>
  <si>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</si>
  <si>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</si>
  <si>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</si>
  <si>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</si>
  <si>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</si>
  <si>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</si>
  <si>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EZ Pass</t>
  </si>
  <si>
    <t>X-Golf</t>
  </si>
  <si>
    <t>GetGo</t>
  </si>
  <si>
    <t>Luckys Bar and Grill</t>
  </si>
  <si>
    <t>Julie - Car Insurance</t>
  </si>
  <si>
    <t>Austin Food</t>
  </si>
  <si>
    <t>Transfer from Cash App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</si>
  <si>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</si>
  <si>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</si>
  <si>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</si>
  <si>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</si>
  <si>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</si>
  <si>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</si>
  <si>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</si>
  <si>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</si>
  <si>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</si>
  <si>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</si>
  <si>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</si>
  <si>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</si>
  <si>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</si>
  <si>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First Energy - Main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</si>
  <si>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</si>
  <si>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</si>
  <si>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</si>
  <si>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</si>
  <si>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</si>
  <si>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</si>
  <si>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</si>
  <si>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</si>
  <si>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</si>
  <si>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</si>
  <si>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</si>
  <si>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</si>
  <si>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</si>
  <si>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CashApp - Superbowl Squares</t>
  </si>
  <si>
    <t>Frontier Airlines</t>
  </si>
  <si>
    <t>Home Depot - Kitchen Remodel</t>
  </si>
  <si>
    <t>Shotz Bar</t>
  </si>
  <si>
    <t>Transfer to Venmo - Kathleen Chambers;Challenge</t>
  </si>
  <si>
    <t>CashApp - Starbucks</t>
  </si>
  <si>
    <t>CashApp - McDonalds</t>
  </si>
  <si>
    <t>Sorrento</t>
  </si>
  <si>
    <t>Cash from Casino</t>
  </si>
  <si>
    <t>Garretts Mill Diner</t>
  </si>
  <si>
    <t>Accelerated Fitness</t>
  </si>
  <si>
    <t>Guard Hotel</t>
  </si>
  <si>
    <t>Prime Video</t>
  </si>
  <si>
    <t>Fairview Tavern</t>
  </si>
  <si>
    <t>PJ McIntyres</t>
  </si>
  <si>
    <t>Zack Drzik - Oil Change</t>
  </si>
  <si>
    <t>Winking Lizard</t>
  </si>
  <si>
    <t>January Rent</t>
  </si>
  <si>
    <t>Heinens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</si>
  <si>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</si>
  <si>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</si>
  <si>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</si>
  <si>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</si>
  <si>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</si>
  <si>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</si>
  <si>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</si>
  <si>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</si>
  <si>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</si>
  <si>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</si>
  <si>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</si>
  <si>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</si>
  <si>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</si>
  <si>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</si>
  <si>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</si>
  <si>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</si>
  <si>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</si>
  <si>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</si>
  <si>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</si>
  <si>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</si>
  <si>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</si>
  <si>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</si>
  <si>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</si>
  <si>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</si>
  <si>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</si>
  <si>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</si>
  <si>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</si>
  <si>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</si>
  <si>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</si>
  <si>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</si>
  <si>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</si>
  <si>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</si>
  <si>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</si>
  <si>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</si>
  <si>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</si>
  <si>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</si>
  <si>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</si>
  <si>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</si>
  <si>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</si>
  <si>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</si>
  <si>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</si>
  <si>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</si>
  <si>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</si>
  <si>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</si>
  <si>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</si>
  <si>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</si>
  <si>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</si>
  <si>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</si>
  <si>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</si>
  <si>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</si>
  <si>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</si>
  <si>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</si>
  <si>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</si>
  <si>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</si>
  <si>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</si>
  <si>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</si>
  <si>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</si>
  <si>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</si>
  <si>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</si>
  <si>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</si>
  <si>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</si>
  <si>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</si>
  <si>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</si>
  <si>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</si>
  <si>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</si>
  <si>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</si>
  <si>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</si>
  <si>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</si>
  <si>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</si>
  <si>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</si>
  <si>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</si>
  <si>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</si>
  <si>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</si>
  <si>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</si>
  <si>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</si>
  <si>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</si>
  <si>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</si>
  <si>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</si>
  <si>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</si>
  <si>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</si>
  <si>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</si>
  <si>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</si>
  <si>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</si>
  <si>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</si>
  <si>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</si>
  <si>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</si>
  <si>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</si>
  <si>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</si>
  <si>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</si>
  <si>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</si>
  <si>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</si>
  <si>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</si>
  <si>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</si>
  <si>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</si>
  <si>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</si>
  <si>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</si>
  <si>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</si>
  <si>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</si>
  <si>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</si>
  <si>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</si>
  <si>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</si>
  <si>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</si>
  <si>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</si>
  <si>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</si>
  <si>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</si>
  <si>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</si>
  <si>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</si>
  <si>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</si>
  <si>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</si>
  <si>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</si>
  <si>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</si>
  <si>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</si>
  <si>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</si>
  <si>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</si>
  <si>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</si>
  <si>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</si>
  <si>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</si>
  <si>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</si>
  <si>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</si>
  <si>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</si>
  <si>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</si>
  <si>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</si>
  <si>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</si>
  <si>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</si>
  <si>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</si>
  <si>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</si>
  <si>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</si>
  <si>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</si>
  <si>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</si>
  <si>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</si>
  <si>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</si>
  <si>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</si>
  <si>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</si>
  <si>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</si>
  <si>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</si>
  <si>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</si>
  <si>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</si>
  <si>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</si>
  <si>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</si>
  <si>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</si>
  <si>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</si>
  <si>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</si>
  <si>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</si>
  <si>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</si>
  <si>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</si>
  <si>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</si>
  <si>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</si>
  <si>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</si>
  <si>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</si>
  <si>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</si>
  <si>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</si>
  <si>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</si>
  <si>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</si>
  <si>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</si>
  <si>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</si>
  <si>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</si>
  <si>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</si>
  <si>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</si>
  <si>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</si>
  <si>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</si>
  <si>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</si>
  <si>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</si>
  <si>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</si>
  <si>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</si>
  <si>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</si>
  <si>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</si>
  <si>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</si>
  <si>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</si>
  <si>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</si>
  <si>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</si>
  <si>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</si>
  <si>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</si>
  <si>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</si>
  <si>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</si>
  <si>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</si>
  <si>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</si>
  <si>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</si>
  <si>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</si>
  <si>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</si>
  <si>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</si>
  <si>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</si>
  <si>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</si>
  <si>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</si>
  <si>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</si>
  <si>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</si>
  <si>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</si>
  <si>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</si>
  <si>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</si>
  <si>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</si>
  <si>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</si>
  <si>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</si>
  <si>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</si>
  <si>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</si>
  <si>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</si>
  <si>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</si>
  <si>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</si>
  <si>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</si>
  <si>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</si>
  <si>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</si>
  <si>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</si>
  <si>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</si>
  <si>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</si>
  <si>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</si>
  <si>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</si>
  <si>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</si>
  <si>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</si>
  <si>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</si>
  <si>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</si>
  <si>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</si>
  <si>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</si>
  <si>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</si>
  <si>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</si>
  <si>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</si>
  <si>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</si>
  <si>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</si>
  <si>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</si>
  <si>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</si>
  <si>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</si>
  <si>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</si>
  <si>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</si>
  <si>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</si>
  <si>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</si>
  <si>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</si>
  <si>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</si>
  <si>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</si>
  <si>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</si>
  <si>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</si>
  <si>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</si>
  <si>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</si>
  <si>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</si>
  <si>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</si>
  <si>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</si>
  <si>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</si>
  <si>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</si>
  <si>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</si>
  <si>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</si>
  <si>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</si>
  <si>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</si>
  <si>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</si>
  <si>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</si>
  <si>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</si>
  <si>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</si>
  <si>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</si>
  <si>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</si>
  <si>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</si>
  <si>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</si>
  <si>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</si>
  <si>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</si>
  <si>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</si>
  <si>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</si>
  <si>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</si>
  <si>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</si>
  <si>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</si>
  <si>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</si>
  <si>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</si>
  <si>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</si>
  <si>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</si>
  <si>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</si>
  <si>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</si>
  <si>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</si>
  <si>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</si>
  <si>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</si>
  <si>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</si>
  <si>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</si>
  <si>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</si>
  <si>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</si>
  <si>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</si>
  <si>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</si>
  <si>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</si>
  <si>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</si>
  <si>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</si>
  <si>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</si>
  <si>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</si>
  <si>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</si>
  <si>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</si>
  <si>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</si>
  <si>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</si>
  <si>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</si>
  <si>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</si>
  <si>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</si>
  <si>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</si>
  <si>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</si>
  <si>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</si>
  <si>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</si>
  <si>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</si>
  <si>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</si>
  <si>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</si>
  <si>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</si>
  <si>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</si>
  <si>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</si>
  <si>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</si>
  <si>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</si>
  <si>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</si>
  <si>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</si>
  <si>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</si>
  <si>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</si>
  <si>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</si>
  <si>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</si>
  <si>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</si>
  <si>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</si>
  <si>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</si>
  <si>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</si>
  <si>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</si>
  <si>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</si>
  <si>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</si>
  <si>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</si>
  <si>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</si>
  <si>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</si>
  <si>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</si>
  <si>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</si>
  <si>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</si>
  <si>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</si>
  <si>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</si>
  <si>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</si>
  <si>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</si>
  <si>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</si>
  <si>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</si>
  <si>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</si>
  <si>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</si>
  <si>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</si>
  <si>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</si>
  <si>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</si>
  <si>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</si>
  <si>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</si>
  <si>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</si>
  <si>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</si>
  <si>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</si>
  <si>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</si>
  <si>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</si>
  <si>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</si>
  <si>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</si>
  <si>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</si>
  <si>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</si>
  <si>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</si>
  <si>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</si>
  <si>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</si>
  <si>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</si>
  <si>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</si>
  <si>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</si>
  <si>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</si>
  <si>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</si>
  <si>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</si>
  <si>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</si>
  <si>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</si>
  <si>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</si>
  <si>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</si>
  <si>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</si>
  <si>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</si>
  <si>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</si>
  <si>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</si>
  <si>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</si>
  <si>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</si>
  <si>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</si>
  <si>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</si>
  <si>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</si>
  <si>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</si>
  <si>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Amazon Kindle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</si>
  <si>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</si>
  <si>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</si>
  <si>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</si>
  <si>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</si>
  <si>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</si>
  <si>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</si>
  <si>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</si>
  <si>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</si>
  <si>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</si>
  <si>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</si>
  <si>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</si>
  <si>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GM Financial (2 payments left)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</si>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</sst>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3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81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44" fontId="6" fillId="3" borderId="25" xfId="0" applyNumberFormat="1" applyFont="1" applyFill="1" applyBorder="1" applyAlignment="1">
      <alignment horizontal="center"/>
    </xf>
    <xf numFmtId="10" fontId="6" fillId="3" borderId="25" xfId="0" applyNumberFormat="1" applyFont="1" applyFill="1" applyBorder="1" applyAlignment="1">
      <alignment horizontal="center"/>
    </xf>
    <xf numFmtId="44" fontId="6" fillId="4" borderId="25" xfId="0" applyNumberFormat="1" applyFont="1" applyFill="1" applyBorder="1" applyAlignment="1">
      <alignment horizontal="center"/>
    </xf>
    <xf numFmtId="10" fontId="6" fillId="4" borderId="5" xfId="0" applyNumberFormat="1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44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 applyAlignment="1">
      <alignment horizontal="center"/>
    </xf>
    <xf numFmtId="164" fontId="6" fillId="2" borderId="36" xfId="0" applyFont="1" applyFill="1" applyBorder="1"/>
    <xf numFmtId="44" fontId="6" fillId="3" borderId="37" xfId="0" applyNumberFormat="1" applyFont="1" applyFill="1" applyBorder="1" applyAlignment="1">
      <alignment horizontal="center"/>
    </xf>
    <xf numFmtId="10" fontId="6" fillId="3" borderId="37" xfId="0" applyNumberFormat="1" applyFont="1" applyFill="1" applyBorder="1" applyAlignment="1">
      <alignment horizontal="center"/>
    </xf>
    <xf numFmtId="44" fontId="6" fillId="4" borderId="37" xfId="0" applyNumberFormat="1" applyFont="1" applyFill="1" applyBorder="1" applyAlignment="1">
      <alignment horizontal="center"/>
    </xf>
    <xf numFmtId="10" fontId="6" fillId="4" borderId="38" xfId="0" applyNumberFormat="1" applyFont="1" applyFill="1" applyBorder="1" applyAlignment="1">
      <alignment horizontal="center"/>
    </xf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9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40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41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40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3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4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3" xfId="0" applyNumberFormat="1" applyFont="1" applyFill="1" applyBorder="1" applyAlignment="1">
      <alignment horizontal="center"/>
    </xf>
    <xf numFmtId="44" fontId="11" fillId="9" borderId="45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3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41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41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40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4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4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3" xfId="0" applyNumberFormat="1" applyFont="1" applyFill="1" applyBorder="1"/>
    <xf numFmtId="44" fontId="11" fillId="13" borderId="11" xfId="0" applyNumberFormat="1" applyFont="1" applyFill="1" applyBorder="1"/>
    <xf numFmtId="164" fontId="11" fillId="5" borderId="46" xfId="0" applyFont="1" applyFill="1" applyBorder="1"/>
    <xf numFmtId="1" fontId="11" fillId="5" borderId="46" xfId="0" applyNumberFormat="1" applyFont="1" applyFill="1" applyBorder="1"/>
    <xf numFmtId="16" fontId="11" fillId="5" borderId="46" xfId="0" applyNumberFormat="1" applyFont="1" applyFill="1" applyBorder="1" applyAlignment="1">
      <alignment horizontal="left" vertical="center"/>
    </xf>
    <xf numFmtId="16" fontId="11" fillId="5" borderId="46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5" xfId="0" applyNumberFormat="1" applyFont="1" applyFill="1" applyBorder="1" applyAlignment="1">
      <alignment horizontal="left" vertical="center"/>
    </xf>
    <xf numFmtId="16" fontId="11" fillId="5" borderId="45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5" xfId="0" applyFont="1" applyFill="1" applyBorder="1" applyAlignment="1">
      <alignment horizontal="left" vertical="center"/>
    </xf>
    <xf numFmtId="164" fontId="11" fillId="5" borderId="45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5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5" xfId="0" applyNumberFormat="1" applyFont="1" applyFill="1" applyBorder="1" applyAlignment="1">
      <alignment horizontal="center" vertical="center"/>
    </xf>
    <xf numFmtId="44" fontId="12" fillId="5" borderId="45" xfId="0" applyNumberFormat="1" applyFont="1" applyFill="1" applyBorder="1" applyAlignment="1">
      <alignment horizontal="center"/>
    </xf>
    <xf numFmtId="164" fontId="12" fillId="5" borderId="45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6" xfId="0" applyNumberFormat="1" applyFont="1" applyFill="1" applyBorder="1"/>
    <xf numFmtId="44" fontId="13" fillId="10" borderId="46" xfId="0" applyNumberFormat="1" applyFont="1" applyFill="1" applyBorder="1"/>
    <xf numFmtId="164" fontId="13" fillId="13" borderId="46" xfId="0" applyFont="1" applyFill="1" applyBorder="1"/>
    <xf numFmtId="44" fontId="13" fillId="13" borderId="46" xfId="0" applyNumberFormat="1" applyFont="1" applyFill="1" applyBorder="1"/>
    <xf numFmtId="164" fontId="13" fillId="15" borderId="46" xfId="0" applyFont="1" applyFill="1" applyBorder="1"/>
    <xf numFmtId="44" fontId="13" fillId="15" borderId="46" xfId="0" applyNumberFormat="1" applyFont="1" applyFill="1" applyBorder="1"/>
    <xf numFmtId="164" fontId="13" fillId="8" borderId="46" xfId="0" applyFont="1" applyFill="1" applyBorder="1"/>
    <xf numFmtId="44" fontId="13" fillId="8" borderId="46" xfId="0" applyNumberFormat="1" applyFont="1" applyFill="1" applyBorder="1"/>
    <xf numFmtId="164" fontId="13" fillId="12" borderId="46" xfId="0" applyFont="1" applyFill="1" applyBorder="1"/>
    <xf numFmtId="44" fontId="13" fillId="12" borderId="46" xfId="0" applyNumberFormat="1" applyFont="1" applyFill="1" applyBorder="1"/>
    <xf numFmtId="164" fontId="13" fillId="9" borderId="46" xfId="0" applyFont="1" applyFill="1" applyBorder="1"/>
    <xf numFmtId="44" fontId="13" fillId="9" borderId="46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5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4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5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5" xfId="0" applyNumberFormat="1" applyFont="1" applyFill="1" applyBorder="1" applyAlignment="1">
      <alignment horizontal="center"/>
    </xf>
    <xf numFmtId="165" fontId="11" fillId="5" borderId="45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42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5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5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5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9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9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5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9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7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6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6" xfId="0" applyNumberFormat="1" applyFont="1" applyFill="1" applyBorder="1" applyAlignment="1">
      <alignment horizontal="center"/>
    </xf>
    <xf numFmtId="165" fontId="12" fillId="18" borderId="46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6" xfId="0" applyNumberFormat="1" applyFont="1" applyFill="1" applyBorder="1" applyAlignment="1">
      <alignment horizontal="center"/>
    </xf>
    <xf numFmtId="165" fontId="6" fillId="4" borderId="46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6" xfId="0" applyNumberFormat="1" applyFont="1" applyFill="1" applyBorder="1"/>
    <xf numFmtId="165" fontId="6" fillId="2" borderId="46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13" fillId="0" borderId="47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7" xfId="0" applyNumberFormat="1" applyFont="1" applyBorder="1" applyAlignment="1">
      <alignment horizontal="center"/>
    </xf>
    <xf numFmtId="164" fontId="13" fillId="12" borderId="47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7" xfId="0" applyFont="1" applyFill="1" applyBorder="1" applyAlignment="1">
      <alignment horizontal="center"/>
    </xf>
    <xf numFmtId="0" fontId="5" fillId="0" borderId="48" xfId="0" applyNumberFormat="1" applyFont="1" applyBorder="1"/>
    <xf numFmtId="165" fontId="11" fillId="4" borderId="47" xfId="0" applyNumberFormat="1" applyFont="1" applyFill="1" applyBorder="1" applyAlignment="1">
      <alignment horizontal="center"/>
    </xf>
    <xf numFmtId="165" fontId="11" fillId="14" borderId="47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7" xfId="0" applyNumberFormat="1" applyFont="1" applyFill="1" applyBorder="1" applyAlignment="1">
      <alignment horizontal="center"/>
    </xf>
    <xf numFmtId="8" fontId="11" fillId="14" borderId="47" xfId="0" applyNumberFormat="1" applyFont="1" applyFill="1" applyBorder="1" applyAlignment="1">
      <alignment horizontal="center"/>
    </xf>
    <xf numFmtId="8" fontId="11" fillId="3" borderId="47" xfId="0" applyNumberFormat="1" applyFont="1" applyFill="1" applyBorder="1" applyAlignment="1">
      <alignment horizontal="center"/>
    </xf>
    <xf numFmtId="164" fontId="14" fillId="0" borderId="47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50" xfId="0" applyNumberFormat="1" applyFont="1" applyFill="1" applyBorder="1" applyAlignment="1">
      <alignment horizontal="center"/>
    </xf>
    <xf numFmtId="0" fontId="5" fillId="0" borderId="51" xfId="0" applyNumberFormat="1" applyFont="1" applyBorder="1"/>
    <xf numFmtId="0" fontId="5" fillId="0" borderId="52" xfId="0" applyNumberFormat="1" applyFont="1" applyBorder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E13" sqref="E13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35" bestFit="1" customWidth="1"/>
    <col min="4" max="7" width="11.33203125" bestFit="1" customWidth="1"/>
  </cols>
  <sheetData>
    <row r="1" spans="1:3" x14ac:dyDescent="0.3">
      <c r="A1" t="s">
        <v>791</v>
      </c>
      <c r="B1" t="s">
        <v>821</v>
      </c>
      <c r="C1" s="534" t="s">
        <v>845</v>
      </c>
    </row>
    <row r="2" spans="1:3" x14ac:dyDescent="0.3">
      <c r="A2" t="s">
        <v>106</v>
      </c>
      <c r="B2" t="s">
        <v>822</v>
      </c>
      <c r="C2" s="535">
        <v>1975.0252370000001</v>
      </c>
    </row>
    <row r="3" spans="1:3" x14ac:dyDescent="0.3">
      <c r="A3" t="s">
        <v>106</v>
      </c>
      <c r="B3" t="s">
        <v>823</v>
      </c>
      <c r="C3" s="535">
        <v>951.31528000000003</v>
      </c>
    </row>
    <row r="4" spans="1:3" x14ac:dyDescent="0.3">
      <c r="A4" t="s">
        <v>106</v>
      </c>
      <c r="B4" t="s">
        <v>824</v>
      </c>
      <c r="C4" s="535">
        <v>1353.018769</v>
      </c>
    </row>
    <row r="5" spans="1:3" x14ac:dyDescent="0.3">
      <c r="A5" t="s">
        <v>825</v>
      </c>
      <c r="B5" t="s">
        <v>822</v>
      </c>
      <c r="C5" s="535">
        <v>461.22561999999999</v>
      </c>
    </row>
    <row r="6" spans="1:3" x14ac:dyDescent="0.3">
      <c r="A6" t="s">
        <v>825</v>
      </c>
      <c r="B6" t="s">
        <v>823</v>
      </c>
      <c r="C6" s="535">
        <v>733.12704199999996</v>
      </c>
    </row>
    <row r="7" spans="1:3" x14ac:dyDescent="0.3">
      <c r="A7" t="s">
        <v>827</v>
      </c>
      <c r="B7" t="s">
        <v>826</v>
      </c>
      <c r="C7" s="535">
        <v>203.505</v>
      </c>
    </row>
    <row r="8" spans="1:3" x14ac:dyDescent="0.3">
      <c r="A8" t="s">
        <v>827</v>
      </c>
      <c r="B8" t="s">
        <v>828</v>
      </c>
      <c r="C8" s="535">
        <v>1217.0540000000001</v>
      </c>
    </row>
    <row r="9" spans="1:3" x14ac:dyDescent="0.3">
      <c r="A9" t="s">
        <v>827</v>
      </c>
      <c r="B9" t="s">
        <v>829</v>
      </c>
      <c r="C9" s="535">
        <v>138.60499999999999</v>
      </c>
    </row>
    <row r="10" spans="1:3" x14ac:dyDescent="0.3">
      <c r="A10" t="s">
        <v>830</v>
      </c>
      <c r="B10" t="s">
        <v>828</v>
      </c>
      <c r="C10" s="535">
        <v>677.71900000000005</v>
      </c>
    </row>
    <row r="11" spans="1:3" x14ac:dyDescent="0.3">
      <c r="A11" t="s">
        <v>54</v>
      </c>
      <c r="B11" t="s">
        <v>831</v>
      </c>
      <c r="C11" s="535">
        <v>50.346319999999999</v>
      </c>
    </row>
    <row r="12" spans="1:3" x14ac:dyDescent="0.3">
      <c r="A12" t="s">
        <v>54</v>
      </c>
      <c r="B12" t="s">
        <v>832</v>
      </c>
      <c r="C12" s="535">
        <v>32.164059999999999</v>
      </c>
    </row>
    <row r="13" spans="1:3" x14ac:dyDescent="0.3">
      <c r="A13" t="s">
        <v>54</v>
      </c>
      <c r="B13" t="s">
        <v>833</v>
      </c>
      <c r="C13" s="535">
        <v>224.54397</v>
      </c>
    </row>
    <row r="14" spans="1:3" x14ac:dyDescent="0.3">
      <c r="A14" t="s">
        <v>54</v>
      </c>
      <c r="B14" t="s">
        <v>834</v>
      </c>
      <c r="C14" s="535">
        <v>211.67348999999999</v>
      </c>
    </row>
    <row r="15" spans="1:3" x14ac:dyDescent="0.3">
      <c r="A15" t="s">
        <v>54</v>
      </c>
      <c r="B15" t="s">
        <v>835</v>
      </c>
      <c r="C15" s="535">
        <v>204.95385999999999</v>
      </c>
    </row>
    <row r="16" spans="1:3" x14ac:dyDescent="0.3">
      <c r="A16" t="s">
        <v>59</v>
      </c>
      <c r="B16" t="s">
        <v>836</v>
      </c>
      <c r="C16" s="535">
        <v>0.10882</v>
      </c>
    </row>
    <row r="17" spans="1:3" x14ac:dyDescent="0.3">
      <c r="A17" t="s">
        <v>59</v>
      </c>
      <c r="B17" t="s">
        <v>837</v>
      </c>
      <c r="C17" s="535">
        <v>1.6377699999999999</v>
      </c>
    </row>
    <row r="18" spans="1:3" x14ac:dyDescent="0.3">
      <c r="A18" t="s">
        <v>59</v>
      </c>
      <c r="B18" t="s">
        <v>838</v>
      </c>
      <c r="C18" s="535">
        <v>22.54139</v>
      </c>
    </row>
    <row r="19" spans="1:3" x14ac:dyDescent="0.3">
      <c r="A19" t="s">
        <v>59</v>
      </c>
      <c r="B19" t="s">
        <v>839</v>
      </c>
      <c r="C19" s="535">
        <v>5.2892619999999999</v>
      </c>
    </row>
    <row r="20" spans="1:3" x14ac:dyDescent="0.3">
      <c r="A20" t="s">
        <v>59</v>
      </c>
      <c r="B20" t="s">
        <v>840</v>
      </c>
      <c r="C20" s="535">
        <v>32.208689999999997</v>
      </c>
    </row>
    <row r="21" spans="1:3" x14ac:dyDescent="0.3">
      <c r="A21" t="s">
        <v>59</v>
      </c>
      <c r="B21" t="s">
        <v>841</v>
      </c>
      <c r="C21" s="535">
        <v>144.69972000000001</v>
      </c>
    </row>
    <row r="22" spans="1:3" x14ac:dyDescent="0.3">
      <c r="A22" t="s">
        <v>59</v>
      </c>
      <c r="B22" t="s">
        <v>842</v>
      </c>
      <c r="C22" s="535">
        <v>364.74335000000002</v>
      </c>
    </row>
    <row r="23" spans="1:3" x14ac:dyDescent="0.3">
      <c r="A23" s="532" t="s">
        <v>843</v>
      </c>
      <c r="B23" s="532" t="s">
        <v>831</v>
      </c>
      <c r="C23" s="535">
        <v>8.55701</v>
      </c>
    </row>
    <row r="24" spans="1:3" x14ac:dyDescent="0.3">
      <c r="A24" s="532" t="s">
        <v>843</v>
      </c>
      <c r="B24" s="532" t="s">
        <v>833</v>
      </c>
      <c r="C24" s="535">
        <v>25.439640000000001</v>
      </c>
    </row>
    <row r="25" spans="1:3" x14ac:dyDescent="0.3">
      <c r="A25" s="532" t="s">
        <v>843</v>
      </c>
      <c r="B25" s="532" t="s">
        <v>844</v>
      </c>
      <c r="C25" s="535">
        <v>29.35069</v>
      </c>
    </row>
    <row r="26" spans="1:3" x14ac:dyDescent="0.3">
      <c r="A26" s="532" t="s">
        <v>843</v>
      </c>
      <c r="B26" s="532" t="s">
        <v>834</v>
      </c>
      <c r="C26" s="535">
        <v>22.982579999999999</v>
      </c>
    </row>
    <row r="27" spans="1:3" x14ac:dyDescent="0.3">
      <c r="A27" s="532" t="s">
        <v>843</v>
      </c>
      <c r="B27" s="532" t="s">
        <v>835</v>
      </c>
      <c r="C27" s="535">
        <v>18.57837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H19" sqref="H19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40" t="s">
        <v>34</v>
      </c>
      <c r="B1" s="541"/>
      <c r="C1" s="542"/>
      <c r="E1" s="5" t="s">
        <v>35</v>
      </c>
      <c r="F1" s="6">
        <f ca="1">SUM($B$7,$B$19,$B$26,$B$31,$B$38)</f>
        <v>1690407.8299999998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100</v>
      </c>
      <c r="C2" s="15">
        <f t="shared" ref="C2:C6" ca="1" si="0">TODAY()</f>
        <v>46155</v>
      </c>
      <c r="E2" s="13" t="s">
        <v>40</v>
      </c>
      <c r="F2" s="16">
        <f>F14</f>
        <v>184935.56</v>
      </c>
      <c r="H2" s="17"/>
      <c r="J2" s="18" t="s">
        <v>41</v>
      </c>
      <c r="K2" s="19">
        <v>0.75</v>
      </c>
      <c r="L2" s="20">
        <f>K5/(K5+K6)</f>
        <v>0.82559561516504409</v>
      </c>
      <c r="N2" s="21" t="s">
        <v>42</v>
      </c>
      <c r="O2" s="22">
        <f>B12-O1</f>
        <v>-9575</v>
      </c>
      <c r="P2" s="11"/>
      <c r="Q2" s="23" t="s">
        <v>43</v>
      </c>
      <c r="R2" s="23">
        <f ca="1">E20*(1+$Q$1)</f>
        <v>1731293.1104999997</v>
      </c>
    </row>
    <row r="3" spans="1:18" ht="14.4" x14ac:dyDescent="0.3">
      <c r="A3" s="13" t="s">
        <v>44</v>
      </c>
      <c r="B3" s="14">
        <v>0</v>
      </c>
      <c r="C3" s="15">
        <f t="shared" ca="1" si="0"/>
        <v>46155</v>
      </c>
      <c r="E3" s="21" t="s">
        <v>45</v>
      </c>
      <c r="F3" s="22">
        <f ca="1">F1-F2</f>
        <v>1505472.2699999998</v>
      </c>
      <c r="H3" s="17"/>
      <c r="J3" s="18" t="s">
        <v>46</v>
      </c>
      <c r="K3" s="19">
        <v>0.25</v>
      </c>
      <c r="L3" s="20">
        <f>K6/(K5+K6)</f>
        <v>0.17440438483495588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1990987.0770749995</v>
      </c>
    </row>
    <row r="4" spans="1:18" ht="14.4" x14ac:dyDescent="0.3">
      <c r="A4" s="13" t="s">
        <v>49</v>
      </c>
      <c r="B4" s="14">
        <v>0</v>
      </c>
      <c r="C4" s="15">
        <f t="shared" ca="1" si="0"/>
        <v>46155</v>
      </c>
      <c r="F4" s="7"/>
      <c r="H4" s="17"/>
      <c r="J4" s="24"/>
      <c r="K4" s="25"/>
      <c r="L4" s="26"/>
      <c r="N4" s="27" t="s">
        <v>50</v>
      </c>
      <c r="O4" s="28">
        <f>B10-O3</f>
        <v>21717.099999999991</v>
      </c>
      <c r="P4" s="11"/>
      <c r="Q4" s="23" t="s">
        <v>51</v>
      </c>
      <c r="R4" s="23">
        <f t="shared" ca="1" si="1"/>
        <v>2289635.1386362491</v>
      </c>
    </row>
    <row r="5" spans="1:18" ht="14.4" x14ac:dyDescent="0.3">
      <c r="A5" s="13" t="s">
        <v>52</v>
      </c>
      <c r="B5" s="14">
        <f ca="1">'Checking Transaction Log'!G1</f>
        <v>5816.3799999999837</v>
      </c>
      <c r="C5" s="15">
        <f t="shared" ca="1" si="0"/>
        <v>46155</v>
      </c>
      <c r="E5" s="543" t="s">
        <v>53</v>
      </c>
      <c r="F5" s="541"/>
      <c r="G5" s="542"/>
      <c r="H5" s="17"/>
      <c r="J5" s="29" t="s">
        <v>54</v>
      </c>
      <c r="K5" s="30">
        <f>B10</f>
        <v>89587.18</v>
      </c>
      <c r="L5" s="20">
        <f ca="1">K5/F3</f>
        <v>5.9507691895248266E-2</v>
      </c>
      <c r="N5" s="5" t="s">
        <v>55</v>
      </c>
      <c r="O5" s="6"/>
      <c r="P5" s="11"/>
      <c r="Q5" s="23" t="s">
        <v>56</v>
      </c>
      <c r="R5" s="23">
        <f t="shared" ca="1" si="1"/>
        <v>2633080.4094316862</v>
      </c>
    </row>
    <row r="6" spans="1:18" ht="14.4" x14ac:dyDescent="0.3">
      <c r="A6" s="13" t="s">
        <v>57</v>
      </c>
      <c r="B6" s="14">
        <f>'Savings Transaction Log'!A3</f>
        <v>22679.47</v>
      </c>
      <c r="C6" s="15">
        <f t="shared" ca="1" si="0"/>
        <v>46155</v>
      </c>
      <c r="E6" s="31" t="s">
        <v>58</v>
      </c>
      <c r="F6" s="14">
        <v>136517.03</v>
      </c>
      <c r="G6" s="32">
        <v>46144</v>
      </c>
      <c r="H6" s="17"/>
      <c r="J6" s="18" t="s">
        <v>59</v>
      </c>
      <c r="K6" s="30">
        <f>B12</f>
        <v>18925</v>
      </c>
      <c r="L6" s="20">
        <f ca="1">K6/F3</f>
        <v>1.2570806103256889E-2</v>
      </c>
      <c r="N6" s="21" t="s">
        <v>60</v>
      </c>
      <c r="O6" s="22"/>
      <c r="P6" s="11"/>
      <c r="Q6" s="23" t="s">
        <v>61</v>
      </c>
      <c r="R6" s="23">
        <f t="shared" ca="1" si="1"/>
        <v>3028042.4708464388</v>
      </c>
    </row>
    <row r="7" spans="1:18" ht="14.4" x14ac:dyDescent="0.3">
      <c r="A7" s="21" t="s">
        <v>62</v>
      </c>
      <c r="B7" s="33">
        <f ca="1">SUM(B2:B6)</f>
        <v>28595.849999999984</v>
      </c>
      <c r="C7" s="34">
        <f ca="1">B7/F3</f>
        <v>1.8994604264613912E-2</v>
      </c>
      <c r="E7" s="569" t="s">
        <v>852</v>
      </c>
      <c r="F7" s="14">
        <v>18968</v>
      </c>
      <c r="G7" s="32">
        <v>46149</v>
      </c>
      <c r="H7" s="7"/>
      <c r="J7" s="18" t="s">
        <v>64</v>
      </c>
      <c r="K7" s="30">
        <f>IF((B3+B4+B6)&gt;10000,(B3+B4+B6-10000),0)</f>
        <v>12679.470000000001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3482248.8414734043</v>
      </c>
    </row>
    <row r="8" spans="1:18" ht="14.4" x14ac:dyDescent="0.3">
      <c r="B8" s="7"/>
      <c r="C8" s="37"/>
      <c r="E8" s="31" t="s">
        <v>858</v>
      </c>
      <c r="F8" s="14">
        <v>1245.4000000000001</v>
      </c>
      <c r="G8" s="32">
        <v>46144</v>
      </c>
      <c r="H8" s="7"/>
      <c r="I8" s="7"/>
      <c r="J8" s="18" t="s">
        <v>68</v>
      </c>
      <c r="K8" s="30">
        <f>SUM(K5:K7)</f>
        <v>121191.65</v>
      </c>
      <c r="L8" s="20">
        <f ca="1">K8/F3</f>
        <v>8.0500752099538844E-2</v>
      </c>
      <c r="N8" s="21" t="s">
        <v>69</v>
      </c>
      <c r="O8" s="22">
        <f t="shared" si="2"/>
        <v>12142.099999999991</v>
      </c>
      <c r="P8" s="11"/>
      <c r="Q8" s="23" t="s">
        <v>70</v>
      </c>
      <c r="R8" s="23">
        <f t="shared" ca="1" si="1"/>
        <v>4004586.1676944145</v>
      </c>
    </row>
    <row r="9" spans="1:18" ht="14.4" x14ac:dyDescent="0.3">
      <c r="A9" s="540" t="s">
        <v>71</v>
      </c>
      <c r="B9" s="541"/>
      <c r="C9" s="542"/>
      <c r="E9" s="568" t="s">
        <v>857</v>
      </c>
      <c r="F9" s="566">
        <v>10040</v>
      </c>
      <c r="G9" s="567">
        <v>46149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4605274.0928485766</v>
      </c>
    </row>
    <row r="10" spans="1:18" ht="14.4" x14ac:dyDescent="0.3">
      <c r="A10" s="31" t="s">
        <v>74</v>
      </c>
      <c r="B10" s="14">
        <v>89587.18</v>
      </c>
      <c r="C10" s="15">
        <v>46144</v>
      </c>
      <c r="D10" s="17"/>
      <c r="E10" s="568" t="s">
        <v>853</v>
      </c>
      <c r="F10" s="566">
        <v>11965.33</v>
      </c>
      <c r="G10" s="567">
        <v>46149</v>
      </c>
      <c r="H10" s="17"/>
      <c r="I10" s="7"/>
      <c r="J10" s="18" t="s">
        <v>54</v>
      </c>
      <c r="K10" s="30">
        <f>(K8*K2)-K5</f>
        <v>1306.5574999999953</v>
      </c>
      <c r="L10" s="40">
        <f t="shared" ref="L10:L11" si="3">K10+K5</f>
        <v>90893.737499999988</v>
      </c>
      <c r="P10" s="11"/>
      <c r="Q10" s="23" t="s">
        <v>75</v>
      </c>
      <c r="R10" s="23">
        <f t="shared" ca="1" si="1"/>
        <v>5296065.2067758627</v>
      </c>
    </row>
    <row r="11" spans="1:18" ht="14.4" x14ac:dyDescent="0.3">
      <c r="A11" s="31" t="s">
        <v>76</v>
      </c>
      <c r="B11" s="14">
        <v>12181.44</v>
      </c>
      <c r="C11" s="15">
        <v>46144</v>
      </c>
      <c r="D11" s="17"/>
      <c r="E11" s="565" t="s">
        <v>854</v>
      </c>
      <c r="F11" s="566">
        <v>1440.63</v>
      </c>
      <c r="G11" s="567">
        <v>46149</v>
      </c>
      <c r="H11" s="17"/>
      <c r="I11" s="7"/>
      <c r="J11" s="43" t="s">
        <v>78</v>
      </c>
      <c r="K11" s="44">
        <f>(K8*K3)-K6</f>
        <v>11372.912499999999</v>
      </c>
      <c r="L11" s="45">
        <f t="shared" si="3"/>
        <v>30297.912499999999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6090474.9877922414</v>
      </c>
    </row>
    <row r="12" spans="1:18" ht="14.4" x14ac:dyDescent="0.3">
      <c r="A12" s="47" t="s">
        <v>81</v>
      </c>
      <c r="B12" s="48">
        <v>18925</v>
      </c>
      <c r="C12" s="15">
        <v>46144</v>
      </c>
      <c r="D12" s="17"/>
      <c r="E12" s="565" t="s">
        <v>855</v>
      </c>
      <c r="F12" s="566">
        <v>3944.13</v>
      </c>
      <c r="G12" s="567">
        <v>46149</v>
      </c>
      <c r="I12" s="7"/>
      <c r="J12" s="49"/>
      <c r="K12" s="25"/>
      <c r="L12" s="50">
        <f ca="1">L11/F3</f>
        <v>2.0125188024884711E-2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65" t="s">
        <v>856</v>
      </c>
      <c r="F13" s="566">
        <v>815.04</v>
      </c>
      <c r="G13" s="567">
        <v>46149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184935.56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101768.62</v>
      </c>
      <c r="L15" s="59">
        <f ca="1">K15/F3</f>
        <v>6.759913286214167E-2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137108.02999999997</v>
      </c>
      <c r="I16" s="7"/>
      <c r="J16" s="18" t="s">
        <v>46</v>
      </c>
      <c r="K16" s="63">
        <f>B12</f>
        <v>18925</v>
      </c>
      <c r="L16" s="20">
        <f ca="1">K16/F3</f>
        <v>1.2570806103256889E-2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1454294.95</v>
      </c>
      <c r="P18" s="11"/>
    </row>
    <row r="19" spans="1:17" ht="14.4" x14ac:dyDescent="0.3">
      <c r="A19" s="68" t="s">
        <v>92</v>
      </c>
      <c r="B19" s="33">
        <f>SUM(B10:B18)</f>
        <v>120693.62</v>
      </c>
      <c r="C19" s="34">
        <f ca="1">B19/F3</f>
        <v>8.0169938965398549E-2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275255.95499999996</v>
      </c>
      <c r="P19" s="73">
        <f t="shared" ref="P19:P32" si="4">O19/$O$18</f>
        <v>0.18927106568031468</v>
      </c>
      <c r="Q19" s="74" t="s">
        <v>97</v>
      </c>
    </row>
    <row r="20" spans="1:17" ht="14.4" x14ac:dyDescent="0.3">
      <c r="B20" s="7"/>
      <c r="C20" s="37"/>
      <c r="E20" s="56">
        <f ca="1">F3</f>
        <v>1505472.2699999998</v>
      </c>
      <c r="F20" s="44">
        <f ca="1">E20-E22</f>
        <v>90469.839999999851</v>
      </c>
      <c r="G20" s="34">
        <f ca="1">(E20-E22)/E22</f>
        <v>6.3936172886996281E-2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256303.22499999998</v>
      </c>
      <c r="P20" s="78">
        <f t="shared" si="4"/>
        <v>0.17623881936741922</v>
      </c>
      <c r="Q20" s="79" t="s">
        <v>101</v>
      </c>
    </row>
    <row r="21" spans="1:17" ht="15.75" customHeight="1" x14ac:dyDescent="0.3">
      <c r="A21" s="540" t="s">
        <v>102</v>
      </c>
      <c r="B21" s="541"/>
      <c r="C21" s="542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0.24726386500000008</v>
      </c>
      <c r="L21" s="11"/>
      <c r="N21" s="27" t="s">
        <v>104</v>
      </c>
      <c r="O21" s="51">
        <f>($B$10+$B$11)*0.25</f>
        <v>25442.154999999999</v>
      </c>
      <c r="P21" s="82">
        <f t="shared" si="4"/>
        <v>1.7494494497144474E-2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-'TSP-401K'!H82</f>
        <v>416706.47999999992</v>
      </c>
      <c r="C22" s="15">
        <v>46144</v>
      </c>
      <c r="E22" s="56">
        <v>1415002.43</v>
      </c>
      <c r="F22" s="45">
        <f ca="1">((F20/(C2-E21))*365)+E22</f>
        <v>1665165.2451515147</v>
      </c>
      <c r="G22" s="34">
        <f ca="1">(F22-E22)/E22</f>
        <v>0.17679320533146697</v>
      </c>
      <c r="I22" s="7"/>
      <c r="J22" s="81">
        <v>3000000</v>
      </c>
      <c r="K22" s="50">
        <f ca="1">1-($E$20/J22)</f>
        <v>0.49817591000000006</v>
      </c>
      <c r="L22" s="11"/>
      <c r="N22" s="5" t="s">
        <v>108</v>
      </c>
      <c r="O22" s="72">
        <f>($B$22+$B$23)*0.3</f>
        <v>165153.57299999997</v>
      </c>
      <c r="P22" s="73">
        <f t="shared" si="4"/>
        <v>0.11356263940818881</v>
      </c>
      <c r="Q22" s="74" t="s">
        <v>97</v>
      </c>
    </row>
    <row r="23" spans="1:17" ht="15.75" customHeight="1" x14ac:dyDescent="0.3">
      <c r="A23" s="31" t="s">
        <v>109</v>
      </c>
      <c r="B23" s="14">
        <f>-'TSP-401K'!L82</f>
        <v>133805.42999999996</v>
      </c>
      <c r="C23" s="15">
        <f>C22</f>
        <v>46144</v>
      </c>
      <c r="E23" s="7"/>
      <c r="G23" s="65"/>
      <c r="I23" s="7"/>
      <c r="J23" s="81">
        <v>4000000</v>
      </c>
      <c r="K23" s="50">
        <f ca="1">1-($E$20/J23)</f>
        <v>0.62363193250000004</v>
      </c>
      <c r="L23" s="11"/>
      <c r="N23" s="13" t="s">
        <v>111</v>
      </c>
      <c r="O23" s="14">
        <f>($B$24+$B$25)*0.3</f>
        <v>153781.93499999997</v>
      </c>
      <c r="P23" s="78">
        <f t="shared" si="4"/>
        <v>0.10574329162045153</v>
      </c>
      <c r="Q23" s="79" t="s">
        <v>101</v>
      </c>
    </row>
    <row r="24" spans="1:17" ht="15.75" customHeight="1" x14ac:dyDescent="0.3">
      <c r="A24" s="31" t="s">
        <v>112</v>
      </c>
      <c r="B24" s="14">
        <f>-'TSP-401K'!Q82</f>
        <v>392470.39999999991</v>
      </c>
      <c r="C24" s="15">
        <f>C22</f>
        <v>46144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0.69890554599999999</v>
      </c>
      <c r="L24" s="11"/>
      <c r="N24" s="13" t="s">
        <v>113</v>
      </c>
      <c r="O24" s="14">
        <f t="shared" ref="O24:O25" si="5">($B$10+$B$11)*0.25</f>
        <v>25442.154999999999</v>
      </c>
      <c r="P24" s="78">
        <f t="shared" si="4"/>
        <v>1.7494494497144474E-2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-'TSP-401K'!V82</f>
        <v>120136.05000000005</v>
      </c>
      <c r="C25" s="15">
        <f>C22</f>
        <v>46144</v>
      </c>
      <c r="E25" s="75" t="s">
        <v>34</v>
      </c>
      <c r="F25" s="76">
        <f ca="1">B7</f>
        <v>28595.849999999984</v>
      </c>
      <c r="G25" s="77">
        <f ca="1">F25/SUM($F$25:$F$31)</f>
        <v>1.8645283551808212E-2</v>
      </c>
      <c r="I25" s="7"/>
      <c r="J25" s="84"/>
      <c r="K25" s="25"/>
      <c r="L25" s="11"/>
      <c r="N25" s="27" t="s">
        <v>116</v>
      </c>
      <c r="O25" s="51">
        <f t="shared" si="5"/>
        <v>25442.154999999999</v>
      </c>
      <c r="P25" s="82">
        <f t="shared" si="4"/>
        <v>1.7494494497144474E-2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1063118.3599999999</v>
      </c>
      <c r="C26" s="34">
        <f ca="1">B26/F3</f>
        <v>0.70616934046882185</v>
      </c>
      <c r="E26" s="80" t="s">
        <v>103</v>
      </c>
      <c r="F26" s="30">
        <f>(B11)</f>
        <v>12181.44</v>
      </c>
      <c r="G26" s="20">
        <f ca="1">F26/SUM($F$25:$F$31)</f>
        <v>7.942635133046886E-3</v>
      </c>
      <c r="I26" s="7"/>
      <c r="J26" s="49"/>
      <c r="K26" s="25"/>
      <c r="L26" s="11"/>
      <c r="N26" s="5" t="s">
        <v>119</v>
      </c>
      <c r="O26" s="72">
        <f>($B$22+$B$23)*0.2</f>
        <v>110102.38199999998</v>
      </c>
      <c r="P26" s="73">
        <f t="shared" si="4"/>
        <v>7.5708426272125873E-2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89587.18</v>
      </c>
      <c r="G27" s="20">
        <f ca="1">F27/SUM($F$25:$F$31)</f>
        <v>5.8413314299343523E-2</v>
      </c>
      <c r="I27" s="7"/>
      <c r="J27" s="49"/>
      <c r="K27" s="25"/>
      <c r="L27" s="11"/>
      <c r="N27" s="13" t="s">
        <v>120</v>
      </c>
      <c r="O27" s="14">
        <f>($B$24+$B$25)*0.2</f>
        <v>102521.29</v>
      </c>
      <c r="P27" s="78">
        <f t="shared" si="4"/>
        <v>7.0495527746967698E-2</v>
      </c>
      <c r="Q27" s="79" t="s">
        <v>101</v>
      </c>
    </row>
    <row r="28" spans="1:17" ht="15.75" customHeight="1" x14ac:dyDescent="0.3">
      <c r="A28" s="540" t="s">
        <v>115</v>
      </c>
      <c r="B28" s="541"/>
      <c r="C28" s="542"/>
      <c r="E28" s="80" t="s">
        <v>110</v>
      </c>
      <c r="F28" s="30">
        <f>B12</f>
        <v>18925</v>
      </c>
      <c r="G28" s="20">
        <f ca="1">F28/SUM($F$25:$F$31)</f>
        <v>1.2339622400382246E-2</v>
      </c>
      <c r="I28" s="7"/>
      <c r="J28" s="49"/>
      <c r="K28" s="25"/>
      <c r="L28" s="11"/>
      <c r="N28" s="13" t="s">
        <v>121</v>
      </c>
      <c r="O28" s="14">
        <f t="shared" ref="O28:O29" si="6">($B$10+$B$11)*0.1</f>
        <v>10176.862000000001</v>
      </c>
      <c r="P28" s="78">
        <f t="shared" si="4"/>
        <v>6.9977977988577907E-3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46144</v>
      </c>
      <c r="E29" s="80" t="s">
        <v>102</v>
      </c>
      <c r="F29" s="30">
        <f>B26</f>
        <v>1063118.3599999999</v>
      </c>
      <c r="G29" s="20">
        <f ca="1">F29/SUM($F$25:$F$31)</f>
        <v>0.6931825167404827</v>
      </c>
      <c r="H29" s="86"/>
      <c r="I29" s="7"/>
      <c r="J29" s="49"/>
      <c r="K29" s="25"/>
      <c r="L29" s="11"/>
      <c r="N29" s="27" t="s">
        <v>123</v>
      </c>
      <c r="O29" s="51">
        <f t="shared" si="6"/>
        <v>10176.862000000001</v>
      </c>
      <c r="P29" s="82">
        <f t="shared" si="4"/>
        <v>6.9977977988577907E-3</v>
      </c>
      <c r="Q29" s="83" t="s">
        <v>105</v>
      </c>
    </row>
    <row r="30" spans="1:17" ht="15.75" customHeight="1" x14ac:dyDescent="0.3">
      <c r="A30" s="31" t="s">
        <v>124</v>
      </c>
      <c r="B30" s="14">
        <v>92000</v>
      </c>
      <c r="C30" s="15">
        <v>46144</v>
      </c>
      <c r="E30" s="80" t="s">
        <v>115</v>
      </c>
      <c r="F30" s="30">
        <f>B31-F6</f>
        <v>270482.96999999997</v>
      </c>
      <c r="G30" s="20">
        <f ca="1">F30/SUM($F$25:$F$31)</f>
        <v>0.17636236277590059</v>
      </c>
      <c r="H30" s="86"/>
      <c r="I30" s="7"/>
      <c r="J30" s="49"/>
      <c r="K30" s="25"/>
      <c r="L30" s="11"/>
      <c r="N30" s="5" t="s">
        <v>115</v>
      </c>
      <c r="O30" s="72">
        <f>B31-F6</f>
        <v>270482.96999999997</v>
      </c>
      <c r="P30" s="73">
        <f t="shared" si="4"/>
        <v>0.18598907326192668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407000</v>
      </c>
      <c r="C31" s="34">
        <f ca="1">(B31-F6)/F3</f>
        <v>0.17966652417981768</v>
      </c>
      <c r="E31" s="85" t="s">
        <v>118</v>
      </c>
      <c r="F31" s="44">
        <f>B38-F8-F7</f>
        <v>50786.600000000006</v>
      </c>
      <c r="G31" s="34">
        <f ca="1">F31/SUM($F$25:$F$31)</f>
        <v>3.3114265099035825E-2</v>
      </c>
      <c r="I31" s="7"/>
      <c r="J31" s="49"/>
      <c r="K31" s="25"/>
      <c r="L31" s="11"/>
      <c r="N31" s="27" t="s">
        <v>127</v>
      </c>
      <c r="O31" s="51">
        <f>($B$10+$B$11)*0.05</f>
        <v>5088.4310000000005</v>
      </c>
      <c r="P31" s="82">
        <f t="shared" si="4"/>
        <v>3.4988988994288954E-3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18925</v>
      </c>
      <c r="P32" s="88">
        <f t="shared" si="4"/>
        <v>1.3013178654027508E-2</v>
      </c>
      <c r="Q32" s="89" t="s">
        <v>59</v>
      </c>
    </row>
    <row r="33" spans="1:16" ht="15.75" customHeight="1" x14ac:dyDescent="0.3">
      <c r="A33" s="540" t="s">
        <v>118</v>
      </c>
      <c r="B33" s="541"/>
      <c r="C33" s="542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17500</v>
      </c>
      <c r="C34" s="15">
        <v>46144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18000</v>
      </c>
      <c r="C35" s="15">
        <v>46144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557001.33499999996</v>
      </c>
      <c r="P35" s="59">
        <f t="shared" ref="P35:P39" si="7">O35/$O$18</f>
        <v>0.38300437954487843</v>
      </c>
    </row>
    <row r="36" spans="1:16" ht="15.75" customHeight="1" x14ac:dyDescent="0.3">
      <c r="A36" s="13" t="s">
        <v>131</v>
      </c>
      <c r="B36" s="14">
        <v>5500</v>
      </c>
      <c r="C36" s="15">
        <v>46144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369819.81799999997</v>
      </c>
      <c r="P36" s="20">
        <f t="shared" si="7"/>
        <v>0.2542949200229293</v>
      </c>
    </row>
    <row r="37" spans="1:16" ht="15.75" customHeight="1" x14ac:dyDescent="0.3">
      <c r="A37" s="13" t="s">
        <v>133</v>
      </c>
      <c r="B37" s="14">
        <v>30000</v>
      </c>
      <c r="C37" s="15">
        <v>46144</v>
      </c>
      <c r="D37" s="86"/>
      <c r="I37" s="7"/>
      <c r="N37" s="13" t="s">
        <v>134</v>
      </c>
      <c r="O37" s="14">
        <f>SUM(O26:O29)</f>
        <v>232977.39599999995</v>
      </c>
      <c r="P37" s="20">
        <f t="shared" si="7"/>
        <v>0.16019954961680913</v>
      </c>
    </row>
    <row r="38" spans="1:16" ht="15.75" customHeight="1" x14ac:dyDescent="0.3">
      <c r="A38" s="21" t="s">
        <v>135</v>
      </c>
      <c r="B38" s="33">
        <f>SUM(B34:B37)</f>
        <v>71000</v>
      </c>
      <c r="C38" s="34">
        <f ca="1">(B38-F8-F7)/F3</f>
        <v>3.373466320970496E-2</v>
      </c>
      <c r="D38" s="86"/>
      <c r="E38" s="39"/>
      <c r="F38" s="11"/>
      <c r="G38" s="39"/>
      <c r="I38" s="7"/>
      <c r="N38" s="13" t="s">
        <v>115</v>
      </c>
      <c r="O38" s="14">
        <f>O30+O31</f>
        <v>275571.40099999995</v>
      </c>
      <c r="P38" s="20">
        <f t="shared" si="7"/>
        <v>0.18948797216135554</v>
      </c>
    </row>
    <row r="39" spans="1:16" ht="15" customHeight="1" x14ac:dyDescent="0.3">
      <c r="E39" s="25"/>
      <c r="F39" s="25"/>
      <c r="G39" s="25"/>
      <c r="N39" s="27" t="s">
        <v>46</v>
      </c>
      <c r="O39" s="51">
        <f>O32</f>
        <v>18925</v>
      </c>
      <c r="P39" s="91">
        <f t="shared" si="7"/>
        <v>1.3013178654027508E-2</v>
      </c>
    </row>
    <row r="40" spans="1:16" ht="15" customHeight="1" x14ac:dyDescent="0.3">
      <c r="A40" s="92" t="s">
        <v>136</v>
      </c>
      <c r="E40" s="25"/>
      <c r="F40" s="25"/>
      <c r="G40" s="25"/>
      <c r="N40" s="93" t="s">
        <v>137</v>
      </c>
      <c r="O40" s="94">
        <f t="shared" ref="O40:P40" si="8">SUM(O35:O39)</f>
        <v>1454294.9499999997</v>
      </c>
      <c r="P40" s="95">
        <f t="shared" si="8"/>
        <v>1</v>
      </c>
    </row>
    <row r="41" spans="1:16" ht="15" customHeight="1" x14ac:dyDescent="0.3">
      <c r="A41" s="92" t="s">
        <v>138</v>
      </c>
      <c r="E41" s="25"/>
      <c r="F41" s="25"/>
      <c r="G41" s="25"/>
      <c r="P41" s="11"/>
    </row>
    <row r="42" spans="1:16" ht="15" customHeight="1" x14ac:dyDescent="0.3">
      <c r="A42" s="92" t="s">
        <v>139</v>
      </c>
      <c r="E42" s="7"/>
      <c r="G42" s="7"/>
      <c r="P42" s="11"/>
    </row>
    <row r="43" spans="1:16" ht="15.75" customHeight="1" x14ac:dyDescent="0.3">
      <c r="E43" s="7"/>
      <c r="G43" s="7"/>
      <c r="P43" s="11"/>
    </row>
    <row r="44" spans="1:16" ht="15.75" customHeight="1" x14ac:dyDescent="0.3"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display="GM Financial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workbookViewId="0">
      <selection activeCell="D20" sqref="D20"/>
    </sheetView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47" t="s">
        <v>36</v>
      </c>
      <c r="C1" s="546"/>
      <c r="D1" s="548" t="s">
        <v>140</v>
      </c>
      <c r="E1" s="542"/>
      <c r="G1" s="96"/>
      <c r="H1" s="545" t="s">
        <v>36</v>
      </c>
      <c r="I1" s="546"/>
      <c r="J1" s="544" t="s">
        <v>140</v>
      </c>
      <c r="K1" s="542"/>
      <c r="M1" s="96"/>
      <c r="N1" s="545" t="s">
        <v>36</v>
      </c>
      <c r="O1" s="546"/>
      <c r="P1" s="544" t="s">
        <v>140</v>
      </c>
      <c r="Q1" s="542"/>
      <c r="S1" s="96"/>
      <c r="T1" s="545" t="s">
        <v>36</v>
      </c>
      <c r="U1" s="546"/>
      <c r="V1" s="544" t="s">
        <v>140</v>
      </c>
      <c r="W1" s="542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68101.94</v>
      </c>
      <c r="E2" s="20"/>
      <c r="G2" s="98" t="s">
        <v>142</v>
      </c>
      <c r="H2" s="99">
        <f>SUM(H4:H24)</f>
        <v>92820</v>
      </c>
      <c r="I2" s="100">
        <f>H2/B2</f>
        <v>0.4532089314948447</v>
      </c>
      <c r="J2" s="101">
        <f>SUM(J4:J24)</f>
        <v>36609.089999999989</v>
      </c>
      <c r="K2" s="102">
        <f>J2/D2</f>
        <v>0.5375631002582304</v>
      </c>
      <c r="M2" s="98" t="s">
        <v>143</v>
      </c>
      <c r="N2" s="99">
        <f>SUM(N4:N20)</f>
        <v>63180</v>
      </c>
      <c r="O2" s="100">
        <f>N2/B2</f>
        <v>0.30848675168976825</v>
      </c>
      <c r="P2" s="101">
        <f>SUM(P4:P20)</f>
        <v>24570.42</v>
      </c>
      <c r="Q2" s="102">
        <f>P2/D2</f>
        <v>0.36078884096400188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11434.009999999995</v>
      </c>
      <c r="W2" s="102">
        <f>V2/D2</f>
        <v>0.16789551075931161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35488.33</v>
      </c>
      <c r="E4" s="20">
        <f t="shared" ref="E4:E7" si="1">D4/$D$2</f>
        <v>0.52110600667176299</v>
      </c>
      <c r="G4" s="96" t="str">
        <f>'Proposed Budget'!C14</f>
        <v>Rocket Mortgage</v>
      </c>
      <c r="H4" s="111">
        <f>'Proposed Budget'!F14</f>
        <v>15420</v>
      </c>
      <c r="I4" s="112">
        <f t="shared" ref="I4:I24" si="2">H4/$B$2</f>
        <v>7.5290688684017504E-2</v>
      </c>
      <c r="J4" s="113">
        <f>'Monthly Breakdown'!E14</f>
        <v>6357.7999999999993</v>
      </c>
      <c r="K4" s="114">
        <f t="shared" ref="K4:K24" si="3">J4/$D$2</f>
        <v>9.3357105539137342E-2</v>
      </c>
      <c r="M4" s="96" t="str">
        <f>'Proposed Budget'!C6</f>
        <v>Dining Out</v>
      </c>
      <c r="N4" s="111">
        <f>'Proposed Budget'!F6</f>
        <v>14400</v>
      </c>
      <c r="O4" s="112">
        <f t="shared" ref="O4:O19" si="4">N4/$B$2</f>
        <v>7.0310370755502727E-2</v>
      </c>
      <c r="P4" s="113">
        <f>'Monthly Breakdown'!E6</f>
        <v>4748.8899999999994</v>
      </c>
      <c r="Q4" s="114">
        <f t="shared" ref="Q4:Q19" si="5">P4/$D$2</f>
        <v>6.973208105378495E-2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6">T4/$B$2</f>
        <v>0.23537471803390783</v>
      </c>
      <c r="V4" s="104">
        <f>'Monthly Breakdown'!E46</f>
        <v>16885.949999999997</v>
      </c>
      <c r="W4" s="102">
        <f t="shared" ref="W4:W7" si="7">V4/$D$2</f>
        <v>0.24795108626861431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25454.5</v>
      </c>
      <c r="E5" s="20">
        <f t="shared" si="1"/>
        <v>0.37377055631601686</v>
      </c>
      <c r="G5" s="98" t="str">
        <f>'Proposed Budget'!C5</f>
        <v>Groceries/Household</v>
      </c>
      <c r="H5" s="99">
        <f>'Proposed Budget'!F5</f>
        <v>14400</v>
      </c>
      <c r="I5" s="100">
        <f t="shared" si="2"/>
        <v>7.0310370755502727E-2</v>
      </c>
      <c r="J5" s="101">
        <f>'Monthly Breakdown'!E5</f>
        <v>5220.51</v>
      </c>
      <c r="K5" s="102">
        <f t="shared" si="3"/>
        <v>7.6657287589751488E-2</v>
      </c>
      <c r="M5" s="98" t="str">
        <f>'Proposed Budget'!C9</f>
        <v>Family Entertainment</v>
      </c>
      <c r="N5" s="99">
        <f>'Proposed Budget'!F9</f>
        <v>8400</v>
      </c>
      <c r="O5" s="100">
        <f t="shared" si="4"/>
        <v>4.1014382940709929E-2</v>
      </c>
      <c r="P5" s="101">
        <f>'Monthly Breakdown'!E9</f>
        <v>3782.82</v>
      </c>
      <c r="Q5" s="102">
        <f t="shared" si="5"/>
        <v>5.5546435241051871E-2</v>
      </c>
      <c r="S5" s="98" t="str">
        <f>'Proposed Budget'!C45</f>
        <v>Kids Savings</v>
      </c>
      <c r="T5" s="103">
        <f>'Proposed Budget'!F45</f>
        <v>600</v>
      </c>
      <c r="U5" s="100">
        <f t="shared" si="6"/>
        <v>2.9295987814792804E-3</v>
      </c>
      <c r="V5" s="104">
        <f>'Monthly Breakdown'!E45</f>
        <v>250</v>
      </c>
      <c r="W5" s="102">
        <f t="shared" si="7"/>
        <v>3.6709673762597658E-3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4209.1100000000006</v>
      </c>
      <c r="E6" s="20">
        <f t="shared" si="1"/>
        <v>6.1806021972354977E-2</v>
      </c>
      <c r="G6" s="98" t="str">
        <f>'Proposed Budget'!C28</f>
        <v>GM Financial/Toyota</v>
      </c>
      <c r="H6" s="99">
        <f>'Proposed Budget'!F28</f>
        <v>14400</v>
      </c>
      <c r="I6" s="100">
        <f t="shared" si="2"/>
        <v>7.0310370755502727E-2</v>
      </c>
      <c r="J6" s="101">
        <f>'Monthly Breakdown'!E28</f>
        <v>4721.3600000000006</v>
      </c>
      <c r="K6" s="102">
        <f t="shared" si="3"/>
        <v>6.9327834126311244E-2</v>
      </c>
      <c r="M6" s="98" t="str">
        <f>'Proposed Budget'!C12</f>
        <v>Alcohol/Bars</v>
      </c>
      <c r="N6" s="99">
        <f>'Proposed Budget'!F12</f>
        <v>8400</v>
      </c>
      <c r="O6" s="100">
        <f t="shared" si="4"/>
        <v>4.1014382940709929E-2</v>
      </c>
      <c r="P6" s="101">
        <f>'Monthly Breakdown'!E12</f>
        <v>3116.29</v>
      </c>
      <c r="Q6" s="102">
        <f t="shared" si="5"/>
        <v>4.5759195699858181E-2</v>
      </c>
      <c r="S6" s="98" t="s">
        <v>148</v>
      </c>
      <c r="T6" s="103"/>
      <c r="U6" s="100"/>
      <c r="V6" s="104">
        <f>'Budget Breakdown'!T16</f>
        <v>0</v>
      </c>
      <c r="W6" s="102">
        <f t="shared" si="7"/>
        <v>0</v>
      </c>
    </row>
    <row r="7" spans="1:23" ht="14.4" x14ac:dyDescent="0.3">
      <c r="A7" s="21" t="s">
        <v>149</v>
      </c>
      <c r="B7" s="33">
        <f>'Proposed Budget'!J22</f>
        <v>9600</v>
      </c>
      <c r="C7" s="115">
        <f t="shared" si="0"/>
        <v>4.6873580503668487E-2</v>
      </c>
      <c r="D7" s="44">
        <f>'Monthly Breakdown'!E52</f>
        <v>2950</v>
      </c>
      <c r="E7" s="34">
        <f t="shared" si="1"/>
        <v>4.3317415039865234E-2</v>
      </c>
      <c r="G7" s="98" t="str">
        <f>'Proposed Budget'!C10</f>
        <v>Miscellaneous Spending</v>
      </c>
      <c r="H7" s="99">
        <f>'Proposed Budget'!F10</f>
        <v>10800</v>
      </c>
      <c r="I7" s="100">
        <f t="shared" si="2"/>
        <v>5.2732778066627045E-2</v>
      </c>
      <c r="J7" s="101">
        <f>'Monthly Breakdown'!E10</f>
        <v>3323.6100000000006</v>
      </c>
      <c r="K7" s="102">
        <f t="shared" si="3"/>
        <v>4.8803455525642886E-2</v>
      </c>
      <c r="M7" s="98" t="str">
        <f>'Proposed Budget'!C38</f>
        <v>Camping/Vacation</v>
      </c>
      <c r="N7" s="99">
        <f>'Proposed Budget'!F38</f>
        <v>4800</v>
      </c>
      <c r="O7" s="100">
        <f t="shared" si="4"/>
        <v>2.3436790251834243E-2</v>
      </c>
      <c r="P7" s="101">
        <f>'Savings Transaction Log'!R5</f>
        <v>3824.78</v>
      </c>
      <c r="Q7" s="102">
        <f t="shared" si="5"/>
        <v>5.6162570405483309E-2</v>
      </c>
      <c r="S7" s="116" t="s">
        <v>150</v>
      </c>
      <c r="T7" s="117"/>
      <c r="U7" s="118"/>
      <c r="V7" s="119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-5701.9400000000014</v>
      </c>
      <c r="W7" s="120">
        <f t="shared" si="7"/>
        <v>-8.3726542885562458E-2</v>
      </c>
    </row>
    <row r="8" spans="1:23" ht="14.4" x14ac:dyDescent="0.3">
      <c r="B8" s="7"/>
      <c r="C8" s="121"/>
      <c r="D8" s="39"/>
      <c r="E8" s="50"/>
      <c r="G8" s="98" t="str">
        <f>'Proposed Budget'!C8</f>
        <v>Gasoline</v>
      </c>
      <c r="H8" s="99">
        <f>'Proposed Budget'!F8</f>
        <v>7200</v>
      </c>
      <c r="I8" s="100">
        <f t="shared" si="2"/>
        <v>3.5155185377751363E-2</v>
      </c>
      <c r="J8" s="101">
        <f>'Monthly Breakdown'!E8</f>
        <v>2723.3599999999997</v>
      </c>
      <c r="K8" s="102">
        <f t="shared" si="3"/>
        <v>3.9989462855243178E-2</v>
      </c>
      <c r="M8" s="98" t="str">
        <f>'Proposed Budget'!C11</f>
        <v>Department Stores/Clothes</v>
      </c>
      <c r="N8" s="99">
        <f>'Proposed Budget'!F11</f>
        <v>4200</v>
      </c>
      <c r="O8" s="100">
        <f t="shared" si="4"/>
        <v>2.0507191470354964E-2</v>
      </c>
      <c r="P8" s="101">
        <f>'Monthly Breakdown'!E11</f>
        <v>2024.2800000000002</v>
      </c>
      <c r="Q8" s="102">
        <f t="shared" si="5"/>
        <v>2.9724263361660477E-2</v>
      </c>
      <c r="T8" s="7"/>
      <c r="U8" s="11"/>
      <c r="V8" s="7"/>
      <c r="W8" s="50"/>
    </row>
    <row r="9" spans="1:23" ht="14.4" x14ac:dyDescent="0.3">
      <c r="D9" s="39"/>
      <c r="E9" s="50"/>
      <c r="G9" s="98" t="str">
        <f>'Proposed Budget'!C23</f>
        <v>Lowes Rewards</v>
      </c>
      <c r="H9" s="99">
        <f>'Proposed Budget'!F23</f>
        <v>4800</v>
      </c>
      <c r="I9" s="100">
        <f t="shared" si="2"/>
        <v>2.3436790251834243E-2</v>
      </c>
      <c r="J9" s="101">
        <f>'Monthly Breakdown'!E23</f>
        <v>2000</v>
      </c>
      <c r="K9" s="102">
        <f t="shared" si="3"/>
        <v>2.9367739010078126E-2</v>
      </c>
      <c r="M9" s="98" t="str">
        <f>'Proposed Budget'!C16</f>
        <v>Verizon Wireless</v>
      </c>
      <c r="N9" s="99">
        <f>'Proposed Budget'!F16</f>
        <v>3240</v>
      </c>
      <c r="O9" s="100">
        <f t="shared" si="4"/>
        <v>1.5819833419988116E-2</v>
      </c>
      <c r="P9" s="101">
        <f>'Monthly Breakdown'!E16</f>
        <v>1284.69</v>
      </c>
      <c r="Q9" s="102">
        <f t="shared" si="5"/>
        <v>1.8864220314428633E-2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98" t="str">
        <f>'Proposed Budget'!C39</f>
        <v>Home Maintenance</v>
      </c>
      <c r="H10" s="99">
        <f>'Proposed Budget'!F39</f>
        <v>4500</v>
      </c>
      <c r="I10" s="100">
        <f t="shared" si="2"/>
        <v>2.1971990861094602E-2</v>
      </c>
      <c r="J10" s="101">
        <f>'Savings Transaction Log'!T5</f>
        <v>7667.9100000000008</v>
      </c>
      <c r="K10" s="102">
        <f t="shared" si="3"/>
        <v>0.11259458981638409</v>
      </c>
      <c r="M10" s="98" t="str">
        <f>'Proposed Budget'!C17</f>
        <v>Spectrum TV/Internet</v>
      </c>
      <c r="N10" s="99">
        <f>'Proposed Budget'!F17</f>
        <v>2460</v>
      </c>
      <c r="O10" s="100">
        <f t="shared" si="4"/>
        <v>1.201135500406505E-2</v>
      </c>
      <c r="P10" s="101">
        <f>'Monthly Breakdown'!E17</f>
        <v>828.51</v>
      </c>
      <c r="Q10" s="102">
        <f t="shared" si="5"/>
        <v>1.2165732723619914E-2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98" t="str">
        <f>'Proposed Budget'!C33</f>
        <v>Vehicle Maintenance</v>
      </c>
      <c r="H11" s="99">
        <f>'Proposed Budget'!F33</f>
        <v>4200</v>
      </c>
      <c r="I11" s="100">
        <f t="shared" si="2"/>
        <v>2.0507191470354964E-2</v>
      </c>
      <c r="J11" s="101">
        <f>'Savings Transaction Log'!H5</f>
        <v>307.64999999999998</v>
      </c>
      <c r="K11" s="102">
        <f t="shared" si="3"/>
        <v>4.5174924532252678E-3</v>
      </c>
      <c r="M11" s="98" t="str">
        <f>'Proposed Budget'!C24</f>
        <v>Wells Fargo - Pool</v>
      </c>
      <c r="N11" s="99">
        <f>'Proposed Budget'!F24</f>
        <v>2400</v>
      </c>
      <c r="O11" s="100">
        <f t="shared" si="4"/>
        <v>1.1718395125917122E-2</v>
      </c>
      <c r="P11" s="101">
        <f>'Monthly Breakdown'!E24</f>
        <v>1000</v>
      </c>
      <c r="Q11" s="102">
        <f t="shared" si="5"/>
        <v>1.4683869505039063E-2</v>
      </c>
      <c r="T11" s="7"/>
      <c r="U11" s="11"/>
      <c r="V11" s="7"/>
      <c r="W11" s="50"/>
    </row>
    <row r="12" spans="1:23" ht="14.4" x14ac:dyDescent="0.3">
      <c r="D12" s="39"/>
      <c r="E12" s="50"/>
      <c r="G12" s="98" t="str">
        <f>'Proposed Budget'!C34</f>
        <v>Car Insurance</v>
      </c>
      <c r="H12" s="99">
        <f>'Proposed Budget'!F34</f>
        <v>3840</v>
      </c>
      <c r="I12" s="100">
        <f t="shared" si="2"/>
        <v>1.8749432201467395E-2</v>
      </c>
      <c r="J12" s="101">
        <f>'Savings Transaction Log'!J5</f>
        <v>0</v>
      </c>
      <c r="K12" s="102">
        <f t="shared" si="3"/>
        <v>0</v>
      </c>
      <c r="M12" s="98" t="str">
        <f>'Proposed Budget'!C7</f>
        <v>Misc Food</v>
      </c>
      <c r="N12" s="99">
        <f>'Proposed Budget'!F7</f>
        <v>1800</v>
      </c>
      <c r="O12" s="100">
        <f t="shared" si="4"/>
        <v>8.7887963444378409E-3</v>
      </c>
      <c r="P12" s="101">
        <f>'Monthly Breakdown'!E7</f>
        <v>588.16999999999996</v>
      </c>
      <c r="Q12" s="102">
        <f t="shared" si="5"/>
        <v>8.6366115267788243E-3</v>
      </c>
      <c r="T12" s="7"/>
      <c r="U12" s="11"/>
      <c r="V12" s="7"/>
      <c r="W12" s="50"/>
    </row>
    <row r="13" spans="1:23" ht="14.4" x14ac:dyDescent="0.3">
      <c r="A13" s="122"/>
      <c r="D13" s="39"/>
      <c r="E13" s="50"/>
      <c r="G13" s="98" t="str">
        <f>'Proposed Budget'!C18</f>
        <v>First Energy</v>
      </c>
      <c r="H13" s="99">
        <f>'Proposed Budget'!F18</f>
        <v>2160</v>
      </c>
      <c r="I13" s="100">
        <f t="shared" si="2"/>
        <v>1.0546555613325409E-2</v>
      </c>
      <c r="J13" s="101">
        <f>'Monthly Breakdown'!E18</f>
        <v>688.86000000000013</v>
      </c>
      <c r="K13" s="102">
        <f t="shared" si="3"/>
        <v>1.0115130347241211E-2</v>
      </c>
      <c r="M13" s="98" t="str">
        <f>'Proposed Budget'!C19</f>
        <v>Vivint Home Security</v>
      </c>
      <c r="N13" s="99">
        <f>'Proposed Budget'!F19</f>
        <v>1680</v>
      </c>
      <c r="O13" s="100">
        <f t="shared" si="4"/>
        <v>8.2028765881419843E-3</v>
      </c>
      <c r="P13" s="101">
        <f>'Monthly Breakdown'!E19</f>
        <v>680.06999999999994</v>
      </c>
      <c r="Q13" s="102">
        <f t="shared" si="5"/>
        <v>9.9860591342919146E-3</v>
      </c>
      <c r="T13" s="7"/>
      <c r="U13" s="11"/>
      <c r="V13" s="7"/>
      <c r="W13" s="50"/>
    </row>
    <row r="14" spans="1:23" ht="14.4" x14ac:dyDescent="0.3">
      <c r="D14" s="39"/>
      <c r="E14" s="50"/>
      <c r="G14" s="98" t="str">
        <f>'Proposed Budget'!C29</f>
        <v>Ohio Turnpike</v>
      </c>
      <c r="H14" s="99">
        <f>'Proposed Budget'!F29</f>
        <v>1440</v>
      </c>
      <c r="I14" s="100">
        <f t="shared" si="2"/>
        <v>7.031037075550273E-3</v>
      </c>
      <c r="J14" s="101">
        <f>'Monthly Breakdown'!E29</f>
        <v>443.73999999999995</v>
      </c>
      <c r="K14" s="102">
        <f t="shared" si="3"/>
        <v>6.5158202541660331E-3</v>
      </c>
      <c r="M14" s="98" t="str">
        <f>'Proposed Budget'!C27</f>
        <v>Streaming/Music</v>
      </c>
      <c r="N14" s="99">
        <f>'Proposed Budget'!F27</f>
        <v>1200</v>
      </c>
      <c r="O14" s="100">
        <f t="shared" si="4"/>
        <v>5.8591975629585609E-3</v>
      </c>
      <c r="P14" s="101">
        <f>'Monthly Breakdown'!E27</f>
        <v>496.02</v>
      </c>
      <c r="Q14" s="102">
        <f t="shared" si="5"/>
        <v>7.283492951889476E-3</v>
      </c>
      <c r="T14" s="7"/>
      <c r="U14" s="11"/>
      <c r="V14" s="7"/>
      <c r="W14" s="50"/>
    </row>
    <row r="15" spans="1:23" ht="14.4" x14ac:dyDescent="0.3">
      <c r="D15" s="39"/>
      <c r="E15" s="50"/>
      <c r="G15" s="98" t="str">
        <f>'Proposed Budget'!C20</f>
        <v>Columbia Gas</v>
      </c>
      <c r="H15" s="99">
        <f>'Proposed Budget'!F20</f>
        <v>1200</v>
      </c>
      <c r="I15" s="100">
        <f t="shared" si="2"/>
        <v>5.8591975629585609E-3</v>
      </c>
      <c r="J15" s="101">
        <f>'Monthly Breakdown'!E20</f>
        <v>626.88</v>
      </c>
      <c r="K15" s="102">
        <f t="shared" si="3"/>
        <v>9.2050241153188873E-3</v>
      </c>
      <c r="M15" s="98" t="str">
        <f>'Proposed Budget'!C26</f>
        <v>Massage Envy</v>
      </c>
      <c r="N15" s="99">
        <f>'Proposed Budget'!F26</f>
        <v>1020</v>
      </c>
      <c r="O15" s="100">
        <f t="shared" si="4"/>
        <v>4.9803179285147769E-3</v>
      </c>
      <c r="P15" s="101">
        <f>'Monthly Breakdown'!E26</f>
        <v>401.05999999999995</v>
      </c>
      <c r="Q15" s="102">
        <f t="shared" si="5"/>
        <v>5.8891127036909659E-3</v>
      </c>
      <c r="T15" s="7"/>
      <c r="U15" s="11"/>
      <c r="V15" s="7"/>
      <c r="W15" s="50"/>
    </row>
    <row r="16" spans="1:23" ht="14.4" x14ac:dyDescent="0.3">
      <c r="D16" s="39"/>
      <c r="E16" s="50"/>
      <c r="G16" s="98" t="str">
        <f>'Proposed Budget'!C30</f>
        <v>Water Bill - Main</v>
      </c>
      <c r="H16" s="99">
        <f>'Proposed Budget'!F30</f>
        <v>900</v>
      </c>
      <c r="I16" s="100">
        <f t="shared" si="2"/>
        <v>4.3943981722189204E-3</v>
      </c>
      <c r="J16" s="101">
        <f>'Monthly Breakdown'!E30</f>
        <v>353.85</v>
      </c>
      <c r="K16" s="102">
        <f t="shared" si="3"/>
        <v>5.1958872243580726E-3</v>
      </c>
      <c r="M16" s="98" t="str">
        <f>'Proposed Budget'!C22</f>
        <v>Planet Fitness</v>
      </c>
      <c r="N16" s="99">
        <f>'Proposed Budget'!F22</f>
        <v>1740</v>
      </c>
      <c r="O16" s="100">
        <f t="shared" si="4"/>
        <v>8.4958364662899126E-3</v>
      </c>
      <c r="P16" s="101">
        <f>'Monthly Breakdown'!E22</f>
        <v>888.18000000000006</v>
      </c>
      <c r="Q16" s="102">
        <f t="shared" si="5"/>
        <v>1.3041919216985595E-2</v>
      </c>
      <c r="T16" s="7"/>
      <c r="U16" s="11"/>
      <c r="V16" s="7"/>
      <c r="W16" s="50"/>
    </row>
    <row r="17" spans="7:17" ht="14.4" x14ac:dyDescent="0.3">
      <c r="G17" s="98" t="str">
        <f>'Proposed Budget'!C37</f>
        <v>Sanitation - Main</v>
      </c>
      <c r="H17" s="99">
        <f>'Proposed Budget'!F37</f>
        <v>540</v>
      </c>
      <c r="I17" s="100">
        <f t="shared" si="2"/>
        <v>2.6366389033313522E-3</v>
      </c>
      <c r="J17" s="101">
        <f>'Savings Transaction Log'!P5</f>
        <v>185.64</v>
      </c>
      <c r="K17" s="102">
        <f t="shared" si="3"/>
        <v>2.7259135349154513E-3</v>
      </c>
      <c r="M17" s="98" t="str">
        <f>'Proposed Budget'!C15</f>
        <v>EH Roberts</v>
      </c>
      <c r="N17" s="99">
        <f>'Proposed Budget'!F15</f>
        <v>240</v>
      </c>
      <c r="O17" s="100">
        <f t="shared" si="4"/>
        <v>1.1718395125917122E-3</v>
      </c>
      <c r="P17" s="101">
        <f>'Monthly Breakdown'!E15</f>
        <v>71.599999999999994</v>
      </c>
      <c r="Q17" s="102">
        <f t="shared" si="5"/>
        <v>1.0513650565607969E-3</v>
      </c>
    </row>
    <row r="18" spans="7:17" ht="14.4" x14ac:dyDescent="0.3">
      <c r="G18" s="116" t="str">
        <f>'Proposed Budget'!C36</f>
        <v>Garbage</v>
      </c>
      <c r="H18" s="123">
        <f>'Proposed Budget'!F36</f>
        <v>300</v>
      </c>
      <c r="I18" s="118">
        <f t="shared" si="2"/>
        <v>1.4647993907396402E-3</v>
      </c>
      <c r="J18" s="124">
        <f>'Savings Transaction Log'!N5</f>
        <v>126.96000000000001</v>
      </c>
      <c r="K18" s="120">
        <f t="shared" si="3"/>
        <v>1.8642640723597595E-3</v>
      </c>
      <c r="M18" s="98" t="str">
        <f>'Proposed Budget'!C21</f>
        <v>Medical Bills</v>
      </c>
      <c r="N18" s="99">
        <f>'Proposed Budget'!F21</f>
        <v>0</v>
      </c>
      <c r="O18" s="100">
        <f t="shared" si="4"/>
        <v>0</v>
      </c>
      <c r="P18" s="101">
        <f>'Monthly Breakdown'!E21</f>
        <v>835.06</v>
      </c>
      <c r="Q18" s="102">
        <f t="shared" si="5"/>
        <v>1.2261912068877919E-2</v>
      </c>
    </row>
    <row r="19" spans="7:17" ht="14.4" x14ac:dyDescent="0.3">
      <c r="G19" s="125" t="str">
        <f>'Proposed Budget'!C42</f>
        <v>Rental Property Taxes</v>
      </c>
      <c r="H19" s="126">
        <f>'Proposed Budget'!F42</f>
        <v>2760</v>
      </c>
      <c r="I19" s="127">
        <f t="shared" si="2"/>
        <v>1.347615439480469E-2</v>
      </c>
      <c r="J19" s="128">
        <f>'Savings Transaction Log'!Z5</f>
        <v>1276.4000000000001</v>
      </c>
      <c r="K19" s="129">
        <f t="shared" si="3"/>
        <v>1.8742491036231861E-2</v>
      </c>
      <c r="M19" s="116" t="str">
        <f>'Proposed Budget'!C25</f>
        <v>Wells Fargo - Deck</v>
      </c>
      <c r="N19" s="123">
        <f>'Proposed Budget'!F25</f>
        <v>7200</v>
      </c>
      <c r="O19" s="118">
        <f t="shared" si="4"/>
        <v>3.5155185377751363E-2</v>
      </c>
      <c r="P19" s="124">
        <f>'Monthly Breakdown'!E25</f>
        <v>0</v>
      </c>
      <c r="Q19" s="120">
        <f t="shared" si="5"/>
        <v>0</v>
      </c>
    </row>
    <row r="20" spans="7:17" ht="14.4" x14ac:dyDescent="0.3">
      <c r="G20" s="98" t="str">
        <f>'Proposed Budget'!C40</f>
        <v>Rental Repairs</v>
      </c>
      <c r="H20" s="99">
        <f>'Proposed Budget'!F40</f>
        <v>1200</v>
      </c>
      <c r="I20" s="100">
        <f t="shared" si="2"/>
        <v>5.8591975629585609E-3</v>
      </c>
      <c r="J20" s="101">
        <f>'Savings Transaction Log'!V5</f>
        <v>0</v>
      </c>
      <c r="K20" s="102">
        <f t="shared" si="3"/>
        <v>0</v>
      </c>
      <c r="N20" s="11"/>
      <c r="O20" s="11"/>
      <c r="P20" s="11"/>
      <c r="Q20" s="11"/>
    </row>
    <row r="21" spans="7:17" ht="15.75" customHeight="1" x14ac:dyDescent="0.3">
      <c r="G21" s="98" t="str">
        <f>'Proposed Budget'!C41</f>
        <v>Rental Insurance</v>
      </c>
      <c r="H21" s="99">
        <f>'Proposed Budget'!F41</f>
        <v>1020</v>
      </c>
      <c r="I21" s="100">
        <f t="shared" si="2"/>
        <v>4.9803179285147769E-3</v>
      </c>
      <c r="J21" s="101">
        <f>'Savings Transaction Log'!X5</f>
        <v>0</v>
      </c>
      <c r="K21" s="102">
        <f t="shared" si="3"/>
        <v>0</v>
      </c>
      <c r="N21" s="39"/>
      <c r="O21" s="50"/>
      <c r="P21" s="39"/>
      <c r="Q21" s="50"/>
    </row>
    <row r="22" spans="7:17" ht="15.75" customHeight="1" x14ac:dyDescent="0.3">
      <c r="G22" s="98" t="str">
        <f>'Proposed Budget'!C31</f>
        <v>Water Bill - Rental</v>
      </c>
      <c r="H22" s="99">
        <f>'Proposed Budget'!F31</f>
        <v>900</v>
      </c>
      <c r="I22" s="100">
        <f t="shared" si="2"/>
        <v>4.3943981722189204E-3</v>
      </c>
      <c r="J22" s="101">
        <f>'Monthly Breakdown'!E31</f>
        <v>271.96000000000004</v>
      </c>
      <c r="K22" s="102">
        <f t="shared" si="3"/>
        <v>3.9934251505904239E-3</v>
      </c>
      <c r="N22" s="39"/>
      <c r="O22" s="50"/>
      <c r="P22" s="39"/>
      <c r="Q22" s="50"/>
    </row>
    <row r="23" spans="7:17" ht="15.75" customHeight="1" x14ac:dyDescent="0.3">
      <c r="G23" s="98" t="str">
        <f>'Proposed Budget'!C43</f>
        <v>Rental Sanitation</v>
      </c>
      <c r="H23" s="99">
        <f>'Proposed Budget'!F43</f>
        <v>540</v>
      </c>
      <c r="I23" s="100">
        <f t="shared" si="2"/>
        <v>2.6366389033313522E-3</v>
      </c>
      <c r="J23" s="101">
        <f>'Savings Transaction Log'!AB5</f>
        <v>185.64</v>
      </c>
      <c r="K23" s="102">
        <f t="shared" si="3"/>
        <v>2.7259135349154513E-3</v>
      </c>
      <c r="N23" s="39"/>
      <c r="O23" s="11"/>
      <c r="P23" s="39"/>
      <c r="Q23" s="50"/>
    </row>
    <row r="24" spans="7:17" ht="15.75" customHeight="1" x14ac:dyDescent="0.3">
      <c r="G24" s="116" t="str">
        <f>'Proposed Budget'!C35</f>
        <v>Rental Garbage</v>
      </c>
      <c r="H24" s="123">
        <f>'Proposed Budget'!F35</f>
        <v>300</v>
      </c>
      <c r="I24" s="118">
        <f t="shared" si="2"/>
        <v>1.4647993907396402E-3</v>
      </c>
      <c r="J24" s="124">
        <f>'Savings Transaction Log'!L5</f>
        <v>126.96000000000001</v>
      </c>
      <c r="K24" s="120">
        <f t="shared" si="3"/>
        <v>1.8642640723597595E-3</v>
      </c>
      <c r="N24" s="39"/>
      <c r="O24" s="11"/>
      <c r="P24" s="39"/>
      <c r="Q24" s="50"/>
    </row>
    <row r="25" spans="7:17" ht="15.75" customHeight="1" x14ac:dyDescent="0.3">
      <c r="N25" s="11"/>
      <c r="O25" s="11"/>
      <c r="P25" s="11"/>
      <c r="Q25" s="11"/>
    </row>
    <row r="26" spans="7:17" ht="15.75" customHeight="1" x14ac:dyDescent="0.3">
      <c r="N26" s="11"/>
      <c r="O26" s="11"/>
      <c r="P26" s="11"/>
      <c r="Q26" s="11"/>
    </row>
    <row r="27" spans="7:17" ht="15.75" customHeight="1" x14ac:dyDescent="0.3">
      <c r="N27" s="11"/>
      <c r="O27" s="11"/>
      <c r="P27" s="11"/>
      <c r="Q27" s="11"/>
    </row>
    <row r="28" spans="7:17" ht="15.75" customHeight="1" x14ac:dyDescent="0.3">
      <c r="N28" s="11"/>
      <c r="O28" s="11"/>
      <c r="P28" s="11"/>
      <c r="Q28" s="11"/>
    </row>
    <row r="29" spans="7:17" ht="15.75" customHeight="1" x14ac:dyDescent="0.3">
      <c r="N29" s="11"/>
      <c r="O29" s="11"/>
      <c r="P29" s="11"/>
      <c r="Q29" s="11"/>
    </row>
    <row r="30" spans="7:17" ht="15.75" customHeight="1" x14ac:dyDescent="0.3"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>
      <c r="N1000" s="11"/>
      <c r="O1000" s="11"/>
      <c r="P1000" s="11"/>
      <c r="Q1000" s="11"/>
    </row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F39" sqref="F39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49" t="s">
        <v>151</v>
      </c>
      <c r="B1" s="550"/>
      <c r="C1" s="550"/>
      <c r="D1" s="550"/>
      <c r="E1" s="550"/>
      <c r="F1" s="550"/>
      <c r="G1" s="550"/>
      <c r="H1" s="550"/>
      <c r="I1" s="550"/>
      <c r="J1" s="550"/>
      <c r="K1" s="550"/>
      <c r="L1" s="550"/>
      <c r="M1" s="550"/>
      <c r="N1" s="130"/>
      <c r="O1" s="131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</row>
    <row r="2" spans="1:26" ht="11.25" customHeight="1" x14ac:dyDescent="0.3">
      <c r="A2" s="133"/>
      <c r="B2" s="134"/>
      <c r="C2" s="130"/>
      <c r="D2" s="135" t="s">
        <v>152</v>
      </c>
      <c r="E2" s="136" t="s">
        <v>153</v>
      </c>
      <c r="F2" s="136" t="s">
        <v>154</v>
      </c>
      <c r="G2" s="137" t="s">
        <v>155</v>
      </c>
      <c r="H2" s="130"/>
      <c r="I2" s="138"/>
      <c r="J2" s="136" t="s">
        <v>154</v>
      </c>
      <c r="K2" s="136" t="s">
        <v>153</v>
      </c>
      <c r="L2" s="137" t="s">
        <v>152</v>
      </c>
      <c r="M2" s="133"/>
      <c r="N2" s="130"/>
      <c r="O2" s="131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</row>
    <row r="3" spans="1:26" ht="11.25" customHeight="1" x14ac:dyDescent="0.3">
      <c r="A3" s="133"/>
      <c r="B3" s="134"/>
      <c r="C3" s="139" t="s">
        <v>156</v>
      </c>
      <c r="D3" s="140">
        <f t="shared" ref="D3:F3" si="0">SUM(D5:D61)</f>
        <v>17067.183505159996</v>
      </c>
      <c r="E3" s="141">
        <f t="shared" si="0"/>
        <v>1</v>
      </c>
      <c r="F3" s="142">
        <f t="shared" si="0"/>
        <v>204806.20206191996</v>
      </c>
      <c r="G3" s="143">
        <f>F3/52</f>
        <v>3938.5808088830763</v>
      </c>
      <c r="H3" s="130"/>
      <c r="I3" s="144" t="s">
        <v>157</v>
      </c>
      <c r="J3" s="145">
        <f>L29+L49</f>
        <v>276499.56874399999</v>
      </c>
      <c r="K3" s="146"/>
      <c r="L3" s="147">
        <f>J3/12</f>
        <v>23041.630728666667</v>
      </c>
      <c r="M3" s="133"/>
      <c r="N3" s="130"/>
      <c r="O3" s="131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</row>
    <row r="4" spans="1:26" ht="11.25" customHeight="1" x14ac:dyDescent="0.3">
      <c r="A4" s="133"/>
      <c r="B4" s="134"/>
      <c r="C4" s="130"/>
      <c r="D4" s="148"/>
      <c r="E4" s="149"/>
      <c r="F4" s="148"/>
      <c r="G4" s="148"/>
      <c r="H4" s="130"/>
      <c r="I4" s="150"/>
      <c r="J4" s="151"/>
      <c r="K4" s="152"/>
      <c r="L4" s="153"/>
      <c r="M4" s="133"/>
      <c r="N4" s="130"/>
      <c r="O4" s="131"/>
      <c r="P4" s="132"/>
      <c r="Q4" s="132"/>
      <c r="R4" s="132"/>
      <c r="S4" s="132"/>
      <c r="T4" s="132"/>
      <c r="U4" s="132"/>
      <c r="V4" s="132"/>
      <c r="W4" s="132"/>
      <c r="X4" s="132"/>
      <c r="Y4" s="132"/>
      <c r="Z4" s="132"/>
    </row>
    <row r="5" spans="1:26" ht="11.25" customHeight="1" x14ac:dyDescent="0.3">
      <c r="A5" s="135" t="s">
        <v>158</v>
      </c>
      <c r="B5" s="154">
        <v>1</v>
      </c>
      <c r="C5" s="155" t="s">
        <v>159</v>
      </c>
      <c r="D5" s="156">
        <v>1200</v>
      </c>
      <c r="E5" s="157">
        <f t="shared" ref="E5:E12" si="1">D5/$O$24</f>
        <v>7.0310370755502741E-2</v>
      </c>
      <c r="F5" s="156">
        <f t="shared" ref="F5:F12" si="2">D5*12</f>
        <v>14400</v>
      </c>
      <c r="G5" s="158">
        <f t="shared" ref="G5:G12" si="3">F5/52</f>
        <v>276.92307692307691</v>
      </c>
      <c r="H5" s="130"/>
      <c r="I5" s="150" t="s">
        <v>160</v>
      </c>
      <c r="J5" s="151">
        <f>L31+L53+L54+L55</f>
        <v>4120.8999999999996</v>
      </c>
      <c r="K5" s="159">
        <f>J5/J3</f>
        <v>1.4903820713787E-2</v>
      </c>
      <c r="L5" s="153">
        <f t="shared" ref="L5:L6" si="4">J5/12</f>
        <v>343.4083333333333</v>
      </c>
      <c r="M5" s="133"/>
      <c r="N5" s="130"/>
      <c r="O5" s="131"/>
      <c r="P5" s="132"/>
      <c r="Q5" s="132"/>
      <c r="R5" s="132"/>
      <c r="S5" s="132"/>
      <c r="T5" s="132"/>
      <c r="U5" s="132"/>
      <c r="V5" s="132"/>
      <c r="W5" s="132"/>
      <c r="X5" s="132"/>
      <c r="Y5" s="132"/>
      <c r="Z5" s="132"/>
    </row>
    <row r="6" spans="1:26" ht="11.25" customHeight="1" x14ac:dyDescent="0.3">
      <c r="A6" s="160" t="s">
        <v>158</v>
      </c>
      <c r="B6" s="161">
        <v>2</v>
      </c>
      <c r="C6" s="162" t="s">
        <v>161</v>
      </c>
      <c r="D6" s="151">
        <v>1200</v>
      </c>
      <c r="E6" s="159">
        <f t="shared" si="1"/>
        <v>7.0310370755502741E-2</v>
      </c>
      <c r="F6" s="151">
        <f t="shared" si="2"/>
        <v>14400</v>
      </c>
      <c r="G6" s="153">
        <f t="shared" si="3"/>
        <v>276.92307692307691</v>
      </c>
      <c r="H6" s="130"/>
      <c r="I6" s="150" t="s">
        <v>162</v>
      </c>
      <c r="J6" s="151">
        <f>L32+L56</f>
        <v>17269.97781208</v>
      </c>
      <c r="K6" s="159">
        <f>J6/J3</f>
        <v>6.2459330010997557E-2</v>
      </c>
      <c r="L6" s="153">
        <f t="shared" si="4"/>
        <v>1439.1648176733333</v>
      </c>
      <c r="M6" s="133"/>
      <c r="N6" s="130"/>
      <c r="O6" s="131"/>
      <c r="P6" s="132"/>
      <c r="Q6" s="132"/>
      <c r="R6" s="132"/>
      <c r="S6" s="132"/>
      <c r="T6" s="132"/>
      <c r="U6" s="132"/>
      <c r="V6" s="132"/>
      <c r="W6" s="132"/>
      <c r="X6" s="132"/>
      <c r="Y6" s="132"/>
      <c r="Z6" s="132"/>
    </row>
    <row r="7" spans="1:26" ht="11.25" customHeight="1" x14ac:dyDescent="0.3">
      <c r="A7" s="160" t="s">
        <v>158</v>
      </c>
      <c r="B7" s="161">
        <v>3</v>
      </c>
      <c r="C7" s="162" t="s">
        <v>163</v>
      </c>
      <c r="D7" s="151">
        <v>150</v>
      </c>
      <c r="E7" s="159">
        <f t="shared" si="1"/>
        <v>8.7887963444378426E-3</v>
      </c>
      <c r="F7" s="151">
        <f t="shared" si="2"/>
        <v>1800</v>
      </c>
      <c r="G7" s="153">
        <f t="shared" si="3"/>
        <v>34.615384615384613</v>
      </c>
      <c r="H7" s="130"/>
      <c r="I7" s="144" t="s">
        <v>164</v>
      </c>
      <c r="J7" s="145">
        <f>SUM(J5:J6)</f>
        <v>21390.877812079998</v>
      </c>
      <c r="K7" s="163">
        <f>J7/J3</f>
        <v>7.7363150724784543E-2</v>
      </c>
      <c r="L7" s="147">
        <f>SUM(L5:L6)</f>
        <v>1782.5731510066666</v>
      </c>
      <c r="M7" s="133"/>
      <c r="N7" s="130"/>
      <c r="O7" s="131"/>
      <c r="P7" s="132"/>
      <c r="Q7" s="132"/>
      <c r="R7" s="132"/>
      <c r="S7" s="132"/>
      <c r="T7" s="132"/>
      <c r="U7" s="132"/>
      <c r="V7" s="132"/>
      <c r="W7" s="132"/>
      <c r="X7" s="132"/>
      <c r="Y7" s="132"/>
      <c r="Z7" s="132"/>
    </row>
    <row r="8" spans="1:26" ht="11.25" customHeight="1" x14ac:dyDescent="0.3">
      <c r="A8" s="160" t="s">
        <v>158</v>
      </c>
      <c r="B8" s="161">
        <v>4</v>
      </c>
      <c r="C8" s="162" t="s">
        <v>165</v>
      </c>
      <c r="D8" s="151">
        <v>600</v>
      </c>
      <c r="E8" s="159">
        <f t="shared" si="1"/>
        <v>3.515518537775137E-2</v>
      </c>
      <c r="F8" s="151">
        <f t="shared" si="2"/>
        <v>7200</v>
      </c>
      <c r="G8" s="153">
        <f t="shared" si="3"/>
        <v>138.46153846153845</v>
      </c>
      <c r="H8" s="130"/>
      <c r="I8" s="150"/>
      <c r="J8" s="152"/>
      <c r="K8" s="159"/>
      <c r="L8" s="153"/>
      <c r="M8" s="133"/>
      <c r="N8" s="130"/>
      <c r="O8" s="131"/>
      <c r="P8" s="132"/>
      <c r="Q8" s="132"/>
      <c r="R8" s="132"/>
      <c r="S8" s="132"/>
      <c r="T8" s="132"/>
      <c r="U8" s="132"/>
      <c r="V8" s="132"/>
      <c r="W8" s="132"/>
      <c r="X8" s="132"/>
      <c r="Y8" s="132"/>
      <c r="Z8" s="132"/>
    </row>
    <row r="9" spans="1:26" ht="11.25" customHeight="1" x14ac:dyDescent="0.3">
      <c r="A9" s="160" t="s">
        <v>158</v>
      </c>
      <c r="B9" s="161">
        <v>5</v>
      </c>
      <c r="C9" s="162" t="s">
        <v>166</v>
      </c>
      <c r="D9" s="151">
        <v>700</v>
      </c>
      <c r="E9" s="159">
        <f t="shared" si="1"/>
        <v>4.1014382940709929E-2</v>
      </c>
      <c r="F9" s="151">
        <f t="shared" si="2"/>
        <v>8400</v>
      </c>
      <c r="G9" s="153">
        <f t="shared" si="3"/>
        <v>161.53846153846155</v>
      </c>
      <c r="H9" s="130"/>
      <c r="I9" s="144" t="s">
        <v>167</v>
      </c>
      <c r="J9" s="145">
        <f>L35+L59</f>
        <v>255924.69093192002</v>
      </c>
      <c r="K9" s="163"/>
      <c r="L9" s="147">
        <f>J9/12</f>
        <v>21327.057577660002</v>
      </c>
      <c r="M9" s="148"/>
      <c r="N9" s="130"/>
      <c r="O9" s="131"/>
      <c r="P9" s="132"/>
      <c r="Q9" s="132"/>
      <c r="R9" s="132"/>
      <c r="S9" s="132"/>
      <c r="T9" s="132"/>
      <c r="U9" s="132"/>
      <c r="V9" s="132"/>
      <c r="W9" s="132"/>
      <c r="X9" s="132"/>
      <c r="Y9" s="132"/>
      <c r="Z9" s="132"/>
    </row>
    <row r="10" spans="1:26" ht="11.25" customHeight="1" x14ac:dyDescent="0.3">
      <c r="A10" s="160" t="s">
        <v>158</v>
      </c>
      <c r="B10" s="161">
        <v>6</v>
      </c>
      <c r="C10" s="162" t="s">
        <v>168</v>
      </c>
      <c r="D10" s="151">
        <v>900</v>
      </c>
      <c r="E10" s="159">
        <f t="shared" si="1"/>
        <v>5.2732778066627052E-2</v>
      </c>
      <c r="F10" s="151">
        <f t="shared" si="2"/>
        <v>10800</v>
      </c>
      <c r="G10" s="153">
        <f t="shared" si="3"/>
        <v>207.69230769230768</v>
      </c>
      <c r="H10" s="130"/>
      <c r="I10" s="150"/>
      <c r="J10" s="151"/>
      <c r="K10" s="159"/>
      <c r="L10" s="153"/>
      <c r="M10" s="148"/>
      <c r="N10" s="130"/>
      <c r="O10" s="131"/>
      <c r="P10" s="132"/>
      <c r="Q10" s="132"/>
      <c r="R10" s="132"/>
      <c r="S10" s="132"/>
      <c r="T10" s="132"/>
      <c r="U10" s="132"/>
      <c r="V10" s="132"/>
      <c r="W10" s="132"/>
      <c r="X10" s="132"/>
      <c r="Y10" s="132"/>
      <c r="Z10" s="132"/>
    </row>
    <row r="11" spans="1:26" ht="11.25" customHeight="1" x14ac:dyDescent="0.3">
      <c r="A11" s="164" t="s">
        <v>158</v>
      </c>
      <c r="B11" s="165">
        <v>7</v>
      </c>
      <c r="C11" s="166" t="s">
        <v>169</v>
      </c>
      <c r="D11" s="167">
        <v>350</v>
      </c>
      <c r="E11" s="168">
        <f t="shared" si="1"/>
        <v>2.0507191470354964E-2</v>
      </c>
      <c r="F11" s="167">
        <f t="shared" si="2"/>
        <v>4200</v>
      </c>
      <c r="G11" s="169">
        <f t="shared" si="3"/>
        <v>80.769230769230774</v>
      </c>
      <c r="H11" s="130"/>
      <c r="I11" s="150" t="s">
        <v>170</v>
      </c>
      <c r="J11" s="151">
        <f t="shared" ref="J11:J14" si="5">L37+L61</f>
        <v>39427.360000000001</v>
      </c>
      <c r="K11" s="159">
        <f>J11/J9</f>
        <v>0.15405844530447552</v>
      </c>
      <c r="L11" s="153">
        <f t="shared" ref="L11:L16" si="6">J11/12</f>
        <v>3285.6133333333332</v>
      </c>
      <c r="M11" s="133"/>
      <c r="N11" s="130"/>
      <c r="O11" s="131"/>
      <c r="P11" s="132"/>
      <c r="Q11" s="132"/>
      <c r="R11" s="132"/>
      <c r="S11" s="132"/>
      <c r="T11" s="132"/>
      <c r="U11" s="132"/>
      <c r="V11" s="132"/>
      <c r="W11" s="132"/>
      <c r="X11" s="132"/>
      <c r="Y11" s="132"/>
      <c r="Z11" s="132"/>
    </row>
    <row r="12" spans="1:26" ht="11.25" customHeight="1" x14ac:dyDescent="0.3">
      <c r="A12" s="170" t="s">
        <v>158</v>
      </c>
      <c r="B12" s="171">
        <v>8</v>
      </c>
      <c r="C12" s="172" t="s">
        <v>171</v>
      </c>
      <c r="D12" s="142">
        <v>700</v>
      </c>
      <c r="E12" s="141">
        <f t="shared" si="1"/>
        <v>4.1014382940709929E-2</v>
      </c>
      <c r="F12" s="142">
        <f t="shared" si="2"/>
        <v>8400</v>
      </c>
      <c r="G12" s="143">
        <f t="shared" si="3"/>
        <v>161.53846153846155</v>
      </c>
      <c r="H12" s="130"/>
      <c r="I12" s="150" t="s">
        <v>172</v>
      </c>
      <c r="J12" s="151">
        <f t="shared" si="5"/>
        <v>7415.6</v>
      </c>
      <c r="K12" s="159">
        <f>J12/J9</f>
        <v>2.8975711460261823E-2</v>
      </c>
      <c r="L12" s="153">
        <f t="shared" si="6"/>
        <v>617.9666666666667</v>
      </c>
      <c r="M12" s="133"/>
      <c r="N12" s="130"/>
      <c r="O12" s="131"/>
      <c r="P12" s="132"/>
      <c r="Q12" s="132"/>
      <c r="R12" s="132"/>
      <c r="S12" s="132"/>
      <c r="T12" s="132"/>
      <c r="U12" s="132"/>
      <c r="V12" s="132"/>
      <c r="W12" s="132"/>
      <c r="X12" s="132"/>
      <c r="Y12" s="132"/>
      <c r="Z12" s="132"/>
    </row>
    <row r="13" spans="1:26" ht="11.25" customHeight="1" x14ac:dyDescent="0.3">
      <c r="A13" s="133"/>
      <c r="B13" s="134"/>
      <c r="C13" s="173"/>
      <c r="D13" s="148"/>
      <c r="E13" s="149"/>
      <c r="F13" s="148"/>
      <c r="G13" s="148"/>
      <c r="H13" s="130"/>
      <c r="I13" s="150" t="s">
        <v>173</v>
      </c>
      <c r="J13" s="151">
        <f t="shared" si="5"/>
        <v>3961.26451</v>
      </c>
      <c r="K13" s="159">
        <f>J13/(J9+J6)</f>
        <v>1.4499787013457225E-2</v>
      </c>
      <c r="L13" s="153">
        <f t="shared" si="6"/>
        <v>330.10537583333331</v>
      </c>
      <c r="M13" s="133"/>
      <c r="N13" s="130"/>
      <c r="O13" s="131"/>
      <c r="P13" s="132"/>
      <c r="Q13" s="132"/>
      <c r="R13" s="132"/>
      <c r="S13" s="132"/>
      <c r="T13" s="132"/>
      <c r="U13" s="132"/>
      <c r="V13" s="132"/>
      <c r="W13" s="132"/>
      <c r="X13" s="132"/>
      <c r="Y13" s="132"/>
      <c r="Z13" s="132"/>
    </row>
    <row r="14" spans="1:26" ht="11.25" customHeight="1" x14ac:dyDescent="0.3">
      <c r="A14" s="135" t="s">
        <v>174</v>
      </c>
      <c r="B14" s="154">
        <v>9</v>
      </c>
      <c r="C14" s="174" t="s">
        <v>58</v>
      </c>
      <c r="D14" s="156">
        <v>1285</v>
      </c>
      <c r="E14" s="157">
        <f t="shared" ref="E14:E31" si="7">D14/$O$24</f>
        <v>7.5290688684017518E-2</v>
      </c>
      <c r="F14" s="156">
        <f t="shared" ref="F14:F31" si="8">D14*12</f>
        <v>15420</v>
      </c>
      <c r="G14" s="158">
        <f t="shared" ref="G14:G31" si="9">F14/52</f>
        <v>296.53846153846155</v>
      </c>
      <c r="H14" s="130"/>
      <c r="I14" s="150" t="s">
        <v>175</v>
      </c>
      <c r="J14" s="151">
        <f t="shared" si="5"/>
        <v>16938.027560000002</v>
      </c>
      <c r="K14" s="159">
        <f>J14/(J9+J6)</f>
        <v>6.1999846621721456E-2</v>
      </c>
      <c r="L14" s="153">
        <f t="shared" si="6"/>
        <v>1411.5022966666668</v>
      </c>
      <c r="M14" s="133"/>
      <c r="N14" s="130"/>
      <c r="O14" s="131"/>
      <c r="P14" s="132"/>
      <c r="Q14" s="132"/>
      <c r="R14" s="132"/>
      <c r="S14" s="132"/>
      <c r="T14" s="132"/>
      <c r="U14" s="132"/>
      <c r="V14" s="132"/>
      <c r="W14" s="132"/>
      <c r="X14" s="132"/>
      <c r="Y14" s="132"/>
      <c r="Z14" s="132"/>
    </row>
    <row r="15" spans="1:26" ht="11.25" customHeight="1" x14ac:dyDescent="0.3">
      <c r="A15" s="160" t="s">
        <v>174</v>
      </c>
      <c r="B15" s="161">
        <v>10</v>
      </c>
      <c r="C15" s="175" t="s">
        <v>176</v>
      </c>
      <c r="D15" s="151">
        <v>20</v>
      </c>
      <c r="E15" s="159">
        <f t="shared" si="7"/>
        <v>1.1718395125917122E-3</v>
      </c>
      <c r="F15" s="151">
        <f t="shared" si="8"/>
        <v>240</v>
      </c>
      <c r="G15" s="153">
        <f t="shared" si="9"/>
        <v>4.615384615384615</v>
      </c>
      <c r="H15" s="130"/>
      <c r="I15" s="150" t="s">
        <v>177</v>
      </c>
      <c r="J15" s="151">
        <f>L41</f>
        <v>833.99680000000001</v>
      </c>
      <c r="K15" s="159">
        <f>J15/J3</f>
        <v>3.0162679956009793E-3</v>
      </c>
      <c r="L15" s="153">
        <f t="shared" si="6"/>
        <v>69.499733333333339</v>
      </c>
      <c r="M15" s="133"/>
      <c r="N15" s="130"/>
      <c r="O15" s="131"/>
      <c r="P15" s="132"/>
      <c r="Q15" s="132"/>
      <c r="R15" s="132"/>
      <c r="S15" s="132"/>
      <c r="T15" s="132"/>
      <c r="U15" s="132"/>
      <c r="V15" s="132"/>
      <c r="W15" s="132"/>
      <c r="X15" s="132"/>
      <c r="Y15" s="132"/>
      <c r="Z15" s="132"/>
    </row>
    <row r="16" spans="1:26" ht="11.25" customHeight="1" x14ac:dyDescent="0.3">
      <c r="A16" s="160" t="s">
        <v>174</v>
      </c>
      <c r="B16" s="161">
        <v>11</v>
      </c>
      <c r="C16" s="175" t="s">
        <v>178</v>
      </c>
      <c r="D16" s="151">
        <v>270</v>
      </c>
      <c r="E16" s="159">
        <f t="shared" si="7"/>
        <v>1.5819833419988116E-2</v>
      </c>
      <c r="F16" s="151">
        <f t="shared" si="8"/>
        <v>3240</v>
      </c>
      <c r="G16" s="153">
        <f t="shared" si="9"/>
        <v>62.307692307692307</v>
      </c>
      <c r="H16" s="130"/>
      <c r="I16" s="150" t="s">
        <v>179</v>
      </c>
      <c r="J16" s="151">
        <f>L65</f>
        <v>4326.24</v>
      </c>
      <c r="K16" s="159">
        <f>J16/J9</f>
        <v>1.6904347854232039E-2</v>
      </c>
      <c r="L16" s="153">
        <f t="shared" si="6"/>
        <v>360.52</v>
      </c>
      <c r="M16" s="133"/>
      <c r="N16" s="130"/>
      <c r="O16" s="131"/>
      <c r="P16" s="132"/>
      <c r="Q16" s="132"/>
      <c r="R16" s="132"/>
      <c r="S16" s="132"/>
      <c r="T16" s="132"/>
      <c r="U16" s="132"/>
      <c r="V16" s="132"/>
      <c r="W16" s="132"/>
      <c r="X16" s="132"/>
      <c r="Y16" s="132"/>
      <c r="Z16" s="132"/>
    </row>
    <row r="17" spans="1:26" ht="11.25" customHeight="1" x14ac:dyDescent="0.3">
      <c r="A17" s="160" t="s">
        <v>174</v>
      </c>
      <c r="B17" s="161">
        <v>12</v>
      </c>
      <c r="C17" s="162" t="s">
        <v>180</v>
      </c>
      <c r="D17" s="151">
        <v>205</v>
      </c>
      <c r="E17" s="159">
        <f t="shared" si="7"/>
        <v>1.201135500406505E-2</v>
      </c>
      <c r="F17" s="151">
        <f t="shared" si="8"/>
        <v>2460</v>
      </c>
      <c r="G17" s="153">
        <f t="shared" si="9"/>
        <v>47.307692307692307</v>
      </c>
      <c r="H17" s="130"/>
      <c r="I17" s="144" t="s">
        <v>181</v>
      </c>
      <c r="J17" s="145">
        <f>SUM(J11:J16)</f>
        <v>72902.488870000001</v>
      </c>
      <c r="K17" s="163">
        <f>J17/J3</f>
        <v>0.26366221546442098</v>
      </c>
      <c r="L17" s="147">
        <f>SUM(L11:L16)</f>
        <v>6075.2074058333328</v>
      </c>
      <c r="M17" s="133"/>
      <c r="N17" s="130"/>
      <c r="O17" s="131"/>
      <c r="P17" s="132"/>
      <c r="Q17" s="132"/>
      <c r="R17" s="132"/>
      <c r="S17" s="132"/>
      <c r="T17" s="132"/>
      <c r="U17" s="132"/>
      <c r="V17" s="132"/>
      <c r="W17" s="132"/>
      <c r="X17" s="132"/>
      <c r="Y17" s="132"/>
      <c r="Z17" s="132"/>
    </row>
    <row r="18" spans="1:26" ht="11.25" customHeight="1" x14ac:dyDescent="0.3">
      <c r="A18" s="160" t="s">
        <v>174</v>
      </c>
      <c r="B18" s="161">
        <v>13</v>
      </c>
      <c r="C18" s="162" t="s">
        <v>182</v>
      </c>
      <c r="D18" s="151">
        <v>180</v>
      </c>
      <c r="E18" s="159">
        <f t="shared" si="7"/>
        <v>1.054655561332541E-2</v>
      </c>
      <c r="F18" s="151">
        <f t="shared" si="8"/>
        <v>2160</v>
      </c>
      <c r="G18" s="153">
        <f t="shared" si="9"/>
        <v>41.53846153846154</v>
      </c>
      <c r="H18" s="130"/>
      <c r="I18" s="150"/>
      <c r="J18" s="151"/>
      <c r="K18" s="159"/>
      <c r="L18" s="153"/>
      <c r="M18" s="133"/>
      <c r="N18" s="130"/>
      <c r="O18" s="131"/>
      <c r="P18" s="132"/>
      <c r="Q18" s="132"/>
      <c r="R18" s="132"/>
      <c r="S18" s="132"/>
      <c r="T18" s="132"/>
      <c r="U18" s="132"/>
      <c r="V18" s="132"/>
      <c r="W18" s="132"/>
      <c r="X18" s="132"/>
      <c r="Y18" s="132"/>
      <c r="Z18" s="132"/>
    </row>
    <row r="19" spans="1:26" ht="11.25" customHeight="1" x14ac:dyDescent="0.3">
      <c r="A19" s="160" t="s">
        <v>174</v>
      </c>
      <c r="B19" s="161">
        <v>14</v>
      </c>
      <c r="C19" s="176" t="s">
        <v>183</v>
      </c>
      <c r="D19" s="151">
        <v>140</v>
      </c>
      <c r="E19" s="159">
        <f t="shared" si="7"/>
        <v>8.2028765881419861E-3</v>
      </c>
      <c r="F19" s="151">
        <f t="shared" si="8"/>
        <v>1680</v>
      </c>
      <c r="G19" s="153">
        <f t="shared" si="9"/>
        <v>32.307692307692307</v>
      </c>
      <c r="H19" s="130"/>
      <c r="I19" s="177" t="s">
        <v>184</v>
      </c>
      <c r="J19" s="178">
        <f>L44+L68</f>
        <v>182206.20206191996</v>
      </c>
      <c r="K19" s="179">
        <f>J19/J3</f>
        <v>0.65897463381079435</v>
      </c>
      <c r="L19" s="180"/>
      <c r="M19" s="133"/>
      <c r="N19" s="130"/>
      <c r="O19" s="131"/>
      <c r="P19" s="132"/>
      <c r="Q19" s="132"/>
      <c r="R19" s="132"/>
      <c r="S19" s="132"/>
      <c r="T19" s="132"/>
      <c r="U19" s="132"/>
      <c r="V19" s="132"/>
      <c r="W19" s="132"/>
      <c r="X19" s="132"/>
      <c r="Y19" s="132"/>
      <c r="Z19" s="132"/>
    </row>
    <row r="20" spans="1:26" ht="11.25" customHeight="1" x14ac:dyDescent="0.3">
      <c r="A20" s="160" t="s">
        <v>174</v>
      </c>
      <c r="B20" s="161">
        <v>15</v>
      </c>
      <c r="C20" s="162" t="s">
        <v>185</v>
      </c>
      <c r="D20" s="151">
        <v>100</v>
      </c>
      <c r="E20" s="159">
        <f t="shared" si="7"/>
        <v>5.8591975629585609E-3</v>
      </c>
      <c r="F20" s="151">
        <f t="shared" si="8"/>
        <v>1200</v>
      </c>
      <c r="G20" s="153">
        <f t="shared" si="9"/>
        <v>23.076923076923077</v>
      </c>
      <c r="H20" s="130"/>
      <c r="I20" s="150"/>
      <c r="J20" s="151"/>
      <c r="K20" s="159"/>
      <c r="L20" s="153"/>
      <c r="M20" s="133"/>
      <c r="N20" s="130"/>
      <c r="O20" s="131"/>
      <c r="P20" s="132"/>
      <c r="Q20" s="132"/>
      <c r="R20" s="132"/>
      <c r="S20" s="132"/>
      <c r="T20" s="132"/>
      <c r="U20" s="132"/>
      <c r="V20" s="132"/>
      <c r="W20" s="132"/>
      <c r="X20" s="132"/>
      <c r="Y20" s="132"/>
      <c r="Z20" s="132"/>
    </row>
    <row r="21" spans="1:26" ht="11.25" customHeight="1" x14ac:dyDescent="0.3">
      <c r="A21" s="160" t="s">
        <v>174</v>
      </c>
      <c r="B21" s="161">
        <v>16</v>
      </c>
      <c r="C21" s="175" t="s">
        <v>186</v>
      </c>
      <c r="D21" s="151">
        <v>0</v>
      </c>
      <c r="E21" s="159">
        <f t="shared" si="7"/>
        <v>0</v>
      </c>
      <c r="F21" s="151">
        <f t="shared" si="8"/>
        <v>0</v>
      </c>
      <c r="G21" s="153">
        <f t="shared" si="9"/>
        <v>0</v>
      </c>
      <c r="H21" s="130"/>
      <c r="I21" s="150" t="s">
        <v>187</v>
      </c>
      <c r="J21" s="151">
        <v>13000</v>
      </c>
      <c r="K21" s="159"/>
      <c r="L21" s="153">
        <f t="shared" ref="L21:L22" si="10">J21/12</f>
        <v>1083.3333333333333</v>
      </c>
      <c r="M21" s="133"/>
      <c r="N21" s="130"/>
      <c r="O21" s="131"/>
      <c r="P21" s="132"/>
      <c r="Q21" s="132"/>
      <c r="R21" s="132"/>
      <c r="S21" s="132"/>
      <c r="T21" s="132"/>
      <c r="U21" s="132"/>
      <c r="V21" s="132"/>
      <c r="W21" s="132"/>
      <c r="X21" s="132"/>
      <c r="Y21" s="132"/>
      <c r="Z21" s="132"/>
    </row>
    <row r="22" spans="1:26" ht="11.25" customHeight="1" x14ac:dyDescent="0.3">
      <c r="A22" s="160" t="s">
        <v>174</v>
      </c>
      <c r="B22" s="161">
        <v>17</v>
      </c>
      <c r="C22" s="162" t="s">
        <v>188</v>
      </c>
      <c r="D22" s="151">
        <v>145</v>
      </c>
      <c r="E22" s="159">
        <f t="shared" si="7"/>
        <v>8.4958364662899143E-3</v>
      </c>
      <c r="F22" s="151">
        <f t="shared" si="8"/>
        <v>1740</v>
      </c>
      <c r="G22" s="153">
        <f t="shared" si="9"/>
        <v>33.46153846153846</v>
      </c>
      <c r="H22" s="130"/>
      <c r="I22" s="150" t="s">
        <v>189</v>
      </c>
      <c r="J22" s="151">
        <v>9600</v>
      </c>
      <c r="K22" s="159"/>
      <c r="L22" s="153">
        <f t="shared" si="10"/>
        <v>800</v>
      </c>
      <c r="M22" s="148">
        <f>L22-D31-D35-D40-D41-D42-D43</f>
        <v>240</v>
      </c>
      <c r="N22" s="131">
        <f>M22*12</f>
        <v>2880</v>
      </c>
      <c r="O22" s="131"/>
      <c r="P22" s="132"/>
      <c r="Q22" s="132"/>
      <c r="R22" s="132"/>
      <c r="S22" s="132"/>
      <c r="T22" s="132"/>
      <c r="U22" s="132"/>
      <c r="V22" s="132"/>
      <c r="W22" s="132"/>
      <c r="X22" s="132"/>
      <c r="Y22" s="132"/>
      <c r="Z22" s="132"/>
    </row>
    <row r="23" spans="1:26" ht="11.25" customHeight="1" x14ac:dyDescent="0.3">
      <c r="A23" s="160" t="s">
        <v>174</v>
      </c>
      <c r="B23" s="161">
        <v>18</v>
      </c>
      <c r="C23" s="176" t="s">
        <v>190</v>
      </c>
      <c r="D23" s="151">
        <v>400</v>
      </c>
      <c r="E23" s="159">
        <f t="shared" si="7"/>
        <v>2.3436790251834243E-2</v>
      </c>
      <c r="F23" s="151">
        <f t="shared" si="8"/>
        <v>4800</v>
      </c>
      <c r="G23" s="153">
        <f t="shared" si="9"/>
        <v>92.307692307692307</v>
      </c>
      <c r="H23" s="130"/>
      <c r="I23" s="150"/>
      <c r="J23" s="152"/>
      <c r="K23" s="152"/>
      <c r="L23" s="153"/>
      <c r="M23" s="133"/>
      <c r="N23" s="130"/>
      <c r="O23" s="131"/>
      <c r="P23" s="132"/>
      <c r="Q23" s="132"/>
      <c r="R23" s="132"/>
      <c r="S23" s="132"/>
      <c r="T23" s="132"/>
      <c r="U23" s="132"/>
      <c r="V23" s="132"/>
      <c r="W23" s="132"/>
      <c r="X23" s="132"/>
      <c r="Y23" s="132"/>
      <c r="Z23" s="132"/>
    </row>
    <row r="24" spans="1:26" ht="11.25" customHeight="1" x14ac:dyDescent="0.3">
      <c r="A24" s="160" t="s">
        <v>174</v>
      </c>
      <c r="B24" s="161">
        <v>19</v>
      </c>
      <c r="C24" s="176" t="s">
        <v>191</v>
      </c>
      <c r="D24" s="151">
        <v>200</v>
      </c>
      <c r="E24" s="159">
        <f t="shared" si="7"/>
        <v>1.1718395125917122E-2</v>
      </c>
      <c r="F24" s="151">
        <f t="shared" si="8"/>
        <v>2400</v>
      </c>
      <c r="G24" s="153">
        <f t="shared" si="9"/>
        <v>46.153846153846153</v>
      </c>
      <c r="H24" s="130"/>
      <c r="I24" s="181" t="s">
        <v>192</v>
      </c>
      <c r="J24" s="182">
        <f>J19+J22+J21</f>
        <v>204806.20206191996</v>
      </c>
      <c r="K24" s="183">
        <f>(J24+J6)/J3</f>
        <v>0.80317007683875097</v>
      </c>
      <c r="L24" s="184">
        <f>J24/12</f>
        <v>17067.183505159996</v>
      </c>
      <c r="M24" s="133"/>
      <c r="N24" s="185">
        <f>J21+J22+N44+N68</f>
        <v>204806.20206191996</v>
      </c>
      <c r="O24" s="131">
        <f>N24/12</f>
        <v>17067.183505159996</v>
      </c>
      <c r="P24" s="132"/>
      <c r="Q24" s="132"/>
      <c r="R24" s="132"/>
      <c r="S24" s="132"/>
      <c r="T24" s="132"/>
      <c r="U24" s="132"/>
      <c r="V24" s="132"/>
      <c r="W24" s="132"/>
      <c r="X24" s="132"/>
      <c r="Y24" s="132"/>
      <c r="Z24" s="132"/>
    </row>
    <row r="25" spans="1:26" ht="11.25" customHeight="1" x14ac:dyDescent="0.3">
      <c r="A25" s="160" t="s">
        <v>174</v>
      </c>
      <c r="B25" s="161">
        <v>20</v>
      </c>
      <c r="C25" s="176" t="s">
        <v>193</v>
      </c>
      <c r="D25" s="151">
        <v>600</v>
      </c>
      <c r="E25" s="159">
        <f t="shared" si="7"/>
        <v>3.515518537775137E-2</v>
      </c>
      <c r="F25" s="151">
        <f t="shared" si="8"/>
        <v>7200</v>
      </c>
      <c r="G25" s="153">
        <f t="shared" si="9"/>
        <v>138.46153846153845</v>
      </c>
      <c r="H25" s="130"/>
      <c r="I25" s="130"/>
      <c r="J25" s="148"/>
      <c r="K25" s="149"/>
      <c r="L25" s="148"/>
      <c r="M25" s="133"/>
      <c r="N25" s="130"/>
      <c r="O25" s="131"/>
      <c r="P25" s="132"/>
      <c r="Q25" s="132"/>
      <c r="R25" s="132"/>
      <c r="S25" s="132"/>
      <c r="T25" s="132"/>
      <c r="U25" s="132"/>
      <c r="V25" s="132"/>
      <c r="W25" s="132"/>
      <c r="X25" s="132"/>
      <c r="Y25" s="132"/>
      <c r="Z25" s="132"/>
    </row>
    <row r="26" spans="1:26" ht="11.25" customHeight="1" x14ac:dyDescent="0.3">
      <c r="A26" s="160" t="s">
        <v>174</v>
      </c>
      <c r="B26" s="161">
        <v>21</v>
      </c>
      <c r="C26" s="175" t="s">
        <v>194</v>
      </c>
      <c r="D26" s="151">
        <v>85</v>
      </c>
      <c r="E26" s="159">
        <f t="shared" si="7"/>
        <v>4.9803179285147769E-3</v>
      </c>
      <c r="F26" s="151">
        <f t="shared" si="8"/>
        <v>1020</v>
      </c>
      <c r="G26" s="153">
        <f t="shared" si="9"/>
        <v>19.615384615384617</v>
      </c>
      <c r="H26" s="130"/>
      <c r="I26" s="130"/>
      <c r="J26" s="148"/>
      <c r="K26" s="149"/>
      <c r="L26" s="148"/>
      <c r="M26" s="133"/>
      <c r="N26" s="130"/>
      <c r="O26" s="131"/>
      <c r="P26" s="132"/>
      <c r="Q26" s="132"/>
      <c r="R26" s="132"/>
      <c r="S26" s="132"/>
      <c r="T26" s="132"/>
      <c r="U26" s="132"/>
      <c r="V26" s="132"/>
      <c r="W26" s="132"/>
      <c r="X26" s="132"/>
      <c r="Y26" s="132"/>
      <c r="Z26" s="132"/>
    </row>
    <row r="27" spans="1:26" ht="11.25" customHeight="1" x14ac:dyDescent="0.3">
      <c r="A27" s="160" t="s">
        <v>174</v>
      </c>
      <c r="B27" s="161">
        <v>22</v>
      </c>
      <c r="C27" s="175" t="s">
        <v>195</v>
      </c>
      <c r="D27" s="151">
        <v>100</v>
      </c>
      <c r="E27" s="159">
        <f t="shared" si="7"/>
        <v>5.8591975629585609E-3</v>
      </c>
      <c r="F27" s="151">
        <f t="shared" si="8"/>
        <v>1200</v>
      </c>
      <c r="G27" s="153">
        <f t="shared" si="9"/>
        <v>23.076923076923077</v>
      </c>
      <c r="H27" s="130"/>
      <c r="I27" s="138" t="s">
        <v>196</v>
      </c>
      <c r="J27" s="186">
        <v>50.12</v>
      </c>
      <c r="K27" s="174"/>
      <c r="L27" s="174"/>
      <c r="M27" s="187"/>
      <c r="N27" s="130"/>
      <c r="O27" s="131"/>
      <c r="P27" s="132"/>
      <c r="Q27" s="132"/>
      <c r="R27" s="132"/>
      <c r="S27" s="132"/>
      <c r="T27" s="132"/>
      <c r="U27" s="132"/>
      <c r="V27" s="132"/>
      <c r="W27" s="132"/>
      <c r="X27" s="132"/>
      <c r="Y27" s="132"/>
      <c r="Z27" s="132"/>
    </row>
    <row r="28" spans="1:26" ht="11.25" customHeight="1" x14ac:dyDescent="0.3">
      <c r="A28" s="160" t="s">
        <v>174</v>
      </c>
      <c r="B28" s="161">
        <v>23</v>
      </c>
      <c r="C28" s="176" t="s">
        <v>197</v>
      </c>
      <c r="D28" s="151">
        <v>1200</v>
      </c>
      <c r="E28" s="159">
        <f t="shared" si="7"/>
        <v>7.0310370755502741E-2</v>
      </c>
      <c r="F28" s="151">
        <f t="shared" si="8"/>
        <v>14400</v>
      </c>
      <c r="G28" s="153">
        <f t="shared" si="9"/>
        <v>276.92307692307691</v>
      </c>
      <c r="H28" s="130"/>
      <c r="I28" s="150"/>
      <c r="J28" s="152" t="s">
        <v>198</v>
      </c>
      <c r="K28" s="152" t="s">
        <v>153</v>
      </c>
      <c r="L28" s="152" t="s">
        <v>154</v>
      </c>
      <c r="M28" s="188" t="s">
        <v>152</v>
      </c>
      <c r="N28" s="130"/>
      <c r="O28" s="131"/>
      <c r="P28" s="132"/>
      <c r="Q28" s="132"/>
      <c r="R28" s="132"/>
      <c r="S28" s="132"/>
      <c r="T28" s="132"/>
      <c r="U28" s="132"/>
      <c r="V28" s="132"/>
      <c r="W28" s="132"/>
      <c r="X28" s="132"/>
      <c r="Y28" s="132"/>
      <c r="Z28" s="132"/>
    </row>
    <row r="29" spans="1:26" ht="11.25" customHeight="1" x14ac:dyDescent="0.3">
      <c r="A29" s="160" t="s">
        <v>174</v>
      </c>
      <c r="B29" s="161">
        <v>24</v>
      </c>
      <c r="C29" s="175" t="s">
        <v>199</v>
      </c>
      <c r="D29" s="151">
        <v>120</v>
      </c>
      <c r="E29" s="159">
        <f t="shared" si="7"/>
        <v>7.031037075550273E-3</v>
      </c>
      <c r="F29" s="151">
        <f t="shared" si="8"/>
        <v>1440</v>
      </c>
      <c r="G29" s="153">
        <f t="shared" si="9"/>
        <v>27.692307692307693</v>
      </c>
      <c r="H29" s="130"/>
      <c r="I29" s="144" t="s">
        <v>157</v>
      </c>
      <c r="J29" s="145">
        <f>J27*80</f>
        <v>4009.6</v>
      </c>
      <c r="K29" s="146"/>
      <c r="L29" s="145">
        <f>J29*26</f>
        <v>104249.59999999999</v>
      </c>
      <c r="M29" s="147">
        <f>L29/12</f>
        <v>8687.4666666666653</v>
      </c>
      <c r="N29" s="130"/>
      <c r="O29" s="131"/>
      <c r="P29" s="132"/>
      <c r="Q29" s="132"/>
      <c r="R29" s="132"/>
      <c r="S29" s="132"/>
      <c r="T29" s="132"/>
      <c r="U29" s="132"/>
      <c r="V29" s="132"/>
      <c r="W29" s="132"/>
      <c r="X29" s="132"/>
      <c r="Y29" s="132"/>
      <c r="Z29" s="132"/>
    </row>
    <row r="30" spans="1:26" ht="11.25" customHeight="1" x14ac:dyDescent="0.3">
      <c r="A30" s="160" t="s">
        <v>174</v>
      </c>
      <c r="B30" s="161">
        <v>42</v>
      </c>
      <c r="C30" s="175" t="s">
        <v>200</v>
      </c>
      <c r="D30" s="151">
        <v>75</v>
      </c>
      <c r="E30" s="159">
        <f t="shared" si="7"/>
        <v>4.3943981722189213E-3</v>
      </c>
      <c r="F30" s="151">
        <f t="shared" si="8"/>
        <v>900</v>
      </c>
      <c r="G30" s="153">
        <f t="shared" si="9"/>
        <v>17.307692307692307</v>
      </c>
      <c r="H30" s="130"/>
      <c r="I30" s="150"/>
      <c r="J30" s="151"/>
      <c r="K30" s="152"/>
      <c r="L30" s="151"/>
      <c r="M30" s="153"/>
      <c r="N30" s="130"/>
      <c r="O30" s="131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</row>
    <row r="31" spans="1:26" ht="11.25" customHeight="1" x14ac:dyDescent="0.3">
      <c r="A31" s="170" t="s">
        <v>174</v>
      </c>
      <c r="B31" s="171">
        <v>43</v>
      </c>
      <c r="C31" s="189" t="s">
        <v>201</v>
      </c>
      <c r="D31" s="142">
        <v>75</v>
      </c>
      <c r="E31" s="141">
        <f t="shared" si="7"/>
        <v>4.3943981722189213E-3</v>
      </c>
      <c r="F31" s="142">
        <f t="shared" si="8"/>
        <v>900</v>
      </c>
      <c r="G31" s="143">
        <f t="shared" si="9"/>
        <v>17.307692307692307</v>
      </c>
      <c r="H31" s="130"/>
      <c r="I31" s="150" t="s">
        <v>202</v>
      </c>
      <c r="J31" s="151">
        <v>157.97</v>
      </c>
      <c r="K31" s="159">
        <f>J31/J29</f>
        <v>3.9397944932162809E-2</v>
      </c>
      <c r="L31" s="151">
        <f t="shared" ref="L31:L32" si="11">J31*26</f>
        <v>4107.22</v>
      </c>
      <c r="M31" s="153">
        <f t="shared" ref="M31:M32" si="12">L31/12</f>
        <v>342.26833333333337</v>
      </c>
      <c r="N31" s="130"/>
      <c r="O31" s="131"/>
      <c r="P31" s="132"/>
      <c r="Q31" s="132"/>
      <c r="R31" s="132"/>
      <c r="S31" s="132"/>
      <c r="T31" s="132"/>
      <c r="U31" s="132"/>
      <c r="V31" s="132"/>
      <c r="W31" s="132"/>
      <c r="X31" s="132"/>
      <c r="Y31" s="132"/>
      <c r="Z31" s="132"/>
    </row>
    <row r="32" spans="1:26" ht="11.25" customHeight="1" x14ac:dyDescent="0.3">
      <c r="A32" s="133"/>
      <c r="B32" s="134"/>
      <c r="C32" s="130"/>
      <c r="D32" s="148"/>
      <c r="E32" s="149"/>
      <c r="F32" s="148"/>
      <c r="G32" s="148"/>
      <c r="H32" s="130"/>
      <c r="I32" s="150" t="s">
        <v>97</v>
      </c>
      <c r="J32" s="151">
        <f>K32*J29</f>
        <v>200.48000000000002</v>
      </c>
      <c r="K32" s="159">
        <v>0.05</v>
      </c>
      <c r="L32" s="151">
        <f t="shared" si="11"/>
        <v>5212.4800000000005</v>
      </c>
      <c r="M32" s="153">
        <f t="shared" si="12"/>
        <v>434.37333333333339</v>
      </c>
      <c r="N32" s="130"/>
      <c r="O32" s="131"/>
      <c r="P32" s="132"/>
      <c r="Q32" s="132"/>
      <c r="R32" s="132"/>
      <c r="S32" s="132"/>
      <c r="T32" s="132"/>
      <c r="U32" s="132"/>
      <c r="V32" s="132"/>
      <c r="W32" s="132"/>
      <c r="X32" s="132"/>
      <c r="Y32" s="132"/>
      <c r="Z32" s="132"/>
    </row>
    <row r="33" spans="1:26" ht="11.25" customHeight="1" x14ac:dyDescent="0.3">
      <c r="A33" s="135" t="s">
        <v>203</v>
      </c>
      <c r="B33" s="154">
        <v>25</v>
      </c>
      <c r="C33" s="155" t="s">
        <v>204</v>
      </c>
      <c r="D33" s="156">
        <v>350</v>
      </c>
      <c r="E33" s="157">
        <f t="shared" ref="E33:E43" si="13">D33/$O$24</f>
        <v>2.0507191470354964E-2</v>
      </c>
      <c r="F33" s="156">
        <f t="shared" ref="F33:F43" si="14">D33*12</f>
        <v>4200</v>
      </c>
      <c r="G33" s="158">
        <f t="shared" ref="G33:G43" si="15">F33/52</f>
        <v>80.769230769230774</v>
      </c>
      <c r="H33" s="130"/>
      <c r="I33" s="144" t="s">
        <v>164</v>
      </c>
      <c r="J33" s="145">
        <f>SUM(J31:J32)</f>
        <v>358.45000000000005</v>
      </c>
      <c r="K33" s="163"/>
      <c r="L33" s="145"/>
      <c r="M33" s="147"/>
      <c r="N33" s="130"/>
      <c r="O33" s="131"/>
      <c r="P33" s="132"/>
      <c r="Q33" s="132"/>
      <c r="R33" s="132"/>
      <c r="S33" s="132"/>
      <c r="T33" s="132"/>
      <c r="U33" s="132"/>
      <c r="V33" s="132"/>
      <c r="W33" s="132"/>
      <c r="X33" s="132"/>
      <c r="Y33" s="132"/>
      <c r="Z33" s="132"/>
    </row>
    <row r="34" spans="1:26" ht="11.25" customHeight="1" x14ac:dyDescent="0.3">
      <c r="A34" s="160" t="s">
        <v>203</v>
      </c>
      <c r="B34" s="161">
        <v>26</v>
      </c>
      <c r="C34" s="175" t="s">
        <v>205</v>
      </c>
      <c r="D34" s="151">
        <v>320</v>
      </c>
      <c r="E34" s="159">
        <f t="shared" si="13"/>
        <v>1.8749432201467395E-2</v>
      </c>
      <c r="F34" s="151">
        <f t="shared" si="14"/>
        <v>3840</v>
      </c>
      <c r="G34" s="153">
        <f t="shared" si="15"/>
        <v>73.84615384615384</v>
      </c>
      <c r="H34" s="130"/>
      <c r="I34" s="150"/>
      <c r="J34" s="151"/>
      <c r="K34" s="159"/>
      <c r="L34" s="151"/>
      <c r="M34" s="153"/>
      <c r="N34" s="130"/>
      <c r="O34" s="131"/>
      <c r="P34" s="132"/>
      <c r="Q34" s="132"/>
      <c r="R34" s="132"/>
      <c r="S34" s="132"/>
      <c r="T34" s="132"/>
      <c r="U34" s="132"/>
      <c r="V34" s="132"/>
      <c r="W34" s="132"/>
      <c r="X34" s="132"/>
      <c r="Y34" s="132"/>
      <c r="Z34" s="132"/>
    </row>
    <row r="35" spans="1:26" ht="11.25" customHeight="1" x14ac:dyDescent="0.3">
      <c r="A35" s="160" t="s">
        <v>203</v>
      </c>
      <c r="B35" s="161">
        <v>27</v>
      </c>
      <c r="C35" s="175" t="s">
        <v>206</v>
      </c>
      <c r="D35" s="151">
        <v>25</v>
      </c>
      <c r="E35" s="159">
        <f t="shared" si="13"/>
        <v>1.4647993907396402E-3</v>
      </c>
      <c r="F35" s="151">
        <f t="shared" si="14"/>
        <v>300</v>
      </c>
      <c r="G35" s="153">
        <f t="shared" si="15"/>
        <v>5.7692307692307692</v>
      </c>
      <c r="H35" s="130"/>
      <c r="I35" s="144" t="s">
        <v>167</v>
      </c>
      <c r="J35" s="145">
        <f>J29+J30-J31-J32</f>
        <v>3651.15</v>
      </c>
      <c r="K35" s="163">
        <f>J35/J29</f>
        <v>0.9106020550678372</v>
      </c>
      <c r="L35" s="145">
        <f>J35*26</f>
        <v>94929.900000000009</v>
      </c>
      <c r="M35" s="147">
        <f>L35/12</f>
        <v>7910.8250000000007</v>
      </c>
      <c r="N35" s="130"/>
      <c r="O35" s="131"/>
      <c r="P35" s="132"/>
      <c r="Q35" s="132"/>
      <c r="R35" s="132"/>
      <c r="S35" s="132"/>
      <c r="T35" s="132"/>
      <c r="U35" s="132"/>
      <c r="V35" s="132"/>
      <c r="W35" s="132"/>
      <c r="X35" s="132"/>
      <c r="Y35" s="132"/>
      <c r="Z35" s="132"/>
    </row>
    <row r="36" spans="1:26" ht="11.25" customHeight="1" x14ac:dyDescent="0.3">
      <c r="A36" s="160" t="s">
        <v>203</v>
      </c>
      <c r="B36" s="161">
        <v>28</v>
      </c>
      <c r="C36" s="175" t="s">
        <v>207</v>
      </c>
      <c r="D36" s="151">
        <v>25</v>
      </c>
      <c r="E36" s="159">
        <f t="shared" si="13"/>
        <v>1.4647993907396402E-3</v>
      </c>
      <c r="F36" s="151">
        <f t="shared" si="14"/>
        <v>300</v>
      </c>
      <c r="G36" s="153">
        <f t="shared" si="15"/>
        <v>5.7692307692307692</v>
      </c>
      <c r="H36" s="130"/>
      <c r="I36" s="150"/>
      <c r="J36" s="151"/>
      <c r="K36" s="159"/>
      <c r="L36" s="151"/>
      <c r="M36" s="153"/>
      <c r="N36" s="130"/>
      <c r="O36" s="131"/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</row>
    <row r="37" spans="1:26" ht="11.25" customHeight="1" x14ac:dyDescent="0.3">
      <c r="A37" s="160" t="s">
        <v>203</v>
      </c>
      <c r="B37" s="161">
        <v>29</v>
      </c>
      <c r="C37" s="175" t="s">
        <v>208</v>
      </c>
      <c r="D37" s="151">
        <v>45</v>
      </c>
      <c r="E37" s="159">
        <f t="shared" si="13"/>
        <v>2.6366389033313526E-3</v>
      </c>
      <c r="F37" s="151">
        <f t="shared" si="14"/>
        <v>540</v>
      </c>
      <c r="G37" s="153">
        <f t="shared" si="15"/>
        <v>10.384615384615385</v>
      </c>
      <c r="H37" s="130"/>
      <c r="I37" s="150" t="s">
        <v>170</v>
      </c>
      <c r="J37" s="151">
        <v>463.64</v>
      </c>
      <c r="K37" s="159">
        <f>J37/J35</f>
        <v>0.12698464867233611</v>
      </c>
      <c r="L37" s="151">
        <f t="shared" ref="L37:L41" si="16">J37*26</f>
        <v>12054.64</v>
      </c>
      <c r="M37" s="153">
        <f t="shared" ref="M37:M41" si="17">L37/12</f>
        <v>1004.5533333333333</v>
      </c>
      <c r="N37" s="130"/>
      <c r="O37" s="131"/>
      <c r="P37" s="132"/>
      <c r="Q37" s="132"/>
      <c r="R37" s="132"/>
      <c r="S37" s="132"/>
      <c r="T37" s="132"/>
      <c r="U37" s="132"/>
      <c r="V37" s="132"/>
      <c r="W37" s="132"/>
      <c r="X37" s="132"/>
      <c r="Y37" s="132"/>
      <c r="Z37" s="132"/>
    </row>
    <row r="38" spans="1:26" ht="11.25" customHeight="1" x14ac:dyDescent="0.3">
      <c r="A38" s="160" t="s">
        <v>203</v>
      </c>
      <c r="B38" s="161">
        <v>30</v>
      </c>
      <c r="C38" s="175" t="s">
        <v>209</v>
      </c>
      <c r="D38" s="151">
        <v>400</v>
      </c>
      <c r="E38" s="159">
        <f t="shared" si="13"/>
        <v>2.3436790251834243E-2</v>
      </c>
      <c r="F38" s="151">
        <f t="shared" si="14"/>
        <v>4800</v>
      </c>
      <c r="G38" s="153">
        <f t="shared" si="15"/>
        <v>92.307692307692307</v>
      </c>
      <c r="H38" s="130"/>
      <c r="I38" s="150" t="s">
        <v>172</v>
      </c>
      <c r="J38" s="151">
        <v>97</v>
      </c>
      <c r="K38" s="159">
        <f>J38/J35</f>
        <v>2.6566972049902084E-2</v>
      </c>
      <c r="L38" s="151">
        <f t="shared" si="16"/>
        <v>2522</v>
      </c>
      <c r="M38" s="153">
        <f t="shared" si="17"/>
        <v>210.16666666666666</v>
      </c>
      <c r="N38" s="130"/>
      <c r="O38" s="131"/>
      <c r="P38" s="132"/>
      <c r="Q38" s="132"/>
      <c r="R38" s="132"/>
      <c r="S38" s="132"/>
      <c r="T38" s="132"/>
      <c r="U38" s="132"/>
      <c r="V38" s="132"/>
      <c r="W38" s="132"/>
      <c r="X38" s="132"/>
      <c r="Y38" s="132"/>
      <c r="Z38" s="132"/>
    </row>
    <row r="39" spans="1:26" ht="11.25" customHeight="1" x14ac:dyDescent="0.3">
      <c r="A39" s="160" t="s">
        <v>203</v>
      </c>
      <c r="B39" s="161">
        <v>31</v>
      </c>
      <c r="C39" s="175" t="s">
        <v>210</v>
      </c>
      <c r="D39" s="151">
        <v>375</v>
      </c>
      <c r="E39" s="159">
        <f t="shared" si="13"/>
        <v>2.1971990861094606E-2</v>
      </c>
      <c r="F39" s="151">
        <f t="shared" si="14"/>
        <v>4500</v>
      </c>
      <c r="G39" s="153">
        <f t="shared" si="15"/>
        <v>86.538461538461533</v>
      </c>
      <c r="H39" s="130"/>
      <c r="I39" s="150" t="s">
        <v>173</v>
      </c>
      <c r="J39" s="151">
        <f>(J35+J32)*K39</f>
        <v>55.848635000000002</v>
      </c>
      <c r="K39" s="159">
        <v>1.4500000000000001E-2</v>
      </c>
      <c r="L39" s="151">
        <f t="shared" si="16"/>
        <v>1452.0645100000002</v>
      </c>
      <c r="M39" s="153">
        <f t="shared" si="17"/>
        <v>121.00537583333335</v>
      </c>
      <c r="N39" s="130"/>
      <c r="O39" s="131"/>
      <c r="P39" s="132"/>
      <c r="Q39" s="132"/>
      <c r="R39" s="132"/>
      <c r="S39" s="132"/>
      <c r="T39" s="132"/>
      <c r="U39" s="132"/>
      <c r="V39" s="132"/>
      <c r="W39" s="132"/>
      <c r="X39" s="132"/>
      <c r="Y39" s="132"/>
      <c r="Z39" s="132"/>
    </row>
    <row r="40" spans="1:26" ht="11.25" customHeight="1" x14ac:dyDescent="0.3">
      <c r="A40" s="160" t="s">
        <v>203</v>
      </c>
      <c r="B40" s="161">
        <v>32</v>
      </c>
      <c r="C40" s="175" t="s">
        <v>211</v>
      </c>
      <c r="D40" s="151">
        <v>100</v>
      </c>
      <c r="E40" s="159">
        <f t="shared" si="13"/>
        <v>5.8591975629585609E-3</v>
      </c>
      <c r="F40" s="151">
        <f t="shared" si="14"/>
        <v>1200</v>
      </c>
      <c r="G40" s="153">
        <f t="shared" si="15"/>
        <v>23.076923076923077</v>
      </c>
      <c r="H40" s="130"/>
      <c r="I40" s="150" t="s">
        <v>175</v>
      </c>
      <c r="J40" s="151">
        <f>(J35+J32)*K40</f>
        <v>238.80106000000001</v>
      </c>
      <c r="K40" s="159">
        <v>6.2E-2</v>
      </c>
      <c r="L40" s="151">
        <f t="shared" si="16"/>
        <v>6208.8275599999997</v>
      </c>
      <c r="M40" s="153">
        <f t="shared" si="17"/>
        <v>517.40229666666664</v>
      </c>
      <c r="N40" s="130"/>
      <c r="O40" s="131"/>
      <c r="P40" s="132"/>
      <c r="Q40" s="132"/>
      <c r="R40" s="132"/>
      <c r="S40" s="132"/>
      <c r="T40" s="132"/>
      <c r="U40" s="132"/>
      <c r="V40" s="132"/>
      <c r="W40" s="132"/>
      <c r="X40" s="132"/>
      <c r="Y40" s="132"/>
      <c r="Z40" s="132"/>
    </row>
    <row r="41" spans="1:26" ht="11.25" customHeight="1" x14ac:dyDescent="0.3">
      <c r="A41" s="160" t="s">
        <v>203</v>
      </c>
      <c r="B41" s="161">
        <v>33</v>
      </c>
      <c r="C41" s="175" t="s">
        <v>212</v>
      </c>
      <c r="D41" s="151">
        <v>85</v>
      </c>
      <c r="E41" s="159">
        <f t="shared" si="13"/>
        <v>4.9803179285147769E-3</v>
      </c>
      <c r="F41" s="151">
        <f t="shared" si="14"/>
        <v>1020</v>
      </c>
      <c r="G41" s="153">
        <f t="shared" si="15"/>
        <v>19.615384615384617</v>
      </c>
      <c r="H41" s="130"/>
      <c r="I41" s="150" t="s">
        <v>177</v>
      </c>
      <c r="J41" s="151">
        <f>K41*J29</f>
        <v>32.076799999999999</v>
      </c>
      <c r="K41" s="159">
        <v>8.0000000000000002E-3</v>
      </c>
      <c r="L41" s="151">
        <f t="shared" si="16"/>
        <v>833.99680000000001</v>
      </c>
      <c r="M41" s="153">
        <f t="shared" si="17"/>
        <v>69.499733333333339</v>
      </c>
      <c r="N41" s="130"/>
      <c r="O41" s="133"/>
      <c r="P41" s="132"/>
      <c r="Q41" s="132"/>
      <c r="R41" s="132"/>
      <c r="S41" s="132"/>
      <c r="T41" s="132"/>
      <c r="U41" s="132"/>
      <c r="V41" s="132"/>
      <c r="W41" s="132"/>
      <c r="X41" s="132"/>
      <c r="Y41" s="132"/>
      <c r="Z41" s="132"/>
    </row>
    <row r="42" spans="1:26" ht="11.25" customHeight="1" x14ac:dyDescent="0.3">
      <c r="A42" s="160" t="s">
        <v>203</v>
      </c>
      <c r="B42" s="161">
        <v>34</v>
      </c>
      <c r="C42" s="175" t="s">
        <v>213</v>
      </c>
      <c r="D42" s="151">
        <v>230</v>
      </c>
      <c r="E42" s="159">
        <f t="shared" si="13"/>
        <v>1.3476154394804691E-2</v>
      </c>
      <c r="F42" s="151">
        <f t="shared" si="14"/>
        <v>2760</v>
      </c>
      <c r="G42" s="153">
        <f t="shared" si="15"/>
        <v>53.07692307692308</v>
      </c>
      <c r="H42" s="130"/>
      <c r="I42" s="144" t="s">
        <v>181</v>
      </c>
      <c r="J42" s="145">
        <f>SUM(J37:J41)</f>
        <v>887.36649499999999</v>
      </c>
      <c r="K42" s="163">
        <f>J42/J29</f>
        <v>0.22131047860135675</v>
      </c>
      <c r="L42" s="145"/>
      <c r="M42" s="147"/>
      <c r="N42" s="130"/>
      <c r="O42" s="133"/>
      <c r="P42" s="132"/>
      <c r="Q42" s="132"/>
      <c r="R42" s="132"/>
      <c r="S42" s="132"/>
      <c r="T42" s="132"/>
      <c r="U42" s="132"/>
      <c r="V42" s="132"/>
      <c r="W42" s="132"/>
      <c r="X42" s="132"/>
      <c r="Y42" s="132"/>
      <c r="Z42" s="132"/>
    </row>
    <row r="43" spans="1:26" ht="11.25" customHeight="1" x14ac:dyDescent="0.3">
      <c r="A43" s="170" t="s">
        <v>203</v>
      </c>
      <c r="B43" s="171">
        <v>35</v>
      </c>
      <c r="C43" s="189" t="s">
        <v>214</v>
      </c>
      <c r="D43" s="142">
        <v>45</v>
      </c>
      <c r="E43" s="141">
        <f t="shared" si="13"/>
        <v>2.6366389033313526E-3</v>
      </c>
      <c r="F43" s="142">
        <f t="shared" si="14"/>
        <v>540</v>
      </c>
      <c r="G43" s="143">
        <f t="shared" si="15"/>
        <v>10.384615384615385</v>
      </c>
      <c r="H43" s="130"/>
      <c r="I43" s="150"/>
      <c r="J43" s="151"/>
      <c r="K43" s="159"/>
      <c r="L43" s="151"/>
      <c r="M43" s="153"/>
      <c r="N43" s="130"/>
      <c r="O43" s="133"/>
      <c r="P43" s="132"/>
      <c r="Q43" s="132"/>
      <c r="R43" s="132"/>
      <c r="S43" s="132"/>
      <c r="T43" s="132"/>
      <c r="U43" s="132"/>
      <c r="V43" s="132"/>
      <c r="W43" s="132"/>
      <c r="X43" s="132"/>
      <c r="Y43" s="132"/>
      <c r="Z43" s="132"/>
    </row>
    <row r="44" spans="1:26" ht="11.25" customHeight="1" x14ac:dyDescent="0.3">
      <c r="A44" s="133"/>
      <c r="B44" s="134"/>
      <c r="C44" s="130"/>
      <c r="D44" s="133"/>
      <c r="E44" s="148"/>
      <c r="F44" s="148"/>
      <c r="G44" s="148"/>
      <c r="H44" s="130"/>
      <c r="I44" s="190" t="s">
        <v>215</v>
      </c>
      <c r="J44" s="191">
        <f>J29-J33-J42</f>
        <v>2763.7835049999994</v>
      </c>
      <c r="K44" s="192">
        <f>(J44+J32)/J29</f>
        <v>0.73929157646648036</v>
      </c>
      <c r="L44" s="191">
        <f>J44*26</f>
        <v>71858.371129999985</v>
      </c>
      <c r="M44" s="193">
        <f>L44/12</f>
        <v>5988.1975941666651</v>
      </c>
      <c r="N44" s="185">
        <f>L44</f>
        <v>71858.371129999985</v>
      </c>
      <c r="O44" s="131">
        <f>N44/26</f>
        <v>2763.7835049999994</v>
      </c>
      <c r="P44" s="132"/>
      <c r="Q44" s="132"/>
      <c r="R44" s="132"/>
      <c r="S44" s="132"/>
      <c r="T44" s="132"/>
      <c r="U44" s="132"/>
      <c r="V44" s="132"/>
      <c r="W44" s="132"/>
      <c r="X44" s="132"/>
      <c r="Y44" s="132"/>
      <c r="Z44" s="132"/>
    </row>
    <row r="45" spans="1:26" ht="11.25" customHeight="1" x14ac:dyDescent="0.3">
      <c r="A45" s="135" t="s">
        <v>216</v>
      </c>
      <c r="B45" s="154">
        <v>36</v>
      </c>
      <c r="C45" s="174" t="s">
        <v>103</v>
      </c>
      <c r="D45" s="156">
        <f t="shared" ref="D45:D46" si="18">F45/12</f>
        <v>50</v>
      </c>
      <c r="E45" s="157">
        <f t="shared" ref="E45:E46" si="19">D45/$O$24</f>
        <v>2.9295987814792804E-3</v>
      </c>
      <c r="F45" s="156">
        <f>50*12</f>
        <v>600</v>
      </c>
      <c r="G45" s="158">
        <f t="shared" ref="G45:G46" si="20">F45/52</f>
        <v>11.538461538461538</v>
      </c>
      <c r="H45" s="130"/>
      <c r="I45" s="130"/>
      <c r="J45" s="133"/>
      <c r="K45" s="133"/>
      <c r="L45" s="133"/>
      <c r="M45" s="148"/>
      <c r="N45" s="130"/>
      <c r="O45" s="131"/>
      <c r="P45" s="132"/>
      <c r="Q45" s="132"/>
      <c r="R45" s="132"/>
      <c r="S45" s="132"/>
      <c r="T45" s="132"/>
      <c r="U45" s="132"/>
      <c r="V45" s="132"/>
      <c r="W45" s="132"/>
      <c r="X45" s="132"/>
      <c r="Y45" s="132"/>
      <c r="Z45" s="132"/>
    </row>
    <row r="46" spans="1:26" ht="11.25" customHeight="1" x14ac:dyDescent="0.3">
      <c r="A46" s="170" t="s">
        <v>216</v>
      </c>
      <c r="B46" s="171">
        <v>37</v>
      </c>
      <c r="C46" s="189" t="s">
        <v>217</v>
      </c>
      <c r="D46" s="142">
        <f t="shared" si="18"/>
        <v>4017.1835051599969</v>
      </c>
      <c r="E46" s="141">
        <f t="shared" si="19"/>
        <v>0.23537471803390783</v>
      </c>
      <c r="F46" s="194">
        <f>(N24-SUM(F5:F45))</f>
        <v>48206.202061919961</v>
      </c>
      <c r="G46" s="143">
        <f t="shared" si="20"/>
        <v>927.04234734461465</v>
      </c>
      <c r="H46" s="130"/>
      <c r="I46" s="130"/>
      <c r="J46" s="133"/>
      <c r="K46" s="133"/>
      <c r="L46" s="133"/>
      <c r="M46" s="148"/>
      <c r="N46" s="130"/>
      <c r="O46" s="131"/>
      <c r="P46" s="132"/>
      <c r="Q46" s="132"/>
      <c r="R46" s="132"/>
      <c r="S46" s="132"/>
      <c r="T46" s="132"/>
      <c r="U46" s="132"/>
      <c r="V46" s="132"/>
      <c r="W46" s="132"/>
      <c r="X46" s="132"/>
      <c r="Y46" s="132"/>
      <c r="Z46" s="132"/>
    </row>
    <row r="47" spans="1:26" ht="11.25" customHeight="1" x14ac:dyDescent="0.3">
      <c r="A47" s="133"/>
      <c r="B47" s="134"/>
      <c r="C47" s="130"/>
      <c r="D47" s="148"/>
      <c r="E47" s="149"/>
      <c r="F47" s="148"/>
      <c r="G47" s="148"/>
      <c r="H47" s="130"/>
      <c r="I47" s="138" t="s">
        <v>218</v>
      </c>
      <c r="J47" s="186">
        <v>82.809299999999993</v>
      </c>
      <c r="K47" s="174"/>
      <c r="L47" s="174"/>
      <c r="M47" s="187"/>
      <c r="N47" s="130"/>
      <c r="O47" s="131"/>
      <c r="P47" s="132"/>
      <c r="Q47" s="132"/>
      <c r="R47" s="132"/>
      <c r="S47" s="132"/>
      <c r="T47" s="132"/>
      <c r="U47" s="132"/>
      <c r="V47" s="132"/>
      <c r="W47" s="132"/>
      <c r="X47" s="132"/>
      <c r="Y47" s="132"/>
      <c r="Z47" s="132"/>
    </row>
    <row r="48" spans="1:26" ht="11.25" customHeight="1" x14ac:dyDescent="0.3">
      <c r="A48" s="133"/>
      <c r="B48" s="134"/>
      <c r="C48" s="130"/>
      <c r="D48" s="133"/>
      <c r="E48" s="133"/>
      <c r="F48" s="133"/>
      <c r="G48" s="133"/>
      <c r="H48" s="130"/>
      <c r="I48" s="150"/>
      <c r="J48" s="152" t="s">
        <v>198</v>
      </c>
      <c r="K48" s="152" t="s">
        <v>153</v>
      </c>
      <c r="L48" s="152" t="s">
        <v>154</v>
      </c>
      <c r="M48" s="188" t="s">
        <v>152</v>
      </c>
      <c r="N48" s="130"/>
      <c r="O48" s="131"/>
      <c r="P48" s="132"/>
      <c r="Q48" s="132"/>
      <c r="R48" s="132"/>
      <c r="S48" s="132"/>
      <c r="T48" s="132"/>
      <c r="U48" s="132"/>
      <c r="V48" s="132"/>
      <c r="W48" s="132"/>
      <c r="X48" s="132"/>
      <c r="Y48" s="132"/>
      <c r="Z48" s="132"/>
    </row>
    <row r="49" spans="1:26" ht="11.25" customHeight="1" x14ac:dyDescent="0.3">
      <c r="A49" s="133"/>
      <c r="B49" s="134"/>
      <c r="C49" s="130"/>
      <c r="D49" s="133"/>
      <c r="E49" s="133"/>
      <c r="F49" s="133"/>
      <c r="G49" s="133"/>
      <c r="H49" s="130"/>
      <c r="I49" s="150" t="s">
        <v>157</v>
      </c>
      <c r="J49" s="151">
        <f>J47*86.67</f>
        <v>7177.0820309999999</v>
      </c>
      <c r="K49" s="152"/>
      <c r="L49" s="151">
        <f>J49*24</f>
        <v>172249.96874400001</v>
      </c>
      <c r="M49" s="153">
        <f>L49/12</f>
        <v>14354.164062000002</v>
      </c>
      <c r="N49" s="130"/>
      <c r="O49" s="131"/>
      <c r="P49" s="132"/>
      <c r="Q49" s="132"/>
      <c r="R49" s="132"/>
      <c r="S49" s="132"/>
      <c r="T49" s="132"/>
      <c r="U49" s="132"/>
      <c r="V49" s="132"/>
      <c r="W49" s="132"/>
      <c r="X49" s="132"/>
      <c r="Y49" s="132"/>
      <c r="Z49" s="132"/>
    </row>
    <row r="50" spans="1:26" ht="11.25" customHeight="1" x14ac:dyDescent="0.3">
      <c r="A50" s="133"/>
      <c r="B50" s="134"/>
      <c r="C50" s="130"/>
      <c r="D50" s="133"/>
      <c r="E50" s="133"/>
      <c r="F50" s="133"/>
      <c r="G50" s="133"/>
      <c r="H50" s="130"/>
      <c r="I50" s="150" t="s">
        <v>219</v>
      </c>
      <c r="J50" s="151">
        <v>34</v>
      </c>
      <c r="K50" s="152"/>
      <c r="L50" s="151"/>
      <c r="M50" s="153"/>
      <c r="N50" s="130"/>
      <c r="O50" s="131"/>
      <c r="P50" s="132"/>
      <c r="Q50" s="132"/>
      <c r="R50" s="132"/>
      <c r="S50" s="132"/>
      <c r="T50" s="132"/>
      <c r="U50" s="132"/>
      <c r="V50" s="132"/>
      <c r="W50" s="132"/>
      <c r="X50" s="132"/>
      <c r="Y50" s="132"/>
      <c r="Z50" s="132"/>
    </row>
    <row r="51" spans="1:26" ht="11.25" customHeight="1" x14ac:dyDescent="0.3">
      <c r="A51" s="133"/>
      <c r="B51" s="134"/>
      <c r="C51" s="130"/>
      <c r="D51" s="133"/>
      <c r="E51" s="133"/>
      <c r="F51" s="133"/>
      <c r="G51" s="133"/>
      <c r="H51" s="130"/>
      <c r="I51" s="144" t="s">
        <v>220</v>
      </c>
      <c r="J51" s="145">
        <f>J49+J50</f>
        <v>7211.0820309999999</v>
      </c>
      <c r="K51" s="146"/>
      <c r="L51" s="145"/>
      <c r="M51" s="147"/>
      <c r="N51" s="130"/>
      <c r="O51" s="131"/>
      <c r="P51" s="132"/>
      <c r="Q51" s="132"/>
      <c r="R51" s="132"/>
      <c r="S51" s="132"/>
      <c r="T51" s="132"/>
      <c r="U51" s="132"/>
      <c r="V51" s="132"/>
      <c r="W51" s="132"/>
      <c r="X51" s="132"/>
      <c r="Y51" s="132"/>
      <c r="Z51" s="132"/>
    </row>
    <row r="52" spans="1:26" ht="11.25" customHeight="1" x14ac:dyDescent="0.3">
      <c r="A52" s="133"/>
      <c r="B52" s="134"/>
      <c r="C52" s="130"/>
      <c r="D52" s="195"/>
      <c r="E52" s="133"/>
      <c r="F52" s="133"/>
      <c r="G52" s="133"/>
      <c r="H52" s="130"/>
      <c r="I52" s="150"/>
      <c r="J52" s="151"/>
      <c r="K52" s="152"/>
      <c r="L52" s="151"/>
      <c r="M52" s="153"/>
      <c r="N52" s="130"/>
      <c r="O52" s="131"/>
      <c r="P52" s="132"/>
      <c r="Q52" s="132"/>
      <c r="R52" s="132"/>
      <c r="S52" s="132"/>
      <c r="T52" s="132"/>
      <c r="U52" s="132"/>
      <c r="V52" s="132"/>
      <c r="W52" s="132"/>
      <c r="X52" s="132"/>
      <c r="Y52" s="132"/>
      <c r="Z52" s="132"/>
    </row>
    <row r="53" spans="1:26" ht="11.25" customHeight="1" x14ac:dyDescent="0.3">
      <c r="A53" s="132"/>
      <c r="B53" s="132"/>
      <c r="C53" s="132"/>
      <c r="D53" s="132"/>
      <c r="E53" s="132"/>
      <c r="F53" s="132"/>
      <c r="G53" s="132"/>
      <c r="H53" s="132"/>
      <c r="I53" s="150" t="s">
        <v>221</v>
      </c>
      <c r="J53" s="151">
        <v>9.0500000000000007</v>
      </c>
      <c r="K53" s="159">
        <f>J53/J49</f>
        <v>1.2609581388244274E-3</v>
      </c>
      <c r="L53" s="151">
        <f t="shared" ref="L53:L56" si="21">J53*24</f>
        <v>217.20000000000002</v>
      </c>
      <c r="M53" s="153">
        <f t="shared" ref="M53:M56" si="22">L53/12</f>
        <v>18.100000000000001</v>
      </c>
      <c r="N53" s="130"/>
      <c r="O53" s="131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</row>
    <row r="54" spans="1:26" ht="11.25" customHeight="1" x14ac:dyDescent="0.3">
      <c r="A54" s="132"/>
      <c r="B54" s="132"/>
      <c r="C54" s="132"/>
      <c r="D54" s="132"/>
      <c r="E54" s="132"/>
      <c r="F54" s="132"/>
      <c r="G54" s="132"/>
      <c r="H54" s="132"/>
      <c r="I54" s="150" t="s">
        <v>222</v>
      </c>
      <c r="J54" s="151">
        <v>23.67</v>
      </c>
      <c r="K54" s="159">
        <f>J54/J49</f>
        <v>3.2979976956877561E-3</v>
      </c>
      <c r="L54" s="151">
        <f t="shared" si="21"/>
        <v>568.08000000000004</v>
      </c>
      <c r="M54" s="153">
        <f t="shared" si="22"/>
        <v>47.34</v>
      </c>
      <c r="N54" s="130"/>
      <c r="O54" s="131"/>
      <c r="P54" s="132"/>
      <c r="Q54" s="132"/>
      <c r="R54" s="132"/>
      <c r="S54" s="132"/>
      <c r="T54" s="132"/>
      <c r="U54" s="132"/>
      <c r="V54" s="132"/>
      <c r="W54" s="132"/>
      <c r="X54" s="132"/>
      <c r="Y54" s="132"/>
      <c r="Z54" s="132"/>
    </row>
    <row r="55" spans="1:26" ht="11.25" customHeight="1" x14ac:dyDescent="0.3">
      <c r="A55" s="132"/>
      <c r="B55" s="132"/>
      <c r="C55" s="132"/>
      <c r="D55" s="132"/>
      <c r="E55" s="132"/>
      <c r="F55" s="132"/>
      <c r="G55" s="132"/>
      <c r="H55" s="132"/>
      <c r="I55" s="150" t="s">
        <v>223</v>
      </c>
      <c r="J55" s="151">
        <v>-32.15</v>
      </c>
      <c r="K55" s="159">
        <f>J55/J49</f>
        <v>-4.4795363716248985E-3</v>
      </c>
      <c r="L55" s="151">
        <f t="shared" si="21"/>
        <v>-771.59999999999991</v>
      </c>
      <c r="M55" s="153">
        <f t="shared" si="22"/>
        <v>-64.3</v>
      </c>
      <c r="N55" s="130"/>
      <c r="O55" s="131"/>
      <c r="P55" s="132"/>
      <c r="Q55" s="132"/>
      <c r="R55" s="132"/>
      <c r="S55" s="132"/>
      <c r="T55" s="132"/>
      <c r="U55" s="132"/>
      <c r="V55" s="132"/>
      <c r="W55" s="132"/>
      <c r="X55" s="132"/>
      <c r="Y55" s="132"/>
      <c r="Z55" s="132"/>
    </row>
    <row r="56" spans="1:26" ht="11.25" customHeight="1" x14ac:dyDescent="0.3">
      <c r="A56" s="132"/>
      <c r="B56" s="132"/>
      <c r="C56" s="132"/>
      <c r="D56" s="132"/>
      <c r="E56" s="132"/>
      <c r="F56" s="132"/>
      <c r="G56" s="132"/>
      <c r="H56" s="132"/>
      <c r="I56" s="150" t="s">
        <v>162</v>
      </c>
      <c r="J56" s="151">
        <f>J49*K56</f>
        <v>502.39574217000006</v>
      </c>
      <c r="K56" s="159">
        <v>7.0000000000000007E-2</v>
      </c>
      <c r="L56" s="151">
        <f t="shared" si="21"/>
        <v>12057.497812080001</v>
      </c>
      <c r="M56" s="153">
        <f t="shared" si="22"/>
        <v>1004.79148434</v>
      </c>
      <c r="N56" s="130"/>
      <c r="O56" s="131"/>
      <c r="P56" s="132"/>
      <c r="Q56" s="132"/>
      <c r="R56" s="132"/>
      <c r="S56" s="132"/>
      <c r="T56" s="132"/>
      <c r="U56" s="132"/>
      <c r="V56" s="132"/>
      <c r="W56" s="132"/>
      <c r="X56" s="132"/>
      <c r="Y56" s="132"/>
      <c r="Z56" s="132"/>
    </row>
    <row r="57" spans="1:26" ht="11.25" customHeight="1" x14ac:dyDescent="0.3">
      <c r="A57" s="132"/>
      <c r="B57" s="132"/>
      <c r="C57" s="132"/>
      <c r="D57" s="132"/>
      <c r="E57" s="132"/>
      <c r="F57" s="132"/>
      <c r="G57" s="132"/>
      <c r="H57" s="132"/>
      <c r="I57" s="144" t="s">
        <v>164</v>
      </c>
      <c r="J57" s="145">
        <f>SUM(J53:J56)</f>
        <v>502.96574217000006</v>
      </c>
      <c r="K57" s="146"/>
      <c r="L57" s="145"/>
      <c r="M57" s="147"/>
      <c r="N57" s="131"/>
      <c r="O57" s="131"/>
      <c r="P57" s="132"/>
      <c r="Q57" s="132"/>
      <c r="R57" s="132"/>
      <c r="S57" s="132"/>
      <c r="T57" s="132"/>
      <c r="U57" s="132"/>
      <c r="V57" s="132"/>
      <c r="W57" s="132"/>
      <c r="X57" s="132"/>
      <c r="Y57" s="132"/>
      <c r="Z57" s="132"/>
    </row>
    <row r="58" spans="1:26" ht="11.25" customHeight="1" x14ac:dyDescent="0.3">
      <c r="A58" s="132"/>
      <c r="B58" s="132"/>
      <c r="C58" s="132"/>
      <c r="D58" s="132"/>
      <c r="E58" s="132"/>
      <c r="F58" s="132"/>
      <c r="G58" s="132"/>
      <c r="H58" s="132"/>
      <c r="I58" s="150"/>
      <c r="J58" s="151"/>
      <c r="K58" s="152"/>
      <c r="L58" s="151"/>
      <c r="M58" s="153"/>
      <c r="N58" s="131"/>
      <c r="O58" s="131"/>
      <c r="P58" s="132"/>
      <c r="Q58" s="132"/>
      <c r="R58" s="132"/>
      <c r="S58" s="132"/>
      <c r="T58" s="132"/>
      <c r="U58" s="132"/>
      <c r="V58" s="132"/>
      <c r="W58" s="132"/>
      <c r="X58" s="132"/>
      <c r="Y58" s="132"/>
      <c r="Z58" s="132"/>
    </row>
    <row r="59" spans="1:26" ht="11.25" customHeight="1" x14ac:dyDescent="0.3">
      <c r="A59" s="132"/>
      <c r="B59" s="132"/>
      <c r="C59" s="132"/>
      <c r="D59" s="132"/>
      <c r="E59" s="132"/>
      <c r="F59" s="132"/>
      <c r="G59" s="132"/>
      <c r="H59" s="132"/>
      <c r="I59" s="144" t="s">
        <v>167</v>
      </c>
      <c r="J59" s="145">
        <f>J51-J57</f>
        <v>6708.1162888299996</v>
      </c>
      <c r="K59" s="146"/>
      <c r="L59" s="145">
        <f>J59*24</f>
        <v>160994.79093192</v>
      </c>
      <c r="M59" s="147">
        <f>L59/12</f>
        <v>13416.232577659999</v>
      </c>
      <c r="N59" s="130"/>
      <c r="O59" s="131"/>
      <c r="P59" s="132"/>
      <c r="Q59" s="132"/>
      <c r="R59" s="132"/>
      <c r="S59" s="132"/>
      <c r="T59" s="132"/>
      <c r="U59" s="132"/>
      <c r="V59" s="132"/>
      <c r="W59" s="132"/>
      <c r="X59" s="132"/>
      <c r="Y59" s="132"/>
      <c r="Z59" s="132"/>
    </row>
    <row r="60" spans="1:26" ht="11.25" customHeight="1" x14ac:dyDescent="0.3">
      <c r="A60" s="132"/>
      <c r="B60" s="132"/>
      <c r="C60" s="132"/>
      <c r="D60" s="132"/>
      <c r="E60" s="132"/>
      <c r="F60" s="132"/>
      <c r="G60" s="132"/>
      <c r="H60" s="132"/>
      <c r="I60" s="150"/>
      <c r="J60" s="151"/>
      <c r="K60" s="152"/>
      <c r="L60" s="151"/>
      <c r="M60" s="153"/>
      <c r="N60" s="130"/>
      <c r="O60" s="131"/>
      <c r="P60" s="132"/>
      <c r="Q60" s="132"/>
      <c r="R60" s="132"/>
      <c r="S60" s="132"/>
      <c r="T60" s="132"/>
      <c r="U60" s="132"/>
      <c r="V60" s="132"/>
      <c r="W60" s="132"/>
      <c r="X60" s="132"/>
      <c r="Y60" s="132"/>
      <c r="Z60" s="132"/>
    </row>
    <row r="61" spans="1:26" ht="11.25" customHeight="1" x14ac:dyDescent="0.3">
      <c r="A61" s="132"/>
      <c r="B61" s="132"/>
      <c r="C61" s="132"/>
      <c r="D61" s="132"/>
      <c r="E61" s="132"/>
      <c r="F61" s="132"/>
      <c r="G61" s="132"/>
      <c r="H61" s="132"/>
      <c r="I61" s="150" t="s">
        <v>170</v>
      </c>
      <c r="J61" s="151">
        <v>1140.53</v>
      </c>
      <c r="K61" s="159">
        <f>J61/J59</f>
        <v>0.17002239539274985</v>
      </c>
      <c r="L61" s="151">
        <f t="shared" ref="L61:L65" si="23">J61*24</f>
        <v>27372.720000000001</v>
      </c>
      <c r="M61" s="153">
        <f t="shared" ref="M61:M65" si="24">L61/12</f>
        <v>2281.06</v>
      </c>
      <c r="N61" s="130"/>
      <c r="O61" s="131"/>
      <c r="P61" s="132"/>
      <c r="Q61" s="132"/>
      <c r="R61" s="132"/>
      <c r="S61" s="132"/>
      <c r="T61" s="132"/>
      <c r="U61" s="132"/>
      <c r="V61" s="132"/>
      <c r="W61" s="132"/>
      <c r="X61" s="132"/>
      <c r="Y61" s="132"/>
      <c r="Z61" s="132"/>
    </row>
    <row r="62" spans="1:26" ht="11.25" customHeight="1" x14ac:dyDescent="0.3">
      <c r="A62" s="132"/>
      <c r="B62" s="132"/>
      <c r="C62" s="132"/>
      <c r="D62" s="132"/>
      <c r="E62" s="132"/>
      <c r="F62" s="132"/>
      <c r="G62" s="132"/>
      <c r="H62" s="132"/>
      <c r="I62" s="150" t="s">
        <v>172</v>
      </c>
      <c r="J62" s="151">
        <v>203.9</v>
      </c>
      <c r="K62" s="159">
        <f>J62/J59</f>
        <v>3.0396014502539783E-2</v>
      </c>
      <c r="L62" s="151">
        <f t="shared" si="23"/>
        <v>4893.6000000000004</v>
      </c>
      <c r="M62" s="153">
        <f t="shared" si="24"/>
        <v>407.8</v>
      </c>
      <c r="N62" s="130"/>
      <c r="O62" s="131"/>
      <c r="P62" s="132"/>
      <c r="Q62" s="132"/>
      <c r="R62" s="132"/>
      <c r="S62" s="132"/>
      <c r="T62" s="132"/>
      <c r="U62" s="132"/>
      <c r="V62" s="132"/>
      <c r="W62" s="132"/>
      <c r="X62" s="132"/>
      <c r="Y62" s="132"/>
      <c r="Z62" s="132"/>
    </row>
    <row r="63" spans="1:26" ht="11.25" customHeight="1" x14ac:dyDescent="0.3">
      <c r="A63" s="132"/>
      <c r="B63" s="132"/>
      <c r="C63" s="132"/>
      <c r="D63" s="132"/>
      <c r="E63" s="132"/>
      <c r="F63" s="132"/>
      <c r="G63" s="132"/>
      <c r="H63" s="132"/>
      <c r="I63" s="150" t="s">
        <v>173</v>
      </c>
      <c r="J63" s="151">
        <v>104.55</v>
      </c>
      <c r="K63" s="159">
        <f>J63/J51</f>
        <v>1.4498517635847984E-2</v>
      </c>
      <c r="L63" s="151">
        <f t="shared" si="23"/>
        <v>2509.1999999999998</v>
      </c>
      <c r="M63" s="153">
        <f t="shared" si="24"/>
        <v>209.1</v>
      </c>
      <c r="N63" s="130"/>
      <c r="O63" s="131"/>
      <c r="P63" s="132"/>
      <c r="Q63" s="132"/>
      <c r="R63" s="132"/>
      <c r="S63" s="132"/>
      <c r="T63" s="132"/>
      <c r="U63" s="132"/>
      <c r="V63" s="132"/>
      <c r="W63" s="132"/>
      <c r="X63" s="132"/>
      <c r="Y63" s="132"/>
      <c r="Z63" s="132"/>
    </row>
    <row r="64" spans="1:26" ht="11.25" customHeight="1" x14ac:dyDescent="0.3">
      <c r="A64" s="132"/>
      <c r="B64" s="132"/>
      <c r="C64" s="132"/>
      <c r="D64" s="132"/>
      <c r="E64" s="132"/>
      <c r="F64" s="132"/>
      <c r="G64" s="132"/>
      <c r="H64" s="132"/>
      <c r="I64" s="150" t="s">
        <v>175</v>
      </c>
      <c r="J64" s="151">
        <v>447.05</v>
      </c>
      <c r="K64" s="159">
        <f>J64/J51</f>
        <v>6.1994857093312691E-2</v>
      </c>
      <c r="L64" s="151">
        <f t="shared" si="23"/>
        <v>10729.2</v>
      </c>
      <c r="M64" s="153">
        <f t="shared" si="24"/>
        <v>894.1</v>
      </c>
      <c r="N64" s="130"/>
      <c r="O64" s="131"/>
      <c r="P64" s="132"/>
      <c r="Q64" s="132"/>
      <c r="R64" s="132"/>
      <c r="S64" s="132"/>
      <c r="T64" s="132"/>
      <c r="U64" s="132"/>
      <c r="V64" s="132"/>
      <c r="W64" s="132"/>
      <c r="X64" s="132"/>
      <c r="Y64" s="132"/>
      <c r="Z64" s="132"/>
    </row>
    <row r="65" spans="1:26" ht="11.25" customHeight="1" x14ac:dyDescent="0.3">
      <c r="A65" s="132"/>
      <c r="B65" s="132"/>
      <c r="C65" s="132"/>
      <c r="D65" s="132"/>
      <c r="E65" s="132"/>
      <c r="F65" s="132"/>
      <c r="G65" s="132"/>
      <c r="H65" s="132"/>
      <c r="I65" s="150" t="s">
        <v>179</v>
      </c>
      <c r="J65" s="151">
        <v>180.26</v>
      </c>
      <c r="K65" s="159">
        <f>J65/J51</f>
        <v>2.4997635476211932E-2</v>
      </c>
      <c r="L65" s="151">
        <f t="shared" si="23"/>
        <v>4326.24</v>
      </c>
      <c r="M65" s="153">
        <f t="shared" si="24"/>
        <v>360.52</v>
      </c>
      <c r="N65" s="130"/>
      <c r="O65" s="131"/>
      <c r="P65" s="132"/>
      <c r="Q65" s="132"/>
      <c r="R65" s="132"/>
      <c r="S65" s="132"/>
      <c r="T65" s="132"/>
      <c r="U65" s="132"/>
      <c r="V65" s="132"/>
      <c r="W65" s="132"/>
      <c r="X65" s="132"/>
      <c r="Y65" s="132"/>
      <c r="Z65" s="132"/>
    </row>
    <row r="66" spans="1:26" ht="11.25" customHeight="1" x14ac:dyDescent="0.3">
      <c r="A66" s="132"/>
      <c r="B66" s="132"/>
      <c r="C66" s="132"/>
      <c r="D66" s="132"/>
      <c r="E66" s="132"/>
      <c r="F66" s="132"/>
      <c r="G66" s="132"/>
      <c r="H66" s="132"/>
      <c r="I66" s="144" t="s">
        <v>181</v>
      </c>
      <c r="J66" s="145">
        <f>SUM(J61:J65)</f>
        <v>2076.29</v>
      </c>
      <c r="K66" s="163">
        <f>J66/J49</f>
        <v>0.28929445017235028</v>
      </c>
      <c r="L66" s="145"/>
      <c r="M66" s="147"/>
      <c r="N66" s="130"/>
      <c r="O66" s="131"/>
      <c r="P66" s="132"/>
      <c r="Q66" s="132"/>
      <c r="R66" s="132"/>
      <c r="S66" s="132"/>
      <c r="T66" s="132"/>
      <c r="U66" s="132"/>
      <c r="V66" s="132"/>
      <c r="W66" s="132"/>
      <c r="X66" s="132"/>
      <c r="Y66" s="132"/>
      <c r="Z66" s="132"/>
    </row>
    <row r="67" spans="1:26" ht="11.25" customHeight="1" x14ac:dyDescent="0.3">
      <c r="A67" s="132"/>
      <c r="B67" s="132"/>
      <c r="C67" s="132"/>
      <c r="D67" s="132"/>
      <c r="E67" s="132"/>
      <c r="F67" s="132"/>
      <c r="G67" s="132"/>
      <c r="H67" s="132"/>
      <c r="I67" s="150"/>
      <c r="J67" s="151"/>
      <c r="K67" s="152"/>
      <c r="L67" s="151"/>
      <c r="M67" s="153"/>
      <c r="N67" s="130"/>
      <c r="O67" s="131"/>
      <c r="P67" s="132"/>
      <c r="Q67" s="132"/>
      <c r="R67" s="132"/>
      <c r="S67" s="132"/>
      <c r="T67" s="132"/>
      <c r="U67" s="132"/>
      <c r="V67" s="132"/>
      <c r="W67" s="132"/>
      <c r="X67" s="132"/>
      <c r="Y67" s="132"/>
      <c r="Z67" s="132"/>
    </row>
    <row r="68" spans="1:26" ht="11.25" customHeight="1" x14ac:dyDescent="0.3">
      <c r="A68" s="132"/>
      <c r="B68" s="132"/>
      <c r="C68" s="132"/>
      <c r="D68" s="132"/>
      <c r="E68" s="132"/>
      <c r="F68" s="132"/>
      <c r="G68" s="132"/>
      <c r="H68" s="132"/>
      <c r="I68" s="190" t="s">
        <v>215</v>
      </c>
      <c r="J68" s="191">
        <f>J49-J57-J66</f>
        <v>4597.8262888299996</v>
      </c>
      <c r="K68" s="192">
        <f>(J68+J56)/J49</f>
        <v>0.71062613036476241</v>
      </c>
      <c r="L68" s="191">
        <f>J68*24</f>
        <v>110347.83093191999</v>
      </c>
      <c r="M68" s="193">
        <f>L68/12</f>
        <v>9195.6525776599992</v>
      </c>
      <c r="N68" s="185">
        <f>L68</f>
        <v>110347.83093191999</v>
      </c>
      <c r="O68" s="131">
        <f>N68/24</f>
        <v>4597.8262888299996</v>
      </c>
      <c r="P68" s="132"/>
      <c r="Q68" s="132"/>
      <c r="R68" s="132"/>
      <c r="S68" s="132"/>
      <c r="T68" s="132"/>
      <c r="U68" s="132"/>
      <c r="V68" s="132"/>
      <c r="W68" s="132"/>
      <c r="X68" s="132"/>
      <c r="Y68" s="132"/>
      <c r="Z68" s="132"/>
    </row>
    <row r="69" spans="1:26" ht="11.25" customHeight="1" x14ac:dyDescent="0.3">
      <c r="A69" s="132"/>
      <c r="B69" s="132"/>
      <c r="C69" s="132"/>
      <c r="D69" s="132"/>
      <c r="E69" s="132"/>
      <c r="F69" s="132"/>
      <c r="G69" s="132"/>
      <c r="H69" s="132"/>
      <c r="I69" s="132"/>
      <c r="J69" s="132"/>
      <c r="K69" s="132"/>
      <c r="L69" s="132"/>
      <c r="M69" s="132"/>
      <c r="N69" s="132"/>
      <c r="O69" s="132"/>
      <c r="P69" s="132"/>
      <c r="Q69" s="132"/>
      <c r="R69" s="132"/>
      <c r="S69" s="132"/>
      <c r="T69" s="132"/>
      <c r="U69" s="132"/>
      <c r="V69" s="132"/>
      <c r="W69" s="132"/>
      <c r="X69" s="132"/>
      <c r="Y69" s="132"/>
      <c r="Z69" s="132"/>
    </row>
    <row r="70" spans="1:26" ht="11.25" customHeight="1" x14ac:dyDescent="0.3">
      <c r="A70" s="132"/>
      <c r="B70" s="132"/>
      <c r="C70" s="132"/>
      <c r="D70" s="132"/>
      <c r="E70" s="132"/>
      <c r="F70" s="132"/>
      <c r="G70" s="132"/>
      <c r="H70" s="132"/>
      <c r="I70" s="132"/>
      <c r="J70" s="132"/>
      <c r="K70" s="132"/>
      <c r="L70" s="132"/>
      <c r="M70" s="132"/>
      <c r="N70" s="132"/>
      <c r="O70" s="132"/>
      <c r="P70" s="132"/>
      <c r="Q70" s="132"/>
      <c r="R70" s="132"/>
      <c r="S70" s="132"/>
      <c r="T70" s="132"/>
      <c r="U70" s="132"/>
      <c r="V70" s="132"/>
      <c r="W70" s="132"/>
      <c r="X70" s="132"/>
      <c r="Y70" s="132"/>
      <c r="Z70" s="132"/>
    </row>
    <row r="71" spans="1:26" ht="11.25" customHeight="1" x14ac:dyDescent="0.3">
      <c r="A71" s="132"/>
      <c r="B71" s="132"/>
      <c r="C71" s="132"/>
      <c r="D71" s="132"/>
      <c r="E71" s="132"/>
      <c r="F71" s="132"/>
      <c r="G71" s="132"/>
      <c r="H71" s="132"/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132"/>
      <c r="T71" s="132"/>
      <c r="U71" s="132"/>
      <c r="V71" s="132"/>
      <c r="W71" s="132"/>
      <c r="X71" s="132"/>
      <c r="Y71" s="132"/>
      <c r="Z71" s="132"/>
    </row>
    <row r="72" spans="1:26" ht="11.25" customHeight="1" x14ac:dyDescent="0.3">
      <c r="A72" s="132"/>
      <c r="B72" s="132"/>
      <c r="C72" s="132"/>
      <c r="D72" s="132"/>
      <c r="E72" s="132"/>
      <c r="F72" s="132"/>
      <c r="G72" s="132"/>
      <c r="H72" s="132"/>
      <c r="I72" s="132"/>
      <c r="J72" s="132"/>
      <c r="K72" s="132"/>
      <c r="L72" s="132"/>
      <c r="M72" s="132"/>
      <c r="N72" s="132"/>
      <c r="O72" s="132"/>
      <c r="P72" s="132"/>
      <c r="Q72" s="132"/>
      <c r="R72" s="132"/>
      <c r="S72" s="132"/>
      <c r="T72" s="132"/>
      <c r="U72" s="132"/>
      <c r="V72" s="132"/>
      <c r="W72" s="132"/>
      <c r="X72" s="132"/>
      <c r="Y72" s="132"/>
      <c r="Z72" s="132"/>
    </row>
    <row r="73" spans="1:26" ht="11.25" customHeight="1" x14ac:dyDescent="0.3">
      <c r="A73" s="132"/>
      <c r="B73" s="132"/>
      <c r="C73" s="132"/>
      <c r="D73" s="132"/>
      <c r="E73" s="132"/>
      <c r="F73" s="132"/>
      <c r="G73" s="132"/>
      <c r="H73" s="132"/>
      <c r="I73" s="132"/>
      <c r="J73" s="132"/>
      <c r="K73" s="132"/>
      <c r="L73" s="132"/>
      <c r="M73" s="132"/>
      <c r="N73" s="132"/>
      <c r="O73" s="132"/>
      <c r="P73" s="132"/>
      <c r="Q73" s="132"/>
      <c r="R73" s="132"/>
      <c r="S73" s="132"/>
      <c r="T73" s="132"/>
      <c r="U73" s="132"/>
      <c r="V73" s="132"/>
      <c r="W73" s="132"/>
      <c r="X73" s="132"/>
      <c r="Y73" s="132"/>
      <c r="Z73" s="132"/>
    </row>
    <row r="74" spans="1:26" ht="11.25" customHeight="1" x14ac:dyDescent="0.3">
      <c r="A74" s="132"/>
      <c r="B74" s="132"/>
      <c r="C74" s="132"/>
      <c r="D74" s="132"/>
      <c r="E74" s="132"/>
      <c r="F74" s="132"/>
      <c r="G74" s="132"/>
      <c r="H74" s="132"/>
      <c r="I74" s="132"/>
      <c r="J74" s="132"/>
      <c r="K74" s="132"/>
      <c r="L74" s="132"/>
      <c r="M74" s="132"/>
      <c r="N74" s="132"/>
      <c r="O74" s="132"/>
      <c r="P74" s="132"/>
      <c r="Q74" s="132"/>
      <c r="R74" s="132"/>
      <c r="S74" s="132"/>
      <c r="T74" s="132"/>
      <c r="U74" s="132"/>
      <c r="V74" s="132"/>
      <c r="W74" s="132"/>
      <c r="X74" s="132"/>
      <c r="Y74" s="132"/>
      <c r="Z74" s="132"/>
    </row>
    <row r="75" spans="1:26" ht="11.25" customHeight="1" x14ac:dyDescent="0.3">
      <c r="A75" s="132"/>
      <c r="B75" s="132"/>
      <c r="C75" s="132"/>
      <c r="D75" s="132"/>
      <c r="E75" s="132"/>
      <c r="F75" s="132"/>
      <c r="G75" s="132"/>
      <c r="H75" s="132"/>
      <c r="I75" s="132"/>
      <c r="J75" s="132"/>
      <c r="K75" s="132"/>
      <c r="L75" s="132"/>
      <c r="M75" s="132"/>
      <c r="N75" s="132"/>
      <c r="O75" s="132"/>
      <c r="P75" s="132"/>
      <c r="Q75" s="132"/>
      <c r="R75" s="132"/>
      <c r="S75" s="132"/>
      <c r="T75" s="132"/>
      <c r="U75" s="132"/>
      <c r="V75" s="132"/>
      <c r="W75" s="132"/>
      <c r="X75" s="132"/>
      <c r="Y75" s="132"/>
      <c r="Z75" s="132"/>
    </row>
    <row r="76" spans="1:26" ht="11.25" customHeight="1" x14ac:dyDescent="0.3">
      <c r="A76" s="132"/>
      <c r="B76" s="132"/>
      <c r="C76" s="132"/>
      <c r="D76" s="132"/>
      <c r="E76" s="132"/>
      <c r="F76" s="132"/>
      <c r="G76" s="132"/>
      <c r="H76" s="132"/>
      <c r="I76" s="132"/>
      <c r="J76" s="132"/>
      <c r="K76" s="132"/>
      <c r="L76" s="132"/>
      <c r="M76" s="132"/>
      <c r="N76" s="132"/>
      <c r="O76" s="132"/>
      <c r="P76" s="132"/>
      <c r="Q76" s="132"/>
      <c r="R76" s="132"/>
      <c r="S76" s="132"/>
      <c r="T76" s="132"/>
      <c r="U76" s="132"/>
      <c r="V76" s="132"/>
      <c r="W76" s="132"/>
      <c r="X76" s="132"/>
      <c r="Y76" s="132"/>
      <c r="Z76" s="132"/>
    </row>
    <row r="77" spans="1:26" ht="11.25" customHeight="1" x14ac:dyDescent="0.3">
      <c r="A77" s="132"/>
      <c r="B77" s="132"/>
      <c r="C77" s="132"/>
      <c r="D77" s="132"/>
      <c r="E77" s="132"/>
      <c r="F77" s="132"/>
      <c r="G77" s="132"/>
      <c r="H77" s="132"/>
      <c r="I77" s="132"/>
      <c r="J77" s="132"/>
      <c r="K77" s="132"/>
      <c r="L77" s="132"/>
      <c r="M77" s="132"/>
      <c r="N77" s="132"/>
      <c r="O77" s="132"/>
      <c r="P77" s="132"/>
      <c r="Q77" s="132"/>
      <c r="R77" s="132"/>
      <c r="S77" s="132"/>
      <c r="T77" s="132"/>
      <c r="U77" s="132"/>
      <c r="V77" s="132"/>
      <c r="W77" s="132"/>
      <c r="X77" s="132"/>
      <c r="Y77" s="132"/>
      <c r="Z77" s="132"/>
    </row>
    <row r="78" spans="1:26" ht="11.25" customHeight="1" x14ac:dyDescent="0.3">
      <c r="A78" s="132"/>
      <c r="B78" s="132"/>
      <c r="C78" s="132"/>
      <c r="D78" s="132"/>
      <c r="E78" s="132"/>
      <c r="F78" s="132"/>
      <c r="G78" s="132"/>
      <c r="H78" s="132"/>
      <c r="I78" s="132"/>
      <c r="J78" s="132"/>
      <c r="K78" s="132"/>
      <c r="L78" s="132"/>
      <c r="M78" s="132"/>
      <c r="N78" s="132"/>
      <c r="O78" s="132"/>
      <c r="P78" s="132"/>
      <c r="Q78" s="132"/>
      <c r="R78" s="132"/>
      <c r="S78" s="132"/>
      <c r="T78" s="132"/>
      <c r="U78" s="132"/>
      <c r="V78" s="132"/>
      <c r="W78" s="132"/>
      <c r="X78" s="132"/>
      <c r="Y78" s="132"/>
      <c r="Z78" s="132"/>
    </row>
    <row r="79" spans="1:26" ht="11.25" customHeight="1" x14ac:dyDescent="0.3">
      <c r="A79" s="132"/>
      <c r="B79" s="132"/>
      <c r="C79" s="132"/>
      <c r="D79" s="132"/>
      <c r="E79" s="132"/>
      <c r="F79" s="132"/>
      <c r="G79" s="132"/>
      <c r="H79" s="132"/>
      <c r="I79" s="132"/>
      <c r="J79" s="132"/>
      <c r="K79" s="132"/>
      <c r="L79" s="132"/>
      <c r="M79" s="132"/>
      <c r="N79" s="132"/>
      <c r="O79" s="132"/>
      <c r="P79" s="132"/>
      <c r="Q79" s="132"/>
      <c r="R79" s="132"/>
      <c r="S79" s="132"/>
      <c r="T79" s="132"/>
      <c r="U79" s="132"/>
      <c r="V79" s="132"/>
      <c r="W79" s="132"/>
      <c r="X79" s="132"/>
      <c r="Y79" s="132"/>
      <c r="Z79" s="132"/>
    </row>
    <row r="80" spans="1:26" ht="11.25" customHeight="1" x14ac:dyDescent="0.3">
      <c r="A80" s="132"/>
      <c r="B80" s="132"/>
      <c r="C80" s="132"/>
      <c r="D80" s="132"/>
      <c r="E80" s="132"/>
      <c r="F80" s="132"/>
      <c r="G80" s="132"/>
      <c r="H80" s="132"/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132"/>
      <c r="T80" s="132"/>
      <c r="U80" s="132"/>
      <c r="V80" s="132"/>
      <c r="W80" s="132"/>
      <c r="X80" s="132"/>
      <c r="Y80" s="132"/>
      <c r="Z80" s="132"/>
    </row>
    <row r="81" spans="1:26" ht="11.25" customHeight="1" x14ac:dyDescent="0.3">
      <c r="A81" s="132"/>
      <c r="B81" s="132"/>
      <c r="C81" s="132"/>
      <c r="D81" s="132"/>
      <c r="E81" s="132"/>
      <c r="F81" s="132"/>
      <c r="G81" s="132"/>
      <c r="H81" s="132"/>
      <c r="I81" s="132"/>
      <c r="J81" s="132"/>
      <c r="K81" s="132"/>
      <c r="L81" s="132"/>
      <c r="M81" s="132"/>
      <c r="N81" s="132"/>
      <c r="O81" s="132"/>
      <c r="P81" s="132"/>
      <c r="Q81" s="132"/>
      <c r="R81" s="132"/>
      <c r="S81" s="132"/>
      <c r="T81" s="132"/>
      <c r="U81" s="132"/>
      <c r="V81" s="132"/>
      <c r="W81" s="132"/>
      <c r="X81" s="132"/>
      <c r="Y81" s="132"/>
      <c r="Z81" s="132"/>
    </row>
    <row r="82" spans="1:26" ht="11.25" customHeight="1" x14ac:dyDescent="0.3">
      <c r="A82" s="132"/>
      <c r="B82" s="132"/>
      <c r="C82" s="132"/>
      <c r="D82" s="132"/>
      <c r="E82" s="132"/>
      <c r="F82" s="132"/>
      <c r="G82" s="132"/>
      <c r="H82" s="132"/>
      <c r="I82" s="132"/>
      <c r="J82" s="132"/>
      <c r="K82" s="132"/>
      <c r="L82" s="132"/>
      <c r="M82" s="132"/>
      <c r="N82" s="132"/>
      <c r="O82" s="132"/>
      <c r="P82" s="132"/>
      <c r="Q82" s="132"/>
      <c r="R82" s="132"/>
      <c r="S82" s="132"/>
      <c r="T82" s="132"/>
      <c r="U82" s="132"/>
      <c r="V82" s="132"/>
      <c r="W82" s="132"/>
      <c r="X82" s="132"/>
      <c r="Y82" s="132"/>
      <c r="Z82" s="132"/>
    </row>
    <row r="83" spans="1:26" ht="11.25" customHeight="1" x14ac:dyDescent="0.3">
      <c r="A83" s="132"/>
      <c r="B83" s="132"/>
      <c r="C83" s="132"/>
      <c r="D83" s="132"/>
      <c r="E83" s="132"/>
      <c r="F83" s="132"/>
      <c r="G83" s="132"/>
      <c r="H83" s="132"/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132"/>
      <c r="T83" s="132"/>
      <c r="U83" s="132"/>
      <c r="V83" s="132"/>
      <c r="W83" s="132"/>
      <c r="X83" s="132"/>
      <c r="Y83" s="132"/>
      <c r="Z83" s="132"/>
    </row>
    <row r="84" spans="1:26" ht="11.25" customHeight="1" x14ac:dyDescent="0.3">
      <c r="A84" s="132"/>
      <c r="B84" s="132"/>
      <c r="C84" s="132"/>
      <c r="D84" s="132"/>
      <c r="E84" s="132"/>
      <c r="F84" s="132"/>
      <c r="G84" s="132"/>
      <c r="H84" s="132"/>
      <c r="I84" s="132"/>
      <c r="J84" s="132"/>
      <c r="K84" s="132"/>
      <c r="L84" s="132"/>
      <c r="M84" s="132"/>
      <c r="N84" s="132"/>
      <c r="O84" s="132"/>
      <c r="P84" s="132"/>
      <c r="Q84" s="132"/>
      <c r="R84" s="132"/>
      <c r="S84" s="132"/>
      <c r="T84" s="132"/>
      <c r="U84" s="132"/>
      <c r="V84" s="132"/>
      <c r="W84" s="132"/>
      <c r="X84" s="132"/>
      <c r="Y84" s="132"/>
      <c r="Z84" s="132"/>
    </row>
    <row r="85" spans="1:26" ht="11.25" customHeight="1" x14ac:dyDescent="0.3">
      <c r="A85" s="132"/>
      <c r="B85" s="132"/>
      <c r="C85" s="132"/>
      <c r="D85" s="132"/>
      <c r="E85" s="132"/>
      <c r="F85" s="132"/>
      <c r="G85" s="132"/>
      <c r="H85" s="132"/>
      <c r="I85" s="132"/>
      <c r="J85" s="132"/>
      <c r="K85" s="132"/>
      <c r="L85" s="132"/>
      <c r="M85" s="132"/>
      <c r="N85" s="132"/>
      <c r="O85" s="132"/>
      <c r="P85" s="132"/>
      <c r="Q85" s="132"/>
      <c r="R85" s="132"/>
      <c r="S85" s="132"/>
      <c r="T85" s="132"/>
      <c r="U85" s="132"/>
      <c r="V85" s="132"/>
      <c r="W85" s="132"/>
      <c r="X85" s="132"/>
      <c r="Y85" s="132"/>
      <c r="Z85" s="132"/>
    </row>
    <row r="86" spans="1:26" ht="11.25" customHeight="1" x14ac:dyDescent="0.3">
      <c r="A86" s="132"/>
      <c r="B86" s="132"/>
      <c r="C86" s="132"/>
      <c r="D86" s="132"/>
      <c r="E86" s="132"/>
      <c r="F86" s="132"/>
      <c r="G86" s="132"/>
      <c r="H86" s="132"/>
      <c r="I86" s="132"/>
      <c r="J86" s="132"/>
      <c r="K86" s="132"/>
      <c r="L86" s="132"/>
      <c r="M86" s="132"/>
      <c r="N86" s="132"/>
      <c r="O86" s="132"/>
      <c r="P86" s="132"/>
      <c r="Q86" s="132"/>
      <c r="R86" s="132"/>
      <c r="S86" s="132"/>
      <c r="T86" s="132"/>
      <c r="U86" s="132"/>
      <c r="V86" s="132"/>
      <c r="W86" s="132"/>
      <c r="X86" s="132"/>
      <c r="Y86" s="132"/>
      <c r="Z86" s="132"/>
    </row>
    <row r="87" spans="1:26" ht="11.25" customHeight="1" x14ac:dyDescent="0.3">
      <c r="A87" s="132"/>
      <c r="B87" s="132"/>
      <c r="C87" s="132"/>
      <c r="D87" s="132"/>
      <c r="E87" s="132"/>
      <c r="F87" s="132"/>
      <c r="G87" s="132"/>
      <c r="H87" s="132"/>
      <c r="I87" s="132"/>
      <c r="J87" s="132"/>
      <c r="K87" s="132"/>
      <c r="L87" s="132"/>
      <c r="M87" s="132"/>
      <c r="N87" s="132"/>
      <c r="O87" s="132"/>
      <c r="P87" s="132"/>
      <c r="Q87" s="132"/>
      <c r="R87" s="132"/>
      <c r="S87" s="132"/>
      <c r="T87" s="132"/>
      <c r="U87" s="132"/>
      <c r="V87" s="132"/>
      <c r="W87" s="132"/>
      <c r="X87" s="132"/>
      <c r="Y87" s="132"/>
      <c r="Z87" s="132"/>
    </row>
    <row r="88" spans="1:26" ht="11.25" customHeight="1" x14ac:dyDescent="0.3">
      <c r="A88" s="132"/>
      <c r="B88" s="132"/>
      <c r="C88" s="132"/>
      <c r="D88" s="132"/>
      <c r="E88" s="132"/>
      <c r="F88" s="132"/>
      <c r="G88" s="132"/>
      <c r="H88" s="132"/>
      <c r="I88" s="132"/>
      <c r="J88" s="132"/>
      <c r="K88" s="132"/>
      <c r="L88" s="132"/>
      <c r="M88" s="132"/>
      <c r="N88" s="132"/>
      <c r="O88" s="132"/>
      <c r="P88" s="132"/>
      <c r="Q88" s="132"/>
      <c r="R88" s="132"/>
      <c r="S88" s="132"/>
      <c r="T88" s="132"/>
      <c r="U88" s="132"/>
      <c r="V88" s="132"/>
      <c r="W88" s="132"/>
      <c r="X88" s="132"/>
      <c r="Y88" s="132"/>
      <c r="Z88" s="132"/>
    </row>
    <row r="89" spans="1:26" ht="11.25" customHeight="1" x14ac:dyDescent="0.3">
      <c r="A89" s="132"/>
      <c r="B89" s="132"/>
      <c r="C89" s="132"/>
      <c r="D89" s="132"/>
      <c r="E89" s="132"/>
      <c r="F89" s="132"/>
      <c r="G89" s="132"/>
      <c r="H89" s="132"/>
      <c r="I89" s="132"/>
      <c r="J89" s="132"/>
      <c r="K89" s="132"/>
      <c r="L89" s="132"/>
      <c r="M89" s="132"/>
      <c r="N89" s="132"/>
      <c r="O89" s="132"/>
      <c r="P89" s="132"/>
      <c r="Q89" s="132"/>
      <c r="R89" s="132"/>
      <c r="S89" s="132"/>
      <c r="T89" s="132"/>
      <c r="U89" s="132"/>
      <c r="V89" s="132"/>
      <c r="W89" s="132"/>
      <c r="X89" s="132"/>
      <c r="Y89" s="132"/>
      <c r="Z89" s="132"/>
    </row>
    <row r="90" spans="1:26" ht="11.25" customHeight="1" x14ac:dyDescent="0.3">
      <c r="A90" s="132"/>
      <c r="B90" s="132"/>
      <c r="C90" s="132"/>
      <c r="D90" s="132"/>
      <c r="E90" s="132"/>
      <c r="F90" s="132"/>
      <c r="G90" s="132"/>
      <c r="H90" s="132"/>
      <c r="I90" s="132"/>
      <c r="J90" s="132"/>
      <c r="K90" s="132"/>
      <c r="L90" s="132"/>
      <c r="M90" s="132"/>
      <c r="N90" s="132"/>
      <c r="O90" s="132"/>
      <c r="P90" s="132"/>
      <c r="Q90" s="132"/>
      <c r="R90" s="132"/>
      <c r="S90" s="132"/>
      <c r="T90" s="132"/>
      <c r="U90" s="132"/>
      <c r="V90" s="132"/>
      <c r="W90" s="132"/>
      <c r="X90" s="132"/>
      <c r="Y90" s="132"/>
      <c r="Z90" s="132"/>
    </row>
    <row r="91" spans="1:26" ht="11.25" customHeight="1" x14ac:dyDescent="0.3">
      <c r="A91" s="132"/>
      <c r="B91" s="132"/>
      <c r="C91" s="132"/>
      <c r="D91" s="132"/>
      <c r="E91" s="132"/>
      <c r="F91" s="132"/>
      <c r="G91" s="132"/>
      <c r="H91" s="132"/>
      <c r="I91" s="132"/>
      <c r="J91" s="132"/>
      <c r="K91" s="132"/>
      <c r="L91" s="132"/>
      <c r="M91" s="132"/>
      <c r="N91" s="132"/>
      <c r="O91" s="132"/>
      <c r="P91" s="132"/>
      <c r="Q91" s="132"/>
      <c r="R91" s="132"/>
      <c r="S91" s="132"/>
      <c r="T91" s="132"/>
      <c r="U91" s="132"/>
      <c r="V91" s="132"/>
      <c r="W91" s="132"/>
      <c r="X91" s="132"/>
      <c r="Y91" s="132"/>
      <c r="Z91" s="132"/>
    </row>
    <row r="92" spans="1:26" ht="11.25" customHeight="1" x14ac:dyDescent="0.3">
      <c r="A92" s="132"/>
      <c r="B92" s="132"/>
      <c r="C92" s="132"/>
      <c r="D92" s="132"/>
      <c r="E92" s="132"/>
      <c r="F92" s="132"/>
      <c r="G92" s="132"/>
      <c r="H92" s="132"/>
      <c r="I92" s="132"/>
      <c r="J92" s="132"/>
      <c r="K92" s="132"/>
      <c r="L92" s="132"/>
      <c r="M92" s="132"/>
      <c r="N92" s="132"/>
      <c r="O92" s="132"/>
      <c r="P92" s="132"/>
      <c r="Q92" s="132"/>
      <c r="R92" s="132"/>
      <c r="S92" s="132"/>
      <c r="T92" s="132"/>
      <c r="U92" s="132"/>
      <c r="V92" s="132"/>
      <c r="W92" s="132"/>
      <c r="X92" s="132"/>
      <c r="Y92" s="132"/>
      <c r="Z92" s="132"/>
    </row>
    <row r="93" spans="1:26" ht="11.25" customHeight="1" x14ac:dyDescent="0.3">
      <c r="A93" s="132"/>
      <c r="B93" s="132"/>
      <c r="C93" s="132"/>
      <c r="D93" s="132"/>
      <c r="E93" s="132"/>
      <c r="F93" s="132"/>
      <c r="G93" s="132"/>
      <c r="H93" s="132"/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132"/>
      <c r="T93" s="132"/>
      <c r="U93" s="132"/>
      <c r="V93" s="132"/>
      <c r="W93" s="132"/>
      <c r="X93" s="132"/>
      <c r="Y93" s="132"/>
      <c r="Z93" s="132"/>
    </row>
    <row r="94" spans="1:26" ht="11.25" customHeight="1" x14ac:dyDescent="0.3">
      <c r="A94" s="132"/>
      <c r="B94" s="132"/>
      <c r="C94" s="132"/>
      <c r="D94" s="132"/>
      <c r="E94" s="132"/>
      <c r="F94" s="132"/>
      <c r="G94" s="132"/>
      <c r="H94" s="132"/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132"/>
      <c r="T94" s="132"/>
      <c r="U94" s="132"/>
      <c r="V94" s="132"/>
      <c r="W94" s="132"/>
      <c r="X94" s="132"/>
      <c r="Y94" s="132"/>
      <c r="Z94" s="132"/>
    </row>
    <row r="95" spans="1:26" ht="11.25" customHeight="1" x14ac:dyDescent="0.3">
      <c r="A95" s="132"/>
      <c r="B95" s="132"/>
      <c r="C95" s="132"/>
      <c r="D95" s="132"/>
      <c r="E95" s="132"/>
      <c r="F95" s="132"/>
      <c r="G95" s="132"/>
      <c r="H95" s="132"/>
      <c r="I95" s="132"/>
      <c r="J95" s="132"/>
      <c r="K95" s="132"/>
      <c r="L95" s="132"/>
      <c r="M95" s="132"/>
      <c r="N95" s="132"/>
      <c r="O95" s="132"/>
      <c r="P95" s="132"/>
      <c r="Q95" s="132"/>
      <c r="R95" s="132"/>
      <c r="S95" s="132"/>
      <c r="T95" s="132"/>
      <c r="U95" s="132"/>
      <c r="V95" s="132"/>
      <c r="W95" s="132"/>
      <c r="X95" s="132"/>
      <c r="Y95" s="132"/>
      <c r="Z95" s="132"/>
    </row>
    <row r="96" spans="1:26" ht="11.25" customHeight="1" x14ac:dyDescent="0.3">
      <c r="A96" s="132"/>
      <c r="B96" s="132"/>
      <c r="C96" s="132"/>
      <c r="D96" s="132"/>
      <c r="E96" s="132"/>
      <c r="F96" s="132"/>
      <c r="G96" s="132"/>
      <c r="H96" s="132"/>
      <c r="I96" s="132"/>
      <c r="J96" s="132"/>
      <c r="K96" s="132"/>
      <c r="L96" s="132"/>
      <c r="M96" s="132"/>
      <c r="N96" s="132"/>
      <c r="O96" s="132"/>
      <c r="P96" s="132"/>
      <c r="Q96" s="132"/>
      <c r="R96" s="132"/>
      <c r="S96" s="132"/>
      <c r="T96" s="132"/>
      <c r="U96" s="132"/>
      <c r="V96" s="132"/>
      <c r="W96" s="132"/>
      <c r="X96" s="132"/>
      <c r="Y96" s="132"/>
      <c r="Z96" s="132"/>
    </row>
    <row r="97" spans="1:26" ht="11.25" customHeight="1" x14ac:dyDescent="0.3">
      <c r="A97" s="132"/>
      <c r="B97" s="132"/>
      <c r="C97" s="132"/>
      <c r="D97" s="132"/>
      <c r="E97" s="132"/>
      <c r="F97" s="132"/>
      <c r="G97" s="132"/>
      <c r="H97" s="132"/>
      <c r="I97" s="132"/>
      <c r="J97" s="132"/>
      <c r="K97" s="132"/>
      <c r="L97" s="132"/>
      <c r="M97" s="132"/>
      <c r="N97" s="132"/>
      <c r="O97" s="132"/>
      <c r="P97" s="132"/>
      <c r="Q97" s="132"/>
      <c r="R97" s="132"/>
      <c r="S97" s="132"/>
      <c r="T97" s="132"/>
      <c r="U97" s="132"/>
      <c r="V97" s="132"/>
      <c r="W97" s="132"/>
      <c r="X97" s="132"/>
      <c r="Y97" s="132"/>
      <c r="Z97" s="132"/>
    </row>
    <row r="98" spans="1:26" ht="11.25" customHeight="1" x14ac:dyDescent="0.3">
      <c r="A98" s="132"/>
      <c r="B98" s="132"/>
      <c r="C98" s="132"/>
      <c r="D98" s="132"/>
      <c r="E98" s="132"/>
      <c r="F98" s="132"/>
      <c r="G98" s="132"/>
      <c r="H98" s="132"/>
      <c r="I98" s="132"/>
      <c r="J98" s="132"/>
      <c r="K98" s="132"/>
      <c r="L98" s="132"/>
      <c r="M98" s="132"/>
      <c r="N98" s="132"/>
      <c r="O98" s="132"/>
      <c r="P98" s="132"/>
      <c r="Q98" s="132"/>
      <c r="R98" s="132"/>
      <c r="S98" s="132"/>
      <c r="T98" s="132"/>
      <c r="U98" s="132"/>
      <c r="V98" s="132"/>
      <c r="W98" s="132"/>
      <c r="X98" s="132"/>
      <c r="Y98" s="132"/>
      <c r="Z98" s="132"/>
    </row>
    <row r="99" spans="1:26" ht="11.25" customHeight="1" x14ac:dyDescent="0.3">
      <c r="A99" s="132"/>
      <c r="B99" s="132"/>
      <c r="C99" s="132"/>
      <c r="D99" s="132"/>
      <c r="E99" s="132"/>
      <c r="F99" s="132"/>
      <c r="G99" s="132"/>
      <c r="H99" s="132"/>
      <c r="I99" s="132"/>
      <c r="J99" s="132"/>
      <c r="K99" s="132"/>
      <c r="L99" s="132"/>
      <c r="M99" s="132"/>
      <c r="N99" s="132"/>
      <c r="O99" s="132"/>
      <c r="P99" s="132"/>
      <c r="Q99" s="132"/>
      <c r="R99" s="132"/>
      <c r="S99" s="132"/>
      <c r="T99" s="132"/>
      <c r="U99" s="132"/>
      <c r="V99" s="132"/>
      <c r="W99" s="132"/>
      <c r="X99" s="132"/>
      <c r="Y99" s="132"/>
      <c r="Z99" s="132"/>
    </row>
    <row r="100" spans="1:26" ht="11.25" customHeight="1" x14ac:dyDescent="0.3">
      <c r="A100" s="132"/>
      <c r="B100" s="132"/>
      <c r="C100" s="132"/>
      <c r="D100" s="132"/>
      <c r="E100" s="132"/>
      <c r="F100" s="132"/>
      <c r="G100" s="132"/>
      <c r="H100" s="132"/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132"/>
      <c r="T100" s="132"/>
      <c r="U100" s="132"/>
      <c r="V100" s="132"/>
      <c r="W100" s="132"/>
      <c r="X100" s="132"/>
      <c r="Y100" s="132"/>
      <c r="Z100" s="132"/>
    </row>
    <row r="101" spans="1:26" ht="11.25" customHeight="1" x14ac:dyDescent="0.3">
      <c r="A101" s="132"/>
      <c r="B101" s="132"/>
      <c r="C101" s="132"/>
      <c r="D101" s="132"/>
      <c r="E101" s="132"/>
      <c r="F101" s="132"/>
      <c r="G101" s="132"/>
      <c r="H101" s="132"/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132"/>
      <c r="T101" s="132"/>
      <c r="U101" s="132"/>
      <c r="V101" s="132"/>
      <c r="W101" s="132"/>
      <c r="X101" s="132"/>
      <c r="Y101" s="132"/>
      <c r="Z101" s="132"/>
    </row>
    <row r="102" spans="1:26" ht="11.25" customHeight="1" x14ac:dyDescent="0.3">
      <c r="A102" s="132"/>
      <c r="B102" s="132"/>
      <c r="C102" s="132"/>
      <c r="D102" s="132"/>
      <c r="E102" s="132"/>
      <c r="F102" s="132"/>
      <c r="G102" s="132"/>
      <c r="H102" s="132"/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32"/>
      <c r="T102" s="132"/>
      <c r="U102" s="132"/>
      <c r="V102" s="132"/>
      <c r="W102" s="132"/>
      <c r="X102" s="132"/>
      <c r="Y102" s="132"/>
      <c r="Z102" s="132"/>
    </row>
    <row r="103" spans="1:26" ht="11.25" customHeight="1" x14ac:dyDescent="0.3">
      <c r="A103" s="132"/>
      <c r="B103" s="132"/>
      <c r="C103" s="132"/>
      <c r="D103" s="132"/>
      <c r="E103" s="132"/>
      <c r="F103" s="132"/>
      <c r="G103" s="132"/>
      <c r="H103" s="132"/>
      <c r="I103" s="132"/>
      <c r="J103" s="132"/>
      <c r="K103" s="132"/>
      <c r="L103" s="132"/>
      <c r="M103" s="132"/>
      <c r="N103" s="132"/>
      <c r="O103" s="132"/>
      <c r="P103" s="132"/>
      <c r="Q103" s="132"/>
      <c r="R103" s="132"/>
      <c r="S103" s="132"/>
      <c r="T103" s="132"/>
      <c r="U103" s="132"/>
      <c r="V103" s="132"/>
      <c r="W103" s="132"/>
      <c r="X103" s="132"/>
      <c r="Y103" s="132"/>
      <c r="Z103" s="132"/>
    </row>
    <row r="104" spans="1:26" ht="11.25" customHeight="1" x14ac:dyDescent="0.3">
      <c r="A104" s="132"/>
      <c r="B104" s="132"/>
      <c r="C104" s="132"/>
      <c r="D104" s="132"/>
      <c r="E104" s="132"/>
      <c r="F104" s="132"/>
      <c r="G104" s="132"/>
      <c r="H104" s="132"/>
      <c r="I104" s="132"/>
      <c r="J104" s="132"/>
      <c r="K104" s="132"/>
      <c r="L104" s="132"/>
      <c r="M104" s="132"/>
      <c r="N104" s="132"/>
      <c r="O104" s="132"/>
      <c r="P104" s="132"/>
      <c r="Q104" s="132"/>
      <c r="R104" s="132"/>
      <c r="S104" s="132"/>
      <c r="T104" s="132"/>
      <c r="U104" s="132"/>
      <c r="V104" s="132"/>
      <c r="W104" s="132"/>
      <c r="X104" s="132"/>
      <c r="Y104" s="132"/>
      <c r="Z104" s="132"/>
    </row>
    <row r="105" spans="1:26" ht="11.25" customHeight="1" x14ac:dyDescent="0.3">
      <c r="A105" s="132"/>
      <c r="B105" s="132"/>
      <c r="C105" s="132"/>
      <c r="D105" s="132"/>
      <c r="E105" s="132"/>
      <c r="F105" s="132"/>
      <c r="G105" s="132"/>
      <c r="H105" s="132"/>
      <c r="I105" s="132"/>
      <c r="J105" s="132"/>
      <c r="K105" s="132"/>
      <c r="L105" s="132"/>
      <c r="M105" s="132"/>
      <c r="N105" s="132"/>
      <c r="O105" s="132"/>
      <c r="P105" s="132"/>
      <c r="Q105" s="132"/>
      <c r="R105" s="132"/>
      <c r="S105" s="132"/>
      <c r="T105" s="132"/>
      <c r="U105" s="132"/>
      <c r="V105" s="132"/>
      <c r="W105" s="132"/>
      <c r="X105" s="132"/>
      <c r="Y105" s="132"/>
      <c r="Z105" s="132"/>
    </row>
    <row r="106" spans="1:26" ht="11.25" customHeight="1" x14ac:dyDescent="0.3">
      <c r="A106" s="132"/>
      <c r="B106" s="132"/>
      <c r="C106" s="132"/>
      <c r="D106" s="132"/>
      <c r="E106" s="132"/>
      <c r="F106" s="132"/>
      <c r="G106" s="132"/>
      <c r="H106" s="132"/>
      <c r="I106" s="132"/>
      <c r="J106" s="132"/>
      <c r="K106" s="132"/>
      <c r="L106" s="132"/>
      <c r="M106" s="132"/>
      <c r="N106" s="132"/>
      <c r="O106" s="132"/>
      <c r="P106" s="132"/>
      <c r="Q106" s="132"/>
      <c r="R106" s="132"/>
      <c r="S106" s="132"/>
      <c r="T106" s="132"/>
      <c r="U106" s="132"/>
      <c r="V106" s="132"/>
      <c r="W106" s="132"/>
      <c r="X106" s="132"/>
      <c r="Y106" s="132"/>
      <c r="Z106" s="132"/>
    </row>
    <row r="107" spans="1:26" ht="11.25" customHeight="1" x14ac:dyDescent="0.3">
      <c r="A107" s="132"/>
      <c r="B107" s="132"/>
      <c r="C107" s="132"/>
      <c r="D107" s="132"/>
      <c r="E107" s="132"/>
      <c r="F107" s="132"/>
      <c r="G107" s="132"/>
      <c r="H107" s="132"/>
      <c r="I107" s="132"/>
      <c r="J107" s="132"/>
      <c r="K107" s="132"/>
      <c r="L107" s="132"/>
      <c r="M107" s="132"/>
      <c r="N107" s="132"/>
      <c r="O107" s="132"/>
      <c r="P107" s="132"/>
      <c r="Q107" s="132"/>
      <c r="R107" s="132"/>
      <c r="S107" s="132"/>
      <c r="T107" s="132"/>
      <c r="U107" s="132"/>
      <c r="V107" s="132"/>
      <c r="W107" s="132"/>
      <c r="X107" s="132"/>
      <c r="Y107" s="132"/>
      <c r="Z107" s="132"/>
    </row>
    <row r="108" spans="1:26" ht="11.25" customHeight="1" x14ac:dyDescent="0.3">
      <c r="A108" s="132"/>
      <c r="B108" s="132"/>
      <c r="C108" s="132"/>
      <c r="D108" s="132"/>
      <c r="E108" s="132"/>
      <c r="F108" s="132"/>
      <c r="G108" s="132"/>
      <c r="H108" s="132"/>
      <c r="I108" s="132"/>
      <c r="J108" s="132"/>
      <c r="K108" s="132"/>
      <c r="L108" s="132"/>
      <c r="M108" s="132"/>
      <c r="N108" s="132"/>
      <c r="O108" s="132"/>
      <c r="P108" s="132"/>
      <c r="Q108" s="132"/>
      <c r="R108" s="132"/>
      <c r="S108" s="132"/>
      <c r="T108" s="132"/>
      <c r="U108" s="132"/>
      <c r="V108" s="132"/>
      <c r="W108" s="132"/>
      <c r="X108" s="132"/>
      <c r="Y108" s="132"/>
      <c r="Z108" s="132"/>
    </row>
    <row r="109" spans="1:26" ht="11.25" customHeight="1" x14ac:dyDescent="0.3">
      <c r="A109" s="132"/>
      <c r="B109" s="132"/>
      <c r="C109" s="132"/>
      <c r="D109" s="132"/>
      <c r="E109" s="132"/>
      <c r="F109" s="132"/>
      <c r="G109" s="132"/>
      <c r="H109" s="132"/>
      <c r="I109" s="132"/>
      <c r="J109" s="132"/>
      <c r="K109" s="132"/>
      <c r="L109" s="132"/>
      <c r="M109" s="132"/>
      <c r="N109" s="132"/>
      <c r="O109" s="132"/>
      <c r="P109" s="132"/>
      <c r="Q109" s="132"/>
      <c r="R109" s="132"/>
      <c r="S109" s="132"/>
      <c r="T109" s="132"/>
      <c r="U109" s="132"/>
      <c r="V109" s="132"/>
      <c r="W109" s="132"/>
      <c r="X109" s="132"/>
      <c r="Y109" s="132"/>
      <c r="Z109" s="132"/>
    </row>
    <row r="110" spans="1:26" ht="11.25" customHeight="1" x14ac:dyDescent="0.3">
      <c r="A110" s="132"/>
      <c r="B110" s="132"/>
      <c r="C110" s="132"/>
      <c r="D110" s="132"/>
      <c r="E110" s="132"/>
      <c r="F110" s="132"/>
      <c r="G110" s="132"/>
      <c r="H110" s="132"/>
      <c r="I110" s="132"/>
      <c r="J110" s="132"/>
      <c r="K110" s="132"/>
      <c r="L110" s="132"/>
      <c r="M110" s="132"/>
      <c r="N110" s="132"/>
      <c r="O110" s="132"/>
      <c r="P110" s="132"/>
      <c r="Q110" s="132"/>
      <c r="R110" s="132"/>
      <c r="S110" s="132"/>
      <c r="T110" s="132"/>
      <c r="U110" s="132"/>
      <c r="V110" s="132"/>
      <c r="W110" s="132"/>
      <c r="X110" s="132"/>
      <c r="Y110" s="132"/>
      <c r="Z110" s="132"/>
    </row>
    <row r="111" spans="1:26" ht="11.25" customHeight="1" x14ac:dyDescent="0.3">
      <c r="A111" s="132"/>
      <c r="B111" s="132"/>
      <c r="C111" s="132"/>
      <c r="D111" s="132"/>
      <c r="E111" s="132"/>
      <c r="F111" s="132"/>
      <c r="G111" s="132"/>
      <c r="H111" s="132"/>
      <c r="I111" s="132"/>
      <c r="J111" s="132"/>
      <c r="K111" s="132"/>
      <c r="L111" s="132"/>
      <c r="M111" s="132"/>
      <c r="N111" s="132"/>
      <c r="O111" s="132"/>
      <c r="P111" s="132"/>
      <c r="Q111" s="132"/>
      <c r="R111" s="132"/>
      <c r="S111" s="132"/>
      <c r="T111" s="132"/>
      <c r="U111" s="132"/>
      <c r="V111" s="132"/>
      <c r="W111" s="132"/>
      <c r="X111" s="132"/>
      <c r="Y111" s="132"/>
      <c r="Z111" s="132"/>
    </row>
    <row r="112" spans="1:26" ht="11.25" customHeight="1" x14ac:dyDescent="0.3">
      <c r="A112" s="132"/>
      <c r="B112" s="132"/>
      <c r="C112" s="132"/>
      <c r="D112" s="132"/>
      <c r="E112" s="132"/>
      <c r="F112" s="132"/>
      <c r="G112" s="132"/>
      <c r="H112" s="132"/>
      <c r="I112" s="132"/>
      <c r="J112" s="132"/>
      <c r="K112" s="132"/>
      <c r="L112" s="132"/>
      <c r="M112" s="132"/>
      <c r="N112" s="132"/>
      <c r="O112" s="132"/>
      <c r="P112" s="132"/>
      <c r="Q112" s="132"/>
      <c r="R112" s="132"/>
      <c r="S112" s="132"/>
      <c r="T112" s="132"/>
      <c r="U112" s="132"/>
      <c r="V112" s="132"/>
      <c r="W112" s="132"/>
      <c r="X112" s="132"/>
      <c r="Y112" s="132"/>
      <c r="Z112" s="132"/>
    </row>
    <row r="113" spans="1:26" ht="11.25" customHeight="1" x14ac:dyDescent="0.3">
      <c r="A113" s="132"/>
      <c r="B113" s="132"/>
      <c r="C113" s="132"/>
      <c r="D113" s="132"/>
      <c r="E113" s="132"/>
      <c r="F113" s="132"/>
      <c r="G113" s="132"/>
      <c r="H113" s="132"/>
      <c r="I113" s="132"/>
      <c r="J113" s="132"/>
      <c r="K113" s="132"/>
      <c r="L113" s="132"/>
      <c r="M113" s="132"/>
      <c r="N113" s="132"/>
      <c r="O113" s="132"/>
      <c r="P113" s="132"/>
      <c r="Q113" s="132"/>
      <c r="R113" s="132"/>
      <c r="S113" s="132"/>
      <c r="T113" s="132"/>
      <c r="U113" s="132"/>
      <c r="V113" s="132"/>
      <c r="W113" s="132"/>
      <c r="X113" s="132"/>
      <c r="Y113" s="132"/>
      <c r="Z113" s="132"/>
    </row>
    <row r="114" spans="1:26" ht="11.25" customHeight="1" x14ac:dyDescent="0.3">
      <c r="A114" s="132"/>
      <c r="B114" s="132"/>
      <c r="C114" s="132"/>
      <c r="D114" s="132"/>
      <c r="E114" s="132"/>
      <c r="F114" s="132"/>
      <c r="G114" s="132"/>
      <c r="H114" s="132"/>
      <c r="I114" s="132"/>
      <c r="J114" s="132"/>
      <c r="K114" s="132"/>
      <c r="L114" s="132"/>
      <c r="M114" s="132"/>
      <c r="N114" s="132"/>
      <c r="O114" s="132"/>
      <c r="P114" s="132"/>
      <c r="Q114" s="132"/>
      <c r="R114" s="132"/>
      <c r="S114" s="132"/>
      <c r="T114" s="132"/>
      <c r="U114" s="132"/>
      <c r="V114" s="132"/>
      <c r="W114" s="132"/>
      <c r="X114" s="132"/>
      <c r="Y114" s="132"/>
      <c r="Z114" s="132"/>
    </row>
    <row r="115" spans="1:26" ht="11.25" customHeight="1" x14ac:dyDescent="0.3">
      <c r="A115" s="132"/>
      <c r="B115" s="132"/>
      <c r="C115" s="132"/>
      <c r="D115" s="132"/>
      <c r="E115" s="132"/>
      <c r="F115" s="132"/>
      <c r="G115" s="132"/>
      <c r="H115" s="132"/>
      <c r="I115" s="132"/>
      <c r="J115" s="132"/>
      <c r="K115" s="132"/>
      <c r="L115" s="132"/>
      <c r="M115" s="132"/>
      <c r="N115" s="132"/>
      <c r="O115" s="132"/>
      <c r="P115" s="132"/>
      <c r="Q115" s="132"/>
      <c r="R115" s="132"/>
      <c r="S115" s="132"/>
      <c r="T115" s="132"/>
      <c r="U115" s="132"/>
      <c r="V115" s="132"/>
      <c r="W115" s="132"/>
      <c r="X115" s="132"/>
      <c r="Y115" s="132"/>
      <c r="Z115" s="132"/>
    </row>
    <row r="116" spans="1:26" ht="11.25" customHeight="1" x14ac:dyDescent="0.3">
      <c r="A116" s="132"/>
      <c r="B116" s="132"/>
      <c r="C116" s="132"/>
      <c r="D116" s="132"/>
      <c r="E116" s="132"/>
      <c r="F116" s="132"/>
      <c r="G116" s="132"/>
      <c r="H116" s="132"/>
      <c r="I116" s="132"/>
      <c r="J116" s="132"/>
      <c r="K116" s="132"/>
      <c r="L116" s="132"/>
      <c r="M116" s="132"/>
      <c r="N116" s="132"/>
      <c r="O116" s="132"/>
      <c r="P116" s="132"/>
      <c r="Q116" s="132"/>
      <c r="R116" s="132"/>
      <c r="S116" s="132"/>
      <c r="T116" s="132"/>
      <c r="U116" s="132"/>
      <c r="V116" s="132"/>
      <c r="W116" s="132"/>
      <c r="X116" s="132"/>
      <c r="Y116" s="132"/>
      <c r="Z116" s="132"/>
    </row>
    <row r="117" spans="1:26" ht="11.25" customHeight="1" x14ac:dyDescent="0.3">
      <c r="A117" s="132"/>
      <c r="B117" s="132"/>
      <c r="C117" s="132"/>
      <c r="D117" s="132"/>
      <c r="E117" s="132"/>
      <c r="F117" s="132"/>
      <c r="G117" s="132"/>
      <c r="H117" s="132"/>
      <c r="I117" s="132"/>
      <c r="J117" s="132"/>
      <c r="K117" s="132"/>
      <c r="L117" s="132"/>
      <c r="M117" s="132"/>
      <c r="N117" s="132"/>
      <c r="O117" s="132"/>
      <c r="P117" s="132"/>
      <c r="Q117" s="132"/>
      <c r="R117" s="132"/>
      <c r="S117" s="132"/>
      <c r="T117" s="132"/>
      <c r="U117" s="132"/>
      <c r="V117" s="132"/>
      <c r="W117" s="132"/>
      <c r="X117" s="132"/>
      <c r="Y117" s="132"/>
      <c r="Z117" s="132"/>
    </row>
    <row r="118" spans="1:26" ht="11.25" customHeight="1" x14ac:dyDescent="0.3">
      <c r="A118" s="132"/>
      <c r="B118" s="132"/>
      <c r="C118" s="132"/>
      <c r="D118" s="132"/>
      <c r="E118" s="132"/>
      <c r="F118" s="132"/>
      <c r="G118" s="132"/>
      <c r="H118" s="132"/>
      <c r="I118" s="132"/>
      <c r="J118" s="132"/>
      <c r="K118" s="132"/>
      <c r="L118" s="132"/>
      <c r="M118" s="132"/>
      <c r="N118" s="132"/>
      <c r="O118" s="132"/>
      <c r="P118" s="132"/>
      <c r="Q118" s="132"/>
      <c r="R118" s="132"/>
      <c r="S118" s="132"/>
      <c r="T118" s="132"/>
      <c r="U118" s="132"/>
      <c r="V118" s="132"/>
      <c r="W118" s="132"/>
      <c r="X118" s="132"/>
      <c r="Y118" s="132"/>
      <c r="Z118" s="132"/>
    </row>
    <row r="119" spans="1:26" ht="11.25" customHeight="1" x14ac:dyDescent="0.3">
      <c r="A119" s="132"/>
      <c r="B119" s="132"/>
      <c r="C119" s="132"/>
      <c r="D119" s="132"/>
      <c r="E119" s="132"/>
      <c r="F119" s="132"/>
      <c r="G119" s="132"/>
      <c r="H119" s="132"/>
      <c r="I119" s="132"/>
      <c r="J119" s="132"/>
      <c r="K119" s="132"/>
      <c r="L119" s="132"/>
      <c r="M119" s="132"/>
      <c r="N119" s="132"/>
      <c r="O119" s="132"/>
      <c r="P119" s="132"/>
      <c r="Q119" s="132"/>
      <c r="R119" s="132"/>
      <c r="S119" s="132"/>
      <c r="T119" s="132"/>
      <c r="U119" s="132"/>
      <c r="V119" s="132"/>
      <c r="W119" s="132"/>
      <c r="X119" s="132"/>
      <c r="Y119" s="132"/>
      <c r="Z119" s="132"/>
    </row>
    <row r="120" spans="1:26" ht="11.25" customHeight="1" x14ac:dyDescent="0.3">
      <c r="A120" s="132"/>
      <c r="B120" s="132"/>
      <c r="C120" s="132"/>
      <c r="D120" s="132"/>
      <c r="E120" s="132"/>
      <c r="F120" s="132"/>
      <c r="G120" s="132"/>
      <c r="H120" s="132"/>
      <c r="I120" s="132"/>
      <c r="J120" s="132"/>
      <c r="K120" s="132"/>
      <c r="L120" s="132"/>
      <c r="M120" s="132"/>
      <c r="N120" s="132"/>
      <c r="O120" s="132"/>
      <c r="P120" s="132"/>
      <c r="Q120" s="132"/>
      <c r="R120" s="132"/>
      <c r="S120" s="132"/>
      <c r="T120" s="132"/>
      <c r="U120" s="132"/>
      <c r="V120" s="132"/>
      <c r="W120" s="132"/>
      <c r="X120" s="132"/>
      <c r="Y120" s="132"/>
      <c r="Z120" s="132"/>
    </row>
    <row r="121" spans="1:26" ht="11.25" customHeight="1" x14ac:dyDescent="0.3">
      <c r="A121" s="132"/>
      <c r="B121" s="132"/>
      <c r="C121" s="132"/>
      <c r="D121" s="132"/>
      <c r="E121" s="132"/>
      <c r="F121" s="132"/>
      <c r="G121" s="132"/>
      <c r="H121" s="132"/>
      <c r="I121" s="132"/>
      <c r="J121" s="132"/>
      <c r="K121" s="132"/>
      <c r="L121" s="132"/>
      <c r="M121" s="132"/>
      <c r="N121" s="132"/>
      <c r="O121" s="132"/>
      <c r="P121" s="132"/>
      <c r="Q121" s="132"/>
      <c r="R121" s="132"/>
      <c r="S121" s="132"/>
      <c r="T121" s="132"/>
      <c r="U121" s="132"/>
      <c r="V121" s="132"/>
      <c r="W121" s="132"/>
      <c r="X121" s="132"/>
      <c r="Y121" s="132"/>
      <c r="Z121" s="132"/>
    </row>
    <row r="122" spans="1:26" ht="11.25" customHeight="1" x14ac:dyDescent="0.3">
      <c r="A122" s="132"/>
      <c r="B122" s="132"/>
      <c r="C122" s="132"/>
      <c r="D122" s="132"/>
      <c r="E122" s="132"/>
      <c r="F122" s="132"/>
      <c r="G122" s="132"/>
      <c r="H122" s="132"/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132"/>
      <c r="T122" s="132"/>
      <c r="U122" s="132"/>
      <c r="V122" s="132"/>
      <c r="W122" s="132"/>
      <c r="X122" s="132"/>
      <c r="Y122" s="132"/>
      <c r="Z122" s="132"/>
    </row>
    <row r="123" spans="1:26" ht="11.25" customHeight="1" x14ac:dyDescent="0.3">
      <c r="A123" s="132"/>
      <c r="B123" s="132"/>
      <c r="C123" s="132"/>
      <c r="D123" s="132"/>
      <c r="E123" s="132"/>
      <c r="F123" s="132"/>
      <c r="G123" s="132"/>
      <c r="H123" s="132"/>
      <c r="I123" s="132"/>
      <c r="J123" s="132"/>
      <c r="K123" s="132"/>
      <c r="L123" s="132"/>
      <c r="M123" s="132"/>
      <c r="N123" s="132"/>
      <c r="O123" s="132"/>
      <c r="P123" s="132"/>
      <c r="Q123" s="132"/>
      <c r="R123" s="132"/>
      <c r="S123" s="132"/>
      <c r="T123" s="132"/>
      <c r="U123" s="132"/>
      <c r="V123" s="132"/>
      <c r="W123" s="132"/>
      <c r="X123" s="132"/>
      <c r="Y123" s="132"/>
      <c r="Z123" s="132"/>
    </row>
    <row r="124" spans="1:26" ht="11.25" customHeight="1" x14ac:dyDescent="0.3">
      <c r="A124" s="132"/>
      <c r="B124" s="132"/>
      <c r="C124" s="132"/>
      <c r="D124" s="132"/>
      <c r="E124" s="132"/>
      <c r="F124" s="132"/>
      <c r="G124" s="132"/>
      <c r="H124" s="132"/>
      <c r="I124" s="132"/>
      <c r="J124" s="132"/>
      <c r="K124" s="132"/>
      <c r="L124" s="132"/>
      <c r="M124" s="132"/>
      <c r="N124" s="132"/>
      <c r="O124" s="132"/>
      <c r="P124" s="132"/>
      <c r="Q124" s="132"/>
      <c r="R124" s="132"/>
      <c r="S124" s="132"/>
      <c r="T124" s="132"/>
      <c r="U124" s="132"/>
      <c r="V124" s="132"/>
      <c r="W124" s="132"/>
      <c r="X124" s="132"/>
      <c r="Y124" s="132"/>
      <c r="Z124" s="132"/>
    </row>
    <row r="125" spans="1:26" ht="11.25" customHeight="1" x14ac:dyDescent="0.3">
      <c r="A125" s="132"/>
      <c r="B125" s="132"/>
      <c r="C125" s="132"/>
      <c r="D125" s="132"/>
      <c r="E125" s="132"/>
      <c r="F125" s="132"/>
      <c r="G125" s="132"/>
      <c r="H125" s="132"/>
      <c r="I125" s="132"/>
      <c r="J125" s="132"/>
      <c r="K125" s="132"/>
      <c r="L125" s="132"/>
      <c r="M125" s="132"/>
      <c r="N125" s="132"/>
      <c r="O125" s="132"/>
      <c r="P125" s="132"/>
      <c r="Q125" s="132"/>
      <c r="R125" s="132"/>
      <c r="S125" s="132"/>
      <c r="T125" s="132"/>
      <c r="U125" s="132"/>
      <c r="V125" s="132"/>
      <c r="W125" s="132"/>
      <c r="X125" s="132"/>
      <c r="Y125" s="132"/>
      <c r="Z125" s="132"/>
    </row>
    <row r="126" spans="1:26" ht="11.25" customHeight="1" x14ac:dyDescent="0.3">
      <c r="A126" s="132"/>
      <c r="B126" s="132"/>
      <c r="C126" s="132"/>
      <c r="D126" s="132"/>
      <c r="E126" s="132"/>
      <c r="F126" s="132"/>
      <c r="G126" s="132"/>
      <c r="H126" s="132"/>
      <c r="I126" s="132"/>
      <c r="J126" s="132"/>
      <c r="K126" s="132"/>
      <c r="L126" s="132"/>
      <c r="M126" s="132"/>
      <c r="N126" s="132"/>
      <c r="O126" s="132"/>
      <c r="P126" s="132"/>
      <c r="Q126" s="132"/>
      <c r="R126" s="132"/>
      <c r="S126" s="132"/>
      <c r="T126" s="132"/>
      <c r="U126" s="132"/>
      <c r="V126" s="132"/>
      <c r="W126" s="132"/>
      <c r="X126" s="132"/>
      <c r="Y126" s="132"/>
      <c r="Z126" s="132"/>
    </row>
    <row r="127" spans="1:26" ht="11.25" customHeight="1" x14ac:dyDescent="0.3">
      <c r="A127" s="132"/>
      <c r="B127" s="132"/>
      <c r="C127" s="132"/>
      <c r="D127" s="132"/>
      <c r="E127" s="132"/>
      <c r="F127" s="132"/>
      <c r="G127" s="132"/>
      <c r="H127" s="132"/>
      <c r="I127" s="132"/>
      <c r="J127" s="132"/>
      <c r="K127" s="132"/>
      <c r="L127" s="132"/>
      <c r="M127" s="132"/>
      <c r="N127" s="132"/>
      <c r="O127" s="132"/>
      <c r="P127" s="132"/>
      <c r="Q127" s="132"/>
      <c r="R127" s="132"/>
      <c r="S127" s="132"/>
      <c r="T127" s="132"/>
      <c r="U127" s="132"/>
      <c r="V127" s="132"/>
      <c r="W127" s="132"/>
      <c r="X127" s="132"/>
      <c r="Y127" s="132"/>
      <c r="Z127" s="132"/>
    </row>
    <row r="128" spans="1:26" ht="11.25" customHeight="1" x14ac:dyDescent="0.3">
      <c r="A128" s="132"/>
      <c r="B128" s="132"/>
      <c r="C128" s="132"/>
      <c r="D128" s="132"/>
      <c r="E128" s="132"/>
      <c r="F128" s="132"/>
      <c r="G128" s="132"/>
      <c r="H128" s="132"/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132"/>
      <c r="T128" s="132"/>
      <c r="U128" s="132"/>
      <c r="V128" s="132"/>
      <c r="W128" s="132"/>
      <c r="X128" s="132"/>
      <c r="Y128" s="132"/>
      <c r="Z128" s="132"/>
    </row>
    <row r="129" spans="1:26" ht="11.25" customHeight="1" x14ac:dyDescent="0.3">
      <c r="A129" s="132"/>
      <c r="B129" s="132"/>
      <c r="C129" s="132"/>
      <c r="D129" s="132"/>
      <c r="E129" s="132"/>
      <c r="F129" s="132"/>
      <c r="G129" s="132"/>
      <c r="H129" s="132"/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132"/>
      <c r="T129" s="132"/>
      <c r="U129" s="132"/>
      <c r="V129" s="132"/>
      <c r="W129" s="132"/>
      <c r="X129" s="132"/>
      <c r="Y129" s="132"/>
      <c r="Z129" s="132"/>
    </row>
    <row r="130" spans="1:26" ht="11.25" customHeight="1" x14ac:dyDescent="0.3">
      <c r="A130" s="132"/>
      <c r="B130" s="132"/>
      <c r="C130" s="132"/>
      <c r="D130" s="132"/>
      <c r="E130" s="132"/>
      <c r="F130" s="132"/>
      <c r="G130" s="132"/>
      <c r="H130" s="132"/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132"/>
      <c r="T130" s="132"/>
      <c r="U130" s="132"/>
      <c r="V130" s="132"/>
      <c r="W130" s="132"/>
      <c r="X130" s="132"/>
      <c r="Y130" s="132"/>
      <c r="Z130" s="132"/>
    </row>
    <row r="131" spans="1:26" ht="11.25" customHeight="1" x14ac:dyDescent="0.3">
      <c r="A131" s="132"/>
      <c r="B131" s="132"/>
      <c r="C131" s="132"/>
      <c r="D131" s="132"/>
      <c r="E131" s="132"/>
      <c r="F131" s="132"/>
      <c r="G131" s="132"/>
      <c r="H131" s="132"/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132"/>
      <c r="T131" s="132"/>
      <c r="U131" s="132"/>
      <c r="V131" s="132"/>
      <c r="W131" s="132"/>
      <c r="X131" s="132"/>
      <c r="Y131" s="132"/>
      <c r="Z131" s="132"/>
    </row>
    <row r="132" spans="1:26" ht="11.25" customHeight="1" x14ac:dyDescent="0.3">
      <c r="A132" s="132"/>
      <c r="B132" s="132"/>
      <c r="C132" s="132"/>
      <c r="D132" s="132"/>
      <c r="E132" s="132"/>
      <c r="F132" s="132"/>
      <c r="G132" s="132"/>
      <c r="H132" s="132"/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132"/>
      <c r="T132" s="132"/>
      <c r="U132" s="132"/>
      <c r="V132" s="132"/>
      <c r="W132" s="132"/>
      <c r="X132" s="132"/>
      <c r="Y132" s="132"/>
      <c r="Z132" s="132"/>
    </row>
    <row r="133" spans="1:26" ht="11.25" customHeight="1" x14ac:dyDescent="0.3">
      <c r="A133" s="132"/>
      <c r="B133" s="132"/>
      <c r="C133" s="132"/>
      <c r="D133" s="132"/>
      <c r="E133" s="132"/>
      <c r="F133" s="132"/>
      <c r="G133" s="132"/>
      <c r="H133" s="132"/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132"/>
      <c r="T133" s="132"/>
      <c r="U133" s="132"/>
      <c r="V133" s="132"/>
      <c r="W133" s="132"/>
      <c r="X133" s="132"/>
      <c r="Y133" s="132"/>
      <c r="Z133" s="132"/>
    </row>
    <row r="134" spans="1:26" ht="11.25" customHeight="1" x14ac:dyDescent="0.3">
      <c r="A134" s="132"/>
      <c r="B134" s="132"/>
      <c r="C134" s="132"/>
      <c r="D134" s="132"/>
      <c r="E134" s="132"/>
      <c r="F134" s="132"/>
      <c r="G134" s="132"/>
      <c r="H134" s="132"/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132"/>
      <c r="T134" s="132"/>
      <c r="U134" s="132"/>
      <c r="V134" s="132"/>
      <c r="W134" s="132"/>
      <c r="X134" s="132"/>
      <c r="Y134" s="132"/>
      <c r="Z134" s="132"/>
    </row>
    <row r="135" spans="1:26" ht="11.25" customHeight="1" x14ac:dyDescent="0.3">
      <c r="A135" s="132"/>
      <c r="B135" s="132"/>
      <c r="C135" s="132"/>
      <c r="D135" s="132"/>
      <c r="E135" s="132"/>
      <c r="F135" s="132"/>
      <c r="G135" s="132"/>
      <c r="H135" s="132"/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132"/>
      <c r="T135" s="132"/>
      <c r="U135" s="132"/>
      <c r="V135" s="132"/>
      <c r="W135" s="132"/>
      <c r="X135" s="132"/>
      <c r="Y135" s="132"/>
      <c r="Z135" s="132"/>
    </row>
    <row r="136" spans="1:26" ht="11.25" customHeight="1" x14ac:dyDescent="0.3">
      <c r="A136" s="132"/>
      <c r="B136" s="132"/>
      <c r="C136" s="132"/>
      <c r="D136" s="132"/>
      <c r="E136" s="132"/>
      <c r="F136" s="132"/>
      <c r="G136" s="132"/>
      <c r="H136" s="132"/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132"/>
      <c r="T136" s="132"/>
      <c r="U136" s="132"/>
      <c r="V136" s="132"/>
      <c r="W136" s="132"/>
      <c r="X136" s="132"/>
      <c r="Y136" s="132"/>
      <c r="Z136" s="132"/>
    </row>
    <row r="137" spans="1:26" ht="11.25" customHeight="1" x14ac:dyDescent="0.3">
      <c r="A137" s="132"/>
      <c r="B137" s="132"/>
      <c r="C137" s="132"/>
      <c r="D137" s="132"/>
      <c r="E137" s="132"/>
      <c r="F137" s="132"/>
      <c r="G137" s="132"/>
      <c r="H137" s="132"/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132"/>
      <c r="T137" s="132"/>
      <c r="U137" s="132"/>
      <c r="V137" s="132"/>
      <c r="W137" s="132"/>
      <c r="X137" s="132"/>
      <c r="Y137" s="132"/>
      <c r="Z137" s="132"/>
    </row>
    <row r="138" spans="1:26" ht="11.25" customHeight="1" x14ac:dyDescent="0.3">
      <c r="A138" s="132"/>
      <c r="B138" s="132"/>
      <c r="C138" s="132"/>
      <c r="D138" s="132"/>
      <c r="E138" s="132"/>
      <c r="F138" s="132"/>
      <c r="G138" s="132"/>
      <c r="H138" s="132"/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132"/>
      <c r="T138" s="132"/>
      <c r="U138" s="132"/>
      <c r="V138" s="132"/>
      <c r="W138" s="132"/>
      <c r="X138" s="132"/>
      <c r="Y138" s="132"/>
      <c r="Z138" s="132"/>
    </row>
    <row r="139" spans="1:26" ht="11.25" customHeight="1" x14ac:dyDescent="0.3">
      <c r="A139" s="132"/>
      <c r="B139" s="132"/>
      <c r="C139" s="132"/>
      <c r="D139" s="132"/>
      <c r="E139" s="132"/>
      <c r="F139" s="132"/>
      <c r="G139" s="132"/>
      <c r="H139" s="132"/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132"/>
      <c r="T139" s="132"/>
      <c r="U139" s="132"/>
      <c r="V139" s="132"/>
      <c r="W139" s="132"/>
      <c r="X139" s="132"/>
      <c r="Y139" s="132"/>
      <c r="Z139" s="132"/>
    </row>
    <row r="140" spans="1:26" ht="11.25" customHeight="1" x14ac:dyDescent="0.3">
      <c r="A140" s="132"/>
      <c r="B140" s="132"/>
      <c r="C140" s="132"/>
      <c r="D140" s="132"/>
      <c r="E140" s="132"/>
      <c r="F140" s="132"/>
      <c r="G140" s="132"/>
      <c r="H140" s="132"/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132"/>
      <c r="T140" s="132"/>
      <c r="U140" s="132"/>
      <c r="V140" s="132"/>
      <c r="W140" s="132"/>
      <c r="X140" s="132"/>
      <c r="Y140" s="132"/>
      <c r="Z140" s="132"/>
    </row>
    <row r="141" spans="1:26" ht="11.25" customHeight="1" x14ac:dyDescent="0.3">
      <c r="A141" s="132"/>
      <c r="B141" s="132"/>
      <c r="C141" s="132"/>
      <c r="D141" s="132"/>
      <c r="E141" s="132"/>
      <c r="F141" s="132"/>
      <c r="G141" s="132"/>
      <c r="H141" s="132"/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132"/>
      <c r="T141" s="132"/>
      <c r="U141" s="132"/>
      <c r="V141" s="132"/>
      <c r="W141" s="132"/>
      <c r="X141" s="132"/>
      <c r="Y141" s="132"/>
      <c r="Z141" s="132"/>
    </row>
    <row r="142" spans="1:26" ht="11.25" customHeight="1" x14ac:dyDescent="0.3">
      <c r="A142" s="132"/>
      <c r="B142" s="132"/>
      <c r="C142" s="132"/>
      <c r="D142" s="132"/>
      <c r="E142" s="132"/>
      <c r="F142" s="132"/>
      <c r="G142" s="132"/>
      <c r="H142" s="132"/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132"/>
      <c r="T142" s="132"/>
      <c r="U142" s="132"/>
      <c r="V142" s="132"/>
      <c r="W142" s="132"/>
      <c r="X142" s="132"/>
      <c r="Y142" s="132"/>
      <c r="Z142" s="132"/>
    </row>
    <row r="143" spans="1:26" ht="11.25" customHeight="1" x14ac:dyDescent="0.3">
      <c r="A143" s="132"/>
      <c r="B143" s="132"/>
      <c r="C143" s="132"/>
      <c r="D143" s="132"/>
      <c r="E143" s="132"/>
      <c r="F143" s="132"/>
      <c r="G143" s="132"/>
      <c r="H143" s="132"/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132"/>
      <c r="T143" s="132"/>
      <c r="U143" s="132"/>
      <c r="V143" s="132"/>
      <c r="W143" s="132"/>
      <c r="X143" s="132"/>
      <c r="Y143" s="132"/>
      <c r="Z143" s="132"/>
    </row>
    <row r="144" spans="1:26" ht="11.25" customHeight="1" x14ac:dyDescent="0.3">
      <c r="A144" s="132"/>
      <c r="B144" s="132"/>
      <c r="C144" s="132"/>
      <c r="D144" s="132"/>
      <c r="E144" s="132"/>
      <c r="F144" s="132"/>
      <c r="G144" s="132"/>
      <c r="H144" s="132"/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132"/>
      <c r="T144" s="132"/>
      <c r="U144" s="132"/>
      <c r="V144" s="132"/>
      <c r="W144" s="132"/>
      <c r="X144" s="132"/>
      <c r="Y144" s="132"/>
      <c r="Z144" s="132"/>
    </row>
    <row r="145" spans="1:26" ht="11.25" customHeight="1" x14ac:dyDescent="0.3">
      <c r="A145" s="132"/>
      <c r="B145" s="132"/>
      <c r="C145" s="132"/>
      <c r="D145" s="132"/>
      <c r="E145" s="132"/>
      <c r="F145" s="132"/>
      <c r="G145" s="132"/>
      <c r="H145" s="132"/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132"/>
      <c r="T145" s="132"/>
      <c r="U145" s="132"/>
      <c r="V145" s="132"/>
      <c r="W145" s="132"/>
      <c r="X145" s="132"/>
      <c r="Y145" s="132"/>
      <c r="Z145" s="132"/>
    </row>
    <row r="146" spans="1:26" ht="11.25" customHeight="1" x14ac:dyDescent="0.3">
      <c r="A146" s="132"/>
      <c r="B146" s="132"/>
      <c r="C146" s="132"/>
      <c r="D146" s="132"/>
      <c r="E146" s="132"/>
      <c r="F146" s="132"/>
      <c r="G146" s="132"/>
      <c r="H146" s="132"/>
      <c r="I146" s="132"/>
      <c r="J146" s="132"/>
      <c r="K146" s="132"/>
      <c r="L146" s="132"/>
      <c r="M146" s="132"/>
      <c r="N146" s="132"/>
      <c r="O146" s="132"/>
      <c r="P146" s="132"/>
      <c r="Q146" s="132"/>
      <c r="R146" s="132"/>
      <c r="S146" s="132"/>
      <c r="T146" s="132"/>
      <c r="U146" s="132"/>
      <c r="V146" s="132"/>
      <c r="W146" s="132"/>
      <c r="X146" s="132"/>
      <c r="Y146" s="132"/>
      <c r="Z146" s="132"/>
    </row>
    <row r="147" spans="1:26" ht="11.25" customHeight="1" x14ac:dyDescent="0.3">
      <c r="A147" s="132"/>
      <c r="B147" s="132"/>
      <c r="C147" s="132"/>
      <c r="D147" s="132"/>
      <c r="E147" s="132"/>
      <c r="F147" s="132"/>
      <c r="G147" s="132"/>
      <c r="H147" s="132"/>
      <c r="I147" s="132"/>
      <c r="J147" s="132"/>
      <c r="K147" s="132"/>
      <c r="L147" s="132"/>
      <c r="M147" s="132"/>
      <c r="N147" s="132"/>
      <c r="O147" s="132"/>
      <c r="P147" s="132"/>
      <c r="Q147" s="132"/>
      <c r="R147" s="132"/>
      <c r="S147" s="132"/>
      <c r="T147" s="132"/>
      <c r="U147" s="132"/>
      <c r="V147" s="132"/>
      <c r="W147" s="132"/>
      <c r="X147" s="132"/>
      <c r="Y147" s="132"/>
      <c r="Z147" s="132"/>
    </row>
    <row r="148" spans="1:26" ht="11.25" customHeight="1" x14ac:dyDescent="0.3">
      <c r="A148" s="132"/>
      <c r="B148" s="132"/>
      <c r="C148" s="132"/>
      <c r="D148" s="132"/>
      <c r="E148" s="132"/>
      <c r="F148" s="132"/>
      <c r="G148" s="132"/>
      <c r="H148" s="132"/>
      <c r="I148" s="132"/>
      <c r="J148" s="132"/>
      <c r="K148" s="132"/>
      <c r="L148" s="132"/>
      <c r="M148" s="132"/>
      <c r="N148" s="132"/>
      <c r="O148" s="132"/>
      <c r="P148" s="132"/>
      <c r="Q148" s="132"/>
      <c r="R148" s="132"/>
      <c r="S148" s="132"/>
      <c r="T148" s="132"/>
      <c r="U148" s="132"/>
      <c r="V148" s="132"/>
      <c r="W148" s="132"/>
      <c r="X148" s="132"/>
      <c r="Y148" s="132"/>
      <c r="Z148" s="132"/>
    </row>
    <row r="149" spans="1:26" ht="11.25" customHeight="1" x14ac:dyDescent="0.3">
      <c r="A149" s="132"/>
      <c r="B149" s="132"/>
      <c r="C149" s="132"/>
      <c r="D149" s="132"/>
      <c r="E149" s="132"/>
      <c r="F149" s="132"/>
      <c r="G149" s="132"/>
      <c r="H149" s="132"/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132"/>
      <c r="T149" s="132"/>
      <c r="U149" s="132"/>
      <c r="V149" s="132"/>
      <c r="W149" s="132"/>
      <c r="X149" s="132"/>
      <c r="Y149" s="132"/>
      <c r="Z149" s="132"/>
    </row>
    <row r="150" spans="1:26" ht="11.25" customHeight="1" x14ac:dyDescent="0.3">
      <c r="A150" s="132"/>
      <c r="B150" s="132"/>
      <c r="C150" s="132"/>
      <c r="D150" s="132"/>
      <c r="E150" s="132"/>
      <c r="F150" s="132"/>
      <c r="G150" s="132"/>
      <c r="H150" s="132"/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132"/>
      <c r="T150" s="132"/>
      <c r="U150" s="132"/>
      <c r="V150" s="132"/>
      <c r="W150" s="132"/>
      <c r="X150" s="132"/>
      <c r="Y150" s="132"/>
      <c r="Z150" s="132"/>
    </row>
    <row r="151" spans="1:26" ht="11.25" customHeight="1" x14ac:dyDescent="0.3">
      <c r="A151" s="132"/>
      <c r="B151" s="132"/>
      <c r="C151" s="132"/>
      <c r="D151" s="132"/>
      <c r="E151" s="132"/>
      <c r="F151" s="132"/>
      <c r="G151" s="132"/>
      <c r="H151" s="132"/>
      <c r="I151" s="132"/>
      <c r="J151" s="132"/>
      <c r="K151" s="132"/>
      <c r="L151" s="132"/>
      <c r="M151" s="132"/>
      <c r="N151" s="132"/>
      <c r="O151" s="132"/>
      <c r="P151" s="132"/>
      <c r="Q151" s="132"/>
      <c r="R151" s="132"/>
      <c r="S151" s="132"/>
      <c r="T151" s="132"/>
      <c r="U151" s="132"/>
      <c r="V151" s="132"/>
      <c r="W151" s="132"/>
      <c r="X151" s="132"/>
      <c r="Y151" s="132"/>
      <c r="Z151" s="132"/>
    </row>
    <row r="152" spans="1:26" ht="11.25" customHeight="1" x14ac:dyDescent="0.3">
      <c r="A152" s="132"/>
      <c r="B152" s="132"/>
      <c r="C152" s="132"/>
      <c r="D152" s="132"/>
      <c r="E152" s="132"/>
      <c r="F152" s="132"/>
      <c r="G152" s="132"/>
      <c r="H152" s="132"/>
      <c r="I152" s="132"/>
      <c r="J152" s="132"/>
      <c r="K152" s="132"/>
      <c r="L152" s="132"/>
      <c r="M152" s="132"/>
      <c r="N152" s="132"/>
      <c r="O152" s="132"/>
      <c r="P152" s="132"/>
      <c r="Q152" s="132"/>
      <c r="R152" s="132"/>
      <c r="S152" s="132"/>
      <c r="T152" s="132"/>
      <c r="U152" s="132"/>
      <c r="V152" s="132"/>
      <c r="W152" s="132"/>
      <c r="X152" s="132"/>
      <c r="Y152" s="132"/>
      <c r="Z152" s="132"/>
    </row>
    <row r="153" spans="1:26" ht="11.25" customHeight="1" x14ac:dyDescent="0.3">
      <c r="A153" s="132"/>
      <c r="B153" s="132"/>
      <c r="C153" s="132"/>
      <c r="D153" s="132"/>
      <c r="E153" s="132"/>
      <c r="F153" s="132"/>
      <c r="G153" s="132"/>
      <c r="H153" s="132"/>
      <c r="I153" s="132"/>
      <c r="J153" s="132"/>
      <c r="K153" s="132"/>
      <c r="L153" s="132"/>
      <c r="M153" s="132"/>
      <c r="N153" s="132"/>
      <c r="O153" s="132"/>
      <c r="P153" s="132"/>
      <c r="Q153" s="132"/>
      <c r="R153" s="132"/>
      <c r="S153" s="132"/>
      <c r="T153" s="132"/>
      <c r="U153" s="132"/>
      <c r="V153" s="132"/>
      <c r="W153" s="132"/>
      <c r="X153" s="132"/>
      <c r="Y153" s="132"/>
      <c r="Z153" s="132"/>
    </row>
    <row r="154" spans="1:26" ht="11.25" customHeight="1" x14ac:dyDescent="0.3">
      <c r="A154" s="132"/>
      <c r="B154" s="132"/>
      <c r="C154" s="132"/>
      <c r="D154" s="132"/>
      <c r="E154" s="132"/>
      <c r="F154" s="132"/>
      <c r="G154" s="132"/>
      <c r="H154" s="132"/>
      <c r="I154" s="132"/>
      <c r="J154" s="132"/>
      <c r="K154" s="132"/>
      <c r="L154" s="132"/>
      <c r="M154" s="132"/>
      <c r="N154" s="132"/>
      <c r="O154" s="132"/>
      <c r="P154" s="132"/>
      <c r="Q154" s="132"/>
      <c r="R154" s="132"/>
      <c r="S154" s="132"/>
      <c r="T154" s="132"/>
      <c r="U154" s="132"/>
      <c r="V154" s="132"/>
      <c r="W154" s="132"/>
      <c r="X154" s="132"/>
      <c r="Y154" s="132"/>
      <c r="Z154" s="132"/>
    </row>
    <row r="155" spans="1:26" ht="11.25" customHeight="1" x14ac:dyDescent="0.3">
      <c r="A155" s="132"/>
      <c r="B155" s="132"/>
      <c r="C155" s="132"/>
      <c r="D155" s="132"/>
      <c r="E155" s="132"/>
      <c r="F155" s="132"/>
      <c r="G155" s="132"/>
      <c r="H155" s="132"/>
      <c r="I155" s="132"/>
      <c r="J155" s="132"/>
      <c r="K155" s="132"/>
      <c r="L155" s="132"/>
      <c r="M155" s="132"/>
      <c r="N155" s="132"/>
      <c r="O155" s="132"/>
      <c r="P155" s="132"/>
      <c r="Q155" s="132"/>
      <c r="R155" s="132"/>
      <c r="S155" s="132"/>
      <c r="T155" s="132"/>
      <c r="U155" s="132"/>
      <c r="V155" s="132"/>
      <c r="W155" s="132"/>
      <c r="X155" s="132"/>
      <c r="Y155" s="132"/>
      <c r="Z155" s="132"/>
    </row>
    <row r="156" spans="1:26" ht="11.25" customHeight="1" x14ac:dyDescent="0.3">
      <c r="A156" s="132"/>
      <c r="B156" s="132"/>
      <c r="C156" s="132"/>
      <c r="D156" s="132"/>
      <c r="E156" s="132"/>
      <c r="F156" s="132"/>
      <c r="G156" s="132"/>
      <c r="H156" s="132"/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132"/>
      <c r="T156" s="132"/>
      <c r="U156" s="132"/>
      <c r="V156" s="132"/>
      <c r="W156" s="132"/>
      <c r="X156" s="132"/>
      <c r="Y156" s="132"/>
      <c r="Z156" s="132"/>
    </row>
    <row r="157" spans="1:26" ht="11.25" customHeight="1" x14ac:dyDescent="0.3">
      <c r="A157" s="132"/>
      <c r="B157" s="132"/>
      <c r="C157" s="132"/>
      <c r="D157" s="132"/>
      <c r="E157" s="132"/>
      <c r="F157" s="132"/>
      <c r="G157" s="132"/>
      <c r="H157" s="132"/>
      <c r="I157" s="132"/>
      <c r="J157" s="132"/>
      <c r="K157" s="132"/>
      <c r="L157" s="132"/>
      <c r="M157" s="132"/>
      <c r="N157" s="132"/>
      <c r="O157" s="132"/>
      <c r="P157" s="132"/>
      <c r="Q157" s="132"/>
      <c r="R157" s="132"/>
      <c r="S157" s="132"/>
      <c r="T157" s="132"/>
      <c r="U157" s="132"/>
      <c r="V157" s="132"/>
      <c r="W157" s="132"/>
      <c r="X157" s="132"/>
      <c r="Y157" s="132"/>
      <c r="Z157" s="132"/>
    </row>
    <row r="158" spans="1:26" ht="11.25" customHeight="1" x14ac:dyDescent="0.3">
      <c r="A158" s="132"/>
      <c r="B158" s="132"/>
      <c r="C158" s="132"/>
      <c r="D158" s="132"/>
      <c r="E158" s="132"/>
      <c r="F158" s="132"/>
      <c r="G158" s="132"/>
      <c r="H158" s="132"/>
      <c r="I158" s="132"/>
      <c r="J158" s="132"/>
      <c r="K158" s="132"/>
      <c r="L158" s="132"/>
      <c r="M158" s="132"/>
      <c r="N158" s="132"/>
      <c r="O158" s="132"/>
      <c r="P158" s="132"/>
      <c r="Q158" s="132"/>
      <c r="R158" s="132"/>
      <c r="S158" s="132"/>
      <c r="T158" s="132"/>
      <c r="U158" s="132"/>
      <c r="V158" s="132"/>
      <c r="W158" s="132"/>
      <c r="X158" s="132"/>
      <c r="Y158" s="132"/>
      <c r="Z158" s="132"/>
    </row>
    <row r="159" spans="1:26" ht="11.25" customHeight="1" x14ac:dyDescent="0.3">
      <c r="A159" s="132"/>
      <c r="B159" s="132"/>
      <c r="C159" s="132"/>
      <c r="D159" s="132"/>
      <c r="E159" s="132"/>
      <c r="F159" s="132"/>
      <c r="G159" s="132"/>
      <c r="H159" s="132"/>
      <c r="I159" s="132"/>
      <c r="J159" s="132"/>
      <c r="K159" s="132"/>
      <c r="L159" s="132"/>
      <c r="M159" s="132"/>
      <c r="N159" s="132"/>
      <c r="O159" s="132"/>
      <c r="P159" s="132"/>
      <c r="Q159" s="132"/>
      <c r="R159" s="132"/>
      <c r="S159" s="132"/>
      <c r="T159" s="132"/>
      <c r="U159" s="132"/>
      <c r="V159" s="132"/>
      <c r="W159" s="132"/>
      <c r="X159" s="132"/>
      <c r="Y159" s="132"/>
      <c r="Z159" s="132"/>
    </row>
    <row r="160" spans="1:26" ht="11.25" customHeight="1" x14ac:dyDescent="0.3">
      <c r="A160" s="132"/>
      <c r="B160" s="132"/>
      <c r="C160" s="132"/>
      <c r="D160" s="132"/>
      <c r="E160" s="132"/>
      <c r="F160" s="132"/>
      <c r="G160" s="132"/>
      <c r="H160" s="132"/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132"/>
      <c r="T160" s="132"/>
      <c r="U160" s="132"/>
      <c r="V160" s="132"/>
      <c r="W160" s="132"/>
      <c r="X160" s="132"/>
      <c r="Y160" s="132"/>
      <c r="Z160" s="132"/>
    </row>
    <row r="161" spans="1:26" ht="11.25" customHeight="1" x14ac:dyDescent="0.3">
      <c r="A161" s="132"/>
      <c r="B161" s="132"/>
      <c r="C161" s="132"/>
      <c r="D161" s="132"/>
      <c r="E161" s="132"/>
      <c r="F161" s="132"/>
      <c r="G161" s="132"/>
      <c r="H161" s="132"/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132"/>
      <c r="T161" s="132"/>
      <c r="U161" s="132"/>
      <c r="V161" s="132"/>
      <c r="W161" s="132"/>
      <c r="X161" s="132"/>
      <c r="Y161" s="132"/>
      <c r="Z161" s="132"/>
    </row>
    <row r="162" spans="1:26" ht="11.25" customHeight="1" x14ac:dyDescent="0.3">
      <c r="A162" s="132"/>
      <c r="B162" s="132"/>
      <c r="C162" s="132"/>
      <c r="D162" s="132"/>
      <c r="E162" s="132"/>
      <c r="F162" s="132"/>
      <c r="G162" s="132"/>
      <c r="H162" s="132"/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132"/>
      <c r="T162" s="132"/>
      <c r="U162" s="132"/>
      <c r="V162" s="132"/>
      <c r="W162" s="132"/>
      <c r="X162" s="132"/>
      <c r="Y162" s="132"/>
      <c r="Z162" s="132"/>
    </row>
    <row r="163" spans="1:26" ht="11.25" customHeight="1" x14ac:dyDescent="0.3">
      <c r="A163" s="132"/>
      <c r="B163" s="132"/>
      <c r="C163" s="132"/>
      <c r="D163" s="132"/>
      <c r="E163" s="132"/>
      <c r="F163" s="132"/>
      <c r="G163" s="132"/>
      <c r="H163" s="132"/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132"/>
      <c r="T163" s="132"/>
      <c r="U163" s="132"/>
      <c r="V163" s="132"/>
      <c r="W163" s="132"/>
      <c r="X163" s="132"/>
      <c r="Y163" s="132"/>
      <c r="Z163" s="132"/>
    </row>
    <row r="164" spans="1:26" ht="11.25" customHeight="1" x14ac:dyDescent="0.3">
      <c r="A164" s="132"/>
      <c r="B164" s="132"/>
      <c r="C164" s="132"/>
      <c r="D164" s="132"/>
      <c r="E164" s="132"/>
      <c r="F164" s="132"/>
      <c r="G164" s="132"/>
      <c r="H164" s="132"/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132"/>
      <c r="T164" s="132"/>
      <c r="U164" s="132"/>
      <c r="V164" s="132"/>
      <c r="W164" s="132"/>
      <c r="X164" s="132"/>
      <c r="Y164" s="132"/>
      <c r="Z164" s="132"/>
    </row>
    <row r="165" spans="1:26" ht="11.25" customHeight="1" x14ac:dyDescent="0.3">
      <c r="A165" s="132"/>
      <c r="B165" s="132"/>
      <c r="C165" s="132"/>
      <c r="D165" s="132"/>
      <c r="E165" s="132"/>
      <c r="F165" s="132"/>
      <c r="G165" s="132"/>
      <c r="H165" s="132"/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132"/>
      <c r="T165" s="132"/>
      <c r="U165" s="132"/>
      <c r="V165" s="132"/>
      <c r="W165" s="132"/>
      <c r="X165" s="132"/>
      <c r="Y165" s="132"/>
      <c r="Z165" s="132"/>
    </row>
    <row r="166" spans="1:26" ht="11.25" customHeight="1" x14ac:dyDescent="0.3">
      <c r="A166" s="132"/>
      <c r="B166" s="132"/>
      <c r="C166" s="132"/>
      <c r="D166" s="132"/>
      <c r="E166" s="132"/>
      <c r="F166" s="132"/>
      <c r="G166" s="132"/>
      <c r="H166" s="132"/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132"/>
      <c r="T166" s="132"/>
      <c r="U166" s="132"/>
      <c r="V166" s="132"/>
      <c r="W166" s="132"/>
      <c r="X166" s="132"/>
      <c r="Y166" s="132"/>
      <c r="Z166" s="132"/>
    </row>
    <row r="167" spans="1:26" ht="11.25" customHeight="1" x14ac:dyDescent="0.3">
      <c r="A167" s="132"/>
      <c r="B167" s="132"/>
      <c r="C167" s="132"/>
      <c r="D167" s="132"/>
      <c r="E167" s="132"/>
      <c r="F167" s="132"/>
      <c r="G167" s="132"/>
      <c r="H167" s="132"/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132"/>
      <c r="T167" s="132"/>
      <c r="U167" s="132"/>
      <c r="V167" s="132"/>
      <c r="W167" s="132"/>
      <c r="X167" s="132"/>
      <c r="Y167" s="132"/>
      <c r="Z167" s="132"/>
    </row>
    <row r="168" spans="1:26" ht="11.25" customHeight="1" x14ac:dyDescent="0.3">
      <c r="A168" s="132"/>
      <c r="B168" s="132"/>
      <c r="C168" s="132"/>
      <c r="D168" s="132"/>
      <c r="E168" s="132"/>
      <c r="F168" s="132"/>
      <c r="G168" s="132"/>
      <c r="H168" s="132"/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132"/>
      <c r="T168" s="132"/>
      <c r="U168" s="132"/>
      <c r="V168" s="132"/>
      <c r="W168" s="132"/>
      <c r="X168" s="132"/>
      <c r="Y168" s="132"/>
      <c r="Z168" s="132"/>
    </row>
    <row r="169" spans="1:26" ht="11.25" customHeight="1" x14ac:dyDescent="0.3">
      <c r="A169" s="132"/>
      <c r="B169" s="132"/>
      <c r="C169" s="132"/>
      <c r="D169" s="132"/>
      <c r="E169" s="132"/>
      <c r="F169" s="132"/>
      <c r="G169" s="132"/>
      <c r="H169" s="132"/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132"/>
      <c r="T169" s="132"/>
      <c r="U169" s="132"/>
      <c r="V169" s="132"/>
      <c r="W169" s="132"/>
      <c r="X169" s="132"/>
      <c r="Y169" s="132"/>
      <c r="Z169" s="132"/>
    </row>
    <row r="170" spans="1:26" ht="11.25" customHeight="1" x14ac:dyDescent="0.3">
      <c r="A170" s="132"/>
      <c r="B170" s="132"/>
      <c r="C170" s="132"/>
      <c r="D170" s="132"/>
      <c r="E170" s="132"/>
      <c r="F170" s="132"/>
      <c r="G170" s="132"/>
      <c r="H170" s="132"/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132"/>
      <c r="T170" s="132"/>
      <c r="U170" s="132"/>
      <c r="V170" s="132"/>
      <c r="W170" s="132"/>
      <c r="X170" s="132"/>
      <c r="Y170" s="132"/>
      <c r="Z170" s="132"/>
    </row>
    <row r="171" spans="1:26" ht="11.25" customHeight="1" x14ac:dyDescent="0.3">
      <c r="A171" s="132"/>
      <c r="B171" s="132"/>
      <c r="C171" s="132"/>
      <c r="D171" s="132"/>
      <c r="E171" s="132"/>
      <c r="F171" s="132"/>
      <c r="G171" s="132"/>
      <c r="H171" s="132"/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132"/>
      <c r="T171" s="132"/>
      <c r="U171" s="132"/>
      <c r="V171" s="132"/>
      <c r="W171" s="132"/>
      <c r="X171" s="132"/>
      <c r="Y171" s="132"/>
      <c r="Z171" s="132"/>
    </row>
    <row r="172" spans="1:26" ht="11.25" customHeight="1" x14ac:dyDescent="0.3">
      <c r="A172" s="132"/>
      <c r="B172" s="132"/>
      <c r="C172" s="132"/>
      <c r="D172" s="132"/>
      <c r="E172" s="132"/>
      <c r="F172" s="132"/>
      <c r="G172" s="132"/>
      <c r="H172" s="132"/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132"/>
      <c r="T172" s="132"/>
      <c r="U172" s="132"/>
      <c r="V172" s="132"/>
      <c r="W172" s="132"/>
      <c r="X172" s="132"/>
      <c r="Y172" s="132"/>
      <c r="Z172" s="132"/>
    </row>
    <row r="173" spans="1:26" ht="11.25" customHeight="1" x14ac:dyDescent="0.3">
      <c r="A173" s="132"/>
      <c r="B173" s="132"/>
      <c r="C173" s="132"/>
      <c r="D173" s="132"/>
      <c r="E173" s="132"/>
      <c r="F173" s="132"/>
      <c r="G173" s="132"/>
      <c r="H173" s="132"/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132"/>
      <c r="T173" s="132"/>
      <c r="U173" s="132"/>
      <c r="V173" s="132"/>
      <c r="W173" s="132"/>
      <c r="X173" s="132"/>
      <c r="Y173" s="132"/>
      <c r="Z173" s="132"/>
    </row>
    <row r="174" spans="1:26" ht="11.25" customHeight="1" x14ac:dyDescent="0.3">
      <c r="A174" s="132"/>
      <c r="B174" s="132"/>
      <c r="C174" s="132"/>
      <c r="D174" s="132"/>
      <c r="E174" s="132"/>
      <c r="F174" s="132"/>
      <c r="G174" s="132"/>
      <c r="H174" s="132"/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132"/>
      <c r="T174" s="132"/>
      <c r="U174" s="132"/>
      <c r="V174" s="132"/>
      <c r="W174" s="132"/>
      <c r="X174" s="132"/>
      <c r="Y174" s="132"/>
      <c r="Z174" s="132"/>
    </row>
    <row r="175" spans="1:26" ht="11.25" customHeight="1" x14ac:dyDescent="0.3">
      <c r="A175" s="132"/>
      <c r="B175" s="132"/>
      <c r="C175" s="132"/>
      <c r="D175" s="132"/>
      <c r="E175" s="132"/>
      <c r="F175" s="132"/>
      <c r="G175" s="132"/>
      <c r="H175" s="132"/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132"/>
      <c r="T175" s="132"/>
      <c r="U175" s="132"/>
      <c r="V175" s="132"/>
      <c r="W175" s="132"/>
      <c r="X175" s="132"/>
      <c r="Y175" s="132"/>
      <c r="Z175" s="132"/>
    </row>
    <row r="176" spans="1:26" ht="11.25" customHeight="1" x14ac:dyDescent="0.3">
      <c r="A176" s="132"/>
      <c r="B176" s="132"/>
      <c r="C176" s="132"/>
      <c r="D176" s="132"/>
      <c r="E176" s="132"/>
      <c r="F176" s="132"/>
      <c r="G176" s="132"/>
      <c r="H176" s="132"/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132"/>
      <c r="T176" s="132"/>
      <c r="U176" s="132"/>
      <c r="V176" s="132"/>
      <c r="W176" s="132"/>
      <c r="X176" s="132"/>
      <c r="Y176" s="132"/>
      <c r="Z176" s="132"/>
    </row>
    <row r="177" spans="1:26" ht="11.25" customHeight="1" x14ac:dyDescent="0.3">
      <c r="A177" s="132"/>
      <c r="B177" s="132"/>
      <c r="C177" s="132"/>
      <c r="D177" s="132"/>
      <c r="E177" s="132"/>
      <c r="F177" s="132"/>
      <c r="G177" s="132"/>
      <c r="H177" s="132"/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132"/>
      <c r="T177" s="132"/>
      <c r="U177" s="132"/>
      <c r="V177" s="132"/>
      <c r="W177" s="132"/>
      <c r="X177" s="132"/>
      <c r="Y177" s="132"/>
      <c r="Z177" s="132"/>
    </row>
    <row r="178" spans="1:26" ht="11.25" customHeight="1" x14ac:dyDescent="0.3">
      <c r="A178" s="132"/>
      <c r="B178" s="132"/>
      <c r="C178" s="132"/>
      <c r="D178" s="132"/>
      <c r="E178" s="132"/>
      <c r="F178" s="132"/>
      <c r="G178" s="132"/>
      <c r="H178" s="132"/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132"/>
      <c r="T178" s="132"/>
      <c r="U178" s="132"/>
      <c r="V178" s="132"/>
      <c r="W178" s="132"/>
      <c r="X178" s="132"/>
      <c r="Y178" s="132"/>
      <c r="Z178" s="132"/>
    </row>
    <row r="179" spans="1:26" ht="11.25" customHeight="1" x14ac:dyDescent="0.3">
      <c r="A179" s="132"/>
      <c r="B179" s="132"/>
      <c r="C179" s="132"/>
      <c r="D179" s="132"/>
      <c r="E179" s="132"/>
      <c r="F179" s="132"/>
      <c r="G179" s="132"/>
      <c r="H179" s="132"/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132"/>
      <c r="T179" s="132"/>
      <c r="U179" s="132"/>
      <c r="V179" s="132"/>
      <c r="W179" s="132"/>
      <c r="X179" s="132"/>
      <c r="Y179" s="132"/>
      <c r="Z179" s="132"/>
    </row>
    <row r="180" spans="1:26" ht="11.25" customHeight="1" x14ac:dyDescent="0.3">
      <c r="A180" s="132"/>
      <c r="B180" s="132"/>
      <c r="C180" s="132"/>
      <c r="D180" s="132"/>
      <c r="E180" s="132"/>
      <c r="F180" s="132"/>
      <c r="G180" s="132"/>
      <c r="H180" s="132"/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132"/>
      <c r="T180" s="132"/>
      <c r="U180" s="132"/>
      <c r="V180" s="132"/>
      <c r="W180" s="132"/>
      <c r="X180" s="132"/>
      <c r="Y180" s="132"/>
      <c r="Z180" s="132"/>
    </row>
    <row r="181" spans="1:26" ht="11.25" customHeight="1" x14ac:dyDescent="0.3">
      <c r="A181" s="132"/>
      <c r="B181" s="132"/>
      <c r="C181" s="132"/>
      <c r="D181" s="132"/>
      <c r="E181" s="132"/>
      <c r="F181" s="132"/>
      <c r="G181" s="132"/>
      <c r="H181" s="132"/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132"/>
      <c r="T181" s="132"/>
      <c r="U181" s="132"/>
      <c r="V181" s="132"/>
      <c r="W181" s="132"/>
      <c r="X181" s="132"/>
      <c r="Y181" s="132"/>
      <c r="Z181" s="132"/>
    </row>
    <row r="182" spans="1:26" ht="11.25" customHeight="1" x14ac:dyDescent="0.3">
      <c r="A182" s="132"/>
      <c r="B182" s="132"/>
      <c r="C182" s="132"/>
      <c r="D182" s="132"/>
      <c r="E182" s="132"/>
      <c r="F182" s="132"/>
      <c r="G182" s="132"/>
      <c r="H182" s="132"/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132"/>
      <c r="T182" s="132"/>
      <c r="U182" s="132"/>
      <c r="V182" s="132"/>
      <c r="W182" s="132"/>
      <c r="X182" s="132"/>
      <c r="Y182" s="132"/>
      <c r="Z182" s="132"/>
    </row>
    <row r="183" spans="1:26" ht="11.25" customHeight="1" x14ac:dyDescent="0.3">
      <c r="A183" s="132"/>
      <c r="B183" s="132"/>
      <c r="C183" s="132"/>
      <c r="D183" s="132"/>
      <c r="E183" s="132"/>
      <c r="F183" s="132"/>
      <c r="G183" s="132"/>
      <c r="H183" s="132"/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132"/>
      <c r="T183" s="132"/>
      <c r="U183" s="132"/>
      <c r="V183" s="132"/>
      <c r="W183" s="132"/>
      <c r="X183" s="132"/>
      <c r="Y183" s="132"/>
      <c r="Z183" s="132"/>
    </row>
    <row r="184" spans="1:26" ht="11.25" customHeight="1" x14ac:dyDescent="0.3">
      <c r="A184" s="132"/>
      <c r="B184" s="132"/>
      <c r="C184" s="132"/>
      <c r="D184" s="132"/>
      <c r="E184" s="132"/>
      <c r="F184" s="132"/>
      <c r="G184" s="132"/>
      <c r="H184" s="132"/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32"/>
      <c r="T184" s="132"/>
      <c r="U184" s="132"/>
      <c r="V184" s="132"/>
      <c r="W184" s="132"/>
      <c r="X184" s="132"/>
      <c r="Y184" s="132"/>
      <c r="Z184" s="132"/>
    </row>
    <row r="185" spans="1:26" ht="11.25" customHeight="1" x14ac:dyDescent="0.3">
      <c r="A185" s="132"/>
      <c r="B185" s="132"/>
      <c r="C185" s="132"/>
      <c r="D185" s="132"/>
      <c r="E185" s="132"/>
      <c r="F185" s="132"/>
      <c r="G185" s="132"/>
      <c r="H185" s="132"/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132"/>
      <c r="T185" s="132"/>
      <c r="U185" s="132"/>
      <c r="V185" s="132"/>
      <c r="W185" s="132"/>
      <c r="X185" s="132"/>
      <c r="Y185" s="132"/>
      <c r="Z185" s="132"/>
    </row>
    <row r="186" spans="1:26" ht="11.25" customHeight="1" x14ac:dyDescent="0.3">
      <c r="A186" s="132"/>
      <c r="B186" s="132"/>
      <c r="C186" s="132"/>
      <c r="D186" s="132"/>
      <c r="E186" s="132"/>
      <c r="F186" s="132"/>
      <c r="G186" s="132"/>
      <c r="H186" s="132"/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132"/>
      <c r="T186" s="132"/>
      <c r="U186" s="132"/>
      <c r="V186" s="132"/>
      <c r="W186" s="132"/>
      <c r="X186" s="132"/>
      <c r="Y186" s="132"/>
      <c r="Z186" s="132"/>
    </row>
    <row r="187" spans="1:26" ht="11.25" customHeight="1" x14ac:dyDescent="0.3">
      <c r="A187" s="132"/>
      <c r="B187" s="132"/>
      <c r="C187" s="132"/>
      <c r="D187" s="132"/>
      <c r="E187" s="132"/>
      <c r="F187" s="132"/>
      <c r="G187" s="132"/>
      <c r="H187" s="132"/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132"/>
      <c r="T187" s="132"/>
      <c r="U187" s="132"/>
      <c r="V187" s="132"/>
      <c r="W187" s="132"/>
      <c r="X187" s="132"/>
      <c r="Y187" s="132"/>
      <c r="Z187" s="132"/>
    </row>
    <row r="188" spans="1:26" ht="11.25" customHeight="1" x14ac:dyDescent="0.3">
      <c r="A188" s="132"/>
      <c r="B188" s="132"/>
      <c r="C188" s="132"/>
      <c r="D188" s="132"/>
      <c r="E188" s="132"/>
      <c r="F188" s="132"/>
      <c r="G188" s="132"/>
      <c r="H188" s="132"/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132"/>
      <c r="T188" s="132"/>
      <c r="U188" s="132"/>
      <c r="V188" s="132"/>
      <c r="W188" s="132"/>
      <c r="X188" s="132"/>
      <c r="Y188" s="132"/>
      <c r="Z188" s="132"/>
    </row>
    <row r="189" spans="1:26" ht="11.25" customHeight="1" x14ac:dyDescent="0.3">
      <c r="A189" s="132"/>
      <c r="B189" s="132"/>
      <c r="C189" s="132"/>
      <c r="D189" s="132"/>
      <c r="E189" s="132"/>
      <c r="F189" s="132"/>
      <c r="G189" s="132"/>
      <c r="H189" s="132"/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132"/>
      <c r="T189" s="132"/>
      <c r="U189" s="132"/>
      <c r="V189" s="132"/>
      <c r="W189" s="132"/>
      <c r="X189" s="132"/>
      <c r="Y189" s="132"/>
      <c r="Z189" s="132"/>
    </row>
    <row r="190" spans="1:26" ht="11.25" customHeight="1" x14ac:dyDescent="0.3">
      <c r="A190" s="132"/>
      <c r="B190" s="132"/>
      <c r="C190" s="132"/>
      <c r="D190" s="132"/>
      <c r="E190" s="132"/>
      <c r="F190" s="132"/>
      <c r="G190" s="132"/>
      <c r="H190" s="132"/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132"/>
      <c r="T190" s="132"/>
      <c r="U190" s="132"/>
      <c r="V190" s="132"/>
      <c r="W190" s="132"/>
      <c r="X190" s="132"/>
      <c r="Y190" s="132"/>
      <c r="Z190" s="132"/>
    </row>
    <row r="191" spans="1:26" ht="11.25" customHeight="1" x14ac:dyDescent="0.3">
      <c r="A191" s="132"/>
      <c r="B191" s="132"/>
      <c r="C191" s="132"/>
      <c r="D191" s="132"/>
      <c r="E191" s="132"/>
      <c r="F191" s="132"/>
      <c r="G191" s="132"/>
      <c r="H191" s="132"/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132"/>
      <c r="T191" s="132"/>
      <c r="U191" s="132"/>
      <c r="V191" s="132"/>
      <c r="W191" s="132"/>
      <c r="X191" s="132"/>
      <c r="Y191" s="132"/>
      <c r="Z191" s="132"/>
    </row>
    <row r="192" spans="1:26" ht="11.25" customHeight="1" x14ac:dyDescent="0.3">
      <c r="A192" s="132"/>
      <c r="B192" s="132"/>
      <c r="C192" s="132"/>
      <c r="D192" s="132"/>
      <c r="E192" s="132"/>
      <c r="F192" s="132"/>
      <c r="G192" s="132"/>
      <c r="H192" s="132"/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132"/>
      <c r="T192" s="132"/>
      <c r="U192" s="132"/>
      <c r="V192" s="132"/>
      <c r="W192" s="132"/>
      <c r="X192" s="132"/>
      <c r="Y192" s="132"/>
      <c r="Z192" s="132"/>
    </row>
    <row r="193" spans="1:26" ht="11.25" customHeight="1" x14ac:dyDescent="0.3">
      <c r="A193" s="132"/>
      <c r="B193" s="132"/>
      <c r="C193" s="132"/>
      <c r="D193" s="132"/>
      <c r="E193" s="132"/>
      <c r="F193" s="132"/>
      <c r="G193" s="132"/>
      <c r="H193" s="132"/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132"/>
      <c r="T193" s="132"/>
      <c r="U193" s="132"/>
      <c r="V193" s="132"/>
      <c r="W193" s="132"/>
      <c r="X193" s="132"/>
      <c r="Y193" s="132"/>
      <c r="Z193" s="132"/>
    </row>
    <row r="194" spans="1:26" ht="11.25" customHeight="1" x14ac:dyDescent="0.3">
      <c r="A194" s="132"/>
      <c r="B194" s="132"/>
      <c r="C194" s="132"/>
      <c r="D194" s="132"/>
      <c r="E194" s="132"/>
      <c r="F194" s="132"/>
      <c r="G194" s="132"/>
      <c r="H194" s="132"/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132"/>
      <c r="T194" s="132"/>
      <c r="U194" s="132"/>
      <c r="V194" s="132"/>
      <c r="W194" s="132"/>
      <c r="X194" s="132"/>
      <c r="Y194" s="132"/>
      <c r="Z194" s="132"/>
    </row>
    <row r="195" spans="1:26" ht="11.25" customHeight="1" x14ac:dyDescent="0.3">
      <c r="A195" s="132"/>
      <c r="B195" s="132"/>
      <c r="C195" s="132"/>
      <c r="D195" s="132"/>
      <c r="E195" s="132"/>
      <c r="F195" s="132"/>
      <c r="G195" s="132"/>
      <c r="H195" s="132"/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132"/>
      <c r="T195" s="132"/>
      <c r="U195" s="132"/>
      <c r="V195" s="132"/>
      <c r="W195" s="132"/>
      <c r="X195" s="132"/>
      <c r="Y195" s="132"/>
      <c r="Z195" s="132"/>
    </row>
    <row r="196" spans="1:26" ht="11.25" customHeight="1" x14ac:dyDescent="0.3">
      <c r="A196" s="132"/>
      <c r="B196" s="132"/>
      <c r="C196" s="132"/>
      <c r="D196" s="132"/>
      <c r="E196" s="132"/>
      <c r="F196" s="132"/>
      <c r="G196" s="132"/>
      <c r="H196" s="132"/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32"/>
      <c r="T196" s="132"/>
      <c r="U196" s="132"/>
      <c r="V196" s="132"/>
      <c r="W196" s="132"/>
      <c r="X196" s="132"/>
      <c r="Y196" s="132"/>
      <c r="Z196" s="132"/>
    </row>
    <row r="197" spans="1:26" ht="11.25" customHeight="1" x14ac:dyDescent="0.3">
      <c r="A197" s="132"/>
      <c r="B197" s="132"/>
      <c r="C197" s="132"/>
      <c r="D197" s="132"/>
      <c r="E197" s="132"/>
      <c r="F197" s="132"/>
      <c r="G197" s="132"/>
      <c r="H197" s="132"/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32"/>
      <c r="T197" s="132"/>
      <c r="U197" s="132"/>
      <c r="V197" s="132"/>
      <c r="W197" s="132"/>
      <c r="X197" s="132"/>
      <c r="Y197" s="132"/>
      <c r="Z197" s="132"/>
    </row>
    <row r="198" spans="1:26" ht="11.25" customHeight="1" x14ac:dyDescent="0.3">
      <c r="A198" s="132"/>
      <c r="B198" s="132"/>
      <c r="C198" s="132"/>
      <c r="D198" s="132"/>
      <c r="E198" s="132"/>
      <c r="F198" s="132"/>
      <c r="G198" s="132"/>
      <c r="H198" s="132"/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132"/>
      <c r="T198" s="132"/>
      <c r="U198" s="132"/>
      <c r="V198" s="132"/>
      <c r="W198" s="132"/>
      <c r="X198" s="132"/>
      <c r="Y198" s="132"/>
      <c r="Z198" s="132"/>
    </row>
    <row r="199" spans="1:26" ht="11.25" customHeight="1" x14ac:dyDescent="0.3">
      <c r="A199" s="132"/>
      <c r="B199" s="132"/>
      <c r="C199" s="132"/>
      <c r="D199" s="132"/>
      <c r="E199" s="132"/>
      <c r="F199" s="132"/>
      <c r="G199" s="132"/>
      <c r="H199" s="132"/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132"/>
      <c r="T199" s="132"/>
      <c r="U199" s="132"/>
      <c r="V199" s="132"/>
      <c r="W199" s="132"/>
      <c r="X199" s="132"/>
      <c r="Y199" s="132"/>
      <c r="Z199" s="132"/>
    </row>
    <row r="200" spans="1:26" ht="11.25" customHeight="1" x14ac:dyDescent="0.3">
      <c r="A200" s="132"/>
      <c r="B200" s="132"/>
      <c r="C200" s="132"/>
      <c r="D200" s="132"/>
      <c r="E200" s="132"/>
      <c r="F200" s="132"/>
      <c r="G200" s="132"/>
      <c r="H200" s="132"/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132"/>
      <c r="T200" s="132"/>
      <c r="U200" s="132"/>
      <c r="V200" s="132"/>
      <c r="W200" s="132"/>
      <c r="X200" s="132"/>
      <c r="Y200" s="132"/>
      <c r="Z200" s="132"/>
    </row>
    <row r="201" spans="1:26" ht="11.25" customHeight="1" x14ac:dyDescent="0.3">
      <c r="A201" s="132"/>
      <c r="B201" s="132"/>
      <c r="C201" s="132"/>
      <c r="D201" s="132"/>
      <c r="E201" s="132"/>
      <c r="F201" s="132"/>
      <c r="G201" s="132"/>
      <c r="H201" s="132"/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132"/>
      <c r="T201" s="132"/>
      <c r="U201" s="132"/>
      <c r="V201" s="132"/>
      <c r="W201" s="132"/>
      <c r="X201" s="132"/>
      <c r="Y201" s="132"/>
      <c r="Z201" s="132"/>
    </row>
    <row r="202" spans="1:26" ht="11.25" customHeight="1" x14ac:dyDescent="0.3">
      <c r="A202" s="132"/>
      <c r="B202" s="132"/>
      <c r="C202" s="132"/>
      <c r="D202" s="132"/>
      <c r="E202" s="132"/>
      <c r="F202" s="132"/>
      <c r="G202" s="132"/>
      <c r="H202" s="132"/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132"/>
      <c r="T202" s="132"/>
      <c r="U202" s="132"/>
      <c r="V202" s="132"/>
      <c r="W202" s="132"/>
      <c r="X202" s="132"/>
      <c r="Y202" s="132"/>
      <c r="Z202" s="132"/>
    </row>
    <row r="203" spans="1:26" ht="11.25" customHeight="1" x14ac:dyDescent="0.3">
      <c r="A203" s="132"/>
      <c r="B203" s="132"/>
      <c r="C203" s="132"/>
      <c r="D203" s="132"/>
      <c r="E203" s="132"/>
      <c r="F203" s="132"/>
      <c r="G203" s="132"/>
      <c r="H203" s="132"/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132"/>
      <c r="T203" s="132"/>
      <c r="U203" s="132"/>
      <c r="V203" s="132"/>
      <c r="W203" s="132"/>
      <c r="X203" s="132"/>
      <c r="Y203" s="132"/>
      <c r="Z203" s="132"/>
    </row>
    <row r="204" spans="1:26" ht="11.25" customHeight="1" x14ac:dyDescent="0.3">
      <c r="A204" s="132"/>
      <c r="B204" s="132"/>
      <c r="C204" s="132"/>
      <c r="D204" s="132"/>
      <c r="E204" s="132"/>
      <c r="F204" s="132"/>
      <c r="G204" s="132"/>
      <c r="H204" s="132"/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132"/>
      <c r="T204" s="132"/>
      <c r="U204" s="132"/>
      <c r="V204" s="132"/>
      <c r="W204" s="132"/>
      <c r="X204" s="132"/>
      <c r="Y204" s="132"/>
      <c r="Z204" s="132"/>
    </row>
    <row r="205" spans="1:26" ht="11.25" customHeight="1" x14ac:dyDescent="0.3">
      <c r="A205" s="132"/>
      <c r="B205" s="132"/>
      <c r="C205" s="132"/>
      <c r="D205" s="132"/>
      <c r="E205" s="132"/>
      <c r="F205" s="132"/>
      <c r="G205" s="132"/>
      <c r="H205" s="132"/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132"/>
      <c r="T205" s="132"/>
      <c r="U205" s="132"/>
      <c r="V205" s="132"/>
      <c r="W205" s="132"/>
      <c r="X205" s="132"/>
      <c r="Y205" s="132"/>
      <c r="Z205" s="132"/>
    </row>
    <row r="206" spans="1:26" ht="11.25" customHeight="1" x14ac:dyDescent="0.3">
      <c r="A206" s="132"/>
      <c r="B206" s="132"/>
      <c r="C206" s="132"/>
      <c r="D206" s="132"/>
      <c r="E206" s="132"/>
      <c r="F206" s="132"/>
      <c r="G206" s="132"/>
      <c r="H206" s="132"/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132"/>
      <c r="T206" s="132"/>
      <c r="U206" s="132"/>
      <c r="V206" s="132"/>
      <c r="W206" s="132"/>
      <c r="X206" s="132"/>
      <c r="Y206" s="132"/>
      <c r="Z206" s="132"/>
    </row>
    <row r="207" spans="1:26" ht="11.25" customHeight="1" x14ac:dyDescent="0.3">
      <c r="A207" s="132"/>
      <c r="B207" s="132"/>
      <c r="C207" s="132"/>
      <c r="D207" s="132"/>
      <c r="E207" s="132"/>
      <c r="F207" s="132"/>
      <c r="G207" s="132"/>
      <c r="H207" s="132"/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132"/>
      <c r="T207" s="132"/>
      <c r="U207" s="132"/>
      <c r="V207" s="132"/>
      <c r="W207" s="132"/>
      <c r="X207" s="132"/>
      <c r="Y207" s="132"/>
      <c r="Z207" s="132"/>
    </row>
    <row r="208" spans="1:26" ht="11.25" customHeight="1" x14ac:dyDescent="0.3">
      <c r="A208" s="132"/>
      <c r="B208" s="132"/>
      <c r="C208" s="132"/>
      <c r="D208" s="132"/>
      <c r="E208" s="132"/>
      <c r="F208" s="132"/>
      <c r="G208" s="132"/>
      <c r="H208" s="132"/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132"/>
      <c r="T208" s="132"/>
      <c r="U208" s="132"/>
      <c r="V208" s="132"/>
      <c r="W208" s="132"/>
      <c r="X208" s="132"/>
      <c r="Y208" s="132"/>
      <c r="Z208" s="132"/>
    </row>
    <row r="209" spans="1:26" ht="11.25" customHeight="1" x14ac:dyDescent="0.3">
      <c r="A209" s="132"/>
      <c r="B209" s="132"/>
      <c r="C209" s="132"/>
      <c r="D209" s="132"/>
      <c r="E209" s="132"/>
      <c r="F209" s="132"/>
      <c r="G209" s="132"/>
      <c r="H209" s="132"/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32"/>
      <c r="T209" s="132"/>
      <c r="U209" s="132"/>
      <c r="V209" s="132"/>
      <c r="W209" s="132"/>
      <c r="X209" s="132"/>
      <c r="Y209" s="132"/>
      <c r="Z209" s="132"/>
    </row>
    <row r="210" spans="1:26" ht="11.25" customHeight="1" x14ac:dyDescent="0.3">
      <c r="A210" s="132"/>
      <c r="B210" s="132"/>
      <c r="C210" s="132"/>
      <c r="D210" s="132"/>
      <c r="E210" s="132"/>
      <c r="F210" s="132"/>
      <c r="G210" s="132"/>
      <c r="H210" s="132"/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132"/>
      <c r="T210" s="132"/>
      <c r="U210" s="132"/>
      <c r="V210" s="132"/>
      <c r="W210" s="132"/>
      <c r="X210" s="132"/>
      <c r="Y210" s="132"/>
      <c r="Z210" s="132"/>
    </row>
    <row r="211" spans="1:26" ht="11.25" customHeight="1" x14ac:dyDescent="0.3">
      <c r="A211" s="132"/>
      <c r="B211" s="132"/>
      <c r="C211" s="132"/>
      <c r="D211" s="132"/>
      <c r="E211" s="132"/>
      <c r="F211" s="132"/>
      <c r="G211" s="132"/>
      <c r="H211" s="132"/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132"/>
      <c r="T211" s="132"/>
      <c r="U211" s="132"/>
      <c r="V211" s="132"/>
      <c r="W211" s="132"/>
      <c r="X211" s="132"/>
      <c r="Y211" s="132"/>
      <c r="Z211" s="132"/>
    </row>
    <row r="212" spans="1:26" ht="11.25" customHeight="1" x14ac:dyDescent="0.3">
      <c r="A212" s="132"/>
      <c r="B212" s="132"/>
      <c r="C212" s="132"/>
      <c r="D212" s="132"/>
      <c r="E212" s="132"/>
      <c r="F212" s="132"/>
      <c r="G212" s="132"/>
      <c r="H212" s="132"/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132"/>
      <c r="T212" s="132"/>
      <c r="U212" s="132"/>
      <c r="V212" s="132"/>
      <c r="W212" s="132"/>
      <c r="X212" s="132"/>
      <c r="Y212" s="132"/>
      <c r="Z212" s="132"/>
    </row>
    <row r="213" spans="1:26" ht="11.25" customHeight="1" x14ac:dyDescent="0.3">
      <c r="A213" s="132"/>
      <c r="B213" s="132"/>
      <c r="C213" s="132"/>
      <c r="D213" s="132"/>
      <c r="E213" s="132"/>
      <c r="F213" s="132"/>
      <c r="G213" s="132"/>
      <c r="H213" s="132"/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132"/>
      <c r="T213" s="132"/>
      <c r="U213" s="132"/>
      <c r="V213" s="132"/>
      <c r="W213" s="132"/>
      <c r="X213" s="132"/>
      <c r="Y213" s="132"/>
      <c r="Z213" s="132"/>
    </row>
    <row r="214" spans="1:26" ht="11.25" customHeight="1" x14ac:dyDescent="0.3">
      <c r="A214" s="132"/>
      <c r="B214" s="132"/>
      <c r="C214" s="132"/>
      <c r="D214" s="132"/>
      <c r="E214" s="132"/>
      <c r="F214" s="132"/>
      <c r="G214" s="132"/>
      <c r="H214" s="132"/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132"/>
      <c r="T214" s="132"/>
      <c r="U214" s="132"/>
      <c r="V214" s="132"/>
      <c r="W214" s="132"/>
      <c r="X214" s="132"/>
      <c r="Y214" s="132"/>
      <c r="Z214" s="132"/>
    </row>
    <row r="215" spans="1:26" ht="11.25" customHeight="1" x14ac:dyDescent="0.3">
      <c r="A215" s="132"/>
      <c r="B215" s="132"/>
      <c r="C215" s="132"/>
      <c r="D215" s="132"/>
      <c r="E215" s="132"/>
      <c r="F215" s="132"/>
      <c r="G215" s="132"/>
      <c r="H215" s="132"/>
      <c r="I215" s="132"/>
      <c r="J215" s="132"/>
      <c r="K215" s="132"/>
      <c r="L215" s="132"/>
      <c r="M215" s="132"/>
      <c r="N215" s="132"/>
      <c r="O215" s="132"/>
      <c r="P215" s="132"/>
      <c r="Q215" s="132"/>
      <c r="R215" s="132"/>
      <c r="S215" s="132"/>
      <c r="T215" s="132"/>
      <c r="U215" s="132"/>
      <c r="V215" s="132"/>
      <c r="W215" s="132"/>
      <c r="X215" s="132"/>
      <c r="Y215" s="132"/>
      <c r="Z215" s="132"/>
    </row>
    <row r="216" spans="1:26" ht="11.25" customHeight="1" x14ac:dyDescent="0.3">
      <c r="A216" s="132"/>
      <c r="B216" s="132"/>
      <c r="C216" s="132"/>
      <c r="D216" s="132"/>
      <c r="E216" s="132"/>
      <c r="F216" s="132"/>
      <c r="G216" s="132"/>
      <c r="H216" s="132"/>
      <c r="I216" s="132"/>
      <c r="J216" s="132"/>
      <c r="K216" s="132"/>
      <c r="L216" s="132"/>
      <c r="M216" s="132"/>
      <c r="N216" s="132"/>
      <c r="O216" s="132"/>
      <c r="P216" s="132"/>
      <c r="Q216" s="132"/>
      <c r="R216" s="132"/>
      <c r="S216" s="132"/>
      <c r="T216" s="132"/>
      <c r="U216" s="132"/>
      <c r="V216" s="132"/>
      <c r="W216" s="132"/>
      <c r="X216" s="132"/>
      <c r="Y216" s="132"/>
      <c r="Z216" s="132"/>
    </row>
    <row r="217" spans="1:26" ht="11.25" customHeight="1" x14ac:dyDescent="0.3">
      <c r="A217" s="132"/>
      <c r="B217" s="132"/>
      <c r="C217" s="132"/>
      <c r="D217" s="132"/>
      <c r="E217" s="132"/>
      <c r="F217" s="132"/>
      <c r="G217" s="132"/>
      <c r="H217" s="132"/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132"/>
      <c r="T217" s="132"/>
      <c r="U217" s="132"/>
      <c r="V217" s="132"/>
      <c r="W217" s="132"/>
      <c r="X217" s="132"/>
      <c r="Y217" s="132"/>
      <c r="Z217" s="132"/>
    </row>
    <row r="218" spans="1:26" ht="11.25" customHeight="1" x14ac:dyDescent="0.3">
      <c r="A218" s="132"/>
      <c r="B218" s="132"/>
      <c r="C218" s="132"/>
      <c r="D218" s="132"/>
      <c r="E218" s="132"/>
      <c r="F218" s="132"/>
      <c r="G218" s="132"/>
      <c r="H218" s="132"/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132"/>
      <c r="T218" s="132"/>
      <c r="U218" s="132"/>
      <c r="V218" s="132"/>
      <c r="W218" s="132"/>
      <c r="X218" s="132"/>
      <c r="Y218" s="132"/>
      <c r="Z218" s="132"/>
    </row>
    <row r="219" spans="1:26" ht="11.25" customHeight="1" x14ac:dyDescent="0.3">
      <c r="A219" s="132"/>
      <c r="B219" s="132"/>
      <c r="C219" s="132"/>
      <c r="D219" s="132"/>
      <c r="E219" s="132"/>
      <c r="F219" s="132"/>
      <c r="G219" s="132"/>
      <c r="H219" s="132"/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132"/>
      <c r="T219" s="132"/>
      <c r="U219" s="132"/>
      <c r="V219" s="132"/>
      <c r="W219" s="132"/>
      <c r="X219" s="132"/>
      <c r="Y219" s="132"/>
      <c r="Z219" s="132"/>
    </row>
    <row r="220" spans="1:26" ht="11.25" customHeight="1" x14ac:dyDescent="0.3">
      <c r="A220" s="132"/>
      <c r="B220" s="132"/>
      <c r="C220" s="132"/>
      <c r="D220" s="132"/>
      <c r="E220" s="132"/>
      <c r="F220" s="132"/>
      <c r="G220" s="132"/>
      <c r="H220" s="132"/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132"/>
      <c r="T220" s="132"/>
      <c r="U220" s="132"/>
      <c r="V220" s="132"/>
      <c r="W220" s="132"/>
      <c r="X220" s="132"/>
      <c r="Y220" s="132"/>
      <c r="Z220" s="132"/>
    </row>
    <row r="221" spans="1:26" ht="11.25" customHeight="1" x14ac:dyDescent="0.3">
      <c r="A221" s="132"/>
      <c r="B221" s="132"/>
      <c r="C221" s="132"/>
      <c r="D221" s="132"/>
      <c r="E221" s="132"/>
      <c r="F221" s="132"/>
      <c r="G221" s="132"/>
      <c r="H221" s="132"/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132"/>
      <c r="T221" s="132"/>
      <c r="U221" s="132"/>
      <c r="V221" s="132"/>
      <c r="W221" s="132"/>
      <c r="X221" s="132"/>
      <c r="Y221" s="132"/>
      <c r="Z221" s="132"/>
    </row>
    <row r="222" spans="1:26" ht="11.25" customHeight="1" x14ac:dyDescent="0.3">
      <c r="A222" s="132"/>
      <c r="B222" s="132"/>
      <c r="C222" s="132"/>
      <c r="D222" s="132"/>
      <c r="E222" s="132"/>
      <c r="F222" s="132"/>
      <c r="G222" s="132"/>
      <c r="H222" s="132"/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132"/>
      <c r="T222" s="132"/>
      <c r="U222" s="132"/>
      <c r="V222" s="132"/>
      <c r="W222" s="132"/>
      <c r="X222" s="132"/>
      <c r="Y222" s="132"/>
      <c r="Z222" s="132"/>
    </row>
    <row r="223" spans="1:26" ht="11.25" customHeight="1" x14ac:dyDescent="0.3">
      <c r="A223" s="132"/>
      <c r="B223" s="132"/>
      <c r="C223" s="132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</row>
    <row r="224" spans="1:26" ht="11.25" customHeight="1" x14ac:dyDescent="0.3">
      <c r="A224" s="132"/>
      <c r="B224" s="132"/>
      <c r="C224" s="132"/>
      <c r="D224" s="132"/>
      <c r="E224" s="132"/>
      <c r="F224" s="132"/>
      <c r="G224" s="132"/>
      <c r="H224" s="132"/>
      <c r="I224" s="132"/>
      <c r="J224" s="132"/>
      <c r="K224" s="132"/>
      <c r="L224" s="132"/>
      <c r="M224" s="132"/>
      <c r="N224" s="132"/>
      <c r="O224" s="132"/>
      <c r="P224" s="132"/>
      <c r="Q224" s="132"/>
      <c r="R224" s="132"/>
      <c r="S224" s="132"/>
      <c r="T224" s="132"/>
      <c r="U224" s="132"/>
      <c r="V224" s="132"/>
      <c r="W224" s="132"/>
      <c r="X224" s="132"/>
      <c r="Y224" s="132"/>
      <c r="Z224" s="132"/>
    </row>
    <row r="225" spans="1:26" ht="11.25" customHeight="1" x14ac:dyDescent="0.3">
      <c r="A225" s="132"/>
      <c r="B225" s="132"/>
      <c r="C225" s="132"/>
      <c r="D225" s="132"/>
      <c r="E225" s="132"/>
      <c r="F225" s="132"/>
      <c r="G225" s="132"/>
      <c r="H225" s="132"/>
      <c r="I225" s="132"/>
      <c r="J225" s="132"/>
      <c r="K225" s="132"/>
      <c r="L225" s="132"/>
      <c r="M225" s="132"/>
      <c r="N225" s="132"/>
      <c r="O225" s="132"/>
      <c r="P225" s="132"/>
      <c r="Q225" s="132"/>
      <c r="R225" s="132"/>
      <c r="S225" s="132"/>
      <c r="T225" s="132"/>
      <c r="U225" s="132"/>
      <c r="V225" s="132"/>
      <c r="W225" s="132"/>
      <c r="X225" s="132"/>
      <c r="Y225" s="132"/>
      <c r="Z225" s="132"/>
    </row>
    <row r="226" spans="1:26" ht="11.25" customHeight="1" x14ac:dyDescent="0.3">
      <c r="A226" s="132"/>
      <c r="B226" s="132"/>
      <c r="C226" s="132"/>
      <c r="D226" s="132"/>
      <c r="E226" s="132"/>
      <c r="F226" s="132"/>
      <c r="G226" s="132"/>
      <c r="H226" s="132"/>
      <c r="I226" s="132"/>
      <c r="J226" s="132"/>
      <c r="K226" s="132"/>
      <c r="L226" s="132"/>
      <c r="M226" s="132"/>
      <c r="N226" s="132"/>
      <c r="O226" s="132"/>
      <c r="P226" s="132"/>
      <c r="Q226" s="132"/>
      <c r="R226" s="132"/>
      <c r="S226" s="132"/>
      <c r="T226" s="132"/>
      <c r="U226" s="132"/>
      <c r="V226" s="132"/>
      <c r="W226" s="132"/>
      <c r="X226" s="132"/>
      <c r="Y226" s="132"/>
      <c r="Z226" s="132"/>
    </row>
    <row r="227" spans="1:26" ht="11.25" customHeight="1" x14ac:dyDescent="0.3">
      <c r="A227" s="132"/>
      <c r="B227" s="132"/>
      <c r="C227" s="132"/>
      <c r="D227" s="132"/>
      <c r="E227" s="132"/>
      <c r="F227" s="132"/>
      <c r="G227" s="132"/>
      <c r="H227" s="132"/>
      <c r="I227" s="132"/>
      <c r="J227" s="132"/>
      <c r="K227" s="132"/>
      <c r="L227" s="132"/>
      <c r="M227" s="132"/>
      <c r="N227" s="132"/>
      <c r="O227" s="132"/>
      <c r="P227" s="132"/>
      <c r="Q227" s="132"/>
      <c r="R227" s="132"/>
      <c r="S227" s="132"/>
      <c r="T227" s="132"/>
      <c r="U227" s="132"/>
      <c r="V227" s="132"/>
      <c r="W227" s="132"/>
      <c r="X227" s="132"/>
      <c r="Y227" s="132"/>
      <c r="Z227" s="132"/>
    </row>
    <row r="228" spans="1:26" ht="11.25" customHeight="1" x14ac:dyDescent="0.3">
      <c r="A228" s="132"/>
      <c r="B228" s="132"/>
      <c r="C228" s="132"/>
      <c r="D228" s="132"/>
      <c r="E228" s="132"/>
      <c r="F228" s="132"/>
      <c r="G228" s="132"/>
      <c r="H228" s="132"/>
      <c r="I228" s="132"/>
      <c r="J228" s="132"/>
      <c r="K228" s="132"/>
      <c r="L228" s="132"/>
      <c r="M228" s="132"/>
      <c r="N228" s="132"/>
      <c r="O228" s="132"/>
      <c r="P228" s="132"/>
      <c r="Q228" s="132"/>
      <c r="R228" s="132"/>
      <c r="S228" s="132"/>
      <c r="T228" s="132"/>
      <c r="U228" s="132"/>
      <c r="V228" s="132"/>
      <c r="W228" s="132"/>
      <c r="X228" s="132"/>
      <c r="Y228" s="132"/>
      <c r="Z228" s="132"/>
    </row>
    <row r="229" spans="1:26" ht="11.25" customHeight="1" x14ac:dyDescent="0.3">
      <c r="A229" s="132"/>
      <c r="B229" s="132"/>
      <c r="C229" s="132"/>
      <c r="D229" s="132"/>
      <c r="E229" s="132"/>
      <c r="F229" s="132"/>
      <c r="G229" s="132"/>
      <c r="H229" s="132"/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132"/>
      <c r="T229" s="132"/>
      <c r="U229" s="132"/>
      <c r="V229" s="132"/>
      <c r="W229" s="132"/>
      <c r="X229" s="132"/>
      <c r="Y229" s="132"/>
      <c r="Z229" s="132"/>
    </row>
    <row r="230" spans="1:26" ht="11.25" customHeight="1" x14ac:dyDescent="0.3">
      <c r="A230" s="132"/>
      <c r="B230" s="132"/>
      <c r="C230" s="132"/>
      <c r="D230" s="132"/>
      <c r="E230" s="132"/>
      <c r="F230" s="132"/>
      <c r="G230" s="132"/>
      <c r="H230" s="132"/>
      <c r="I230" s="132"/>
      <c r="J230" s="132"/>
      <c r="K230" s="132"/>
      <c r="L230" s="132"/>
      <c r="M230" s="132"/>
      <c r="N230" s="132"/>
      <c r="O230" s="132"/>
      <c r="P230" s="132"/>
      <c r="Q230" s="132"/>
      <c r="R230" s="132"/>
      <c r="S230" s="132"/>
      <c r="T230" s="132"/>
      <c r="U230" s="132"/>
      <c r="V230" s="132"/>
      <c r="W230" s="132"/>
      <c r="X230" s="132"/>
      <c r="Y230" s="132"/>
      <c r="Z230" s="132"/>
    </row>
    <row r="231" spans="1:26" ht="11.25" customHeight="1" x14ac:dyDescent="0.3">
      <c r="A231" s="132"/>
      <c r="B231" s="132"/>
      <c r="C231" s="132"/>
      <c r="D231" s="132"/>
      <c r="E231" s="132"/>
      <c r="F231" s="132"/>
      <c r="G231" s="132"/>
      <c r="H231" s="132"/>
      <c r="I231" s="132"/>
      <c r="J231" s="132"/>
      <c r="K231" s="132"/>
      <c r="L231" s="132"/>
      <c r="M231" s="132"/>
      <c r="N231" s="132"/>
      <c r="O231" s="132"/>
      <c r="P231" s="132"/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</row>
    <row r="232" spans="1:26" ht="11.25" customHeight="1" x14ac:dyDescent="0.3">
      <c r="A232" s="132"/>
      <c r="B232" s="132"/>
      <c r="C232" s="132"/>
      <c r="D232" s="132"/>
      <c r="E232" s="132"/>
      <c r="F232" s="132"/>
      <c r="G232" s="132"/>
      <c r="H232" s="132"/>
      <c r="I232" s="132"/>
      <c r="J232" s="132"/>
      <c r="K232" s="132"/>
      <c r="L232" s="132"/>
      <c r="M232" s="132"/>
      <c r="N232" s="132"/>
      <c r="O232" s="132"/>
      <c r="P232" s="132"/>
      <c r="Q232" s="132"/>
      <c r="R232" s="132"/>
      <c r="S232" s="132"/>
      <c r="T232" s="132"/>
      <c r="U232" s="132"/>
      <c r="V232" s="132"/>
      <c r="W232" s="132"/>
      <c r="X232" s="132"/>
      <c r="Y232" s="132"/>
      <c r="Z232" s="132"/>
    </row>
    <row r="233" spans="1:26" ht="11.25" customHeight="1" x14ac:dyDescent="0.3">
      <c r="A233" s="132"/>
      <c r="B233" s="132"/>
      <c r="C233" s="132"/>
      <c r="D233" s="132"/>
      <c r="E233" s="132"/>
      <c r="F233" s="132"/>
      <c r="G233" s="132"/>
      <c r="H233" s="132"/>
      <c r="I233" s="132"/>
      <c r="J233" s="132"/>
      <c r="K233" s="132"/>
      <c r="L233" s="132"/>
      <c r="M233" s="132"/>
      <c r="N233" s="132"/>
      <c r="O233" s="132"/>
      <c r="P233" s="132"/>
      <c r="Q233" s="132"/>
      <c r="R233" s="132"/>
      <c r="S233" s="132"/>
      <c r="T233" s="132"/>
      <c r="U233" s="132"/>
      <c r="V233" s="132"/>
      <c r="W233" s="132"/>
      <c r="X233" s="132"/>
      <c r="Y233" s="132"/>
      <c r="Z233" s="132"/>
    </row>
    <row r="234" spans="1:26" ht="11.25" customHeight="1" x14ac:dyDescent="0.3">
      <c r="A234" s="132"/>
      <c r="B234" s="132"/>
      <c r="C234" s="132"/>
      <c r="D234" s="132"/>
      <c r="E234" s="132"/>
      <c r="F234" s="132"/>
      <c r="G234" s="132"/>
      <c r="H234" s="132"/>
      <c r="I234" s="132"/>
      <c r="J234" s="132"/>
      <c r="K234" s="132"/>
      <c r="L234" s="132"/>
      <c r="M234" s="132"/>
      <c r="N234" s="132"/>
      <c r="O234" s="132"/>
      <c r="P234" s="132"/>
      <c r="Q234" s="132"/>
      <c r="R234" s="132"/>
      <c r="S234" s="132"/>
      <c r="T234" s="132"/>
      <c r="U234" s="132"/>
      <c r="V234" s="132"/>
      <c r="W234" s="132"/>
      <c r="X234" s="132"/>
      <c r="Y234" s="132"/>
      <c r="Z234" s="132"/>
    </row>
    <row r="235" spans="1:26" ht="11.25" customHeight="1" x14ac:dyDescent="0.3">
      <c r="A235" s="132"/>
      <c r="B235" s="132"/>
      <c r="C235" s="132"/>
      <c r="D235" s="132"/>
      <c r="E235" s="132"/>
      <c r="F235" s="132"/>
      <c r="G235" s="132"/>
      <c r="H235" s="132"/>
      <c r="I235" s="132"/>
      <c r="J235" s="132"/>
      <c r="K235" s="132"/>
      <c r="L235" s="132"/>
      <c r="M235" s="132"/>
      <c r="N235" s="132"/>
      <c r="O235" s="132"/>
      <c r="P235" s="132"/>
      <c r="Q235" s="132"/>
      <c r="R235" s="132"/>
      <c r="S235" s="132"/>
      <c r="T235" s="132"/>
      <c r="U235" s="132"/>
      <c r="V235" s="132"/>
      <c r="W235" s="132"/>
      <c r="X235" s="132"/>
      <c r="Y235" s="132"/>
      <c r="Z235" s="132"/>
    </row>
    <row r="236" spans="1:26" ht="11.25" customHeight="1" x14ac:dyDescent="0.3">
      <c r="A236" s="132"/>
      <c r="B236" s="132"/>
      <c r="C236" s="132"/>
      <c r="D236" s="132"/>
      <c r="E236" s="132"/>
      <c r="F236" s="132"/>
      <c r="G236" s="132"/>
      <c r="H236" s="132"/>
      <c r="I236" s="132"/>
      <c r="J236" s="132"/>
      <c r="K236" s="132"/>
      <c r="L236" s="132"/>
      <c r="M236" s="132"/>
      <c r="N236" s="132"/>
      <c r="O236" s="132"/>
      <c r="P236" s="132"/>
      <c r="Q236" s="132"/>
      <c r="R236" s="132"/>
      <c r="S236" s="132"/>
      <c r="T236" s="132"/>
      <c r="U236" s="132"/>
      <c r="V236" s="132"/>
      <c r="W236" s="132"/>
      <c r="X236" s="132"/>
      <c r="Y236" s="132"/>
      <c r="Z236" s="132"/>
    </row>
    <row r="237" spans="1:26" ht="11.25" customHeight="1" x14ac:dyDescent="0.3">
      <c r="A237" s="132"/>
      <c r="B237" s="132"/>
      <c r="C237" s="132"/>
      <c r="D237" s="132"/>
      <c r="E237" s="132"/>
      <c r="F237" s="132"/>
      <c r="G237" s="132"/>
      <c r="H237" s="132"/>
      <c r="I237" s="132"/>
      <c r="J237" s="132"/>
      <c r="K237" s="132"/>
      <c r="L237" s="132"/>
      <c r="M237" s="132"/>
      <c r="N237" s="132"/>
      <c r="O237" s="132"/>
      <c r="P237" s="132"/>
      <c r="Q237" s="132"/>
      <c r="R237" s="132"/>
      <c r="S237" s="132"/>
      <c r="T237" s="132"/>
      <c r="U237" s="132"/>
      <c r="V237" s="132"/>
      <c r="W237" s="132"/>
      <c r="X237" s="132"/>
      <c r="Y237" s="132"/>
      <c r="Z237" s="132"/>
    </row>
    <row r="238" spans="1:26" ht="11.25" customHeight="1" x14ac:dyDescent="0.3">
      <c r="A238" s="132"/>
      <c r="B238" s="132"/>
      <c r="C238" s="132"/>
      <c r="D238" s="132"/>
      <c r="E238" s="132"/>
      <c r="F238" s="132"/>
      <c r="G238" s="132"/>
      <c r="H238" s="132"/>
      <c r="I238" s="132"/>
      <c r="J238" s="132"/>
      <c r="K238" s="132"/>
      <c r="L238" s="132"/>
      <c r="M238" s="132"/>
      <c r="N238" s="132"/>
      <c r="O238" s="132"/>
      <c r="P238" s="132"/>
      <c r="Q238" s="132"/>
      <c r="R238" s="132"/>
      <c r="S238" s="132"/>
      <c r="T238" s="132"/>
      <c r="U238" s="132"/>
      <c r="V238" s="132"/>
      <c r="W238" s="132"/>
      <c r="X238" s="132"/>
      <c r="Y238" s="132"/>
      <c r="Z238" s="132"/>
    </row>
    <row r="239" spans="1:26" ht="11.25" customHeight="1" x14ac:dyDescent="0.3">
      <c r="A239" s="132"/>
      <c r="B239" s="132"/>
      <c r="C239" s="132"/>
      <c r="D239" s="132"/>
      <c r="E239" s="132"/>
      <c r="F239" s="132"/>
      <c r="G239" s="132"/>
      <c r="H239" s="132"/>
      <c r="I239" s="132"/>
      <c r="J239" s="132"/>
      <c r="K239" s="132"/>
      <c r="L239" s="132"/>
      <c r="M239" s="132"/>
      <c r="N239" s="132"/>
      <c r="O239" s="132"/>
      <c r="P239" s="132"/>
      <c r="Q239" s="132"/>
      <c r="R239" s="132"/>
      <c r="S239" s="132"/>
      <c r="T239" s="132"/>
      <c r="U239" s="132"/>
      <c r="V239" s="132"/>
      <c r="W239" s="132"/>
      <c r="X239" s="132"/>
      <c r="Y239" s="132"/>
      <c r="Z239" s="132"/>
    </row>
    <row r="240" spans="1:26" ht="11.25" customHeight="1" x14ac:dyDescent="0.3">
      <c r="A240" s="132"/>
      <c r="B240" s="132"/>
      <c r="C240" s="132"/>
      <c r="D240" s="132"/>
      <c r="E240" s="132"/>
      <c r="F240" s="132"/>
      <c r="G240" s="132"/>
      <c r="H240" s="132"/>
      <c r="I240" s="132"/>
      <c r="J240" s="132"/>
      <c r="K240" s="132"/>
      <c r="L240" s="132"/>
      <c r="M240" s="132"/>
      <c r="N240" s="132"/>
      <c r="O240" s="132"/>
      <c r="P240" s="132"/>
      <c r="Q240" s="132"/>
      <c r="R240" s="132"/>
      <c r="S240" s="132"/>
      <c r="T240" s="132"/>
      <c r="U240" s="132"/>
      <c r="V240" s="132"/>
      <c r="W240" s="132"/>
      <c r="X240" s="132"/>
      <c r="Y240" s="132"/>
      <c r="Z240" s="132"/>
    </row>
    <row r="241" spans="1:26" ht="11.25" customHeight="1" x14ac:dyDescent="0.3">
      <c r="A241" s="132"/>
      <c r="B241" s="132"/>
      <c r="C241" s="132"/>
      <c r="D241" s="132"/>
      <c r="E241" s="132"/>
      <c r="F241" s="132"/>
      <c r="G241" s="132"/>
      <c r="H241" s="132"/>
      <c r="I241" s="132"/>
      <c r="J241" s="132"/>
      <c r="K241" s="132"/>
      <c r="L241" s="132"/>
      <c r="M241" s="132"/>
      <c r="N241" s="132"/>
      <c r="O241" s="132"/>
      <c r="P241" s="132"/>
      <c r="Q241" s="132"/>
      <c r="R241" s="132"/>
      <c r="S241" s="132"/>
      <c r="T241" s="132"/>
      <c r="U241" s="132"/>
      <c r="V241" s="132"/>
      <c r="W241" s="132"/>
      <c r="X241" s="132"/>
      <c r="Y241" s="132"/>
      <c r="Z241" s="132"/>
    </row>
    <row r="242" spans="1:26" ht="11.25" customHeight="1" x14ac:dyDescent="0.3">
      <c r="A242" s="132"/>
      <c r="B242" s="132"/>
      <c r="C242" s="132"/>
      <c r="D242" s="132"/>
      <c r="E242" s="132"/>
      <c r="F242" s="132"/>
      <c r="G242" s="132"/>
      <c r="H242" s="132"/>
      <c r="I242" s="132"/>
      <c r="J242" s="132"/>
      <c r="K242" s="132"/>
      <c r="L242" s="132"/>
      <c r="M242" s="132"/>
      <c r="N242" s="132"/>
      <c r="O242" s="132"/>
      <c r="P242" s="132"/>
      <c r="Q242" s="132"/>
      <c r="R242" s="132"/>
      <c r="S242" s="132"/>
      <c r="T242" s="132"/>
      <c r="U242" s="132"/>
      <c r="V242" s="132"/>
      <c r="W242" s="132"/>
      <c r="X242" s="132"/>
      <c r="Y242" s="132"/>
      <c r="Z242" s="132"/>
    </row>
    <row r="243" spans="1:26" ht="11.25" customHeight="1" x14ac:dyDescent="0.3">
      <c r="A243" s="132"/>
      <c r="B243" s="132"/>
      <c r="C243" s="132"/>
      <c r="D243" s="132"/>
      <c r="E243" s="132"/>
      <c r="F243" s="132"/>
      <c r="G243" s="132"/>
      <c r="H243" s="132"/>
      <c r="I243" s="132"/>
      <c r="J243" s="132"/>
      <c r="K243" s="132"/>
      <c r="L243" s="132"/>
      <c r="M243" s="132"/>
      <c r="N243" s="132"/>
      <c r="O243" s="132"/>
      <c r="P243" s="132"/>
      <c r="Q243" s="132"/>
      <c r="R243" s="132"/>
      <c r="S243" s="132"/>
      <c r="T243" s="132"/>
      <c r="U243" s="132"/>
      <c r="V243" s="132"/>
      <c r="W243" s="132"/>
      <c r="X243" s="132"/>
      <c r="Y243" s="132"/>
      <c r="Z243" s="132"/>
    </row>
    <row r="244" spans="1:26" ht="11.25" customHeight="1" x14ac:dyDescent="0.3">
      <c r="A244" s="132"/>
      <c r="B244" s="132"/>
      <c r="C244" s="132"/>
      <c r="D244" s="132"/>
      <c r="E244" s="132"/>
      <c r="F244" s="132"/>
      <c r="G244" s="132"/>
      <c r="H244" s="132"/>
      <c r="I244" s="132"/>
      <c r="J244" s="132"/>
      <c r="K244" s="132"/>
      <c r="L244" s="132"/>
      <c r="M244" s="132"/>
      <c r="N244" s="132"/>
      <c r="O244" s="132"/>
      <c r="P244" s="132"/>
      <c r="Q244" s="132"/>
      <c r="R244" s="132"/>
      <c r="S244" s="132"/>
      <c r="T244" s="132"/>
      <c r="U244" s="132"/>
      <c r="V244" s="132"/>
      <c r="W244" s="132"/>
      <c r="X244" s="132"/>
      <c r="Y244" s="132"/>
      <c r="Z244" s="132"/>
    </row>
    <row r="245" spans="1:26" ht="11.25" customHeight="1" x14ac:dyDescent="0.3">
      <c r="A245" s="132"/>
      <c r="B245" s="132"/>
      <c r="C245" s="132"/>
      <c r="D245" s="132"/>
      <c r="E245" s="132"/>
      <c r="F245" s="132"/>
      <c r="G245" s="132"/>
      <c r="H245" s="132"/>
      <c r="I245" s="132"/>
      <c r="J245" s="132"/>
      <c r="K245" s="132"/>
      <c r="L245" s="132"/>
      <c r="M245" s="132"/>
      <c r="N245" s="132"/>
      <c r="O245" s="132"/>
      <c r="P245" s="132"/>
      <c r="Q245" s="132"/>
      <c r="R245" s="132"/>
      <c r="S245" s="132"/>
      <c r="T245" s="132"/>
      <c r="U245" s="132"/>
      <c r="V245" s="132"/>
      <c r="W245" s="132"/>
      <c r="X245" s="132"/>
      <c r="Y245" s="132"/>
      <c r="Z245" s="132"/>
    </row>
    <row r="246" spans="1:26" ht="11.25" customHeight="1" x14ac:dyDescent="0.3">
      <c r="A246" s="132"/>
      <c r="B246" s="132"/>
      <c r="C246" s="132"/>
      <c r="D246" s="132"/>
      <c r="E246" s="132"/>
      <c r="F246" s="132"/>
      <c r="G246" s="132"/>
      <c r="H246" s="132"/>
      <c r="I246" s="132"/>
      <c r="J246" s="132"/>
      <c r="K246" s="132"/>
      <c r="L246" s="132"/>
      <c r="M246" s="132"/>
      <c r="N246" s="132"/>
      <c r="O246" s="132"/>
      <c r="P246" s="132"/>
      <c r="Q246" s="132"/>
      <c r="R246" s="132"/>
      <c r="S246" s="132"/>
      <c r="T246" s="132"/>
      <c r="U246" s="132"/>
      <c r="V246" s="132"/>
      <c r="W246" s="132"/>
      <c r="X246" s="132"/>
      <c r="Y246" s="132"/>
      <c r="Z246" s="132"/>
    </row>
    <row r="247" spans="1:26" ht="11.25" customHeight="1" x14ac:dyDescent="0.3">
      <c r="A247" s="132"/>
      <c r="B247" s="132"/>
      <c r="C247" s="132"/>
      <c r="D247" s="132"/>
      <c r="E247" s="132"/>
      <c r="F247" s="132"/>
      <c r="G247" s="132"/>
      <c r="H247" s="132"/>
      <c r="I247" s="132"/>
      <c r="J247" s="132"/>
      <c r="K247" s="132"/>
      <c r="L247" s="132"/>
      <c r="M247" s="132"/>
      <c r="N247" s="132"/>
      <c r="O247" s="132"/>
      <c r="P247" s="132"/>
      <c r="Q247" s="132"/>
      <c r="R247" s="132"/>
      <c r="S247" s="132"/>
      <c r="T247" s="132"/>
      <c r="U247" s="132"/>
      <c r="V247" s="132"/>
      <c r="W247" s="132"/>
      <c r="X247" s="132"/>
      <c r="Y247" s="132"/>
      <c r="Z247" s="132"/>
    </row>
    <row r="248" spans="1:26" ht="11.25" customHeight="1" x14ac:dyDescent="0.3">
      <c r="A248" s="132"/>
      <c r="B248" s="132"/>
      <c r="C248" s="132"/>
      <c r="D248" s="132"/>
      <c r="E248" s="132"/>
      <c r="F248" s="132"/>
      <c r="G248" s="132"/>
      <c r="H248" s="132"/>
      <c r="I248" s="132"/>
      <c r="J248" s="132"/>
      <c r="K248" s="132"/>
      <c r="L248" s="132"/>
      <c r="M248" s="132"/>
      <c r="N248" s="132"/>
      <c r="O248" s="132"/>
      <c r="P248" s="132"/>
      <c r="Q248" s="132"/>
      <c r="R248" s="132"/>
      <c r="S248" s="132"/>
      <c r="T248" s="132"/>
      <c r="U248" s="132"/>
      <c r="V248" s="132"/>
      <c r="W248" s="132"/>
      <c r="X248" s="132"/>
      <c r="Y248" s="132"/>
      <c r="Z248" s="132"/>
    </row>
    <row r="249" spans="1:26" ht="11.25" customHeight="1" x14ac:dyDescent="0.3">
      <c r="A249" s="132"/>
      <c r="B249" s="132"/>
      <c r="C249" s="132"/>
      <c r="D249" s="132"/>
      <c r="E249" s="132"/>
      <c r="F249" s="132"/>
      <c r="G249" s="132"/>
      <c r="H249" s="132"/>
      <c r="I249" s="132"/>
      <c r="J249" s="132"/>
      <c r="K249" s="132"/>
      <c r="L249" s="132"/>
      <c r="M249" s="132"/>
      <c r="N249" s="132"/>
      <c r="O249" s="132"/>
      <c r="P249" s="132"/>
      <c r="Q249" s="132"/>
      <c r="R249" s="132"/>
      <c r="S249" s="132"/>
      <c r="T249" s="132"/>
      <c r="U249" s="132"/>
      <c r="V249" s="132"/>
      <c r="W249" s="132"/>
      <c r="X249" s="132"/>
      <c r="Y249" s="132"/>
      <c r="Z249" s="132"/>
    </row>
    <row r="250" spans="1:26" ht="11.25" customHeight="1" x14ac:dyDescent="0.3">
      <c r="A250" s="132"/>
      <c r="B250" s="132"/>
      <c r="C250" s="132"/>
      <c r="D250" s="132"/>
      <c r="E250" s="132"/>
      <c r="F250" s="132"/>
      <c r="G250" s="132"/>
      <c r="H250" s="132"/>
      <c r="I250" s="132"/>
      <c r="J250" s="132"/>
      <c r="K250" s="132"/>
      <c r="L250" s="132"/>
      <c r="M250" s="132"/>
      <c r="N250" s="132"/>
      <c r="O250" s="132"/>
      <c r="P250" s="132"/>
      <c r="Q250" s="132"/>
      <c r="R250" s="132"/>
      <c r="S250" s="132"/>
      <c r="T250" s="132"/>
      <c r="U250" s="132"/>
      <c r="V250" s="132"/>
      <c r="W250" s="132"/>
      <c r="X250" s="132"/>
      <c r="Y250" s="132"/>
      <c r="Z250" s="132"/>
    </row>
    <row r="251" spans="1:26" ht="11.25" customHeight="1" x14ac:dyDescent="0.3">
      <c r="A251" s="132"/>
      <c r="B251" s="132"/>
      <c r="C251" s="132"/>
      <c r="D251" s="132"/>
      <c r="E251" s="132"/>
      <c r="F251" s="132"/>
      <c r="G251" s="132"/>
      <c r="H251" s="132"/>
      <c r="I251" s="132"/>
      <c r="J251" s="132"/>
      <c r="K251" s="132"/>
      <c r="L251" s="132"/>
      <c r="M251" s="132"/>
      <c r="N251" s="132"/>
      <c r="O251" s="132"/>
      <c r="P251" s="132"/>
      <c r="Q251" s="132"/>
      <c r="R251" s="132"/>
      <c r="S251" s="132"/>
      <c r="T251" s="132"/>
      <c r="U251" s="132"/>
      <c r="V251" s="132"/>
      <c r="W251" s="132"/>
      <c r="X251" s="132"/>
      <c r="Y251" s="132"/>
      <c r="Z251" s="132"/>
    </row>
    <row r="252" spans="1:26" ht="11.25" customHeight="1" x14ac:dyDescent="0.3">
      <c r="A252" s="132"/>
      <c r="B252" s="132"/>
      <c r="C252" s="132"/>
      <c r="D252" s="132"/>
      <c r="E252" s="132"/>
      <c r="F252" s="132"/>
      <c r="G252" s="132"/>
      <c r="H252" s="132"/>
      <c r="I252" s="132"/>
      <c r="J252" s="132"/>
      <c r="K252" s="132"/>
      <c r="L252" s="132"/>
      <c r="M252" s="132"/>
      <c r="N252" s="132"/>
      <c r="O252" s="132"/>
      <c r="P252" s="132"/>
      <c r="Q252" s="132"/>
      <c r="R252" s="132"/>
      <c r="S252" s="132"/>
      <c r="T252" s="132"/>
      <c r="U252" s="132"/>
      <c r="V252" s="132"/>
      <c r="W252" s="132"/>
      <c r="X252" s="132"/>
      <c r="Y252" s="132"/>
      <c r="Z252" s="132"/>
    </row>
    <row r="253" spans="1:26" ht="11.25" customHeight="1" x14ac:dyDescent="0.3">
      <c r="A253" s="132"/>
      <c r="B253" s="132"/>
      <c r="C253" s="132"/>
      <c r="D253" s="132"/>
      <c r="E253" s="132"/>
      <c r="F253" s="132"/>
      <c r="G253" s="132"/>
      <c r="H253" s="132"/>
      <c r="I253" s="132"/>
      <c r="J253" s="132"/>
      <c r="K253" s="132"/>
      <c r="L253" s="132"/>
      <c r="M253" s="132"/>
      <c r="N253" s="132"/>
      <c r="O253" s="132"/>
      <c r="P253" s="132"/>
      <c r="Q253" s="132"/>
      <c r="R253" s="132"/>
      <c r="S253" s="132"/>
      <c r="T253" s="132"/>
      <c r="U253" s="132"/>
      <c r="V253" s="132"/>
      <c r="W253" s="132"/>
      <c r="X253" s="132"/>
      <c r="Y253" s="132"/>
      <c r="Z253" s="132"/>
    </row>
    <row r="254" spans="1:26" ht="11.25" customHeight="1" x14ac:dyDescent="0.3">
      <c r="A254" s="132"/>
      <c r="B254" s="132"/>
      <c r="C254" s="132"/>
      <c r="D254" s="132"/>
      <c r="E254" s="132"/>
      <c r="F254" s="132"/>
      <c r="G254" s="132"/>
      <c r="H254" s="132"/>
      <c r="I254" s="132"/>
      <c r="J254" s="132"/>
      <c r="K254" s="132"/>
      <c r="L254" s="132"/>
      <c r="M254" s="132"/>
      <c r="N254" s="132"/>
      <c r="O254" s="132"/>
      <c r="P254" s="132"/>
      <c r="Q254" s="132"/>
      <c r="R254" s="132"/>
      <c r="S254" s="132"/>
      <c r="T254" s="132"/>
      <c r="U254" s="132"/>
      <c r="V254" s="132"/>
      <c r="W254" s="132"/>
      <c r="X254" s="132"/>
      <c r="Y254" s="132"/>
      <c r="Z254" s="132"/>
    </row>
    <row r="255" spans="1:26" ht="11.25" customHeight="1" x14ac:dyDescent="0.3">
      <c r="A255" s="132"/>
      <c r="B255" s="132"/>
      <c r="C255" s="132"/>
      <c r="D255" s="132"/>
      <c r="E255" s="132"/>
      <c r="F255" s="132"/>
      <c r="G255" s="132"/>
      <c r="H255" s="132"/>
      <c r="I255" s="132"/>
      <c r="J255" s="132"/>
      <c r="K255" s="132"/>
      <c r="L255" s="132"/>
      <c r="M255" s="132"/>
      <c r="N255" s="132"/>
      <c r="O255" s="132"/>
      <c r="P255" s="132"/>
      <c r="Q255" s="132"/>
      <c r="R255" s="132"/>
      <c r="S255" s="132"/>
      <c r="T255" s="132"/>
      <c r="U255" s="132"/>
      <c r="V255" s="132"/>
      <c r="W255" s="132"/>
      <c r="X255" s="132"/>
      <c r="Y255" s="132"/>
      <c r="Z255" s="132"/>
    </row>
    <row r="256" spans="1:26" ht="11.25" customHeight="1" x14ac:dyDescent="0.3">
      <c r="A256" s="132"/>
      <c r="B256" s="132"/>
      <c r="C256" s="132"/>
      <c r="D256" s="132"/>
      <c r="E256" s="132"/>
      <c r="F256" s="132"/>
      <c r="G256" s="132"/>
      <c r="H256" s="132"/>
      <c r="I256" s="132"/>
      <c r="J256" s="132"/>
      <c r="K256" s="132"/>
      <c r="L256" s="132"/>
      <c r="M256" s="132"/>
      <c r="N256" s="132"/>
      <c r="O256" s="132"/>
      <c r="P256" s="132"/>
      <c r="Q256" s="132"/>
      <c r="R256" s="132"/>
      <c r="S256" s="132"/>
      <c r="T256" s="132"/>
      <c r="U256" s="132"/>
      <c r="V256" s="132"/>
      <c r="W256" s="132"/>
      <c r="X256" s="132"/>
      <c r="Y256" s="132"/>
      <c r="Z256" s="132"/>
    </row>
    <row r="257" spans="1:26" ht="11.25" customHeight="1" x14ac:dyDescent="0.3">
      <c r="A257" s="132"/>
      <c r="B257" s="132"/>
      <c r="C257" s="132"/>
      <c r="D257" s="132"/>
      <c r="E257" s="132"/>
      <c r="F257" s="132"/>
      <c r="G257" s="132"/>
      <c r="H257" s="132"/>
      <c r="I257" s="132"/>
      <c r="J257" s="132"/>
      <c r="K257" s="132"/>
      <c r="L257" s="132"/>
      <c r="M257" s="132"/>
      <c r="N257" s="132"/>
      <c r="O257" s="132"/>
      <c r="P257" s="132"/>
      <c r="Q257" s="132"/>
      <c r="R257" s="132"/>
      <c r="S257" s="132"/>
      <c r="T257" s="132"/>
      <c r="U257" s="132"/>
      <c r="V257" s="132"/>
      <c r="W257" s="132"/>
      <c r="X257" s="132"/>
      <c r="Y257" s="132"/>
      <c r="Z257" s="132"/>
    </row>
    <row r="258" spans="1:26" ht="11.25" customHeight="1" x14ac:dyDescent="0.3">
      <c r="A258" s="132"/>
      <c r="B258" s="132"/>
      <c r="C258" s="132"/>
      <c r="D258" s="132"/>
      <c r="E258" s="132"/>
      <c r="F258" s="132"/>
      <c r="G258" s="132"/>
      <c r="H258" s="132"/>
      <c r="I258" s="132"/>
      <c r="J258" s="132"/>
      <c r="K258" s="132"/>
      <c r="L258" s="132"/>
      <c r="M258" s="132"/>
      <c r="N258" s="132"/>
      <c r="O258" s="132"/>
      <c r="P258" s="132"/>
      <c r="Q258" s="132"/>
      <c r="R258" s="132"/>
      <c r="S258" s="132"/>
      <c r="T258" s="132"/>
      <c r="U258" s="132"/>
      <c r="V258" s="132"/>
      <c r="W258" s="132"/>
      <c r="X258" s="132"/>
      <c r="Y258" s="132"/>
      <c r="Z258" s="132"/>
    </row>
    <row r="259" spans="1:26" ht="11.25" customHeight="1" x14ac:dyDescent="0.3">
      <c r="A259" s="132"/>
      <c r="B259" s="132"/>
      <c r="C259" s="132"/>
      <c r="D259" s="132"/>
      <c r="E259" s="132"/>
      <c r="F259" s="132"/>
      <c r="G259" s="132"/>
      <c r="H259" s="132"/>
      <c r="I259" s="132"/>
      <c r="J259" s="132"/>
      <c r="K259" s="132"/>
      <c r="L259" s="132"/>
      <c r="M259" s="132"/>
      <c r="N259" s="132"/>
      <c r="O259" s="132"/>
      <c r="P259" s="132"/>
      <c r="Q259" s="132"/>
      <c r="R259" s="132"/>
      <c r="S259" s="132"/>
      <c r="T259" s="132"/>
      <c r="U259" s="132"/>
      <c r="V259" s="132"/>
      <c r="W259" s="132"/>
      <c r="X259" s="132"/>
      <c r="Y259" s="132"/>
      <c r="Z259" s="132"/>
    </row>
    <row r="260" spans="1:26" ht="11.25" customHeight="1" x14ac:dyDescent="0.3">
      <c r="A260" s="132"/>
      <c r="B260" s="132"/>
      <c r="C260" s="132"/>
      <c r="D260" s="132"/>
      <c r="E260" s="132"/>
      <c r="F260" s="132"/>
      <c r="G260" s="132"/>
      <c r="H260" s="132"/>
      <c r="I260" s="132"/>
      <c r="J260" s="132"/>
      <c r="K260" s="132"/>
      <c r="L260" s="132"/>
      <c r="M260" s="132"/>
      <c r="N260" s="132"/>
      <c r="O260" s="132"/>
      <c r="P260" s="132"/>
      <c r="Q260" s="132"/>
      <c r="R260" s="132"/>
      <c r="S260" s="132"/>
      <c r="T260" s="132"/>
      <c r="U260" s="132"/>
      <c r="V260" s="132"/>
      <c r="W260" s="132"/>
      <c r="X260" s="132"/>
      <c r="Y260" s="132"/>
      <c r="Z260" s="132"/>
    </row>
    <row r="261" spans="1:26" ht="11.25" customHeight="1" x14ac:dyDescent="0.3">
      <c r="A261" s="132"/>
      <c r="B261" s="132"/>
      <c r="C261" s="132"/>
      <c r="D261" s="132"/>
      <c r="E261" s="132"/>
      <c r="F261" s="132"/>
      <c r="G261" s="132"/>
      <c r="H261" s="132"/>
      <c r="I261" s="132"/>
      <c r="J261" s="132"/>
      <c r="K261" s="132"/>
      <c r="L261" s="132"/>
      <c r="M261" s="132"/>
      <c r="N261" s="132"/>
      <c r="O261" s="132"/>
      <c r="P261" s="132"/>
      <c r="Q261" s="132"/>
      <c r="R261" s="132"/>
      <c r="S261" s="132"/>
      <c r="T261" s="132"/>
      <c r="U261" s="132"/>
      <c r="V261" s="132"/>
      <c r="W261" s="132"/>
      <c r="X261" s="132"/>
      <c r="Y261" s="132"/>
      <c r="Z261" s="132"/>
    </row>
    <row r="262" spans="1:26" ht="11.25" customHeight="1" x14ac:dyDescent="0.3">
      <c r="A262" s="132"/>
      <c r="B262" s="132"/>
      <c r="C262" s="132"/>
      <c r="D262" s="132"/>
      <c r="E262" s="132"/>
      <c r="F262" s="132"/>
      <c r="G262" s="132"/>
      <c r="H262" s="132"/>
      <c r="I262" s="132"/>
      <c r="J262" s="132"/>
      <c r="K262" s="132"/>
      <c r="L262" s="132"/>
      <c r="M262" s="132"/>
      <c r="N262" s="132"/>
      <c r="O262" s="132"/>
      <c r="P262" s="132"/>
      <c r="Q262" s="132"/>
      <c r="R262" s="132"/>
      <c r="S262" s="132"/>
      <c r="T262" s="132"/>
      <c r="U262" s="132"/>
      <c r="V262" s="132"/>
      <c r="W262" s="132"/>
      <c r="X262" s="132"/>
      <c r="Y262" s="132"/>
      <c r="Z262" s="132"/>
    </row>
    <row r="263" spans="1:26" ht="11.25" customHeight="1" x14ac:dyDescent="0.3">
      <c r="A263" s="132"/>
      <c r="B263" s="132"/>
      <c r="C263" s="132"/>
      <c r="D263" s="132"/>
      <c r="E263" s="132"/>
      <c r="F263" s="132"/>
      <c r="G263" s="132"/>
      <c r="H263" s="132"/>
      <c r="I263" s="132"/>
      <c r="J263" s="132"/>
      <c r="K263" s="132"/>
      <c r="L263" s="132"/>
      <c r="M263" s="132"/>
      <c r="N263" s="132"/>
      <c r="O263" s="132"/>
      <c r="P263" s="132"/>
      <c r="Q263" s="132"/>
      <c r="R263" s="132"/>
      <c r="S263" s="132"/>
      <c r="T263" s="132"/>
      <c r="U263" s="132"/>
      <c r="V263" s="132"/>
      <c r="W263" s="132"/>
      <c r="X263" s="132"/>
      <c r="Y263" s="132"/>
      <c r="Z263" s="132"/>
    </row>
    <row r="264" spans="1:26" ht="11.25" customHeight="1" x14ac:dyDescent="0.3">
      <c r="A264" s="132"/>
      <c r="B264" s="132"/>
      <c r="C264" s="132"/>
      <c r="D264" s="132"/>
      <c r="E264" s="132"/>
      <c r="F264" s="132"/>
      <c r="G264" s="132"/>
      <c r="H264" s="132"/>
      <c r="I264" s="132"/>
      <c r="J264" s="132"/>
      <c r="K264" s="132"/>
      <c r="L264" s="132"/>
      <c r="M264" s="132"/>
      <c r="N264" s="132"/>
      <c r="O264" s="132"/>
      <c r="P264" s="132"/>
      <c r="Q264" s="132"/>
      <c r="R264" s="132"/>
      <c r="S264" s="132"/>
      <c r="T264" s="132"/>
      <c r="U264" s="132"/>
      <c r="V264" s="132"/>
      <c r="W264" s="132"/>
      <c r="X264" s="132"/>
      <c r="Y264" s="132"/>
      <c r="Z264" s="132"/>
    </row>
    <row r="265" spans="1:26" ht="11.25" customHeight="1" x14ac:dyDescent="0.3">
      <c r="A265" s="132"/>
      <c r="B265" s="132"/>
      <c r="C265" s="132"/>
      <c r="D265" s="132"/>
      <c r="E265" s="132"/>
      <c r="F265" s="132"/>
      <c r="G265" s="132"/>
      <c r="H265" s="132"/>
      <c r="I265" s="132"/>
      <c r="J265" s="132"/>
      <c r="K265" s="132"/>
      <c r="L265" s="132"/>
      <c r="M265" s="132"/>
      <c r="N265" s="132"/>
      <c r="O265" s="132"/>
      <c r="P265" s="132"/>
      <c r="Q265" s="132"/>
      <c r="R265" s="132"/>
      <c r="S265" s="132"/>
      <c r="T265" s="132"/>
      <c r="U265" s="132"/>
      <c r="V265" s="132"/>
      <c r="W265" s="132"/>
      <c r="X265" s="132"/>
      <c r="Y265" s="132"/>
      <c r="Z265" s="132"/>
    </row>
    <row r="266" spans="1:26" ht="11.25" customHeight="1" x14ac:dyDescent="0.3">
      <c r="A266" s="132"/>
      <c r="B266" s="132"/>
      <c r="C266" s="132"/>
      <c r="D266" s="132"/>
      <c r="E266" s="132"/>
      <c r="F266" s="132"/>
      <c r="G266" s="132"/>
      <c r="H266" s="132"/>
      <c r="I266" s="132"/>
      <c r="J266" s="132"/>
      <c r="K266" s="132"/>
      <c r="L266" s="132"/>
      <c r="M266" s="132"/>
      <c r="N266" s="132"/>
      <c r="O266" s="132"/>
      <c r="P266" s="132"/>
      <c r="Q266" s="132"/>
      <c r="R266" s="132"/>
      <c r="S266" s="132"/>
      <c r="T266" s="132"/>
      <c r="U266" s="132"/>
      <c r="V266" s="132"/>
      <c r="W266" s="132"/>
      <c r="X266" s="132"/>
      <c r="Y266" s="132"/>
      <c r="Z266" s="132"/>
    </row>
    <row r="267" spans="1:26" ht="11.25" customHeight="1" x14ac:dyDescent="0.3">
      <c r="A267" s="132"/>
      <c r="B267" s="132"/>
      <c r="C267" s="132"/>
      <c r="D267" s="132"/>
      <c r="E267" s="132"/>
      <c r="F267" s="132"/>
      <c r="G267" s="132"/>
      <c r="H267" s="132"/>
      <c r="I267" s="132"/>
      <c r="J267" s="132"/>
      <c r="K267" s="132"/>
      <c r="L267" s="132"/>
      <c r="M267" s="132"/>
      <c r="N267" s="132"/>
      <c r="O267" s="132"/>
      <c r="P267" s="132"/>
      <c r="Q267" s="132"/>
      <c r="R267" s="132"/>
      <c r="S267" s="132"/>
      <c r="T267" s="132"/>
      <c r="U267" s="132"/>
      <c r="V267" s="132"/>
      <c r="W267" s="132"/>
      <c r="X267" s="132"/>
      <c r="Y267" s="132"/>
      <c r="Z267" s="132"/>
    </row>
    <row r="268" spans="1:26" ht="11.25" customHeight="1" x14ac:dyDescent="0.3">
      <c r="A268" s="132"/>
      <c r="B268" s="132"/>
      <c r="C268" s="132"/>
      <c r="D268" s="132"/>
      <c r="E268" s="132"/>
      <c r="F268" s="132"/>
      <c r="G268" s="132"/>
      <c r="H268" s="132"/>
      <c r="I268" s="132"/>
      <c r="J268" s="132"/>
      <c r="K268" s="132"/>
      <c r="L268" s="132"/>
      <c r="M268" s="132"/>
      <c r="N268" s="132"/>
      <c r="O268" s="132"/>
      <c r="P268" s="132"/>
      <c r="Q268" s="132"/>
      <c r="R268" s="132"/>
      <c r="S268" s="132"/>
      <c r="T268" s="132"/>
      <c r="U268" s="132"/>
      <c r="V268" s="132"/>
      <c r="W268" s="132"/>
      <c r="X268" s="132"/>
      <c r="Y268" s="132"/>
      <c r="Z268" s="132"/>
    </row>
    <row r="269" spans="1:26" ht="11.25" customHeight="1" x14ac:dyDescent="0.3">
      <c r="A269" s="132"/>
      <c r="B269" s="132"/>
      <c r="C269" s="132"/>
      <c r="D269" s="132"/>
      <c r="E269" s="132"/>
      <c r="F269" s="132"/>
      <c r="G269" s="132"/>
      <c r="H269" s="132"/>
      <c r="I269" s="132"/>
      <c r="J269" s="132"/>
      <c r="K269" s="132"/>
      <c r="L269" s="132"/>
      <c r="M269" s="132"/>
      <c r="N269" s="132"/>
      <c r="O269" s="132"/>
      <c r="P269" s="132"/>
      <c r="Q269" s="132"/>
      <c r="R269" s="132"/>
      <c r="S269" s="132"/>
      <c r="T269" s="132"/>
      <c r="U269" s="132"/>
      <c r="V269" s="132"/>
      <c r="W269" s="132"/>
      <c r="X269" s="132"/>
      <c r="Y269" s="132"/>
      <c r="Z269" s="132"/>
    </row>
    <row r="270" spans="1:26" ht="11.25" customHeight="1" x14ac:dyDescent="0.3">
      <c r="A270" s="132"/>
      <c r="B270" s="132"/>
      <c r="C270" s="132"/>
      <c r="D270" s="132"/>
      <c r="E270" s="132"/>
      <c r="F270" s="132"/>
      <c r="G270" s="132"/>
      <c r="H270" s="132"/>
      <c r="I270" s="132"/>
      <c r="J270" s="132"/>
      <c r="K270" s="132"/>
      <c r="L270" s="132"/>
      <c r="M270" s="132"/>
      <c r="N270" s="132"/>
      <c r="O270" s="132"/>
      <c r="P270" s="132"/>
      <c r="Q270" s="132"/>
      <c r="R270" s="132"/>
      <c r="S270" s="132"/>
      <c r="T270" s="132"/>
      <c r="U270" s="132"/>
      <c r="V270" s="132"/>
      <c r="W270" s="132"/>
      <c r="X270" s="132"/>
      <c r="Y270" s="132"/>
      <c r="Z270" s="132"/>
    </row>
    <row r="271" spans="1:26" ht="11.25" customHeight="1" x14ac:dyDescent="0.3">
      <c r="A271" s="132"/>
      <c r="B271" s="132"/>
      <c r="C271" s="132"/>
      <c r="D271" s="132"/>
      <c r="E271" s="132"/>
      <c r="F271" s="132"/>
      <c r="G271" s="132"/>
      <c r="H271" s="132"/>
      <c r="I271" s="132"/>
      <c r="J271" s="132"/>
      <c r="K271" s="132"/>
      <c r="L271" s="132"/>
      <c r="M271" s="132"/>
      <c r="N271" s="132"/>
      <c r="O271" s="132"/>
      <c r="P271" s="132"/>
      <c r="Q271" s="132"/>
      <c r="R271" s="132"/>
      <c r="S271" s="132"/>
      <c r="T271" s="132"/>
      <c r="U271" s="132"/>
      <c r="V271" s="132"/>
      <c r="W271" s="132"/>
      <c r="X271" s="132"/>
      <c r="Y271" s="132"/>
      <c r="Z271" s="132"/>
    </row>
    <row r="272" spans="1:26" ht="11.25" customHeight="1" x14ac:dyDescent="0.3">
      <c r="A272" s="132"/>
      <c r="B272" s="132"/>
      <c r="C272" s="132"/>
      <c r="D272" s="132"/>
      <c r="E272" s="132"/>
      <c r="F272" s="132"/>
      <c r="G272" s="132"/>
      <c r="H272" s="132"/>
      <c r="I272" s="132"/>
      <c r="J272" s="132"/>
      <c r="K272" s="132"/>
      <c r="L272" s="132"/>
      <c r="M272" s="132"/>
      <c r="N272" s="132"/>
      <c r="O272" s="132"/>
      <c r="P272" s="132"/>
      <c r="Q272" s="132"/>
      <c r="R272" s="132"/>
      <c r="S272" s="132"/>
      <c r="T272" s="132"/>
      <c r="U272" s="132"/>
      <c r="V272" s="132"/>
      <c r="W272" s="132"/>
      <c r="X272" s="132"/>
      <c r="Y272" s="132"/>
      <c r="Z272" s="132"/>
    </row>
    <row r="273" spans="1:26" ht="11.25" customHeight="1" x14ac:dyDescent="0.3">
      <c r="A273" s="132"/>
      <c r="B273" s="132"/>
      <c r="C273" s="132"/>
      <c r="D273" s="132"/>
      <c r="E273" s="132"/>
      <c r="F273" s="132"/>
      <c r="G273" s="132"/>
      <c r="H273" s="132"/>
      <c r="I273" s="132"/>
      <c r="J273" s="132"/>
      <c r="K273" s="132"/>
      <c r="L273" s="132"/>
      <c r="M273" s="132"/>
      <c r="N273" s="132"/>
      <c r="O273" s="132"/>
      <c r="P273" s="132"/>
      <c r="Q273" s="132"/>
      <c r="R273" s="132"/>
      <c r="S273" s="132"/>
      <c r="T273" s="132"/>
      <c r="U273" s="132"/>
      <c r="V273" s="132"/>
      <c r="W273" s="132"/>
      <c r="X273" s="132"/>
      <c r="Y273" s="132"/>
      <c r="Z273" s="132"/>
    </row>
    <row r="274" spans="1:26" ht="11.25" customHeight="1" x14ac:dyDescent="0.3">
      <c r="A274" s="132"/>
      <c r="B274" s="132"/>
      <c r="C274" s="132"/>
      <c r="D274" s="132"/>
      <c r="E274" s="132"/>
      <c r="F274" s="132"/>
      <c r="G274" s="132"/>
      <c r="H274" s="132"/>
      <c r="I274" s="132"/>
      <c r="J274" s="132"/>
      <c r="K274" s="132"/>
      <c r="L274" s="132"/>
      <c r="M274" s="132"/>
      <c r="N274" s="132"/>
      <c r="O274" s="132"/>
      <c r="P274" s="132"/>
      <c r="Q274" s="132"/>
      <c r="R274" s="132"/>
      <c r="S274" s="132"/>
      <c r="T274" s="132"/>
      <c r="U274" s="132"/>
      <c r="V274" s="132"/>
      <c r="W274" s="132"/>
      <c r="X274" s="132"/>
      <c r="Y274" s="132"/>
      <c r="Z274" s="132"/>
    </row>
    <row r="275" spans="1:26" ht="11.25" customHeight="1" x14ac:dyDescent="0.3">
      <c r="A275" s="132"/>
      <c r="B275" s="132"/>
      <c r="C275" s="132"/>
      <c r="D275" s="132"/>
      <c r="E275" s="132"/>
      <c r="F275" s="132"/>
      <c r="G275" s="132"/>
      <c r="H275" s="132"/>
      <c r="I275" s="132"/>
      <c r="J275" s="132"/>
      <c r="K275" s="132"/>
      <c r="L275" s="132"/>
      <c r="M275" s="132"/>
      <c r="N275" s="132"/>
      <c r="O275" s="132"/>
      <c r="P275" s="132"/>
      <c r="Q275" s="132"/>
      <c r="R275" s="132"/>
      <c r="S275" s="132"/>
      <c r="T275" s="132"/>
      <c r="U275" s="132"/>
      <c r="V275" s="132"/>
      <c r="W275" s="132"/>
      <c r="X275" s="132"/>
      <c r="Y275" s="132"/>
      <c r="Z275" s="132"/>
    </row>
    <row r="276" spans="1:26" ht="11.25" customHeight="1" x14ac:dyDescent="0.3">
      <c r="A276" s="132"/>
      <c r="B276" s="132"/>
      <c r="C276" s="132"/>
      <c r="D276" s="132"/>
      <c r="E276" s="132"/>
      <c r="F276" s="132"/>
      <c r="G276" s="132"/>
      <c r="H276" s="132"/>
      <c r="I276" s="132"/>
      <c r="J276" s="132"/>
      <c r="K276" s="132"/>
      <c r="L276" s="132"/>
      <c r="M276" s="132"/>
      <c r="N276" s="132"/>
      <c r="O276" s="132"/>
      <c r="P276" s="132"/>
      <c r="Q276" s="132"/>
      <c r="R276" s="132"/>
      <c r="S276" s="132"/>
      <c r="T276" s="132"/>
      <c r="U276" s="132"/>
      <c r="V276" s="132"/>
      <c r="W276" s="132"/>
      <c r="X276" s="132"/>
      <c r="Y276" s="132"/>
      <c r="Z276" s="132"/>
    </row>
    <row r="277" spans="1:26" ht="11.25" customHeight="1" x14ac:dyDescent="0.3">
      <c r="A277" s="132"/>
      <c r="B277" s="132"/>
      <c r="C277" s="132"/>
      <c r="D277" s="132"/>
      <c r="E277" s="132"/>
      <c r="F277" s="132"/>
      <c r="G277" s="132"/>
      <c r="H277" s="132"/>
      <c r="I277" s="132"/>
      <c r="J277" s="132"/>
      <c r="K277" s="132"/>
      <c r="L277" s="132"/>
      <c r="M277" s="132"/>
      <c r="N277" s="132"/>
      <c r="O277" s="132"/>
      <c r="P277" s="132"/>
      <c r="Q277" s="132"/>
      <c r="R277" s="132"/>
      <c r="S277" s="132"/>
      <c r="T277" s="132"/>
      <c r="U277" s="132"/>
      <c r="V277" s="132"/>
      <c r="W277" s="132"/>
      <c r="X277" s="132"/>
      <c r="Y277" s="132"/>
      <c r="Z277" s="132"/>
    </row>
    <row r="278" spans="1:26" ht="11.25" customHeight="1" x14ac:dyDescent="0.3">
      <c r="A278" s="132"/>
      <c r="B278" s="132"/>
      <c r="C278" s="132"/>
      <c r="D278" s="132"/>
      <c r="E278" s="132"/>
      <c r="F278" s="132"/>
      <c r="G278" s="132"/>
      <c r="H278" s="132"/>
      <c r="I278" s="132"/>
      <c r="J278" s="132"/>
      <c r="K278" s="132"/>
      <c r="L278" s="132"/>
      <c r="M278" s="132"/>
      <c r="N278" s="132"/>
      <c r="O278" s="132"/>
      <c r="P278" s="132"/>
      <c r="Q278" s="132"/>
      <c r="R278" s="132"/>
      <c r="S278" s="132"/>
      <c r="T278" s="132"/>
      <c r="U278" s="132"/>
      <c r="V278" s="132"/>
      <c r="W278" s="132"/>
      <c r="X278" s="132"/>
      <c r="Y278" s="132"/>
      <c r="Z278" s="132"/>
    </row>
    <row r="279" spans="1:26" ht="11.25" customHeight="1" x14ac:dyDescent="0.3">
      <c r="A279" s="132"/>
      <c r="B279" s="132"/>
      <c r="C279" s="132"/>
      <c r="D279" s="132"/>
      <c r="E279" s="132"/>
      <c r="F279" s="132"/>
      <c r="G279" s="132"/>
      <c r="H279" s="132"/>
      <c r="I279" s="132"/>
      <c r="J279" s="132"/>
      <c r="K279" s="132"/>
      <c r="L279" s="132"/>
      <c r="M279" s="132"/>
      <c r="N279" s="132"/>
      <c r="O279" s="132"/>
      <c r="P279" s="132"/>
      <c r="Q279" s="132"/>
      <c r="R279" s="132"/>
      <c r="S279" s="132"/>
      <c r="T279" s="132"/>
      <c r="U279" s="132"/>
      <c r="V279" s="132"/>
      <c r="W279" s="132"/>
      <c r="X279" s="132"/>
      <c r="Y279" s="132"/>
      <c r="Z279" s="132"/>
    </row>
    <row r="280" spans="1:26" ht="11.25" customHeight="1" x14ac:dyDescent="0.3">
      <c r="A280" s="132"/>
      <c r="B280" s="132"/>
      <c r="C280" s="132"/>
      <c r="D280" s="132"/>
      <c r="E280" s="132"/>
      <c r="F280" s="132"/>
      <c r="G280" s="132"/>
      <c r="H280" s="132"/>
      <c r="I280" s="132"/>
      <c r="J280" s="132"/>
      <c r="K280" s="132"/>
      <c r="L280" s="132"/>
      <c r="M280" s="132"/>
      <c r="N280" s="132"/>
      <c r="O280" s="132"/>
      <c r="P280" s="132"/>
      <c r="Q280" s="132"/>
      <c r="R280" s="132"/>
      <c r="S280" s="132"/>
      <c r="T280" s="132"/>
      <c r="U280" s="132"/>
      <c r="V280" s="132"/>
      <c r="W280" s="132"/>
      <c r="X280" s="132"/>
      <c r="Y280" s="132"/>
      <c r="Z280" s="132"/>
    </row>
    <row r="281" spans="1:26" ht="11.25" customHeight="1" x14ac:dyDescent="0.3">
      <c r="A281" s="132"/>
      <c r="B281" s="132"/>
      <c r="C281" s="132"/>
      <c r="D281" s="132"/>
      <c r="E281" s="132"/>
      <c r="F281" s="132"/>
      <c r="G281" s="132"/>
      <c r="H281" s="132"/>
      <c r="I281" s="132"/>
      <c r="J281" s="132"/>
      <c r="K281" s="132"/>
      <c r="L281" s="132"/>
      <c r="M281" s="132"/>
      <c r="N281" s="132"/>
      <c r="O281" s="132"/>
      <c r="P281" s="132"/>
      <c r="Q281" s="132"/>
      <c r="R281" s="132"/>
      <c r="S281" s="132"/>
      <c r="T281" s="132"/>
      <c r="U281" s="132"/>
      <c r="V281" s="132"/>
      <c r="W281" s="132"/>
      <c r="X281" s="132"/>
      <c r="Y281" s="132"/>
      <c r="Z281" s="132"/>
    </row>
    <row r="282" spans="1:26" ht="11.25" customHeight="1" x14ac:dyDescent="0.3">
      <c r="A282" s="132"/>
      <c r="B282" s="132"/>
      <c r="C282" s="132"/>
      <c r="D282" s="132"/>
      <c r="E282" s="132"/>
      <c r="F282" s="132"/>
      <c r="G282" s="132"/>
      <c r="H282" s="132"/>
      <c r="I282" s="132"/>
      <c r="J282" s="132"/>
      <c r="K282" s="132"/>
      <c r="L282" s="132"/>
      <c r="M282" s="132"/>
      <c r="N282" s="132"/>
      <c r="O282" s="132"/>
      <c r="P282" s="132"/>
      <c r="Q282" s="132"/>
      <c r="R282" s="132"/>
      <c r="S282" s="132"/>
      <c r="T282" s="132"/>
      <c r="U282" s="132"/>
      <c r="V282" s="132"/>
      <c r="W282" s="132"/>
      <c r="X282" s="132"/>
      <c r="Y282" s="132"/>
      <c r="Z282" s="132"/>
    </row>
    <row r="283" spans="1:26" ht="11.25" customHeight="1" x14ac:dyDescent="0.3">
      <c r="A283" s="132"/>
      <c r="B283" s="132"/>
      <c r="C283" s="132"/>
      <c r="D283" s="132"/>
      <c r="E283" s="132"/>
      <c r="F283" s="132"/>
      <c r="G283" s="132"/>
      <c r="H283" s="132"/>
      <c r="I283" s="132"/>
      <c r="J283" s="132"/>
      <c r="K283" s="132"/>
      <c r="L283" s="132"/>
      <c r="M283" s="132"/>
      <c r="N283" s="132"/>
      <c r="O283" s="132"/>
      <c r="P283" s="132"/>
      <c r="Q283" s="132"/>
      <c r="R283" s="132"/>
      <c r="S283" s="132"/>
      <c r="T283" s="132"/>
      <c r="U283" s="132"/>
      <c r="V283" s="132"/>
      <c r="W283" s="132"/>
      <c r="X283" s="132"/>
      <c r="Y283" s="132"/>
      <c r="Z283" s="132"/>
    </row>
    <row r="284" spans="1:26" ht="11.25" customHeight="1" x14ac:dyDescent="0.3">
      <c r="A284" s="132"/>
      <c r="B284" s="132"/>
      <c r="C284" s="132"/>
      <c r="D284" s="132"/>
      <c r="E284" s="132"/>
      <c r="F284" s="132"/>
      <c r="G284" s="132"/>
      <c r="H284" s="132"/>
      <c r="I284" s="132"/>
      <c r="J284" s="132"/>
      <c r="K284" s="132"/>
      <c r="L284" s="132"/>
      <c r="M284" s="132"/>
      <c r="N284" s="132"/>
      <c r="O284" s="132"/>
      <c r="P284" s="132"/>
      <c r="Q284" s="132"/>
      <c r="R284" s="132"/>
      <c r="S284" s="132"/>
      <c r="T284" s="132"/>
      <c r="U284" s="132"/>
      <c r="V284" s="132"/>
      <c r="W284" s="132"/>
      <c r="X284" s="132"/>
      <c r="Y284" s="132"/>
      <c r="Z284" s="132"/>
    </row>
    <row r="285" spans="1:26" ht="11.25" customHeight="1" x14ac:dyDescent="0.3">
      <c r="A285" s="132"/>
      <c r="B285" s="132"/>
      <c r="C285" s="132"/>
      <c r="D285" s="132"/>
      <c r="E285" s="132"/>
      <c r="F285" s="132"/>
      <c r="G285" s="132"/>
      <c r="H285" s="132"/>
      <c r="I285" s="132"/>
      <c r="J285" s="132"/>
      <c r="K285" s="132"/>
      <c r="L285" s="132"/>
      <c r="M285" s="132"/>
      <c r="N285" s="132"/>
      <c r="O285" s="132"/>
      <c r="P285" s="132"/>
      <c r="Q285" s="132"/>
      <c r="R285" s="132"/>
      <c r="S285" s="132"/>
      <c r="T285" s="132"/>
      <c r="U285" s="132"/>
      <c r="V285" s="132"/>
      <c r="W285" s="132"/>
      <c r="X285" s="132"/>
      <c r="Y285" s="132"/>
      <c r="Z285" s="132"/>
    </row>
    <row r="286" spans="1:26" ht="11.25" customHeight="1" x14ac:dyDescent="0.3">
      <c r="A286" s="132"/>
      <c r="B286" s="132"/>
      <c r="C286" s="132"/>
      <c r="D286" s="132"/>
      <c r="E286" s="132"/>
      <c r="F286" s="132"/>
      <c r="G286" s="132"/>
      <c r="H286" s="132"/>
      <c r="I286" s="132"/>
      <c r="J286" s="132"/>
      <c r="K286" s="132"/>
      <c r="L286" s="132"/>
      <c r="M286" s="132"/>
      <c r="N286" s="132"/>
      <c r="O286" s="132"/>
      <c r="P286" s="132"/>
      <c r="Q286" s="132"/>
      <c r="R286" s="132"/>
      <c r="S286" s="132"/>
      <c r="T286" s="132"/>
      <c r="U286" s="132"/>
      <c r="V286" s="132"/>
      <c r="W286" s="132"/>
      <c r="X286" s="132"/>
      <c r="Y286" s="132"/>
      <c r="Z286" s="132"/>
    </row>
    <row r="287" spans="1:26" ht="11.25" customHeight="1" x14ac:dyDescent="0.3">
      <c r="A287" s="132"/>
      <c r="B287" s="132"/>
      <c r="C287" s="132"/>
      <c r="D287" s="132"/>
      <c r="E287" s="132"/>
      <c r="F287" s="132"/>
      <c r="G287" s="132"/>
      <c r="H287" s="132"/>
      <c r="I287" s="132"/>
      <c r="J287" s="132"/>
      <c r="K287" s="132"/>
      <c r="L287" s="132"/>
      <c r="M287" s="132"/>
      <c r="N287" s="132"/>
      <c r="O287" s="132"/>
      <c r="P287" s="132"/>
      <c r="Q287" s="132"/>
      <c r="R287" s="132"/>
      <c r="S287" s="132"/>
      <c r="T287" s="132"/>
      <c r="U287" s="132"/>
      <c r="V287" s="132"/>
      <c r="W287" s="132"/>
      <c r="X287" s="132"/>
      <c r="Y287" s="132"/>
      <c r="Z287" s="132"/>
    </row>
    <row r="288" spans="1:26" ht="11.25" customHeight="1" x14ac:dyDescent="0.3">
      <c r="A288" s="132"/>
      <c r="B288" s="132"/>
      <c r="C288" s="132"/>
      <c r="D288" s="132"/>
      <c r="E288" s="132"/>
      <c r="F288" s="132"/>
      <c r="G288" s="132"/>
      <c r="H288" s="132"/>
      <c r="I288" s="132"/>
      <c r="J288" s="132"/>
      <c r="K288" s="132"/>
      <c r="L288" s="132"/>
      <c r="M288" s="132"/>
      <c r="N288" s="132"/>
      <c r="O288" s="132"/>
      <c r="P288" s="132"/>
      <c r="Q288" s="132"/>
      <c r="R288" s="132"/>
      <c r="S288" s="132"/>
      <c r="T288" s="132"/>
      <c r="U288" s="132"/>
      <c r="V288" s="132"/>
      <c r="W288" s="132"/>
      <c r="X288" s="132"/>
      <c r="Y288" s="132"/>
      <c r="Z288" s="132"/>
    </row>
    <row r="289" spans="1:26" ht="11.25" customHeight="1" x14ac:dyDescent="0.3">
      <c r="A289" s="132"/>
      <c r="B289" s="132"/>
      <c r="C289" s="132"/>
      <c r="D289" s="132"/>
      <c r="E289" s="132"/>
      <c r="F289" s="132"/>
      <c r="G289" s="132"/>
      <c r="H289" s="132"/>
      <c r="I289" s="132"/>
      <c r="J289" s="132"/>
      <c r="K289" s="132"/>
      <c r="L289" s="132"/>
      <c r="M289" s="132"/>
      <c r="N289" s="132"/>
      <c r="O289" s="132"/>
      <c r="P289" s="132"/>
      <c r="Q289" s="132"/>
      <c r="R289" s="132"/>
      <c r="S289" s="132"/>
      <c r="T289" s="132"/>
      <c r="U289" s="132"/>
      <c r="V289" s="132"/>
      <c r="W289" s="132"/>
      <c r="X289" s="132"/>
      <c r="Y289" s="132"/>
      <c r="Z289" s="132"/>
    </row>
    <row r="290" spans="1:26" ht="11.25" customHeight="1" x14ac:dyDescent="0.3">
      <c r="A290" s="132"/>
      <c r="B290" s="132"/>
      <c r="C290" s="132"/>
      <c r="D290" s="132"/>
      <c r="E290" s="132"/>
      <c r="F290" s="132"/>
      <c r="G290" s="132"/>
      <c r="H290" s="132"/>
      <c r="I290" s="132"/>
      <c r="J290" s="132"/>
      <c r="K290" s="132"/>
      <c r="L290" s="132"/>
      <c r="M290" s="132"/>
      <c r="N290" s="132"/>
      <c r="O290" s="132"/>
      <c r="P290" s="132"/>
      <c r="Q290" s="132"/>
      <c r="R290" s="132"/>
      <c r="S290" s="132"/>
      <c r="T290" s="132"/>
      <c r="U290" s="132"/>
      <c r="V290" s="132"/>
      <c r="W290" s="132"/>
      <c r="X290" s="132"/>
      <c r="Y290" s="132"/>
      <c r="Z290" s="132"/>
    </row>
    <row r="291" spans="1:26" ht="11.25" customHeight="1" x14ac:dyDescent="0.3">
      <c r="A291" s="132"/>
      <c r="B291" s="132"/>
      <c r="C291" s="132"/>
      <c r="D291" s="132"/>
      <c r="E291" s="132"/>
      <c r="F291" s="132"/>
      <c r="G291" s="132"/>
      <c r="H291" s="132"/>
      <c r="I291" s="132"/>
      <c r="J291" s="132"/>
      <c r="K291" s="132"/>
      <c r="L291" s="132"/>
      <c r="M291" s="132"/>
      <c r="N291" s="132"/>
      <c r="O291" s="132"/>
      <c r="P291" s="132"/>
      <c r="Q291" s="132"/>
      <c r="R291" s="132"/>
      <c r="S291" s="132"/>
      <c r="T291" s="132"/>
      <c r="U291" s="132"/>
      <c r="V291" s="132"/>
      <c r="W291" s="132"/>
      <c r="X291" s="132"/>
      <c r="Y291" s="132"/>
      <c r="Z291" s="132"/>
    </row>
    <row r="292" spans="1:26" ht="11.25" customHeight="1" x14ac:dyDescent="0.3">
      <c r="A292" s="132"/>
      <c r="B292" s="132"/>
      <c r="C292" s="132"/>
      <c r="D292" s="132"/>
      <c r="E292" s="132"/>
      <c r="F292" s="132"/>
      <c r="G292" s="132"/>
      <c r="H292" s="132"/>
      <c r="I292" s="132"/>
      <c r="J292" s="132"/>
      <c r="K292" s="132"/>
      <c r="L292" s="132"/>
      <c r="M292" s="132"/>
      <c r="N292" s="132"/>
      <c r="O292" s="132"/>
      <c r="P292" s="132"/>
      <c r="Q292" s="132"/>
      <c r="R292" s="132"/>
      <c r="S292" s="132"/>
      <c r="T292" s="132"/>
      <c r="U292" s="132"/>
      <c r="V292" s="132"/>
      <c r="W292" s="132"/>
      <c r="X292" s="132"/>
      <c r="Y292" s="132"/>
      <c r="Z292" s="132"/>
    </row>
    <row r="293" spans="1:26" ht="11.25" customHeight="1" x14ac:dyDescent="0.3">
      <c r="A293" s="132"/>
      <c r="B293" s="132"/>
      <c r="C293" s="132"/>
      <c r="D293" s="132"/>
      <c r="E293" s="132"/>
      <c r="F293" s="132"/>
      <c r="G293" s="132"/>
      <c r="H293" s="132"/>
      <c r="I293" s="132"/>
      <c r="J293" s="132"/>
      <c r="K293" s="132"/>
      <c r="L293" s="132"/>
      <c r="M293" s="132"/>
      <c r="N293" s="132"/>
      <c r="O293" s="132"/>
      <c r="P293" s="132"/>
      <c r="Q293" s="132"/>
      <c r="R293" s="132"/>
      <c r="S293" s="132"/>
      <c r="T293" s="132"/>
      <c r="U293" s="132"/>
      <c r="V293" s="132"/>
      <c r="W293" s="132"/>
      <c r="X293" s="132"/>
      <c r="Y293" s="132"/>
      <c r="Z293" s="132"/>
    </row>
    <row r="294" spans="1:26" ht="11.25" customHeight="1" x14ac:dyDescent="0.3">
      <c r="A294" s="132"/>
      <c r="B294" s="132"/>
      <c r="C294" s="132"/>
      <c r="D294" s="132"/>
      <c r="E294" s="132"/>
      <c r="F294" s="132"/>
      <c r="G294" s="132"/>
      <c r="H294" s="132"/>
      <c r="I294" s="132"/>
      <c r="J294" s="132"/>
      <c r="K294" s="132"/>
      <c r="L294" s="132"/>
      <c r="M294" s="132"/>
      <c r="N294" s="132"/>
      <c r="O294" s="132"/>
      <c r="P294" s="132"/>
      <c r="Q294" s="132"/>
      <c r="R294" s="132"/>
      <c r="S294" s="132"/>
      <c r="T294" s="132"/>
      <c r="U294" s="132"/>
      <c r="V294" s="132"/>
      <c r="W294" s="132"/>
      <c r="X294" s="132"/>
      <c r="Y294" s="132"/>
      <c r="Z294" s="132"/>
    </row>
    <row r="295" spans="1:26" ht="11.25" customHeight="1" x14ac:dyDescent="0.3">
      <c r="A295" s="132"/>
      <c r="B295" s="132"/>
      <c r="C295" s="132"/>
      <c r="D295" s="132"/>
      <c r="E295" s="132"/>
      <c r="F295" s="132"/>
      <c r="G295" s="132"/>
      <c r="H295" s="132"/>
      <c r="I295" s="132"/>
      <c r="J295" s="132"/>
      <c r="K295" s="132"/>
      <c r="L295" s="132"/>
      <c r="M295" s="132"/>
      <c r="N295" s="132"/>
      <c r="O295" s="132"/>
      <c r="P295" s="132"/>
      <c r="Q295" s="132"/>
      <c r="R295" s="132"/>
      <c r="S295" s="132"/>
      <c r="T295" s="132"/>
      <c r="U295" s="132"/>
      <c r="V295" s="132"/>
      <c r="W295" s="132"/>
      <c r="X295" s="132"/>
      <c r="Y295" s="132"/>
      <c r="Z295" s="132"/>
    </row>
    <row r="296" spans="1:26" ht="11.25" customHeight="1" x14ac:dyDescent="0.3">
      <c r="A296" s="132"/>
      <c r="B296" s="132"/>
      <c r="C296" s="132"/>
      <c r="D296" s="132"/>
      <c r="E296" s="132"/>
      <c r="F296" s="132"/>
      <c r="G296" s="132"/>
      <c r="H296" s="132"/>
      <c r="I296" s="132"/>
      <c r="J296" s="132"/>
      <c r="K296" s="132"/>
      <c r="L296" s="132"/>
      <c r="M296" s="132"/>
      <c r="N296" s="132"/>
      <c r="O296" s="132"/>
      <c r="P296" s="132"/>
      <c r="Q296" s="132"/>
      <c r="R296" s="132"/>
      <c r="S296" s="132"/>
      <c r="T296" s="132"/>
      <c r="U296" s="132"/>
      <c r="V296" s="132"/>
      <c r="W296" s="132"/>
      <c r="X296" s="132"/>
      <c r="Y296" s="132"/>
      <c r="Z296" s="132"/>
    </row>
    <row r="297" spans="1:26" ht="11.25" customHeight="1" x14ac:dyDescent="0.3">
      <c r="A297" s="132"/>
      <c r="B297" s="132"/>
      <c r="C297" s="132"/>
      <c r="D297" s="132"/>
      <c r="E297" s="132"/>
      <c r="F297" s="132"/>
      <c r="G297" s="132"/>
      <c r="H297" s="132"/>
      <c r="I297" s="132"/>
      <c r="J297" s="132"/>
      <c r="K297" s="132"/>
      <c r="L297" s="132"/>
      <c r="M297" s="132"/>
      <c r="N297" s="132"/>
      <c r="O297" s="132"/>
      <c r="P297" s="132"/>
      <c r="Q297" s="132"/>
      <c r="R297" s="132"/>
      <c r="S297" s="132"/>
      <c r="T297" s="132"/>
      <c r="U297" s="132"/>
      <c r="V297" s="132"/>
      <c r="W297" s="132"/>
      <c r="X297" s="132"/>
      <c r="Y297" s="132"/>
      <c r="Z297" s="132"/>
    </row>
    <row r="298" spans="1:26" ht="11.25" customHeight="1" x14ac:dyDescent="0.3">
      <c r="A298" s="132"/>
      <c r="B298" s="132"/>
      <c r="C298" s="132"/>
      <c r="D298" s="132"/>
      <c r="E298" s="132"/>
      <c r="F298" s="132"/>
      <c r="G298" s="132"/>
      <c r="H298" s="132"/>
      <c r="I298" s="132"/>
      <c r="J298" s="132"/>
      <c r="K298" s="132"/>
      <c r="L298" s="132"/>
      <c r="M298" s="132"/>
      <c r="N298" s="132"/>
      <c r="O298" s="132"/>
      <c r="P298" s="132"/>
      <c r="Q298" s="132"/>
      <c r="R298" s="132"/>
      <c r="S298" s="132"/>
      <c r="T298" s="132"/>
      <c r="U298" s="132"/>
      <c r="V298" s="132"/>
      <c r="W298" s="132"/>
      <c r="X298" s="132"/>
      <c r="Y298" s="132"/>
      <c r="Z298" s="132"/>
    </row>
    <row r="299" spans="1:26" ht="11.25" customHeight="1" x14ac:dyDescent="0.3">
      <c r="A299" s="132"/>
      <c r="B299" s="132"/>
      <c r="C299" s="132"/>
      <c r="D299" s="132"/>
      <c r="E299" s="132"/>
      <c r="F299" s="132"/>
      <c r="G299" s="132"/>
      <c r="H299" s="132"/>
      <c r="I299" s="132"/>
      <c r="J299" s="132"/>
      <c r="K299" s="132"/>
      <c r="L299" s="132"/>
      <c r="M299" s="132"/>
      <c r="N299" s="132"/>
      <c r="O299" s="132"/>
      <c r="P299" s="132"/>
      <c r="Q299" s="132"/>
      <c r="R299" s="132"/>
      <c r="S299" s="132"/>
      <c r="T299" s="132"/>
      <c r="U299" s="132"/>
      <c r="V299" s="132"/>
      <c r="W299" s="132"/>
      <c r="X299" s="132"/>
      <c r="Y299" s="132"/>
      <c r="Z299" s="132"/>
    </row>
    <row r="300" spans="1:26" ht="11.25" customHeight="1" x14ac:dyDescent="0.3">
      <c r="A300" s="132"/>
      <c r="B300" s="132"/>
      <c r="C300" s="132"/>
      <c r="D300" s="132"/>
      <c r="E300" s="132"/>
      <c r="F300" s="132"/>
      <c r="G300" s="132"/>
      <c r="H300" s="132"/>
      <c r="I300" s="132"/>
      <c r="J300" s="132"/>
      <c r="K300" s="132"/>
      <c r="L300" s="132"/>
      <c r="M300" s="132"/>
      <c r="N300" s="132"/>
      <c r="O300" s="132"/>
      <c r="P300" s="132"/>
      <c r="Q300" s="132"/>
      <c r="R300" s="132"/>
      <c r="S300" s="132"/>
      <c r="T300" s="132"/>
      <c r="U300" s="132"/>
      <c r="V300" s="132"/>
      <c r="W300" s="132"/>
      <c r="X300" s="132"/>
      <c r="Y300" s="132"/>
      <c r="Z300" s="132"/>
    </row>
    <row r="301" spans="1:26" ht="11.25" customHeight="1" x14ac:dyDescent="0.3">
      <c r="A301" s="132"/>
      <c r="B301" s="132"/>
      <c r="C301" s="132"/>
      <c r="D301" s="132"/>
      <c r="E301" s="132"/>
      <c r="F301" s="132"/>
      <c r="G301" s="132"/>
      <c r="H301" s="132"/>
      <c r="I301" s="132"/>
      <c r="J301" s="132"/>
      <c r="K301" s="132"/>
      <c r="L301" s="132"/>
      <c r="M301" s="132"/>
      <c r="N301" s="132"/>
      <c r="O301" s="132"/>
      <c r="P301" s="132"/>
      <c r="Q301" s="132"/>
      <c r="R301" s="132"/>
      <c r="S301" s="132"/>
      <c r="T301" s="132"/>
      <c r="U301" s="132"/>
      <c r="V301" s="132"/>
      <c r="W301" s="132"/>
      <c r="X301" s="132"/>
      <c r="Y301" s="132"/>
      <c r="Z301" s="132"/>
    </row>
    <row r="302" spans="1:26" ht="11.25" customHeight="1" x14ac:dyDescent="0.3">
      <c r="A302" s="132"/>
      <c r="B302" s="132"/>
      <c r="C302" s="132"/>
      <c r="D302" s="132"/>
      <c r="E302" s="132"/>
      <c r="F302" s="132"/>
      <c r="G302" s="132"/>
      <c r="H302" s="132"/>
      <c r="I302" s="132"/>
      <c r="J302" s="132"/>
      <c r="K302" s="132"/>
      <c r="L302" s="132"/>
      <c r="M302" s="132"/>
      <c r="N302" s="132"/>
      <c r="O302" s="132"/>
      <c r="P302" s="132"/>
      <c r="Q302" s="132"/>
      <c r="R302" s="132"/>
      <c r="S302" s="132"/>
      <c r="T302" s="132"/>
      <c r="U302" s="132"/>
      <c r="V302" s="132"/>
      <c r="W302" s="132"/>
      <c r="X302" s="132"/>
      <c r="Y302" s="132"/>
      <c r="Z302" s="132"/>
    </row>
    <row r="303" spans="1:26" ht="11.25" customHeight="1" x14ac:dyDescent="0.3">
      <c r="A303" s="132"/>
      <c r="B303" s="132"/>
      <c r="C303" s="132"/>
      <c r="D303" s="132"/>
      <c r="E303" s="132"/>
      <c r="F303" s="132"/>
      <c r="G303" s="132"/>
      <c r="H303" s="132"/>
      <c r="I303" s="132"/>
      <c r="J303" s="132"/>
      <c r="K303" s="132"/>
      <c r="L303" s="132"/>
      <c r="M303" s="132"/>
      <c r="N303" s="132"/>
      <c r="O303" s="132"/>
      <c r="P303" s="132"/>
      <c r="Q303" s="132"/>
      <c r="R303" s="132"/>
      <c r="S303" s="132"/>
      <c r="T303" s="132"/>
      <c r="U303" s="132"/>
      <c r="V303" s="132"/>
      <c r="W303" s="132"/>
      <c r="X303" s="132"/>
      <c r="Y303" s="132"/>
      <c r="Z303" s="132"/>
    </row>
    <row r="304" spans="1:26" ht="11.25" customHeight="1" x14ac:dyDescent="0.3">
      <c r="A304" s="132"/>
      <c r="B304" s="132"/>
      <c r="C304" s="132"/>
      <c r="D304" s="132"/>
      <c r="E304" s="132"/>
      <c r="F304" s="132"/>
      <c r="G304" s="132"/>
      <c r="H304" s="132"/>
      <c r="I304" s="132"/>
      <c r="J304" s="132"/>
      <c r="K304" s="132"/>
      <c r="L304" s="132"/>
      <c r="M304" s="132"/>
      <c r="N304" s="132"/>
      <c r="O304" s="132"/>
      <c r="P304" s="132"/>
      <c r="Q304" s="132"/>
      <c r="R304" s="132"/>
      <c r="S304" s="132"/>
      <c r="T304" s="132"/>
      <c r="U304" s="132"/>
      <c r="V304" s="132"/>
      <c r="W304" s="132"/>
      <c r="X304" s="132"/>
      <c r="Y304" s="132"/>
      <c r="Z304" s="132"/>
    </row>
    <row r="305" spans="1:26" ht="11.25" customHeight="1" x14ac:dyDescent="0.3">
      <c r="A305" s="132"/>
      <c r="B305" s="132"/>
      <c r="C305" s="132"/>
      <c r="D305" s="132"/>
      <c r="E305" s="132"/>
      <c r="F305" s="132"/>
      <c r="G305" s="132"/>
      <c r="H305" s="132"/>
      <c r="I305" s="132"/>
      <c r="J305" s="132"/>
      <c r="K305" s="132"/>
      <c r="L305" s="132"/>
      <c r="M305" s="132"/>
      <c r="N305" s="132"/>
      <c r="O305" s="132"/>
      <c r="P305" s="132"/>
      <c r="Q305" s="132"/>
      <c r="R305" s="132"/>
      <c r="S305" s="132"/>
      <c r="T305" s="132"/>
      <c r="U305" s="132"/>
      <c r="V305" s="132"/>
      <c r="W305" s="132"/>
      <c r="X305" s="132"/>
      <c r="Y305" s="132"/>
      <c r="Z305" s="132"/>
    </row>
    <row r="306" spans="1:26" ht="11.25" customHeight="1" x14ac:dyDescent="0.3">
      <c r="A306" s="132"/>
      <c r="B306" s="132"/>
      <c r="C306" s="132"/>
      <c r="D306" s="132"/>
      <c r="E306" s="132"/>
      <c r="F306" s="132"/>
      <c r="G306" s="132"/>
      <c r="H306" s="132"/>
      <c r="I306" s="132"/>
      <c r="J306" s="132"/>
      <c r="K306" s="132"/>
      <c r="L306" s="132"/>
      <c r="M306" s="132"/>
      <c r="N306" s="132"/>
      <c r="O306" s="132"/>
      <c r="P306" s="132"/>
      <c r="Q306" s="132"/>
      <c r="R306" s="132"/>
      <c r="S306" s="132"/>
      <c r="T306" s="132"/>
      <c r="U306" s="132"/>
      <c r="V306" s="132"/>
      <c r="W306" s="132"/>
      <c r="X306" s="132"/>
      <c r="Y306" s="132"/>
      <c r="Z306" s="132"/>
    </row>
    <row r="307" spans="1:26" ht="11.25" customHeight="1" x14ac:dyDescent="0.3">
      <c r="A307" s="132"/>
      <c r="B307" s="132"/>
      <c r="C307" s="132"/>
      <c r="D307" s="132"/>
      <c r="E307" s="132"/>
      <c r="F307" s="132"/>
      <c r="G307" s="132"/>
      <c r="H307" s="132"/>
      <c r="I307" s="132"/>
      <c r="J307" s="132"/>
      <c r="K307" s="132"/>
      <c r="L307" s="132"/>
      <c r="M307" s="132"/>
      <c r="N307" s="132"/>
      <c r="O307" s="132"/>
      <c r="P307" s="132"/>
      <c r="Q307" s="132"/>
      <c r="R307" s="132"/>
      <c r="S307" s="132"/>
      <c r="T307" s="132"/>
      <c r="U307" s="132"/>
      <c r="V307" s="132"/>
      <c r="W307" s="132"/>
      <c r="X307" s="132"/>
      <c r="Y307" s="132"/>
      <c r="Z307" s="132"/>
    </row>
    <row r="308" spans="1:26" ht="11.25" customHeight="1" x14ac:dyDescent="0.3">
      <c r="A308" s="132"/>
      <c r="B308" s="132"/>
      <c r="C308" s="132"/>
      <c r="D308" s="132"/>
      <c r="E308" s="132"/>
      <c r="F308" s="132"/>
      <c r="G308" s="132"/>
      <c r="H308" s="132"/>
      <c r="I308" s="132"/>
      <c r="J308" s="132"/>
      <c r="K308" s="132"/>
      <c r="L308" s="132"/>
      <c r="M308" s="132"/>
      <c r="N308" s="132"/>
      <c r="O308" s="132"/>
      <c r="P308" s="132"/>
      <c r="Q308" s="132"/>
      <c r="R308" s="132"/>
      <c r="S308" s="132"/>
      <c r="T308" s="132"/>
      <c r="U308" s="132"/>
      <c r="V308" s="132"/>
      <c r="W308" s="132"/>
      <c r="X308" s="132"/>
      <c r="Y308" s="132"/>
      <c r="Z308" s="132"/>
    </row>
    <row r="309" spans="1:26" ht="11.25" customHeight="1" x14ac:dyDescent="0.3">
      <c r="A309" s="132"/>
      <c r="B309" s="132"/>
      <c r="C309" s="132"/>
      <c r="D309" s="132"/>
      <c r="E309" s="132"/>
      <c r="F309" s="132"/>
      <c r="G309" s="132"/>
      <c r="H309" s="132"/>
      <c r="I309" s="132"/>
      <c r="J309" s="132"/>
      <c r="K309" s="132"/>
      <c r="L309" s="132"/>
      <c r="M309" s="132"/>
      <c r="N309" s="132"/>
      <c r="O309" s="132"/>
      <c r="P309" s="132"/>
      <c r="Q309" s="132"/>
      <c r="R309" s="132"/>
      <c r="S309" s="132"/>
      <c r="T309" s="132"/>
      <c r="U309" s="132"/>
      <c r="V309" s="132"/>
      <c r="W309" s="132"/>
      <c r="X309" s="132"/>
      <c r="Y309" s="132"/>
      <c r="Z309" s="132"/>
    </row>
    <row r="310" spans="1:26" ht="11.25" customHeight="1" x14ac:dyDescent="0.3">
      <c r="A310" s="132"/>
      <c r="B310" s="132"/>
      <c r="C310" s="132"/>
      <c r="D310" s="132"/>
      <c r="E310" s="132"/>
      <c r="F310" s="132"/>
      <c r="G310" s="132"/>
      <c r="H310" s="132"/>
      <c r="I310" s="132"/>
      <c r="J310" s="132"/>
      <c r="K310" s="132"/>
      <c r="L310" s="132"/>
      <c r="M310" s="132"/>
      <c r="N310" s="132"/>
      <c r="O310" s="132"/>
      <c r="P310" s="132"/>
      <c r="Q310" s="132"/>
      <c r="R310" s="132"/>
      <c r="S310" s="132"/>
      <c r="T310" s="132"/>
      <c r="U310" s="132"/>
      <c r="V310" s="132"/>
      <c r="W310" s="132"/>
      <c r="X310" s="132"/>
      <c r="Y310" s="132"/>
      <c r="Z310" s="132"/>
    </row>
    <row r="311" spans="1:26" ht="11.25" customHeight="1" x14ac:dyDescent="0.3">
      <c r="A311" s="132"/>
      <c r="B311" s="132"/>
      <c r="C311" s="132"/>
      <c r="D311" s="132"/>
      <c r="E311" s="132"/>
      <c r="F311" s="132"/>
      <c r="G311" s="132"/>
      <c r="H311" s="132"/>
      <c r="I311" s="132"/>
      <c r="J311" s="132"/>
      <c r="K311" s="132"/>
      <c r="L311" s="132"/>
      <c r="M311" s="132"/>
      <c r="N311" s="132"/>
      <c r="O311" s="132"/>
      <c r="P311" s="132"/>
      <c r="Q311" s="132"/>
      <c r="R311" s="132"/>
      <c r="S311" s="132"/>
      <c r="T311" s="132"/>
      <c r="U311" s="132"/>
      <c r="V311" s="132"/>
      <c r="W311" s="132"/>
      <c r="X311" s="132"/>
      <c r="Y311" s="132"/>
      <c r="Z311" s="132"/>
    </row>
    <row r="312" spans="1:26" ht="11.25" customHeight="1" x14ac:dyDescent="0.3">
      <c r="A312" s="132"/>
      <c r="B312" s="132"/>
      <c r="C312" s="132"/>
      <c r="D312" s="132"/>
      <c r="E312" s="132"/>
      <c r="F312" s="132"/>
      <c r="G312" s="132"/>
      <c r="H312" s="132"/>
      <c r="I312" s="132"/>
      <c r="J312" s="132"/>
      <c r="K312" s="132"/>
      <c r="L312" s="132"/>
      <c r="M312" s="132"/>
      <c r="N312" s="132"/>
      <c r="O312" s="132"/>
      <c r="P312" s="132"/>
      <c r="Q312" s="132"/>
      <c r="R312" s="132"/>
      <c r="S312" s="132"/>
      <c r="T312" s="132"/>
      <c r="U312" s="132"/>
      <c r="V312" s="132"/>
      <c r="W312" s="132"/>
      <c r="X312" s="132"/>
      <c r="Y312" s="132"/>
      <c r="Z312" s="132"/>
    </row>
    <row r="313" spans="1:26" ht="11.25" customHeight="1" x14ac:dyDescent="0.3">
      <c r="A313" s="132"/>
      <c r="B313" s="132"/>
      <c r="C313" s="132"/>
      <c r="D313" s="132"/>
      <c r="E313" s="132"/>
      <c r="F313" s="132"/>
      <c r="G313" s="132"/>
      <c r="H313" s="132"/>
      <c r="I313" s="132"/>
      <c r="J313" s="132"/>
      <c r="K313" s="132"/>
      <c r="L313" s="132"/>
      <c r="M313" s="132"/>
      <c r="N313" s="132"/>
      <c r="O313" s="132"/>
      <c r="P313" s="132"/>
      <c r="Q313" s="132"/>
      <c r="R313" s="132"/>
      <c r="S313" s="132"/>
      <c r="T313" s="132"/>
      <c r="U313" s="132"/>
      <c r="V313" s="132"/>
      <c r="W313" s="132"/>
      <c r="X313" s="132"/>
      <c r="Y313" s="132"/>
      <c r="Z313" s="132"/>
    </row>
    <row r="314" spans="1:26" ht="11.25" customHeight="1" x14ac:dyDescent="0.3">
      <c r="A314" s="132"/>
      <c r="B314" s="132"/>
      <c r="C314" s="132"/>
      <c r="D314" s="132"/>
      <c r="E314" s="132"/>
      <c r="F314" s="132"/>
      <c r="G314" s="132"/>
      <c r="H314" s="132"/>
      <c r="I314" s="132"/>
      <c r="J314" s="132"/>
      <c r="K314" s="132"/>
      <c r="L314" s="132"/>
      <c r="M314" s="132"/>
      <c r="N314" s="132"/>
      <c r="O314" s="132"/>
      <c r="P314" s="132"/>
      <c r="Q314" s="132"/>
      <c r="R314" s="132"/>
      <c r="S314" s="132"/>
      <c r="T314" s="132"/>
      <c r="U314" s="132"/>
      <c r="V314" s="132"/>
      <c r="W314" s="132"/>
      <c r="X314" s="132"/>
      <c r="Y314" s="132"/>
      <c r="Z314" s="132"/>
    </row>
    <row r="315" spans="1:26" ht="11.25" customHeight="1" x14ac:dyDescent="0.3">
      <c r="A315" s="132"/>
      <c r="B315" s="132"/>
      <c r="C315" s="132"/>
      <c r="D315" s="132"/>
      <c r="E315" s="132"/>
      <c r="F315" s="132"/>
      <c r="G315" s="132"/>
      <c r="H315" s="132"/>
      <c r="I315" s="132"/>
      <c r="J315" s="132"/>
      <c r="K315" s="132"/>
      <c r="L315" s="132"/>
      <c r="M315" s="132"/>
      <c r="N315" s="132"/>
      <c r="O315" s="132"/>
      <c r="P315" s="132"/>
      <c r="Q315" s="132"/>
      <c r="R315" s="132"/>
      <c r="S315" s="132"/>
      <c r="T315" s="132"/>
      <c r="U315" s="132"/>
      <c r="V315" s="132"/>
      <c r="W315" s="132"/>
      <c r="X315" s="132"/>
      <c r="Y315" s="132"/>
      <c r="Z315" s="132"/>
    </row>
    <row r="316" spans="1:26" ht="11.25" customHeight="1" x14ac:dyDescent="0.3">
      <c r="A316" s="132"/>
      <c r="B316" s="132"/>
      <c r="C316" s="132"/>
      <c r="D316" s="132"/>
      <c r="E316" s="132"/>
      <c r="F316" s="132"/>
      <c r="G316" s="132"/>
      <c r="H316" s="132"/>
      <c r="I316" s="132"/>
      <c r="J316" s="132"/>
      <c r="K316" s="132"/>
      <c r="L316" s="132"/>
      <c r="M316" s="132"/>
      <c r="N316" s="132"/>
      <c r="O316" s="132"/>
      <c r="P316" s="132"/>
      <c r="Q316" s="132"/>
      <c r="R316" s="132"/>
      <c r="S316" s="132"/>
      <c r="T316" s="132"/>
      <c r="U316" s="132"/>
      <c r="V316" s="132"/>
      <c r="W316" s="132"/>
      <c r="X316" s="132"/>
      <c r="Y316" s="132"/>
      <c r="Z316" s="132"/>
    </row>
    <row r="317" spans="1:26" ht="11.25" customHeight="1" x14ac:dyDescent="0.3">
      <c r="A317" s="132"/>
      <c r="B317" s="132"/>
      <c r="C317" s="132"/>
      <c r="D317" s="132"/>
      <c r="E317" s="132"/>
      <c r="F317" s="132"/>
      <c r="G317" s="132"/>
      <c r="H317" s="132"/>
      <c r="I317" s="132"/>
      <c r="J317" s="132"/>
      <c r="K317" s="132"/>
      <c r="L317" s="132"/>
      <c r="M317" s="132"/>
      <c r="N317" s="132"/>
      <c r="O317" s="132"/>
      <c r="P317" s="132"/>
      <c r="Q317" s="132"/>
      <c r="R317" s="132"/>
      <c r="S317" s="132"/>
      <c r="T317" s="132"/>
      <c r="U317" s="132"/>
      <c r="V317" s="132"/>
      <c r="W317" s="132"/>
      <c r="X317" s="132"/>
      <c r="Y317" s="132"/>
      <c r="Z317" s="132"/>
    </row>
    <row r="318" spans="1:26" ht="11.25" customHeight="1" x14ac:dyDescent="0.3">
      <c r="A318" s="132"/>
      <c r="B318" s="132"/>
      <c r="C318" s="132"/>
      <c r="D318" s="132"/>
      <c r="E318" s="132"/>
      <c r="F318" s="132"/>
      <c r="G318" s="132"/>
      <c r="H318" s="132"/>
      <c r="I318" s="132"/>
      <c r="J318" s="132"/>
      <c r="K318" s="132"/>
      <c r="L318" s="132"/>
      <c r="M318" s="132"/>
      <c r="N318" s="132"/>
      <c r="O318" s="132"/>
      <c r="P318" s="132"/>
      <c r="Q318" s="132"/>
      <c r="R318" s="132"/>
      <c r="S318" s="132"/>
      <c r="T318" s="132"/>
      <c r="U318" s="132"/>
      <c r="V318" s="132"/>
      <c r="W318" s="132"/>
      <c r="X318" s="132"/>
      <c r="Y318" s="132"/>
      <c r="Z318" s="132"/>
    </row>
    <row r="319" spans="1:26" ht="11.25" customHeight="1" x14ac:dyDescent="0.3">
      <c r="A319" s="132"/>
      <c r="B319" s="132"/>
      <c r="C319" s="132"/>
      <c r="D319" s="132"/>
      <c r="E319" s="132"/>
      <c r="F319" s="132"/>
      <c r="G319" s="132"/>
      <c r="H319" s="132"/>
      <c r="I319" s="132"/>
      <c r="J319" s="132"/>
      <c r="K319" s="132"/>
      <c r="L319" s="132"/>
      <c r="M319" s="132"/>
      <c r="N319" s="132"/>
      <c r="O319" s="132"/>
      <c r="P319" s="132"/>
      <c r="Q319" s="132"/>
      <c r="R319" s="132"/>
      <c r="S319" s="132"/>
      <c r="T319" s="132"/>
      <c r="U319" s="132"/>
      <c r="V319" s="132"/>
      <c r="W319" s="132"/>
      <c r="X319" s="132"/>
      <c r="Y319" s="132"/>
      <c r="Z319" s="132"/>
    </row>
    <row r="320" spans="1:26" ht="11.25" customHeight="1" x14ac:dyDescent="0.3">
      <c r="A320" s="132"/>
      <c r="B320" s="132"/>
      <c r="C320" s="132"/>
      <c r="D320" s="132"/>
      <c r="E320" s="132"/>
      <c r="F320" s="132"/>
      <c r="G320" s="132"/>
      <c r="H320" s="132"/>
      <c r="I320" s="132"/>
      <c r="J320" s="132"/>
      <c r="K320" s="132"/>
      <c r="L320" s="132"/>
      <c r="M320" s="132"/>
      <c r="N320" s="132"/>
      <c r="O320" s="132"/>
      <c r="P320" s="132"/>
      <c r="Q320" s="132"/>
      <c r="R320" s="132"/>
      <c r="S320" s="132"/>
      <c r="T320" s="132"/>
      <c r="U320" s="132"/>
      <c r="V320" s="132"/>
      <c r="W320" s="132"/>
      <c r="X320" s="132"/>
      <c r="Y320" s="132"/>
      <c r="Z320" s="132"/>
    </row>
    <row r="321" spans="1:26" ht="11.25" customHeight="1" x14ac:dyDescent="0.3">
      <c r="A321" s="132"/>
      <c r="B321" s="132"/>
      <c r="C321" s="132"/>
      <c r="D321" s="132"/>
      <c r="E321" s="132"/>
      <c r="F321" s="132"/>
      <c r="G321" s="132"/>
      <c r="H321" s="132"/>
      <c r="I321" s="132"/>
      <c r="J321" s="132"/>
      <c r="K321" s="132"/>
      <c r="L321" s="132"/>
      <c r="M321" s="132"/>
      <c r="N321" s="132"/>
      <c r="O321" s="132"/>
      <c r="P321" s="132"/>
      <c r="Q321" s="132"/>
      <c r="R321" s="132"/>
      <c r="S321" s="132"/>
      <c r="T321" s="132"/>
      <c r="U321" s="132"/>
      <c r="V321" s="132"/>
      <c r="W321" s="132"/>
      <c r="X321" s="132"/>
      <c r="Y321" s="132"/>
      <c r="Z321" s="132"/>
    </row>
    <row r="322" spans="1:26" ht="11.25" customHeight="1" x14ac:dyDescent="0.3">
      <c r="A322" s="132"/>
      <c r="B322" s="132"/>
      <c r="C322" s="132"/>
      <c r="D322" s="132"/>
      <c r="E322" s="132"/>
      <c r="F322" s="132"/>
      <c r="G322" s="132"/>
      <c r="H322" s="132"/>
      <c r="I322" s="132"/>
      <c r="J322" s="132"/>
      <c r="K322" s="132"/>
      <c r="L322" s="132"/>
      <c r="M322" s="132"/>
      <c r="N322" s="132"/>
      <c r="O322" s="132"/>
      <c r="P322" s="132"/>
      <c r="Q322" s="132"/>
      <c r="R322" s="132"/>
      <c r="S322" s="132"/>
      <c r="T322" s="132"/>
      <c r="U322" s="132"/>
      <c r="V322" s="132"/>
      <c r="W322" s="132"/>
      <c r="X322" s="132"/>
      <c r="Y322" s="132"/>
      <c r="Z322" s="132"/>
    </row>
    <row r="323" spans="1:26" ht="11.25" customHeight="1" x14ac:dyDescent="0.3">
      <c r="A323" s="132"/>
      <c r="B323" s="132"/>
      <c r="C323" s="132"/>
      <c r="D323" s="132"/>
      <c r="E323" s="132"/>
      <c r="F323" s="132"/>
      <c r="G323" s="132"/>
      <c r="H323" s="132"/>
      <c r="I323" s="132"/>
      <c r="J323" s="132"/>
      <c r="K323" s="132"/>
      <c r="L323" s="132"/>
      <c r="M323" s="132"/>
      <c r="N323" s="132"/>
      <c r="O323" s="132"/>
      <c r="P323" s="132"/>
      <c r="Q323" s="132"/>
      <c r="R323" s="132"/>
      <c r="S323" s="132"/>
      <c r="T323" s="132"/>
      <c r="U323" s="132"/>
      <c r="V323" s="132"/>
      <c r="W323" s="132"/>
      <c r="X323" s="132"/>
      <c r="Y323" s="132"/>
      <c r="Z323" s="132"/>
    </row>
    <row r="324" spans="1:26" ht="11.25" customHeight="1" x14ac:dyDescent="0.3">
      <c r="A324" s="132"/>
      <c r="B324" s="132"/>
      <c r="C324" s="132"/>
      <c r="D324" s="132"/>
      <c r="E324" s="132"/>
      <c r="F324" s="132"/>
      <c r="G324" s="132"/>
      <c r="H324" s="132"/>
      <c r="I324" s="132"/>
      <c r="J324" s="132"/>
      <c r="K324" s="132"/>
      <c r="L324" s="132"/>
      <c r="M324" s="132"/>
      <c r="N324" s="132"/>
      <c r="O324" s="132"/>
      <c r="P324" s="132"/>
      <c r="Q324" s="132"/>
      <c r="R324" s="132"/>
      <c r="S324" s="132"/>
      <c r="T324" s="132"/>
      <c r="U324" s="132"/>
      <c r="V324" s="132"/>
      <c r="W324" s="132"/>
      <c r="X324" s="132"/>
      <c r="Y324" s="132"/>
      <c r="Z324" s="132"/>
    </row>
    <row r="325" spans="1:26" ht="11.25" customHeight="1" x14ac:dyDescent="0.3">
      <c r="A325" s="132"/>
      <c r="B325" s="132"/>
      <c r="C325" s="132"/>
      <c r="D325" s="132"/>
      <c r="E325" s="132"/>
      <c r="F325" s="132"/>
      <c r="G325" s="132"/>
      <c r="H325" s="132"/>
      <c r="I325" s="132"/>
      <c r="J325" s="132"/>
      <c r="K325" s="132"/>
      <c r="L325" s="132"/>
      <c r="M325" s="132"/>
      <c r="N325" s="132"/>
      <c r="O325" s="132"/>
      <c r="P325" s="132"/>
      <c r="Q325" s="132"/>
      <c r="R325" s="132"/>
      <c r="S325" s="132"/>
      <c r="T325" s="132"/>
      <c r="U325" s="132"/>
      <c r="V325" s="132"/>
      <c r="W325" s="132"/>
      <c r="X325" s="132"/>
      <c r="Y325" s="132"/>
      <c r="Z325" s="132"/>
    </row>
    <row r="326" spans="1:26" ht="11.25" customHeight="1" x14ac:dyDescent="0.3">
      <c r="A326" s="132"/>
      <c r="B326" s="132"/>
      <c r="C326" s="132"/>
      <c r="D326" s="132"/>
      <c r="E326" s="132"/>
      <c r="F326" s="132"/>
      <c r="G326" s="132"/>
      <c r="H326" s="132"/>
      <c r="I326" s="132"/>
      <c r="J326" s="132"/>
      <c r="K326" s="132"/>
      <c r="L326" s="132"/>
      <c r="M326" s="132"/>
      <c r="N326" s="132"/>
      <c r="O326" s="132"/>
      <c r="P326" s="132"/>
      <c r="Q326" s="132"/>
      <c r="R326" s="132"/>
      <c r="S326" s="132"/>
      <c r="T326" s="132"/>
      <c r="U326" s="132"/>
      <c r="V326" s="132"/>
      <c r="W326" s="132"/>
      <c r="X326" s="132"/>
      <c r="Y326" s="132"/>
      <c r="Z326" s="132"/>
    </row>
    <row r="327" spans="1:26" ht="11.25" customHeight="1" x14ac:dyDescent="0.3">
      <c r="A327" s="132"/>
      <c r="B327" s="132"/>
      <c r="C327" s="132"/>
      <c r="D327" s="132"/>
      <c r="E327" s="132"/>
      <c r="F327" s="132"/>
      <c r="G327" s="132"/>
      <c r="H327" s="132"/>
      <c r="I327" s="132"/>
      <c r="J327" s="132"/>
      <c r="K327" s="132"/>
      <c r="L327" s="132"/>
      <c r="M327" s="132"/>
      <c r="N327" s="132"/>
      <c r="O327" s="132"/>
      <c r="P327" s="132"/>
      <c r="Q327" s="132"/>
      <c r="R327" s="132"/>
      <c r="S327" s="132"/>
      <c r="T327" s="132"/>
      <c r="U327" s="132"/>
      <c r="V327" s="132"/>
      <c r="W327" s="132"/>
      <c r="X327" s="132"/>
      <c r="Y327" s="132"/>
      <c r="Z327" s="132"/>
    </row>
    <row r="328" spans="1:26" ht="11.25" customHeight="1" x14ac:dyDescent="0.3">
      <c r="A328" s="132"/>
      <c r="B328" s="132"/>
      <c r="C328" s="132"/>
      <c r="D328" s="132"/>
      <c r="E328" s="132"/>
      <c r="F328" s="132"/>
      <c r="G328" s="132"/>
      <c r="H328" s="132"/>
      <c r="I328" s="132"/>
      <c r="J328" s="132"/>
      <c r="K328" s="132"/>
      <c r="L328" s="132"/>
      <c r="M328" s="132"/>
      <c r="N328" s="132"/>
      <c r="O328" s="132"/>
      <c r="P328" s="132"/>
      <c r="Q328" s="132"/>
      <c r="R328" s="132"/>
      <c r="S328" s="132"/>
      <c r="T328" s="132"/>
      <c r="U328" s="132"/>
      <c r="V328" s="132"/>
      <c r="W328" s="132"/>
      <c r="X328" s="132"/>
      <c r="Y328" s="132"/>
      <c r="Z328" s="132"/>
    </row>
    <row r="329" spans="1:26" ht="11.25" customHeight="1" x14ac:dyDescent="0.3">
      <c r="A329" s="132"/>
      <c r="B329" s="132"/>
      <c r="C329" s="132"/>
      <c r="D329" s="132"/>
      <c r="E329" s="132"/>
      <c r="F329" s="132"/>
      <c r="G329" s="132"/>
      <c r="H329" s="132"/>
      <c r="I329" s="132"/>
      <c r="J329" s="132"/>
      <c r="K329" s="132"/>
      <c r="L329" s="132"/>
      <c r="M329" s="132"/>
      <c r="N329" s="132"/>
      <c r="O329" s="132"/>
      <c r="P329" s="132"/>
      <c r="Q329" s="132"/>
      <c r="R329" s="132"/>
      <c r="S329" s="132"/>
      <c r="T329" s="132"/>
      <c r="U329" s="132"/>
      <c r="V329" s="132"/>
      <c r="W329" s="132"/>
      <c r="X329" s="132"/>
      <c r="Y329" s="132"/>
      <c r="Z329" s="132"/>
    </row>
    <row r="330" spans="1:26" ht="11.25" customHeight="1" x14ac:dyDescent="0.3">
      <c r="A330" s="132"/>
      <c r="B330" s="132"/>
      <c r="C330" s="132"/>
      <c r="D330" s="132"/>
      <c r="E330" s="132"/>
      <c r="F330" s="132"/>
      <c r="G330" s="132"/>
      <c r="H330" s="132"/>
      <c r="I330" s="132"/>
      <c r="J330" s="132"/>
      <c r="K330" s="132"/>
      <c r="L330" s="132"/>
      <c r="M330" s="132"/>
      <c r="N330" s="132"/>
      <c r="O330" s="132"/>
      <c r="P330" s="132"/>
      <c r="Q330" s="132"/>
      <c r="R330" s="132"/>
      <c r="S330" s="132"/>
      <c r="T330" s="132"/>
      <c r="U330" s="132"/>
      <c r="V330" s="132"/>
      <c r="W330" s="132"/>
      <c r="X330" s="132"/>
      <c r="Y330" s="132"/>
      <c r="Z330" s="132"/>
    </row>
    <row r="331" spans="1:26" ht="11.25" customHeight="1" x14ac:dyDescent="0.3">
      <c r="A331" s="132"/>
      <c r="B331" s="132"/>
      <c r="C331" s="132"/>
      <c r="D331" s="132"/>
      <c r="E331" s="132"/>
      <c r="F331" s="132"/>
      <c r="G331" s="132"/>
      <c r="H331" s="132"/>
      <c r="I331" s="132"/>
      <c r="J331" s="132"/>
      <c r="K331" s="132"/>
      <c r="L331" s="132"/>
      <c r="M331" s="132"/>
      <c r="N331" s="132"/>
      <c r="O331" s="132"/>
      <c r="P331" s="132"/>
      <c r="Q331" s="132"/>
      <c r="R331" s="132"/>
      <c r="S331" s="132"/>
      <c r="T331" s="132"/>
      <c r="U331" s="132"/>
      <c r="V331" s="132"/>
      <c r="W331" s="132"/>
      <c r="X331" s="132"/>
      <c r="Y331" s="132"/>
      <c r="Z331" s="132"/>
    </row>
    <row r="332" spans="1:26" ht="11.25" customHeight="1" x14ac:dyDescent="0.3">
      <c r="A332" s="132"/>
      <c r="B332" s="132"/>
      <c r="C332" s="132"/>
      <c r="D332" s="132"/>
      <c r="E332" s="132"/>
      <c r="F332" s="132"/>
      <c r="G332" s="132"/>
      <c r="H332" s="132"/>
      <c r="I332" s="132"/>
      <c r="J332" s="132"/>
      <c r="K332" s="132"/>
      <c r="L332" s="132"/>
      <c r="M332" s="132"/>
      <c r="N332" s="132"/>
      <c r="O332" s="132"/>
      <c r="P332" s="132"/>
      <c r="Q332" s="132"/>
      <c r="R332" s="132"/>
      <c r="S332" s="132"/>
      <c r="T332" s="132"/>
      <c r="U332" s="132"/>
      <c r="V332" s="132"/>
      <c r="W332" s="132"/>
      <c r="X332" s="132"/>
      <c r="Y332" s="132"/>
      <c r="Z332" s="132"/>
    </row>
    <row r="333" spans="1:26" ht="11.25" customHeight="1" x14ac:dyDescent="0.3">
      <c r="A333" s="132"/>
      <c r="B333" s="132"/>
      <c r="C333" s="132"/>
      <c r="D333" s="132"/>
      <c r="E333" s="132"/>
      <c r="F333" s="132"/>
      <c r="G333" s="132"/>
      <c r="H333" s="132"/>
      <c r="I333" s="132"/>
      <c r="J333" s="132"/>
      <c r="K333" s="132"/>
      <c r="L333" s="132"/>
      <c r="M333" s="132"/>
      <c r="N333" s="132"/>
      <c r="O333" s="132"/>
      <c r="P333" s="132"/>
      <c r="Q333" s="132"/>
      <c r="R333" s="132"/>
      <c r="S333" s="132"/>
      <c r="T333" s="132"/>
      <c r="U333" s="132"/>
      <c r="V333" s="132"/>
      <c r="W333" s="132"/>
      <c r="X333" s="132"/>
      <c r="Y333" s="132"/>
      <c r="Z333" s="132"/>
    </row>
    <row r="334" spans="1:26" ht="11.25" customHeight="1" x14ac:dyDescent="0.3">
      <c r="A334" s="132"/>
      <c r="B334" s="132"/>
      <c r="C334" s="132"/>
      <c r="D334" s="132"/>
      <c r="E334" s="132"/>
      <c r="F334" s="132"/>
      <c r="G334" s="132"/>
      <c r="H334" s="132"/>
      <c r="I334" s="132"/>
      <c r="J334" s="132"/>
      <c r="K334" s="132"/>
      <c r="L334" s="132"/>
      <c r="M334" s="132"/>
      <c r="N334" s="132"/>
      <c r="O334" s="132"/>
      <c r="P334" s="132"/>
      <c r="Q334" s="132"/>
      <c r="R334" s="132"/>
      <c r="S334" s="132"/>
      <c r="T334" s="132"/>
      <c r="U334" s="132"/>
      <c r="V334" s="132"/>
      <c r="W334" s="132"/>
      <c r="X334" s="132"/>
      <c r="Y334" s="132"/>
      <c r="Z334" s="132"/>
    </row>
    <row r="335" spans="1:26" ht="11.25" customHeight="1" x14ac:dyDescent="0.3">
      <c r="A335" s="132"/>
      <c r="B335" s="132"/>
      <c r="C335" s="132"/>
      <c r="D335" s="132"/>
      <c r="E335" s="132"/>
      <c r="F335" s="132"/>
      <c r="G335" s="132"/>
      <c r="H335" s="132"/>
      <c r="I335" s="132"/>
      <c r="J335" s="132"/>
      <c r="K335" s="132"/>
      <c r="L335" s="132"/>
      <c r="M335" s="132"/>
      <c r="N335" s="132"/>
      <c r="O335" s="132"/>
      <c r="P335" s="132"/>
      <c r="Q335" s="132"/>
      <c r="R335" s="132"/>
      <c r="S335" s="132"/>
      <c r="T335" s="132"/>
      <c r="U335" s="132"/>
      <c r="V335" s="132"/>
      <c r="W335" s="132"/>
      <c r="X335" s="132"/>
      <c r="Y335" s="132"/>
      <c r="Z335" s="132"/>
    </row>
    <row r="336" spans="1:26" ht="11.25" customHeight="1" x14ac:dyDescent="0.3">
      <c r="A336" s="132"/>
      <c r="B336" s="132"/>
      <c r="C336" s="132"/>
      <c r="D336" s="132"/>
      <c r="E336" s="132"/>
      <c r="F336" s="132"/>
      <c r="G336" s="132"/>
      <c r="H336" s="132"/>
      <c r="I336" s="132"/>
      <c r="J336" s="132"/>
      <c r="K336" s="132"/>
      <c r="L336" s="132"/>
      <c r="M336" s="132"/>
      <c r="N336" s="132"/>
      <c r="O336" s="132"/>
      <c r="P336" s="132"/>
      <c r="Q336" s="132"/>
      <c r="R336" s="132"/>
      <c r="S336" s="132"/>
      <c r="T336" s="132"/>
      <c r="U336" s="132"/>
      <c r="V336" s="132"/>
      <c r="W336" s="132"/>
      <c r="X336" s="132"/>
      <c r="Y336" s="132"/>
      <c r="Z336" s="132"/>
    </row>
    <row r="337" spans="1:26" ht="11.25" customHeight="1" x14ac:dyDescent="0.3">
      <c r="A337" s="132"/>
      <c r="B337" s="132"/>
      <c r="C337" s="132"/>
      <c r="D337" s="132"/>
      <c r="E337" s="132"/>
      <c r="F337" s="132"/>
      <c r="G337" s="132"/>
      <c r="H337" s="132"/>
      <c r="I337" s="132"/>
      <c r="J337" s="132"/>
      <c r="K337" s="132"/>
      <c r="L337" s="132"/>
      <c r="M337" s="132"/>
      <c r="N337" s="132"/>
      <c r="O337" s="132"/>
      <c r="P337" s="132"/>
      <c r="Q337" s="132"/>
      <c r="R337" s="132"/>
      <c r="S337" s="132"/>
      <c r="T337" s="132"/>
      <c r="U337" s="132"/>
      <c r="V337" s="132"/>
      <c r="W337" s="132"/>
      <c r="X337" s="132"/>
      <c r="Y337" s="132"/>
      <c r="Z337" s="132"/>
    </row>
    <row r="338" spans="1:26" ht="11.25" customHeight="1" x14ac:dyDescent="0.3">
      <c r="A338" s="132"/>
      <c r="B338" s="132"/>
      <c r="C338" s="132"/>
      <c r="D338" s="132"/>
      <c r="E338" s="132"/>
      <c r="F338" s="132"/>
      <c r="G338" s="132"/>
      <c r="H338" s="132"/>
      <c r="I338" s="132"/>
      <c r="J338" s="132"/>
      <c r="K338" s="132"/>
      <c r="L338" s="132"/>
      <c r="M338" s="132"/>
      <c r="N338" s="132"/>
      <c r="O338" s="132"/>
      <c r="P338" s="132"/>
      <c r="Q338" s="132"/>
      <c r="R338" s="132"/>
      <c r="S338" s="132"/>
      <c r="T338" s="132"/>
      <c r="U338" s="132"/>
      <c r="V338" s="132"/>
      <c r="W338" s="132"/>
      <c r="X338" s="132"/>
      <c r="Y338" s="132"/>
      <c r="Z338" s="132"/>
    </row>
    <row r="339" spans="1:26" ht="11.25" customHeight="1" x14ac:dyDescent="0.3">
      <c r="A339" s="132"/>
      <c r="B339" s="132"/>
      <c r="C339" s="132"/>
      <c r="D339" s="132"/>
      <c r="E339" s="132"/>
      <c r="F339" s="132"/>
      <c r="G339" s="132"/>
      <c r="H339" s="132"/>
      <c r="I339" s="132"/>
      <c r="J339" s="132"/>
      <c r="K339" s="132"/>
      <c r="L339" s="132"/>
      <c r="M339" s="132"/>
      <c r="N339" s="132"/>
      <c r="O339" s="132"/>
      <c r="P339" s="132"/>
      <c r="Q339" s="132"/>
      <c r="R339" s="132"/>
      <c r="S339" s="132"/>
      <c r="T339" s="132"/>
      <c r="U339" s="132"/>
      <c r="V339" s="132"/>
      <c r="W339" s="132"/>
      <c r="X339" s="132"/>
      <c r="Y339" s="132"/>
      <c r="Z339" s="132"/>
    </row>
    <row r="340" spans="1:26" ht="11.25" customHeight="1" x14ac:dyDescent="0.3">
      <c r="A340" s="132"/>
      <c r="B340" s="132"/>
      <c r="C340" s="132"/>
      <c r="D340" s="132"/>
      <c r="E340" s="132"/>
      <c r="F340" s="132"/>
      <c r="G340" s="132"/>
      <c r="H340" s="132"/>
      <c r="I340" s="132"/>
      <c r="J340" s="132"/>
      <c r="K340" s="132"/>
      <c r="L340" s="132"/>
      <c r="M340" s="132"/>
      <c r="N340" s="132"/>
      <c r="O340" s="132"/>
      <c r="P340" s="132"/>
      <c r="Q340" s="132"/>
      <c r="R340" s="132"/>
      <c r="S340" s="132"/>
      <c r="T340" s="132"/>
      <c r="U340" s="132"/>
      <c r="V340" s="132"/>
      <c r="W340" s="132"/>
      <c r="X340" s="132"/>
      <c r="Y340" s="132"/>
      <c r="Z340" s="132"/>
    </row>
    <row r="341" spans="1:26" ht="11.25" customHeight="1" x14ac:dyDescent="0.3">
      <c r="A341" s="132"/>
      <c r="B341" s="132"/>
      <c r="C341" s="132"/>
      <c r="D341" s="132"/>
      <c r="E341" s="132"/>
      <c r="F341" s="132"/>
      <c r="G341" s="132"/>
      <c r="H341" s="132"/>
      <c r="I341" s="132"/>
      <c r="J341" s="132"/>
      <c r="K341" s="132"/>
      <c r="L341" s="132"/>
      <c r="M341" s="132"/>
      <c r="N341" s="132"/>
      <c r="O341" s="132"/>
      <c r="P341" s="132"/>
      <c r="Q341" s="132"/>
      <c r="R341" s="132"/>
      <c r="S341" s="132"/>
      <c r="T341" s="132"/>
      <c r="U341" s="132"/>
      <c r="V341" s="132"/>
      <c r="W341" s="132"/>
      <c r="X341" s="132"/>
      <c r="Y341" s="132"/>
      <c r="Z341" s="132"/>
    </row>
    <row r="342" spans="1:26" ht="11.25" customHeight="1" x14ac:dyDescent="0.3">
      <c r="A342" s="132"/>
      <c r="B342" s="132"/>
      <c r="C342" s="132"/>
      <c r="D342" s="132"/>
      <c r="E342" s="132"/>
      <c r="F342" s="132"/>
      <c r="G342" s="132"/>
      <c r="H342" s="132"/>
      <c r="I342" s="132"/>
      <c r="J342" s="132"/>
      <c r="K342" s="132"/>
      <c r="L342" s="132"/>
      <c r="M342" s="132"/>
      <c r="N342" s="132"/>
      <c r="O342" s="132"/>
      <c r="P342" s="132"/>
      <c r="Q342" s="132"/>
      <c r="R342" s="132"/>
      <c r="S342" s="132"/>
      <c r="T342" s="132"/>
      <c r="U342" s="132"/>
      <c r="V342" s="132"/>
      <c r="W342" s="132"/>
      <c r="X342" s="132"/>
      <c r="Y342" s="132"/>
      <c r="Z342" s="132"/>
    </row>
    <row r="343" spans="1:26" ht="11.25" customHeight="1" x14ac:dyDescent="0.3">
      <c r="A343" s="132"/>
      <c r="B343" s="132"/>
      <c r="C343" s="132"/>
      <c r="D343" s="132"/>
      <c r="E343" s="132"/>
      <c r="F343" s="132"/>
      <c r="G343" s="132"/>
      <c r="H343" s="132"/>
      <c r="I343" s="132"/>
      <c r="J343" s="132"/>
      <c r="K343" s="132"/>
      <c r="L343" s="132"/>
      <c r="M343" s="132"/>
      <c r="N343" s="132"/>
      <c r="O343" s="132"/>
      <c r="P343" s="132"/>
      <c r="Q343" s="132"/>
      <c r="R343" s="132"/>
      <c r="S343" s="132"/>
      <c r="T343" s="132"/>
      <c r="U343" s="132"/>
      <c r="V343" s="132"/>
      <c r="W343" s="132"/>
      <c r="X343" s="132"/>
      <c r="Y343" s="132"/>
      <c r="Z343" s="132"/>
    </row>
    <row r="344" spans="1:26" ht="11.25" customHeight="1" x14ac:dyDescent="0.3">
      <c r="A344" s="132"/>
      <c r="B344" s="132"/>
      <c r="C344" s="132"/>
      <c r="D344" s="132"/>
      <c r="E344" s="132"/>
      <c r="F344" s="132"/>
      <c r="G344" s="132"/>
      <c r="H344" s="132"/>
      <c r="I344" s="132"/>
      <c r="J344" s="132"/>
      <c r="K344" s="132"/>
      <c r="L344" s="132"/>
      <c r="M344" s="132"/>
      <c r="N344" s="132"/>
      <c r="O344" s="132"/>
      <c r="P344" s="132"/>
      <c r="Q344" s="132"/>
      <c r="R344" s="132"/>
      <c r="S344" s="132"/>
      <c r="T344" s="132"/>
      <c r="U344" s="132"/>
      <c r="V344" s="132"/>
      <c r="W344" s="132"/>
      <c r="X344" s="132"/>
      <c r="Y344" s="132"/>
      <c r="Z344" s="132"/>
    </row>
    <row r="345" spans="1:26" ht="11.25" customHeight="1" x14ac:dyDescent="0.3">
      <c r="A345" s="132"/>
      <c r="B345" s="132"/>
      <c r="C345" s="132"/>
      <c r="D345" s="132"/>
      <c r="E345" s="132"/>
      <c r="F345" s="132"/>
      <c r="G345" s="132"/>
      <c r="H345" s="132"/>
      <c r="I345" s="132"/>
      <c r="J345" s="132"/>
      <c r="K345" s="132"/>
      <c r="L345" s="132"/>
      <c r="M345" s="132"/>
      <c r="N345" s="132"/>
      <c r="O345" s="132"/>
      <c r="P345" s="132"/>
      <c r="Q345" s="132"/>
      <c r="R345" s="132"/>
      <c r="S345" s="132"/>
      <c r="T345" s="132"/>
      <c r="U345" s="132"/>
      <c r="V345" s="132"/>
      <c r="W345" s="132"/>
      <c r="X345" s="132"/>
      <c r="Y345" s="132"/>
      <c r="Z345" s="132"/>
    </row>
    <row r="346" spans="1:26" ht="11.25" customHeight="1" x14ac:dyDescent="0.3">
      <c r="A346" s="132"/>
      <c r="B346" s="132"/>
      <c r="C346" s="132"/>
      <c r="D346" s="132"/>
      <c r="E346" s="132"/>
      <c r="F346" s="132"/>
      <c r="G346" s="132"/>
      <c r="H346" s="132"/>
      <c r="I346" s="132"/>
      <c r="J346" s="132"/>
      <c r="K346" s="132"/>
      <c r="L346" s="132"/>
      <c r="M346" s="132"/>
      <c r="N346" s="132"/>
      <c r="O346" s="132"/>
      <c r="P346" s="132"/>
      <c r="Q346" s="132"/>
      <c r="R346" s="132"/>
      <c r="S346" s="132"/>
      <c r="T346" s="132"/>
      <c r="U346" s="132"/>
      <c r="V346" s="132"/>
      <c r="W346" s="132"/>
      <c r="X346" s="132"/>
      <c r="Y346" s="132"/>
      <c r="Z346" s="132"/>
    </row>
    <row r="347" spans="1:26" ht="11.25" customHeight="1" x14ac:dyDescent="0.3">
      <c r="A347" s="132"/>
      <c r="B347" s="132"/>
      <c r="C347" s="132"/>
      <c r="D347" s="132"/>
      <c r="E347" s="132"/>
      <c r="F347" s="132"/>
      <c r="G347" s="132"/>
      <c r="H347" s="132"/>
      <c r="I347" s="132"/>
      <c r="J347" s="132"/>
      <c r="K347" s="132"/>
      <c r="L347" s="132"/>
      <c r="M347" s="132"/>
      <c r="N347" s="132"/>
      <c r="O347" s="132"/>
      <c r="P347" s="132"/>
      <c r="Q347" s="132"/>
      <c r="R347" s="132"/>
      <c r="S347" s="132"/>
      <c r="T347" s="132"/>
      <c r="U347" s="132"/>
      <c r="V347" s="132"/>
      <c r="W347" s="132"/>
      <c r="X347" s="132"/>
      <c r="Y347" s="132"/>
      <c r="Z347" s="132"/>
    </row>
    <row r="348" spans="1:26" ht="11.25" customHeight="1" x14ac:dyDescent="0.3">
      <c r="A348" s="132"/>
      <c r="B348" s="132"/>
      <c r="C348" s="132"/>
      <c r="D348" s="132"/>
      <c r="E348" s="132"/>
      <c r="F348" s="132"/>
      <c r="G348" s="132"/>
      <c r="H348" s="132"/>
      <c r="I348" s="132"/>
      <c r="J348" s="132"/>
      <c r="K348" s="132"/>
      <c r="L348" s="132"/>
      <c r="M348" s="132"/>
      <c r="N348" s="132"/>
      <c r="O348" s="132"/>
      <c r="P348" s="132"/>
      <c r="Q348" s="132"/>
      <c r="R348" s="132"/>
      <c r="S348" s="132"/>
      <c r="T348" s="132"/>
      <c r="U348" s="132"/>
      <c r="V348" s="132"/>
      <c r="W348" s="132"/>
      <c r="X348" s="132"/>
      <c r="Y348" s="132"/>
      <c r="Z348" s="132"/>
    </row>
    <row r="349" spans="1:26" ht="11.25" customHeight="1" x14ac:dyDescent="0.3">
      <c r="A349" s="132"/>
      <c r="B349" s="132"/>
      <c r="C349" s="132"/>
      <c r="D349" s="132"/>
      <c r="E349" s="132"/>
      <c r="F349" s="132"/>
      <c r="G349" s="132"/>
      <c r="H349" s="132"/>
      <c r="I349" s="132"/>
      <c r="J349" s="132"/>
      <c r="K349" s="132"/>
      <c r="L349" s="132"/>
      <c r="M349" s="132"/>
      <c r="N349" s="132"/>
      <c r="O349" s="132"/>
      <c r="P349" s="132"/>
      <c r="Q349" s="132"/>
      <c r="R349" s="132"/>
      <c r="S349" s="132"/>
      <c r="T349" s="132"/>
      <c r="U349" s="132"/>
      <c r="V349" s="132"/>
      <c r="W349" s="132"/>
      <c r="X349" s="132"/>
      <c r="Y349" s="132"/>
      <c r="Z349" s="132"/>
    </row>
    <row r="350" spans="1:26" ht="11.25" customHeight="1" x14ac:dyDescent="0.3">
      <c r="A350" s="132"/>
      <c r="B350" s="132"/>
      <c r="C350" s="132"/>
      <c r="D350" s="132"/>
      <c r="E350" s="132"/>
      <c r="F350" s="132"/>
      <c r="G350" s="132"/>
      <c r="H350" s="132"/>
      <c r="I350" s="132"/>
      <c r="J350" s="132"/>
      <c r="K350" s="132"/>
      <c r="L350" s="132"/>
      <c r="M350" s="132"/>
      <c r="N350" s="132"/>
      <c r="O350" s="132"/>
      <c r="P350" s="132"/>
      <c r="Q350" s="132"/>
      <c r="R350" s="132"/>
      <c r="S350" s="132"/>
      <c r="T350" s="132"/>
      <c r="U350" s="132"/>
      <c r="V350" s="132"/>
      <c r="W350" s="132"/>
      <c r="X350" s="132"/>
      <c r="Y350" s="132"/>
      <c r="Z350" s="132"/>
    </row>
    <row r="351" spans="1:26" ht="11.25" customHeight="1" x14ac:dyDescent="0.3">
      <c r="A351" s="132"/>
      <c r="B351" s="132"/>
      <c r="C351" s="132"/>
      <c r="D351" s="132"/>
      <c r="E351" s="132"/>
      <c r="F351" s="132"/>
      <c r="G351" s="132"/>
      <c r="H351" s="132"/>
      <c r="I351" s="132"/>
      <c r="J351" s="132"/>
      <c r="K351" s="132"/>
      <c r="L351" s="132"/>
      <c r="M351" s="132"/>
      <c r="N351" s="132"/>
      <c r="O351" s="132"/>
      <c r="P351" s="132"/>
      <c r="Q351" s="132"/>
      <c r="R351" s="132"/>
      <c r="S351" s="132"/>
      <c r="T351" s="132"/>
      <c r="U351" s="132"/>
      <c r="V351" s="132"/>
      <c r="W351" s="132"/>
      <c r="X351" s="132"/>
      <c r="Y351" s="132"/>
      <c r="Z351" s="132"/>
    </row>
    <row r="352" spans="1:26" ht="11.25" customHeight="1" x14ac:dyDescent="0.3">
      <c r="A352" s="132"/>
      <c r="B352" s="132"/>
      <c r="C352" s="132"/>
      <c r="D352" s="132"/>
      <c r="E352" s="132"/>
      <c r="F352" s="132"/>
      <c r="G352" s="132"/>
      <c r="H352" s="132"/>
      <c r="I352" s="132"/>
      <c r="J352" s="132"/>
      <c r="K352" s="132"/>
      <c r="L352" s="132"/>
      <c r="M352" s="132"/>
      <c r="N352" s="132"/>
      <c r="O352" s="132"/>
      <c r="P352" s="132"/>
      <c r="Q352" s="132"/>
      <c r="R352" s="132"/>
      <c r="S352" s="132"/>
      <c r="T352" s="132"/>
      <c r="U352" s="132"/>
      <c r="V352" s="132"/>
      <c r="W352" s="132"/>
      <c r="X352" s="132"/>
      <c r="Y352" s="132"/>
      <c r="Z352" s="132"/>
    </row>
    <row r="353" spans="1:26" ht="11.25" customHeight="1" x14ac:dyDescent="0.3">
      <c r="A353" s="132"/>
      <c r="B353" s="132"/>
      <c r="C353" s="132"/>
      <c r="D353" s="132"/>
      <c r="E353" s="132"/>
      <c r="F353" s="132"/>
      <c r="G353" s="132"/>
      <c r="H353" s="132"/>
      <c r="I353" s="132"/>
      <c r="J353" s="132"/>
      <c r="K353" s="132"/>
      <c r="L353" s="132"/>
      <c r="M353" s="132"/>
      <c r="N353" s="132"/>
      <c r="O353" s="132"/>
      <c r="P353" s="132"/>
      <c r="Q353" s="132"/>
      <c r="R353" s="132"/>
      <c r="S353" s="132"/>
      <c r="T353" s="132"/>
      <c r="U353" s="132"/>
      <c r="V353" s="132"/>
      <c r="W353" s="132"/>
      <c r="X353" s="132"/>
      <c r="Y353" s="132"/>
      <c r="Z353" s="132"/>
    </row>
    <row r="354" spans="1:26" ht="11.25" customHeight="1" x14ac:dyDescent="0.3">
      <c r="A354" s="132"/>
      <c r="B354" s="132"/>
      <c r="C354" s="132"/>
      <c r="D354" s="132"/>
      <c r="E354" s="132"/>
      <c r="F354" s="132"/>
      <c r="G354" s="132"/>
      <c r="H354" s="132"/>
      <c r="I354" s="132"/>
      <c r="J354" s="132"/>
      <c r="K354" s="132"/>
      <c r="L354" s="132"/>
      <c r="M354" s="132"/>
      <c r="N354" s="132"/>
      <c r="O354" s="132"/>
      <c r="P354" s="132"/>
      <c r="Q354" s="132"/>
      <c r="R354" s="132"/>
      <c r="S354" s="132"/>
      <c r="T354" s="132"/>
      <c r="U354" s="132"/>
      <c r="V354" s="132"/>
      <c r="W354" s="132"/>
      <c r="X354" s="132"/>
      <c r="Y354" s="132"/>
      <c r="Z354" s="132"/>
    </row>
    <row r="355" spans="1:26" ht="11.25" customHeight="1" x14ac:dyDescent="0.3">
      <c r="A355" s="132"/>
      <c r="B355" s="132"/>
      <c r="C355" s="132"/>
      <c r="D355" s="132"/>
      <c r="E355" s="132"/>
      <c r="F355" s="132"/>
      <c r="G355" s="132"/>
      <c r="H355" s="132"/>
      <c r="I355" s="132"/>
      <c r="J355" s="132"/>
      <c r="K355" s="132"/>
      <c r="L355" s="132"/>
      <c r="M355" s="132"/>
      <c r="N355" s="132"/>
      <c r="O355" s="132"/>
      <c r="P355" s="132"/>
      <c r="Q355" s="132"/>
      <c r="R355" s="132"/>
      <c r="S355" s="132"/>
      <c r="T355" s="132"/>
      <c r="U355" s="132"/>
      <c r="V355" s="132"/>
      <c r="W355" s="132"/>
      <c r="X355" s="132"/>
      <c r="Y355" s="132"/>
      <c r="Z355" s="132"/>
    </row>
    <row r="356" spans="1:26" ht="11.25" customHeight="1" x14ac:dyDescent="0.3">
      <c r="A356" s="132"/>
      <c r="B356" s="132"/>
      <c r="C356" s="132"/>
      <c r="D356" s="132"/>
      <c r="E356" s="132"/>
      <c r="F356" s="132"/>
      <c r="G356" s="132"/>
      <c r="H356" s="132"/>
      <c r="I356" s="132"/>
      <c r="J356" s="132"/>
      <c r="K356" s="132"/>
      <c r="L356" s="132"/>
      <c r="M356" s="132"/>
      <c r="N356" s="132"/>
      <c r="O356" s="132"/>
      <c r="P356" s="132"/>
      <c r="Q356" s="132"/>
      <c r="R356" s="132"/>
      <c r="S356" s="132"/>
      <c r="T356" s="132"/>
      <c r="U356" s="132"/>
      <c r="V356" s="132"/>
      <c r="W356" s="132"/>
      <c r="X356" s="132"/>
      <c r="Y356" s="132"/>
      <c r="Z356" s="132"/>
    </row>
    <row r="357" spans="1:26" ht="11.25" customHeight="1" x14ac:dyDescent="0.3">
      <c r="A357" s="132"/>
      <c r="B357" s="132"/>
      <c r="C357" s="132"/>
      <c r="D357" s="132"/>
      <c r="E357" s="132"/>
      <c r="F357" s="132"/>
      <c r="G357" s="132"/>
      <c r="H357" s="132"/>
      <c r="I357" s="132"/>
      <c r="J357" s="132"/>
      <c r="K357" s="132"/>
      <c r="L357" s="132"/>
      <c r="M357" s="132"/>
      <c r="N357" s="132"/>
      <c r="O357" s="132"/>
      <c r="P357" s="132"/>
      <c r="Q357" s="132"/>
      <c r="R357" s="132"/>
      <c r="S357" s="132"/>
      <c r="T357" s="132"/>
      <c r="U357" s="132"/>
      <c r="V357" s="132"/>
      <c r="W357" s="132"/>
      <c r="X357" s="132"/>
      <c r="Y357" s="132"/>
      <c r="Z357" s="132"/>
    </row>
    <row r="358" spans="1:26" ht="11.25" customHeight="1" x14ac:dyDescent="0.3">
      <c r="A358" s="132"/>
      <c r="B358" s="132"/>
      <c r="C358" s="132"/>
      <c r="D358" s="132"/>
      <c r="E358" s="132"/>
      <c r="F358" s="132"/>
      <c r="G358" s="132"/>
      <c r="H358" s="132"/>
      <c r="I358" s="132"/>
      <c r="J358" s="132"/>
      <c r="K358" s="132"/>
      <c r="L358" s="132"/>
      <c r="M358" s="132"/>
      <c r="N358" s="132"/>
      <c r="O358" s="132"/>
      <c r="P358" s="132"/>
      <c r="Q358" s="132"/>
      <c r="R358" s="132"/>
      <c r="S358" s="132"/>
      <c r="T358" s="132"/>
      <c r="U358" s="132"/>
      <c r="V358" s="132"/>
      <c r="W358" s="132"/>
      <c r="X358" s="132"/>
      <c r="Y358" s="132"/>
      <c r="Z358" s="132"/>
    </row>
    <row r="359" spans="1:26" ht="11.25" customHeight="1" x14ac:dyDescent="0.3">
      <c r="A359" s="132"/>
      <c r="B359" s="132"/>
      <c r="C359" s="132"/>
      <c r="D359" s="132"/>
      <c r="E359" s="132"/>
      <c r="F359" s="132"/>
      <c r="G359" s="132"/>
      <c r="H359" s="132"/>
      <c r="I359" s="132"/>
      <c r="J359" s="132"/>
      <c r="K359" s="132"/>
      <c r="L359" s="132"/>
      <c r="M359" s="132"/>
      <c r="N359" s="132"/>
      <c r="O359" s="132"/>
      <c r="P359" s="132"/>
      <c r="Q359" s="132"/>
      <c r="R359" s="132"/>
      <c r="S359" s="132"/>
      <c r="T359" s="132"/>
      <c r="U359" s="132"/>
      <c r="V359" s="132"/>
      <c r="W359" s="132"/>
      <c r="X359" s="132"/>
      <c r="Y359" s="132"/>
      <c r="Z359" s="132"/>
    </row>
    <row r="360" spans="1:26" ht="11.25" customHeight="1" x14ac:dyDescent="0.3">
      <c r="A360" s="132"/>
      <c r="B360" s="132"/>
      <c r="C360" s="132"/>
      <c r="D360" s="132"/>
      <c r="E360" s="132"/>
      <c r="F360" s="132"/>
      <c r="G360" s="132"/>
      <c r="H360" s="132"/>
      <c r="I360" s="132"/>
      <c r="J360" s="132"/>
      <c r="K360" s="132"/>
      <c r="L360" s="132"/>
      <c r="M360" s="132"/>
      <c r="N360" s="132"/>
      <c r="O360" s="132"/>
      <c r="P360" s="132"/>
      <c r="Q360" s="132"/>
      <c r="R360" s="132"/>
      <c r="S360" s="132"/>
      <c r="T360" s="132"/>
      <c r="U360" s="132"/>
      <c r="V360" s="132"/>
      <c r="W360" s="132"/>
      <c r="X360" s="132"/>
      <c r="Y360" s="132"/>
      <c r="Z360" s="132"/>
    </row>
    <row r="361" spans="1:26" ht="11.25" customHeight="1" x14ac:dyDescent="0.3">
      <c r="A361" s="132"/>
      <c r="B361" s="132"/>
      <c r="C361" s="132"/>
      <c r="D361" s="132"/>
      <c r="E361" s="132"/>
      <c r="F361" s="132"/>
      <c r="G361" s="132"/>
      <c r="H361" s="132"/>
      <c r="I361" s="132"/>
      <c r="J361" s="132"/>
      <c r="K361" s="132"/>
      <c r="L361" s="132"/>
      <c r="M361" s="132"/>
      <c r="N361" s="132"/>
      <c r="O361" s="132"/>
      <c r="P361" s="132"/>
      <c r="Q361" s="132"/>
      <c r="R361" s="132"/>
      <c r="S361" s="132"/>
      <c r="T361" s="132"/>
      <c r="U361" s="132"/>
      <c r="V361" s="132"/>
      <c r="W361" s="132"/>
      <c r="X361" s="132"/>
      <c r="Y361" s="132"/>
      <c r="Z361" s="132"/>
    </row>
    <row r="362" spans="1:26" ht="11.25" customHeight="1" x14ac:dyDescent="0.3">
      <c r="A362" s="132"/>
      <c r="B362" s="132"/>
      <c r="C362" s="132"/>
      <c r="D362" s="132"/>
      <c r="E362" s="132"/>
      <c r="F362" s="132"/>
      <c r="G362" s="132"/>
      <c r="H362" s="132"/>
      <c r="I362" s="132"/>
      <c r="J362" s="132"/>
      <c r="K362" s="132"/>
      <c r="L362" s="132"/>
      <c r="M362" s="132"/>
      <c r="N362" s="132"/>
      <c r="O362" s="132"/>
      <c r="P362" s="132"/>
      <c r="Q362" s="132"/>
      <c r="R362" s="132"/>
      <c r="S362" s="132"/>
      <c r="T362" s="132"/>
      <c r="U362" s="132"/>
      <c r="V362" s="132"/>
      <c r="W362" s="132"/>
      <c r="X362" s="132"/>
      <c r="Y362" s="132"/>
      <c r="Z362" s="132"/>
    </row>
    <row r="363" spans="1:26" ht="11.25" customHeight="1" x14ac:dyDescent="0.3">
      <c r="A363" s="132"/>
      <c r="B363" s="132"/>
      <c r="C363" s="132"/>
      <c r="D363" s="132"/>
      <c r="E363" s="132"/>
      <c r="F363" s="132"/>
      <c r="G363" s="132"/>
      <c r="H363" s="132"/>
      <c r="I363" s="132"/>
      <c r="J363" s="132"/>
      <c r="K363" s="132"/>
      <c r="L363" s="132"/>
      <c r="M363" s="132"/>
      <c r="N363" s="132"/>
      <c r="O363" s="132"/>
      <c r="P363" s="132"/>
      <c r="Q363" s="132"/>
      <c r="R363" s="132"/>
      <c r="S363" s="132"/>
      <c r="T363" s="132"/>
      <c r="U363" s="132"/>
      <c r="V363" s="132"/>
      <c r="W363" s="132"/>
      <c r="X363" s="132"/>
      <c r="Y363" s="132"/>
      <c r="Z363" s="132"/>
    </row>
    <row r="364" spans="1:26" ht="11.25" customHeight="1" x14ac:dyDescent="0.3">
      <c r="A364" s="132"/>
      <c r="B364" s="132"/>
      <c r="C364" s="132"/>
      <c r="D364" s="132"/>
      <c r="E364" s="132"/>
      <c r="F364" s="132"/>
      <c r="G364" s="132"/>
      <c r="H364" s="132"/>
      <c r="I364" s="132"/>
      <c r="J364" s="132"/>
      <c r="K364" s="132"/>
      <c r="L364" s="132"/>
      <c r="M364" s="132"/>
      <c r="N364" s="132"/>
      <c r="O364" s="132"/>
      <c r="P364" s="132"/>
      <c r="Q364" s="132"/>
      <c r="R364" s="132"/>
      <c r="S364" s="132"/>
      <c r="T364" s="132"/>
      <c r="U364" s="132"/>
      <c r="V364" s="132"/>
      <c r="W364" s="132"/>
      <c r="X364" s="132"/>
      <c r="Y364" s="132"/>
      <c r="Z364" s="132"/>
    </row>
    <row r="365" spans="1:26" ht="11.25" customHeight="1" x14ac:dyDescent="0.3">
      <c r="A365" s="132"/>
      <c r="B365" s="132"/>
      <c r="C365" s="132"/>
      <c r="D365" s="132"/>
      <c r="E365" s="132"/>
      <c r="F365" s="132"/>
      <c r="G365" s="132"/>
      <c r="H365" s="132"/>
      <c r="I365" s="132"/>
      <c r="J365" s="132"/>
      <c r="K365" s="132"/>
      <c r="L365" s="132"/>
      <c r="M365" s="132"/>
      <c r="N365" s="132"/>
      <c r="O365" s="132"/>
      <c r="P365" s="132"/>
      <c r="Q365" s="132"/>
      <c r="R365" s="132"/>
      <c r="S365" s="132"/>
      <c r="T365" s="132"/>
      <c r="U365" s="132"/>
      <c r="V365" s="132"/>
      <c r="W365" s="132"/>
      <c r="X365" s="132"/>
      <c r="Y365" s="132"/>
      <c r="Z365" s="132"/>
    </row>
    <row r="366" spans="1:26" ht="11.25" customHeight="1" x14ac:dyDescent="0.3">
      <c r="A366" s="132"/>
      <c r="B366" s="132"/>
      <c r="C366" s="132"/>
      <c r="D366" s="132"/>
      <c r="E366" s="132"/>
      <c r="F366" s="132"/>
      <c r="G366" s="132"/>
      <c r="H366" s="132"/>
      <c r="I366" s="132"/>
      <c r="J366" s="132"/>
      <c r="K366" s="132"/>
      <c r="L366" s="132"/>
      <c r="M366" s="132"/>
      <c r="N366" s="132"/>
      <c r="O366" s="132"/>
      <c r="P366" s="132"/>
      <c r="Q366" s="132"/>
      <c r="R366" s="132"/>
      <c r="S366" s="132"/>
      <c r="T366" s="132"/>
      <c r="U366" s="132"/>
      <c r="V366" s="132"/>
      <c r="W366" s="132"/>
      <c r="X366" s="132"/>
      <c r="Y366" s="132"/>
      <c r="Z366" s="132"/>
    </row>
    <row r="367" spans="1:26" ht="11.25" customHeight="1" x14ac:dyDescent="0.3">
      <c r="A367" s="132"/>
      <c r="B367" s="132"/>
      <c r="C367" s="132"/>
      <c r="D367" s="132"/>
      <c r="E367" s="132"/>
      <c r="F367" s="132"/>
      <c r="G367" s="132"/>
      <c r="H367" s="132"/>
      <c r="I367" s="132"/>
      <c r="J367" s="132"/>
      <c r="K367" s="132"/>
      <c r="L367" s="132"/>
      <c r="M367" s="132"/>
      <c r="N367" s="132"/>
      <c r="O367" s="132"/>
      <c r="P367" s="132"/>
      <c r="Q367" s="132"/>
      <c r="R367" s="132"/>
      <c r="S367" s="132"/>
      <c r="T367" s="132"/>
      <c r="U367" s="132"/>
      <c r="V367" s="132"/>
      <c r="W367" s="132"/>
      <c r="X367" s="132"/>
      <c r="Y367" s="132"/>
      <c r="Z367" s="132"/>
    </row>
    <row r="368" spans="1:26" ht="11.25" customHeight="1" x14ac:dyDescent="0.3">
      <c r="A368" s="132"/>
      <c r="B368" s="132"/>
      <c r="C368" s="132"/>
      <c r="D368" s="132"/>
      <c r="E368" s="132"/>
      <c r="F368" s="132"/>
      <c r="G368" s="132"/>
      <c r="H368" s="132"/>
      <c r="I368" s="132"/>
      <c r="J368" s="132"/>
      <c r="K368" s="132"/>
      <c r="L368" s="132"/>
      <c r="M368" s="132"/>
      <c r="N368" s="132"/>
      <c r="O368" s="132"/>
      <c r="P368" s="132"/>
      <c r="Q368" s="132"/>
      <c r="R368" s="132"/>
      <c r="S368" s="132"/>
      <c r="T368" s="132"/>
      <c r="U368" s="132"/>
      <c r="V368" s="132"/>
      <c r="W368" s="132"/>
      <c r="X368" s="132"/>
      <c r="Y368" s="132"/>
      <c r="Z368" s="132"/>
    </row>
    <row r="369" spans="1:26" ht="11.25" customHeight="1" x14ac:dyDescent="0.3">
      <c r="A369" s="132"/>
      <c r="B369" s="132"/>
      <c r="C369" s="132"/>
      <c r="D369" s="132"/>
      <c r="E369" s="132"/>
      <c r="F369" s="132"/>
      <c r="G369" s="132"/>
      <c r="H369" s="132"/>
      <c r="I369" s="132"/>
      <c r="J369" s="132"/>
      <c r="K369" s="132"/>
      <c r="L369" s="132"/>
      <c r="M369" s="132"/>
      <c r="N369" s="132"/>
      <c r="O369" s="132"/>
      <c r="P369" s="132"/>
      <c r="Q369" s="132"/>
      <c r="R369" s="132"/>
      <c r="S369" s="132"/>
      <c r="T369" s="132"/>
      <c r="U369" s="132"/>
      <c r="V369" s="132"/>
      <c r="W369" s="132"/>
      <c r="X369" s="132"/>
      <c r="Y369" s="132"/>
      <c r="Z369" s="132"/>
    </row>
    <row r="370" spans="1:26" ht="11.25" customHeight="1" x14ac:dyDescent="0.3">
      <c r="A370" s="132"/>
      <c r="B370" s="132"/>
      <c r="C370" s="132"/>
      <c r="D370" s="132"/>
      <c r="E370" s="132"/>
      <c r="F370" s="132"/>
      <c r="G370" s="132"/>
      <c r="H370" s="132"/>
      <c r="I370" s="132"/>
      <c r="J370" s="132"/>
      <c r="K370" s="132"/>
      <c r="L370" s="132"/>
      <c r="M370" s="132"/>
      <c r="N370" s="132"/>
      <c r="O370" s="132"/>
      <c r="P370" s="132"/>
      <c r="Q370" s="132"/>
      <c r="R370" s="132"/>
      <c r="S370" s="132"/>
      <c r="T370" s="132"/>
      <c r="U370" s="132"/>
      <c r="V370" s="132"/>
      <c r="W370" s="132"/>
      <c r="X370" s="132"/>
      <c r="Y370" s="132"/>
      <c r="Z370" s="132"/>
    </row>
    <row r="371" spans="1:26" ht="11.25" customHeight="1" x14ac:dyDescent="0.3">
      <c r="A371" s="132"/>
      <c r="B371" s="132"/>
      <c r="C371" s="132"/>
      <c r="D371" s="132"/>
      <c r="E371" s="132"/>
      <c r="F371" s="132"/>
      <c r="G371" s="132"/>
      <c r="H371" s="132"/>
      <c r="I371" s="132"/>
      <c r="J371" s="132"/>
      <c r="K371" s="132"/>
      <c r="L371" s="132"/>
      <c r="M371" s="132"/>
      <c r="N371" s="132"/>
      <c r="O371" s="132"/>
      <c r="P371" s="132"/>
      <c r="Q371" s="132"/>
      <c r="R371" s="132"/>
      <c r="S371" s="132"/>
      <c r="T371" s="132"/>
      <c r="U371" s="132"/>
      <c r="V371" s="132"/>
      <c r="W371" s="132"/>
      <c r="X371" s="132"/>
      <c r="Y371" s="132"/>
      <c r="Z371" s="132"/>
    </row>
    <row r="372" spans="1:26" ht="11.25" customHeight="1" x14ac:dyDescent="0.3">
      <c r="A372" s="132"/>
      <c r="B372" s="132"/>
      <c r="C372" s="132"/>
      <c r="D372" s="132"/>
      <c r="E372" s="132"/>
      <c r="F372" s="132"/>
      <c r="G372" s="132"/>
      <c r="H372" s="132"/>
      <c r="I372" s="132"/>
      <c r="J372" s="132"/>
      <c r="K372" s="132"/>
      <c r="L372" s="132"/>
      <c r="M372" s="132"/>
      <c r="N372" s="132"/>
      <c r="O372" s="132"/>
      <c r="P372" s="132"/>
      <c r="Q372" s="132"/>
      <c r="R372" s="132"/>
      <c r="S372" s="132"/>
      <c r="T372" s="132"/>
      <c r="U372" s="132"/>
      <c r="V372" s="132"/>
      <c r="W372" s="132"/>
      <c r="X372" s="132"/>
      <c r="Y372" s="132"/>
      <c r="Z372" s="132"/>
    </row>
    <row r="373" spans="1:26" ht="11.25" customHeight="1" x14ac:dyDescent="0.3">
      <c r="A373" s="132"/>
      <c r="B373" s="132"/>
      <c r="C373" s="132"/>
      <c r="D373" s="132"/>
      <c r="E373" s="132"/>
      <c r="F373" s="132"/>
      <c r="G373" s="132"/>
      <c r="H373" s="132"/>
      <c r="I373" s="132"/>
      <c r="J373" s="132"/>
      <c r="K373" s="132"/>
      <c r="L373" s="132"/>
      <c r="M373" s="132"/>
      <c r="N373" s="132"/>
      <c r="O373" s="132"/>
      <c r="P373" s="132"/>
      <c r="Q373" s="132"/>
      <c r="R373" s="132"/>
      <c r="S373" s="132"/>
      <c r="T373" s="132"/>
      <c r="U373" s="132"/>
      <c r="V373" s="132"/>
      <c r="W373" s="132"/>
      <c r="X373" s="132"/>
      <c r="Y373" s="132"/>
      <c r="Z373" s="132"/>
    </row>
    <row r="374" spans="1:26" ht="11.25" customHeight="1" x14ac:dyDescent="0.3">
      <c r="A374" s="132"/>
      <c r="B374" s="132"/>
      <c r="C374" s="132"/>
      <c r="D374" s="132"/>
      <c r="E374" s="132"/>
      <c r="F374" s="132"/>
      <c r="G374" s="132"/>
      <c r="H374" s="132"/>
      <c r="I374" s="132"/>
      <c r="J374" s="132"/>
      <c r="K374" s="132"/>
      <c r="L374" s="132"/>
      <c r="M374" s="132"/>
      <c r="N374" s="132"/>
      <c r="O374" s="132"/>
      <c r="P374" s="132"/>
      <c r="Q374" s="132"/>
      <c r="R374" s="132"/>
      <c r="S374" s="132"/>
      <c r="T374" s="132"/>
      <c r="U374" s="132"/>
      <c r="V374" s="132"/>
      <c r="W374" s="132"/>
      <c r="X374" s="132"/>
      <c r="Y374" s="132"/>
      <c r="Z374" s="132"/>
    </row>
    <row r="375" spans="1:26" ht="11.25" customHeight="1" x14ac:dyDescent="0.3">
      <c r="A375" s="132"/>
      <c r="B375" s="132"/>
      <c r="C375" s="132"/>
      <c r="D375" s="132"/>
      <c r="E375" s="132"/>
      <c r="F375" s="132"/>
      <c r="G375" s="132"/>
      <c r="H375" s="132"/>
      <c r="I375" s="132"/>
      <c r="J375" s="132"/>
      <c r="K375" s="132"/>
      <c r="L375" s="132"/>
      <c r="M375" s="132"/>
      <c r="N375" s="132"/>
      <c r="O375" s="132"/>
      <c r="P375" s="132"/>
      <c r="Q375" s="132"/>
      <c r="R375" s="132"/>
      <c r="S375" s="132"/>
      <c r="T375" s="132"/>
      <c r="U375" s="132"/>
      <c r="V375" s="132"/>
      <c r="W375" s="132"/>
      <c r="X375" s="132"/>
      <c r="Y375" s="132"/>
      <c r="Z375" s="132"/>
    </row>
    <row r="376" spans="1:26" ht="11.25" customHeight="1" x14ac:dyDescent="0.3">
      <c r="A376" s="132"/>
      <c r="B376" s="132"/>
      <c r="C376" s="132"/>
      <c r="D376" s="132"/>
      <c r="E376" s="132"/>
      <c r="F376" s="132"/>
      <c r="G376" s="132"/>
      <c r="H376" s="132"/>
      <c r="I376" s="132"/>
      <c r="J376" s="132"/>
      <c r="K376" s="132"/>
      <c r="L376" s="132"/>
      <c r="M376" s="132"/>
      <c r="N376" s="132"/>
      <c r="O376" s="132"/>
      <c r="P376" s="132"/>
      <c r="Q376" s="132"/>
      <c r="R376" s="132"/>
      <c r="S376" s="132"/>
      <c r="T376" s="132"/>
      <c r="U376" s="132"/>
      <c r="V376" s="132"/>
      <c r="W376" s="132"/>
      <c r="X376" s="132"/>
      <c r="Y376" s="132"/>
      <c r="Z376" s="132"/>
    </row>
    <row r="377" spans="1:26" ht="11.25" customHeight="1" x14ac:dyDescent="0.3">
      <c r="A377" s="132"/>
      <c r="B377" s="132"/>
      <c r="C377" s="132"/>
      <c r="D377" s="132"/>
      <c r="E377" s="132"/>
      <c r="F377" s="132"/>
      <c r="G377" s="132"/>
      <c r="H377" s="132"/>
      <c r="I377" s="132"/>
      <c r="J377" s="132"/>
      <c r="K377" s="132"/>
      <c r="L377" s="132"/>
      <c r="M377" s="132"/>
      <c r="N377" s="132"/>
      <c r="O377" s="132"/>
      <c r="P377" s="132"/>
      <c r="Q377" s="132"/>
      <c r="R377" s="132"/>
      <c r="S377" s="132"/>
      <c r="T377" s="132"/>
      <c r="U377" s="132"/>
      <c r="V377" s="132"/>
      <c r="W377" s="132"/>
      <c r="X377" s="132"/>
      <c r="Y377" s="132"/>
      <c r="Z377" s="132"/>
    </row>
    <row r="378" spans="1:26" ht="11.25" customHeight="1" x14ac:dyDescent="0.3">
      <c r="A378" s="132"/>
      <c r="B378" s="132"/>
      <c r="C378" s="132"/>
      <c r="D378" s="132"/>
      <c r="E378" s="132"/>
      <c r="F378" s="132"/>
      <c r="G378" s="132"/>
      <c r="H378" s="132"/>
      <c r="I378" s="132"/>
      <c r="J378" s="132"/>
      <c r="K378" s="132"/>
      <c r="L378" s="132"/>
      <c r="M378" s="132"/>
      <c r="N378" s="132"/>
      <c r="O378" s="132"/>
      <c r="P378" s="132"/>
      <c r="Q378" s="132"/>
      <c r="R378" s="132"/>
      <c r="S378" s="132"/>
      <c r="T378" s="132"/>
      <c r="U378" s="132"/>
      <c r="V378" s="132"/>
      <c r="W378" s="132"/>
      <c r="X378" s="132"/>
      <c r="Y378" s="132"/>
      <c r="Z378" s="132"/>
    </row>
    <row r="379" spans="1:26" ht="11.25" customHeight="1" x14ac:dyDescent="0.3">
      <c r="A379" s="132"/>
      <c r="B379" s="132"/>
      <c r="C379" s="132"/>
      <c r="D379" s="132"/>
      <c r="E379" s="132"/>
      <c r="F379" s="132"/>
      <c r="G379" s="132"/>
      <c r="H379" s="132"/>
      <c r="I379" s="132"/>
      <c r="J379" s="132"/>
      <c r="K379" s="132"/>
      <c r="L379" s="132"/>
      <c r="M379" s="132"/>
      <c r="N379" s="132"/>
      <c r="O379" s="132"/>
      <c r="P379" s="132"/>
      <c r="Q379" s="132"/>
      <c r="R379" s="132"/>
      <c r="S379" s="132"/>
      <c r="T379" s="132"/>
      <c r="U379" s="132"/>
      <c r="V379" s="132"/>
      <c r="W379" s="132"/>
      <c r="X379" s="132"/>
      <c r="Y379" s="132"/>
      <c r="Z379" s="132"/>
    </row>
    <row r="380" spans="1:26" ht="11.25" customHeight="1" x14ac:dyDescent="0.3">
      <c r="A380" s="132"/>
      <c r="B380" s="132"/>
      <c r="C380" s="132"/>
      <c r="D380" s="132"/>
      <c r="E380" s="132"/>
      <c r="F380" s="132"/>
      <c r="G380" s="132"/>
      <c r="H380" s="132"/>
      <c r="I380" s="132"/>
      <c r="J380" s="132"/>
      <c r="K380" s="132"/>
      <c r="L380" s="132"/>
      <c r="M380" s="132"/>
      <c r="N380" s="132"/>
      <c r="O380" s="132"/>
      <c r="P380" s="132"/>
      <c r="Q380" s="132"/>
      <c r="R380" s="132"/>
      <c r="S380" s="132"/>
      <c r="T380" s="132"/>
      <c r="U380" s="132"/>
      <c r="V380" s="132"/>
      <c r="W380" s="132"/>
      <c r="X380" s="132"/>
      <c r="Y380" s="132"/>
      <c r="Z380" s="132"/>
    </row>
    <row r="381" spans="1:26" ht="11.25" customHeight="1" x14ac:dyDescent="0.3">
      <c r="A381" s="132"/>
      <c r="B381" s="132"/>
      <c r="C381" s="132"/>
      <c r="D381" s="132"/>
      <c r="E381" s="132"/>
      <c r="F381" s="132"/>
      <c r="G381" s="132"/>
      <c r="H381" s="132"/>
      <c r="I381" s="132"/>
      <c r="J381" s="132"/>
      <c r="K381" s="132"/>
      <c r="L381" s="132"/>
      <c r="M381" s="132"/>
      <c r="N381" s="132"/>
      <c r="O381" s="132"/>
      <c r="P381" s="132"/>
      <c r="Q381" s="132"/>
      <c r="R381" s="132"/>
      <c r="S381" s="132"/>
      <c r="T381" s="132"/>
      <c r="U381" s="132"/>
      <c r="V381" s="132"/>
      <c r="W381" s="132"/>
      <c r="X381" s="132"/>
      <c r="Y381" s="132"/>
      <c r="Z381" s="132"/>
    </row>
    <row r="382" spans="1:26" ht="11.25" customHeight="1" x14ac:dyDescent="0.3">
      <c r="A382" s="132"/>
      <c r="B382" s="132"/>
      <c r="C382" s="132"/>
      <c r="D382" s="132"/>
      <c r="E382" s="132"/>
      <c r="F382" s="132"/>
      <c r="G382" s="132"/>
      <c r="H382" s="132"/>
      <c r="I382" s="132"/>
      <c r="J382" s="132"/>
      <c r="K382" s="132"/>
      <c r="L382" s="132"/>
      <c r="M382" s="132"/>
      <c r="N382" s="132"/>
      <c r="O382" s="132"/>
      <c r="P382" s="132"/>
      <c r="Q382" s="132"/>
      <c r="R382" s="132"/>
      <c r="S382" s="132"/>
      <c r="T382" s="132"/>
      <c r="U382" s="132"/>
      <c r="V382" s="132"/>
      <c r="W382" s="132"/>
      <c r="X382" s="132"/>
      <c r="Y382" s="132"/>
      <c r="Z382" s="132"/>
    </row>
    <row r="383" spans="1:26" ht="11.25" customHeight="1" x14ac:dyDescent="0.3">
      <c r="A383" s="132"/>
      <c r="B383" s="132"/>
      <c r="C383" s="132"/>
      <c r="D383" s="132"/>
      <c r="E383" s="132"/>
      <c r="F383" s="132"/>
      <c r="G383" s="132"/>
      <c r="H383" s="132"/>
      <c r="I383" s="132"/>
      <c r="J383" s="132"/>
      <c r="K383" s="132"/>
      <c r="L383" s="132"/>
      <c r="M383" s="132"/>
      <c r="N383" s="132"/>
      <c r="O383" s="132"/>
      <c r="P383" s="132"/>
      <c r="Q383" s="132"/>
      <c r="R383" s="132"/>
      <c r="S383" s="132"/>
      <c r="T383" s="132"/>
      <c r="U383" s="132"/>
      <c r="V383" s="132"/>
      <c r="W383" s="132"/>
      <c r="X383" s="132"/>
      <c r="Y383" s="132"/>
      <c r="Z383" s="132"/>
    </row>
    <row r="384" spans="1:26" ht="11.25" customHeight="1" x14ac:dyDescent="0.3">
      <c r="A384" s="132"/>
      <c r="B384" s="132"/>
      <c r="C384" s="132"/>
      <c r="D384" s="132"/>
      <c r="E384" s="132"/>
      <c r="F384" s="132"/>
      <c r="G384" s="132"/>
      <c r="H384" s="132"/>
      <c r="I384" s="132"/>
      <c r="J384" s="132"/>
      <c r="K384" s="132"/>
      <c r="L384" s="132"/>
      <c r="M384" s="132"/>
      <c r="N384" s="132"/>
      <c r="O384" s="132"/>
      <c r="P384" s="132"/>
      <c r="Q384" s="132"/>
      <c r="R384" s="132"/>
      <c r="S384" s="132"/>
      <c r="T384" s="132"/>
      <c r="U384" s="132"/>
      <c r="V384" s="132"/>
      <c r="W384" s="132"/>
      <c r="X384" s="132"/>
      <c r="Y384" s="132"/>
      <c r="Z384" s="132"/>
    </row>
    <row r="385" spans="1:26" ht="11.25" customHeight="1" x14ac:dyDescent="0.3">
      <c r="A385" s="132"/>
      <c r="B385" s="132"/>
      <c r="C385" s="132"/>
      <c r="D385" s="132"/>
      <c r="E385" s="132"/>
      <c r="F385" s="132"/>
      <c r="G385" s="132"/>
      <c r="H385" s="132"/>
      <c r="I385" s="132"/>
      <c r="J385" s="132"/>
      <c r="K385" s="132"/>
      <c r="L385" s="132"/>
      <c r="M385" s="132"/>
      <c r="N385" s="132"/>
      <c r="O385" s="132"/>
      <c r="P385" s="132"/>
      <c r="Q385" s="132"/>
      <c r="R385" s="132"/>
      <c r="S385" s="132"/>
      <c r="T385" s="132"/>
      <c r="U385" s="132"/>
      <c r="V385" s="132"/>
      <c r="W385" s="132"/>
      <c r="X385" s="132"/>
      <c r="Y385" s="132"/>
      <c r="Z385" s="132"/>
    </row>
    <row r="386" spans="1:26" ht="11.25" customHeight="1" x14ac:dyDescent="0.3">
      <c r="A386" s="132"/>
      <c r="B386" s="132"/>
      <c r="C386" s="132"/>
      <c r="D386" s="132"/>
      <c r="E386" s="132"/>
      <c r="F386" s="132"/>
      <c r="G386" s="132"/>
      <c r="H386" s="132"/>
      <c r="I386" s="132"/>
      <c r="J386" s="132"/>
      <c r="K386" s="132"/>
      <c r="L386" s="132"/>
      <c r="M386" s="132"/>
      <c r="N386" s="132"/>
      <c r="O386" s="132"/>
      <c r="P386" s="132"/>
      <c r="Q386" s="132"/>
      <c r="R386" s="132"/>
      <c r="S386" s="132"/>
      <c r="T386" s="132"/>
      <c r="U386" s="132"/>
      <c r="V386" s="132"/>
      <c r="W386" s="132"/>
      <c r="X386" s="132"/>
      <c r="Y386" s="132"/>
      <c r="Z386" s="132"/>
    </row>
    <row r="387" spans="1:26" ht="11.25" customHeight="1" x14ac:dyDescent="0.3">
      <c r="A387" s="132"/>
      <c r="B387" s="132"/>
      <c r="C387" s="132"/>
      <c r="D387" s="132"/>
      <c r="E387" s="132"/>
      <c r="F387" s="132"/>
      <c r="G387" s="132"/>
      <c r="H387" s="132"/>
      <c r="I387" s="132"/>
      <c r="J387" s="132"/>
      <c r="K387" s="132"/>
      <c r="L387" s="132"/>
      <c r="M387" s="132"/>
      <c r="N387" s="132"/>
      <c r="O387" s="132"/>
      <c r="P387" s="132"/>
      <c r="Q387" s="132"/>
      <c r="R387" s="132"/>
      <c r="S387" s="132"/>
      <c r="T387" s="132"/>
      <c r="U387" s="132"/>
      <c r="V387" s="132"/>
      <c r="W387" s="132"/>
      <c r="X387" s="132"/>
      <c r="Y387" s="132"/>
      <c r="Z387" s="132"/>
    </row>
    <row r="388" spans="1:26" ht="11.25" customHeight="1" x14ac:dyDescent="0.3">
      <c r="A388" s="132"/>
      <c r="B388" s="132"/>
      <c r="C388" s="132"/>
      <c r="D388" s="132"/>
      <c r="E388" s="132"/>
      <c r="F388" s="132"/>
      <c r="G388" s="132"/>
      <c r="H388" s="132"/>
      <c r="I388" s="132"/>
      <c r="J388" s="132"/>
      <c r="K388" s="132"/>
      <c r="L388" s="132"/>
      <c r="M388" s="132"/>
      <c r="N388" s="132"/>
      <c r="O388" s="132"/>
      <c r="P388" s="132"/>
      <c r="Q388" s="132"/>
      <c r="R388" s="132"/>
      <c r="S388" s="132"/>
      <c r="T388" s="132"/>
      <c r="U388" s="132"/>
      <c r="V388" s="132"/>
      <c r="W388" s="132"/>
      <c r="X388" s="132"/>
      <c r="Y388" s="132"/>
      <c r="Z388" s="132"/>
    </row>
    <row r="389" spans="1:26" ht="11.25" customHeight="1" x14ac:dyDescent="0.3">
      <c r="A389" s="132"/>
      <c r="B389" s="132"/>
      <c r="C389" s="132"/>
      <c r="D389" s="132"/>
      <c r="E389" s="132"/>
      <c r="F389" s="132"/>
      <c r="G389" s="132"/>
      <c r="H389" s="132"/>
      <c r="I389" s="132"/>
      <c r="J389" s="132"/>
      <c r="K389" s="132"/>
      <c r="L389" s="132"/>
      <c r="M389" s="132"/>
      <c r="N389" s="132"/>
      <c r="O389" s="132"/>
      <c r="P389" s="132"/>
      <c r="Q389" s="132"/>
      <c r="R389" s="132"/>
      <c r="S389" s="132"/>
      <c r="T389" s="132"/>
      <c r="U389" s="132"/>
      <c r="V389" s="132"/>
      <c r="W389" s="132"/>
      <c r="X389" s="132"/>
      <c r="Y389" s="132"/>
      <c r="Z389" s="132"/>
    </row>
    <row r="390" spans="1:26" ht="11.25" customHeight="1" x14ac:dyDescent="0.3">
      <c r="A390" s="132"/>
      <c r="B390" s="132"/>
      <c r="C390" s="132"/>
      <c r="D390" s="132"/>
      <c r="E390" s="132"/>
      <c r="F390" s="132"/>
      <c r="G390" s="132"/>
      <c r="H390" s="132"/>
      <c r="I390" s="132"/>
      <c r="J390" s="132"/>
      <c r="K390" s="132"/>
      <c r="L390" s="132"/>
      <c r="M390" s="132"/>
      <c r="N390" s="132"/>
      <c r="O390" s="132"/>
      <c r="P390" s="132"/>
      <c r="Q390" s="132"/>
      <c r="R390" s="132"/>
      <c r="S390" s="132"/>
      <c r="T390" s="132"/>
      <c r="U390" s="132"/>
      <c r="V390" s="132"/>
      <c r="W390" s="132"/>
      <c r="X390" s="132"/>
      <c r="Y390" s="132"/>
      <c r="Z390" s="132"/>
    </row>
    <row r="391" spans="1:26" ht="11.25" customHeight="1" x14ac:dyDescent="0.3">
      <c r="A391" s="132"/>
      <c r="B391" s="132"/>
      <c r="C391" s="132"/>
      <c r="D391" s="132"/>
      <c r="E391" s="132"/>
      <c r="F391" s="132"/>
      <c r="G391" s="132"/>
      <c r="H391" s="132"/>
      <c r="I391" s="132"/>
      <c r="J391" s="132"/>
      <c r="K391" s="132"/>
      <c r="L391" s="132"/>
      <c r="M391" s="132"/>
      <c r="N391" s="132"/>
      <c r="O391" s="132"/>
      <c r="P391" s="132"/>
      <c r="Q391" s="132"/>
      <c r="R391" s="132"/>
      <c r="S391" s="132"/>
      <c r="T391" s="132"/>
      <c r="U391" s="132"/>
      <c r="V391" s="132"/>
      <c r="W391" s="132"/>
      <c r="X391" s="132"/>
      <c r="Y391" s="132"/>
      <c r="Z391" s="132"/>
    </row>
    <row r="392" spans="1:26" ht="11.25" customHeight="1" x14ac:dyDescent="0.3">
      <c r="A392" s="132"/>
      <c r="B392" s="132"/>
      <c r="C392" s="132"/>
      <c r="D392" s="132"/>
      <c r="E392" s="132"/>
      <c r="F392" s="132"/>
      <c r="G392" s="132"/>
      <c r="H392" s="132"/>
      <c r="I392" s="132"/>
      <c r="J392" s="132"/>
      <c r="K392" s="132"/>
      <c r="L392" s="132"/>
      <c r="M392" s="132"/>
      <c r="N392" s="132"/>
      <c r="O392" s="132"/>
      <c r="P392" s="132"/>
      <c r="Q392" s="132"/>
      <c r="R392" s="132"/>
      <c r="S392" s="132"/>
      <c r="T392" s="132"/>
      <c r="U392" s="132"/>
      <c r="V392" s="132"/>
      <c r="W392" s="132"/>
      <c r="X392" s="132"/>
      <c r="Y392" s="132"/>
      <c r="Z392" s="132"/>
    </row>
    <row r="393" spans="1:26" ht="11.25" customHeight="1" x14ac:dyDescent="0.3">
      <c r="A393" s="132"/>
      <c r="B393" s="132"/>
      <c r="C393" s="132"/>
      <c r="D393" s="132"/>
      <c r="E393" s="132"/>
      <c r="F393" s="132"/>
      <c r="G393" s="132"/>
      <c r="H393" s="132"/>
      <c r="I393" s="132"/>
      <c r="J393" s="132"/>
      <c r="K393" s="132"/>
      <c r="L393" s="132"/>
      <c r="M393" s="132"/>
      <c r="N393" s="132"/>
      <c r="O393" s="132"/>
      <c r="P393" s="132"/>
      <c r="Q393" s="132"/>
      <c r="R393" s="132"/>
      <c r="S393" s="132"/>
      <c r="T393" s="132"/>
      <c r="U393" s="132"/>
      <c r="V393" s="132"/>
      <c r="W393" s="132"/>
      <c r="X393" s="132"/>
      <c r="Y393" s="132"/>
      <c r="Z393" s="132"/>
    </row>
    <row r="394" spans="1:26" ht="11.25" customHeight="1" x14ac:dyDescent="0.3">
      <c r="A394" s="132"/>
      <c r="B394" s="132"/>
      <c r="C394" s="132"/>
      <c r="D394" s="132"/>
      <c r="E394" s="132"/>
      <c r="F394" s="132"/>
      <c r="G394" s="132"/>
      <c r="H394" s="132"/>
      <c r="I394" s="132"/>
      <c r="J394" s="132"/>
      <c r="K394" s="132"/>
      <c r="L394" s="132"/>
      <c r="M394" s="132"/>
      <c r="N394" s="132"/>
      <c r="O394" s="132"/>
      <c r="P394" s="132"/>
      <c r="Q394" s="132"/>
      <c r="R394" s="132"/>
      <c r="S394" s="132"/>
      <c r="T394" s="132"/>
      <c r="U394" s="132"/>
      <c r="V394" s="132"/>
      <c r="W394" s="132"/>
      <c r="X394" s="132"/>
      <c r="Y394" s="132"/>
      <c r="Z394" s="132"/>
    </row>
    <row r="395" spans="1:26" ht="11.25" customHeight="1" x14ac:dyDescent="0.3">
      <c r="A395" s="132"/>
      <c r="B395" s="132"/>
      <c r="C395" s="132"/>
      <c r="D395" s="132"/>
      <c r="E395" s="132"/>
      <c r="F395" s="132"/>
      <c r="G395" s="132"/>
      <c r="H395" s="132"/>
      <c r="I395" s="132"/>
      <c r="J395" s="132"/>
      <c r="K395" s="132"/>
      <c r="L395" s="132"/>
      <c r="M395" s="132"/>
      <c r="N395" s="132"/>
      <c r="O395" s="132"/>
      <c r="P395" s="132"/>
      <c r="Q395" s="132"/>
      <c r="R395" s="132"/>
      <c r="S395" s="132"/>
      <c r="T395" s="132"/>
      <c r="U395" s="132"/>
      <c r="V395" s="132"/>
      <c r="W395" s="132"/>
      <c r="X395" s="132"/>
      <c r="Y395" s="132"/>
      <c r="Z395" s="132"/>
    </row>
    <row r="396" spans="1:26" ht="11.25" customHeight="1" x14ac:dyDescent="0.3">
      <c r="A396" s="132"/>
      <c r="B396" s="132"/>
      <c r="C396" s="132"/>
      <c r="D396" s="132"/>
      <c r="E396" s="132"/>
      <c r="F396" s="132"/>
      <c r="G396" s="132"/>
      <c r="H396" s="132"/>
      <c r="I396" s="132"/>
      <c r="J396" s="132"/>
      <c r="K396" s="132"/>
      <c r="L396" s="132"/>
      <c r="M396" s="132"/>
      <c r="N396" s="132"/>
      <c r="O396" s="132"/>
      <c r="P396" s="132"/>
      <c r="Q396" s="132"/>
      <c r="R396" s="132"/>
      <c r="S396" s="132"/>
      <c r="T396" s="132"/>
      <c r="U396" s="132"/>
      <c r="V396" s="132"/>
      <c r="W396" s="132"/>
      <c r="X396" s="132"/>
      <c r="Y396" s="132"/>
      <c r="Z396" s="132"/>
    </row>
    <row r="397" spans="1:26" ht="11.25" customHeight="1" x14ac:dyDescent="0.3">
      <c r="A397" s="132"/>
      <c r="B397" s="132"/>
      <c r="C397" s="132"/>
      <c r="D397" s="132"/>
      <c r="E397" s="132"/>
      <c r="F397" s="132"/>
      <c r="G397" s="132"/>
      <c r="H397" s="132"/>
      <c r="I397" s="132"/>
      <c r="J397" s="132"/>
      <c r="K397" s="132"/>
      <c r="L397" s="132"/>
      <c r="M397" s="132"/>
      <c r="N397" s="132"/>
      <c r="O397" s="132"/>
      <c r="P397" s="132"/>
      <c r="Q397" s="132"/>
      <c r="R397" s="132"/>
      <c r="S397" s="132"/>
      <c r="T397" s="132"/>
      <c r="U397" s="132"/>
      <c r="V397" s="132"/>
      <c r="W397" s="132"/>
      <c r="X397" s="132"/>
      <c r="Y397" s="132"/>
      <c r="Z397" s="132"/>
    </row>
    <row r="398" spans="1:26" ht="11.25" customHeight="1" x14ac:dyDescent="0.3">
      <c r="A398" s="132"/>
      <c r="B398" s="132"/>
      <c r="C398" s="132"/>
      <c r="D398" s="132"/>
      <c r="E398" s="132"/>
      <c r="F398" s="132"/>
      <c r="G398" s="132"/>
      <c r="H398" s="132"/>
      <c r="I398" s="132"/>
      <c r="J398" s="132"/>
      <c r="K398" s="132"/>
      <c r="L398" s="132"/>
      <c r="M398" s="132"/>
      <c r="N398" s="132"/>
      <c r="O398" s="132"/>
      <c r="P398" s="132"/>
      <c r="Q398" s="132"/>
      <c r="R398" s="132"/>
      <c r="S398" s="132"/>
      <c r="T398" s="132"/>
      <c r="U398" s="132"/>
      <c r="V398" s="132"/>
      <c r="W398" s="132"/>
      <c r="X398" s="132"/>
      <c r="Y398" s="132"/>
      <c r="Z398" s="132"/>
    </row>
    <row r="399" spans="1:26" ht="11.25" customHeight="1" x14ac:dyDescent="0.3">
      <c r="A399" s="132"/>
      <c r="B399" s="132"/>
      <c r="C399" s="132"/>
      <c r="D399" s="132"/>
      <c r="E399" s="132"/>
      <c r="F399" s="132"/>
      <c r="G399" s="132"/>
      <c r="H399" s="132"/>
      <c r="I399" s="132"/>
      <c r="J399" s="132"/>
      <c r="K399" s="132"/>
      <c r="L399" s="132"/>
      <c r="M399" s="132"/>
      <c r="N399" s="132"/>
      <c r="O399" s="132"/>
      <c r="P399" s="132"/>
      <c r="Q399" s="132"/>
      <c r="R399" s="132"/>
      <c r="S399" s="132"/>
      <c r="T399" s="132"/>
      <c r="U399" s="132"/>
      <c r="V399" s="132"/>
      <c r="W399" s="132"/>
      <c r="X399" s="132"/>
      <c r="Y399" s="132"/>
      <c r="Z399" s="132"/>
    </row>
    <row r="400" spans="1:26" ht="11.25" customHeight="1" x14ac:dyDescent="0.3">
      <c r="A400" s="132"/>
      <c r="B400" s="132"/>
      <c r="C400" s="132"/>
      <c r="D400" s="132"/>
      <c r="E400" s="132"/>
      <c r="F400" s="132"/>
      <c r="G400" s="132"/>
      <c r="H400" s="132"/>
      <c r="I400" s="132"/>
      <c r="J400" s="132"/>
      <c r="K400" s="132"/>
      <c r="L400" s="132"/>
      <c r="M400" s="132"/>
      <c r="N400" s="132"/>
      <c r="O400" s="132"/>
      <c r="P400" s="132"/>
      <c r="Q400" s="132"/>
      <c r="R400" s="132"/>
      <c r="S400" s="132"/>
      <c r="T400" s="132"/>
      <c r="U400" s="132"/>
      <c r="V400" s="132"/>
      <c r="W400" s="132"/>
      <c r="X400" s="132"/>
      <c r="Y400" s="132"/>
      <c r="Z400" s="132"/>
    </row>
    <row r="401" spans="1:26" ht="11.25" customHeight="1" x14ac:dyDescent="0.3">
      <c r="A401" s="132"/>
      <c r="B401" s="132"/>
      <c r="C401" s="132"/>
      <c r="D401" s="132"/>
      <c r="E401" s="132"/>
      <c r="F401" s="132"/>
      <c r="G401" s="132"/>
      <c r="H401" s="132"/>
      <c r="I401" s="132"/>
      <c r="J401" s="132"/>
      <c r="K401" s="132"/>
      <c r="L401" s="132"/>
      <c r="M401" s="132"/>
      <c r="N401" s="132"/>
      <c r="O401" s="132"/>
      <c r="P401" s="132"/>
      <c r="Q401" s="132"/>
      <c r="R401" s="132"/>
      <c r="S401" s="132"/>
      <c r="T401" s="132"/>
      <c r="U401" s="132"/>
      <c r="V401" s="132"/>
      <c r="W401" s="132"/>
      <c r="X401" s="132"/>
      <c r="Y401" s="132"/>
      <c r="Z401" s="132"/>
    </row>
    <row r="402" spans="1:26" ht="11.25" customHeight="1" x14ac:dyDescent="0.3">
      <c r="A402" s="132"/>
      <c r="B402" s="132"/>
      <c r="C402" s="132"/>
      <c r="D402" s="132"/>
      <c r="E402" s="132"/>
      <c r="F402" s="132"/>
      <c r="G402" s="132"/>
      <c r="H402" s="132"/>
      <c r="I402" s="132"/>
      <c r="J402" s="132"/>
      <c r="K402" s="132"/>
      <c r="L402" s="132"/>
      <c r="M402" s="132"/>
      <c r="N402" s="132"/>
      <c r="O402" s="132"/>
      <c r="P402" s="132"/>
      <c r="Q402" s="132"/>
      <c r="R402" s="132"/>
      <c r="S402" s="132"/>
      <c r="T402" s="132"/>
      <c r="U402" s="132"/>
      <c r="V402" s="132"/>
      <c r="W402" s="132"/>
      <c r="X402" s="132"/>
      <c r="Y402" s="132"/>
      <c r="Z402" s="132"/>
    </row>
    <row r="403" spans="1:26" ht="11.25" customHeight="1" x14ac:dyDescent="0.3">
      <c r="A403" s="132"/>
      <c r="B403" s="132"/>
      <c r="C403" s="132"/>
      <c r="D403" s="132"/>
      <c r="E403" s="132"/>
      <c r="F403" s="132"/>
      <c r="G403" s="132"/>
      <c r="H403" s="132"/>
      <c r="I403" s="132"/>
      <c r="J403" s="132"/>
      <c r="K403" s="132"/>
      <c r="L403" s="132"/>
      <c r="M403" s="132"/>
      <c r="N403" s="132"/>
      <c r="O403" s="132"/>
      <c r="P403" s="132"/>
      <c r="Q403" s="132"/>
      <c r="R403" s="132"/>
      <c r="S403" s="132"/>
      <c r="T403" s="132"/>
      <c r="U403" s="132"/>
      <c r="V403" s="132"/>
      <c r="W403" s="132"/>
      <c r="X403" s="132"/>
      <c r="Y403" s="132"/>
      <c r="Z403" s="132"/>
    </row>
    <row r="404" spans="1:26" ht="11.25" customHeight="1" x14ac:dyDescent="0.3">
      <c r="A404" s="132"/>
      <c r="B404" s="132"/>
      <c r="C404" s="132"/>
      <c r="D404" s="132"/>
      <c r="E404" s="132"/>
      <c r="F404" s="132"/>
      <c r="G404" s="132"/>
      <c r="H404" s="132"/>
      <c r="I404" s="132"/>
      <c r="J404" s="132"/>
      <c r="K404" s="132"/>
      <c r="L404" s="132"/>
      <c r="M404" s="132"/>
      <c r="N404" s="132"/>
      <c r="O404" s="132"/>
      <c r="P404" s="132"/>
      <c r="Q404" s="132"/>
      <c r="R404" s="132"/>
      <c r="S404" s="132"/>
      <c r="T404" s="132"/>
      <c r="U404" s="132"/>
      <c r="V404" s="132"/>
      <c r="W404" s="132"/>
      <c r="X404" s="132"/>
      <c r="Y404" s="132"/>
      <c r="Z404" s="132"/>
    </row>
    <row r="405" spans="1:26" ht="11.25" customHeight="1" x14ac:dyDescent="0.3">
      <c r="A405" s="132"/>
      <c r="B405" s="132"/>
      <c r="C405" s="132"/>
      <c r="D405" s="132"/>
      <c r="E405" s="132"/>
      <c r="F405" s="132"/>
      <c r="G405" s="132"/>
      <c r="H405" s="132"/>
      <c r="I405" s="132"/>
      <c r="J405" s="132"/>
      <c r="K405" s="132"/>
      <c r="L405" s="132"/>
      <c r="M405" s="132"/>
      <c r="N405" s="132"/>
      <c r="O405" s="132"/>
      <c r="P405" s="132"/>
      <c r="Q405" s="132"/>
      <c r="R405" s="132"/>
      <c r="S405" s="132"/>
      <c r="T405" s="132"/>
      <c r="U405" s="132"/>
      <c r="V405" s="132"/>
      <c r="W405" s="132"/>
      <c r="X405" s="132"/>
      <c r="Y405" s="132"/>
      <c r="Z405" s="132"/>
    </row>
    <row r="406" spans="1:26" ht="11.25" customHeight="1" x14ac:dyDescent="0.3">
      <c r="A406" s="132"/>
      <c r="B406" s="132"/>
      <c r="C406" s="132"/>
      <c r="D406" s="132"/>
      <c r="E406" s="132"/>
      <c r="F406" s="132"/>
      <c r="G406" s="132"/>
      <c r="H406" s="132"/>
      <c r="I406" s="132"/>
      <c r="J406" s="132"/>
      <c r="K406" s="132"/>
      <c r="L406" s="132"/>
      <c r="M406" s="132"/>
      <c r="N406" s="132"/>
      <c r="O406" s="132"/>
      <c r="P406" s="132"/>
      <c r="Q406" s="132"/>
      <c r="R406" s="132"/>
      <c r="S406" s="132"/>
      <c r="T406" s="132"/>
      <c r="U406" s="132"/>
      <c r="V406" s="132"/>
      <c r="W406" s="132"/>
      <c r="X406" s="132"/>
      <c r="Y406" s="132"/>
      <c r="Z406" s="132"/>
    </row>
    <row r="407" spans="1:26" ht="11.25" customHeight="1" x14ac:dyDescent="0.3">
      <c r="A407" s="132"/>
      <c r="B407" s="132"/>
      <c r="C407" s="132"/>
      <c r="D407" s="132"/>
      <c r="E407" s="132"/>
      <c r="F407" s="132"/>
      <c r="G407" s="132"/>
      <c r="H407" s="132"/>
      <c r="I407" s="132"/>
      <c r="J407" s="132"/>
      <c r="K407" s="132"/>
      <c r="L407" s="132"/>
      <c r="M407" s="132"/>
      <c r="N407" s="132"/>
      <c r="O407" s="132"/>
      <c r="P407" s="132"/>
      <c r="Q407" s="132"/>
      <c r="R407" s="132"/>
      <c r="S407" s="132"/>
      <c r="T407" s="132"/>
      <c r="U407" s="132"/>
      <c r="V407" s="132"/>
      <c r="W407" s="132"/>
      <c r="X407" s="132"/>
      <c r="Y407" s="132"/>
      <c r="Z407" s="132"/>
    </row>
    <row r="408" spans="1:26" ht="11.25" customHeight="1" x14ac:dyDescent="0.3">
      <c r="A408" s="132"/>
      <c r="B408" s="132"/>
      <c r="C408" s="132"/>
      <c r="D408" s="132"/>
      <c r="E408" s="132"/>
      <c r="F408" s="132"/>
      <c r="G408" s="132"/>
      <c r="H408" s="132"/>
      <c r="I408" s="132"/>
      <c r="J408" s="132"/>
      <c r="K408" s="132"/>
      <c r="L408" s="132"/>
      <c r="M408" s="132"/>
      <c r="N408" s="132"/>
      <c r="O408" s="132"/>
      <c r="P408" s="132"/>
      <c r="Q408" s="132"/>
      <c r="R408" s="132"/>
      <c r="S408" s="132"/>
      <c r="T408" s="132"/>
      <c r="U408" s="132"/>
      <c r="V408" s="132"/>
      <c r="W408" s="132"/>
      <c r="X408" s="132"/>
      <c r="Y408" s="132"/>
      <c r="Z408" s="132"/>
    </row>
    <row r="409" spans="1:26" ht="11.25" customHeight="1" x14ac:dyDescent="0.3">
      <c r="A409" s="132"/>
      <c r="B409" s="132"/>
      <c r="C409" s="132"/>
      <c r="D409" s="132"/>
      <c r="E409" s="132"/>
      <c r="F409" s="132"/>
      <c r="G409" s="132"/>
      <c r="H409" s="132"/>
      <c r="I409" s="132"/>
      <c r="J409" s="132"/>
      <c r="K409" s="132"/>
      <c r="L409" s="132"/>
      <c r="M409" s="132"/>
      <c r="N409" s="132"/>
      <c r="O409" s="132"/>
      <c r="P409" s="132"/>
      <c r="Q409" s="132"/>
      <c r="R409" s="132"/>
      <c r="S409" s="132"/>
      <c r="T409" s="132"/>
      <c r="U409" s="132"/>
      <c r="V409" s="132"/>
      <c r="W409" s="132"/>
      <c r="X409" s="132"/>
      <c r="Y409" s="132"/>
      <c r="Z409" s="132"/>
    </row>
    <row r="410" spans="1:26" ht="11.25" customHeight="1" x14ac:dyDescent="0.3">
      <c r="A410" s="132"/>
      <c r="B410" s="132"/>
      <c r="C410" s="132"/>
      <c r="D410" s="132"/>
      <c r="E410" s="132"/>
      <c r="F410" s="132"/>
      <c r="G410" s="132"/>
      <c r="H410" s="132"/>
      <c r="I410" s="132"/>
      <c r="J410" s="132"/>
      <c r="K410" s="132"/>
      <c r="L410" s="132"/>
      <c r="M410" s="132"/>
      <c r="N410" s="132"/>
      <c r="O410" s="132"/>
      <c r="P410" s="132"/>
      <c r="Q410" s="132"/>
      <c r="R410" s="132"/>
      <c r="S410" s="132"/>
      <c r="T410" s="132"/>
      <c r="U410" s="132"/>
      <c r="V410" s="132"/>
      <c r="W410" s="132"/>
      <c r="X410" s="132"/>
      <c r="Y410" s="132"/>
      <c r="Z410" s="132"/>
    </row>
    <row r="411" spans="1:26" ht="11.25" customHeight="1" x14ac:dyDescent="0.3">
      <c r="A411" s="132"/>
      <c r="B411" s="132"/>
      <c r="C411" s="132"/>
      <c r="D411" s="132"/>
      <c r="E411" s="132"/>
      <c r="F411" s="132"/>
      <c r="G411" s="132"/>
      <c r="H411" s="132"/>
      <c r="I411" s="132"/>
      <c r="J411" s="132"/>
      <c r="K411" s="132"/>
      <c r="L411" s="132"/>
      <c r="M411" s="132"/>
      <c r="N411" s="132"/>
      <c r="O411" s="132"/>
      <c r="P411" s="132"/>
      <c r="Q411" s="132"/>
      <c r="R411" s="132"/>
      <c r="S411" s="132"/>
      <c r="T411" s="132"/>
      <c r="U411" s="132"/>
      <c r="V411" s="132"/>
      <c r="W411" s="132"/>
      <c r="X411" s="132"/>
      <c r="Y411" s="132"/>
      <c r="Z411" s="132"/>
    </row>
    <row r="412" spans="1:26" ht="11.25" customHeight="1" x14ac:dyDescent="0.3">
      <c r="A412" s="132"/>
      <c r="B412" s="132"/>
      <c r="C412" s="132"/>
      <c r="D412" s="132"/>
      <c r="E412" s="132"/>
      <c r="F412" s="132"/>
      <c r="G412" s="132"/>
      <c r="H412" s="132"/>
      <c r="I412" s="132"/>
      <c r="J412" s="132"/>
      <c r="K412" s="132"/>
      <c r="L412" s="132"/>
      <c r="M412" s="132"/>
      <c r="N412" s="132"/>
      <c r="O412" s="132"/>
      <c r="P412" s="132"/>
      <c r="Q412" s="132"/>
      <c r="R412" s="132"/>
      <c r="S412" s="132"/>
      <c r="T412" s="132"/>
      <c r="U412" s="132"/>
      <c r="V412" s="132"/>
      <c r="W412" s="132"/>
      <c r="X412" s="132"/>
      <c r="Y412" s="132"/>
      <c r="Z412" s="132"/>
    </row>
    <row r="413" spans="1:26" ht="11.25" customHeight="1" x14ac:dyDescent="0.3">
      <c r="A413" s="132"/>
      <c r="B413" s="132"/>
      <c r="C413" s="132"/>
      <c r="D413" s="132"/>
      <c r="E413" s="132"/>
      <c r="F413" s="132"/>
      <c r="G413" s="132"/>
      <c r="H413" s="132"/>
      <c r="I413" s="132"/>
      <c r="J413" s="132"/>
      <c r="K413" s="132"/>
      <c r="L413" s="132"/>
      <c r="M413" s="132"/>
      <c r="N413" s="132"/>
      <c r="O413" s="132"/>
      <c r="P413" s="132"/>
      <c r="Q413" s="132"/>
      <c r="R413" s="132"/>
      <c r="S413" s="132"/>
      <c r="T413" s="132"/>
      <c r="U413" s="132"/>
      <c r="V413" s="132"/>
      <c r="W413" s="132"/>
      <c r="X413" s="132"/>
      <c r="Y413" s="132"/>
      <c r="Z413" s="132"/>
    </row>
    <row r="414" spans="1:26" ht="11.25" customHeight="1" x14ac:dyDescent="0.3">
      <c r="A414" s="132"/>
      <c r="B414" s="132"/>
      <c r="C414" s="132"/>
      <c r="D414" s="132"/>
      <c r="E414" s="132"/>
      <c r="F414" s="132"/>
      <c r="G414" s="132"/>
      <c r="H414" s="132"/>
      <c r="I414" s="132"/>
      <c r="J414" s="132"/>
      <c r="K414" s="132"/>
      <c r="L414" s="132"/>
      <c r="M414" s="132"/>
      <c r="N414" s="132"/>
      <c r="O414" s="132"/>
      <c r="P414" s="132"/>
      <c r="Q414" s="132"/>
      <c r="R414" s="132"/>
      <c r="S414" s="132"/>
      <c r="T414" s="132"/>
      <c r="U414" s="132"/>
      <c r="V414" s="132"/>
      <c r="W414" s="132"/>
      <c r="X414" s="132"/>
      <c r="Y414" s="132"/>
      <c r="Z414" s="132"/>
    </row>
    <row r="415" spans="1:26" ht="11.25" customHeight="1" x14ac:dyDescent="0.3">
      <c r="A415" s="132"/>
      <c r="B415" s="132"/>
      <c r="C415" s="132"/>
      <c r="D415" s="132"/>
      <c r="E415" s="132"/>
      <c r="F415" s="132"/>
      <c r="G415" s="132"/>
      <c r="H415" s="132"/>
      <c r="I415" s="132"/>
      <c r="J415" s="132"/>
      <c r="K415" s="132"/>
      <c r="L415" s="132"/>
      <c r="M415" s="132"/>
      <c r="N415" s="132"/>
      <c r="O415" s="132"/>
      <c r="P415" s="132"/>
      <c r="Q415" s="132"/>
      <c r="R415" s="132"/>
      <c r="S415" s="132"/>
      <c r="T415" s="132"/>
      <c r="U415" s="132"/>
      <c r="V415" s="132"/>
      <c r="W415" s="132"/>
      <c r="X415" s="132"/>
      <c r="Y415" s="132"/>
      <c r="Z415" s="132"/>
    </row>
    <row r="416" spans="1:26" ht="11.25" customHeight="1" x14ac:dyDescent="0.3">
      <c r="A416" s="132"/>
      <c r="B416" s="132"/>
      <c r="C416" s="132"/>
      <c r="D416" s="132"/>
      <c r="E416" s="132"/>
      <c r="F416" s="132"/>
      <c r="G416" s="132"/>
      <c r="H416" s="132"/>
      <c r="I416" s="132"/>
      <c r="J416" s="132"/>
      <c r="K416" s="132"/>
      <c r="L416" s="132"/>
      <c r="M416" s="132"/>
      <c r="N416" s="132"/>
      <c r="O416" s="132"/>
      <c r="P416" s="132"/>
      <c r="Q416" s="132"/>
      <c r="R416" s="132"/>
      <c r="S416" s="132"/>
      <c r="T416" s="132"/>
      <c r="U416" s="132"/>
      <c r="V416" s="132"/>
      <c r="W416" s="132"/>
      <c r="X416" s="132"/>
      <c r="Y416" s="132"/>
      <c r="Z416" s="132"/>
    </row>
    <row r="417" spans="1:26" ht="11.25" customHeight="1" x14ac:dyDescent="0.3">
      <c r="A417" s="132"/>
      <c r="B417" s="132"/>
      <c r="C417" s="132"/>
      <c r="D417" s="132"/>
      <c r="E417" s="132"/>
      <c r="F417" s="132"/>
      <c r="G417" s="132"/>
      <c r="H417" s="132"/>
      <c r="I417" s="132"/>
      <c r="J417" s="132"/>
      <c r="K417" s="132"/>
      <c r="L417" s="132"/>
      <c r="M417" s="132"/>
      <c r="N417" s="132"/>
      <c r="O417" s="132"/>
      <c r="P417" s="132"/>
      <c r="Q417" s="132"/>
      <c r="R417" s="132"/>
      <c r="S417" s="132"/>
      <c r="T417" s="132"/>
      <c r="U417" s="132"/>
      <c r="V417" s="132"/>
      <c r="W417" s="132"/>
      <c r="X417" s="132"/>
      <c r="Y417" s="132"/>
      <c r="Z417" s="132"/>
    </row>
    <row r="418" spans="1:26" ht="11.25" customHeight="1" x14ac:dyDescent="0.3">
      <c r="A418" s="132"/>
      <c r="B418" s="132"/>
      <c r="C418" s="132"/>
      <c r="D418" s="132"/>
      <c r="E418" s="132"/>
      <c r="F418" s="132"/>
      <c r="G418" s="132"/>
      <c r="H418" s="132"/>
      <c r="I418" s="132"/>
      <c r="J418" s="132"/>
      <c r="K418" s="132"/>
      <c r="L418" s="132"/>
      <c r="M418" s="132"/>
      <c r="N418" s="132"/>
      <c r="O418" s="132"/>
      <c r="P418" s="132"/>
      <c r="Q418" s="132"/>
      <c r="R418" s="132"/>
      <c r="S418" s="132"/>
      <c r="T418" s="132"/>
      <c r="U418" s="132"/>
      <c r="V418" s="132"/>
      <c r="W418" s="132"/>
      <c r="X418" s="132"/>
      <c r="Y418" s="132"/>
      <c r="Z418" s="132"/>
    </row>
    <row r="419" spans="1:26" ht="11.25" customHeight="1" x14ac:dyDescent="0.3">
      <c r="A419" s="132"/>
      <c r="B419" s="132"/>
      <c r="C419" s="132"/>
      <c r="D419" s="132"/>
      <c r="E419" s="132"/>
      <c r="F419" s="132"/>
      <c r="G419" s="132"/>
      <c r="H419" s="132"/>
      <c r="I419" s="132"/>
      <c r="J419" s="132"/>
      <c r="K419" s="132"/>
      <c r="L419" s="132"/>
      <c r="M419" s="132"/>
      <c r="N419" s="132"/>
      <c r="O419" s="132"/>
      <c r="P419" s="132"/>
      <c r="Q419" s="132"/>
      <c r="R419" s="132"/>
      <c r="S419" s="132"/>
      <c r="T419" s="132"/>
      <c r="U419" s="132"/>
      <c r="V419" s="132"/>
      <c r="W419" s="132"/>
      <c r="X419" s="132"/>
      <c r="Y419" s="132"/>
      <c r="Z419" s="132"/>
    </row>
    <row r="420" spans="1:26" ht="11.25" customHeight="1" x14ac:dyDescent="0.3">
      <c r="A420" s="132"/>
      <c r="B420" s="132"/>
      <c r="C420" s="132"/>
      <c r="D420" s="132"/>
      <c r="E420" s="132"/>
      <c r="F420" s="132"/>
      <c r="G420" s="132"/>
      <c r="H420" s="132"/>
      <c r="I420" s="132"/>
      <c r="J420" s="132"/>
      <c r="K420" s="132"/>
      <c r="L420" s="132"/>
      <c r="M420" s="132"/>
      <c r="N420" s="132"/>
      <c r="O420" s="132"/>
      <c r="P420" s="132"/>
      <c r="Q420" s="132"/>
      <c r="R420" s="132"/>
      <c r="S420" s="132"/>
      <c r="T420" s="132"/>
      <c r="U420" s="132"/>
      <c r="V420" s="132"/>
      <c r="W420" s="132"/>
      <c r="X420" s="132"/>
      <c r="Y420" s="132"/>
      <c r="Z420" s="132"/>
    </row>
    <row r="421" spans="1:26" ht="11.25" customHeight="1" x14ac:dyDescent="0.3">
      <c r="A421" s="132"/>
      <c r="B421" s="132"/>
      <c r="C421" s="132"/>
      <c r="D421" s="132"/>
      <c r="E421" s="132"/>
      <c r="F421" s="132"/>
      <c r="G421" s="132"/>
      <c r="H421" s="132"/>
      <c r="I421" s="132"/>
      <c r="J421" s="132"/>
      <c r="K421" s="132"/>
      <c r="L421" s="132"/>
      <c r="M421" s="132"/>
      <c r="N421" s="132"/>
      <c r="O421" s="132"/>
      <c r="P421" s="132"/>
      <c r="Q421" s="132"/>
      <c r="R421" s="132"/>
      <c r="S421" s="132"/>
      <c r="T421" s="132"/>
      <c r="U421" s="132"/>
      <c r="V421" s="132"/>
      <c r="W421" s="132"/>
      <c r="X421" s="132"/>
      <c r="Y421" s="132"/>
      <c r="Z421" s="132"/>
    </row>
    <row r="422" spans="1:26" ht="11.25" customHeight="1" x14ac:dyDescent="0.3">
      <c r="A422" s="132"/>
      <c r="B422" s="132"/>
      <c r="C422" s="132"/>
      <c r="D422" s="132"/>
      <c r="E422" s="132"/>
      <c r="F422" s="132"/>
      <c r="G422" s="132"/>
      <c r="H422" s="132"/>
      <c r="I422" s="132"/>
      <c r="J422" s="132"/>
      <c r="K422" s="132"/>
      <c r="L422" s="132"/>
      <c r="M422" s="132"/>
      <c r="N422" s="132"/>
      <c r="O422" s="132"/>
      <c r="P422" s="132"/>
      <c r="Q422" s="132"/>
      <c r="R422" s="132"/>
      <c r="S422" s="132"/>
      <c r="T422" s="132"/>
      <c r="U422" s="132"/>
      <c r="V422" s="132"/>
      <c r="W422" s="132"/>
      <c r="X422" s="132"/>
      <c r="Y422" s="132"/>
      <c r="Z422" s="132"/>
    </row>
    <row r="423" spans="1:26" ht="11.25" customHeight="1" x14ac:dyDescent="0.3">
      <c r="A423" s="132"/>
      <c r="B423" s="132"/>
      <c r="C423" s="132"/>
      <c r="D423" s="132"/>
      <c r="E423" s="132"/>
      <c r="F423" s="132"/>
      <c r="G423" s="132"/>
      <c r="H423" s="132"/>
      <c r="I423" s="132"/>
      <c r="J423" s="132"/>
      <c r="K423" s="132"/>
      <c r="L423" s="132"/>
      <c r="M423" s="132"/>
      <c r="N423" s="132"/>
      <c r="O423" s="132"/>
      <c r="P423" s="132"/>
      <c r="Q423" s="132"/>
      <c r="R423" s="132"/>
      <c r="S423" s="132"/>
      <c r="T423" s="132"/>
      <c r="U423" s="132"/>
      <c r="V423" s="132"/>
      <c r="W423" s="132"/>
      <c r="X423" s="132"/>
      <c r="Y423" s="132"/>
      <c r="Z423" s="132"/>
    </row>
    <row r="424" spans="1:26" ht="11.25" customHeight="1" x14ac:dyDescent="0.3">
      <c r="A424" s="132"/>
      <c r="B424" s="132"/>
      <c r="C424" s="132"/>
      <c r="D424" s="132"/>
      <c r="E424" s="132"/>
      <c r="F424" s="132"/>
      <c r="G424" s="132"/>
      <c r="H424" s="132"/>
      <c r="I424" s="132"/>
      <c r="J424" s="132"/>
      <c r="K424" s="132"/>
      <c r="L424" s="132"/>
      <c r="M424" s="132"/>
      <c r="N424" s="132"/>
      <c r="O424" s="132"/>
      <c r="P424" s="132"/>
      <c r="Q424" s="132"/>
      <c r="R424" s="132"/>
      <c r="S424" s="132"/>
      <c r="T424" s="132"/>
      <c r="U424" s="132"/>
      <c r="V424" s="132"/>
      <c r="W424" s="132"/>
      <c r="X424" s="132"/>
      <c r="Y424" s="132"/>
      <c r="Z424" s="132"/>
    </row>
    <row r="425" spans="1:26" ht="11.25" customHeight="1" x14ac:dyDescent="0.3">
      <c r="A425" s="132"/>
      <c r="B425" s="132"/>
      <c r="C425" s="132"/>
      <c r="D425" s="132"/>
      <c r="E425" s="132"/>
      <c r="F425" s="132"/>
      <c r="G425" s="132"/>
      <c r="H425" s="132"/>
      <c r="I425" s="132"/>
      <c r="J425" s="132"/>
      <c r="K425" s="132"/>
      <c r="L425" s="132"/>
      <c r="M425" s="132"/>
      <c r="N425" s="132"/>
      <c r="O425" s="132"/>
      <c r="P425" s="132"/>
      <c r="Q425" s="132"/>
      <c r="R425" s="132"/>
      <c r="S425" s="132"/>
      <c r="T425" s="132"/>
      <c r="U425" s="132"/>
      <c r="V425" s="132"/>
      <c r="W425" s="132"/>
      <c r="X425" s="132"/>
      <c r="Y425" s="132"/>
      <c r="Z425" s="132"/>
    </row>
    <row r="426" spans="1:26" ht="11.25" customHeight="1" x14ac:dyDescent="0.3">
      <c r="A426" s="132"/>
      <c r="B426" s="132"/>
      <c r="C426" s="132"/>
      <c r="D426" s="132"/>
      <c r="E426" s="132"/>
      <c r="F426" s="132"/>
      <c r="G426" s="132"/>
      <c r="H426" s="132"/>
      <c r="I426" s="132"/>
      <c r="J426" s="132"/>
      <c r="K426" s="132"/>
      <c r="L426" s="132"/>
      <c r="M426" s="132"/>
      <c r="N426" s="132"/>
      <c r="O426" s="132"/>
      <c r="P426" s="132"/>
      <c r="Q426" s="132"/>
      <c r="R426" s="132"/>
      <c r="S426" s="132"/>
      <c r="T426" s="132"/>
      <c r="U426" s="132"/>
      <c r="V426" s="132"/>
      <c r="W426" s="132"/>
      <c r="X426" s="132"/>
      <c r="Y426" s="132"/>
      <c r="Z426" s="132"/>
    </row>
    <row r="427" spans="1:26" ht="11.25" customHeight="1" x14ac:dyDescent="0.3">
      <c r="A427" s="132"/>
      <c r="B427" s="132"/>
      <c r="C427" s="132"/>
      <c r="D427" s="132"/>
      <c r="E427" s="132"/>
      <c r="F427" s="132"/>
      <c r="G427" s="132"/>
      <c r="H427" s="132"/>
      <c r="I427" s="132"/>
      <c r="J427" s="132"/>
      <c r="K427" s="132"/>
      <c r="L427" s="132"/>
      <c r="M427" s="132"/>
      <c r="N427" s="132"/>
      <c r="O427" s="132"/>
      <c r="P427" s="132"/>
      <c r="Q427" s="132"/>
      <c r="R427" s="132"/>
      <c r="S427" s="132"/>
      <c r="T427" s="132"/>
      <c r="U427" s="132"/>
      <c r="V427" s="132"/>
      <c r="W427" s="132"/>
      <c r="X427" s="132"/>
      <c r="Y427" s="132"/>
      <c r="Z427" s="132"/>
    </row>
    <row r="428" spans="1:26" ht="11.25" customHeight="1" x14ac:dyDescent="0.3">
      <c r="A428" s="132"/>
      <c r="B428" s="132"/>
      <c r="C428" s="132"/>
      <c r="D428" s="132"/>
      <c r="E428" s="132"/>
      <c r="F428" s="132"/>
      <c r="G428" s="132"/>
      <c r="H428" s="132"/>
      <c r="I428" s="132"/>
      <c r="J428" s="132"/>
      <c r="K428" s="132"/>
      <c r="L428" s="132"/>
      <c r="M428" s="132"/>
      <c r="N428" s="132"/>
      <c r="O428" s="132"/>
      <c r="P428" s="132"/>
      <c r="Q428" s="132"/>
      <c r="R428" s="132"/>
      <c r="S428" s="132"/>
      <c r="T428" s="132"/>
      <c r="U428" s="132"/>
      <c r="V428" s="132"/>
      <c r="W428" s="132"/>
      <c r="X428" s="132"/>
      <c r="Y428" s="132"/>
      <c r="Z428" s="132"/>
    </row>
    <row r="429" spans="1:26" ht="11.25" customHeight="1" x14ac:dyDescent="0.3">
      <c r="A429" s="132"/>
      <c r="B429" s="132"/>
      <c r="C429" s="132"/>
      <c r="D429" s="132"/>
      <c r="E429" s="132"/>
      <c r="F429" s="132"/>
      <c r="G429" s="132"/>
      <c r="H429" s="132"/>
      <c r="I429" s="132"/>
      <c r="J429" s="132"/>
      <c r="K429" s="132"/>
      <c r="L429" s="132"/>
      <c r="M429" s="132"/>
      <c r="N429" s="132"/>
      <c r="O429" s="132"/>
      <c r="P429" s="132"/>
      <c r="Q429" s="132"/>
      <c r="R429" s="132"/>
      <c r="S429" s="132"/>
      <c r="T429" s="132"/>
      <c r="U429" s="132"/>
      <c r="V429" s="132"/>
      <c r="W429" s="132"/>
      <c r="X429" s="132"/>
      <c r="Y429" s="132"/>
      <c r="Z429" s="132"/>
    </row>
    <row r="430" spans="1:26" ht="11.25" customHeight="1" x14ac:dyDescent="0.3">
      <c r="A430" s="132"/>
      <c r="B430" s="132"/>
      <c r="C430" s="132"/>
      <c r="D430" s="132"/>
      <c r="E430" s="132"/>
      <c r="F430" s="132"/>
      <c r="G430" s="132"/>
      <c r="H430" s="132"/>
      <c r="I430" s="132"/>
      <c r="J430" s="132"/>
      <c r="K430" s="132"/>
      <c r="L430" s="132"/>
      <c r="M430" s="132"/>
      <c r="N430" s="132"/>
      <c r="O430" s="132"/>
      <c r="P430" s="132"/>
      <c r="Q430" s="132"/>
      <c r="R430" s="132"/>
      <c r="S430" s="132"/>
      <c r="T430" s="132"/>
      <c r="U430" s="132"/>
      <c r="V430" s="132"/>
      <c r="W430" s="132"/>
      <c r="X430" s="132"/>
      <c r="Y430" s="132"/>
      <c r="Z430" s="132"/>
    </row>
    <row r="431" spans="1:26" ht="11.25" customHeight="1" x14ac:dyDescent="0.3">
      <c r="A431" s="132"/>
      <c r="B431" s="132"/>
      <c r="C431" s="132"/>
      <c r="D431" s="132"/>
      <c r="E431" s="132"/>
      <c r="F431" s="132"/>
      <c r="G431" s="132"/>
      <c r="H431" s="132"/>
      <c r="I431" s="132"/>
      <c r="J431" s="132"/>
      <c r="K431" s="132"/>
      <c r="L431" s="132"/>
      <c r="M431" s="132"/>
      <c r="N431" s="132"/>
      <c r="O431" s="132"/>
      <c r="P431" s="132"/>
      <c r="Q431" s="132"/>
      <c r="R431" s="132"/>
      <c r="S431" s="132"/>
      <c r="T431" s="132"/>
      <c r="U431" s="132"/>
      <c r="V431" s="132"/>
      <c r="W431" s="132"/>
      <c r="X431" s="132"/>
      <c r="Y431" s="132"/>
      <c r="Z431" s="132"/>
    </row>
    <row r="432" spans="1:26" ht="11.25" customHeight="1" x14ac:dyDescent="0.3">
      <c r="A432" s="132"/>
      <c r="B432" s="132"/>
      <c r="C432" s="132"/>
      <c r="D432" s="132"/>
      <c r="E432" s="132"/>
      <c r="F432" s="132"/>
      <c r="G432" s="132"/>
      <c r="H432" s="132"/>
      <c r="I432" s="132"/>
      <c r="J432" s="132"/>
      <c r="K432" s="132"/>
      <c r="L432" s="132"/>
      <c r="M432" s="132"/>
      <c r="N432" s="132"/>
      <c r="O432" s="132"/>
      <c r="P432" s="132"/>
      <c r="Q432" s="132"/>
      <c r="R432" s="132"/>
      <c r="S432" s="132"/>
      <c r="T432" s="132"/>
      <c r="U432" s="132"/>
      <c r="V432" s="132"/>
      <c r="W432" s="132"/>
      <c r="X432" s="132"/>
      <c r="Y432" s="132"/>
      <c r="Z432" s="132"/>
    </row>
    <row r="433" spans="1:26" ht="11.25" customHeight="1" x14ac:dyDescent="0.3">
      <c r="A433" s="132"/>
      <c r="B433" s="132"/>
      <c r="C433" s="132"/>
      <c r="D433" s="132"/>
      <c r="E433" s="132"/>
      <c r="F433" s="132"/>
      <c r="G433" s="132"/>
      <c r="H433" s="132"/>
      <c r="I433" s="132"/>
      <c r="J433" s="132"/>
      <c r="K433" s="132"/>
      <c r="L433" s="132"/>
      <c r="M433" s="132"/>
      <c r="N433" s="132"/>
      <c r="O433" s="132"/>
      <c r="P433" s="132"/>
      <c r="Q433" s="132"/>
      <c r="R433" s="132"/>
      <c r="S433" s="132"/>
      <c r="T433" s="132"/>
      <c r="U433" s="132"/>
      <c r="V433" s="132"/>
      <c r="W433" s="132"/>
      <c r="X433" s="132"/>
      <c r="Y433" s="132"/>
      <c r="Z433" s="132"/>
    </row>
    <row r="434" spans="1:26" ht="11.25" customHeight="1" x14ac:dyDescent="0.3">
      <c r="A434" s="132"/>
      <c r="B434" s="132"/>
      <c r="C434" s="132"/>
      <c r="D434" s="132"/>
      <c r="E434" s="132"/>
      <c r="F434" s="132"/>
      <c r="G434" s="132"/>
      <c r="H434" s="132"/>
      <c r="I434" s="132"/>
      <c r="J434" s="132"/>
      <c r="K434" s="132"/>
      <c r="L434" s="132"/>
      <c r="M434" s="132"/>
      <c r="N434" s="132"/>
      <c r="O434" s="132"/>
      <c r="P434" s="132"/>
      <c r="Q434" s="132"/>
      <c r="R434" s="132"/>
      <c r="S434" s="132"/>
      <c r="T434" s="132"/>
      <c r="U434" s="132"/>
      <c r="V434" s="132"/>
      <c r="W434" s="132"/>
      <c r="X434" s="132"/>
      <c r="Y434" s="132"/>
      <c r="Z434" s="132"/>
    </row>
    <row r="435" spans="1:26" ht="11.25" customHeight="1" x14ac:dyDescent="0.3">
      <c r="A435" s="132"/>
      <c r="B435" s="132"/>
      <c r="C435" s="132"/>
      <c r="D435" s="132"/>
      <c r="E435" s="132"/>
      <c r="F435" s="132"/>
      <c r="G435" s="132"/>
      <c r="H435" s="132"/>
      <c r="I435" s="132"/>
      <c r="J435" s="132"/>
      <c r="K435" s="132"/>
      <c r="L435" s="132"/>
      <c r="M435" s="132"/>
      <c r="N435" s="132"/>
      <c r="O435" s="132"/>
      <c r="P435" s="132"/>
      <c r="Q435" s="132"/>
      <c r="R435" s="132"/>
      <c r="S435" s="132"/>
      <c r="T435" s="132"/>
      <c r="U435" s="132"/>
      <c r="V435" s="132"/>
      <c r="W435" s="132"/>
      <c r="X435" s="132"/>
      <c r="Y435" s="132"/>
      <c r="Z435" s="132"/>
    </row>
    <row r="436" spans="1:26" ht="11.25" customHeight="1" x14ac:dyDescent="0.3">
      <c r="A436" s="132"/>
      <c r="B436" s="132"/>
      <c r="C436" s="132"/>
      <c r="D436" s="132"/>
      <c r="E436" s="132"/>
      <c r="F436" s="132"/>
      <c r="G436" s="132"/>
      <c r="H436" s="132"/>
      <c r="I436" s="132"/>
      <c r="J436" s="132"/>
      <c r="K436" s="132"/>
      <c r="L436" s="132"/>
      <c r="M436" s="132"/>
      <c r="N436" s="132"/>
      <c r="O436" s="132"/>
      <c r="P436" s="132"/>
      <c r="Q436" s="132"/>
      <c r="R436" s="132"/>
      <c r="S436" s="132"/>
      <c r="T436" s="132"/>
      <c r="U436" s="132"/>
      <c r="V436" s="132"/>
      <c r="W436" s="132"/>
      <c r="X436" s="132"/>
      <c r="Y436" s="132"/>
      <c r="Z436" s="132"/>
    </row>
    <row r="437" spans="1:26" ht="11.25" customHeight="1" x14ac:dyDescent="0.3">
      <c r="A437" s="132"/>
      <c r="B437" s="132"/>
      <c r="C437" s="132"/>
      <c r="D437" s="132"/>
      <c r="E437" s="132"/>
      <c r="F437" s="132"/>
      <c r="G437" s="132"/>
      <c r="H437" s="132"/>
      <c r="I437" s="132"/>
      <c r="J437" s="132"/>
      <c r="K437" s="132"/>
      <c r="L437" s="132"/>
      <c r="M437" s="132"/>
      <c r="N437" s="132"/>
      <c r="O437" s="132"/>
      <c r="P437" s="132"/>
      <c r="Q437" s="132"/>
      <c r="R437" s="132"/>
      <c r="S437" s="132"/>
      <c r="T437" s="132"/>
      <c r="U437" s="132"/>
      <c r="V437" s="132"/>
      <c r="W437" s="132"/>
      <c r="X437" s="132"/>
      <c r="Y437" s="132"/>
      <c r="Z437" s="132"/>
    </row>
    <row r="438" spans="1:26" ht="11.25" customHeight="1" x14ac:dyDescent="0.3">
      <c r="A438" s="132"/>
      <c r="B438" s="132"/>
      <c r="C438" s="132"/>
      <c r="D438" s="132"/>
      <c r="E438" s="132"/>
      <c r="F438" s="132"/>
      <c r="G438" s="132"/>
      <c r="H438" s="132"/>
      <c r="I438" s="132"/>
      <c r="J438" s="132"/>
      <c r="K438" s="132"/>
      <c r="L438" s="132"/>
      <c r="M438" s="132"/>
      <c r="N438" s="132"/>
      <c r="O438" s="132"/>
      <c r="P438" s="132"/>
      <c r="Q438" s="132"/>
      <c r="R438" s="132"/>
      <c r="S438" s="132"/>
      <c r="T438" s="132"/>
      <c r="U438" s="132"/>
      <c r="V438" s="132"/>
      <c r="W438" s="132"/>
      <c r="X438" s="132"/>
      <c r="Y438" s="132"/>
      <c r="Z438" s="132"/>
    </row>
    <row r="439" spans="1:26" ht="11.25" customHeight="1" x14ac:dyDescent="0.3">
      <c r="A439" s="132"/>
      <c r="B439" s="132"/>
      <c r="C439" s="132"/>
      <c r="D439" s="132"/>
      <c r="E439" s="132"/>
      <c r="F439" s="132"/>
      <c r="G439" s="132"/>
      <c r="H439" s="132"/>
      <c r="I439" s="132"/>
      <c r="J439" s="132"/>
      <c r="K439" s="132"/>
      <c r="L439" s="132"/>
      <c r="M439" s="132"/>
      <c r="N439" s="132"/>
      <c r="O439" s="132"/>
      <c r="P439" s="132"/>
      <c r="Q439" s="132"/>
      <c r="R439" s="132"/>
      <c r="S439" s="132"/>
      <c r="T439" s="132"/>
      <c r="U439" s="132"/>
      <c r="V439" s="132"/>
      <c r="W439" s="132"/>
      <c r="X439" s="132"/>
      <c r="Y439" s="132"/>
      <c r="Z439" s="132"/>
    </row>
    <row r="440" spans="1:26" ht="11.25" customHeight="1" x14ac:dyDescent="0.3">
      <c r="A440" s="132"/>
      <c r="B440" s="132"/>
      <c r="C440" s="132"/>
      <c r="D440" s="132"/>
      <c r="E440" s="132"/>
      <c r="F440" s="132"/>
      <c r="G440" s="132"/>
      <c r="H440" s="132"/>
      <c r="I440" s="132"/>
      <c r="J440" s="132"/>
      <c r="K440" s="132"/>
      <c r="L440" s="132"/>
      <c r="M440" s="132"/>
      <c r="N440" s="132"/>
      <c r="O440" s="132"/>
      <c r="P440" s="132"/>
      <c r="Q440" s="132"/>
      <c r="R440" s="132"/>
      <c r="S440" s="132"/>
      <c r="T440" s="132"/>
      <c r="U440" s="132"/>
      <c r="V440" s="132"/>
      <c r="W440" s="132"/>
      <c r="X440" s="132"/>
      <c r="Y440" s="132"/>
      <c r="Z440" s="132"/>
    </row>
    <row r="441" spans="1:26" ht="11.25" customHeight="1" x14ac:dyDescent="0.3">
      <c r="A441" s="132"/>
      <c r="B441" s="132"/>
      <c r="C441" s="132"/>
      <c r="D441" s="132"/>
      <c r="E441" s="132"/>
      <c r="F441" s="132"/>
      <c r="G441" s="132"/>
      <c r="H441" s="132"/>
      <c r="I441" s="132"/>
      <c r="J441" s="132"/>
      <c r="K441" s="132"/>
      <c r="L441" s="132"/>
      <c r="M441" s="132"/>
      <c r="N441" s="132"/>
      <c r="O441" s="132"/>
      <c r="P441" s="132"/>
      <c r="Q441" s="132"/>
      <c r="R441" s="132"/>
      <c r="S441" s="132"/>
      <c r="T441" s="132"/>
      <c r="U441" s="132"/>
      <c r="V441" s="132"/>
      <c r="W441" s="132"/>
      <c r="X441" s="132"/>
      <c r="Y441" s="132"/>
      <c r="Z441" s="132"/>
    </row>
    <row r="442" spans="1:26" ht="11.25" customHeight="1" x14ac:dyDescent="0.3">
      <c r="A442" s="132"/>
      <c r="B442" s="132"/>
      <c r="C442" s="132"/>
      <c r="D442" s="132"/>
      <c r="E442" s="132"/>
      <c r="F442" s="132"/>
      <c r="G442" s="132"/>
      <c r="H442" s="132"/>
      <c r="I442" s="132"/>
      <c r="J442" s="132"/>
      <c r="K442" s="132"/>
      <c r="L442" s="132"/>
      <c r="M442" s="132"/>
      <c r="N442" s="132"/>
      <c r="O442" s="132"/>
      <c r="P442" s="132"/>
      <c r="Q442" s="132"/>
      <c r="R442" s="132"/>
      <c r="S442" s="132"/>
      <c r="T442" s="132"/>
      <c r="U442" s="132"/>
      <c r="V442" s="132"/>
      <c r="W442" s="132"/>
      <c r="X442" s="132"/>
      <c r="Y442" s="132"/>
      <c r="Z442" s="132"/>
    </row>
    <row r="443" spans="1:26" ht="11.25" customHeight="1" x14ac:dyDescent="0.3">
      <c r="A443" s="132"/>
      <c r="B443" s="132"/>
      <c r="C443" s="132"/>
      <c r="D443" s="132"/>
      <c r="E443" s="132"/>
      <c r="F443" s="132"/>
      <c r="G443" s="132"/>
      <c r="H443" s="132"/>
      <c r="I443" s="132"/>
      <c r="J443" s="132"/>
      <c r="K443" s="132"/>
      <c r="L443" s="132"/>
      <c r="M443" s="132"/>
      <c r="N443" s="132"/>
      <c r="O443" s="132"/>
      <c r="P443" s="132"/>
      <c r="Q443" s="132"/>
      <c r="R443" s="132"/>
      <c r="S443" s="132"/>
      <c r="T443" s="132"/>
      <c r="U443" s="132"/>
      <c r="V443" s="132"/>
      <c r="W443" s="132"/>
      <c r="X443" s="132"/>
      <c r="Y443" s="132"/>
      <c r="Z443" s="132"/>
    </row>
    <row r="444" spans="1:26" ht="11.25" customHeight="1" x14ac:dyDescent="0.3">
      <c r="A444" s="132"/>
      <c r="B444" s="132"/>
      <c r="C444" s="132"/>
      <c r="D444" s="132"/>
      <c r="E444" s="132"/>
      <c r="F444" s="132"/>
      <c r="G444" s="132"/>
      <c r="H444" s="132"/>
      <c r="I444" s="132"/>
      <c r="J444" s="132"/>
      <c r="K444" s="132"/>
      <c r="L444" s="132"/>
      <c r="M444" s="132"/>
      <c r="N444" s="132"/>
      <c r="O444" s="132"/>
      <c r="P444" s="132"/>
      <c r="Q444" s="132"/>
      <c r="R444" s="132"/>
      <c r="S444" s="132"/>
      <c r="T444" s="132"/>
      <c r="U444" s="132"/>
      <c r="V444" s="132"/>
      <c r="W444" s="132"/>
      <c r="X444" s="132"/>
      <c r="Y444" s="132"/>
      <c r="Z444" s="132"/>
    </row>
    <row r="445" spans="1:26" ht="11.25" customHeight="1" x14ac:dyDescent="0.3">
      <c r="A445" s="132"/>
      <c r="B445" s="132"/>
      <c r="C445" s="132"/>
      <c r="D445" s="132"/>
      <c r="E445" s="132"/>
      <c r="F445" s="132"/>
      <c r="G445" s="132"/>
      <c r="H445" s="132"/>
      <c r="I445" s="132"/>
      <c r="J445" s="132"/>
      <c r="K445" s="132"/>
      <c r="L445" s="132"/>
      <c r="M445" s="132"/>
      <c r="N445" s="132"/>
      <c r="O445" s="132"/>
      <c r="P445" s="132"/>
      <c r="Q445" s="132"/>
      <c r="R445" s="132"/>
      <c r="S445" s="132"/>
      <c r="T445" s="132"/>
      <c r="U445" s="132"/>
      <c r="V445" s="132"/>
      <c r="W445" s="132"/>
      <c r="X445" s="132"/>
      <c r="Y445" s="132"/>
      <c r="Z445" s="132"/>
    </row>
    <row r="446" spans="1:26" ht="11.25" customHeight="1" x14ac:dyDescent="0.3">
      <c r="A446" s="132"/>
      <c r="B446" s="132"/>
      <c r="C446" s="132"/>
      <c r="D446" s="132"/>
      <c r="E446" s="132"/>
      <c r="F446" s="132"/>
      <c r="G446" s="132"/>
      <c r="H446" s="132"/>
      <c r="I446" s="132"/>
      <c r="J446" s="132"/>
      <c r="K446" s="132"/>
      <c r="L446" s="132"/>
      <c r="M446" s="132"/>
      <c r="N446" s="132"/>
      <c r="O446" s="132"/>
      <c r="P446" s="132"/>
      <c r="Q446" s="132"/>
      <c r="R446" s="132"/>
      <c r="S446" s="132"/>
      <c r="T446" s="132"/>
      <c r="U446" s="132"/>
      <c r="V446" s="132"/>
      <c r="W446" s="132"/>
      <c r="X446" s="132"/>
      <c r="Y446" s="132"/>
      <c r="Z446" s="132"/>
    </row>
    <row r="447" spans="1:26" ht="11.25" customHeight="1" x14ac:dyDescent="0.3">
      <c r="A447" s="132"/>
      <c r="B447" s="132"/>
      <c r="C447" s="132"/>
      <c r="D447" s="132"/>
      <c r="E447" s="132"/>
      <c r="F447" s="132"/>
      <c r="G447" s="132"/>
      <c r="H447" s="132"/>
      <c r="I447" s="132"/>
      <c r="J447" s="132"/>
      <c r="K447" s="132"/>
      <c r="L447" s="132"/>
      <c r="M447" s="132"/>
      <c r="N447" s="132"/>
      <c r="O447" s="132"/>
      <c r="P447" s="132"/>
      <c r="Q447" s="132"/>
      <c r="R447" s="132"/>
      <c r="S447" s="132"/>
      <c r="T447" s="132"/>
      <c r="U447" s="132"/>
      <c r="V447" s="132"/>
      <c r="W447" s="132"/>
      <c r="X447" s="132"/>
      <c r="Y447" s="132"/>
      <c r="Z447" s="132"/>
    </row>
    <row r="448" spans="1:26" ht="11.25" customHeight="1" x14ac:dyDescent="0.3">
      <c r="A448" s="132"/>
      <c r="B448" s="132"/>
      <c r="C448" s="132"/>
      <c r="D448" s="132"/>
      <c r="E448" s="132"/>
      <c r="F448" s="132"/>
      <c r="G448" s="132"/>
      <c r="H448" s="132"/>
      <c r="I448" s="132"/>
      <c r="J448" s="132"/>
      <c r="K448" s="132"/>
      <c r="L448" s="132"/>
      <c r="M448" s="132"/>
      <c r="N448" s="132"/>
      <c r="O448" s="132"/>
      <c r="P448" s="132"/>
      <c r="Q448" s="132"/>
      <c r="R448" s="132"/>
      <c r="S448" s="132"/>
      <c r="T448" s="132"/>
      <c r="U448" s="132"/>
      <c r="V448" s="132"/>
      <c r="W448" s="132"/>
      <c r="X448" s="132"/>
      <c r="Y448" s="132"/>
      <c r="Z448" s="132"/>
    </row>
    <row r="449" spans="1:26" ht="11.25" customHeight="1" x14ac:dyDescent="0.3">
      <c r="A449" s="132"/>
      <c r="B449" s="132"/>
      <c r="C449" s="132"/>
      <c r="D449" s="132"/>
      <c r="E449" s="132"/>
      <c r="F449" s="132"/>
      <c r="G449" s="132"/>
      <c r="H449" s="132"/>
      <c r="I449" s="132"/>
      <c r="J449" s="132"/>
      <c r="K449" s="132"/>
      <c r="L449" s="132"/>
      <c r="M449" s="132"/>
      <c r="N449" s="132"/>
      <c r="O449" s="132"/>
      <c r="P449" s="132"/>
      <c r="Q449" s="132"/>
      <c r="R449" s="132"/>
      <c r="S449" s="132"/>
      <c r="T449" s="132"/>
      <c r="U449" s="132"/>
      <c r="V449" s="132"/>
      <c r="W449" s="132"/>
      <c r="X449" s="132"/>
      <c r="Y449" s="132"/>
      <c r="Z449" s="132"/>
    </row>
    <row r="450" spans="1:26" ht="11.25" customHeight="1" x14ac:dyDescent="0.3">
      <c r="A450" s="132"/>
      <c r="B450" s="132"/>
      <c r="C450" s="132"/>
      <c r="D450" s="132"/>
      <c r="E450" s="132"/>
      <c r="F450" s="132"/>
      <c r="G450" s="132"/>
      <c r="H450" s="132"/>
      <c r="I450" s="132"/>
      <c r="J450" s="132"/>
      <c r="K450" s="132"/>
      <c r="L450" s="132"/>
      <c r="M450" s="132"/>
      <c r="N450" s="132"/>
      <c r="O450" s="132"/>
      <c r="P450" s="132"/>
      <c r="Q450" s="132"/>
      <c r="R450" s="132"/>
      <c r="S450" s="132"/>
      <c r="T450" s="132"/>
      <c r="U450" s="132"/>
      <c r="V450" s="132"/>
      <c r="W450" s="132"/>
      <c r="X450" s="132"/>
      <c r="Y450" s="132"/>
      <c r="Z450" s="132"/>
    </row>
    <row r="451" spans="1:26" ht="11.25" customHeight="1" x14ac:dyDescent="0.3">
      <c r="A451" s="132"/>
      <c r="B451" s="132"/>
      <c r="C451" s="132"/>
      <c r="D451" s="132"/>
      <c r="E451" s="132"/>
      <c r="F451" s="132"/>
      <c r="G451" s="132"/>
      <c r="H451" s="132"/>
      <c r="I451" s="132"/>
      <c r="J451" s="132"/>
      <c r="K451" s="132"/>
      <c r="L451" s="132"/>
      <c r="M451" s="132"/>
      <c r="N451" s="132"/>
      <c r="O451" s="132"/>
      <c r="P451" s="132"/>
      <c r="Q451" s="132"/>
      <c r="R451" s="132"/>
      <c r="S451" s="132"/>
      <c r="T451" s="132"/>
      <c r="U451" s="132"/>
      <c r="V451" s="132"/>
      <c r="W451" s="132"/>
      <c r="X451" s="132"/>
      <c r="Y451" s="132"/>
      <c r="Z451" s="132"/>
    </row>
    <row r="452" spans="1:26" ht="11.25" customHeight="1" x14ac:dyDescent="0.3">
      <c r="A452" s="132"/>
      <c r="B452" s="132"/>
      <c r="C452" s="132"/>
      <c r="D452" s="132"/>
      <c r="E452" s="132"/>
      <c r="F452" s="132"/>
      <c r="G452" s="132"/>
      <c r="H452" s="132"/>
      <c r="I452" s="132"/>
      <c r="J452" s="132"/>
      <c r="K452" s="132"/>
      <c r="L452" s="132"/>
      <c r="M452" s="132"/>
      <c r="N452" s="132"/>
      <c r="O452" s="132"/>
      <c r="P452" s="132"/>
      <c r="Q452" s="132"/>
      <c r="R452" s="132"/>
      <c r="S452" s="132"/>
      <c r="T452" s="132"/>
      <c r="U452" s="132"/>
      <c r="V452" s="132"/>
      <c r="W452" s="132"/>
      <c r="X452" s="132"/>
      <c r="Y452" s="132"/>
      <c r="Z452" s="132"/>
    </row>
    <row r="453" spans="1:26" ht="11.25" customHeight="1" x14ac:dyDescent="0.3">
      <c r="A453" s="132"/>
      <c r="B453" s="132"/>
      <c r="C453" s="132"/>
      <c r="D453" s="132"/>
      <c r="E453" s="132"/>
      <c r="F453" s="132"/>
      <c r="G453" s="132"/>
      <c r="H453" s="132"/>
      <c r="I453" s="132"/>
      <c r="J453" s="132"/>
      <c r="K453" s="132"/>
      <c r="L453" s="132"/>
      <c r="M453" s="132"/>
      <c r="N453" s="132"/>
      <c r="O453" s="132"/>
      <c r="P453" s="132"/>
      <c r="Q453" s="132"/>
      <c r="R453" s="132"/>
      <c r="S453" s="132"/>
      <c r="T453" s="132"/>
      <c r="U453" s="132"/>
      <c r="V453" s="132"/>
      <c r="W453" s="132"/>
      <c r="X453" s="132"/>
      <c r="Y453" s="132"/>
      <c r="Z453" s="132"/>
    </row>
    <row r="454" spans="1:26" ht="11.25" customHeight="1" x14ac:dyDescent="0.3">
      <c r="A454" s="132"/>
      <c r="B454" s="132"/>
      <c r="C454" s="132"/>
      <c r="D454" s="132"/>
      <c r="E454" s="132"/>
      <c r="F454" s="132"/>
      <c r="G454" s="132"/>
      <c r="H454" s="132"/>
      <c r="I454" s="132"/>
      <c r="J454" s="132"/>
      <c r="K454" s="132"/>
      <c r="L454" s="132"/>
      <c r="M454" s="132"/>
      <c r="N454" s="132"/>
      <c r="O454" s="132"/>
      <c r="P454" s="132"/>
      <c r="Q454" s="132"/>
      <c r="R454" s="132"/>
      <c r="S454" s="132"/>
      <c r="T454" s="132"/>
      <c r="U454" s="132"/>
      <c r="V454" s="132"/>
      <c r="W454" s="132"/>
      <c r="X454" s="132"/>
      <c r="Y454" s="132"/>
      <c r="Z454" s="132"/>
    </row>
    <row r="455" spans="1:26" ht="11.25" customHeight="1" x14ac:dyDescent="0.3">
      <c r="A455" s="132"/>
      <c r="B455" s="132"/>
      <c r="C455" s="132"/>
      <c r="D455" s="132"/>
      <c r="E455" s="132"/>
      <c r="F455" s="132"/>
      <c r="G455" s="132"/>
      <c r="H455" s="132"/>
      <c r="I455" s="132"/>
      <c r="J455" s="132"/>
      <c r="K455" s="132"/>
      <c r="L455" s="132"/>
      <c r="M455" s="132"/>
      <c r="N455" s="132"/>
      <c r="O455" s="132"/>
      <c r="P455" s="132"/>
      <c r="Q455" s="132"/>
      <c r="R455" s="132"/>
      <c r="S455" s="132"/>
      <c r="T455" s="132"/>
      <c r="U455" s="132"/>
      <c r="V455" s="132"/>
      <c r="W455" s="132"/>
      <c r="X455" s="132"/>
      <c r="Y455" s="132"/>
      <c r="Z455" s="132"/>
    </row>
    <row r="456" spans="1:26" ht="11.25" customHeight="1" x14ac:dyDescent="0.3">
      <c r="A456" s="132"/>
      <c r="B456" s="132"/>
      <c r="C456" s="132"/>
      <c r="D456" s="132"/>
      <c r="E456" s="132"/>
      <c r="F456" s="132"/>
      <c r="G456" s="132"/>
      <c r="H456" s="132"/>
      <c r="I456" s="132"/>
      <c r="J456" s="132"/>
      <c r="K456" s="132"/>
      <c r="L456" s="132"/>
      <c r="M456" s="132"/>
      <c r="N456" s="132"/>
      <c r="O456" s="132"/>
      <c r="P456" s="132"/>
      <c r="Q456" s="132"/>
      <c r="R456" s="132"/>
      <c r="S456" s="132"/>
      <c r="T456" s="132"/>
      <c r="U456" s="132"/>
      <c r="V456" s="132"/>
      <c r="W456" s="132"/>
      <c r="X456" s="132"/>
      <c r="Y456" s="132"/>
      <c r="Z456" s="132"/>
    </row>
    <row r="457" spans="1:26" ht="11.25" customHeight="1" x14ac:dyDescent="0.3">
      <c r="A457" s="132"/>
      <c r="B457" s="132"/>
      <c r="C457" s="132"/>
      <c r="D457" s="132"/>
      <c r="E457" s="132"/>
      <c r="F457" s="132"/>
      <c r="G457" s="132"/>
      <c r="H457" s="132"/>
      <c r="I457" s="132"/>
      <c r="J457" s="132"/>
      <c r="K457" s="132"/>
      <c r="L457" s="132"/>
      <c r="M457" s="132"/>
      <c r="N457" s="132"/>
      <c r="O457" s="132"/>
      <c r="P457" s="132"/>
      <c r="Q457" s="132"/>
      <c r="R457" s="132"/>
      <c r="S457" s="132"/>
      <c r="T457" s="132"/>
      <c r="U457" s="132"/>
      <c r="V457" s="132"/>
      <c r="W457" s="132"/>
      <c r="X457" s="132"/>
      <c r="Y457" s="132"/>
      <c r="Z457" s="132"/>
    </row>
    <row r="458" spans="1:26" ht="11.25" customHeight="1" x14ac:dyDescent="0.3">
      <c r="A458" s="132"/>
      <c r="B458" s="132"/>
      <c r="C458" s="132"/>
      <c r="D458" s="132"/>
      <c r="E458" s="132"/>
      <c r="F458" s="132"/>
      <c r="G458" s="132"/>
      <c r="H458" s="132"/>
      <c r="I458" s="132"/>
      <c r="J458" s="132"/>
      <c r="K458" s="132"/>
      <c r="L458" s="132"/>
      <c r="M458" s="132"/>
      <c r="N458" s="132"/>
      <c r="O458" s="132"/>
      <c r="P458" s="132"/>
      <c r="Q458" s="132"/>
      <c r="R458" s="132"/>
      <c r="S458" s="132"/>
      <c r="T458" s="132"/>
      <c r="U458" s="132"/>
      <c r="V458" s="132"/>
      <c r="W458" s="132"/>
      <c r="X458" s="132"/>
      <c r="Y458" s="132"/>
      <c r="Z458" s="132"/>
    </row>
    <row r="459" spans="1:26" ht="11.25" customHeight="1" x14ac:dyDescent="0.3">
      <c r="A459" s="132"/>
      <c r="B459" s="132"/>
      <c r="C459" s="132"/>
      <c r="D459" s="132"/>
      <c r="E459" s="132"/>
      <c r="F459" s="132"/>
      <c r="G459" s="132"/>
      <c r="H459" s="132"/>
      <c r="I459" s="132"/>
      <c r="J459" s="132"/>
      <c r="K459" s="132"/>
      <c r="L459" s="132"/>
      <c r="M459" s="132"/>
      <c r="N459" s="132"/>
      <c r="O459" s="132"/>
      <c r="P459" s="132"/>
      <c r="Q459" s="132"/>
      <c r="R459" s="132"/>
      <c r="S459" s="132"/>
      <c r="T459" s="132"/>
      <c r="U459" s="132"/>
      <c r="V459" s="132"/>
      <c r="W459" s="132"/>
      <c r="X459" s="132"/>
      <c r="Y459" s="132"/>
      <c r="Z459" s="132"/>
    </row>
    <row r="460" spans="1:26" ht="11.25" customHeight="1" x14ac:dyDescent="0.3">
      <c r="A460" s="132"/>
      <c r="B460" s="132"/>
      <c r="C460" s="132"/>
      <c r="D460" s="132"/>
      <c r="E460" s="132"/>
      <c r="F460" s="132"/>
      <c r="G460" s="132"/>
      <c r="H460" s="132"/>
      <c r="I460" s="132"/>
      <c r="J460" s="132"/>
      <c r="K460" s="132"/>
      <c r="L460" s="132"/>
      <c r="M460" s="132"/>
      <c r="N460" s="132"/>
      <c r="O460" s="132"/>
      <c r="P460" s="132"/>
      <c r="Q460" s="132"/>
      <c r="R460" s="132"/>
      <c r="S460" s="132"/>
      <c r="T460" s="132"/>
      <c r="U460" s="132"/>
      <c r="V460" s="132"/>
      <c r="W460" s="132"/>
      <c r="X460" s="132"/>
      <c r="Y460" s="132"/>
      <c r="Z460" s="132"/>
    </row>
    <row r="461" spans="1:26" ht="11.25" customHeight="1" x14ac:dyDescent="0.3">
      <c r="A461" s="132"/>
      <c r="B461" s="132"/>
      <c r="C461" s="132"/>
      <c r="D461" s="132"/>
      <c r="E461" s="132"/>
      <c r="F461" s="132"/>
      <c r="G461" s="132"/>
      <c r="H461" s="132"/>
      <c r="I461" s="132"/>
      <c r="J461" s="132"/>
      <c r="K461" s="132"/>
      <c r="L461" s="132"/>
      <c r="M461" s="132"/>
      <c r="N461" s="132"/>
      <c r="O461" s="132"/>
      <c r="P461" s="132"/>
      <c r="Q461" s="132"/>
      <c r="R461" s="132"/>
      <c r="S461" s="132"/>
      <c r="T461" s="132"/>
      <c r="U461" s="132"/>
      <c r="V461" s="132"/>
      <c r="W461" s="132"/>
      <c r="X461" s="132"/>
      <c r="Y461" s="132"/>
      <c r="Z461" s="132"/>
    </row>
    <row r="462" spans="1:26" ht="11.25" customHeight="1" x14ac:dyDescent="0.3">
      <c r="A462" s="132"/>
      <c r="B462" s="132"/>
      <c r="C462" s="132"/>
      <c r="D462" s="132"/>
      <c r="E462" s="132"/>
      <c r="F462" s="132"/>
      <c r="G462" s="132"/>
      <c r="H462" s="132"/>
      <c r="I462" s="132"/>
      <c r="J462" s="132"/>
      <c r="K462" s="132"/>
      <c r="L462" s="132"/>
      <c r="M462" s="132"/>
      <c r="N462" s="132"/>
      <c r="O462" s="132"/>
      <c r="P462" s="132"/>
      <c r="Q462" s="132"/>
      <c r="R462" s="132"/>
      <c r="S462" s="132"/>
      <c r="T462" s="132"/>
      <c r="U462" s="132"/>
      <c r="V462" s="132"/>
      <c r="W462" s="132"/>
      <c r="X462" s="132"/>
      <c r="Y462" s="132"/>
      <c r="Z462" s="132"/>
    </row>
    <row r="463" spans="1:26" ht="11.25" customHeight="1" x14ac:dyDescent="0.3">
      <c r="A463" s="132"/>
      <c r="B463" s="132"/>
      <c r="C463" s="132"/>
      <c r="D463" s="132"/>
      <c r="E463" s="132"/>
      <c r="F463" s="132"/>
      <c r="G463" s="132"/>
      <c r="H463" s="132"/>
      <c r="I463" s="132"/>
      <c r="J463" s="132"/>
      <c r="K463" s="132"/>
      <c r="L463" s="132"/>
      <c r="M463" s="132"/>
      <c r="N463" s="132"/>
      <c r="O463" s="132"/>
      <c r="P463" s="132"/>
      <c r="Q463" s="132"/>
      <c r="R463" s="132"/>
      <c r="S463" s="132"/>
      <c r="T463" s="132"/>
      <c r="U463" s="132"/>
      <c r="V463" s="132"/>
      <c r="W463" s="132"/>
      <c r="X463" s="132"/>
      <c r="Y463" s="132"/>
      <c r="Z463" s="132"/>
    </row>
    <row r="464" spans="1:26" ht="11.25" customHeight="1" x14ac:dyDescent="0.3">
      <c r="A464" s="132"/>
      <c r="B464" s="132"/>
      <c r="C464" s="132"/>
      <c r="D464" s="132"/>
      <c r="E464" s="132"/>
      <c r="F464" s="132"/>
      <c r="G464" s="132"/>
      <c r="H464" s="132"/>
      <c r="I464" s="132"/>
      <c r="J464" s="132"/>
      <c r="K464" s="132"/>
      <c r="L464" s="132"/>
      <c r="M464" s="132"/>
      <c r="N464" s="132"/>
      <c r="O464" s="132"/>
      <c r="P464" s="132"/>
      <c r="Q464" s="132"/>
      <c r="R464" s="132"/>
      <c r="S464" s="132"/>
      <c r="T464" s="132"/>
      <c r="U464" s="132"/>
      <c r="V464" s="132"/>
      <c r="W464" s="132"/>
      <c r="X464" s="132"/>
      <c r="Y464" s="132"/>
      <c r="Z464" s="132"/>
    </row>
    <row r="465" spans="1:26" ht="11.25" customHeight="1" x14ac:dyDescent="0.3">
      <c r="A465" s="132"/>
      <c r="B465" s="132"/>
      <c r="C465" s="132"/>
      <c r="D465" s="132"/>
      <c r="E465" s="132"/>
      <c r="F465" s="132"/>
      <c r="G465" s="132"/>
      <c r="H465" s="132"/>
      <c r="I465" s="132"/>
      <c r="J465" s="132"/>
      <c r="K465" s="132"/>
      <c r="L465" s="132"/>
      <c r="M465" s="132"/>
      <c r="N465" s="132"/>
      <c r="O465" s="132"/>
      <c r="P465" s="132"/>
      <c r="Q465" s="132"/>
      <c r="R465" s="132"/>
      <c r="S465" s="132"/>
      <c r="T465" s="132"/>
      <c r="U465" s="132"/>
      <c r="V465" s="132"/>
      <c r="W465" s="132"/>
      <c r="X465" s="132"/>
      <c r="Y465" s="132"/>
      <c r="Z465" s="132"/>
    </row>
    <row r="466" spans="1:26" ht="11.25" customHeight="1" x14ac:dyDescent="0.3">
      <c r="A466" s="132"/>
      <c r="B466" s="132"/>
      <c r="C466" s="132"/>
      <c r="D466" s="132"/>
      <c r="E466" s="132"/>
      <c r="F466" s="132"/>
      <c r="G466" s="132"/>
      <c r="H466" s="132"/>
      <c r="I466" s="132"/>
      <c r="J466" s="132"/>
      <c r="K466" s="132"/>
      <c r="L466" s="132"/>
      <c r="M466" s="132"/>
      <c r="N466" s="132"/>
      <c r="O466" s="132"/>
      <c r="P466" s="132"/>
      <c r="Q466" s="132"/>
      <c r="R466" s="132"/>
      <c r="S466" s="132"/>
      <c r="T466" s="132"/>
      <c r="U466" s="132"/>
      <c r="V466" s="132"/>
      <c r="W466" s="132"/>
      <c r="X466" s="132"/>
      <c r="Y466" s="132"/>
      <c r="Z466" s="132"/>
    </row>
    <row r="467" spans="1:26" ht="11.25" customHeight="1" x14ac:dyDescent="0.3">
      <c r="A467" s="132"/>
      <c r="B467" s="132"/>
      <c r="C467" s="132"/>
      <c r="D467" s="132"/>
      <c r="E467" s="132"/>
      <c r="F467" s="132"/>
      <c r="G467" s="132"/>
      <c r="H467" s="132"/>
      <c r="I467" s="132"/>
      <c r="J467" s="132"/>
      <c r="K467" s="132"/>
      <c r="L467" s="132"/>
      <c r="M467" s="132"/>
      <c r="N467" s="132"/>
      <c r="O467" s="132"/>
      <c r="P467" s="132"/>
      <c r="Q467" s="132"/>
      <c r="R467" s="132"/>
      <c r="S467" s="132"/>
      <c r="T467" s="132"/>
      <c r="U467" s="132"/>
      <c r="V467" s="132"/>
      <c r="W467" s="132"/>
      <c r="X467" s="132"/>
      <c r="Y467" s="132"/>
      <c r="Z467" s="132"/>
    </row>
    <row r="468" spans="1:26" ht="11.25" customHeight="1" x14ac:dyDescent="0.3">
      <c r="A468" s="132"/>
      <c r="B468" s="132"/>
      <c r="C468" s="132"/>
      <c r="D468" s="132"/>
      <c r="E468" s="132"/>
      <c r="F468" s="132"/>
      <c r="G468" s="132"/>
      <c r="H468" s="132"/>
      <c r="I468" s="132"/>
      <c r="J468" s="132"/>
      <c r="K468" s="132"/>
      <c r="L468" s="132"/>
      <c r="M468" s="132"/>
      <c r="N468" s="132"/>
      <c r="O468" s="132"/>
      <c r="P468" s="132"/>
      <c r="Q468" s="132"/>
      <c r="R468" s="132"/>
      <c r="S468" s="132"/>
      <c r="T468" s="132"/>
      <c r="U468" s="132"/>
      <c r="V468" s="132"/>
      <c r="W468" s="132"/>
      <c r="X468" s="132"/>
      <c r="Y468" s="132"/>
      <c r="Z468" s="132"/>
    </row>
    <row r="469" spans="1:26" ht="11.25" customHeight="1" x14ac:dyDescent="0.3">
      <c r="A469" s="132"/>
      <c r="B469" s="132"/>
      <c r="C469" s="132"/>
      <c r="D469" s="132"/>
      <c r="E469" s="132"/>
      <c r="F469" s="132"/>
      <c r="G469" s="132"/>
      <c r="H469" s="132"/>
      <c r="I469" s="132"/>
      <c r="J469" s="132"/>
      <c r="K469" s="132"/>
      <c r="L469" s="132"/>
      <c r="M469" s="132"/>
      <c r="N469" s="132"/>
      <c r="O469" s="132"/>
      <c r="P469" s="132"/>
      <c r="Q469" s="132"/>
      <c r="R469" s="132"/>
      <c r="S469" s="132"/>
      <c r="T469" s="132"/>
      <c r="U469" s="132"/>
      <c r="V469" s="132"/>
      <c r="W469" s="132"/>
      <c r="X469" s="132"/>
      <c r="Y469" s="132"/>
      <c r="Z469" s="132"/>
    </row>
    <row r="470" spans="1:26" ht="11.25" customHeight="1" x14ac:dyDescent="0.3">
      <c r="A470" s="132"/>
      <c r="B470" s="132"/>
      <c r="C470" s="132"/>
      <c r="D470" s="132"/>
      <c r="E470" s="132"/>
      <c r="F470" s="132"/>
      <c r="G470" s="132"/>
      <c r="H470" s="132"/>
      <c r="I470" s="132"/>
      <c r="J470" s="132"/>
      <c r="K470" s="132"/>
      <c r="L470" s="132"/>
      <c r="M470" s="132"/>
      <c r="N470" s="132"/>
      <c r="O470" s="132"/>
      <c r="P470" s="132"/>
      <c r="Q470" s="132"/>
      <c r="R470" s="132"/>
      <c r="S470" s="132"/>
      <c r="T470" s="132"/>
      <c r="U470" s="132"/>
      <c r="V470" s="132"/>
      <c r="W470" s="132"/>
      <c r="X470" s="132"/>
      <c r="Y470" s="132"/>
      <c r="Z470" s="132"/>
    </row>
    <row r="471" spans="1:26" ht="11.25" customHeight="1" x14ac:dyDescent="0.3">
      <c r="A471" s="132"/>
      <c r="B471" s="132"/>
      <c r="C471" s="132"/>
      <c r="D471" s="132"/>
      <c r="E471" s="132"/>
      <c r="F471" s="132"/>
      <c r="G471" s="132"/>
      <c r="H471" s="132"/>
      <c r="I471" s="132"/>
      <c r="J471" s="132"/>
      <c r="K471" s="132"/>
      <c r="L471" s="132"/>
      <c r="M471" s="132"/>
      <c r="N471" s="132"/>
      <c r="O471" s="132"/>
      <c r="P471" s="132"/>
      <c r="Q471" s="132"/>
      <c r="R471" s="132"/>
      <c r="S471" s="132"/>
      <c r="T471" s="132"/>
      <c r="U471" s="132"/>
      <c r="V471" s="132"/>
      <c r="W471" s="132"/>
      <c r="X471" s="132"/>
      <c r="Y471" s="132"/>
      <c r="Z471" s="132"/>
    </row>
    <row r="472" spans="1:26" ht="11.25" customHeight="1" x14ac:dyDescent="0.3">
      <c r="A472" s="132"/>
      <c r="B472" s="132"/>
      <c r="C472" s="132"/>
      <c r="D472" s="132"/>
      <c r="E472" s="132"/>
      <c r="F472" s="132"/>
      <c r="G472" s="132"/>
      <c r="H472" s="132"/>
      <c r="I472" s="132"/>
      <c r="J472" s="132"/>
      <c r="K472" s="132"/>
      <c r="L472" s="132"/>
      <c r="M472" s="132"/>
      <c r="N472" s="132"/>
      <c r="O472" s="132"/>
      <c r="P472" s="132"/>
      <c r="Q472" s="132"/>
      <c r="R472" s="132"/>
      <c r="S472" s="132"/>
      <c r="T472" s="132"/>
      <c r="U472" s="132"/>
      <c r="V472" s="132"/>
      <c r="W472" s="132"/>
      <c r="X472" s="132"/>
      <c r="Y472" s="132"/>
      <c r="Z472" s="132"/>
    </row>
    <row r="473" spans="1:26" ht="11.25" customHeight="1" x14ac:dyDescent="0.3">
      <c r="A473" s="132"/>
      <c r="B473" s="132"/>
      <c r="C473" s="132"/>
      <c r="D473" s="132"/>
      <c r="E473" s="132"/>
      <c r="F473" s="132"/>
      <c r="G473" s="132"/>
      <c r="H473" s="132"/>
      <c r="I473" s="132"/>
      <c r="J473" s="132"/>
      <c r="K473" s="132"/>
      <c r="L473" s="132"/>
      <c r="M473" s="132"/>
      <c r="N473" s="132"/>
      <c r="O473" s="132"/>
      <c r="P473" s="132"/>
      <c r="Q473" s="132"/>
      <c r="R473" s="132"/>
      <c r="S473" s="132"/>
      <c r="T473" s="132"/>
      <c r="U473" s="132"/>
      <c r="V473" s="132"/>
      <c r="W473" s="132"/>
      <c r="X473" s="132"/>
      <c r="Y473" s="132"/>
      <c r="Z473" s="132"/>
    </row>
    <row r="474" spans="1:26" ht="11.25" customHeight="1" x14ac:dyDescent="0.3">
      <c r="A474" s="132"/>
      <c r="B474" s="132"/>
      <c r="C474" s="132"/>
      <c r="D474" s="132"/>
      <c r="E474" s="132"/>
      <c r="F474" s="132"/>
      <c r="G474" s="132"/>
      <c r="H474" s="132"/>
      <c r="I474" s="132"/>
      <c r="J474" s="132"/>
      <c r="K474" s="132"/>
      <c r="L474" s="132"/>
      <c r="M474" s="132"/>
      <c r="N474" s="132"/>
      <c r="O474" s="132"/>
      <c r="P474" s="132"/>
      <c r="Q474" s="132"/>
      <c r="R474" s="132"/>
      <c r="S474" s="132"/>
      <c r="T474" s="132"/>
      <c r="U474" s="132"/>
      <c r="V474" s="132"/>
      <c r="W474" s="132"/>
      <c r="X474" s="132"/>
      <c r="Y474" s="132"/>
      <c r="Z474" s="132"/>
    </row>
    <row r="475" spans="1:26" ht="11.25" customHeight="1" x14ac:dyDescent="0.3">
      <c r="A475" s="132"/>
      <c r="B475" s="132"/>
      <c r="C475" s="132"/>
      <c r="D475" s="132"/>
      <c r="E475" s="132"/>
      <c r="F475" s="132"/>
      <c r="G475" s="132"/>
      <c r="H475" s="132"/>
      <c r="I475" s="132"/>
      <c r="J475" s="132"/>
      <c r="K475" s="132"/>
      <c r="L475" s="132"/>
      <c r="M475" s="132"/>
      <c r="N475" s="132"/>
      <c r="O475" s="132"/>
      <c r="P475" s="132"/>
      <c r="Q475" s="132"/>
      <c r="R475" s="132"/>
      <c r="S475" s="132"/>
      <c r="T475" s="132"/>
      <c r="U475" s="132"/>
      <c r="V475" s="132"/>
      <c r="W475" s="132"/>
      <c r="X475" s="132"/>
      <c r="Y475" s="132"/>
      <c r="Z475" s="132"/>
    </row>
    <row r="476" spans="1:26" ht="11.25" customHeight="1" x14ac:dyDescent="0.3">
      <c r="A476" s="132"/>
      <c r="B476" s="132"/>
      <c r="C476" s="132"/>
      <c r="D476" s="132"/>
      <c r="E476" s="132"/>
      <c r="F476" s="132"/>
      <c r="G476" s="132"/>
      <c r="H476" s="132"/>
      <c r="I476" s="132"/>
      <c r="J476" s="132"/>
      <c r="K476" s="132"/>
      <c r="L476" s="132"/>
      <c r="M476" s="132"/>
      <c r="N476" s="132"/>
      <c r="O476" s="132"/>
      <c r="P476" s="132"/>
      <c r="Q476" s="132"/>
      <c r="R476" s="132"/>
      <c r="S476" s="132"/>
      <c r="T476" s="132"/>
      <c r="U476" s="132"/>
      <c r="V476" s="132"/>
      <c r="W476" s="132"/>
      <c r="X476" s="132"/>
      <c r="Y476" s="132"/>
      <c r="Z476" s="132"/>
    </row>
    <row r="477" spans="1:26" ht="11.25" customHeight="1" x14ac:dyDescent="0.3">
      <c r="A477" s="132"/>
      <c r="B477" s="132"/>
      <c r="C477" s="132"/>
      <c r="D477" s="132"/>
      <c r="E477" s="132"/>
      <c r="F477" s="132"/>
      <c r="G477" s="132"/>
      <c r="H477" s="132"/>
      <c r="I477" s="132"/>
      <c r="J477" s="132"/>
      <c r="K477" s="132"/>
      <c r="L477" s="132"/>
      <c r="M477" s="132"/>
      <c r="N477" s="132"/>
      <c r="O477" s="132"/>
      <c r="P477" s="132"/>
      <c r="Q477" s="132"/>
      <c r="R477" s="132"/>
      <c r="S477" s="132"/>
      <c r="T477" s="132"/>
      <c r="U477" s="132"/>
      <c r="V477" s="132"/>
      <c r="W477" s="132"/>
      <c r="X477" s="132"/>
      <c r="Y477" s="132"/>
      <c r="Z477" s="132"/>
    </row>
    <row r="478" spans="1:26" ht="11.25" customHeight="1" x14ac:dyDescent="0.3">
      <c r="A478" s="132"/>
      <c r="B478" s="132"/>
      <c r="C478" s="132"/>
      <c r="D478" s="132"/>
      <c r="E478" s="132"/>
      <c r="F478" s="132"/>
      <c r="G478" s="132"/>
      <c r="H478" s="132"/>
      <c r="I478" s="132"/>
      <c r="J478" s="132"/>
      <c r="K478" s="132"/>
      <c r="L478" s="132"/>
      <c r="M478" s="132"/>
      <c r="N478" s="132"/>
      <c r="O478" s="132"/>
      <c r="P478" s="132"/>
      <c r="Q478" s="132"/>
      <c r="R478" s="132"/>
      <c r="S478" s="132"/>
      <c r="T478" s="132"/>
      <c r="U478" s="132"/>
      <c r="V478" s="132"/>
      <c r="W478" s="132"/>
      <c r="X478" s="132"/>
      <c r="Y478" s="132"/>
      <c r="Z478" s="132"/>
    </row>
    <row r="479" spans="1:26" ht="11.25" customHeight="1" x14ac:dyDescent="0.3">
      <c r="A479" s="132"/>
      <c r="B479" s="132"/>
      <c r="C479" s="132"/>
      <c r="D479" s="132"/>
      <c r="E479" s="132"/>
      <c r="F479" s="132"/>
      <c r="G479" s="132"/>
      <c r="H479" s="132"/>
      <c r="I479" s="132"/>
      <c r="J479" s="132"/>
      <c r="K479" s="132"/>
      <c r="L479" s="132"/>
      <c r="M479" s="132"/>
      <c r="N479" s="132"/>
      <c r="O479" s="132"/>
      <c r="P479" s="132"/>
      <c r="Q479" s="132"/>
      <c r="R479" s="132"/>
      <c r="S479" s="132"/>
      <c r="T479" s="132"/>
      <c r="U479" s="132"/>
      <c r="V479" s="132"/>
      <c r="W479" s="132"/>
      <c r="X479" s="132"/>
      <c r="Y479" s="132"/>
      <c r="Z479" s="132"/>
    </row>
    <row r="480" spans="1:26" ht="11.25" customHeight="1" x14ac:dyDescent="0.3">
      <c r="A480" s="132"/>
      <c r="B480" s="132"/>
      <c r="C480" s="132"/>
      <c r="D480" s="132"/>
      <c r="E480" s="132"/>
      <c r="F480" s="132"/>
      <c r="G480" s="132"/>
      <c r="H480" s="132"/>
      <c r="I480" s="132"/>
      <c r="J480" s="132"/>
      <c r="K480" s="132"/>
      <c r="L480" s="132"/>
      <c r="M480" s="132"/>
      <c r="N480" s="132"/>
      <c r="O480" s="132"/>
      <c r="P480" s="132"/>
      <c r="Q480" s="132"/>
      <c r="R480" s="132"/>
      <c r="S480" s="132"/>
      <c r="T480" s="132"/>
      <c r="U480" s="132"/>
      <c r="V480" s="132"/>
      <c r="W480" s="132"/>
      <c r="X480" s="132"/>
      <c r="Y480" s="132"/>
      <c r="Z480" s="132"/>
    </row>
    <row r="481" spans="1:26" ht="11.25" customHeight="1" x14ac:dyDescent="0.3">
      <c r="A481" s="132"/>
      <c r="B481" s="132"/>
      <c r="C481" s="132"/>
      <c r="D481" s="132"/>
      <c r="E481" s="132"/>
      <c r="F481" s="132"/>
      <c r="G481" s="132"/>
      <c r="H481" s="132"/>
      <c r="I481" s="132"/>
      <c r="J481" s="132"/>
      <c r="K481" s="132"/>
      <c r="L481" s="132"/>
      <c r="M481" s="132"/>
      <c r="N481" s="132"/>
      <c r="O481" s="132"/>
      <c r="P481" s="132"/>
      <c r="Q481" s="132"/>
      <c r="R481" s="132"/>
      <c r="S481" s="132"/>
      <c r="T481" s="132"/>
      <c r="U481" s="132"/>
      <c r="V481" s="132"/>
      <c r="W481" s="132"/>
      <c r="X481" s="132"/>
      <c r="Y481" s="132"/>
      <c r="Z481" s="132"/>
    </row>
    <row r="482" spans="1:26" ht="11.25" customHeight="1" x14ac:dyDescent="0.3">
      <c r="A482" s="132"/>
      <c r="B482" s="132"/>
      <c r="C482" s="132"/>
      <c r="D482" s="132"/>
      <c r="E482" s="132"/>
      <c r="F482" s="132"/>
      <c r="G482" s="132"/>
      <c r="H482" s="132"/>
      <c r="I482" s="132"/>
      <c r="J482" s="132"/>
      <c r="K482" s="132"/>
      <c r="L482" s="132"/>
      <c r="M482" s="132"/>
      <c r="N482" s="132"/>
      <c r="O482" s="132"/>
      <c r="P482" s="132"/>
      <c r="Q482" s="132"/>
      <c r="R482" s="132"/>
      <c r="S482" s="132"/>
      <c r="T482" s="132"/>
      <c r="U482" s="132"/>
      <c r="V482" s="132"/>
      <c r="W482" s="132"/>
      <c r="X482" s="132"/>
      <c r="Y482" s="132"/>
      <c r="Z482" s="132"/>
    </row>
    <row r="483" spans="1:26" ht="11.25" customHeight="1" x14ac:dyDescent="0.3">
      <c r="A483" s="132"/>
      <c r="B483" s="132"/>
      <c r="C483" s="132"/>
      <c r="D483" s="132"/>
      <c r="E483" s="132"/>
      <c r="F483" s="132"/>
      <c r="G483" s="132"/>
      <c r="H483" s="132"/>
      <c r="I483" s="132"/>
      <c r="J483" s="132"/>
      <c r="K483" s="132"/>
      <c r="L483" s="132"/>
      <c r="M483" s="132"/>
      <c r="N483" s="132"/>
      <c r="O483" s="132"/>
      <c r="P483" s="132"/>
      <c r="Q483" s="132"/>
      <c r="R483" s="132"/>
      <c r="S483" s="132"/>
      <c r="T483" s="132"/>
      <c r="U483" s="132"/>
      <c r="V483" s="132"/>
      <c r="W483" s="132"/>
      <c r="X483" s="132"/>
      <c r="Y483" s="132"/>
      <c r="Z483" s="132"/>
    </row>
    <row r="484" spans="1:26" ht="11.25" customHeight="1" x14ac:dyDescent="0.3">
      <c r="A484" s="132"/>
      <c r="B484" s="132"/>
      <c r="C484" s="132"/>
      <c r="D484" s="132"/>
      <c r="E484" s="132"/>
      <c r="F484" s="132"/>
      <c r="G484" s="132"/>
      <c r="H484" s="132"/>
      <c r="I484" s="132"/>
      <c r="J484" s="132"/>
      <c r="K484" s="132"/>
      <c r="L484" s="132"/>
      <c r="M484" s="132"/>
      <c r="N484" s="132"/>
      <c r="O484" s="132"/>
      <c r="P484" s="132"/>
      <c r="Q484" s="132"/>
      <c r="R484" s="132"/>
      <c r="S484" s="132"/>
      <c r="T484" s="132"/>
      <c r="U484" s="132"/>
      <c r="V484" s="132"/>
      <c r="W484" s="132"/>
      <c r="X484" s="132"/>
      <c r="Y484" s="132"/>
      <c r="Z484" s="132"/>
    </row>
    <row r="485" spans="1:26" ht="11.25" customHeight="1" x14ac:dyDescent="0.3">
      <c r="A485" s="132"/>
      <c r="B485" s="132"/>
      <c r="C485" s="132"/>
      <c r="D485" s="132"/>
      <c r="E485" s="132"/>
      <c r="F485" s="132"/>
      <c r="G485" s="132"/>
      <c r="H485" s="132"/>
      <c r="I485" s="132"/>
      <c r="J485" s="132"/>
      <c r="K485" s="132"/>
      <c r="L485" s="132"/>
      <c r="M485" s="132"/>
      <c r="N485" s="132"/>
      <c r="O485" s="132"/>
      <c r="P485" s="132"/>
      <c r="Q485" s="132"/>
      <c r="R485" s="132"/>
      <c r="S485" s="132"/>
      <c r="T485" s="132"/>
      <c r="U485" s="132"/>
      <c r="V485" s="132"/>
      <c r="W485" s="132"/>
      <c r="X485" s="132"/>
      <c r="Y485" s="132"/>
      <c r="Z485" s="132"/>
    </row>
    <row r="486" spans="1:26" ht="11.25" customHeight="1" x14ac:dyDescent="0.3">
      <c r="A486" s="132"/>
      <c r="B486" s="132"/>
      <c r="C486" s="132"/>
      <c r="D486" s="132"/>
      <c r="E486" s="132"/>
      <c r="F486" s="132"/>
      <c r="G486" s="132"/>
      <c r="H486" s="132"/>
      <c r="I486" s="132"/>
      <c r="J486" s="132"/>
      <c r="K486" s="132"/>
      <c r="L486" s="132"/>
      <c r="M486" s="132"/>
      <c r="N486" s="132"/>
      <c r="O486" s="132"/>
      <c r="P486" s="132"/>
      <c r="Q486" s="132"/>
      <c r="R486" s="132"/>
      <c r="S486" s="132"/>
      <c r="T486" s="132"/>
      <c r="U486" s="132"/>
      <c r="V486" s="132"/>
      <c r="W486" s="132"/>
      <c r="X486" s="132"/>
      <c r="Y486" s="132"/>
      <c r="Z486" s="132"/>
    </row>
    <row r="487" spans="1:26" ht="11.25" customHeight="1" x14ac:dyDescent="0.3">
      <c r="A487" s="132"/>
      <c r="B487" s="132"/>
      <c r="C487" s="132"/>
      <c r="D487" s="132"/>
      <c r="E487" s="132"/>
      <c r="F487" s="132"/>
      <c r="G487" s="132"/>
      <c r="H487" s="132"/>
      <c r="I487" s="132"/>
      <c r="J487" s="132"/>
      <c r="K487" s="132"/>
      <c r="L487" s="132"/>
      <c r="M487" s="132"/>
      <c r="N487" s="132"/>
      <c r="O487" s="132"/>
      <c r="P487" s="132"/>
      <c r="Q487" s="132"/>
      <c r="R487" s="132"/>
      <c r="S487" s="132"/>
      <c r="T487" s="132"/>
      <c r="U487" s="132"/>
      <c r="V487" s="132"/>
      <c r="W487" s="132"/>
      <c r="X487" s="132"/>
      <c r="Y487" s="132"/>
      <c r="Z487" s="132"/>
    </row>
    <row r="488" spans="1:26" ht="11.25" customHeight="1" x14ac:dyDescent="0.3">
      <c r="A488" s="132"/>
      <c r="B488" s="132"/>
      <c r="C488" s="132"/>
      <c r="D488" s="132"/>
      <c r="E488" s="132"/>
      <c r="F488" s="132"/>
      <c r="G488" s="132"/>
      <c r="H488" s="132"/>
      <c r="I488" s="132"/>
      <c r="J488" s="132"/>
      <c r="K488" s="132"/>
      <c r="L488" s="132"/>
      <c r="M488" s="132"/>
      <c r="N488" s="132"/>
      <c r="O488" s="132"/>
      <c r="P488" s="132"/>
      <c r="Q488" s="132"/>
      <c r="R488" s="132"/>
      <c r="S488" s="132"/>
      <c r="T488" s="132"/>
      <c r="U488" s="132"/>
      <c r="V488" s="132"/>
      <c r="W488" s="132"/>
      <c r="X488" s="132"/>
      <c r="Y488" s="132"/>
      <c r="Z488" s="132"/>
    </row>
    <row r="489" spans="1:26" ht="11.25" customHeight="1" x14ac:dyDescent="0.3">
      <c r="A489" s="132"/>
      <c r="B489" s="132"/>
      <c r="C489" s="132"/>
      <c r="D489" s="132"/>
      <c r="E489" s="132"/>
      <c r="F489" s="132"/>
      <c r="G489" s="132"/>
      <c r="H489" s="132"/>
      <c r="I489" s="132"/>
      <c r="J489" s="132"/>
      <c r="K489" s="132"/>
      <c r="L489" s="132"/>
      <c r="M489" s="132"/>
      <c r="N489" s="132"/>
      <c r="O489" s="132"/>
      <c r="P489" s="132"/>
      <c r="Q489" s="132"/>
      <c r="R489" s="132"/>
      <c r="S489" s="132"/>
      <c r="T489" s="132"/>
      <c r="U489" s="132"/>
      <c r="V489" s="132"/>
      <c r="W489" s="132"/>
      <c r="X489" s="132"/>
      <c r="Y489" s="132"/>
      <c r="Z489" s="132"/>
    </row>
    <row r="490" spans="1:26" ht="11.25" customHeight="1" x14ac:dyDescent="0.3">
      <c r="A490" s="132"/>
      <c r="B490" s="132"/>
      <c r="C490" s="132"/>
      <c r="D490" s="132"/>
      <c r="E490" s="132"/>
      <c r="F490" s="132"/>
      <c r="G490" s="132"/>
      <c r="H490" s="132"/>
      <c r="I490" s="132"/>
      <c r="J490" s="132"/>
      <c r="K490" s="132"/>
      <c r="L490" s="132"/>
      <c r="M490" s="132"/>
      <c r="N490" s="132"/>
      <c r="O490" s="132"/>
      <c r="P490" s="132"/>
      <c r="Q490" s="132"/>
      <c r="R490" s="132"/>
      <c r="S490" s="132"/>
      <c r="T490" s="132"/>
      <c r="U490" s="132"/>
      <c r="V490" s="132"/>
      <c r="W490" s="132"/>
      <c r="X490" s="132"/>
      <c r="Y490" s="132"/>
      <c r="Z490" s="132"/>
    </row>
    <row r="491" spans="1:26" ht="11.25" customHeight="1" x14ac:dyDescent="0.3">
      <c r="A491" s="132"/>
      <c r="B491" s="132"/>
      <c r="C491" s="132"/>
      <c r="D491" s="132"/>
      <c r="E491" s="132"/>
      <c r="F491" s="132"/>
      <c r="G491" s="132"/>
      <c r="H491" s="132"/>
      <c r="I491" s="132"/>
      <c r="J491" s="132"/>
      <c r="K491" s="132"/>
      <c r="L491" s="132"/>
      <c r="M491" s="132"/>
      <c r="N491" s="132"/>
      <c r="O491" s="132"/>
      <c r="P491" s="132"/>
      <c r="Q491" s="132"/>
      <c r="R491" s="132"/>
      <c r="S491" s="132"/>
      <c r="T491" s="132"/>
      <c r="U491" s="132"/>
      <c r="V491" s="132"/>
      <c r="W491" s="132"/>
      <c r="X491" s="132"/>
      <c r="Y491" s="132"/>
      <c r="Z491" s="132"/>
    </row>
    <row r="492" spans="1:26" ht="11.25" customHeight="1" x14ac:dyDescent="0.3">
      <c r="A492" s="132"/>
      <c r="B492" s="132"/>
      <c r="C492" s="132"/>
      <c r="D492" s="132"/>
      <c r="E492" s="132"/>
      <c r="F492" s="132"/>
      <c r="G492" s="132"/>
      <c r="H492" s="132"/>
      <c r="I492" s="132"/>
      <c r="J492" s="132"/>
      <c r="K492" s="132"/>
      <c r="L492" s="132"/>
      <c r="M492" s="132"/>
      <c r="N492" s="132"/>
      <c r="O492" s="132"/>
      <c r="P492" s="132"/>
      <c r="Q492" s="132"/>
      <c r="R492" s="132"/>
      <c r="S492" s="132"/>
      <c r="T492" s="132"/>
      <c r="U492" s="132"/>
      <c r="V492" s="132"/>
      <c r="W492" s="132"/>
      <c r="X492" s="132"/>
      <c r="Y492" s="132"/>
      <c r="Z492" s="132"/>
    </row>
    <row r="493" spans="1:26" ht="11.25" customHeight="1" x14ac:dyDescent="0.3">
      <c r="A493" s="132"/>
      <c r="B493" s="132"/>
      <c r="C493" s="132"/>
      <c r="D493" s="132"/>
      <c r="E493" s="132"/>
      <c r="F493" s="132"/>
      <c r="G493" s="132"/>
      <c r="H493" s="132"/>
      <c r="I493" s="132"/>
      <c r="J493" s="132"/>
      <c r="K493" s="132"/>
      <c r="L493" s="132"/>
      <c r="M493" s="132"/>
      <c r="N493" s="132"/>
      <c r="O493" s="132"/>
      <c r="P493" s="132"/>
      <c r="Q493" s="132"/>
      <c r="R493" s="132"/>
      <c r="S493" s="132"/>
      <c r="T493" s="132"/>
      <c r="U493" s="132"/>
      <c r="V493" s="132"/>
      <c r="W493" s="132"/>
      <c r="X493" s="132"/>
      <c r="Y493" s="132"/>
      <c r="Z493" s="132"/>
    </row>
    <row r="494" spans="1:26" ht="11.25" customHeight="1" x14ac:dyDescent="0.3">
      <c r="A494" s="132"/>
      <c r="B494" s="132"/>
      <c r="C494" s="132"/>
      <c r="D494" s="132"/>
      <c r="E494" s="132"/>
      <c r="F494" s="132"/>
      <c r="G494" s="132"/>
      <c r="H494" s="132"/>
      <c r="I494" s="132"/>
      <c r="J494" s="132"/>
      <c r="K494" s="132"/>
      <c r="L494" s="132"/>
      <c r="M494" s="132"/>
      <c r="N494" s="132"/>
      <c r="O494" s="132"/>
      <c r="P494" s="132"/>
      <c r="Q494" s="132"/>
      <c r="R494" s="132"/>
      <c r="S494" s="132"/>
      <c r="T494" s="132"/>
      <c r="U494" s="132"/>
      <c r="V494" s="132"/>
      <c r="W494" s="132"/>
      <c r="X494" s="132"/>
      <c r="Y494" s="132"/>
      <c r="Z494" s="132"/>
    </row>
    <row r="495" spans="1:26" ht="11.25" customHeight="1" x14ac:dyDescent="0.3">
      <c r="A495" s="132"/>
      <c r="B495" s="132"/>
      <c r="C495" s="132"/>
      <c r="D495" s="132"/>
      <c r="E495" s="132"/>
      <c r="F495" s="132"/>
      <c r="G495" s="132"/>
      <c r="H495" s="132"/>
      <c r="I495" s="132"/>
      <c r="J495" s="132"/>
      <c r="K495" s="132"/>
      <c r="L495" s="132"/>
      <c r="M495" s="132"/>
      <c r="N495" s="132"/>
      <c r="O495" s="132"/>
      <c r="P495" s="132"/>
      <c r="Q495" s="132"/>
      <c r="R495" s="132"/>
      <c r="S495" s="132"/>
      <c r="T495" s="132"/>
      <c r="U495" s="132"/>
      <c r="V495" s="132"/>
      <c r="W495" s="132"/>
      <c r="X495" s="132"/>
      <c r="Y495" s="132"/>
      <c r="Z495" s="132"/>
    </row>
    <row r="496" spans="1:26" ht="11.25" customHeight="1" x14ac:dyDescent="0.3">
      <c r="A496" s="132"/>
      <c r="B496" s="132"/>
      <c r="C496" s="132"/>
      <c r="D496" s="132"/>
      <c r="E496" s="132"/>
      <c r="F496" s="132"/>
      <c r="G496" s="132"/>
      <c r="H496" s="132"/>
      <c r="I496" s="132"/>
      <c r="J496" s="132"/>
      <c r="K496" s="132"/>
      <c r="L496" s="132"/>
      <c r="M496" s="132"/>
      <c r="N496" s="132"/>
      <c r="O496" s="132"/>
      <c r="P496" s="132"/>
      <c r="Q496" s="132"/>
      <c r="R496" s="132"/>
      <c r="S496" s="132"/>
      <c r="T496" s="132"/>
      <c r="U496" s="132"/>
      <c r="V496" s="132"/>
      <c r="W496" s="132"/>
      <c r="X496" s="132"/>
      <c r="Y496" s="132"/>
      <c r="Z496" s="132"/>
    </row>
    <row r="497" spans="1:26" ht="11.25" customHeight="1" x14ac:dyDescent="0.3">
      <c r="A497" s="132"/>
      <c r="B497" s="132"/>
      <c r="C497" s="132"/>
      <c r="D497" s="132"/>
      <c r="E497" s="132"/>
      <c r="F497" s="132"/>
      <c r="G497" s="132"/>
      <c r="H497" s="132"/>
      <c r="I497" s="132"/>
      <c r="J497" s="132"/>
      <c r="K497" s="132"/>
      <c r="L497" s="132"/>
      <c r="M497" s="132"/>
      <c r="N497" s="132"/>
      <c r="O497" s="132"/>
      <c r="P497" s="132"/>
      <c r="Q497" s="132"/>
      <c r="R497" s="132"/>
      <c r="S497" s="132"/>
      <c r="T497" s="132"/>
      <c r="U497" s="132"/>
      <c r="V497" s="132"/>
      <c r="W497" s="132"/>
      <c r="X497" s="132"/>
      <c r="Y497" s="132"/>
      <c r="Z497" s="132"/>
    </row>
    <row r="498" spans="1:26" ht="11.25" customHeight="1" x14ac:dyDescent="0.3">
      <c r="A498" s="132"/>
      <c r="B498" s="132"/>
      <c r="C498" s="132"/>
      <c r="D498" s="132"/>
      <c r="E498" s="132"/>
      <c r="F498" s="132"/>
      <c r="G498" s="132"/>
      <c r="H498" s="132"/>
      <c r="I498" s="132"/>
      <c r="J498" s="132"/>
      <c r="K498" s="132"/>
      <c r="L498" s="132"/>
      <c r="M498" s="132"/>
      <c r="N498" s="132"/>
      <c r="O498" s="132"/>
      <c r="P498" s="132"/>
      <c r="Q498" s="132"/>
      <c r="R498" s="132"/>
      <c r="S498" s="132"/>
      <c r="T498" s="132"/>
      <c r="U498" s="132"/>
      <c r="V498" s="132"/>
      <c r="W498" s="132"/>
      <c r="X498" s="132"/>
      <c r="Y498" s="132"/>
      <c r="Z498" s="132"/>
    </row>
    <row r="499" spans="1:26" ht="11.25" customHeight="1" x14ac:dyDescent="0.3">
      <c r="A499" s="132"/>
      <c r="B499" s="132"/>
      <c r="C499" s="132"/>
      <c r="D499" s="132"/>
      <c r="E499" s="132"/>
      <c r="F499" s="132"/>
      <c r="G499" s="132"/>
      <c r="H499" s="132"/>
      <c r="I499" s="132"/>
      <c r="J499" s="132"/>
      <c r="K499" s="132"/>
      <c r="L499" s="132"/>
      <c r="M499" s="132"/>
      <c r="N499" s="132"/>
      <c r="O499" s="132"/>
      <c r="P499" s="132"/>
      <c r="Q499" s="132"/>
      <c r="R499" s="132"/>
      <c r="S499" s="132"/>
      <c r="T499" s="132"/>
      <c r="U499" s="132"/>
      <c r="V499" s="132"/>
      <c r="W499" s="132"/>
      <c r="X499" s="132"/>
      <c r="Y499" s="132"/>
      <c r="Z499" s="132"/>
    </row>
    <row r="500" spans="1:26" ht="11.25" customHeight="1" x14ac:dyDescent="0.3">
      <c r="A500" s="132"/>
      <c r="B500" s="132"/>
      <c r="C500" s="132"/>
      <c r="D500" s="132"/>
      <c r="E500" s="132"/>
      <c r="F500" s="132"/>
      <c r="G500" s="132"/>
      <c r="H500" s="132"/>
      <c r="I500" s="132"/>
      <c r="J500" s="132"/>
      <c r="K500" s="132"/>
      <c r="L500" s="132"/>
      <c r="M500" s="132"/>
      <c r="N500" s="132"/>
      <c r="O500" s="132"/>
      <c r="P500" s="132"/>
      <c r="Q500" s="132"/>
      <c r="R500" s="132"/>
      <c r="S500" s="132"/>
      <c r="T500" s="132"/>
      <c r="U500" s="132"/>
      <c r="V500" s="132"/>
      <c r="W500" s="132"/>
      <c r="X500" s="132"/>
      <c r="Y500" s="132"/>
      <c r="Z500" s="132"/>
    </row>
    <row r="501" spans="1:26" ht="11.25" customHeight="1" x14ac:dyDescent="0.3">
      <c r="A501" s="132"/>
      <c r="B501" s="132"/>
      <c r="C501" s="132"/>
      <c r="D501" s="132"/>
      <c r="E501" s="132"/>
      <c r="F501" s="132"/>
      <c r="G501" s="132"/>
      <c r="H501" s="132"/>
      <c r="I501" s="132"/>
      <c r="J501" s="132"/>
      <c r="K501" s="132"/>
      <c r="L501" s="132"/>
      <c r="M501" s="132"/>
      <c r="N501" s="132"/>
      <c r="O501" s="132"/>
      <c r="P501" s="132"/>
      <c r="Q501" s="132"/>
      <c r="R501" s="132"/>
      <c r="S501" s="132"/>
      <c r="T501" s="132"/>
      <c r="U501" s="132"/>
      <c r="V501" s="132"/>
      <c r="W501" s="132"/>
      <c r="X501" s="132"/>
      <c r="Y501" s="132"/>
      <c r="Z501" s="132"/>
    </row>
    <row r="502" spans="1:26" ht="11.25" customHeight="1" x14ac:dyDescent="0.3">
      <c r="A502" s="132"/>
      <c r="B502" s="132"/>
      <c r="C502" s="132"/>
      <c r="D502" s="132"/>
      <c r="E502" s="132"/>
      <c r="F502" s="132"/>
      <c r="G502" s="132"/>
      <c r="H502" s="132"/>
      <c r="I502" s="132"/>
      <c r="J502" s="132"/>
      <c r="K502" s="132"/>
      <c r="L502" s="132"/>
      <c r="M502" s="132"/>
      <c r="N502" s="132"/>
      <c r="O502" s="132"/>
      <c r="P502" s="132"/>
      <c r="Q502" s="132"/>
      <c r="R502" s="132"/>
      <c r="S502" s="132"/>
      <c r="T502" s="132"/>
      <c r="U502" s="132"/>
      <c r="V502" s="132"/>
      <c r="W502" s="132"/>
      <c r="X502" s="132"/>
      <c r="Y502" s="132"/>
      <c r="Z502" s="132"/>
    </row>
    <row r="503" spans="1:26" ht="11.25" customHeight="1" x14ac:dyDescent="0.3">
      <c r="A503" s="132"/>
      <c r="B503" s="132"/>
      <c r="C503" s="132"/>
      <c r="D503" s="132"/>
      <c r="E503" s="132"/>
      <c r="F503" s="132"/>
      <c r="G503" s="132"/>
      <c r="H503" s="132"/>
      <c r="I503" s="132"/>
      <c r="J503" s="132"/>
      <c r="K503" s="132"/>
      <c r="L503" s="132"/>
      <c r="M503" s="132"/>
      <c r="N503" s="132"/>
      <c r="O503" s="132"/>
      <c r="P503" s="132"/>
      <c r="Q503" s="132"/>
      <c r="R503" s="132"/>
      <c r="S503" s="132"/>
      <c r="T503" s="132"/>
      <c r="U503" s="132"/>
      <c r="V503" s="132"/>
      <c r="W503" s="132"/>
      <c r="X503" s="132"/>
      <c r="Y503" s="132"/>
      <c r="Z503" s="132"/>
    </row>
    <row r="504" spans="1:26" ht="11.25" customHeight="1" x14ac:dyDescent="0.3">
      <c r="A504" s="132"/>
      <c r="B504" s="132"/>
      <c r="C504" s="132"/>
      <c r="D504" s="132"/>
      <c r="E504" s="132"/>
      <c r="F504" s="132"/>
      <c r="G504" s="132"/>
      <c r="H504" s="132"/>
      <c r="I504" s="132"/>
      <c r="J504" s="132"/>
      <c r="K504" s="132"/>
      <c r="L504" s="132"/>
      <c r="M504" s="132"/>
      <c r="N504" s="132"/>
      <c r="O504" s="132"/>
      <c r="P504" s="132"/>
      <c r="Q504" s="132"/>
      <c r="R504" s="132"/>
      <c r="S504" s="132"/>
      <c r="T504" s="132"/>
      <c r="U504" s="132"/>
      <c r="V504" s="132"/>
      <c r="W504" s="132"/>
      <c r="X504" s="132"/>
      <c r="Y504" s="132"/>
      <c r="Z504" s="132"/>
    </row>
    <row r="505" spans="1:26" ht="11.25" customHeight="1" x14ac:dyDescent="0.3">
      <c r="A505" s="132"/>
      <c r="B505" s="132"/>
      <c r="C505" s="132"/>
      <c r="D505" s="132"/>
      <c r="E505" s="132"/>
      <c r="F505" s="132"/>
      <c r="G505" s="132"/>
      <c r="H505" s="132"/>
      <c r="I505" s="132"/>
      <c r="J505" s="132"/>
      <c r="K505" s="132"/>
      <c r="L505" s="132"/>
      <c r="M505" s="132"/>
      <c r="N505" s="132"/>
      <c r="O505" s="132"/>
      <c r="P505" s="132"/>
      <c r="Q505" s="132"/>
      <c r="R505" s="132"/>
      <c r="S505" s="132"/>
      <c r="T505" s="132"/>
      <c r="U505" s="132"/>
      <c r="V505" s="132"/>
      <c r="W505" s="132"/>
      <c r="X505" s="132"/>
      <c r="Y505" s="132"/>
      <c r="Z505" s="132"/>
    </row>
    <row r="506" spans="1:26" ht="11.25" customHeight="1" x14ac:dyDescent="0.3">
      <c r="A506" s="132"/>
      <c r="B506" s="132"/>
      <c r="C506" s="132"/>
      <c r="D506" s="132"/>
      <c r="E506" s="132"/>
      <c r="F506" s="132"/>
      <c r="G506" s="132"/>
      <c r="H506" s="132"/>
      <c r="I506" s="132"/>
      <c r="J506" s="132"/>
      <c r="K506" s="132"/>
      <c r="L506" s="132"/>
      <c r="M506" s="132"/>
      <c r="N506" s="132"/>
      <c r="O506" s="132"/>
      <c r="P506" s="132"/>
      <c r="Q506" s="132"/>
      <c r="R506" s="132"/>
      <c r="S506" s="132"/>
      <c r="T506" s="132"/>
      <c r="U506" s="132"/>
      <c r="V506" s="132"/>
      <c r="W506" s="132"/>
      <c r="X506" s="132"/>
      <c r="Y506" s="132"/>
      <c r="Z506" s="132"/>
    </row>
    <row r="507" spans="1:26" ht="11.25" customHeight="1" x14ac:dyDescent="0.3">
      <c r="A507" s="132"/>
      <c r="B507" s="132"/>
      <c r="C507" s="132"/>
      <c r="D507" s="132"/>
      <c r="E507" s="132"/>
      <c r="F507" s="132"/>
      <c r="G507" s="132"/>
      <c r="H507" s="132"/>
      <c r="I507" s="132"/>
      <c r="J507" s="132"/>
      <c r="K507" s="132"/>
      <c r="L507" s="132"/>
      <c r="M507" s="132"/>
      <c r="N507" s="132"/>
      <c r="O507" s="132"/>
      <c r="P507" s="132"/>
      <c r="Q507" s="132"/>
      <c r="R507" s="132"/>
      <c r="S507" s="132"/>
      <c r="T507" s="132"/>
      <c r="U507" s="132"/>
      <c r="V507" s="132"/>
      <c r="W507" s="132"/>
      <c r="X507" s="132"/>
      <c r="Y507" s="132"/>
      <c r="Z507" s="132"/>
    </row>
    <row r="508" spans="1:26" ht="11.25" customHeight="1" x14ac:dyDescent="0.3">
      <c r="A508" s="132"/>
      <c r="B508" s="132"/>
      <c r="C508" s="132"/>
      <c r="D508" s="132"/>
      <c r="E508" s="132"/>
      <c r="F508" s="132"/>
      <c r="G508" s="132"/>
      <c r="H508" s="132"/>
      <c r="I508" s="132"/>
      <c r="J508" s="132"/>
      <c r="K508" s="132"/>
      <c r="L508" s="132"/>
      <c r="M508" s="132"/>
      <c r="N508" s="132"/>
      <c r="O508" s="132"/>
      <c r="P508" s="132"/>
      <c r="Q508" s="132"/>
      <c r="R508" s="132"/>
      <c r="S508" s="132"/>
      <c r="T508" s="132"/>
      <c r="U508" s="132"/>
      <c r="V508" s="132"/>
      <c r="W508" s="132"/>
      <c r="X508" s="132"/>
      <c r="Y508" s="132"/>
      <c r="Z508" s="132"/>
    </row>
    <row r="509" spans="1:26" ht="11.25" customHeight="1" x14ac:dyDescent="0.3">
      <c r="A509" s="132"/>
      <c r="B509" s="132"/>
      <c r="C509" s="132"/>
      <c r="D509" s="132"/>
      <c r="E509" s="132"/>
      <c r="F509" s="132"/>
      <c r="G509" s="132"/>
      <c r="H509" s="132"/>
      <c r="I509" s="132"/>
      <c r="J509" s="132"/>
      <c r="K509" s="132"/>
      <c r="L509" s="132"/>
      <c r="M509" s="132"/>
      <c r="N509" s="132"/>
      <c r="O509" s="132"/>
      <c r="P509" s="132"/>
      <c r="Q509" s="132"/>
      <c r="R509" s="132"/>
      <c r="S509" s="132"/>
      <c r="T509" s="132"/>
      <c r="U509" s="132"/>
      <c r="V509" s="132"/>
      <c r="W509" s="132"/>
      <c r="X509" s="132"/>
      <c r="Y509" s="132"/>
      <c r="Z509" s="132"/>
    </row>
    <row r="510" spans="1:26" ht="11.25" customHeight="1" x14ac:dyDescent="0.3">
      <c r="A510" s="132"/>
      <c r="B510" s="132"/>
      <c r="C510" s="132"/>
      <c r="D510" s="132"/>
      <c r="E510" s="132"/>
      <c r="F510" s="132"/>
      <c r="G510" s="132"/>
      <c r="H510" s="132"/>
      <c r="I510" s="132"/>
      <c r="J510" s="132"/>
      <c r="K510" s="132"/>
      <c r="L510" s="132"/>
      <c r="M510" s="132"/>
      <c r="N510" s="132"/>
      <c r="O510" s="132"/>
      <c r="P510" s="132"/>
      <c r="Q510" s="132"/>
      <c r="R510" s="132"/>
      <c r="S510" s="132"/>
      <c r="T510" s="132"/>
      <c r="U510" s="132"/>
      <c r="V510" s="132"/>
      <c r="W510" s="132"/>
      <c r="X510" s="132"/>
      <c r="Y510" s="132"/>
      <c r="Z510" s="132"/>
    </row>
    <row r="511" spans="1:26" ht="11.25" customHeight="1" x14ac:dyDescent="0.3">
      <c r="A511" s="132"/>
      <c r="B511" s="132"/>
      <c r="C511" s="132"/>
      <c r="D511" s="132"/>
      <c r="E511" s="132"/>
      <c r="F511" s="132"/>
      <c r="G511" s="132"/>
      <c r="H511" s="132"/>
      <c r="I511" s="132"/>
      <c r="J511" s="132"/>
      <c r="K511" s="132"/>
      <c r="L511" s="132"/>
      <c r="M511" s="132"/>
      <c r="N511" s="132"/>
      <c r="O511" s="132"/>
      <c r="P511" s="132"/>
      <c r="Q511" s="132"/>
      <c r="R511" s="132"/>
      <c r="S511" s="132"/>
      <c r="T511" s="132"/>
      <c r="U511" s="132"/>
      <c r="V511" s="132"/>
      <c r="W511" s="132"/>
      <c r="X511" s="132"/>
      <c r="Y511" s="132"/>
      <c r="Z511" s="132"/>
    </row>
    <row r="512" spans="1:26" ht="11.25" customHeight="1" x14ac:dyDescent="0.3">
      <c r="A512" s="132"/>
      <c r="B512" s="132"/>
      <c r="C512" s="132"/>
      <c r="D512" s="132"/>
      <c r="E512" s="132"/>
      <c r="F512" s="132"/>
      <c r="G512" s="132"/>
      <c r="H512" s="132"/>
      <c r="I512" s="132"/>
      <c r="J512" s="132"/>
      <c r="K512" s="132"/>
      <c r="L512" s="132"/>
      <c r="M512" s="132"/>
      <c r="N512" s="132"/>
      <c r="O512" s="132"/>
      <c r="P512" s="132"/>
      <c r="Q512" s="132"/>
      <c r="R512" s="132"/>
      <c r="S512" s="132"/>
      <c r="T512" s="132"/>
      <c r="U512" s="132"/>
      <c r="V512" s="132"/>
      <c r="W512" s="132"/>
      <c r="X512" s="132"/>
      <c r="Y512" s="132"/>
      <c r="Z512" s="132"/>
    </row>
    <row r="513" spans="1:26" ht="11.25" customHeight="1" x14ac:dyDescent="0.3">
      <c r="A513" s="132"/>
      <c r="B513" s="132"/>
      <c r="C513" s="132"/>
      <c r="D513" s="132"/>
      <c r="E513" s="132"/>
      <c r="F513" s="132"/>
      <c r="G513" s="132"/>
      <c r="H513" s="132"/>
      <c r="I513" s="132"/>
      <c r="J513" s="132"/>
      <c r="K513" s="132"/>
      <c r="L513" s="132"/>
      <c r="M513" s="132"/>
      <c r="N513" s="132"/>
      <c r="O513" s="132"/>
      <c r="P513" s="132"/>
      <c r="Q513" s="132"/>
      <c r="R513" s="132"/>
      <c r="S513" s="132"/>
      <c r="T513" s="132"/>
      <c r="U513" s="132"/>
      <c r="V513" s="132"/>
      <c r="W513" s="132"/>
      <c r="X513" s="132"/>
      <c r="Y513" s="132"/>
      <c r="Z513" s="132"/>
    </row>
    <row r="514" spans="1:26" ht="11.25" customHeight="1" x14ac:dyDescent="0.3">
      <c r="A514" s="132"/>
      <c r="B514" s="132"/>
      <c r="C514" s="132"/>
      <c r="D514" s="132"/>
      <c r="E514" s="132"/>
      <c r="F514" s="132"/>
      <c r="G514" s="132"/>
      <c r="H514" s="132"/>
      <c r="I514" s="132"/>
      <c r="J514" s="132"/>
      <c r="K514" s="132"/>
      <c r="L514" s="132"/>
      <c r="M514" s="132"/>
      <c r="N514" s="132"/>
      <c r="O514" s="132"/>
      <c r="P514" s="132"/>
      <c r="Q514" s="132"/>
      <c r="R514" s="132"/>
      <c r="S514" s="132"/>
      <c r="T514" s="132"/>
      <c r="U514" s="132"/>
      <c r="V514" s="132"/>
      <c r="W514" s="132"/>
      <c r="X514" s="132"/>
      <c r="Y514" s="132"/>
      <c r="Z514" s="132"/>
    </row>
    <row r="515" spans="1:26" ht="11.25" customHeight="1" x14ac:dyDescent="0.3">
      <c r="A515" s="132"/>
      <c r="B515" s="132"/>
      <c r="C515" s="132"/>
      <c r="D515" s="132"/>
      <c r="E515" s="132"/>
      <c r="F515" s="132"/>
      <c r="G515" s="132"/>
      <c r="H515" s="132"/>
      <c r="I515" s="132"/>
      <c r="J515" s="132"/>
      <c r="K515" s="132"/>
      <c r="L515" s="132"/>
      <c r="M515" s="132"/>
      <c r="N515" s="132"/>
      <c r="O515" s="132"/>
      <c r="P515" s="132"/>
      <c r="Q515" s="132"/>
      <c r="R515" s="132"/>
      <c r="S515" s="132"/>
      <c r="T515" s="132"/>
      <c r="U515" s="132"/>
      <c r="V515" s="132"/>
      <c r="W515" s="132"/>
      <c r="X515" s="132"/>
      <c r="Y515" s="132"/>
      <c r="Z515" s="132"/>
    </row>
    <row r="516" spans="1:26" ht="11.25" customHeight="1" x14ac:dyDescent="0.3">
      <c r="A516" s="132"/>
      <c r="B516" s="132"/>
      <c r="C516" s="132"/>
      <c r="D516" s="132"/>
      <c r="E516" s="132"/>
      <c r="F516" s="132"/>
      <c r="G516" s="132"/>
      <c r="H516" s="132"/>
      <c r="I516" s="132"/>
      <c r="J516" s="132"/>
      <c r="K516" s="132"/>
      <c r="L516" s="132"/>
      <c r="M516" s="132"/>
      <c r="N516" s="132"/>
      <c r="O516" s="132"/>
      <c r="P516" s="132"/>
      <c r="Q516" s="132"/>
      <c r="R516" s="132"/>
      <c r="S516" s="132"/>
      <c r="T516" s="132"/>
      <c r="U516" s="132"/>
      <c r="V516" s="132"/>
      <c r="W516" s="132"/>
      <c r="X516" s="132"/>
      <c r="Y516" s="132"/>
      <c r="Z516" s="132"/>
    </row>
    <row r="517" spans="1:26" ht="11.25" customHeight="1" x14ac:dyDescent="0.3">
      <c r="A517" s="132"/>
      <c r="B517" s="132"/>
      <c r="C517" s="132"/>
      <c r="D517" s="132"/>
      <c r="E517" s="132"/>
      <c r="F517" s="132"/>
      <c r="G517" s="132"/>
      <c r="H517" s="132"/>
      <c r="I517" s="132"/>
      <c r="J517" s="132"/>
      <c r="K517" s="132"/>
      <c r="L517" s="132"/>
      <c r="M517" s="132"/>
      <c r="N517" s="132"/>
      <c r="O517" s="132"/>
      <c r="P517" s="132"/>
      <c r="Q517" s="132"/>
      <c r="R517" s="132"/>
      <c r="S517" s="132"/>
      <c r="T517" s="132"/>
      <c r="U517" s="132"/>
      <c r="V517" s="132"/>
      <c r="W517" s="132"/>
      <c r="X517" s="132"/>
      <c r="Y517" s="132"/>
      <c r="Z517" s="132"/>
    </row>
    <row r="518" spans="1:26" ht="11.25" customHeight="1" x14ac:dyDescent="0.3">
      <c r="A518" s="132"/>
      <c r="B518" s="132"/>
      <c r="C518" s="132"/>
      <c r="D518" s="132"/>
      <c r="E518" s="132"/>
      <c r="F518" s="132"/>
      <c r="G518" s="132"/>
      <c r="H518" s="132"/>
      <c r="I518" s="132"/>
      <c r="J518" s="132"/>
      <c r="K518" s="132"/>
      <c r="L518" s="132"/>
      <c r="M518" s="132"/>
      <c r="N518" s="132"/>
      <c r="O518" s="132"/>
      <c r="P518" s="132"/>
      <c r="Q518" s="132"/>
      <c r="R518" s="132"/>
      <c r="S518" s="132"/>
      <c r="T518" s="132"/>
      <c r="U518" s="132"/>
      <c r="V518" s="132"/>
      <c r="W518" s="132"/>
      <c r="X518" s="132"/>
      <c r="Y518" s="132"/>
      <c r="Z518" s="132"/>
    </row>
    <row r="519" spans="1:26" ht="11.25" customHeight="1" x14ac:dyDescent="0.3">
      <c r="A519" s="132"/>
      <c r="B519" s="132"/>
      <c r="C519" s="132"/>
      <c r="D519" s="132"/>
      <c r="E519" s="132"/>
      <c r="F519" s="132"/>
      <c r="G519" s="132"/>
      <c r="H519" s="132"/>
      <c r="I519" s="132"/>
      <c r="J519" s="132"/>
      <c r="K519" s="132"/>
      <c r="L519" s="132"/>
      <c r="M519" s="132"/>
      <c r="N519" s="132"/>
      <c r="O519" s="132"/>
      <c r="P519" s="132"/>
      <c r="Q519" s="132"/>
      <c r="R519" s="132"/>
      <c r="S519" s="132"/>
      <c r="T519" s="132"/>
      <c r="U519" s="132"/>
      <c r="V519" s="132"/>
      <c r="W519" s="132"/>
      <c r="X519" s="132"/>
      <c r="Y519" s="132"/>
      <c r="Z519" s="132"/>
    </row>
    <row r="520" spans="1:26" ht="11.25" customHeight="1" x14ac:dyDescent="0.3">
      <c r="A520" s="132"/>
      <c r="B520" s="132"/>
      <c r="C520" s="132"/>
      <c r="D520" s="132"/>
      <c r="E520" s="132"/>
      <c r="F520" s="132"/>
      <c r="G520" s="132"/>
      <c r="H520" s="132"/>
      <c r="I520" s="132"/>
      <c r="J520" s="132"/>
      <c r="K520" s="132"/>
      <c r="L520" s="132"/>
      <c r="M520" s="132"/>
      <c r="N520" s="132"/>
      <c r="O520" s="132"/>
      <c r="P520" s="132"/>
      <c r="Q520" s="132"/>
      <c r="R520" s="132"/>
      <c r="S520" s="132"/>
      <c r="T520" s="132"/>
      <c r="U520" s="132"/>
      <c r="V520" s="132"/>
      <c r="W520" s="132"/>
      <c r="X520" s="132"/>
      <c r="Y520" s="132"/>
      <c r="Z520" s="132"/>
    </row>
    <row r="521" spans="1:26" ht="11.25" customHeight="1" x14ac:dyDescent="0.3">
      <c r="A521" s="132"/>
      <c r="B521" s="132"/>
      <c r="C521" s="132"/>
      <c r="D521" s="132"/>
      <c r="E521" s="132"/>
      <c r="F521" s="132"/>
      <c r="G521" s="132"/>
      <c r="H521" s="132"/>
      <c r="I521" s="132"/>
      <c r="J521" s="132"/>
      <c r="K521" s="132"/>
      <c r="L521" s="132"/>
      <c r="M521" s="132"/>
      <c r="N521" s="132"/>
      <c r="O521" s="132"/>
      <c r="P521" s="132"/>
      <c r="Q521" s="132"/>
      <c r="R521" s="132"/>
      <c r="S521" s="132"/>
      <c r="T521" s="132"/>
      <c r="U521" s="132"/>
      <c r="V521" s="132"/>
      <c r="W521" s="132"/>
      <c r="X521" s="132"/>
      <c r="Y521" s="132"/>
      <c r="Z521" s="132"/>
    </row>
    <row r="522" spans="1:26" ht="11.25" customHeight="1" x14ac:dyDescent="0.3">
      <c r="A522" s="132"/>
      <c r="B522" s="132"/>
      <c r="C522" s="132"/>
      <c r="D522" s="132"/>
      <c r="E522" s="132"/>
      <c r="F522" s="132"/>
      <c r="G522" s="132"/>
      <c r="H522" s="132"/>
      <c r="I522" s="132"/>
      <c r="J522" s="132"/>
      <c r="K522" s="132"/>
      <c r="L522" s="132"/>
      <c r="M522" s="132"/>
      <c r="N522" s="132"/>
      <c r="O522" s="132"/>
      <c r="P522" s="132"/>
      <c r="Q522" s="132"/>
      <c r="R522" s="132"/>
      <c r="S522" s="132"/>
      <c r="T522" s="132"/>
      <c r="U522" s="132"/>
      <c r="V522" s="132"/>
      <c r="W522" s="132"/>
      <c r="X522" s="132"/>
      <c r="Y522" s="132"/>
      <c r="Z522" s="132"/>
    </row>
    <row r="523" spans="1:26" ht="11.25" customHeight="1" x14ac:dyDescent="0.3">
      <c r="A523" s="132"/>
      <c r="B523" s="132"/>
      <c r="C523" s="132"/>
      <c r="D523" s="132"/>
      <c r="E523" s="132"/>
      <c r="F523" s="132"/>
      <c r="G523" s="132"/>
      <c r="H523" s="132"/>
      <c r="I523" s="132"/>
      <c r="J523" s="132"/>
      <c r="K523" s="132"/>
      <c r="L523" s="132"/>
      <c r="M523" s="132"/>
      <c r="N523" s="132"/>
      <c r="O523" s="132"/>
      <c r="P523" s="132"/>
      <c r="Q523" s="132"/>
      <c r="R523" s="132"/>
      <c r="S523" s="132"/>
      <c r="T523" s="132"/>
      <c r="U523" s="132"/>
      <c r="V523" s="132"/>
      <c r="W523" s="132"/>
      <c r="X523" s="132"/>
      <c r="Y523" s="132"/>
      <c r="Z523" s="132"/>
    </row>
    <row r="524" spans="1:26" ht="11.25" customHeight="1" x14ac:dyDescent="0.3">
      <c r="A524" s="132"/>
      <c r="B524" s="132"/>
      <c r="C524" s="132"/>
      <c r="D524" s="132"/>
      <c r="E524" s="132"/>
      <c r="F524" s="132"/>
      <c r="G524" s="132"/>
      <c r="H524" s="132"/>
      <c r="I524" s="132"/>
      <c r="J524" s="132"/>
      <c r="K524" s="132"/>
      <c r="L524" s="132"/>
      <c r="M524" s="132"/>
      <c r="N524" s="132"/>
      <c r="O524" s="132"/>
      <c r="P524" s="132"/>
      <c r="Q524" s="132"/>
      <c r="R524" s="132"/>
      <c r="S524" s="132"/>
      <c r="T524" s="132"/>
      <c r="U524" s="132"/>
      <c r="V524" s="132"/>
      <c r="W524" s="132"/>
      <c r="X524" s="132"/>
      <c r="Y524" s="132"/>
      <c r="Z524" s="132"/>
    </row>
    <row r="525" spans="1:26" ht="11.25" customHeight="1" x14ac:dyDescent="0.3">
      <c r="A525" s="132"/>
      <c r="B525" s="132"/>
      <c r="C525" s="132"/>
      <c r="D525" s="132"/>
      <c r="E525" s="132"/>
      <c r="F525" s="132"/>
      <c r="G525" s="132"/>
      <c r="H525" s="132"/>
      <c r="I525" s="132"/>
      <c r="J525" s="132"/>
      <c r="K525" s="132"/>
      <c r="L525" s="132"/>
      <c r="M525" s="132"/>
      <c r="N525" s="132"/>
      <c r="O525" s="132"/>
      <c r="P525" s="132"/>
      <c r="Q525" s="132"/>
      <c r="R525" s="132"/>
      <c r="S525" s="132"/>
      <c r="T525" s="132"/>
      <c r="U525" s="132"/>
      <c r="V525" s="132"/>
      <c r="W525" s="132"/>
      <c r="X525" s="132"/>
      <c r="Y525" s="132"/>
      <c r="Z525" s="132"/>
    </row>
    <row r="526" spans="1:26" ht="11.25" customHeight="1" x14ac:dyDescent="0.3">
      <c r="A526" s="132"/>
      <c r="B526" s="132"/>
      <c r="C526" s="132"/>
      <c r="D526" s="132"/>
      <c r="E526" s="132"/>
      <c r="F526" s="132"/>
      <c r="G526" s="132"/>
      <c r="H526" s="132"/>
      <c r="I526" s="132"/>
      <c r="J526" s="132"/>
      <c r="K526" s="132"/>
      <c r="L526" s="132"/>
      <c r="M526" s="132"/>
      <c r="N526" s="132"/>
      <c r="O526" s="132"/>
      <c r="P526" s="132"/>
      <c r="Q526" s="132"/>
      <c r="R526" s="132"/>
      <c r="S526" s="132"/>
      <c r="T526" s="132"/>
      <c r="U526" s="132"/>
      <c r="V526" s="132"/>
      <c r="W526" s="132"/>
      <c r="X526" s="132"/>
      <c r="Y526" s="132"/>
      <c r="Z526" s="132"/>
    </row>
    <row r="527" spans="1:26" ht="11.25" customHeight="1" x14ac:dyDescent="0.3">
      <c r="A527" s="132"/>
      <c r="B527" s="132"/>
      <c r="C527" s="132"/>
      <c r="D527" s="132"/>
      <c r="E527" s="132"/>
      <c r="F527" s="132"/>
      <c r="G527" s="132"/>
      <c r="H527" s="132"/>
      <c r="I527" s="132"/>
      <c r="J527" s="132"/>
      <c r="K527" s="132"/>
      <c r="L527" s="132"/>
      <c r="M527" s="132"/>
      <c r="N527" s="132"/>
      <c r="O527" s="132"/>
      <c r="P527" s="132"/>
      <c r="Q527" s="132"/>
      <c r="R527" s="132"/>
      <c r="S527" s="132"/>
      <c r="T527" s="132"/>
      <c r="U527" s="132"/>
      <c r="V527" s="132"/>
      <c r="W527" s="132"/>
      <c r="X527" s="132"/>
      <c r="Y527" s="132"/>
      <c r="Z527" s="132"/>
    </row>
    <row r="528" spans="1:26" ht="11.25" customHeight="1" x14ac:dyDescent="0.3">
      <c r="A528" s="132"/>
      <c r="B528" s="132"/>
      <c r="C528" s="132"/>
      <c r="D528" s="132"/>
      <c r="E528" s="132"/>
      <c r="F528" s="132"/>
      <c r="G528" s="132"/>
      <c r="H528" s="132"/>
      <c r="I528" s="132"/>
      <c r="J528" s="132"/>
      <c r="K528" s="132"/>
      <c r="L528" s="132"/>
      <c r="M528" s="132"/>
      <c r="N528" s="132"/>
      <c r="O528" s="132"/>
      <c r="P528" s="132"/>
      <c r="Q528" s="132"/>
      <c r="R528" s="132"/>
      <c r="S528" s="132"/>
      <c r="T528" s="132"/>
      <c r="U528" s="132"/>
      <c r="V528" s="132"/>
      <c r="W528" s="132"/>
      <c r="X528" s="132"/>
      <c r="Y528" s="132"/>
      <c r="Z528" s="132"/>
    </row>
    <row r="529" spans="1:26" ht="11.25" customHeight="1" x14ac:dyDescent="0.3">
      <c r="A529" s="132"/>
      <c r="B529" s="132"/>
      <c r="C529" s="132"/>
      <c r="D529" s="132"/>
      <c r="E529" s="132"/>
      <c r="F529" s="132"/>
      <c r="G529" s="132"/>
      <c r="H529" s="132"/>
      <c r="I529" s="132"/>
      <c r="J529" s="132"/>
      <c r="K529" s="132"/>
      <c r="L529" s="132"/>
      <c r="M529" s="132"/>
      <c r="N529" s="132"/>
      <c r="O529" s="132"/>
      <c r="P529" s="132"/>
      <c r="Q529" s="132"/>
      <c r="R529" s="132"/>
      <c r="S529" s="132"/>
      <c r="T529" s="132"/>
      <c r="U529" s="132"/>
      <c r="V529" s="132"/>
      <c r="W529" s="132"/>
      <c r="X529" s="132"/>
      <c r="Y529" s="132"/>
      <c r="Z529" s="132"/>
    </row>
    <row r="530" spans="1:26" ht="11.25" customHeight="1" x14ac:dyDescent="0.3">
      <c r="A530" s="132"/>
      <c r="B530" s="132"/>
      <c r="C530" s="132"/>
      <c r="D530" s="132"/>
      <c r="E530" s="132"/>
      <c r="F530" s="132"/>
      <c r="G530" s="132"/>
      <c r="H530" s="132"/>
      <c r="I530" s="132"/>
      <c r="J530" s="132"/>
      <c r="K530" s="132"/>
      <c r="L530" s="132"/>
      <c r="M530" s="132"/>
      <c r="N530" s="132"/>
      <c r="O530" s="132"/>
      <c r="P530" s="132"/>
      <c r="Q530" s="132"/>
      <c r="R530" s="132"/>
      <c r="S530" s="132"/>
      <c r="T530" s="132"/>
      <c r="U530" s="132"/>
      <c r="V530" s="132"/>
      <c r="W530" s="132"/>
      <c r="X530" s="132"/>
      <c r="Y530" s="132"/>
      <c r="Z530" s="132"/>
    </row>
    <row r="531" spans="1:26" ht="11.25" customHeight="1" x14ac:dyDescent="0.3">
      <c r="A531" s="132"/>
      <c r="B531" s="132"/>
      <c r="C531" s="132"/>
      <c r="D531" s="132"/>
      <c r="E531" s="132"/>
      <c r="F531" s="132"/>
      <c r="G531" s="132"/>
      <c r="H531" s="132"/>
      <c r="I531" s="132"/>
      <c r="J531" s="132"/>
      <c r="K531" s="132"/>
      <c r="L531" s="132"/>
      <c r="M531" s="132"/>
      <c r="N531" s="132"/>
      <c r="O531" s="132"/>
      <c r="P531" s="132"/>
      <c r="Q531" s="132"/>
      <c r="R531" s="132"/>
      <c r="S531" s="132"/>
      <c r="T531" s="132"/>
      <c r="U531" s="132"/>
      <c r="V531" s="132"/>
      <c r="W531" s="132"/>
      <c r="X531" s="132"/>
      <c r="Y531" s="132"/>
      <c r="Z531" s="132"/>
    </row>
    <row r="532" spans="1:26" ht="11.25" customHeight="1" x14ac:dyDescent="0.3">
      <c r="A532" s="132"/>
      <c r="B532" s="132"/>
      <c r="C532" s="132"/>
      <c r="D532" s="132"/>
      <c r="E532" s="132"/>
      <c r="F532" s="132"/>
      <c r="G532" s="132"/>
      <c r="H532" s="132"/>
      <c r="I532" s="132"/>
      <c r="J532" s="132"/>
      <c r="K532" s="132"/>
      <c r="L532" s="132"/>
      <c r="M532" s="132"/>
      <c r="N532" s="132"/>
      <c r="O532" s="132"/>
      <c r="P532" s="132"/>
      <c r="Q532" s="132"/>
      <c r="R532" s="132"/>
      <c r="S532" s="132"/>
      <c r="T532" s="132"/>
      <c r="U532" s="132"/>
      <c r="V532" s="132"/>
      <c r="W532" s="132"/>
      <c r="X532" s="132"/>
      <c r="Y532" s="132"/>
      <c r="Z532" s="132"/>
    </row>
    <row r="533" spans="1:26" ht="11.25" customHeight="1" x14ac:dyDescent="0.3">
      <c r="A533" s="132"/>
      <c r="B533" s="132"/>
      <c r="C533" s="132"/>
      <c r="D533" s="132"/>
      <c r="E533" s="132"/>
      <c r="F533" s="132"/>
      <c r="G533" s="132"/>
      <c r="H533" s="132"/>
      <c r="I533" s="132"/>
      <c r="J533" s="132"/>
      <c r="K533" s="132"/>
      <c r="L533" s="132"/>
      <c r="M533" s="132"/>
      <c r="N533" s="132"/>
      <c r="O533" s="132"/>
      <c r="P533" s="132"/>
      <c r="Q533" s="132"/>
      <c r="R533" s="132"/>
      <c r="S533" s="132"/>
      <c r="T533" s="132"/>
      <c r="U533" s="132"/>
      <c r="V533" s="132"/>
      <c r="W533" s="132"/>
      <c r="X533" s="132"/>
      <c r="Y533" s="132"/>
      <c r="Z533" s="132"/>
    </row>
    <row r="534" spans="1:26" ht="11.25" customHeight="1" x14ac:dyDescent="0.3">
      <c r="A534" s="132"/>
      <c r="B534" s="132"/>
      <c r="C534" s="132"/>
      <c r="D534" s="132"/>
      <c r="E534" s="132"/>
      <c r="F534" s="132"/>
      <c r="G534" s="132"/>
      <c r="H534" s="132"/>
      <c r="I534" s="132"/>
      <c r="J534" s="132"/>
      <c r="K534" s="132"/>
      <c r="L534" s="132"/>
      <c r="M534" s="132"/>
      <c r="N534" s="132"/>
      <c r="O534" s="132"/>
      <c r="P534" s="132"/>
      <c r="Q534" s="132"/>
      <c r="R534" s="132"/>
      <c r="S534" s="132"/>
      <c r="T534" s="132"/>
      <c r="U534" s="132"/>
      <c r="V534" s="132"/>
      <c r="W534" s="132"/>
      <c r="X534" s="132"/>
      <c r="Y534" s="132"/>
      <c r="Z534" s="132"/>
    </row>
    <row r="535" spans="1:26" ht="11.25" customHeight="1" x14ac:dyDescent="0.3">
      <c r="A535" s="132"/>
      <c r="B535" s="132"/>
      <c r="C535" s="132"/>
      <c r="D535" s="132"/>
      <c r="E535" s="132"/>
      <c r="F535" s="132"/>
      <c r="G535" s="132"/>
      <c r="H535" s="132"/>
      <c r="I535" s="132"/>
      <c r="J535" s="132"/>
      <c r="K535" s="132"/>
      <c r="L535" s="132"/>
      <c r="M535" s="132"/>
      <c r="N535" s="132"/>
      <c r="O535" s="132"/>
      <c r="P535" s="132"/>
      <c r="Q535" s="132"/>
      <c r="R535" s="132"/>
      <c r="S535" s="132"/>
      <c r="T535" s="132"/>
      <c r="U535" s="132"/>
      <c r="V535" s="132"/>
      <c r="W535" s="132"/>
      <c r="X535" s="132"/>
      <c r="Y535" s="132"/>
      <c r="Z535" s="132"/>
    </row>
    <row r="536" spans="1:26" ht="11.25" customHeight="1" x14ac:dyDescent="0.3">
      <c r="A536" s="132"/>
      <c r="B536" s="132"/>
      <c r="C536" s="132"/>
      <c r="D536" s="132"/>
      <c r="E536" s="132"/>
      <c r="F536" s="132"/>
      <c r="G536" s="132"/>
      <c r="H536" s="132"/>
      <c r="I536" s="132"/>
      <c r="J536" s="132"/>
      <c r="K536" s="132"/>
      <c r="L536" s="132"/>
      <c r="M536" s="132"/>
      <c r="N536" s="132"/>
      <c r="O536" s="132"/>
      <c r="P536" s="132"/>
      <c r="Q536" s="132"/>
      <c r="R536" s="132"/>
      <c r="S536" s="132"/>
      <c r="T536" s="132"/>
      <c r="U536" s="132"/>
      <c r="V536" s="132"/>
      <c r="W536" s="132"/>
      <c r="X536" s="132"/>
      <c r="Y536" s="132"/>
      <c r="Z536" s="132"/>
    </row>
    <row r="537" spans="1:26" ht="11.25" customHeight="1" x14ac:dyDescent="0.3">
      <c r="A537" s="132"/>
      <c r="B537" s="132"/>
      <c r="C537" s="132"/>
      <c r="D537" s="132"/>
      <c r="E537" s="132"/>
      <c r="F537" s="132"/>
      <c r="G537" s="132"/>
      <c r="H537" s="132"/>
      <c r="I537" s="132"/>
      <c r="J537" s="132"/>
      <c r="K537" s="132"/>
      <c r="L537" s="132"/>
      <c r="M537" s="132"/>
      <c r="N537" s="132"/>
      <c r="O537" s="132"/>
      <c r="P537" s="132"/>
      <c r="Q537" s="132"/>
      <c r="R537" s="132"/>
      <c r="S537" s="132"/>
      <c r="T537" s="132"/>
      <c r="U537" s="132"/>
      <c r="V537" s="132"/>
      <c r="W537" s="132"/>
      <c r="X537" s="132"/>
      <c r="Y537" s="132"/>
      <c r="Z537" s="132"/>
    </row>
    <row r="538" spans="1:26" ht="11.25" customHeight="1" x14ac:dyDescent="0.3">
      <c r="A538" s="132"/>
      <c r="B538" s="132"/>
      <c r="C538" s="132"/>
      <c r="D538" s="132"/>
      <c r="E538" s="132"/>
      <c r="F538" s="132"/>
      <c r="G538" s="132"/>
      <c r="H538" s="132"/>
      <c r="I538" s="132"/>
      <c r="J538" s="132"/>
      <c r="K538" s="132"/>
      <c r="L538" s="132"/>
      <c r="M538" s="132"/>
      <c r="N538" s="132"/>
      <c r="O538" s="132"/>
      <c r="P538" s="132"/>
      <c r="Q538" s="132"/>
      <c r="R538" s="132"/>
      <c r="S538" s="132"/>
      <c r="T538" s="132"/>
      <c r="U538" s="132"/>
      <c r="V538" s="132"/>
      <c r="W538" s="132"/>
      <c r="X538" s="132"/>
      <c r="Y538" s="132"/>
      <c r="Z538" s="132"/>
    </row>
    <row r="539" spans="1:26" ht="11.25" customHeight="1" x14ac:dyDescent="0.3">
      <c r="A539" s="132"/>
      <c r="B539" s="132"/>
      <c r="C539" s="132"/>
      <c r="D539" s="132"/>
      <c r="E539" s="132"/>
      <c r="F539" s="132"/>
      <c r="G539" s="132"/>
      <c r="H539" s="132"/>
      <c r="I539" s="132"/>
      <c r="J539" s="132"/>
      <c r="K539" s="132"/>
      <c r="L539" s="132"/>
      <c r="M539" s="132"/>
      <c r="N539" s="132"/>
      <c r="O539" s="132"/>
      <c r="P539" s="132"/>
      <c r="Q539" s="132"/>
      <c r="R539" s="132"/>
      <c r="S539" s="132"/>
      <c r="T539" s="132"/>
      <c r="U539" s="132"/>
      <c r="V539" s="132"/>
      <c r="W539" s="132"/>
      <c r="X539" s="132"/>
      <c r="Y539" s="132"/>
      <c r="Z539" s="132"/>
    </row>
    <row r="540" spans="1:26" ht="11.25" customHeight="1" x14ac:dyDescent="0.3">
      <c r="A540" s="132"/>
      <c r="B540" s="132"/>
      <c r="C540" s="132"/>
      <c r="D540" s="132"/>
      <c r="E540" s="132"/>
      <c r="F540" s="132"/>
      <c r="G540" s="132"/>
      <c r="H540" s="132"/>
      <c r="I540" s="132"/>
      <c r="J540" s="132"/>
      <c r="K540" s="132"/>
      <c r="L540" s="132"/>
      <c r="M540" s="132"/>
      <c r="N540" s="132"/>
      <c r="O540" s="132"/>
      <c r="P540" s="132"/>
      <c r="Q540" s="132"/>
      <c r="R540" s="132"/>
      <c r="S540" s="132"/>
      <c r="T540" s="132"/>
      <c r="U540" s="132"/>
      <c r="V540" s="132"/>
      <c r="W540" s="132"/>
      <c r="X540" s="132"/>
      <c r="Y540" s="132"/>
      <c r="Z540" s="132"/>
    </row>
    <row r="541" spans="1:26" ht="11.25" customHeight="1" x14ac:dyDescent="0.3">
      <c r="A541" s="132"/>
      <c r="B541" s="132"/>
      <c r="C541" s="132"/>
      <c r="D541" s="132"/>
      <c r="E541" s="132"/>
      <c r="F541" s="132"/>
      <c r="G541" s="132"/>
      <c r="H541" s="132"/>
      <c r="I541" s="132"/>
      <c r="J541" s="132"/>
      <c r="K541" s="132"/>
      <c r="L541" s="132"/>
      <c r="M541" s="132"/>
      <c r="N541" s="132"/>
      <c r="O541" s="132"/>
      <c r="P541" s="132"/>
      <c r="Q541" s="132"/>
      <c r="R541" s="132"/>
      <c r="S541" s="132"/>
      <c r="T541" s="132"/>
      <c r="U541" s="132"/>
      <c r="V541" s="132"/>
      <c r="W541" s="132"/>
      <c r="X541" s="132"/>
      <c r="Y541" s="132"/>
      <c r="Z541" s="132"/>
    </row>
    <row r="542" spans="1:26" ht="11.25" customHeight="1" x14ac:dyDescent="0.3">
      <c r="A542" s="132"/>
      <c r="B542" s="132"/>
      <c r="C542" s="132"/>
      <c r="D542" s="132"/>
      <c r="E542" s="132"/>
      <c r="F542" s="132"/>
      <c r="G542" s="132"/>
      <c r="H542" s="132"/>
      <c r="I542" s="132"/>
      <c r="J542" s="132"/>
      <c r="K542" s="132"/>
      <c r="L542" s="132"/>
      <c r="M542" s="132"/>
      <c r="N542" s="132"/>
      <c r="O542" s="132"/>
      <c r="P542" s="132"/>
      <c r="Q542" s="132"/>
      <c r="R542" s="132"/>
      <c r="S542" s="132"/>
      <c r="T542" s="132"/>
      <c r="U542" s="132"/>
      <c r="V542" s="132"/>
      <c r="W542" s="132"/>
      <c r="X542" s="132"/>
      <c r="Y542" s="132"/>
      <c r="Z542" s="132"/>
    </row>
    <row r="543" spans="1:26" ht="11.25" customHeight="1" x14ac:dyDescent="0.3">
      <c r="A543" s="132"/>
      <c r="B543" s="132"/>
      <c r="C543" s="132"/>
      <c r="D543" s="132"/>
      <c r="E543" s="132"/>
      <c r="F543" s="132"/>
      <c r="G543" s="132"/>
      <c r="H543" s="132"/>
      <c r="I543" s="132"/>
      <c r="J543" s="132"/>
      <c r="K543" s="132"/>
      <c r="L543" s="132"/>
      <c r="M543" s="132"/>
      <c r="N543" s="132"/>
      <c r="O543" s="132"/>
      <c r="P543" s="132"/>
      <c r="Q543" s="132"/>
      <c r="R543" s="132"/>
      <c r="S543" s="132"/>
      <c r="T543" s="132"/>
      <c r="U543" s="132"/>
      <c r="V543" s="132"/>
      <c r="W543" s="132"/>
      <c r="X543" s="132"/>
      <c r="Y543" s="132"/>
      <c r="Z543" s="132"/>
    </row>
    <row r="544" spans="1:26" ht="11.25" customHeight="1" x14ac:dyDescent="0.3">
      <c r="A544" s="132"/>
      <c r="B544" s="132"/>
      <c r="C544" s="132"/>
      <c r="D544" s="132"/>
      <c r="E544" s="132"/>
      <c r="F544" s="132"/>
      <c r="G544" s="132"/>
      <c r="H544" s="132"/>
      <c r="I544" s="132"/>
      <c r="J544" s="132"/>
      <c r="K544" s="132"/>
      <c r="L544" s="132"/>
      <c r="M544" s="132"/>
      <c r="N544" s="132"/>
      <c r="O544" s="132"/>
      <c r="P544" s="132"/>
      <c r="Q544" s="132"/>
      <c r="R544" s="132"/>
      <c r="S544" s="132"/>
      <c r="T544" s="132"/>
      <c r="U544" s="132"/>
      <c r="V544" s="132"/>
      <c r="W544" s="132"/>
      <c r="X544" s="132"/>
      <c r="Y544" s="132"/>
      <c r="Z544" s="132"/>
    </row>
    <row r="545" spans="1:26" ht="11.25" customHeight="1" x14ac:dyDescent="0.3">
      <c r="A545" s="132"/>
      <c r="B545" s="132"/>
      <c r="C545" s="132"/>
      <c r="D545" s="132"/>
      <c r="E545" s="132"/>
      <c r="F545" s="132"/>
      <c r="G545" s="132"/>
      <c r="H545" s="132"/>
      <c r="I545" s="132"/>
      <c r="J545" s="132"/>
      <c r="K545" s="132"/>
      <c r="L545" s="132"/>
      <c r="M545" s="132"/>
      <c r="N545" s="132"/>
      <c r="O545" s="132"/>
      <c r="P545" s="132"/>
      <c r="Q545" s="132"/>
      <c r="R545" s="132"/>
      <c r="S545" s="132"/>
      <c r="T545" s="132"/>
      <c r="U545" s="132"/>
      <c r="V545" s="132"/>
      <c r="W545" s="132"/>
      <c r="X545" s="132"/>
      <c r="Y545" s="132"/>
      <c r="Z545" s="132"/>
    </row>
    <row r="546" spans="1:26" ht="11.25" customHeight="1" x14ac:dyDescent="0.3">
      <c r="A546" s="132"/>
      <c r="B546" s="132"/>
      <c r="C546" s="132"/>
      <c r="D546" s="132"/>
      <c r="E546" s="132"/>
      <c r="F546" s="132"/>
      <c r="G546" s="132"/>
      <c r="H546" s="132"/>
      <c r="I546" s="132"/>
      <c r="J546" s="132"/>
      <c r="K546" s="132"/>
      <c r="L546" s="132"/>
      <c r="M546" s="132"/>
      <c r="N546" s="132"/>
      <c r="O546" s="132"/>
      <c r="P546" s="132"/>
      <c r="Q546" s="132"/>
      <c r="R546" s="132"/>
      <c r="S546" s="132"/>
      <c r="T546" s="132"/>
      <c r="U546" s="132"/>
      <c r="V546" s="132"/>
      <c r="W546" s="132"/>
      <c r="X546" s="132"/>
      <c r="Y546" s="132"/>
      <c r="Z546" s="132"/>
    </row>
    <row r="547" spans="1:26" ht="11.25" customHeight="1" x14ac:dyDescent="0.3">
      <c r="A547" s="132"/>
      <c r="B547" s="132"/>
      <c r="C547" s="132"/>
      <c r="D547" s="132"/>
      <c r="E547" s="132"/>
      <c r="F547" s="132"/>
      <c r="G547" s="132"/>
      <c r="H547" s="132"/>
      <c r="I547" s="132"/>
      <c r="J547" s="132"/>
      <c r="K547" s="132"/>
      <c r="L547" s="132"/>
      <c r="M547" s="132"/>
      <c r="N547" s="132"/>
      <c r="O547" s="132"/>
      <c r="P547" s="132"/>
      <c r="Q547" s="132"/>
      <c r="R547" s="132"/>
      <c r="S547" s="132"/>
      <c r="T547" s="132"/>
      <c r="U547" s="132"/>
      <c r="V547" s="132"/>
      <c r="W547" s="132"/>
      <c r="X547" s="132"/>
      <c r="Y547" s="132"/>
      <c r="Z547" s="132"/>
    </row>
    <row r="548" spans="1:26" ht="11.25" customHeight="1" x14ac:dyDescent="0.3">
      <c r="A548" s="132"/>
      <c r="B548" s="132"/>
      <c r="C548" s="132"/>
      <c r="D548" s="132"/>
      <c r="E548" s="132"/>
      <c r="F548" s="132"/>
      <c r="G548" s="132"/>
      <c r="H548" s="132"/>
      <c r="I548" s="132"/>
      <c r="J548" s="132"/>
      <c r="K548" s="132"/>
      <c r="L548" s="132"/>
      <c r="M548" s="132"/>
      <c r="N548" s="132"/>
      <c r="O548" s="132"/>
      <c r="P548" s="132"/>
      <c r="Q548" s="132"/>
      <c r="R548" s="132"/>
      <c r="S548" s="132"/>
      <c r="T548" s="132"/>
      <c r="U548" s="132"/>
      <c r="V548" s="132"/>
      <c r="W548" s="132"/>
      <c r="X548" s="132"/>
      <c r="Y548" s="132"/>
      <c r="Z548" s="132"/>
    </row>
    <row r="549" spans="1:26" ht="11.25" customHeight="1" x14ac:dyDescent="0.3">
      <c r="A549" s="132"/>
      <c r="B549" s="132"/>
      <c r="C549" s="132"/>
      <c r="D549" s="132"/>
      <c r="E549" s="132"/>
      <c r="F549" s="132"/>
      <c r="G549" s="132"/>
      <c r="H549" s="132"/>
      <c r="I549" s="132"/>
      <c r="J549" s="132"/>
      <c r="K549" s="132"/>
      <c r="L549" s="132"/>
      <c r="M549" s="132"/>
      <c r="N549" s="132"/>
      <c r="O549" s="132"/>
      <c r="P549" s="132"/>
      <c r="Q549" s="132"/>
      <c r="R549" s="132"/>
      <c r="S549" s="132"/>
      <c r="T549" s="132"/>
      <c r="U549" s="132"/>
      <c r="V549" s="132"/>
      <c r="W549" s="132"/>
      <c r="X549" s="132"/>
      <c r="Y549" s="132"/>
      <c r="Z549" s="132"/>
    </row>
    <row r="550" spans="1:26" ht="11.25" customHeight="1" x14ac:dyDescent="0.3">
      <c r="A550" s="132"/>
      <c r="B550" s="132"/>
      <c r="C550" s="132"/>
      <c r="D550" s="132"/>
      <c r="E550" s="132"/>
      <c r="F550" s="132"/>
      <c r="G550" s="132"/>
      <c r="H550" s="132"/>
      <c r="I550" s="132"/>
      <c r="J550" s="132"/>
      <c r="K550" s="132"/>
      <c r="L550" s="132"/>
      <c r="M550" s="132"/>
      <c r="N550" s="132"/>
      <c r="O550" s="132"/>
      <c r="P550" s="132"/>
      <c r="Q550" s="132"/>
      <c r="R550" s="132"/>
      <c r="S550" s="132"/>
      <c r="T550" s="132"/>
      <c r="U550" s="132"/>
      <c r="V550" s="132"/>
      <c r="W550" s="132"/>
      <c r="X550" s="132"/>
      <c r="Y550" s="132"/>
      <c r="Z550" s="132"/>
    </row>
    <row r="551" spans="1:26" ht="11.25" customHeight="1" x14ac:dyDescent="0.3">
      <c r="A551" s="132"/>
      <c r="B551" s="132"/>
      <c r="C551" s="132"/>
      <c r="D551" s="132"/>
      <c r="E551" s="132"/>
      <c r="F551" s="132"/>
      <c r="G551" s="132"/>
      <c r="H551" s="132"/>
      <c r="I551" s="132"/>
      <c r="J551" s="132"/>
      <c r="K551" s="132"/>
      <c r="L551" s="132"/>
      <c r="M551" s="132"/>
      <c r="N551" s="132"/>
      <c r="O551" s="132"/>
      <c r="P551" s="132"/>
      <c r="Q551" s="132"/>
      <c r="R551" s="132"/>
      <c r="S551" s="132"/>
      <c r="T551" s="132"/>
      <c r="U551" s="132"/>
      <c r="V551" s="132"/>
      <c r="W551" s="132"/>
      <c r="X551" s="132"/>
      <c r="Y551" s="132"/>
      <c r="Z551" s="132"/>
    </row>
    <row r="552" spans="1:26" ht="11.25" customHeight="1" x14ac:dyDescent="0.3">
      <c r="A552" s="132"/>
      <c r="B552" s="132"/>
      <c r="C552" s="132"/>
      <c r="D552" s="132"/>
      <c r="E552" s="132"/>
      <c r="F552" s="132"/>
      <c r="G552" s="132"/>
      <c r="H552" s="132"/>
      <c r="I552" s="132"/>
      <c r="J552" s="132"/>
      <c r="K552" s="132"/>
      <c r="L552" s="132"/>
      <c r="M552" s="132"/>
      <c r="N552" s="132"/>
      <c r="O552" s="132"/>
      <c r="P552" s="132"/>
      <c r="Q552" s="132"/>
      <c r="R552" s="132"/>
      <c r="S552" s="132"/>
      <c r="T552" s="132"/>
      <c r="U552" s="132"/>
      <c r="V552" s="132"/>
      <c r="W552" s="132"/>
      <c r="X552" s="132"/>
      <c r="Y552" s="132"/>
      <c r="Z552" s="132"/>
    </row>
    <row r="553" spans="1:26" ht="11.25" customHeight="1" x14ac:dyDescent="0.3">
      <c r="A553" s="132"/>
      <c r="B553" s="132"/>
      <c r="C553" s="132"/>
      <c r="D553" s="132"/>
      <c r="E553" s="132"/>
      <c r="F553" s="132"/>
      <c r="G553" s="132"/>
      <c r="H553" s="132"/>
      <c r="I553" s="132"/>
      <c r="J553" s="132"/>
      <c r="K553" s="132"/>
      <c r="L553" s="132"/>
      <c r="M553" s="132"/>
      <c r="N553" s="132"/>
      <c r="O553" s="132"/>
      <c r="P553" s="132"/>
      <c r="Q553" s="132"/>
      <c r="R553" s="132"/>
      <c r="S553" s="132"/>
      <c r="T553" s="132"/>
      <c r="U553" s="132"/>
      <c r="V553" s="132"/>
      <c r="W553" s="132"/>
      <c r="X553" s="132"/>
      <c r="Y553" s="132"/>
      <c r="Z553" s="132"/>
    </row>
    <row r="554" spans="1:26" ht="11.25" customHeight="1" x14ac:dyDescent="0.3">
      <c r="A554" s="132"/>
      <c r="B554" s="132"/>
      <c r="C554" s="132"/>
      <c r="D554" s="132"/>
      <c r="E554" s="132"/>
      <c r="F554" s="132"/>
      <c r="G554" s="132"/>
      <c r="H554" s="132"/>
      <c r="I554" s="132"/>
      <c r="J554" s="132"/>
      <c r="K554" s="132"/>
      <c r="L554" s="132"/>
      <c r="M554" s="132"/>
      <c r="N554" s="132"/>
      <c r="O554" s="132"/>
      <c r="P554" s="132"/>
      <c r="Q554" s="132"/>
      <c r="R554" s="132"/>
      <c r="S554" s="132"/>
      <c r="T554" s="132"/>
      <c r="U554" s="132"/>
      <c r="V554" s="132"/>
      <c r="W554" s="132"/>
      <c r="X554" s="132"/>
      <c r="Y554" s="132"/>
      <c r="Z554" s="132"/>
    </row>
    <row r="555" spans="1:26" ht="11.25" customHeight="1" x14ac:dyDescent="0.3">
      <c r="A555" s="132"/>
      <c r="B555" s="132"/>
      <c r="C555" s="132"/>
      <c r="D555" s="132"/>
      <c r="E555" s="132"/>
      <c r="F555" s="132"/>
      <c r="G555" s="132"/>
      <c r="H555" s="132"/>
      <c r="I555" s="132"/>
      <c r="J555" s="132"/>
      <c r="K555" s="132"/>
      <c r="L555" s="132"/>
      <c r="M555" s="132"/>
      <c r="N555" s="132"/>
      <c r="O555" s="132"/>
      <c r="P555" s="132"/>
      <c r="Q555" s="132"/>
      <c r="R555" s="132"/>
      <c r="S555" s="132"/>
      <c r="T555" s="132"/>
      <c r="U555" s="132"/>
      <c r="V555" s="132"/>
      <c r="W555" s="132"/>
      <c r="X555" s="132"/>
      <c r="Y555" s="132"/>
      <c r="Z555" s="132"/>
    </row>
    <row r="556" spans="1:26" ht="11.25" customHeight="1" x14ac:dyDescent="0.3">
      <c r="A556" s="132"/>
      <c r="B556" s="132"/>
      <c r="C556" s="132"/>
      <c r="D556" s="132"/>
      <c r="E556" s="132"/>
      <c r="F556" s="132"/>
      <c r="G556" s="132"/>
      <c r="H556" s="132"/>
      <c r="I556" s="132"/>
      <c r="J556" s="132"/>
      <c r="K556" s="132"/>
      <c r="L556" s="132"/>
      <c r="M556" s="132"/>
      <c r="N556" s="132"/>
      <c r="O556" s="132"/>
      <c r="P556" s="132"/>
      <c r="Q556" s="132"/>
      <c r="R556" s="132"/>
      <c r="S556" s="132"/>
      <c r="T556" s="132"/>
      <c r="U556" s="132"/>
      <c r="V556" s="132"/>
      <c r="W556" s="132"/>
      <c r="X556" s="132"/>
      <c r="Y556" s="132"/>
      <c r="Z556" s="132"/>
    </row>
    <row r="557" spans="1:26" ht="11.25" customHeight="1" x14ac:dyDescent="0.3">
      <c r="A557" s="132"/>
      <c r="B557" s="132"/>
      <c r="C557" s="132"/>
      <c r="D557" s="132"/>
      <c r="E557" s="132"/>
      <c r="F557" s="132"/>
      <c r="G557" s="132"/>
      <c r="H557" s="132"/>
      <c r="I557" s="132"/>
      <c r="J557" s="132"/>
      <c r="K557" s="132"/>
      <c r="L557" s="132"/>
      <c r="M557" s="132"/>
      <c r="N557" s="132"/>
      <c r="O557" s="132"/>
      <c r="P557" s="132"/>
      <c r="Q557" s="132"/>
      <c r="R557" s="132"/>
      <c r="S557" s="132"/>
      <c r="T557" s="132"/>
      <c r="U557" s="132"/>
      <c r="V557" s="132"/>
      <c r="W557" s="132"/>
      <c r="X557" s="132"/>
      <c r="Y557" s="132"/>
      <c r="Z557" s="132"/>
    </row>
    <row r="558" spans="1:26" ht="11.25" customHeight="1" x14ac:dyDescent="0.3">
      <c r="A558" s="132"/>
      <c r="B558" s="132"/>
      <c r="C558" s="132"/>
      <c r="D558" s="132"/>
      <c r="E558" s="132"/>
      <c r="F558" s="132"/>
      <c r="G558" s="132"/>
      <c r="H558" s="132"/>
      <c r="I558" s="132"/>
      <c r="J558" s="132"/>
      <c r="K558" s="132"/>
      <c r="L558" s="132"/>
      <c r="M558" s="132"/>
      <c r="N558" s="132"/>
      <c r="O558" s="132"/>
      <c r="P558" s="132"/>
      <c r="Q558" s="132"/>
      <c r="R558" s="132"/>
      <c r="S558" s="132"/>
      <c r="T558" s="132"/>
      <c r="U558" s="132"/>
      <c r="V558" s="132"/>
      <c r="W558" s="132"/>
      <c r="X558" s="132"/>
      <c r="Y558" s="132"/>
      <c r="Z558" s="132"/>
    </row>
    <row r="559" spans="1:26" ht="11.25" customHeight="1" x14ac:dyDescent="0.3">
      <c r="A559" s="132"/>
      <c r="B559" s="132"/>
      <c r="C559" s="132"/>
      <c r="D559" s="132"/>
      <c r="E559" s="132"/>
      <c r="F559" s="132"/>
      <c r="G559" s="132"/>
      <c r="H559" s="132"/>
      <c r="I559" s="132"/>
      <c r="J559" s="132"/>
      <c r="K559" s="132"/>
      <c r="L559" s="132"/>
      <c r="M559" s="132"/>
      <c r="N559" s="132"/>
      <c r="O559" s="132"/>
      <c r="P559" s="132"/>
      <c r="Q559" s="132"/>
      <c r="R559" s="132"/>
      <c r="S559" s="132"/>
      <c r="T559" s="132"/>
      <c r="U559" s="132"/>
      <c r="V559" s="132"/>
      <c r="W559" s="132"/>
      <c r="X559" s="132"/>
      <c r="Y559" s="132"/>
      <c r="Z559" s="132"/>
    </row>
    <row r="560" spans="1:26" ht="11.25" customHeight="1" x14ac:dyDescent="0.3">
      <c r="A560" s="132"/>
      <c r="B560" s="132"/>
      <c r="C560" s="132"/>
      <c r="D560" s="132"/>
      <c r="E560" s="132"/>
      <c r="F560" s="132"/>
      <c r="G560" s="132"/>
      <c r="H560" s="132"/>
      <c r="I560" s="132"/>
      <c r="J560" s="132"/>
      <c r="K560" s="132"/>
      <c r="L560" s="132"/>
      <c r="M560" s="132"/>
      <c r="N560" s="132"/>
      <c r="O560" s="132"/>
      <c r="P560" s="132"/>
      <c r="Q560" s="132"/>
      <c r="R560" s="132"/>
      <c r="S560" s="132"/>
      <c r="T560" s="132"/>
      <c r="U560" s="132"/>
      <c r="V560" s="132"/>
      <c r="W560" s="132"/>
      <c r="X560" s="132"/>
      <c r="Y560" s="132"/>
      <c r="Z560" s="132"/>
    </row>
    <row r="561" spans="1:26" ht="11.25" customHeight="1" x14ac:dyDescent="0.3">
      <c r="A561" s="132"/>
      <c r="B561" s="132"/>
      <c r="C561" s="132"/>
      <c r="D561" s="132"/>
      <c r="E561" s="132"/>
      <c r="F561" s="132"/>
      <c r="G561" s="132"/>
      <c r="H561" s="132"/>
      <c r="I561" s="132"/>
      <c r="J561" s="132"/>
      <c r="K561" s="132"/>
      <c r="L561" s="132"/>
      <c r="M561" s="132"/>
      <c r="N561" s="132"/>
      <c r="O561" s="132"/>
      <c r="P561" s="132"/>
      <c r="Q561" s="132"/>
      <c r="R561" s="132"/>
      <c r="S561" s="132"/>
      <c r="T561" s="132"/>
      <c r="U561" s="132"/>
      <c r="V561" s="132"/>
      <c r="W561" s="132"/>
      <c r="X561" s="132"/>
      <c r="Y561" s="132"/>
      <c r="Z561" s="132"/>
    </row>
    <row r="562" spans="1:26" ht="11.25" customHeight="1" x14ac:dyDescent="0.3">
      <c r="A562" s="132"/>
      <c r="B562" s="132"/>
      <c r="C562" s="132"/>
      <c r="D562" s="132"/>
      <c r="E562" s="132"/>
      <c r="F562" s="132"/>
      <c r="G562" s="132"/>
      <c r="H562" s="132"/>
      <c r="I562" s="132"/>
      <c r="J562" s="132"/>
      <c r="K562" s="132"/>
      <c r="L562" s="132"/>
      <c r="M562" s="132"/>
      <c r="N562" s="132"/>
      <c r="O562" s="132"/>
      <c r="P562" s="132"/>
      <c r="Q562" s="132"/>
      <c r="R562" s="132"/>
      <c r="S562" s="132"/>
      <c r="T562" s="132"/>
      <c r="U562" s="132"/>
      <c r="V562" s="132"/>
      <c r="W562" s="132"/>
      <c r="X562" s="132"/>
      <c r="Y562" s="132"/>
      <c r="Z562" s="132"/>
    </row>
    <row r="563" spans="1:26" ht="11.25" customHeight="1" x14ac:dyDescent="0.3">
      <c r="A563" s="132"/>
      <c r="B563" s="132"/>
      <c r="C563" s="132"/>
      <c r="D563" s="132"/>
      <c r="E563" s="132"/>
      <c r="F563" s="132"/>
      <c r="G563" s="132"/>
      <c r="H563" s="132"/>
      <c r="I563" s="132"/>
      <c r="J563" s="132"/>
      <c r="K563" s="132"/>
      <c r="L563" s="132"/>
      <c r="M563" s="132"/>
      <c r="N563" s="132"/>
      <c r="O563" s="132"/>
      <c r="P563" s="132"/>
      <c r="Q563" s="132"/>
      <c r="R563" s="132"/>
      <c r="S563" s="132"/>
      <c r="T563" s="132"/>
      <c r="U563" s="132"/>
      <c r="V563" s="132"/>
      <c r="W563" s="132"/>
      <c r="X563" s="132"/>
      <c r="Y563" s="132"/>
      <c r="Z563" s="132"/>
    </row>
    <row r="564" spans="1:26" ht="11.25" customHeight="1" x14ac:dyDescent="0.3">
      <c r="A564" s="132"/>
      <c r="B564" s="132"/>
      <c r="C564" s="132"/>
      <c r="D564" s="132"/>
      <c r="E564" s="132"/>
      <c r="F564" s="132"/>
      <c r="G564" s="132"/>
      <c r="H564" s="132"/>
      <c r="I564" s="132"/>
      <c r="J564" s="132"/>
      <c r="K564" s="132"/>
      <c r="L564" s="132"/>
      <c r="M564" s="132"/>
      <c r="N564" s="132"/>
      <c r="O564" s="132"/>
      <c r="P564" s="132"/>
      <c r="Q564" s="132"/>
      <c r="R564" s="132"/>
      <c r="S564" s="132"/>
      <c r="T564" s="132"/>
      <c r="U564" s="132"/>
      <c r="V564" s="132"/>
      <c r="W564" s="132"/>
      <c r="X564" s="132"/>
      <c r="Y564" s="132"/>
      <c r="Z564" s="132"/>
    </row>
    <row r="565" spans="1:26" ht="11.25" customHeight="1" x14ac:dyDescent="0.3">
      <c r="A565" s="132"/>
      <c r="B565" s="132"/>
      <c r="C565" s="132"/>
      <c r="D565" s="132"/>
      <c r="E565" s="132"/>
      <c r="F565" s="132"/>
      <c r="G565" s="132"/>
      <c r="H565" s="132"/>
      <c r="I565" s="132"/>
      <c r="J565" s="132"/>
      <c r="K565" s="132"/>
      <c r="L565" s="132"/>
      <c r="M565" s="132"/>
      <c r="N565" s="132"/>
      <c r="O565" s="132"/>
      <c r="P565" s="132"/>
      <c r="Q565" s="132"/>
      <c r="R565" s="132"/>
      <c r="S565" s="132"/>
      <c r="T565" s="132"/>
      <c r="U565" s="132"/>
      <c r="V565" s="132"/>
      <c r="W565" s="132"/>
      <c r="X565" s="132"/>
      <c r="Y565" s="132"/>
      <c r="Z565" s="132"/>
    </row>
    <row r="566" spans="1:26" ht="11.25" customHeight="1" x14ac:dyDescent="0.3">
      <c r="A566" s="132"/>
      <c r="B566" s="132"/>
      <c r="C566" s="132"/>
      <c r="D566" s="132"/>
      <c r="E566" s="132"/>
      <c r="F566" s="132"/>
      <c r="G566" s="132"/>
      <c r="H566" s="132"/>
      <c r="I566" s="132"/>
      <c r="J566" s="132"/>
      <c r="K566" s="132"/>
      <c r="L566" s="132"/>
      <c r="M566" s="132"/>
      <c r="N566" s="132"/>
      <c r="O566" s="132"/>
      <c r="P566" s="132"/>
      <c r="Q566" s="132"/>
      <c r="R566" s="132"/>
      <c r="S566" s="132"/>
      <c r="T566" s="132"/>
      <c r="U566" s="132"/>
      <c r="V566" s="132"/>
      <c r="W566" s="132"/>
      <c r="X566" s="132"/>
      <c r="Y566" s="132"/>
      <c r="Z566" s="132"/>
    </row>
    <row r="567" spans="1:26" ht="11.25" customHeight="1" x14ac:dyDescent="0.3">
      <c r="A567" s="132"/>
      <c r="B567" s="132"/>
      <c r="C567" s="132"/>
      <c r="D567" s="132"/>
      <c r="E567" s="132"/>
      <c r="F567" s="132"/>
      <c r="G567" s="132"/>
      <c r="H567" s="132"/>
      <c r="I567" s="132"/>
      <c r="J567" s="132"/>
      <c r="K567" s="132"/>
      <c r="L567" s="132"/>
      <c r="M567" s="132"/>
      <c r="N567" s="132"/>
      <c r="O567" s="132"/>
      <c r="P567" s="132"/>
      <c r="Q567" s="132"/>
      <c r="R567" s="132"/>
      <c r="S567" s="132"/>
      <c r="T567" s="132"/>
      <c r="U567" s="132"/>
      <c r="V567" s="132"/>
      <c r="W567" s="132"/>
      <c r="X567" s="132"/>
      <c r="Y567" s="132"/>
      <c r="Z567" s="132"/>
    </row>
    <row r="568" spans="1:26" ht="11.25" customHeight="1" x14ac:dyDescent="0.3">
      <c r="A568" s="132"/>
      <c r="B568" s="132"/>
      <c r="C568" s="132"/>
      <c r="D568" s="132"/>
      <c r="E568" s="132"/>
      <c r="F568" s="132"/>
      <c r="G568" s="132"/>
      <c r="H568" s="132"/>
      <c r="I568" s="132"/>
      <c r="J568" s="132"/>
      <c r="K568" s="132"/>
      <c r="L568" s="132"/>
      <c r="M568" s="132"/>
      <c r="N568" s="132"/>
      <c r="O568" s="132"/>
      <c r="P568" s="132"/>
      <c r="Q568" s="132"/>
      <c r="R568" s="132"/>
      <c r="S568" s="132"/>
      <c r="T568" s="132"/>
      <c r="U568" s="132"/>
      <c r="V568" s="132"/>
      <c r="W568" s="132"/>
      <c r="X568" s="132"/>
      <c r="Y568" s="132"/>
      <c r="Z568" s="132"/>
    </row>
    <row r="569" spans="1:26" ht="11.25" customHeight="1" x14ac:dyDescent="0.3">
      <c r="A569" s="132"/>
      <c r="B569" s="132"/>
      <c r="C569" s="132"/>
      <c r="D569" s="132"/>
      <c r="E569" s="132"/>
      <c r="F569" s="132"/>
      <c r="G569" s="132"/>
      <c r="H569" s="132"/>
      <c r="I569" s="132"/>
      <c r="J569" s="132"/>
      <c r="K569" s="132"/>
      <c r="L569" s="132"/>
      <c r="M569" s="132"/>
      <c r="N569" s="132"/>
      <c r="O569" s="132"/>
      <c r="P569" s="132"/>
      <c r="Q569" s="132"/>
      <c r="R569" s="132"/>
      <c r="S569" s="132"/>
      <c r="T569" s="132"/>
      <c r="U569" s="132"/>
      <c r="V569" s="132"/>
      <c r="W569" s="132"/>
      <c r="X569" s="132"/>
      <c r="Y569" s="132"/>
      <c r="Z569" s="132"/>
    </row>
    <row r="570" spans="1:26" ht="11.25" customHeight="1" x14ac:dyDescent="0.3">
      <c r="A570" s="132"/>
      <c r="B570" s="132"/>
      <c r="C570" s="132"/>
      <c r="D570" s="132"/>
      <c r="E570" s="132"/>
      <c r="F570" s="132"/>
      <c r="G570" s="132"/>
      <c r="H570" s="132"/>
      <c r="I570" s="132"/>
      <c r="J570" s="132"/>
      <c r="K570" s="132"/>
      <c r="L570" s="132"/>
      <c r="M570" s="132"/>
      <c r="N570" s="132"/>
      <c r="O570" s="132"/>
      <c r="P570" s="132"/>
      <c r="Q570" s="132"/>
      <c r="R570" s="132"/>
      <c r="S570" s="132"/>
      <c r="T570" s="132"/>
      <c r="U570" s="132"/>
      <c r="V570" s="132"/>
      <c r="W570" s="132"/>
      <c r="X570" s="132"/>
      <c r="Y570" s="132"/>
      <c r="Z570" s="132"/>
    </row>
    <row r="571" spans="1:26" ht="11.25" customHeight="1" x14ac:dyDescent="0.3">
      <c r="A571" s="132"/>
      <c r="B571" s="132"/>
      <c r="C571" s="132"/>
      <c r="D571" s="132"/>
      <c r="E571" s="132"/>
      <c r="F571" s="132"/>
      <c r="G571" s="132"/>
      <c r="H571" s="132"/>
      <c r="I571" s="132"/>
      <c r="J571" s="132"/>
      <c r="K571" s="132"/>
      <c r="L571" s="132"/>
      <c r="M571" s="132"/>
      <c r="N571" s="132"/>
      <c r="O571" s="132"/>
      <c r="P571" s="132"/>
      <c r="Q571" s="132"/>
      <c r="R571" s="132"/>
      <c r="S571" s="132"/>
      <c r="T571" s="132"/>
      <c r="U571" s="132"/>
      <c r="V571" s="132"/>
      <c r="W571" s="132"/>
      <c r="X571" s="132"/>
      <c r="Y571" s="132"/>
      <c r="Z571" s="132"/>
    </row>
    <row r="572" spans="1:26" ht="11.25" customHeight="1" x14ac:dyDescent="0.3">
      <c r="A572" s="132"/>
      <c r="B572" s="132"/>
      <c r="C572" s="132"/>
      <c r="D572" s="132"/>
      <c r="E572" s="132"/>
      <c r="F572" s="132"/>
      <c r="G572" s="132"/>
      <c r="H572" s="132"/>
      <c r="I572" s="132"/>
      <c r="J572" s="132"/>
      <c r="K572" s="132"/>
      <c r="L572" s="132"/>
      <c r="M572" s="132"/>
      <c r="N572" s="132"/>
      <c r="O572" s="132"/>
      <c r="P572" s="132"/>
      <c r="Q572" s="132"/>
      <c r="R572" s="132"/>
      <c r="S572" s="132"/>
      <c r="T572" s="132"/>
      <c r="U572" s="132"/>
      <c r="V572" s="132"/>
      <c r="W572" s="132"/>
      <c r="X572" s="132"/>
      <c r="Y572" s="132"/>
      <c r="Z572" s="132"/>
    </row>
    <row r="573" spans="1:26" ht="11.25" customHeight="1" x14ac:dyDescent="0.3">
      <c r="A573" s="132"/>
      <c r="B573" s="132"/>
      <c r="C573" s="132"/>
      <c r="D573" s="132"/>
      <c r="E573" s="132"/>
      <c r="F573" s="132"/>
      <c r="G573" s="132"/>
      <c r="H573" s="132"/>
      <c r="I573" s="132"/>
      <c r="J573" s="132"/>
      <c r="K573" s="132"/>
      <c r="L573" s="132"/>
      <c r="M573" s="132"/>
      <c r="N573" s="132"/>
      <c r="O573" s="132"/>
      <c r="P573" s="132"/>
      <c r="Q573" s="132"/>
      <c r="R573" s="132"/>
      <c r="S573" s="132"/>
      <c r="T573" s="132"/>
      <c r="U573" s="132"/>
      <c r="V573" s="132"/>
      <c r="W573" s="132"/>
      <c r="X573" s="132"/>
      <c r="Y573" s="132"/>
      <c r="Z573" s="132"/>
    </row>
    <row r="574" spans="1:26" ht="11.25" customHeight="1" x14ac:dyDescent="0.3">
      <c r="A574" s="132"/>
      <c r="B574" s="132"/>
      <c r="C574" s="132"/>
      <c r="D574" s="132"/>
      <c r="E574" s="132"/>
      <c r="F574" s="132"/>
      <c r="G574" s="132"/>
      <c r="H574" s="132"/>
      <c r="I574" s="132"/>
      <c r="J574" s="132"/>
      <c r="K574" s="132"/>
      <c r="L574" s="132"/>
      <c r="M574" s="132"/>
      <c r="N574" s="132"/>
      <c r="O574" s="132"/>
      <c r="P574" s="132"/>
      <c r="Q574" s="132"/>
      <c r="R574" s="132"/>
      <c r="S574" s="132"/>
      <c r="T574" s="132"/>
      <c r="U574" s="132"/>
      <c r="V574" s="132"/>
      <c r="W574" s="132"/>
      <c r="X574" s="132"/>
      <c r="Y574" s="132"/>
      <c r="Z574" s="132"/>
    </row>
    <row r="575" spans="1:26" ht="11.25" customHeight="1" x14ac:dyDescent="0.3">
      <c r="A575" s="132"/>
      <c r="B575" s="132"/>
      <c r="C575" s="132"/>
      <c r="D575" s="132"/>
      <c r="E575" s="132"/>
      <c r="F575" s="132"/>
      <c r="G575" s="132"/>
      <c r="H575" s="132"/>
      <c r="I575" s="132"/>
      <c r="J575" s="132"/>
      <c r="K575" s="132"/>
      <c r="L575" s="132"/>
      <c r="M575" s="132"/>
      <c r="N575" s="132"/>
      <c r="O575" s="132"/>
      <c r="P575" s="132"/>
      <c r="Q575" s="132"/>
      <c r="R575" s="132"/>
      <c r="S575" s="132"/>
      <c r="T575" s="132"/>
      <c r="U575" s="132"/>
      <c r="V575" s="132"/>
      <c r="W575" s="132"/>
      <c r="X575" s="132"/>
      <c r="Y575" s="132"/>
      <c r="Z575" s="132"/>
    </row>
    <row r="576" spans="1:26" ht="11.25" customHeight="1" x14ac:dyDescent="0.3">
      <c r="A576" s="132"/>
      <c r="B576" s="132"/>
      <c r="C576" s="132"/>
      <c r="D576" s="132"/>
      <c r="E576" s="132"/>
      <c r="F576" s="132"/>
      <c r="G576" s="132"/>
      <c r="H576" s="132"/>
      <c r="I576" s="132"/>
      <c r="J576" s="132"/>
      <c r="K576" s="132"/>
      <c r="L576" s="132"/>
      <c r="M576" s="132"/>
      <c r="N576" s="132"/>
      <c r="O576" s="132"/>
      <c r="P576" s="132"/>
      <c r="Q576" s="132"/>
      <c r="R576" s="132"/>
      <c r="S576" s="132"/>
      <c r="T576" s="132"/>
      <c r="U576" s="132"/>
      <c r="V576" s="132"/>
      <c r="W576" s="132"/>
      <c r="X576" s="132"/>
      <c r="Y576" s="132"/>
      <c r="Z576" s="132"/>
    </row>
    <row r="577" spans="1:26" ht="11.25" customHeight="1" x14ac:dyDescent="0.3">
      <c r="A577" s="132"/>
      <c r="B577" s="132"/>
      <c r="C577" s="132"/>
      <c r="D577" s="132"/>
      <c r="E577" s="132"/>
      <c r="F577" s="132"/>
      <c r="G577" s="132"/>
      <c r="H577" s="132"/>
      <c r="I577" s="132"/>
      <c r="J577" s="132"/>
      <c r="K577" s="132"/>
      <c r="L577" s="132"/>
      <c r="M577" s="132"/>
      <c r="N577" s="132"/>
      <c r="O577" s="132"/>
      <c r="P577" s="132"/>
      <c r="Q577" s="132"/>
      <c r="R577" s="132"/>
      <c r="S577" s="132"/>
      <c r="T577" s="132"/>
      <c r="U577" s="132"/>
      <c r="V577" s="132"/>
      <c r="W577" s="132"/>
      <c r="X577" s="132"/>
      <c r="Y577" s="132"/>
      <c r="Z577" s="132"/>
    </row>
    <row r="578" spans="1:26" ht="11.25" customHeight="1" x14ac:dyDescent="0.3">
      <c r="A578" s="132"/>
      <c r="B578" s="132"/>
      <c r="C578" s="132"/>
      <c r="D578" s="132"/>
      <c r="E578" s="132"/>
      <c r="F578" s="132"/>
      <c r="G578" s="132"/>
      <c r="H578" s="132"/>
      <c r="I578" s="132"/>
      <c r="J578" s="132"/>
      <c r="K578" s="132"/>
      <c r="L578" s="132"/>
      <c r="M578" s="132"/>
      <c r="N578" s="132"/>
      <c r="O578" s="132"/>
      <c r="P578" s="132"/>
      <c r="Q578" s="132"/>
      <c r="R578" s="132"/>
      <c r="S578" s="132"/>
      <c r="T578" s="132"/>
      <c r="U578" s="132"/>
      <c r="V578" s="132"/>
      <c r="W578" s="132"/>
      <c r="X578" s="132"/>
      <c r="Y578" s="132"/>
      <c r="Z578" s="132"/>
    </row>
    <row r="579" spans="1:26" ht="11.25" customHeight="1" x14ac:dyDescent="0.3">
      <c r="A579" s="132"/>
      <c r="B579" s="132"/>
      <c r="C579" s="132"/>
      <c r="D579" s="132"/>
      <c r="E579" s="132"/>
      <c r="F579" s="132"/>
      <c r="G579" s="132"/>
      <c r="H579" s="132"/>
      <c r="I579" s="132"/>
      <c r="J579" s="132"/>
      <c r="K579" s="132"/>
      <c r="L579" s="132"/>
      <c r="M579" s="132"/>
      <c r="N579" s="132"/>
      <c r="O579" s="132"/>
      <c r="P579" s="132"/>
      <c r="Q579" s="132"/>
      <c r="R579" s="132"/>
      <c r="S579" s="132"/>
      <c r="T579" s="132"/>
      <c r="U579" s="132"/>
      <c r="V579" s="132"/>
      <c r="W579" s="132"/>
      <c r="X579" s="132"/>
      <c r="Y579" s="132"/>
      <c r="Z579" s="132"/>
    </row>
    <row r="580" spans="1:26" ht="11.25" customHeight="1" x14ac:dyDescent="0.3">
      <c r="A580" s="132"/>
      <c r="B580" s="132"/>
      <c r="C580" s="132"/>
      <c r="D580" s="132"/>
      <c r="E580" s="132"/>
      <c r="F580" s="132"/>
      <c r="G580" s="132"/>
      <c r="H580" s="132"/>
      <c r="I580" s="132"/>
      <c r="J580" s="132"/>
      <c r="K580" s="132"/>
      <c r="L580" s="132"/>
      <c r="M580" s="132"/>
      <c r="N580" s="132"/>
      <c r="O580" s="132"/>
      <c r="P580" s="132"/>
      <c r="Q580" s="132"/>
      <c r="R580" s="132"/>
      <c r="S580" s="132"/>
      <c r="T580" s="132"/>
      <c r="U580" s="132"/>
      <c r="V580" s="132"/>
      <c r="W580" s="132"/>
      <c r="X580" s="132"/>
      <c r="Y580" s="132"/>
      <c r="Z580" s="132"/>
    </row>
    <row r="581" spans="1:26" ht="11.25" customHeight="1" x14ac:dyDescent="0.3">
      <c r="A581" s="132"/>
      <c r="B581" s="132"/>
      <c r="C581" s="132"/>
      <c r="D581" s="132"/>
      <c r="E581" s="132"/>
      <c r="F581" s="132"/>
      <c r="G581" s="132"/>
      <c r="H581" s="132"/>
      <c r="I581" s="132"/>
      <c r="J581" s="132"/>
      <c r="K581" s="132"/>
      <c r="L581" s="132"/>
      <c r="M581" s="132"/>
      <c r="N581" s="132"/>
      <c r="O581" s="132"/>
      <c r="P581" s="132"/>
      <c r="Q581" s="132"/>
      <c r="R581" s="132"/>
      <c r="S581" s="132"/>
      <c r="T581" s="132"/>
      <c r="U581" s="132"/>
      <c r="V581" s="132"/>
      <c r="W581" s="132"/>
      <c r="X581" s="132"/>
      <c r="Y581" s="132"/>
      <c r="Z581" s="132"/>
    </row>
    <row r="582" spans="1:26" ht="11.25" customHeight="1" x14ac:dyDescent="0.3">
      <c r="A582" s="132"/>
      <c r="B582" s="132"/>
      <c r="C582" s="132"/>
      <c r="D582" s="132"/>
      <c r="E582" s="132"/>
      <c r="F582" s="132"/>
      <c r="G582" s="132"/>
      <c r="H582" s="132"/>
      <c r="I582" s="132"/>
      <c r="J582" s="132"/>
      <c r="K582" s="132"/>
      <c r="L582" s="132"/>
      <c r="M582" s="132"/>
      <c r="N582" s="132"/>
      <c r="O582" s="132"/>
      <c r="P582" s="132"/>
      <c r="Q582" s="132"/>
      <c r="R582" s="132"/>
      <c r="S582" s="132"/>
      <c r="T582" s="132"/>
      <c r="U582" s="132"/>
      <c r="V582" s="132"/>
      <c r="W582" s="132"/>
      <c r="X582" s="132"/>
      <c r="Y582" s="132"/>
      <c r="Z582" s="132"/>
    </row>
    <row r="583" spans="1:26" ht="11.25" customHeight="1" x14ac:dyDescent="0.3">
      <c r="A583" s="132"/>
      <c r="B583" s="132"/>
      <c r="C583" s="132"/>
      <c r="D583" s="132"/>
      <c r="E583" s="132"/>
      <c r="F583" s="132"/>
      <c r="G583" s="132"/>
      <c r="H583" s="132"/>
      <c r="I583" s="132"/>
      <c r="J583" s="132"/>
      <c r="K583" s="132"/>
      <c r="L583" s="132"/>
      <c r="M583" s="132"/>
      <c r="N583" s="132"/>
      <c r="O583" s="132"/>
      <c r="P583" s="132"/>
      <c r="Q583" s="132"/>
      <c r="R583" s="132"/>
      <c r="S583" s="132"/>
      <c r="T583" s="132"/>
      <c r="U583" s="132"/>
      <c r="V583" s="132"/>
      <c r="W583" s="132"/>
      <c r="X583" s="132"/>
      <c r="Y583" s="132"/>
      <c r="Z583" s="132"/>
    </row>
    <row r="584" spans="1:26" ht="11.25" customHeight="1" x14ac:dyDescent="0.3">
      <c r="A584" s="132"/>
      <c r="B584" s="132"/>
      <c r="C584" s="132"/>
      <c r="D584" s="132"/>
      <c r="E584" s="132"/>
      <c r="F584" s="132"/>
      <c r="G584" s="132"/>
      <c r="H584" s="132"/>
      <c r="I584" s="132"/>
      <c r="J584" s="132"/>
      <c r="K584" s="132"/>
      <c r="L584" s="132"/>
      <c r="M584" s="132"/>
      <c r="N584" s="132"/>
      <c r="O584" s="132"/>
      <c r="P584" s="132"/>
      <c r="Q584" s="132"/>
      <c r="R584" s="132"/>
      <c r="S584" s="132"/>
      <c r="T584" s="132"/>
      <c r="U584" s="132"/>
      <c r="V584" s="132"/>
      <c r="W584" s="132"/>
      <c r="X584" s="132"/>
      <c r="Y584" s="132"/>
      <c r="Z584" s="132"/>
    </row>
    <row r="585" spans="1:26" ht="11.25" customHeight="1" x14ac:dyDescent="0.3">
      <c r="A585" s="132"/>
      <c r="B585" s="132"/>
      <c r="C585" s="132"/>
      <c r="D585" s="132"/>
      <c r="E585" s="132"/>
      <c r="F585" s="132"/>
      <c r="G585" s="132"/>
      <c r="H585" s="132"/>
      <c r="I585" s="132"/>
      <c r="J585" s="132"/>
      <c r="K585" s="132"/>
      <c r="L585" s="132"/>
      <c r="M585" s="132"/>
      <c r="N585" s="132"/>
      <c r="O585" s="132"/>
      <c r="P585" s="132"/>
      <c r="Q585" s="132"/>
      <c r="R585" s="132"/>
      <c r="S585" s="132"/>
      <c r="T585" s="132"/>
      <c r="U585" s="132"/>
      <c r="V585" s="132"/>
      <c r="W585" s="132"/>
      <c r="X585" s="132"/>
      <c r="Y585" s="132"/>
      <c r="Z585" s="132"/>
    </row>
    <row r="586" spans="1:26" ht="11.25" customHeight="1" x14ac:dyDescent="0.3">
      <c r="A586" s="132"/>
      <c r="B586" s="132"/>
      <c r="C586" s="132"/>
      <c r="D586" s="132"/>
      <c r="E586" s="132"/>
      <c r="F586" s="132"/>
      <c r="G586" s="132"/>
      <c r="H586" s="132"/>
      <c r="I586" s="132"/>
      <c r="J586" s="132"/>
      <c r="K586" s="132"/>
      <c r="L586" s="132"/>
      <c r="M586" s="132"/>
      <c r="N586" s="132"/>
      <c r="O586" s="132"/>
      <c r="P586" s="132"/>
      <c r="Q586" s="132"/>
      <c r="R586" s="132"/>
      <c r="S586" s="132"/>
      <c r="T586" s="132"/>
      <c r="U586" s="132"/>
      <c r="V586" s="132"/>
      <c r="W586" s="132"/>
      <c r="X586" s="132"/>
      <c r="Y586" s="132"/>
      <c r="Z586" s="132"/>
    </row>
    <row r="587" spans="1:26" ht="11.25" customHeight="1" x14ac:dyDescent="0.3">
      <c r="A587" s="132"/>
      <c r="B587" s="132"/>
      <c r="C587" s="132"/>
      <c r="D587" s="132"/>
      <c r="E587" s="132"/>
      <c r="F587" s="132"/>
      <c r="G587" s="132"/>
      <c r="H587" s="132"/>
      <c r="I587" s="132"/>
      <c r="J587" s="132"/>
      <c r="K587" s="132"/>
      <c r="L587" s="132"/>
      <c r="M587" s="132"/>
      <c r="N587" s="132"/>
      <c r="O587" s="132"/>
      <c r="P587" s="132"/>
      <c r="Q587" s="132"/>
      <c r="R587" s="132"/>
      <c r="S587" s="132"/>
      <c r="T587" s="132"/>
      <c r="U587" s="132"/>
      <c r="V587" s="132"/>
      <c r="W587" s="132"/>
      <c r="X587" s="132"/>
      <c r="Y587" s="132"/>
      <c r="Z587" s="132"/>
    </row>
    <row r="588" spans="1:26" ht="11.25" customHeight="1" x14ac:dyDescent="0.3">
      <c r="A588" s="132"/>
      <c r="B588" s="132"/>
      <c r="C588" s="132"/>
      <c r="D588" s="132"/>
      <c r="E588" s="132"/>
      <c r="F588" s="132"/>
      <c r="G588" s="132"/>
      <c r="H588" s="132"/>
      <c r="I588" s="132"/>
      <c r="J588" s="132"/>
      <c r="K588" s="132"/>
      <c r="L588" s="132"/>
      <c r="M588" s="132"/>
      <c r="N588" s="132"/>
      <c r="O588" s="132"/>
      <c r="P588" s="132"/>
      <c r="Q588" s="132"/>
      <c r="R588" s="132"/>
      <c r="S588" s="132"/>
      <c r="T588" s="132"/>
      <c r="U588" s="132"/>
      <c r="V588" s="132"/>
      <c r="W588" s="132"/>
      <c r="X588" s="132"/>
      <c r="Y588" s="132"/>
      <c r="Z588" s="132"/>
    </row>
    <row r="589" spans="1:26" ht="11.25" customHeight="1" x14ac:dyDescent="0.3">
      <c r="A589" s="132"/>
      <c r="B589" s="132"/>
      <c r="C589" s="132"/>
      <c r="D589" s="132"/>
      <c r="E589" s="132"/>
      <c r="F589" s="132"/>
      <c r="G589" s="132"/>
      <c r="H589" s="132"/>
      <c r="I589" s="132"/>
      <c r="J589" s="132"/>
      <c r="K589" s="132"/>
      <c r="L589" s="132"/>
      <c r="M589" s="132"/>
      <c r="N589" s="132"/>
      <c r="O589" s="132"/>
      <c r="P589" s="132"/>
      <c r="Q589" s="132"/>
      <c r="R589" s="132"/>
      <c r="S589" s="132"/>
      <c r="T589" s="132"/>
      <c r="U589" s="132"/>
      <c r="V589" s="132"/>
      <c r="W589" s="132"/>
      <c r="X589" s="132"/>
      <c r="Y589" s="132"/>
      <c r="Z589" s="132"/>
    </row>
    <row r="590" spans="1:26" ht="11.25" customHeight="1" x14ac:dyDescent="0.3">
      <c r="A590" s="132"/>
      <c r="B590" s="132"/>
      <c r="C590" s="132"/>
      <c r="D590" s="132"/>
      <c r="E590" s="132"/>
      <c r="F590" s="132"/>
      <c r="G590" s="132"/>
      <c r="H590" s="132"/>
      <c r="I590" s="132"/>
      <c r="J590" s="132"/>
      <c r="K590" s="132"/>
      <c r="L590" s="132"/>
      <c r="M590" s="132"/>
      <c r="N590" s="132"/>
      <c r="O590" s="132"/>
      <c r="P590" s="132"/>
      <c r="Q590" s="132"/>
      <c r="R590" s="132"/>
      <c r="S590" s="132"/>
      <c r="T590" s="132"/>
      <c r="U590" s="132"/>
      <c r="V590" s="132"/>
      <c r="W590" s="132"/>
      <c r="X590" s="132"/>
      <c r="Y590" s="132"/>
      <c r="Z590" s="132"/>
    </row>
    <row r="591" spans="1:26" ht="11.25" customHeight="1" x14ac:dyDescent="0.3">
      <c r="A591" s="132"/>
      <c r="B591" s="132"/>
      <c r="C591" s="132"/>
      <c r="D591" s="132"/>
      <c r="E591" s="132"/>
      <c r="F591" s="132"/>
      <c r="G591" s="132"/>
      <c r="H591" s="132"/>
      <c r="I591" s="132"/>
      <c r="J591" s="132"/>
      <c r="K591" s="132"/>
      <c r="L591" s="132"/>
      <c r="M591" s="132"/>
      <c r="N591" s="132"/>
      <c r="O591" s="132"/>
      <c r="P591" s="132"/>
      <c r="Q591" s="132"/>
      <c r="R591" s="132"/>
      <c r="S591" s="132"/>
      <c r="T591" s="132"/>
      <c r="U591" s="132"/>
      <c r="V591" s="132"/>
      <c r="W591" s="132"/>
      <c r="X591" s="132"/>
      <c r="Y591" s="132"/>
      <c r="Z591" s="132"/>
    </row>
    <row r="592" spans="1:26" ht="11.25" customHeight="1" x14ac:dyDescent="0.3">
      <c r="A592" s="132"/>
      <c r="B592" s="132"/>
      <c r="C592" s="132"/>
      <c r="D592" s="132"/>
      <c r="E592" s="132"/>
      <c r="F592" s="132"/>
      <c r="G592" s="132"/>
      <c r="H592" s="132"/>
      <c r="I592" s="132"/>
      <c r="J592" s="132"/>
      <c r="K592" s="132"/>
      <c r="L592" s="132"/>
      <c r="M592" s="132"/>
      <c r="N592" s="132"/>
      <c r="O592" s="132"/>
      <c r="P592" s="132"/>
      <c r="Q592" s="132"/>
      <c r="R592" s="132"/>
      <c r="S592" s="132"/>
      <c r="T592" s="132"/>
      <c r="U592" s="132"/>
      <c r="V592" s="132"/>
      <c r="W592" s="132"/>
      <c r="X592" s="132"/>
      <c r="Y592" s="132"/>
      <c r="Z592" s="132"/>
    </row>
    <row r="593" spans="1:26" ht="11.25" customHeight="1" x14ac:dyDescent="0.3">
      <c r="A593" s="132"/>
      <c r="B593" s="132"/>
      <c r="C593" s="132"/>
      <c r="D593" s="132"/>
      <c r="E593" s="132"/>
      <c r="F593" s="132"/>
      <c r="G593" s="132"/>
      <c r="H593" s="132"/>
      <c r="I593" s="132"/>
      <c r="J593" s="132"/>
      <c r="K593" s="132"/>
      <c r="L593" s="132"/>
      <c r="M593" s="132"/>
      <c r="N593" s="132"/>
      <c r="O593" s="132"/>
      <c r="P593" s="132"/>
      <c r="Q593" s="132"/>
      <c r="R593" s="132"/>
      <c r="S593" s="132"/>
      <c r="T593" s="132"/>
      <c r="U593" s="132"/>
      <c r="V593" s="132"/>
      <c r="W593" s="132"/>
      <c r="X593" s="132"/>
      <c r="Y593" s="132"/>
      <c r="Z593" s="132"/>
    </row>
    <row r="594" spans="1:26" ht="11.25" customHeight="1" x14ac:dyDescent="0.3">
      <c r="A594" s="132"/>
      <c r="B594" s="132"/>
      <c r="C594" s="132"/>
      <c r="D594" s="132"/>
      <c r="E594" s="132"/>
      <c r="F594" s="132"/>
      <c r="G594" s="132"/>
      <c r="H594" s="132"/>
      <c r="I594" s="132"/>
      <c r="J594" s="132"/>
      <c r="K594" s="132"/>
      <c r="L594" s="132"/>
      <c r="M594" s="132"/>
      <c r="N594" s="132"/>
      <c r="O594" s="132"/>
      <c r="P594" s="132"/>
      <c r="Q594" s="132"/>
      <c r="R594" s="132"/>
      <c r="S594" s="132"/>
      <c r="T594" s="132"/>
      <c r="U594" s="132"/>
      <c r="V594" s="132"/>
      <c r="W594" s="132"/>
      <c r="X594" s="132"/>
      <c r="Y594" s="132"/>
      <c r="Z594" s="132"/>
    </row>
    <row r="595" spans="1:26" ht="11.25" customHeight="1" x14ac:dyDescent="0.3">
      <c r="A595" s="132"/>
      <c r="B595" s="132"/>
      <c r="C595" s="132"/>
      <c r="D595" s="132"/>
      <c r="E595" s="132"/>
      <c r="F595" s="132"/>
      <c r="G595" s="132"/>
      <c r="H595" s="132"/>
      <c r="I595" s="132"/>
      <c r="J595" s="132"/>
      <c r="K595" s="132"/>
      <c r="L595" s="132"/>
      <c r="M595" s="132"/>
      <c r="N595" s="132"/>
      <c r="O595" s="132"/>
      <c r="P595" s="132"/>
      <c r="Q595" s="132"/>
      <c r="R595" s="132"/>
      <c r="S595" s="132"/>
      <c r="T595" s="132"/>
      <c r="U595" s="132"/>
      <c r="V595" s="132"/>
      <c r="W595" s="132"/>
      <c r="X595" s="132"/>
      <c r="Y595" s="132"/>
      <c r="Z595" s="132"/>
    </row>
    <row r="596" spans="1:26" ht="11.25" customHeight="1" x14ac:dyDescent="0.3">
      <c r="A596" s="132"/>
      <c r="B596" s="132"/>
      <c r="C596" s="132"/>
      <c r="D596" s="132"/>
      <c r="E596" s="132"/>
      <c r="F596" s="132"/>
      <c r="G596" s="132"/>
      <c r="H596" s="132"/>
      <c r="I596" s="132"/>
      <c r="J596" s="132"/>
      <c r="K596" s="132"/>
      <c r="L596" s="132"/>
      <c r="M596" s="132"/>
      <c r="N596" s="132"/>
      <c r="O596" s="132"/>
      <c r="P596" s="132"/>
      <c r="Q596" s="132"/>
      <c r="R596" s="132"/>
      <c r="S596" s="132"/>
      <c r="T596" s="132"/>
      <c r="U596" s="132"/>
      <c r="V596" s="132"/>
      <c r="W596" s="132"/>
      <c r="X596" s="132"/>
      <c r="Y596" s="132"/>
      <c r="Z596" s="132"/>
    </row>
    <row r="597" spans="1:26" ht="11.25" customHeight="1" x14ac:dyDescent="0.3">
      <c r="A597" s="132"/>
      <c r="B597" s="132"/>
      <c r="C597" s="132"/>
      <c r="D597" s="132"/>
      <c r="E597" s="132"/>
      <c r="F597" s="132"/>
      <c r="G597" s="132"/>
      <c r="H597" s="132"/>
      <c r="I597" s="132"/>
      <c r="J597" s="132"/>
      <c r="K597" s="132"/>
      <c r="L597" s="132"/>
      <c r="M597" s="132"/>
      <c r="N597" s="132"/>
      <c r="O597" s="132"/>
      <c r="P597" s="132"/>
      <c r="Q597" s="132"/>
      <c r="R597" s="132"/>
      <c r="S597" s="132"/>
      <c r="T597" s="132"/>
      <c r="U597" s="132"/>
      <c r="V597" s="132"/>
      <c r="W597" s="132"/>
      <c r="X597" s="132"/>
      <c r="Y597" s="132"/>
      <c r="Z597" s="132"/>
    </row>
    <row r="598" spans="1:26" ht="11.25" customHeight="1" x14ac:dyDescent="0.3">
      <c r="A598" s="132"/>
      <c r="B598" s="132"/>
      <c r="C598" s="132"/>
      <c r="D598" s="132"/>
      <c r="E598" s="132"/>
      <c r="F598" s="132"/>
      <c r="G598" s="132"/>
      <c r="H598" s="132"/>
      <c r="I598" s="132"/>
      <c r="J598" s="132"/>
      <c r="K598" s="132"/>
      <c r="L598" s="132"/>
      <c r="M598" s="132"/>
      <c r="N598" s="132"/>
      <c r="O598" s="132"/>
      <c r="P598" s="132"/>
      <c r="Q598" s="132"/>
      <c r="R598" s="132"/>
      <c r="S598" s="132"/>
      <c r="T598" s="132"/>
      <c r="U598" s="132"/>
      <c r="V598" s="132"/>
      <c r="W598" s="132"/>
      <c r="X598" s="132"/>
      <c r="Y598" s="132"/>
      <c r="Z598" s="132"/>
    </row>
    <row r="599" spans="1:26" ht="11.25" customHeight="1" x14ac:dyDescent="0.3">
      <c r="A599" s="132"/>
      <c r="B599" s="132"/>
      <c r="C599" s="132"/>
      <c r="D599" s="132"/>
      <c r="E599" s="132"/>
      <c r="F599" s="132"/>
      <c r="G599" s="132"/>
      <c r="H599" s="132"/>
      <c r="I599" s="132"/>
      <c r="J599" s="132"/>
      <c r="K599" s="132"/>
      <c r="L599" s="132"/>
      <c r="M599" s="132"/>
      <c r="N599" s="132"/>
      <c r="O599" s="132"/>
      <c r="P599" s="132"/>
      <c r="Q599" s="132"/>
      <c r="R599" s="132"/>
      <c r="S599" s="132"/>
      <c r="T599" s="132"/>
      <c r="U599" s="132"/>
      <c r="V599" s="132"/>
      <c r="W599" s="132"/>
      <c r="X599" s="132"/>
      <c r="Y599" s="132"/>
      <c r="Z599" s="132"/>
    </row>
    <row r="600" spans="1:26" ht="11.25" customHeight="1" x14ac:dyDescent="0.3">
      <c r="A600" s="132"/>
      <c r="B600" s="132"/>
      <c r="C600" s="132"/>
      <c r="D600" s="132"/>
      <c r="E600" s="132"/>
      <c r="F600" s="132"/>
      <c r="G600" s="132"/>
      <c r="H600" s="132"/>
      <c r="I600" s="132"/>
      <c r="J600" s="132"/>
      <c r="K600" s="132"/>
      <c r="L600" s="132"/>
      <c r="M600" s="132"/>
      <c r="N600" s="132"/>
      <c r="O600" s="132"/>
      <c r="P600" s="132"/>
      <c r="Q600" s="132"/>
      <c r="R600" s="132"/>
      <c r="S600" s="132"/>
      <c r="T600" s="132"/>
      <c r="U600" s="132"/>
      <c r="V600" s="132"/>
      <c r="W600" s="132"/>
      <c r="X600" s="132"/>
      <c r="Y600" s="132"/>
      <c r="Z600" s="132"/>
    </row>
    <row r="601" spans="1:26" ht="11.25" customHeight="1" x14ac:dyDescent="0.3">
      <c r="A601" s="132"/>
      <c r="B601" s="132"/>
      <c r="C601" s="132"/>
      <c r="D601" s="132"/>
      <c r="E601" s="132"/>
      <c r="F601" s="132"/>
      <c r="G601" s="132"/>
      <c r="H601" s="132"/>
      <c r="I601" s="132"/>
      <c r="J601" s="132"/>
      <c r="K601" s="132"/>
      <c r="L601" s="132"/>
      <c r="M601" s="132"/>
      <c r="N601" s="132"/>
      <c r="O601" s="132"/>
      <c r="P601" s="132"/>
      <c r="Q601" s="132"/>
      <c r="R601" s="132"/>
      <c r="S601" s="132"/>
      <c r="T601" s="132"/>
      <c r="U601" s="132"/>
      <c r="V601" s="132"/>
      <c r="W601" s="132"/>
      <c r="X601" s="132"/>
      <c r="Y601" s="132"/>
      <c r="Z601" s="132"/>
    </row>
    <row r="602" spans="1:26" ht="11.25" customHeight="1" x14ac:dyDescent="0.3">
      <c r="A602" s="132"/>
      <c r="B602" s="132"/>
      <c r="C602" s="132"/>
      <c r="D602" s="132"/>
      <c r="E602" s="132"/>
      <c r="F602" s="132"/>
      <c r="G602" s="132"/>
      <c r="H602" s="132"/>
      <c r="I602" s="132"/>
      <c r="J602" s="132"/>
      <c r="K602" s="132"/>
      <c r="L602" s="132"/>
      <c r="M602" s="132"/>
      <c r="N602" s="132"/>
      <c r="O602" s="132"/>
      <c r="P602" s="132"/>
      <c r="Q602" s="132"/>
      <c r="R602" s="132"/>
      <c r="S602" s="132"/>
      <c r="T602" s="132"/>
      <c r="U602" s="132"/>
      <c r="V602" s="132"/>
      <c r="W602" s="132"/>
      <c r="X602" s="132"/>
      <c r="Y602" s="132"/>
      <c r="Z602" s="132"/>
    </row>
    <row r="603" spans="1:26" ht="11.25" customHeight="1" x14ac:dyDescent="0.3">
      <c r="A603" s="132"/>
      <c r="B603" s="132"/>
      <c r="C603" s="132"/>
      <c r="D603" s="132"/>
      <c r="E603" s="132"/>
      <c r="F603" s="132"/>
      <c r="G603" s="132"/>
      <c r="H603" s="132"/>
      <c r="I603" s="132"/>
      <c r="J603" s="132"/>
      <c r="K603" s="132"/>
      <c r="L603" s="132"/>
      <c r="M603" s="132"/>
      <c r="N603" s="132"/>
      <c r="O603" s="132"/>
      <c r="P603" s="132"/>
      <c r="Q603" s="132"/>
      <c r="R603" s="132"/>
      <c r="S603" s="132"/>
      <c r="T603" s="132"/>
      <c r="U603" s="132"/>
      <c r="V603" s="132"/>
      <c r="W603" s="132"/>
      <c r="X603" s="132"/>
      <c r="Y603" s="132"/>
      <c r="Z603" s="132"/>
    </row>
    <row r="604" spans="1:26" ht="11.25" customHeight="1" x14ac:dyDescent="0.3">
      <c r="A604" s="132"/>
      <c r="B604" s="132"/>
      <c r="C604" s="132"/>
      <c r="D604" s="132"/>
      <c r="E604" s="132"/>
      <c r="F604" s="132"/>
      <c r="G604" s="132"/>
      <c r="H604" s="132"/>
      <c r="I604" s="132"/>
      <c r="J604" s="132"/>
      <c r="K604" s="132"/>
      <c r="L604" s="132"/>
      <c r="M604" s="132"/>
      <c r="N604" s="132"/>
      <c r="O604" s="132"/>
      <c r="P604" s="132"/>
      <c r="Q604" s="132"/>
      <c r="R604" s="132"/>
      <c r="S604" s="132"/>
      <c r="T604" s="132"/>
      <c r="U604" s="132"/>
      <c r="V604" s="132"/>
      <c r="W604" s="132"/>
      <c r="X604" s="132"/>
      <c r="Y604" s="132"/>
      <c r="Z604" s="132"/>
    </row>
    <row r="605" spans="1:26" ht="11.25" customHeight="1" x14ac:dyDescent="0.3">
      <c r="A605" s="132"/>
      <c r="B605" s="132"/>
      <c r="C605" s="132"/>
      <c r="D605" s="132"/>
      <c r="E605" s="132"/>
      <c r="F605" s="132"/>
      <c r="G605" s="132"/>
      <c r="H605" s="132"/>
      <c r="I605" s="132"/>
      <c r="J605" s="132"/>
      <c r="K605" s="132"/>
      <c r="L605" s="132"/>
      <c r="M605" s="132"/>
      <c r="N605" s="132"/>
      <c r="O605" s="132"/>
      <c r="P605" s="132"/>
      <c r="Q605" s="132"/>
      <c r="R605" s="132"/>
      <c r="S605" s="132"/>
      <c r="T605" s="132"/>
      <c r="U605" s="132"/>
      <c r="V605" s="132"/>
      <c r="W605" s="132"/>
      <c r="X605" s="132"/>
      <c r="Y605" s="132"/>
      <c r="Z605" s="132"/>
    </row>
    <row r="606" spans="1:26" ht="11.25" customHeight="1" x14ac:dyDescent="0.3">
      <c r="A606" s="132"/>
      <c r="B606" s="132"/>
      <c r="C606" s="132"/>
      <c r="D606" s="132"/>
      <c r="E606" s="132"/>
      <c r="F606" s="132"/>
      <c r="G606" s="132"/>
      <c r="H606" s="132"/>
      <c r="I606" s="132"/>
      <c r="J606" s="132"/>
      <c r="K606" s="132"/>
      <c r="L606" s="132"/>
      <c r="M606" s="132"/>
      <c r="N606" s="132"/>
      <c r="O606" s="132"/>
      <c r="P606" s="132"/>
      <c r="Q606" s="132"/>
      <c r="R606" s="132"/>
      <c r="S606" s="132"/>
      <c r="T606" s="132"/>
      <c r="U606" s="132"/>
      <c r="V606" s="132"/>
      <c r="W606" s="132"/>
      <c r="X606" s="132"/>
      <c r="Y606" s="132"/>
      <c r="Z606" s="132"/>
    </row>
    <row r="607" spans="1:26" ht="11.25" customHeight="1" x14ac:dyDescent="0.3">
      <c r="A607" s="132"/>
      <c r="B607" s="132"/>
      <c r="C607" s="132"/>
      <c r="D607" s="132"/>
      <c r="E607" s="132"/>
      <c r="F607" s="132"/>
      <c r="G607" s="132"/>
      <c r="H607" s="132"/>
      <c r="I607" s="132"/>
      <c r="J607" s="132"/>
      <c r="K607" s="132"/>
      <c r="L607" s="132"/>
      <c r="M607" s="132"/>
      <c r="N607" s="132"/>
      <c r="O607" s="132"/>
      <c r="P607" s="132"/>
      <c r="Q607" s="132"/>
      <c r="R607" s="132"/>
      <c r="S607" s="132"/>
      <c r="T607" s="132"/>
      <c r="U607" s="132"/>
      <c r="V607" s="132"/>
      <c r="W607" s="132"/>
      <c r="X607" s="132"/>
      <c r="Y607" s="132"/>
      <c r="Z607" s="132"/>
    </row>
    <row r="608" spans="1:26" ht="11.25" customHeight="1" x14ac:dyDescent="0.3">
      <c r="A608" s="132"/>
      <c r="B608" s="132"/>
      <c r="C608" s="132"/>
      <c r="D608" s="132"/>
      <c r="E608" s="132"/>
      <c r="F608" s="132"/>
      <c r="G608" s="132"/>
      <c r="H608" s="132"/>
      <c r="I608" s="132"/>
      <c r="J608" s="132"/>
      <c r="K608" s="132"/>
      <c r="L608" s="132"/>
      <c r="M608" s="132"/>
      <c r="N608" s="132"/>
      <c r="O608" s="132"/>
      <c r="P608" s="132"/>
      <c r="Q608" s="132"/>
      <c r="R608" s="132"/>
      <c r="S608" s="132"/>
      <c r="T608" s="132"/>
      <c r="U608" s="132"/>
      <c r="V608" s="132"/>
      <c r="W608" s="132"/>
      <c r="X608" s="132"/>
      <c r="Y608" s="132"/>
      <c r="Z608" s="132"/>
    </row>
    <row r="609" spans="1:26" ht="11.25" customHeight="1" x14ac:dyDescent="0.3">
      <c r="A609" s="132"/>
      <c r="B609" s="132"/>
      <c r="C609" s="132"/>
      <c r="D609" s="132"/>
      <c r="E609" s="132"/>
      <c r="F609" s="132"/>
      <c r="G609" s="132"/>
      <c r="H609" s="132"/>
      <c r="I609" s="132"/>
      <c r="J609" s="132"/>
      <c r="K609" s="132"/>
      <c r="L609" s="132"/>
      <c r="M609" s="132"/>
      <c r="N609" s="132"/>
      <c r="O609" s="132"/>
      <c r="P609" s="132"/>
      <c r="Q609" s="132"/>
      <c r="R609" s="132"/>
      <c r="S609" s="132"/>
      <c r="T609" s="132"/>
      <c r="U609" s="132"/>
      <c r="V609" s="132"/>
      <c r="W609" s="132"/>
      <c r="X609" s="132"/>
      <c r="Y609" s="132"/>
      <c r="Z609" s="132"/>
    </row>
    <row r="610" spans="1:26" ht="11.25" customHeight="1" x14ac:dyDescent="0.3">
      <c r="A610" s="132"/>
      <c r="B610" s="132"/>
      <c r="C610" s="132"/>
      <c r="D610" s="132"/>
      <c r="E610" s="132"/>
      <c r="F610" s="132"/>
      <c r="G610" s="132"/>
      <c r="H610" s="132"/>
      <c r="I610" s="132"/>
      <c r="J610" s="132"/>
      <c r="K610" s="132"/>
      <c r="L610" s="132"/>
      <c r="M610" s="132"/>
      <c r="N610" s="132"/>
      <c r="O610" s="132"/>
      <c r="P610" s="132"/>
      <c r="Q610" s="132"/>
      <c r="R610" s="132"/>
      <c r="S610" s="132"/>
      <c r="T610" s="132"/>
      <c r="U610" s="132"/>
      <c r="V610" s="132"/>
      <c r="W610" s="132"/>
      <c r="X610" s="132"/>
      <c r="Y610" s="132"/>
      <c r="Z610" s="132"/>
    </row>
    <row r="611" spans="1:26" ht="11.25" customHeight="1" x14ac:dyDescent="0.3">
      <c r="A611" s="132"/>
      <c r="B611" s="132"/>
      <c r="C611" s="132"/>
      <c r="D611" s="132"/>
      <c r="E611" s="132"/>
      <c r="F611" s="132"/>
      <c r="G611" s="132"/>
      <c r="H611" s="132"/>
      <c r="I611" s="132"/>
      <c r="J611" s="132"/>
      <c r="K611" s="132"/>
      <c r="L611" s="132"/>
      <c r="M611" s="132"/>
      <c r="N611" s="132"/>
      <c r="O611" s="132"/>
      <c r="P611" s="132"/>
      <c r="Q611" s="132"/>
      <c r="R611" s="132"/>
      <c r="S611" s="132"/>
      <c r="T611" s="132"/>
      <c r="U611" s="132"/>
      <c r="V611" s="132"/>
      <c r="W611" s="132"/>
      <c r="X611" s="132"/>
      <c r="Y611" s="132"/>
      <c r="Z611" s="132"/>
    </row>
    <row r="612" spans="1:26" ht="11.25" customHeight="1" x14ac:dyDescent="0.3">
      <c r="A612" s="132"/>
      <c r="B612" s="132"/>
      <c r="C612" s="132"/>
      <c r="D612" s="132"/>
      <c r="E612" s="132"/>
      <c r="F612" s="132"/>
      <c r="G612" s="132"/>
      <c r="H612" s="132"/>
      <c r="I612" s="132"/>
      <c r="J612" s="132"/>
      <c r="K612" s="132"/>
      <c r="L612" s="132"/>
      <c r="M612" s="132"/>
      <c r="N612" s="132"/>
      <c r="O612" s="132"/>
      <c r="P612" s="132"/>
      <c r="Q612" s="132"/>
      <c r="R612" s="132"/>
      <c r="S612" s="132"/>
      <c r="T612" s="132"/>
      <c r="U612" s="132"/>
      <c r="V612" s="132"/>
      <c r="W612" s="132"/>
      <c r="X612" s="132"/>
      <c r="Y612" s="132"/>
      <c r="Z612" s="132"/>
    </row>
    <row r="613" spans="1:26" ht="11.25" customHeight="1" x14ac:dyDescent="0.3">
      <c r="A613" s="132"/>
      <c r="B613" s="132"/>
      <c r="C613" s="132"/>
      <c r="D613" s="132"/>
      <c r="E613" s="132"/>
      <c r="F613" s="132"/>
      <c r="G613" s="132"/>
      <c r="H613" s="132"/>
      <c r="I613" s="132"/>
      <c r="J613" s="132"/>
      <c r="K613" s="132"/>
      <c r="L613" s="132"/>
      <c r="M613" s="132"/>
      <c r="N613" s="132"/>
      <c r="O613" s="132"/>
      <c r="P613" s="132"/>
      <c r="Q613" s="132"/>
      <c r="R613" s="132"/>
      <c r="S613" s="132"/>
      <c r="T613" s="132"/>
      <c r="U613" s="132"/>
      <c r="V613" s="132"/>
      <c r="W613" s="132"/>
      <c r="X613" s="132"/>
      <c r="Y613" s="132"/>
      <c r="Z613" s="132"/>
    </row>
    <row r="614" spans="1:26" ht="11.25" customHeight="1" x14ac:dyDescent="0.3">
      <c r="A614" s="132"/>
      <c r="B614" s="132"/>
      <c r="C614" s="132"/>
      <c r="D614" s="132"/>
      <c r="E614" s="132"/>
      <c r="F614" s="132"/>
      <c r="G614" s="132"/>
      <c r="H614" s="132"/>
      <c r="I614" s="132"/>
      <c r="J614" s="132"/>
      <c r="K614" s="132"/>
      <c r="L614" s="132"/>
      <c r="M614" s="132"/>
      <c r="N614" s="132"/>
      <c r="O614" s="132"/>
      <c r="P614" s="132"/>
      <c r="Q614" s="132"/>
      <c r="R614" s="132"/>
      <c r="S614" s="132"/>
      <c r="T614" s="132"/>
      <c r="U614" s="132"/>
      <c r="V614" s="132"/>
      <c r="W614" s="132"/>
      <c r="X614" s="132"/>
      <c r="Y614" s="132"/>
      <c r="Z614" s="132"/>
    </row>
    <row r="615" spans="1:26" ht="11.25" customHeight="1" x14ac:dyDescent="0.3">
      <c r="A615" s="132"/>
      <c r="B615" s="132"/>
      <c r="C615" s="132"/>
      <c r="D615" s="132"/>
      <c r="E615" s="132"/>
      <c r="F615" s="132"/>
      <c r="G615" s="132"/>
      <c r="H615" s="132"/>
      <c r="I615" s="132"/>
      <c r="J615" s="132"/>
      <c r="K615" s="132"/>
      <c r="L615" s="132"/>
      <c r="M615" s="132"/>
      <c r="N615" s="132"/>
      <c r="O615" s="132"/>
      <c r="P615" s="132"/>
      <c r="Q615" s="132"/>
      <c r="R615" s="132"/>
      <c r="S615" s="132"/>
      <c r="T615" s="132"/>
      <c r="U615" s="132"/>
      <c r="V615" s="132"/>
      <c r="W615" s="132"/>
      <c r="X615" s="132"/>
      <c r="Y615" s="132"/>
      <c r="Z615" s="132"/>
    </row>
    <row r="616" spans="1:26" ht="11.25" customHeight="1" x14ac:dyDescent="0.3">
      <c r="A616" s="132"/>
      <c r="B616" s="132"/>
      <c r="C616" s="132"/>
      <c r="D616" s="132"/>
      <c r="E616" s="132"/>
      <c r="F616" s="132"/>
      <c r="G616" s="132"/>
      <c r="H616" s="132"/>
      <c r="I616" s="132"/>
      <c r="J616" s="132"/>
      <c r="K616" s="132"/>
      <c r="L616" s="132"/>
      <c r="M616" s="132"/>
      <c r="N616" s="132"/>
      <c r="O616" s="132"/>
      <c r="P616" s="132"/>
      <c r="Q616" s="132"/>
      <c r="R616" s="132"/>
      <c r="S616" s="132"/>
      <c r="T616" s="132"/>
      <c r="U616" s="132"/>
      <c r="V616" s="132"/>
      <c r="W616" s="132"/>
      <c r="X616" s="132"/>
      <c r="Y616" s="132"/>
      <c r="Z616" s="132"/>
    </row>
    <row r="617" spans="1:26" ht="11.25" customHeight="1" x14ac:dyDescent="0.3">
      <c r="A617" s="132"/>
      <c r="B617" s="132"/>
      <c r="C617" s="132"/>
      <c r="D617" s="132"/>
      <c r="E617" s="132"/>
      <c r="F617" s="132"/>
      <c r="G617" s="132"/>
      <c r="H617" s="132"/>
      <c r="I617" s="132"/>
      <c r="J617" s="132"/>
      <c r="K617" s="132"/>
      <c r="L617" s="132"/>
      <c r="M617" s="132"/>
      <c r="N617" s="132"/>
      <c r="O617" s="132"/>
      <c r="P617" s="132"/>
      <c r="Q617" s="132"/>
      <c r="R617" s="132"/>
      <c r="S617" s="132"/>
      <c r="T617" s="132"/>
      <c r="U617" s="132"/>
      <c r="V617" s="132"/>
      <c r="W617" s="132"/>
      <c r="X617" s="132"/>
      <c r="Y617" s="132"/>
      <c r="Z617" s="132"/>
    </row>
    <row r="618" spans="1:26" ht="11.25" customHeight="1" x14ac:dyDescent="0.3">
      <c r="A618" s="132"/>
      <c r="B618" s="132"/>
      <c r="C618" s="132"/>
      <c r="D618" s="132"/>
      <c r="E618" s="132"/>
      <c r="F618" s="132"/>
      <c r="G618" s="132"/>
      <c r="H618" s="132"/>
      <c r="I618" s="132"/>
      <c r="J618" s="132"/>
      <c r="K618" s="132"/>
      <c r="L618" s="132"/>
      <c r="M618" s="132"/>
      <c r="N618" s="132"/>
      <c r="O618" s="132"/>
      <c r="P618" s="132"/>
      <c r="Q618" s="132"/>
      <c r="R618" s="132"/>
      <c r="S618" s="132"/>
      <c r="T618" s="132"/>
      <c r="U618" s="132"/>
      <c r="V618" s="132"/>
      <c r="W618" s="132"/>
      <c r="X618" s="132"/>
      <c r="Y618" s="132"/>
      <c r="Z618" s="132"/>
    </row>
    <row r="619" spans="1:26" ht="11.25" customHeight="1" x14ac:dyDescent="0.3">
      <c r="A619" s="132"/>
      <c r="B619" s="132"/>
      <c r="C619" s="132"/>
      <c r="D619" s="132"/>
      <c r="E619" s="132"/>
      <c r="F619" s="132"/>
      <c r="G619" s="132"/>
      <c r="H619" s="132"/>
      <c r="I619" s="132"/>
      <c r="J619" s="132"/>
      <c r="K619" s="132"/>
      <c r="L619" s="132"/>
      <c r="M619" s="132"/>
      <c r="N619" s="132"/>
      <c r="O619" s="132"/>
      <c r="P619" s="132"/>
      <c r="Q619" s="132"/>
      <c r="R619" s="132"/>
      <c r="S619" s="132"/>
      <c r="T619" s="132"/>
      <c r="U619" s="132"/>
      <c r="V619" s="132"/>
      <c r="W619" s="132"/>
      <c r="X619" s="132"/>
      <c r="Y619" s="132"/>
      <c r="Z619" s="132"/>
    </row>
    <row r="620" spans="1:26" ht="11.25" customHeight="1" x14ac:dyDescent="0.3">
      <c r="A620" s="132"/>
      <c r="B620" s="132"/>
      <c r="C620" s="132"/>
      <c r="D620" s="132"/>
      <c r="E620" s="132"/>
      <c r="F620" s="132"/>
      <c r="G620" s="132"/>
      <c r="H620" s="132"/>
      <c r="I620" s="132"/>
      <c r="J620" s="132"/>
      <c r="K620" s="132"/>
      <c r="L620" s="132"/>
      <c r="M620" s="132"/>
      <c r="N620" s="132"/>
      <c r="O620" s="132"/>
      <c r="P620" s="132"/>
      <c r="Q620" s="132"/>
      <c r="R620" s="132"/>
      <c r="S620" s="132"/>
      <c r="T620" s="132"/>
      <c r="U620" s="132"/>
      <c r="V620" s="132"/>
      <c r="W620" s="132"/>
      <c r="X620" s="132"/>
      <c r="Y620" s="132"/>
      <c r="Z620" s="132"/>
    </row>
    <row r="621" spans="1:26" ht="11.25" customHeight="1" x14ac:dyDescent="0.3">
      <c r="A621" s="132"/>
      <c r="B621" s="132"/>
      <c r="C621" s="132"/>
      <c r="D621" s="132"/>
      <c r="E621" s="132"/>
      <c r="F621" s="132"/>
      <c r="G621" s="132"/>
      <c r="H621" s="132"/>
      <c r="I621" s="132"/>
      <c r="J621" s="132"/>
      <c r="K621" s="132"/>
      <c r="L621" s="132"/>
      <c r="M621" s="132"/>
      <c r="N621" s="132"/>
      <c r="O621" s="132"/>
      <c r="P621" s="132"/>
      <c r="Q621" s="132"/>
      <c r="R621" s="132"/>
      <c r="S621" s="132"/>
      <c r="T621" s="132"/>
      <c r="U621" s="132"/>
      <c r="V621" s="132"/>
      <c r="W621" s="132"/>
      <c r="X621" s="132"/>
      <c r="Y621" s="132"/>
      <c r="Z621" s="132"/>
    </row>
    <row r="622" spans="1:26" ht="11.25" customHeight="1" x14ac:dyDescent="0.3">
      <c r="A622" s="132"/>
      <c r="B622" s="132"/>
      <c r="C622" s="132"/>
      <c r="D622" s="132"/>
      <c r="E622" s="132"/>
      <c r="F622" s="132"/>
      <c r="G622" s="132"/>
      <c r="H622" s="132"/>
      <c r="I622" s="132"/>
      <c r="J622" s="132"/>
      <c r="K622" s="132"/>
      <c r="L622" s="132"/>
      <c r="M622" s="132"/>
      <c r="N622" s="132"/>
      <c r="O622" s="132"/>
      <c r="P622" s="132"/>
      <c r="Q622" s="132"/>
      <c r="R622" s="132"/>
      <c r="S622" s="132"/>
      <c r="T622" s="132"/>
      <c r="U622" s="132"/>
      <c r="V622" s="132"/>
      <c r="W622" s="132"/>
      <c r="X622" s="132"/>
      <c r="Y622" s="132"/>
      <c r="Z622" s="132"/>
    </row>
    <row r="623" spans="1:26" ht="11.25" customHeight="1" x14ac:dyDescent="0.3">
      <c r="A623" s="132"/>
      <c r="B623" s="132"/>
      <c r="C623" s="132"/>
      <c r="D623" s="132"/>
      <c r="E623" s="132"/>
      <c r="F623" s="132"/>
      <c r="G623" s="132"/>
      <c r="H623" s="132"/>
      <c r="I623" s="132"/>
      <c r="J623" s="132"/>
      <c r="K623" s="132"/>
      <c r="L623" s="132"/>
      <c r="M623" s="132"/>
      <c r="N623" s="132"/>
      <c r="O623" s="132"/>
      <c r="P623" s="132"/>
      <c r="Q623" s="132"/>
      <c r="R623" s="132"/>
      <c r="S623" s="132"/>
      <c r="T623" s="132"/>
      <c r="U623" s="132"/>
      <c r="V623" s="132"/>
      <c r="W623" s="132"/>
      <c r="X623" s="132"/>
      <c r="Y623" s="132"/>
      <c r="Z623" s="132"/>
    </row>
    <row r="624" spans="1:26" ht="11.25" customHeight="1" x14ac:dyDescent="0.3">
      <c r="A624" s="132"/>
      <c r="B624" s="132"/>
      <c r="C624" s="132"/>
      <c r="D624" s="132"/>
      <c r="E624" s="132"/>
      <c r="F624" s="132"/>
      <c r="G624" s="132"/>
      <c r="H624" s="132"/>
      <c r="I624" s="132"/>
      <c r="J624" s="132"/>
      <c r="K624" s="132"/>
      <c r="L624" s="132"/>
      <c r="M624" s="132"/>
      <c r="N624" s="132"/>
      <c r="O624" s="132"/>
      <c r="P624" s="132"/>
      <c r="Q624" s="132"/>
      <c r="R624" s="132"/>
      <c r="S624" s="132"/>
      <c r="T624" s="132"/>
      <c r="U624" s="132"/>
      <c r="V624" s="132"/>
      <c r="W624" s="132"/>
      <c r="X624" s="132"/>
      <c r="Y624" s="132"/>
      <c r="Z624" s="132"/>
    </row>
    <row r="625" spans="1:26" ht="11.25" customHeight="1" x14ac:dyDescent="0.3">
      <c r="A625" s="132"/>
      <c r="B625" s="132"/>
      <c r="C625" s="132"/>
      <c r="D625" s="132"/>
      <c r="E625" s="132"/>
      <c r="F625" s="132"/>
      <c r="G625" s="132"/>
      <c r="H625" s="132"/>
      <c r="I625" s="132"/>
      <c r="J625" s="132"/>
      <c r="K625" s="132"/>
      <c r="L625" s="132"/>
      <c r="M625" s="132"/>
      <c r="N625" s="132"/>
      <c r="O625" s="132"/>
      <c r="P625" s="132"/>
      <c r="Q625" s="132"/>
      <c r="R625" s="132"/>
      <c r="S625" s="132"/>
      <c r="T625" s="132"/>
      <c r="U625" s="132"/>
      <c r="V625" s="132"/>
      <c r="W625" s="132"/>
      <c r="X625" s="132"/>
      <c r="Y625" s="132"/>
      <c r="Z625" s="132"/>
    </row>
    <row r="626" spans="1:26" ht="11.25" customHeight="1" x14ac:dyDescent="0.3">
      <c r="A626" s="132"/>
      <c r="B626" s="132"/>
      <c r="C626" s="132"/>
      <c r="D626" s="132"/>
      <c r="E626" s="132"/>
      <c r="F626" s="132"/>
      <c r="G626" s="132"/>
      <c r="H626" s="132"/>
      <c r="I626" s="132"/>
      <c r="J626" s="132"/>
      <c r="K626" s="132"/>
      <c r="L626" s="132"/>
      <c r="M626" s="132"/>
      <c r="N626" s="132"/>
      <c r="O626" s="132"/>
      <c r="P626" s="132"/>
      <c r="Q626" s="132"/>
      <c r="R626" s="132"/>
      <c r="S626" s="132"/>
      <c r="T626" s="132"/>
      <c r="U626" s="132"/>
      <c r="V626" s="132"/>
      <c r="W626" s="132"/>
      <c r="X626" s="132"/>
      <c r="Y626" s="132"/>
      <c r="Z626" s="132"/>
    </row>
    <row r="627" spans="1:26" ht="11.25" customHeight="1" x14ac:dyDescent="0.3">
      <c r="A627" s="132"/>
      <c r="B627" s="132"/>
      <c r="C627" s="132"/>
      <c r="D627" s="132"/>
      <c r="E627" s="132"/>
      <c r="F627" s="132"/>
      <c r="G627" s="132"/>
      <c r="H627" s="132"/>
      <c r="I627" s="132"/>
      <c r="J627" s="132"/>
      <c r="K627" s="132"/>
      <c r="L627" s="132"/>
      <c r="M627" s="132"/>
      <c r="N627" s="132"/>
      <c r="O627" s="132"/>
      <c r="P627" s="132"/>
      <c r="Q627" s="132"/>
      <c r="R627" s="132"/>
      <c r="S627" s="132"/>
      <c r="T627" s="132"/>
      <c r="U627" s="132"/>
      <c r="V627" s="132"/>
      <c r="W627" s="132"/>
      <c r="X627" s="132"/>
      <c r="Y627" s="132"/>
      <c r="Z627" s="132"/>
    </row>
    <row r="628" spans="1:26" ht="11.25" customHeight="1" x14ac:dyDescent="0.3">
      <c r="A628" s="132"/>
      <c r="B628" s="132"/>
      <c r="C628" s="132"/>
      <c r="D628" s="132"/>
      <c r="E628" s="132"/>
      <c r="F628" s="132"/>
      <c r="G628" s="132"/>
      <c r="H628" s="132"/>
      <c r="I628" s="132"/>
      <c r="J628" s="132"/>
      <c r="K628" s="132"/>
      <c r="L628" s="132"/>
      <c r="M628" s="132"/>
      <c r="N628" s="132"/>
      <c r="O628" s="132"/>
      <c r="P628" s="132"/>
      <c r="Q628" s="132"/>
      <c r="R628" s="132"/>
      <c r="S628" s="132"/>
      <c r="T628" s="132"/>
      <c r="U628" s="132"/>
      <c r="V628" s="132"/>
      <c r="W628" s="132"/>
      <c r="X628" s="132"/>
      <c r="Y628" s="132"/>
      <c r="Z628" s="132"/>
    </row>
    <row r="629" spans="1:26" ht="11.25" customHeight="1" x14ac:dyDescent="0.3">
      <c r="A629" s="132"/>
      <c r="B629" s="132"/>
      <c r="C629" s="132"/>
      <c r="D629" s="132"/>
      <c r="E629" s="132"/>
      <c r="F629" s="132"/>
      <c r="G629" s="132"/>
      <c r="H629" s="132"/>
      <c r="I629" s="132"/>
      <c r="J629" s="132"/>
      <c r="K629" s="132"/>
      <c r="L629" s="132"/>
      <c r="M629" s="132"/>
      <c r="N629" s="132"/>
      <c r="O629" s="132"/>
      <c r="P629" s="132"/>
      <c r="Q629" s="132"/>
      <c r="R629" s="132"/>
      <c r="S629" s="132"/>
      <c r="T629" s="132"/>
      <c r="U629" s="132"/>
      <c r="V629" s="132"/>
      <c r="W629" s="132"/>
      <c r="X629" s="132"/>
      <c r="Y629" s="132"/>
      <c r="Z629" s="132"/>
    </row>
    <row r="630" spans="1:26" ht="11.25" customHeight="1" x14ac:dyDescent="0.3">
      <c r="A630" s="132"/>
      <c r="B630" s="132"/>
      <c r="C630" s="132"/>
      <c r="D630" s="132"/>
      <c r="E630" s="132"/>
      <c r="F630" s="132"/>
      <c r="G630" s="132"/>
      <c r="H630" s="132"/>
      <c r="I630" s="132"/>
      <c r="J630" s="132"/>
      <c r="K630" s="132"/>
      <c r="L630" s="132"/>
      <c r="M630" s="132"/>
      <c r="N630" s="132"/>
      <c r="O630" s="132"/>
      <c r="P630" s="132"/>
      <c r="Q630" s="132"/>
      <c r="R630" s="132"/>
      <c r="S630" s="132"/>
      <c r="T630" s="132"/>
      <c r="U630" s="132"/>
      <c r="V630" s="132"/>
      <c r="W630" s="132"/>
      <c r="X630" s="132"/>
      <c r="Y630" s="132"/>
      <c r="Z630" s="132"/>
    </row>
    <row r="631" spans="1:26" ht="11.25" customHeight="1" x14ac:dyDescent="0.3">
      <c r="A631" s="132"/>
      <c r="B631" s="132"/>
      <c r="C631" s="132"/>
      <c r="D631" s="132"/>
      <c r="E631" s="132"/>
      <c r="F631" s="132"/>
      <c r="G631" s="132"/>
      <c r="H631" s="132"/>
      <c r="I631" s="132"/>
      <c r="J631" s="132"/>
      <c r="K631" s="132"/>
      <c r="L631" s="132"/>
      <c r="M631" s="132"/>
      <c r="N631" s="132"/>
      <c r="O631" s="132"/>
      <c r="P631" s="132"/>
      <c r="Q631" s="132"/>
      <c r="R631" s="132"/>
      <c r="S631" s="132"/>
      <c r="T631" s="132"/>
      <c r="U631" s="132"/>
      <c r="V631" s="132"/>
      <c r="W631" s="132"/>
      <c r="X631" s="132"/>
      <c r="Y631" s="132"/>
      <c r="Z631" s="132"/>
    </row>
    <row r="632" spans="1:26" ht="11.25" customHeight="1" x14ac:dyDescent="0.3">
      <c r="A632" s="132"/>
      <c r="B632" s="132"/>
      <c r="C632" s="132"/>
      <c r="D632" s="132"/>
      <c r="E632" s="132"/>
      <c r="F632" s="132"/>
      <c r="G632" s="132"/>
      <c r="H632" s="132"/>
      <c r="I632" s="132"/>
      <c r="J632" s="132"/>
      <c r="K632" s="132"/>
      <c r="L632" s="132"/>
      <c r="M632" s="132"/>
      <c r="N632" s="132"/>
      <c r="O632" s="132"/>
      <c r="P632" s="132"/>
      <c r="Q632" s="132"/>
      <c r="R632" s="132"/>
      <c r="S632" s="132"/>
      <c r="T632" s="132"/>
      <c r="U632" s="132"/>
      <c r="V632" s="132"/>
      <c r="W632" s="132"/>
      <c r="X632" s="132"/>
      <c r="Y632" s="132"/>
      <c r="Z632" s="132"/>
    </row>
    <row r="633" spans="1:26" ht="11.25" customHeight="1" x14ac:dyDescent="0.3">
      <c r="A633" s="132"/>
      <c r="B633" s="132"/>
      <c r="C633" s="132"/>
      <c r="D633" s="132"/>
      <c r="E633" s="132"/>
      <c r="F633" s="132"/>
      <c r="G633" s="132"/>
      <c r="H633" s="132"/>
      <c r="I633" s="132"/>
      <c r="J633" s="132"/>
      <c r="K633" s="132"/>
      <c r="L633" s="132"/>
      <c r="M633" s="132"/>
      <c r="N633" s="132"/>
      <c r="O633" s="132"/>
      <c r="P633" s="132"/>
      <c r="Q633" s="132"/>
      <c r="R633" s="132"/>
      <c r="S633" s="132"/>
      <c r="T633" s="132"/>
      <c r="U633" s="132"/>
      <c r="V633" s="132"/>
      <c r="W633" s="132"/>
      <c r="X633" s="132"/>
      <c r="Y633" s="132"/>
      <c r="Z633" s="132"/>
    </row>
    <row r="634" spans="1:26" ht="11.25" customHeight="1" x14ac:dyDescent="0.3">
      <c r="A634" s="132"/>
      <c r="B634" s="132"/>
      <c r="C634" s="132"/>
      <c r="D634" s="132"/>
      <c r="E634" s="132"/>
      <c r="F634" s="132"/>
      <c r="G634" s="132"/>
      <c r="H634" s="132"/>
      <c r="I634" s="132"/>
      <c r="J634" s="132"/>
      <c r="K634" s="132"/>
      <c r="L634" s="132"/>
      <c r="M634" s="132"/>
      <c r="N634" s="132"/>
      <c r="O634" s="132"/>
      <c r="P634" s="132"/>
      <c r="Q634" s="132"/>
      <c r="R634" s="132"/>
      <c r="S634" s="132"/>
      <c r="T634" s="132"/>
      <c r="U634" s="132"/>
      <c r="V634" s="132"/>
      <c r="W634" s="132"/>
      <c r="X634" s="132"/>
      <c r="Y634" s="132"/>
      <c r="Z634" s="132"/>
    </row>
    <row r="635" spans="1:26" ht="11.25" customHeight="1" x14ac:dyDescent="0.3">
      <c r="A635" s="132"/>
      <c r="B635" s="132"/>
      <c r="C635" s="132"/>
      <c r="D635" s="132"/>
      <c r="E635" s="132"/>
      <c r="F635" s="132"/>
      <c r="G635" s="132"/>
      <c r="H635" s="132"/>
      <c r="I635" s="132"/>
      <c r="J635" s="132"/>
      <c r="K635" s="132"/>
      <c r="L635" s="132"/>
      <c r="M635" s="132"/>
      <c r="N635" s="132"/>
      <c r="O635" s="132"/>
      <c r="P635" s="132"/>
      <c r="Q635" s="132"/>
      <c r="R635" s="132"/>
      <c r="S635" s="132"/>
      <c r="T635" s="132"/>
      <c r="U635" s="132"/>
      <c r="V635" s="132"/>
      <c r="W635" s="132"/>
      <c r="X635" s="132"/>
      <c r="Y635" s="132"/>
      <c r="Z635" s="132"/>
    </row>
    <row r="636" spans="1:26" ht="11.25" customHeight="1" x14ac:dyDescent="0.3">
      <c r="A636" s="132"/>
      <c r="B636" s="132"/>
      <c r="C636" s="132"/>
      <c r="D636" s="132"/>
      <c r="E636" s="132"/>
      <c r="F636" s="132"/>
      <c r="G636" s="132"/>
      <c r="H636" s="132"/>
      <c r="I636" s="132"/>
      <c r="J636" s="132"/>
      <c r="K636" s="132"/>
      <c r="L636" s="132"/>
      <c r="M636" s="132"/>
      <c r="N636" s="132"/>
      <c r="O636" s="132"/>
      <c r="P636" s="132"/>
      <c r="Q636" s="132"/>
      <c r="R636" s="132"/>
      <c r="S636" s="132"/>
      <c r="T636" s="132"/>
      <c r="U636" s="132"/>
      <c r="V636" s="132"/>
      <c r="W636" s="132"/>
      <c r="X636" s="132"/>
      <c r="Y636" s="132"/>
      <c r="Z636" s="132"/>
    </row>
    <row r="637" spans="1:26" ht="11.25" customHeight="1" x14ac:dyDescent="0.3">
      <c r="A637" s="132"/>
      <c r="B637" s="132"/>
      <c r="C637" s="132"/>
      <c r="D637" s="132"/>
      <c r="E637" s="132"/>
      <c r="F637" s="132"/>
      <c r="G637" s="132"/>
      <c r="H637" s="132"/>
      <c r="I637" s="132"/>
      <c r="J637" s="132"/>
      <c r="K637" s="132"/>
      <c r="L637" s="132"/>
      <c r="M637" s="132"/>
      <c r="N637" s="132"/>
      <c r="O637" s="132"/>
      <c r="P637" s="132"/>
      <c r="Q637" s="132"/>
      <c r="R637" s="132"/>
      <c r="S637" s="132"/>
      <c r="T637" s="132"/>
      <c r="U637" s="132"/>
      <c r="V637" s="132"/>
      <c r="W637" s="132"/>
      <c r="X637" s="132"/>
      <c r="Y637" s="132"/>
      <c r="Z637" s="132"/>
    </row>
    <row r="638" spans="1:26" ht="11.25" customHeight="1" x14ac:dyDescent="0.3">
      <c r="A638" s="132"/>
      <c r="B638" s="132"/>
      <c r="C638" s="132"/>
      <c r="D638" s="132"/>
      <c r="E638" s="132"/>
      <c r="F638" s="132"/>
      <c r="G638" s="132"/>
      <c r="H638" s="132"/>
      <c r="I638" s="132"/>
      <c r="J638" s="132"/>
      <c r="K638" s="132"/>
      <c r="L638" s="132"/>
      <c r="M638" s="132"/>
      <c r="N638" s="132"/>
      <c r="O638" s="132"/>
      <c r="P638" s="132"/>
      <c r="Q638" s="132"/>
      <c r="R638" s="132"/>
      <c r="S638" s="132"/>
      <c r="T638" s="132"/>
      <c r="U638" s="132"/>
      <c r="V638" s="132"/>
      <c r="W638" s="132"/>
      <c r="X638" s="132"/>
      <c r="Y638" s="132"/>
      <c r="Z638" s="132"/>
    </row>
    <row r="639" spans="1:26" ht="11.25" customHeight="1" x14ac:dyDescent="0.3">
      <c r="A639" s="132"/>
      <c r="B639" s="132"/>
      <c r="C639" s="132"/>
      <c r="D639" s="132"/>
      <c r="E639" s="132"/>
      <c r="F639" s="132"/>
      <c r="G639" s="132"/>
      <c r="H639" s="132"/>
      <c r="I639" s="132"/>
      <c r="J639" s="132"/>
      <c r="K639" s="132"/>
      <c r="L639" s="132"/>
      <c r="M639" s="132"/>
      <c r="N639" s="132"/>
      <c r="O639" s="132"/>
      <c r="P639" s="132"/>
      <c r="Q639" s="132"/>
      <c r="R639" s="132"/>
      <c r="S639" s="132"/>
      <c r="T639" s="132"/>
      <c r="U639" s="132"/>
      <c r="V639" s="132"/>
      <c r="W639" s="132"/>
      <c r="X639" s="132"/>
      <c r="Y639" s="132"/>
      <c r="Z639" s="132"/>
    </row>
    <row r="640" spans="1:26" ht="11.25" customHeight="1" x14ac:dyDescent="0.3">
      <c r="A640" s="132"/>
      <c r="B640" s="132"/>
      <c r="C640" s="132"/>
      <c r="D640" s="132"/>
      <c r="E640" s="132"/>
      <c r="F640" s="132"/>
      <c r="G640" s="132"/>
      <c r="H640" s="132"/>
      <c r="I640" s="132"/>
      <c r="J640" s="132"/>
      <c r="K640" s="132"/>
      <c r="L640" s="132"/>
      <c r="M640" s="132"/>
      <c r="N640" s="132"/>
      <c r="O640" s="132"/>
      <c r="P640" s="132"/>
      <c r="Q640" s="132"/>
      <c r="R640" s="132"/>
      <c r="S640" s="132"/>
      <c r="T640" s="132"/>
      <c r="U640" s="132"/>
      <c r="V640" s="132"/>
      <c r="W640" s="132"/>
      <c r="X640" s="132"/>
      <c r="Y640" s="132"/>
      <c r="Z640" s="132"/>
    </row>
    <row r="641" spans="1:26" ht="11.25" customHeight="1" x14ac:dyDescent="0.3">
      <c r="A641" s="132"/>
      <c r="B641" s="132"/>
      <c r="C641" s="132"/>
      <c r="D641" s="132"/>
      <c r="E641" s="132"/>
      <c r="F641" s="132"/>
      <c r="G641" s="132"/>
      <c r="H641" s="132"/>
      <c r="I641" s="132"/>
      <c r="J641" s="132"/>
      <c r="K641" s="132"/>
      <c r="L641" s="132"/>
      <c r="M641" s="132"/>
      <c r="N641" s="132"/>
      <c r="O641" s="132"/>
      <c r="P641" s="132"/>
      <c r="Q641" s="132"/>
      <c r="R641" s="132"/>
      <c r="S641" s="132"/>
      <c r="T641" s="132"/>
      <c r="U641" s="132"/>
      <c r="V641" s="132"/>
      <c r="W641" s="132"/>
      <c r="X641" s="132"/>
      <c r="Y641" s="132"/>
      <c r="Z641" s="132"/>
    </row>
    <row r="642" spans="1:26" ht="11.25" customHeight="1" x14ac:dyDescent="0.3">
      <c r="A642" s="132"/>
      <c r="B642" s="132"/>
      <c r="C642" s="132"/>
      <c r="D642" s="132"/>
      <c r="E642" s="132"/>
      <c r="F642" s="132"/>
      <c r="G642" s="132"/>
      <c r="H642" s="132"/>
      <c r="I642" s="132"/>
      <c r="J642" s="132"/>
      <c r="K642" s="132"/>
      <c r="L642" s="132"/>
      <c r="M642" s="132"/>
      <c r="N642" s="132"/>
      <c r="O642" s="132"/>
      <c r="P642" s="132"/>
      <c r="Q642" s="132"/>
      <c r="R642" s="132"/>
      <c r="S642" s="132"/>
      <c r="T642" s="132"/>
      <c r="U642" s="132"/>
      <c r="V642" s="132"/>
      <c r="W642" s="132"/>
      <c r="X642" s="132"/>
      <c r="Y642" s="132"/>
      <c r="Z642" s="132"/>
    </row>
    <row r="643" spans="1:26" ht="11.25" customHeight="1" x14ac:dyDescent="0.3">
      <c r="A643" s="132"/>
      <c r="B643" s="132"/>
      <c r="C643" s="132"/>
      <c r="D643" s="132"/>
      <c r="E643" s="132"/>
      <c r="F643" s="132"/>
      <c r="G643" s="132"/>
      <c r="H643" s="132"/>
      <c r="I643" s="132"/>
      <c r="J643" s="132"/>
      <c r="K643" s="132"/>
      <c r="L643" s="132"/>
      <c r="M643" s="132"/>
      <c r="N643" s="132"/>
      <c r="O643" s="132"/>
      <c r="P643" s="132"/>
      <c r="Q643" s="132"/>
      <c r="R643" s="132"/>
      <c r="S643" s="132"/>
      <c r="T643" s="132"/>
      <c r="U643" s="132"/>
      <c r="V643" s="132"/>
      <c r="W643" s="132"/>
      <c r="X643" s="132"/>
      <c r="Y643" s="132"/>
      <c r="Z643" s="132"/>
    </row>
    <row r="644" spans="1:26" ht="11.25" customHeight="1" x14ac:dyDescent="0.3">
      <c r="A644" s="132"/>
      <c r="B644" s="132"/>
      <c r="C644" s="132"/>
      <c r="D644" s="132"/>
      <c r="E644" s="132"/>
      <c r="F644" s="132"/>
      <c r="G644" s="132"/>
      <c r="H644" s="132"/>
      <c r="I644" s="132"/>
      <c r="J644" s="132"/>
      <c r="K644" s="132"/>
      <c r="L644" s="132"/>
      <c r="M644" s="132"/>
      <c r="N644" s="132"/>
      <c r="O644" s="132"/>
      <c r="P644" s="132"/>
      <c r="Q644" s="132"/>
      <c r="R644" s="132"/>
      <c r="S644" s="132"/>
      <c r="T644" s="132"/>
      <c r="U644" s="132"/>
      <c r="V644" s="132"/>
      <c r="W644" s="132"/>
      <c r="X644" s="132"/>
      <c r="Y644" s="132"/>
      <c r="Z644" s="132"/>
    </row>
    <row r="645" spans="1:26" ht="11.25" customHeight="1" x14ac:dyDescent="0.3">
      <c r="A645" s="132"/>
      <c r="B645" s="132"/>
      <c r="C645" s="132"/>
      <c r="D645" s="132"/>
      <c r="E645" s="132"/>
      <c r="F645" s="132"/>
      <c r="G645" s="132"/>
      <c r="H645" s="132"/>
      <c r="I645" s="132"/>
      <c r="J645" s="132"/>
      <c r="K645" s="132"/>
      <c r="L645" s="132"/>
      <c r="M645" s="132"/>
      <c r="N645" s="132"/>
      <c r="O645" s="132"/>
      <c r="P645" s="132"/>
      <c r="Q645" s="132"/>
      <c r="R645" s="132"/>
      <c r="S645" s="132"/>
      <c r="T645" s="132"/>
      <c r="U645" s="132"/>
      <c r="V645" s="132"/>
      <c r="W645" s="132"/>
      <c r="X645" s="132"/>
      <c r="Y645" s="132"/>
      <c r="Z645" s="132"/>
    </row>
    <row r="646" spans="1:26" ht="11.25" customHeight="1" x14ac:dyDescent="0.3">
      <c r="A646" s="132"/>
      <c r="B646" s="132"/>
      <c r="C646" s="132"/>
      <c r="D646" s="132"/>
      <c r="E646" s="132"/>
      <c r="F646" s="132"/>
      <c r="G646" s="132"/>
      <c r="H646" s="132"/>
      <c r="I646" s="132"/>
      <c r="J646" s="132"/>
      <c r="K646" s="132"/>
      <c r="L646" s="132"/>
      <c r="M646" s="132"/>
      <c r="N646" s="132"/>
      <c r="O646" s="132"/>
      <c r="P646" s="132"/>
      <c r="Q646" s="132"/>
      <c r="R646" s="132"/>
      <c r="S646" s="132"/>
      <c r="T646" s="132"/>
      <c r="U646" s="132"/>
      <c r="V646" s="132"/>
      <c r="W646" s="132"/>
      <c r="X646" s="132"/>
      <c r="Y646" s="132"/>
      <c r="Z646" s="132"/>
    </row>
    <row r="647" spans="1:26" ht="11.25" customHeight="1" x14ac:dyDescent="0.3">
      <c r="A647" s="132"/>
      <c r="B647" s="132"/>
      <c r="C647" s="132"/>
      <c r="D647" s="132"/>
      <c r="E647" s="132"/>
      <c r="F647" s="132"/>
      <c r="G647" s="132"/>
      <c r="H647" s="132"/>
      <c r="I647" s="132"/>
      <c r="J647" s="132"/>
      <c r="K647" s="132"/>
      <c r="L647" s="132"/>
      <c r="M647" s="132"/>
      <c r="N647" s="132"/>
      <c r="O647" s="132"/>
      <c r="P647" s="132"/>
      <c r="Q647" s="132"/>
      <c r="R647" s="132"/>
      <c r="S647" s="132"/>
      <c r="T647" s="132"/>
      <c r="U647" s="132"/>
      <c r="V647" s="132"/>
      <c r="W647" s="132"/>
      <c r="X647" s="132"/>
      <c r="Y647" s="132"/>
      <c r="Z647" s="132"/>
    </row>
    <row r="648" spans="1:26" ht="11.25" customHeight="1" x14ac:dyDescent="0.3">
      <c r="A648" s="132"/>
      <c r="B648" s="132"/>
      <c r="C648" s="132"/>
      <c r="D648" s="132"/>
      <c r="E648" s="132"/>
      <c r="F648" s="132"/>
      <c r="G648" s="132"/>
      <c r="H648" s="132"/>
      <c r="I648" s="132"/>
      <c r="J648" s="132"/>
      <c r="K648" s="132"/>
      <c r="L648" s="132"/>
      <c r="M648" s="132"/>
      <c r="N648" s="132"/>
      <c r="O648" s="132"/>
      <c r="P648" s="132"/>
      <c r="Q648" s="132"/>
      <c r="R648" s="132"/>
      <c r="S648" s="132"/>
      <c r="T648" s="132"/>
      <c r="U648" s="132"/>
      <c r="V648" s="132"/>
      <c r="W648" s="132"/>
      <c r="X648" s="132"/>
      <c r="Y648" s="132"/>
      <c r="Z648" s="132"/>
    </row>
    <row r="649" spans="1:26" ht="11.25" customHeight="1" x14ac:dyDescent="0.3">
      <c r="A649" s="132"/>
      <c r="B649" s="132"/>
      <c r="C649" s="132"/>
      <c r="D649" s="132"/>
      <c r="E649" s="132"/>
      <c r="F649" s="132"/>
      <c r="G649" s="132"/>
      <c r="H649" s="132"/>
      <c r="I649" s="132"/>
      <c r="J649" s="132"/>
      <c r="K649" s="132"/>
      <c r="L649" s="132"/>
      <c r="M649" s="132"/>
      <c r="N649" s="132"/>
      <c r="O649" s="132"/>
      <c r="P649" s="132"/>
      <c r="Q649" s="132"/>
      <c r="R649" s="132"/>
      <c r="S649" s="132"/>
      <c r="T649" s="132"/>
      <c r="U649" s="132"/>
      <c r="V649" s="132"/>
      <c r="W649" s="132"/>
      <c r="X649" s="132"/>
      <c r="Y649" s="132"/>
      <c r="Z649" s="132"/>
    </row>
    <row r="650" spans="1:26" ht="11.25" customHeight="1" x14ac:dyDescent="0.3">
      <c r="A650" s="132"/>
      <c r="B650" s="132"/>
      <c r="C650" s="132"/>
      <c r="D650" s="132"/>
      <c r="E650" s="132"/>
      <c r="F650" s="132"/>
      <c r="G650" s="132"/>
      <c r="H650" s="132"/>
      <c r="I650" s="132"/>
      <c r="J650" s="132"/>
      <c r="K650" s="132"/>
      <c r="L650" s="132"/>
      <c r="M650" s="132"/>
      <c r="N650" s="132"/>
      <c r="O650" s="132"/>
      <c r="P650" s="132"/>
      <c r="Q650" s="132"/>
      <c r="R650" s="132"/>
      <c r="S650" s="132"/>
      <c r="T650" s="132"/>
      <c r="U650" s="132"/>
      <c r="V650" s="132"/>
      <c r="W650" s="132"/>
      <c r="X650" s="132"/>
      <c r="Y650" s="132"/>
      <c r="Z650" s="132"/>
    </row>
    <row r="651" spans="1:26" ht="11.25" customHeight="1" x14ac:dyDescent="0.3">
      <c r="A651" s="132"/>
      <c r="B651" s="132"/>
      <c r="C651" s="132"/>
      <c r="D651" s="132"/>
      <c r="E651" s="132"/>
      <c r="F651" s="132"/>
      <c r="G651" s="132"/>
      <c r="H651" s="132"/>
      <c r="I651" s="132"/>
      <c r="J651" s="132"/>
      <c r="K651" s="132"/>
      <c r="L651" s="132"/>
      <c r="M651" s="132"/>
      <c r="N651" s="132"/>
      <c r="O651" s="132"/>
      <c r="P651" s="132"/>
      <c r="Q651" s="132"/>
      <c r="R651" s="132"/>
      <c r="S651" s="132"/>
      <c r="T651" s="132"/>
      <c r="U651" s="132"/>
      <c r="V651" s="132"/>
      <c r="W651" s="132"/>
      <c r="X651" s="132"/>
      <c r="Y651" s="132"/>
      <c r="Z651" s="132"/>
    </row>
    <row r="652" spans="1:26" ht="11.25" customHeight="1" x14ac:dyDescent="0.3">
      <c r="A652" s="132"/>
      <c r="B652" s="132"/>
      <c r="C652" s="132"/>
      <c r="D652" s="132"/>
      <c r="E652" s="132"/>
      <c r="F652" s="132"/>
      <c r="G652" s="132"/>
      <c r="H652" s="132"/>
      <c r="I652" s="132"/>
      <c r="J652" s="132"/>
      <c r="K652" s="132"/>
      <c r="L652" s="132"/>
      <c r="M652" s="132"/>
      <c r="N652" s="132"/>
      <c r="O652" s="132"/>
      <c r="P652" s="132"/>
      <c r="Q652" s="132"/>
      <c r="R652" s="132"/>
      <c r="S652" s="132"/>
      <c r="T652" s="132"/>
      <c r="U652" s="132"/>
      <c r="V652" s="132"/>
      <c r="W652" s="132"/>
      <c r="X652" s="132"/>
      <c r="Y652" s="132"/>
      <c r="Z652" s="132"/>
    </row>
    <row r="653" spans="1:26" ht="11.25" customHeight="1" x14ac:dyDescent="0.3">
      <c r="A653" s="132"/>
      <c r="B653" s="132"/>
      <c r="C653" s="132"/>
      <c r="D653" s="132"/>
      <c r="E653" s="132"/>
      <c r="F653" s="132"/>
      <c r="G653" s="132"/>
      <c r="H653" s="132"/>
      <c r="I653" s="132"/>
      <c r="J653" s="132"/>
      <c r="K653" s="132"/>
      <c r="L653" s="132"/>
      <c r="M653" s="132"/>
      <c r="N653" s="132"/>
      <c r="O653" s="132"/>
      <c r="P653" s="132"/>
      <c r="Q653" s="132"/>
      <c r="R653" s="132"/>
      <c r="S653" s="132"/>
      <c r="T653" s="132"/>
      <c r="U653" s="132"/>
      <c r="V653" s="132"/>
      <c r="W653" s="132"/>
      <c r="X653" s="132"/>
      <c r="Y653" s="132"/>
      <c r="Z653" s="132"/>
    </row>
    <row r="654" spans="1:26" ht="11.25" customHeight="1" x14ac:dyDescent="0.3">
      <c r="A654" s="132"/>
      <c r="B654" s="132"/>
      <c r="C654" s="132"/>
      <c r="D654" s="132"/>
      <c r="E654" s="132"/>
      <c r="F654" s="132"/>
      <c r="G654" s="132"/>
      <c r="H654" s="132"/>
      <c r="I654" s="132"/>
      <c r="J654" s="132"/>
      <c r="K654" s="132"/>
      <c r="L654" s="132"/>
      <c r="M654" s="132"/>
      <c r="N654" s="132"/>
      <c r="O654" s="132"/>
      <c r="P654" s="132"/>
      <c r="Q654" s="132"/>
      <c r="R654" s="132"/>
      <c r="S654" s="132"/>
      <c r="T654" s="132"/>
      <c r="U654" s="132"/>
      <c r="V654" s="132"/>
      <c r="W654" s="132"/>
      <c r="X654" s="132"/>
      <c r="Y654" s="132"/>
      <c r="Z654" s="132"/>
    </row>
    <row r="655" spans="1:26" ht="11.25" customHeight="1" x14ac:dyDescent="0.3">
      <c r="A655" s="132"/>
      <c r="B655" s="132"/>
      <c r="C655" s="132"/>
      <c r="D655" s="132"/>
      <c r="E655" s="132"/>
      <c r="F655" s="132"/>
      <c r="G655" s="132"/>
      <c r="H655" s="132"/>
      <c r="I655" s="132"/>
      <c r="J655" s="132"/>
      <c r="K655" s="132"/>
      <c r="L655" s="132"/>
      <c r="M655" s="132"/>
      <c r="N655" s="132"/>
      <c r="O655" s="132"/>
      <c r="P655" s="132"/>
      <c r="Q655" s="132"/>
      <c r="R655" s="132"/>
      <c r="S655" s="132"/>
      <c r="T655" s="132"/>
      <c r="U655" s="132"/>
      <c r="V655" s="132"/>
      <c r="W655" s="132"/>
      <c r="X655" s="132"/>
      <c r="Y655" s="132"/>
      <c r="Z655" s="132"/>
    </row>
    <row r="656" spans="1:26" ht="11.25" customHeight="1" x14ac:dyDescent="0.3">
      <c r="A656" s="132"/>
      <c r="B656" s="132"/>
      <c r="C656" s="132"/>
      <c r="D656" s="132"/>
      <c r="E656" s="132"/>
      <c r="F656" s="132"/>
      <c r="G656" s="132"/>
      <c r="H656" s="132"/>
      <c r="I656" s="132"/>
      <c r="J656" s="132"/>
      <c r="K656" s="132"/>
      <c r="L656" s="132"/>
      <c r="M656" s="132"/>
      <c r="N656" s="132"/>
      <c r="O656" s="132"/>
      <c r="P656" s="132"/>
      <c r="Q656" s="132"/>
      <c r="R656" s="132"/>
      <c r="S656" s="132"/>
      <c r="T656" s="132"/>
      <c r="U656" s="132"/>
      <c r="V656" s="132"/>
      <c r="W656" s="132"/>
      <c r="X656" s="132"/>
      <c r="Y656" s="132"/>
      <c r="Z656" s="132"/>
    </row>
    <row r="657" spans="1:26" ht="11.25" customHeight="1" x14ac:dyDescent="0.3">
      <c r="A657" s="132"/>
      <c r="B657" s="132"/>
      <c r="C657" s="132"/>
      <c r="D657" s="132"/>
      <c r="E657" s="132"/>
      <c r="F657" s="132"/>
      <c r="G657" s="132"/>
      <c r="H657" s="132"/>
      <c r="I657" s="132"/>
      <c r="J657" s="132"/>
      <c r="K657" s="132"/>
      <c r="L657" s="132"/>
      <c r="M657" s="132"/>
      <c r="N657" s="132"/>
      <c r="O657" s="132"/>
      <c r="P657" s="132"/>
      <c r="Q657" s="132"/>
      <c r="R657" s="132"/>
      <c r="S657" s="132"/>
      <c r="T657" s="132"/>
      <c r="U657" s="132"/>
      <c r="V657" s="132"/>
      <c r="W657" s="132"/>
      <c r="X657" s="132"/>
      <c r="Y657" s="132"/>
      <c r="Z657" s="132"/>
    </row>
    <row r="658" spans="1:26" ht="11.25" customHeight="1" x14ac:dyDescent="0.3">
      <c r="A658" s="132"/>
      <c r="B658" s="132"/>
      <c r="C658" s="132"/>
      <c r="D658" s="132"/>
      <c r="E658" s="132"/>
      <c r="F658" s="132"/>
      <c r="G658" s="132"/>
      <c r="H658" s="132"/>
      <c r="I658" s="132"/>
      <c r="J658" s="132"/>
      <c r="K658" s="132"/>
      <c r="L658" s="132"/>
      <c r="M658" s="132"/>
      <c r="N658" s="132"/>
      <c r="O658" s="132"/>
      <c r="P658" s="132"/>
      <c r="Q658" s="132"/>
      <c r="R658" s="132"/>
      <c r="S658" s="132"/>
      <c r="T658" s="132"/>
      <c r="U658" s="132"/>
      <c r="V658" s="132"/>
      <c r="W658" s="132"/>
      <c r="X658" s="132"/>
      <c r="Y658" s="132"/>
      <c r="Z658" s="132"/>
    </row>
    <row r="659" spans="1:26" ht="11.25" customHeight="1" x14ac:dyDescent="0.3">
      <c r="A659" s="132"/>
      <c r="B659" s="132"/>
      <c r="C659" s="132"/>
      <c r="D659" s="132"/>
      <c r="E659" s="132"/>
      <c r="F659" s="132"/>
      <c r="G659" s="132"/>
      <c r="H659" s="132"/>
      <c r="I659" s="132"/>
      <c r="J659" s="132"/>
      <c r="K659" s="132"/>
      <c r="L659" s="132"/>
      <c r="M659" s="132"/>
      <c r="N659" s="132"/>
      <c r="O659" s="132"/>
      <c r="P659" s="132"/>
      <c r="Q659" s="132"/>
      <c r="R659" s="132"/>
      <c r="S659" s="132"/>
      <c r="T659" s="132"/>
      <c r="U659" s="132"/>
      <c r="V659" s="132"/>
      <c r="W659" s="132"/>
      <c r="X659" s="132"/>
      <c r="Y659" s="132"/>
      <c r="Z659" s="132"/>
    </row>
    <row r="660" spans="1:26" ht="11.25" customHeight="1" x14ac:dyDescent="0.3">
      <c r="A660" s="132"/>
      <c r="B660" s="132"/>
      <c r="C660" s="132"/>
      <c r="D660" s="132"/>
      <c r="E660" s="132"/>
      <c r="F660" s="132"/>
      <c r="G660" s="132"/>
      <c r="H660" s="132"/>
      <c r="I660" s="132"/>
      <c r="J660" s="132"/>
      <c r="K660" s="132"/>
      <c r="L660" s="132"/>
      <c r="M660" s="132"/>
      <c r="N660" s="132"/>
      <c r="O660" s="132"/>
      <c r="P660" s="132"/>
      <c r="Q660" s="132"/>
      <c r="R660" s="132"/>
      <c r="S660" s="132"/>
      <c r="T660" s="132"/>
      <c r="U660" s="132"/>
      <c r="V660" s="132"/>
      <c r="W660" s="132"/>
      <c r="X660" s="132"/>
      <c r="Y660" s="132"/>
      <c r="Z660" s="132"/>
    </row>
    <row r="661" spans="1:26" ht="11.25" customHeight="1" x14ac:dyDescent="0.3">
      <c r="A661" s="132"/>
      <c r="B661" s="132"/>
      <c r="C661" s="132"/>
      <c r="D661" s="132"/>
      <c r="E661" s="132"/>
      <c r="F661" s="132"/>
      <c r="G661" s="132"/>
      <c r="H661" s="132"/>
      <c r="I661" s="132"/>
      <c r="J661" s="132"/>
      <c r="K661" s="132"/>
      <c r="L661" s="132"/>
      <c r="M661" s="132"/>
      <c r="N661" s="132"/>
      <c r="O661" s="132"/>
      <c r="P661" s="132"/>
      <c r="Q661" s="132"/>
      <c r="R661" s="132"/>
      <c r="S661" s="132"/>
      <c r="T661" s="132"/>
      <c r="U661" s="132"/>
      <c r="V661" s="132"/>
      <c r="W661" s="132"/>
      <c r="X661" s="132"/>
      <c r="Y661" s="132"/>
      <c r="Z661" s="132"/>
    </row>
    <row r="662" spans="1:26" ht="11.25" customHeight="1" x14ac:dyDescent="0.3">
      <c r="A662" s="132"/>
      <c r="B662" s="132"/>
      <c r="C662" s="132"/>
      <c r="D662" s="132"/>
      <c r="E662" s="132"/>
      <c r="F662" s="132"/>
      <c r="G662" s="132"/>
      <c r="H662" s="132"/>
      <c r="I662" s="132"/>
      <c r="J662" s="132"/>
      <c r="K662" s="132"/>
      <c r="L662" s="132"/>
      <c r="M662" s="132"/>
      <c r="N662" s="132"/>
      <c r="O662" s="132"/>
      <c r="P662" s="132"/>
      <c r="Q662" s="132"/>
      <c r="R662" s="132"/>
      <c r="S662" s="132"/>
      <c r="T662" s="132"/>
      <c r="U662" s="132"/>
      <c r="V662" s="132"/>
      <c r="W662" s="132"/>
      <c r="X662" s="132"/>
      <c r="Y662" s="132"/>
      <c r="Z662" s="132"/>
    </row>
    <row r="663" spans="1:26" ht="11.25" customHeight="1" x14ac:dyDescent="0.3">
      <c r="A663" s="132"/>
      <c r="B663" s="132"/>
      <c r="C663" s="132"/>
      <c r="D663" s="132"/>
      <c r="E663" s="132"/>
      <c r="F663" s="132"/>
      <c r="G663" s="132"/>
      <c r="H663" s="132"/>
      <c r="I663" s="132"/>
      <c r="J663" s="132"/>
      <c r="K663" s="132"/>
      <c r="L663" s="132"/>
      <c r="M663" s="132"/>
      <c r="N663" s="132"/>
      <c r="O663" s="132"/>
      <c r="P663" s="132"/>
      <c r="Q663" s="132"/>
      <c r="R663" s="132"/>
      <c r="S663" s="132"/>
      <c r="T663" s="132"/>
      <c r="U663" s="132"/>
      <c r="V663" s="132"/>
      <c r="W663" s="132"/>
      <c r="X663" s="132"/>
      <c r="Y663" s="132"/>
      <c r="Z663" s="132"/>
    </row>
    <row r="664" spans="1:26" ht="11.25" customHeight="1" x14ac:dyDescent="0.3">
      <c r="A664" s="132"/>
      <c r="B664" s="132"/>
      <c r="C664" s="132"/>
      <c r="D664" s="132"/>
      <c r="E664" s="132"/>
      <c r="F664" s="132"/>
      <c r="G664" s="132"/>
      <c r="H664" s="132"/>
      <c r="I664" s="132"/>
      <c r="J664" s="132"/>
      <c r="K664" s="132"/>
      <c r="L664" s="132"/>
      <c r="M664" s="132"/>
      <c r="N664" s="132"/>
      <c r="O664" s="132"/>
      <c r="P664" s="132"/>
      <c r="Q664" s="132"/>
      <c r="R664" s="132"/>
      <c r="S664" s="132"/>
      <c r="T664" s="132"/>
      <c r="U664" s="132"/>
      <c r="V664" s="132"/>
      <c r="W664" s="132"/>
      <c r="X664" s="132"/>
      <c r="Y664" s="132"/>
      <c r="Z664" s="132"/>
    </row>
    <row r="665" spans="1:26" ht="11.25" customHeight="1" x14ac:dyDescent="0.3">
      <c r="A665" s="132"/>
      <c r="B665" s="132"/>
      <c r="C665" s="132"/>
      <c r="D665" s="132"/>
      <c r="E665" s="132"/>
      <c r="F665" s="132"/>
      <c r="G665" s="132"/>
      <c r="H665" s="132"/>
      <c r="I665" s="132"/>
      <c r="J665" s="132"/>
      <c r="K665" s="132"/>
      <c r="L665" s="132"/>
      <c r="M665" s="132"/>
      <c r="N665" s="132"/>
      <c r="O665" s="132"/>
      <c r="P665" s="132"/>
      <c r="Q665" s="132"/>
      <c r="R665" s="132"/>
      <c r="S665" s="132"/>
      <c r="T665" s="132"/>
      <c r="U665" s="132"/>
      <c r="V665" s="132"/>
      <c r="W665" s="132"/>
      <c r="X665" s="132"/>
      <c r="Y665" s="132"/>
      <c r="Z665" s="132"/>
    </row>
    <row r="666" spans="1:26" ht="11.25" customHeight="1" x14ac:dyDescent="0.3">
      <c r="A666" s="132"/>
      <c r="B666" s="132"/>
      <c r="C666" s="132"/>
      <c r="D666" s="132"/>
      <c r="E666" s="132"/>
      <c r="F666" s="132"/>
      <c r="G666" s="132"/>
      <c r="H666" s="132"/>
      <c r="I666" s="132"/>
      <c r="J666" s="132"/>
      <c r="K666" s="132"/>
      <c r="L666" s="132"/>
      <c r="M666" s="132"/>
      <c r="N666" s="132"/>
      <c r="O666" s="132"/>
      <c r="P666" s="132"/>
      <c r="Q666" s="132"/>
      <c r="R666" s="132"/>
      <c r="S666" s="132"/>
      <c r="T666" s="132"/>
      <c r="U666" s="132"/>
      <c r="V666" s="132"/>
      <c r="W666" s="132"/>
      <c r="X666" s="132"/>
      <c r="Y666" s="132"/>
      <c r="Z666" s="132"/>
    </row>
    <row r="667" spans="1:26" ht="11.25" customHeight="1" x14ac:dyDescent="0.3">
      <c r="A667" s="132"/>
      <c r="B667" s="132"/>
      <c r="C667" s="132"/>
      <c r="D667" s="132"/>
      <c r="E667" s="132"/>
      <c r="F667" s="132"/>
      <c r="G667" s="132"/>
      <c r="H667" s="132"/>
      <c r="I667" s="132"/>
      <c r="J667" s="132"/>
      <c r="K667" s="132"/>
      <c r="L667" s="132"/>
      <c r="M667" s="132"/>
      <c r="N667" s="132"/>
      <c r="O667" s="132"/>
      <c r="P667" s="132"/>
      <c r="Q667" s="132"/>
      <c r="R667" s="132"/>
      <c r="S667" s="132"/>
      <c r="T667" s="132"/>
      <c r="U667" s="132"/>
      <c r="V667" s="132"/>
      <c r="W667" s="132"/>
      <c r="X667" s="132"/>
      <c r="Y667" s="132"/>
      <c r="Z667" s="132"/>
    </row>
    <row r="668" spans="1:26" ht="11.25" customHeight="1" x14ac:dyDescent="0.3">
      <c r="A668" s="132"/>
      <c r="B668" s="132"/>
      <c r="C668" s="132"/>
      <c r="D668" s="132"/>
      <c r="E668" s="132"/>
      <c r="F668" s="132"/>
      <c r="G668" s="132"/>
      <c r="H668" s="132"/>
      <c r="I668" s="132"/>
      <c r="J668" s="132"/>
      <c r="K668" s="132"/>
      <c r="L668" s="132"/>
      <c r="M668" s="132"/>
      <c r="N668" s="132"/>
      <c r="O668" s="132"/>
      <c r="P668" s="132"/>
      <c r="Q668" s="132"/>
      <c r="R668" s="132"/>
      <c r="S668" s="132"/>
      <c r="T668" s="132"/>
      <c r="U668" s="132"/>
      <c r="V668" s="132"/>
      <c r="W668" s="132"/>
      <c r="X668" s="132"/>
      <c r="Y668" s="132"/>
      <c r="Z668" s="132"/>
    </row>
    <row r="669" spans="1:26" ht="11.25" customHeight="1" x14ac:dyDescent="0.3">
      <c r="A669" s="132"/>
      <c r="B669" s="132"/>
      <c r="C669" s="132"/>
      <c r="D669" s="132"/>
      <c r="E669" s="132"/>
      <c r="F669" s="132"/>
      <c r="G669" s="132"/>
      <c r="H669" s="132"/>
      <c r="I669" s="132"/>
      <c r="J669" s="132"/>
      <c r="K669" s="132"/>
      <c r="L669" s="132"/>
      <c r="M669" s="132"/>
      <c r="N669" s="132"/>
      <c r="O669" s="132"/>
      <c r="P669" s="132"/>
      <c r="Q669" s="132"/>
      <c r="R669" s="132"/>
      <c r="S669" s="132"/>
      <c r="T669" s="132"/>
      <c r="U669" s="132"/>
      <c r="V669" s="132"/>
      <c r="W669" s="132"/>
      <c r="X669" s="132"/>
      <c r="Y669" s="132"/>
      <c r="Z669" s="132"/>
    </row>
    <row r="670" spans="1:26" ht="11.25" customHeight="1" x14ac:dyDescent="0.3">
      <c r="A670" s="132"/>
      <c r="B670" s="132"/>
      <c r="C670" s="132"/>
      <c r="D670" s="132"/>
      <c r="E670" s="132"/>
      <c r="F670" s="132"/>
      <c r="G670" s="132"/>
      <c r="H670" s="132"/>
      <c r="I670" s="132"/>
      <c r="J670" s="132"/>
      <c r="K670" s="132"/>
      <c r="L670" s="132"/>
      <c r="M670" s="132"/>
      <c r="N670" s="132"/>
      <c r="O670" s="132"/>
      <c r="P670" s="132"/>
      <c r="Q670" s="132"/>
      <c r="R670" s="132"/>
      <c r="S670" s="132"/>
      <c r="T670" s="132"/>
      <c r="U670" s="132"/>
      <c r="V670" s="132"/>
      <c r="W670" s="132"/>
      <c r="X670" s="132"/>
      <c r="Y670" s="132"/>
      <c r="Z670" s="132"/>
    </row>
    <row r="671" spans="1:26" ht="11.25" customHeight="1" x14ac:dyDescent="0.3">
      <c r="A671" s="132"/>
      <c r="B671" s="132"/>
      <c r="C671" s="132"/>
      <c r="D671" s="132"/>
      <c r="E671" s="132"/>
      <c r="F671" s="132"/>
      <c r="G671" s="132"/>
      <c r="H671" s="132"/>
      <c r="I671" s="132"/>
      <c r="J671" s="132"/>
      <c r="K671" s="132"/>
      <c r="L671" s="132"/>
      <c r="M671" s="132"/>
      <c r="N671" s="132"/>
      <c r="O671" s="132"/>
      <c r="P671" s="132"/>
      <c r="Q671" s="132"/>
      <c r="R671" s="132"/>
      <c r="S671" s="132"/>
      <c r="T671" s="132"/>
      <c r="U671" s="132"/>
      <c r="V671" s="132"/>
      <c r="W671" s="132"/>
      <c r="X671" s="132"/>
      <c r="Y671" s="132"/>
      <c r="Z671" s="132"/>
    </row>
    <row r="672" spans="1:26" ht="11.25" customHeight="1" x14ac:dyDescent="0.3">
      <c r="A672" s="132"/>
      <c r="B672" s="132"/>
      <c r="C672" s="132"/>
      <c r="D672" s="132"/>
      <c r="E672" s="132"/>
      <c r="F672" s="132"/>
      <c r="G672" s="132"/>
      <c r="H672" s="132"/>
      <c r="I672" s="132"/>
      <c r="J672" s="132"/>
      <c r="K672" s="132"/>
      <c r="L672" s="132"/>
      <c r="M672" s="132"/>
      <c r="N672" s="132"/>
      <c r="O672" s="132"/>
      <c r="P672" s="132"/>
      <c r="Q672" s="132"/>
      <c r="R672" s="132"/>
      <c r="S672" s="132"/>
      <c r="T672" s="132"/>
      <c r="U672" s="132"/>
      <c r="V672" s="132"/>
      <c r="W672" s="132"/>
      <c r="X672" s="132"/>
      <c r="Y672" s="132"/>
      <c r="Z672" s="132"/>
    </row>
    <row r="673" spans="1:26" ht="11.25" customHeight="1" x14ac:dyDescent="0.3">
      <c r="A673" s="132"/>
      <c r="B673" s="132"/>
      <c r="C673" s="132"/>
      <c r="D673" s="132"/>
      <c r="E673" s="132"/>
      <c r="F673" s="132"/>
      <c r="G673" s="132"/>
      <c r="H673" s="132"/>
      <c r="I673" s="132"/>
      <c r="J673" s="132"/>
      <c r="K673" s="132"/>
      <c r="L673" s="132"/>
      <c r="M673" s="132"/>
      <c r="N673" s="132"/>
      <c r="O673" s="132"/>
      <c r="P673" s="132"/>
      <c r="Q673" s="132"/>
      <c r="R673" s="132"/>
      <c r="S673" s="132"/>
      <c r="T673" s="132"/>
      <c r="U673" s="132"/>
      <c r="V673" s="132"/>
      <c r="W673" s="132"/>
      <c r="X673" s="132"/>
      <c r="Y673" s="132"/>
      <c r="Z673" s="132"/>
    </row>
    <row r="674" spans="1:26" ht="11.25" customHeight="1" x14ac:dyDescent="0.3">
      <c r="A674" s="132"/>
      <c r="B674" s="132"/>
      <c r="C674" s="132"/>
      <c r="D674" s="132"/>
      <c r="E674" s="132"/>
      <c r="F674" s="132"/>
      <c r="G674" s="132"/>
      <c r="H674" s="132"/>
      <c r="I674" s="132"/>
      <c r="J674" s="132"/>
      <c r="K674" s="132"/>
      <c r="L674" s="132"/>
      <c r="M674" s="132"/>
      <c r="N674" s="132"/>
      <c r="O674" s="132"/>
      <c r="P674" s="132"/>
      <c r="Q674" s="132"/>
      <c r="R674" s="132"/>
      <c r="S674" s="132"/>
      <c r="T674" s="132"/>
      <c r="U674" s="132"/>
      <c r="V674" s="132"/>
      <c r="W674" s="132"/>
      <c r="X674" s="132"/>
      <c r="Y674" s="132"/>
      <c r="Z674" s="132"/>
    </row>
    <row r="675" spans="1:26" ht="11.25" customHeight="1" x14ac:dyDescent="0.3">
      <c r="A675" s="132"/>
      <c r="B675" s="132"/>
      <c r="C675" s="132"/>
      <c r="D675" s="132"/>
      <c r="E675" s="132"/>
      <c r="F675" s="132"/>
      <c r="G675" s="132"/>
      <c r="H675" s="132"/>
      <c r="I675" s="132"/>
      <c r="J675" s="132"/>
      <c r="K675" s="132"/>
      <c r="L675" s="132"/>
      <c r="M675" s="132"/>
      <c r="N675" s="132"/>
      <c r="O675" s="132"/>
      <c r="P675" s="132"/>
      <c r="Q675" s="132"/>
      <c r="R675" s="132"/>
      <c r="S675" s="132"/>
      <c r="T675" s="132"/>
      <c r="U675" s="132"/>
      <c r="V675" s="132"/>
      <c r="W675" s="132"/>
      <c r="X675" s="132"/>
      <c r="Y675" s="132"/>
      <c r="Z675" s="132"/>
    </row>
    <row r="676" spans="1:26" ht="11.25" customHeight="1" x14ac:dyDescent="0.3">
      <c r="A676" s="132"/>
      <c r="B676" s="132"/>
      <c r="C676" s="132"/>
      <c r="D676" s="132"/>
      <c r="E676" s="132"/>
      <c r="F676" s="132"/>
      <c r="G676" s="132"/>
      <c r="H676" s="132"/>
      <c r="I676" s="132"/>
      <c r="J676" s="132"/>
      <c r="K676" s="132"/>
      <c r="L676" s="132"/>
      <c r="M676" s="132"/>
      <c r="N676" s="132"/>
      <c r="O676" s="132"/>
      <c r="P676" s="132"/>
      <c r="Q676" s="132"/>
      <c r="R676" s="132"/>
      <c r="S676" s="132"/>
      <c r="T676" s="132"/>
      <c r="U676" s="132"/>
      <c r="V676" s="132"/>
      <c r="W676" s="132"/>
      <c r="X676" s="132"/>
      <c r="Y676" s="132"/>
      <c r="Z676" s="132"/>
    </row>
    <row r="677" spans="1:26" ht="11.25" customHeight="1" x14ac:dyDescent="0.3">
      <c r="A677" s="132"/>
      <c r="B677" s="132"/>
      <c r="C677" s="132"/>
      <c r="D677" s="132"/>
      <c r="E677" s="132"/>
      <c r="F677" s="132"/>
      <c r="G677" s="132"/>
      <c r="H677" s="132"/>
      <c r="I677" s="132"/>
      <c r="J677" s="132"/>
      <c r="K677" s="132"/>
      <c r="L677" s="132"/>
      <c r="M677" s="132"/>
      <c r="N677" s="132"/>
      <c r="O677" s="132"/>
      <c r="P677" s="132"/>
      <c r="Q677" s="132"/>
      <c r="R677" s="132"/>
      <c r="S677" s="132"/>
      <c r="T677" s="132"/>
      <c r="U677" s="132"/>
      <c r="V677" s="132"/>
      <c r="W677" s="132"/>
      <c r="X677" s="132"/>
      <c r="Y677" s="132"/>
      <c r="Z677" s="132"/>
    </row>
    <row r="678" spans="1:26" ht="11.25" customHeight="1" x14ac:dyDescent="0.3">
      <c r="A678" s="132"/>
      <c r="B678" s="132"/>
      <c r="C678" s="132"/>
      <c r="D678" s="132"/>
      <c r="E678" s="132"/>
      <c r="F678" s="132"/>
      <c r="G678" s="132"/>
      <c r="H678" s="132"/>
      <c r="I678" s="132"/>
      <c r="J678" s="132"/>
      <c r="K678" s="132"/>
      <c r="L678" s="132"/>
      <c r="M678" s="132"/>
      <c r="N678" s="132"/>
      <c r="O678" s="132"/>
      <c r="P678" s="132"/>
      <c r="Q678" s="132"/>
      <c r="R678" s="132"/>
      <c r="S678" s="132"/>
      <c r="T678" s="132"/>
      <c r="U678" s="132"/>
      <c r="V678" s="132"/>
      <c r="W678" s="132"/>
      <c r="X678" s="132"/>
      <c r="Y678" s="132"/>
      <c r="Z678" s="132"/>
    </row>
    <row r="679" spans="1:26" ht="11.25" customHeight="1" x14ac:dyDescent="0.3">
      <c r="A679" s="132"/>
      <c r="B679" s="132"/>
      <c r="C679" s="132"/>
      <c r="D679" s="132"/>
      <c r="E679" s="132"/>
      <c r="F679" s="132"/>
      <c r="G679" s="132"/>
      <c r="H679" s="132"/>
      <c r="I679" s="132"/>
      <c r="J679" s="132"/>
      <c r="K679" s="132"/>
      <c r="L679" s="132"/>
      <c r="M679" s="132"/>
      <c r="N679" s="132"/>
      <c r="O679" s="132"/>
      <c r="P679" s="132"/>
      <c r="Q679" s="132"/>
      <c r="R679" s="132"/>
      <c r="S679" s="132"/>
      <c r="T679" s="132"/>
      <c r="U679" s="132"/>
      <c r="V679" s="132"/>
      <c r="W679" s="132"/>
      <c r="X679" s="132"/>
      <c r="Y679" s="132"/>
      <c r="Z679" s="132"/>
    </row>
    <row r="680" spans="1:26" ht="11.25" customHeight="1" x14ac:dyDescent="0.3">
      <c r="A680" s="132"/>
      <c r="B680" s="132"/>
      <c r="C680" s="132"/>
      <c r="D680" s="132"/>
      <c r="E680" s="132"/>
      <c r="F680" s="132"/>
      <c r="G680" s="132"/>
      <c r="H680" s="132"/>
      <c r="I680" s="132"/>
      <c r="J680" s="132"/>
      <c r="K680" s="132"/>
      <c r="L680" s="132"/>
      <c r="M680" s="132"/>
      <c r="N680" s="132"/>
      <c r="O680" s="132"/>
      <c r="P680" s="132"/>
      <c r="Q680" s="132"/>
      <c r="R680" s="132"/>
      <c r="S680" s="132"/>
      <c r="T680" s="132"/>
      <c r="U680" s="132"/>
      <c r="V680" s="132"/>
      <c r="W680" s="132"/>
      <c r="X680" s="132"/>
      <c r="Y680" s="132"/>
      <c r="Z680" s="132"/>
    </row>
    <row r="681" spans="1:26" ht="11.25" customHeight="1" x14ac:dyDescent="0.3">
      <c r="A681" s="132"/>
      <c r="B681" s="132"/>
      <c r="C681" s="132"/>
      <c r="D681" s="132"/>
      <c r="E681" s="132"/>
      <c r="F681" s="132"/>
      <c r="G681" s="132"/>
      <c r="H681" s="132"/>
      <c r="I681" s="132"/>
      <c r="J681" s="132"/>
      <c r="K681" s="132"/>
      <c r="L681" s="132"/>
      <c r="M681" s="132"/>
      <c r="N681" s="132"/>
      <c r="O681" s="132"/>
      <c r="P681" s="132"/>
      <c r="Q681" s="132"/>
      <c r="R681" s="132"/>
      <c r="S681" s="132"/>
      <c r="T681" s="132"/>
      <c r="U681" s="132"/>
      <c r="V681" s="132"/>
      <c r="W681" s="132"/>
      <c r="X681" s="132"/>
      <c r="Y681" s="132"/>
      <c r="Z681" s="132"/>
    </row>
    <row r="682" spans="1:26" ht="11.25" customHeight="1" x14ac:dyDescent="0.3">
      <c r="A682" s="132"/>
      <c r="B682" s="132"/>
      <c r="C682" s="132"/>
      <c r="D682" s="132"/>
      <c r="E682" s="132"/>
      <c r="F682" s="132"/>
      <c r="G682" s="132"/>
      <c r="H682" s="132"/>
      <c r="I682" s="132"/>
      <c r="J682" s="132"/>
      <c r="K682" s="132"/>
      <c r="L682" s="132"/>
      <c r="M682" s="132"/>
      <c r="N682" s="132"/>
      <c r="O682" s="132"/>
      <c r="P682" s="132"/>
      <c r="Q682" s="132"/>
      <c r="R682" s="132"/>
      <c r="S682" s="132"/>
      <c r="T682" s="132"/>
      <c r="U682" s="132"/>
      <c r="V682" s="132"/>
      <c r="W682" s="132"/>
      <c r="X682" s="132"/>
      <c r="Y682" s="132"/>
      <c r="Z682" s="132"/>
    </row>
    <row r="683" spans="1:26" ht="11.25" customHeight="1" x14ac:dyDescent="0.3">
      <c r="A683" s="132"/>
      <c r="B683" s="132"/>
      <c r="C683" s="132"/>
      <c r="D683" s="132"/>
      <c r="E683" s="132"/>
      <c r="F683" s="132"/>
      <c r="G683" s="132"/>
      <c r="H683" s="132"/>
      <c r="I683" s="132"/>
      <c r="J683" s="132"/>
      <c r="K683" s="132"/>
      <c r="L683" s="132"/>
      <c r="M683" s="132"/>
      <c r="N683" s="132"/>
      <c r="O683" s="132"/>
      <c r="P683" s="132"/>
      <c r="Q683" s="132"/>
      <c r="R683" s="132"/>
      <c r="S683" s="132"/>
      <c r="T683" s="132"/>
      <c r="U683" s="132"/>
      <c r="V683" s="132"/>
      <c r="W683" s="132"/>
      <c r="X683" s="132"/>
      <c r="Y683" s="132"/>
      <c r="Z683" s="132"/>
    </row>
    <row r="684" spans="1:26" ht="11.25" customHeight="1" x14ac:dyDescent="0.3">
      <c r="A684" s="132"/>
      <c r="B684" s="132"/>
      <c r="C684" s="132"/>
      <c r="D684" s="132"/>
      <c r="E684" s="132"/>
      <c r="F684" s="132"/>
      <c r="G684" s="132"/>
      <c r="H684" s="132"/>
      <c r="I684" s="132"/>
      <c r="J684" s="132"/>
      <c r="K684" s="132"/>
      <c r="L684" s="132"/>
      <c r="M684" s="132"/>
      <c r="N684" s="132"/>
      <c r="O684" s="132"/>
      <c r="P684" s="132"/>
      <c r="Q684" s="132"/>
      <c r="R684" s="132"/>
      <c r="S684" s="132"/>
      <c r="T684" s="132"/>
      <c r="U684" s="132"/>
      <c r="V684" s="132"/>
      <c r="W684" s="132"/>
      <c r="X684" s="132"/>
      <c r="Y684" s="132"/>
      <c r="Z684" s="132"/>
    </row>
    <row r="685" spans="1:26" ht="11.25" customHeight="1" x14ac:dyDescent="0.3">
      <c r="A685" s="132"/>
      <c r="B685" s="132"/>
      <c r="C685" s="132"/>
      <c r="D685" s="132"/>
      <c r="E685" s="132"/>
      <c r="F685" s="132"/>
      <c r="G685" s="132"/>
      <c r="H685" s="132"/>
      <c r="I685" s="132"/>
      <c r="J685" s="132"/>
      <c r="K685" s="132"/>
      <c r="L685" s="132"/>
      <c r="M685" s="132"/>
      <c r="N685" s="132"/>
      <c r="O685" s="132"/>
      <c r="P685" s="132"/>
      <c r="Q685" s="132"/>
      <c r="R685" s="132"/>
      <c r="S685" s="132"/>
      <c r="T685" s="132"/>
      <c r="U685" s="132"/>
      <c r="V685" s="132"/>
      <c r="W685" s="132"/>
      <c r="X685" s="132"/>
      <c r="Y685" s="132"/>
      <c r="Z685" s="132"/>
    </row>
    <row r="686" spans="1:26" ht="11.25" customHeight="1" x14ac:dyDescent="0.3">
      <c r="A686" s="132"/>
      <c r="B686" s="132"/>
      <c r="C686" s="132"/>
      <c r="D686" s="132"/>
      <c r="E686" s="132"/>
      <c r="F686" s="132"/>
      <c r="G686" s="132"/>
      <c r="H686" s="132"/>
      <c r="I686" s="132"/>
      <c r="J686" s="132"/>
      <c r="K686" s="132"/>
      <c r="L686" s="132"/>
      <c r="M686" s="132"/>
      <c r="N686" s="132"/>
      <c r="O686" s="132"/>
      <c r="P686" s="132"/>
      <c r="Q686" s="132"/>
      <c r="R686" s="132"/>
      <c r="S686" s="132"/>
      <c r="T686" s="132"/>
      <c r="U686" s="132"/>
      <c r="V686" s="132"/>
      <c r="W686" s="132"/>
      <c r="X686" s="132"/>
      <c r="Y686" s="132"/>
      <c r="Z686" s="132"/>
    </row>
    <row r="687" spans="1:26" ht="11.25" customHeight="1" x14ac:dyDescent="0.3">
      <c r="A687" s="132"/>
      <c r="B687" s="132"/>
      <c r="C687" s="132"/>
      <c r="D687" s="132"/>
      <c r="E687" s="132"/>
      <c r="F687" s="132"/>
      <c r="G687" s="132"/>
      <c r="H687" s="132"/>
      <c r="I687" s="132"/>
      <c r="J687" s="132"/>
      <c r="K687" s="132"/>
      <c r="L687" s="132"/>
      <c r="M687" s="132"/>
      <c r="N687" s="132"/>
      <c r="O687" s="132"/>
      <c r="P687" s="132"/>
      <c r="Q687" s="132"/>
      <c r="R687" s="132"/>
      <c r="S687" s="132"/>
      <c r="T687" s="132"/>
      <c r="U687" s="132"/>
      <c r="V687" s="132"/>
      <c r="W687" s="132"/>
      <c r="X687" s="132"/>
      <c r="Y687" s="132"/>
      <c r="Z687" s="132"/>
    </row>
    <row r="688" spans="1:26" ht="11.25" customHeight="1" x14ac:dyDescent="0.3">
      <c r="A688" s="132"/>
      <c r="B688" s="132"/>
      <c r="C688" s="132"/>
      <c r="D688" s="132"/>
      <c r="E688" s="132"/>
      <c r="F688" s="132"/>
      <c r="G688" s="132"/>
      <c r="H688" s="132"/>
      <c r="I688" s="132"/>
      <c r="J688" s="132"/>
      <c r="K688" s="132"/>
      <c r="L688" s="132"/>
      <c r="M688" s="132"/>
      <c r="N688" s="132"/>
      <c r="O688" s="132"/>
      <c r="P688" s="132"/>
      <c r="Q688" s="132"/>
      <c r="R688" s="132"/>
      <c r="S688" s="132"/>
      <c r="T688" s="132"/>
      <c r="U688" s="132"/>
      <c r="V688" s="132"/>
      <c r="W688" s="132"/>
      <c r="X688" s="132"/>
      <c r="Y688" s="132"/>
      <c r="Z688" s="132"/>
    </row>
    <row r="689" spans="1:26" ht="11.25" customHeight="1" x14ac:dyDescent="0.3">
      <c r="A689" s="132"/>
      <c r="B689" s="132"/>
      <c r="C689" s="132"/>
      <c r="D689" s="132"/>
      <c r="E689" s="132"/>
      <c r="F689" s="132"/>
      <c r="G689" s="132"/>
      <c r="H689" s="132"/>
      <c r="I689" s="132"/>
      <c r="J689" s="132"/>
      <c r="K689" s="132"/>
      <c r="L689" s="132"/>
      <c r="M689" s="132"/>
      <c r="N689" s="132"/>
      <c r="O689" s="132"/>
      <c r="P689" s="132"/>
      <c r="Q689" s="132"/>
      <c r="R689" s="132"/>
      <c r="S689" s="132"/>
      <c r="T689" s="132"/>
      <c r="U689" s="132"/>
      <c r="V689" s="132"/>
      <c r="W689" s="132"/>
      <c r="X689" s="132"/>
      <c r="Y689" s="132"/>
      <c r="Z689" s="132"/>
    </row>
    <row r="690" spans="1:26" ht="11.25" customHeight="1" x14ac:dyDescent="0.3">
      <c r="A690" s="132"/>
      <c r="B690" s="132"/>
      <c r="C690" s="132"/>
      <c r="D690" s="132"/>
      <c r="E690" s="132"/>
      <c r="F690" s="132"/>
      <c r="G690" s="132"/>
      <c r="H690" s="132"/>
      <c r="I690" s="132"/>
      <c r="J690" s="132"/>
      <c r="K690" s="132"/>
      <c r="L690" s="132"/>
      <c r="M690" s="132"/>
      <c r="N690" s="132"/>
      <c r="O690" s="132"/>
      <c r="P690" s="132"/>
      <c r="Q690" s="132"/>
      <c r="R690" s="132"/>
      <c r="S690" s="132"/>
      <c r="T690" s="132"/>
      <c r="U690" s="132"/>
      <c r="V690" s="132"/>
      <c r="W690" s="132"/>
      <c r="X690" s="132"/>
      <c r="Y690" s="132"/>
      <c r="Z690" s="132"/>
    </row>
    <row r="691" spans="1:26" ht="11.25" customHeight="1" x14ac:dyDescent="0.3">
      <c r="A691" s="132"/>
      <c r="B691" s="132"/>
      <c r="C691" s="132"/>
      <c r="D691" s="132"/>
      <c r="E691" s="132"/>
      <c r="F691" s="132"/>
      <c r="G691" s="132"/>
      <c r="H691" s="132"/>
      <c r="I691" s="132"/>
      <c r="J691" s="132"/>
      <c r="K691" s="132"/>
      <c r="L691" s="132"/>
      <c r="M691" s="132"/>
      <c r="N691" s="132"/>
      <c r="O691" s="132"/>
      <c r="P691" s="132"/>
      <c r="Q691" s="132"/>
      <c r="R691" s="132"/>
      <c r="S691" s="132"/>
      <c r="T691" s="132"/>
      <c r="U691" s="132"/>
      <c r="V691" s="132"/>
      <c r="W691" s="132"/>
      <c r="X691" s="132"/>
      <c r="Y691" s="132"/>
      <c r="Z691" s="132"/>
    </row>
    <row r="692" spans="1:26" ht="11.25" customHeight="1" x14ac:dyDescent="0.3">
      <c r="A692" s="132"/>
      <c r="B692" s="132"/>
      <c r="C692" s="132"/>
      <c r="D692" s="132"/>
      <c r="E692" s="132"/>
      <c r="F692" s="132"/>
      <c r="G692" s="132"/>
      <c r="H692" s="132"/>
      <c r="I692" s="132"/>
      <c r="J692" s="132"/>
      <c r="K692" s="132"/>
      <c r="L692" s="132"/>
      <c r="M692" s="132"/>
      <c r="N692" s="132"/>
      <c r="O692" s="132"/>
      <c r="P692" s="132"/>
      <c r="Q692" s="132"/>
      <c r="R692" s="132"/>
      <c r="S692" s="132"/>
      <c r="T692" s="132"/>
      <c r="U692" s="132"/>
      <c r="V692" s="132"/>
      <c r="W692" s="132"/>
      <c r="X692" s="132"/>
      <c r="Y692" s="132"/>
      <c r="Z692" s="132"/>
    </row>
    <row r="693" spans="1:26" ht="11.25" customHeight="1" x14ac:dyDescent="0.3">
      <c r="A693" s="132"/>
      <c r="B693" s="132"/>
      <c r="C693" s="132"/>
      <c r="D693" s="132"/>
      <c r="E693" s="132"/>
      <c r="F693" s="132"/>
      <c r="G693" s="132"/>
      <c r="H693" s="132"/>
      <c r="I693" s="132"/>
      <c r="J693" s="132"/>
      <c r="K693" s="132"/>
      <c r="L693" s="132"/>
      <c r="M693" s="132"/>
      <c r="N693" s="132"/>
      <c r="O693" s="132"/>
      <c r="P693" s="132"/>
      <c r="Q693" s="132"/>
      <c r="R693" s="132"/>
      <c r="S693" s="132"/>
      <c r="T693" s="132"/>
      <c r="U693" s="132"/>
      <c r="V693" s="132"/>
      <c r="W693" s="132"/>
      <c r="X693" s="132"/>
      <c r="Y693" s="132"/>
      <c r="Z693" s="132"/>
    </row>
    <row r="694" spans="1:26" ht="11.25" customHeight="1" x14ac:dyDescent="0.3">
      <c r="A694" s="132"/>
      <c r="B694" s="132"/>
      <c r="C694" s="132"/>
      <c r="D694" s="132"/>
      <c r="E694" s="132"/>
      <c r="F694" s="132"/>
      <c r="G694" s="132"/>
      <c r="H694" s="132"/>
      <c r="I694" s="132"/>
      <c r="J694" s="132"/>
      <c r="K694" s="132"/>
      <c r="L694" s="132"/>
      <c r="M694" s="132"/>
      <c r="N694" s="132"/>
      <c r="O694" s="132"/>
      <c r="P694" s="132"/>
      <c r="Q694" s="132"/>
      <c r="R694" s="132"/>
      <c r="S694" s="132"/>
      <c r="T694" s="132"/>
      <c r="U694" s="132"/>
      <c r="V694" s="132"/>
      <c r="W694" s="132"/>
      <c r="X694" s="132"/>
      <c r="Y694" s="132"/>
      <c r="Z694" s="132"/>
    </row>
    <row r="695" spans="1:26" ht="11.25" customHeight="1" x14ac:dyDescent="0.3">
      <c r="A695" s="132"/>
      <c r="B695" s="132"/>
      <c r="C695" s="132"/>
      <c r="D695" s="132"/>
      <c r="E695" s="132"/>
      <c r="F695" s="132"/>
      <c r="G695" s="132"/>
      <c r="H695" s="132"/>
      <c r="I695" s="132"/>
      <c r="J695" s="132"/>
      <c r="K695" s="132"/>
      <c r="L695" s="132"/>
      <c r="M695" s="132"/>
      <c r="N695" s="132"/>
      <c r="O695" s="132"/>
      <c r="P695" s="132"/>
      <c r="Q695" s="132"/>
      <c r="R695" s="132"/>
      <c r="S695" s="132"/>
      <c r="T695" s="132"/>
      <c r="U695" s="132"/>
      <c r="V695" s="132"/>
      <c r="W695" s="132"/>
      <c r="X695" s="132"/>
      <c r="Y695" s="132"/>
      <c r="Z695" s="132"/>
    </row>
    <row r="696" spans="1:26" ht="11.25" customHeight="1" x14ac:dyDescent="0.3">
      <c r="A696" s="132"/>
      <c r="B696" s="132"/>
      <c r="C696" s="132"/>
      <c r="D696" s="132"/>
      <c r="E696" s="132"/>
      <c r="F696" s="132"/>
      <c r="G696" s="132"/>
      <c r="H696" s="132"/>
      <c r="I696" s="132"/>
      <c r="J696" s="132"/>
      <c r="K696" s="132"/>
      <c r="L696" s="132"/>
      <c r="M696" s="132"/>
      <c r="N696" s="132"/>
      <c r="O696" s="132"/>
      <c r="P696" s="132"/>
      <c r="Q696" s="132"/>
      <c r="R696" s="132"/>
      <c r="S696" s="132"/>
      <c r="T696" s="132"/>
      <c r="U696" s="132"/>
      <c r="V696" s="132"/>
      <c r="W696" s="132"/>
      <c r="X696" s="132"/>
      <c r="Y696" s="132"/>
      <c r="Z696" s="132"/>
    </row>
    <row r="697" spans="1:26" ht="11.25" customHeight="1" x14ac:dyDescent="0.3">
      <c r="A697" s="132"/>
      <c r="B697" s="132"/>
      <c r="C697" s="132"/>
      <c r="D697" s="132"/>
      <c r="E697" s="132"/>
      <c r="F697" s="132"/>
      <c r="G697" s="132"/>
      <c r="H697" s="132"/>
      <c r="I697" s="132"/>
      <c r="J697" s="132"/>
      <c r="K697" s="132"/>
      <c r="L697" s="132"/>
      <c r="M697" s="132"/>
      <c r="N697" s="132"/>
      <c r="O697" s="132"/>
      <c r="P697" s="132"/>
      <c r="Q697" s="132"/>
      <c r="R697" s="132"/>
      <c r="S697" s="132"/>
      <c r="T697" s="132"/>
      <c r="U697" s="132"/>
      <c r="V697" s="132"/>
      <c r="W697" s="132"/>
      <c r="X697" s="132"/>
      <c r="Y697" s="132"/>
      <c r="Z697" s="132"/>
    </row>
    <row r="698" spans="1:26" ht="11.25" customHeight="1" x14ac:dyDescent="0.3">
      <c r="A698" s="132"/>
      <c r="B698" s="132"/>
      <c r="C698" s="132"/>
      <c r="D698" s="132"/>
      <c r="E698" s="132"/>
      <c r="F698" s="132"/>
      <c r="G698" s="132"/>
      <c r="H698" s="132"/>
      <c r="I698" s="132"/>
      <c r="J698" s="132"/>
      <c r="K698" s="132"/>
      <c r="L698" s="132"/>
      <c r="M698" s="132"/>
      <c r="N698" s="132"/>
      <c r="O698" s="132"/>
      <c r="P698" s="132"/>
      <c r="Q698" s="132"/>
      <c r="R698" s="132"/>
      <c r="S698" s="132"/>
      <c r="T698" s="132"/>
      <c r="U698" s="132"/>
      <c r="V698" s="132"/>
      <c r="W698" s="132"/>
      <c r="X698" s="132"/>
      <c r="Y698" s="132"/>
      <c r="Z698" s="132"/>
    </row>
    <row r="699" spans="1:26" ht="11.25" customHeight="1" x14ac:dyDescent="0.3">
      <c r="A699" s="132"/>
      <c r="B699" s="132"/>
      <c r="C699" s="132"/>
      <c r="D699" s="132"/>
      <c r="E699" s="132"/>
      <c r="F699" s="132"/>
      <c r="G699" s="132"/>
      <c r="H699" s="132"/>
      <c r="I699" s="132"/>
      <c r="J699" s="132"/>
      <c r="K699" s="132"/>
      <c r="L699" s="132"/>
      <c r="M699" s="132"/>
      <c r="N699" s="132"/>
      <c r="O699" s="132"/>
      <c r="P699" s="132"/>
      <c r="Q699" s="132"/>
      <c r="R699" s="132"/>
      <c r="S699" s="132"/>
      <c r="T699" s="132"/>
      <c r="U699" s="132"/>
      <c r="V699" s="132"/>
      <c r="W699" s="132"/>
      <c r="X699" s="132"/>
      <c r="Y699" s="132"/>
      <c r="Z699" s="132"/>
    </row>
    <row r="700" spans="1:26" ht="11.25" customHeight="1" x14ac:dyDescent="0.3">
      <c r="A700" s="132"/>
      <c r="B700" s="132"/>
      <c r="C700" s="132"/>
      <c r="D700" s="132"/>
      <c r="E700" s="132"/>
      <c r="F700" s="132"/>
      <c r="G700" s="132"/>
      <c r="H700" s="132"/>
      <c r="I700" s="132"/>
      <c r="J700" s="132"/>
      <c r="K700" s="132"/>
      <c r="L700" s="132"/>
      <c r="M700" s="132"/>
      <c r="N700" s="132"/>
      <c r="O700" s="132"/>
      <c r="P700" s="132"/>
      <c r="Q700" s="132"/>
      <c r="R700" s="132"/>
      <c r="S700" s="132"/>
      <c r="T700" s="132"/>
      <c r="U700" s="132"/>
      <c r="V700" s="132"/>
      <c r="W700" s="132"/>
      <c r="X700" s="132"/>
      <c r="Y700" s="132"/>
      <c r="Z700" s="132"/>
    </row>
    <row r="701" spans="1:26" ht="11.25" customHeight="1" x14ac:dyDescent="0.3">
      <c r="A701" s="132"/>
      <c r="B701" s="132"/>
      <c r="C701" s="132"/>
      <c r="D701" s="132"/>
      <c r="E701" s="132"/>
      <c r="F701" s="132"/>
      <c r="G701" s="132"/>
      <c r="H701" s="132"/>
      <c r="I701" s="132"/>
      <c r="J701" s="132"/>
      <c r="K701" s="132"/>
      <c r="L701" s="132"/>
      <c r="M701" s="132"/>
      <c r="N701" s="132"/>
      <c r="O701" s="132"/>
      <c r="P701" s="132"/>
      <c r="Q701" s="132"/>
      <c r="R701" s="132"/>
      <c r="S701" s="132"/>
      <c r="T701" s="132"/>
      <c r="U701" s="132"/>
      <c r="V701" s="132"/>
      <c r="W701" s="132"/>
      <c r="X701" s="132"/>
      <c r="Y701" s="132"/>
      <c r="Z701" s="132"/>
    </row>
    <row r="702" spans="1:26" ht="11.25" customHeight="1" x14ac:dyDescent="0.3">
      <c r="A702" s="132"/>
      <c r="B702" s="132"/>
      <c r="C702" s="132"/>
      <c r="D702" s="132"/>
      <c r="E702" s="132"/>
      <c r="F702" s="132"/>
      <c r="G702" s="132"/>
      <c r="H702" s="132"/>
      <c r="I702" s="132"/>
      <c r="J702" s="132"/>
      <c r="K702" s="132"/>
      <c r="L702" s="132"/>
      <c r="M702" s="132"/>
      <c r="N702" s="132"/>
      <c r="O702" s="132"/>
      <c r="P702" s="132"/>
      <c r="Q702" s="132"/>
      <c r="R702" s="132"/>
      <c r="S702" s="132"/>
      <c r="T702" s="132"/>
      <c r="U702" s="132"/>
      <c r="V702" s="132"/>
      <c r="W702" s="132"/>
      <c r="X702" s="132"/>
      <c r="Y702" s="132"/>
      <c r="Z702" s="132"/>
    </row>
    <row r="703" spans="1:26" ht="11.25" customHeight="1" x14ac:dyDescent="0.3">
      <c r="A703" s="132"/>
      <c r="B703" s="132"/>
      <c r="C703" s="132"/>
      <c r="D703" s="132"/>
      <c r="E703" s="132"/>
      <c r="F703" s="132"/>
      <c r="G703" s="132"/>
      <c r="H703" s="132"/>
      <c r="I703" s="132"/>
      <c r="J703" s="132"/>
      <c r="K703" s="132"/>
      <c r="L703" s="132"/>
      <c r="M703" s="132"/>
      <c r="N703" s="132"/>
      <c r="O703" s="132"/>
      <c r="P703" s="132"/>
      <c r="Q703" s="132"/>
      <c r="R703" s="132"/>
      <c r="S703" s="132"/>
      <c r="T703" s="132"/>
      <c r="U703" s="132"/>
      <c r="V703" s="132"/>
      <c r="W703" s="132"/>
      <c r="X703" s="132"/>
      <c r="Y703" s="132"/>
      <c r="Z703" s="132"/>
    </row>
    <row r="704" spans="1:26" ht="11.25" customHeight="1" x14ac:dyDescent="0.3">
      <c r="A704" s="132"/>
      <c r="B704" s="132"/>
      <c r="C704" s="132"/>
      <c r="D704" s="132"/>
      <c r="E704" s="132"/>
      <c r="F704" s="132"/>
      <c r="G704" s="132"/>
      <c r="H704" s="132"/>
      <c r="I704" s="132"/>
      <c r="J704" s="132"/>
      <c r="K704" s="132"/>
      <c r="L704" s="132"/>
      <c r="M704" s="132"/>
      <c r="N704" s="132"/>
      <c r="O704" s="132"/>
      <c r="P704" s="132"/>
      <c r="Q704" s="132"/>
      <c r="R704" s="132"/>
      <c r="S704" s="132"/>
      <c r="T704" s="132"/>
      <c r="U704" s="132"/>
      <c r="V704" s="132"/>
      <c r="W704" s="132"/>
      <c r="X704" s="132"/>
      <c r="Y704" s="132"/>
      <c r="Z704" s="132"/>
    </row>
    <row r="705" spans="1:26" ht="11.25" customHeight="1" x14ac:dyDescent="0.3">
      <c r="A705" s="132"/>
      <c r="B705" s="132"/>
      <c r="C705" s="132"/>
      <c r="D705" s="132"/>
      <c r="E705" s="132"/>
      <c r="F705" s="132"/>
      <c r="G705" s="132"/>
      <c r="H705" s="132"/>
      <c r="I705" s="132"/>
      <c r="J705" s="132"/>
      <c r="K705" s="132"/>
      <c r="L705" s="132"/>
      <c r="M705" s="132"/>
      <c r="N705" s="132"/>
      <c r="O705" s="132"/>
      <c r="P705" s="132"/>
      <c r="Q705" s="132"/>
      <c r="R705" s="132"/>
      <c r="S705" s="132"/>
      <c r="T705" s="132"/>
      <c r="U705" s="132"/>
      <c r="V705" s="132"/>
      <c r="W705" s="132"/>
      <c r="X705" s="132"/>
      <c r="Y705" s="132"/>
      <c r="Z705" s="132"/>
    </row>
    <row r="706" spans="1:26" ht="11.25" customHeight="1" x14ac:dyDescent="0.3">
      <c r="A706" s="132"/>
      <c r="B706" s="132"/>
      <c r="C706" s="132"/>
      <c r="D706" s="132"/>
      <c r="E706" s="132"/>
      <c r="F706" s="132"/>
      <c r="G706" s="132"/>
      <c r="H706" s="132"/>
      <c r="I706" s="132"/>
      <c r="J706" s="132"/>
      <c r="K706" s="132"/>
      <c r="L706" s="132"/>
      <c r="M706" s="132"/>
      <c r="N706" s="132"/>
      <c r="O706" s="132"/>
      <c r="P706" s="132"/>
      <c r="Q706" s="132"/>
      <c r="R706" s="132"/>
      <c r="S706" s="132"/>
      <c r="T706" s="132"/>
      <c r="U706" s="132"/>
      <c r="V706" s="132"/>
      <c r="W706" s="132"/>
      <c r="X706" s="132"/>
      <c r="Y706" s="132"/>
      <c r="Z706" s="132"/>
    </row>
    <row r="707" spans="1:26" ht="11.25" customHeight="1" x14ac:dyDescent="0.3">
      <c r="A707" s="132"/>
      <c r="B707" s="132"/>
      <c r="C707" s="132"/>
      <c r="D707" s="132"/>
      <c r="E707" s="132"/>
      <c r="F707" s="132"/>
      <c r="G707" s="132"/>
      <c r="H707" s="132"/>
      <c r="I707" s="132"/>
      <c r="J707" s="132"/>
      <c r="K707" s="132"/>
      <c r="L707" s="132"/>
      <c r="M707" s="132"/>
      <c r="N707" s="132"/>
      <c r="O707" s="132"/>
      <c r="P707" s="132"/>
      <c r="Q707" s="132"/>
      <c r="R707" s="132"/>
      <c r="S707" s="132"/>
      <c r="T707" s="132"/>
      <c r="U707" s="132"/>
      <c r="V707" s="132"/>
      <c r="W707" s="132"/>
      <c r="X707" s="132"/>
      <c r="Y707" s="132"/>
      <c r="Z707" s="132"/>
    </row>
    <row r="708" spans="1:26" ht="11.25" customHeight="1" x14ac:dyDescent="0.3">
      <c r="A708" s="132"/>
      <c r="B708" s="132"/>
      <c r="C708" s="132"/>
      <c r="D708" s="132"/>
      <c r="E708" s="132"/>
      <c r="F708" s="132"/>
      <c r="G708" s="132"/>
      <c r="H708" s="132"/>
      <c r="I708" s="132"/>
      <c r="J708" s="132"/>
      <c r="K708" s="132"/>
      <c r="L708" s="132"/>
      <c r="M708" s="132"/>
      <c r="N708" s="132"/>
      <c r="O708" s="132"/>
      <c r="P708" s="132"/>
      <c r="Q708" s="132"/>
      <c r="R708" s="132"/>
      <c r="S708" s="132"/>
      <c r="T708" s="132"/>
      <c r="U708" s="132"/>
      <c r="V708" s="132"/>
      <c r="W708" s="132"/>
      <c r="X708" s="132"/>
      <c r="Y708" s="132"/>
      <c r="Z708" s="132"/>
    </row>
    <row r="709" spans="1:26" ht="11.25" customHeight="1" x14ac:dyDescent="0.3">
      <c r="A709" s="132"/>
      <c r="B709" s="132"/>
      <c r="C709" s="132"/>
      <c r="D709" s="132"/>
      <c r="E709" s="132"/>
      <c r="F709" s="132"/>
      <c r="G709" s="132"/>
      <c r="H709" s="132"/>
      <c r="I709" s="132"/>
      <c r="J709" s="132"/>
      <c r="K709" s="132"/>
      <c r="L709" s="132"/>
      <c r="M709" s="132"/>
      <c r="N709" s="132"/>
      <c r="O709" s="132"/>
      <c r="P709" s="132"/>
      <c r="Q709" s="132"/>
      <c r="R709" s="132"/>
      <c r="S709" s="132"/>
      <c r="T709" s="132"/>
      <c r="U709" s="132"/>
      <c r="V709" s="132"/>
      <c r="W709" s="132"/>
      <c r="X709" s="132"/>
      <c r="Y709" s="132"/>
      <c r="Z709" s="132"/>
    </row>
    <row r="710" spans="1:26" ht="11.25" customHeight="1" x14ac:dyDescent="0.3">
      <c r="A710" s="132"/>
      <c r="B710" s="132"/>
      <c r="C710" s="132"/>
      <c r="D710" s="132"/>
      <c r="E710" s="132"/>
      <c r="F710" s="132"/>
      <c r="G710" s="132"/>
      <c r="H710" s="132"/>
      <c r="I710" s="132"/>
      <c r="J710" s="132"/>
      <c r="K710" s="132"/>
      <c r="L710" s="132"/>
      <c r="M710" s="132"/>
      <c r="N710" s="132"/>
      <c r="O710" s="132"/>
      <c r="P710" s="132"/>
      <c r="Q710" s="132"/>
      <c r="R710" s="132"/>
      <c r="S710" s="132"/>
      <c r="T710" s="132"/>
      <c r="U710" s="132"/>
      <c r="V710" s="132"/>
      <c r="W710" s="132"/>
      <c r="X710" s="132"/>
      <c r="Y710" s="132"/>
      <c r="Z710" s="132"/>
    </row>
    <row r="711" spans="1:26" ht="11.25" customHeight="1" x14ac:dyDescent="0.3">
      <c r="A711" s="132"/>
      <c r="B711" s="132"/>
      <c r="C711" s="132"/>
      <c r="D711" s="132"/>
      <c r="E711" s="132"/>
      <c r="F711" s="132"/>
      <c r="G711" s="132"/>
      <c r="H711" s="132"/>
      <c r="I711" s="132"/>
      <c r="J711" s="132"/>
      <c r="K711" s="132"/>
      <c r="L711" s="132"/>
      <c r="M711" s="132"/>
      <c r="N711" s="132"/>
      <c r="O711" s="132"/>
      <c r="P711" s="132"/>
      <c r="Q711" s="132"/>
      <c r="R711" s="132"/>
      <c r="S711" s="132"/>
      <c r="T711" s="132"/>
      <c r="U711" s="132"/>
      <c r="V711" s="132"/>
      <c r="W711" s="132"/>
      <c r="X711" s="132"/>
      <c r="Y711" s="132"/>
      <c r="Z711" s="132"/>
    </row>
    <row r="712" spans="1:26" ht="11.25" customHeight="1" x14ac:dyDescent="0.3">
      <c r="A712" s="132"/>
      <c r="B712" s="132"/>
      <c r="C712" s="132"/>
      <c r="D712" s="132"/>
      <c r="E712" s="132"/>
      <c r="F712" s="132"/>
      <c r="G712" s="132"/>
      <c r="H712" s="132"/>
      <c r="I712" s="132"/>
      <c r="J712" s="132"/>
      <c r="K712" s="132"/>
      <c r="L712" s="132"/>
      <c r="M712" s="132"/>
      <c r="N712" s="132"/>
      <c r="O712" s="132"/>
      <c r="P712" s="132"/>
      <c r="Q712" s="132"/>
      <c r="R712" s="132"/>
      <c r="S712" s="132"/>
      <c r="T712" s="132"/>
      <c r="U712" s="132"/>
      <c r="V712" s="132"/>
      <c r="W712" s="132"/>
      <c r="X712" s="132"/>
      <c r="Y712" s="132"/>
      <c r="Z712" s="132"/>
    </row>
    <row r="713" spans="1:26" ht="11.25" customHeight="1" x14ac:dyDescent="0.3">
      <c r="A713" s="132"/>
      <c r="B713" s="132"/>
      <c r="C713" s="132"/>
      <c r="D713" s="132"/>
      <c r="E713" s="132"/>
      <c r="F713" s="132"/>
      <c r="G713" s="132"/>
      <c r="H713" s="132"/>
      <c r="I713" s="132"/>
      <c r="J713" s="132"/>
      <c r="K713" s="132"/>
      <c r="L713" s="132"/>
      <c r="M713" s="132"/>
      <c r="N713" s="132"/>
      <c r="O713" s="132"/>
      <c r="P713" s="132"/>
      <c r="Q713" s="132"/>
      <c r="R713" s="132"/>
      <c r="S713" s="132"/>
      <c r="T713" s="132"/>
      <c r="U713" s="132"/>
      <c r="V713" s="132"/>
      <c r="W713" s="132"/>
      <c r="X713" s="132"/>
      <c r="Y713" s="132"/>
      <c r="Z713" s="132"/>
    </row>
    <row r="714" spans="1:26" ht="11.25" customHeight="1" x14ac:dyDescent="0.3">
      <c r="A714" s="132"/>
      <c r="B714" s="132"/>
      <c r="C714" s="132"/>
      <c r="D714" s="132"/>
      <c r="E714" s="132"/>
      <c r="F714" s="132"/>
      <c r="G714" s="132"/>
      <c r="H714" s="132"/>
      <c r="I714" s="132"/>
      <c r="J714" s="132"/>
      <c r="K714" s="132"/>
      <c r="L714" s="132"/>
      <c r="M714" s="132"/>
      <c r="N714" s="132"/>
      <c r="O714" s="132"/>
      <c r="P714" s="132"/>
      <c r="Q714" s="132"/>
      <c r="R714" s="132"/>
      <c r="S714" s="132"/>
      <c r="T714" s="132"/>
      <c r="U714" s="132"/>
      <c r="V714" s="132"/>
      <c r="W714" s="132"/>
      <c r="X714" s="132"/>
      <c r="Y714" s="132"/>
      <c r="Z714" s="132"/>
    </row>
    <row r="715" spans="1:26" ht="11.25" customHeight="1" x14ac:dyDescent="0.3">
      <c r="A715" s="132"/>
      <c r="B715" s="132"/>
      <c r="C715" s="132"/>
      <c r="D715" s="132"/>
      <c r="E715" s="132"/>
      <c r="F715" s="132"/>
      <c r="G715" s="132"/>
      <c r="H715" s="132"/>
      <c r="I715" s="132"/>
      <c r="J715" s="132"/>
      <c r="K715" s="132"/>
      <c r="L715" s="132"/>
      <c r="M715" s="132"/>
      <c r="N715" s="132"/>
      <c r="O715" s="132"/>
      <c r="P715" s="132"/>
      <c r="Q715" s="132"/>
      <c r="R715" s="132"/>
      <c r="S715" s="132"/>
      <c r="T715" s="132"/>
      <c r="U715" s="132"/>
      <c r="V715" s="132"/>
      <c r="W715" s="132"/>
      <c r="X715" s="132"/>
      <c r="Y715" s="132"/>
      <c r="Z715" s="132"/>
    </row>
    <row r="716" spans="1:26" ht="11.25" customHeight="1" x14ac:dyDescent="0.3">
      <c r="A716" s="132"/>
      <c r="B716" s="132"/>
      <c r="C716" s="132"/>
      <c r="D716" s="132"/>
      <c r="E716" s="132"/>
      <c r="F716" s="132"/>
      <c r="G716" s="132"/>
      <c r="H716" s="132"/>
      <c r="I716" s="132"/>
      <c r="J716" s="132"/>
      <c r="K716" s="132"/>
      <c r="L716" s="132"/>
      <c r="M716" s="132"/>
      <c r="N716" s="132"/>
      <c r="O716" s="132"/>
      <c r="P716" s="132"/>
      <c r="Q716" s="132"/>
      <c r="R716" s="132"/>
      <c r="S716" s="132"/>
      <c r="T716" s="132"/>
      <c r="U716" s="132"/>
      <c r="V716" s="132"/>
      <c r="W716" s="132"/>
      <c r="X716" s="132"/>
      <c r="Y716" s="132"/>
      <c r="Z716" s="132"/>
    </row>
    <row r="717" spans="1:26" ht="11.25" customHeight="1" x14ac:dyDescent="0.3">
      <c r="A717" s="132"/>
      <c r="B717" s="132"/>
      <c r="C717" s="132"/>
      <c r="D717" s="132"/>
      <c r="E717" s="132"/>
      <c r="F717" s="132"/>
      <c r="G717" s="132"/>
      <c r="H717" s="132"/>
      <c r="I717" s="132"/>
      <c r="J717" s="132"/>
      <c r="K717" s="132"/>
      <c r="L717" s="132"/>
      <c r="M717" s="132"/>
      <c r="N717" s="132"/>
      <c r="O717" s="132"/>
      <c r="P717" s="132"/>
      <c r="Q717" s="132"/>
      <c r="R717" s="132"/>
      <c r="S717" s="132"/>
      <c r="T717" s="132"/>
      <c r="U717" s="132"/>
      <c r="V717" s="132"/>
      <c r="W717" s="132"/>
      <c r="X717" s="132"/>
      <c r="Y717" s="132"/>
      <c r="Z717" s="132"/>
    </row>
    <row r="718" spans="1:26" ht="11.25" customHeight="1" x14ac:dyDescent="0.3">
      <c r="A718" s="132"/>
      <c r="B718" s="132"/>
      <c r="C718" s="132"/>
      <c r="D718" s="132"/>
      <c r="E718" s="132"/>
      <c r="F718" s="132"/>
      <c r="G718" s="132"/>
      <c r="H718" s="132"/>
      <c r="I718" s="132"/>
      <c r="J718" s="132"/>
      <c r="K718" s="132"/>
      <c r="L718" s="132"/>
      <c r="M718" s="132"/>
      <c r="N718" s="132"/>
      <c r="O718" s="132"/>
      <c r="P718" s="132"/>
      <c r="Q718" s="132"/>
      <c r="R718" s="132"/>
      <c r="S718" s="132"/>
      <c r="T718" s="132"/>
      <c r="U718" s="132"/>
      <c r="V718" s="132"/>
      <c r="W718" s="132"/>
      <c r="X718" s="132"/>
      <c r="Y718" s="132"/>
      <c r="Z718" s="132"/>
    </row>
    <row r="719" spans="1:26" ht="11.25" customHeight="1" x14ac:dyDescent="0.3">
      <c r="A719" s="132"/>
      <c r="B719" s="132"/>
      <c r="C719" s="132"/>
      <c r="D719" s="132"/>
      <c r="E719" s="132"/>
      <c r="F719" s="132"/>
      <c r="G719" s="132"/>
      <c r="H719" s="132"/>
      <c r="I719" s="132"/>
      <c r="J719" s="132"/>
      <c r="K719" s="132"/>
      <c r="L719" s="132"/>
      <c r="M719" s="132"/>
      <c r="N719" s="132"/>
      <c r="O719" s="132"/>
      <c r="P719" s="132"/>
      <c r="Q719" s="132"/>
      <c r="R719" s="132"/>
      <c r="S719" s="132"/>
      <c r="T719" s="132"/>
      <c r="U719" s="132"/>
      <c r="V719" s="132"/>
      <c r="W719" s="132"/>
      <c r="X719" s="132"/>
      <c r="Y719" s="132"/>
      <c r="Z719" s="132"/>
    </row>
    <row r="720" spans="1:26" ht="11.25" customHeight="1" x14ac:dyDescent="0.3">
      <c r="A720" s="132"/>
      <c r="B720" s="132"/>
      <c r="C720" s="132"/>
      <c r="D720" s="132"/>
      <c r="E720" s="132"/>
      <c r="F720" s="132"/>
      <c r="G720" s="132"/>
      <c r="H720" s="132"/>
      <c r="I720" s="132"/>
      <c r="J720" s="132"/>
      <c r="K720" s="132"/>
      <c r="L720" s="132"/>
      <c r="M720" s="132"/>
      <c r="N720" s="132"/>
      <c r="O720" s="132"/>
      <c r="P720" s="132"/>
      <c r="Q720" s="132"/>
      <c r="R720" s="132"/>
      <c r="S720" s="132"/>
      <c r="T720" s="132"/>
      <c r="U720" s="132"/>
      <c r="V720" s="132"/>
      <c r="W720" s="132"/>
      <c r="X720" s="132"/>
      <c r="Y720" s="132"/>
      <c r="Z720" s="132"/>
    </row>
    <row r="721" spans="1:26" ht="11.25" customHeight="1" x14ac:dyDescent="0.3">
      <c r="A721" s="132"/>
      <c r="B721" s="132"/>
      <c r="C721" s="132"/>
      <c r="D721" s="132"/>
      <c r="E721" s="132"/>
      <c r="F721" s="132"/>
      <c r="G721" s="132"/>
      <c r="H721" s="132"/>
      <c r="I721" s="132"/>
      <c r="J721" s="132"/>
      <c r="K721" s="132"/>
      <c r="L721" s="132"/>
      <c r="M721" s="132"/>
      <c r="N721" s="132"/>
      <c r="O721" s="132"/>
      <c r="P721" s="132"/>
      <c r="Q721" s="132"/>
      <c r="R721" s="132"/>
      <c r="S721" s="132"/>
      <c r="T721" s="132"/>
      <c r="U721" s="132"/>
      <c r="V721" s="132"/>
      <c r="W721" s="132"/>
      <c r="X721" s="132"/>
      <c r="Y721" s="132"/>
      <c r="Z721" s="132"/>
    </row>
    <row r="722" spans="1:26" ht="11.25" customHeight="1" x14ac:dyDescent="0.3">
      <c r="A722" s="132"/>
      <c r="B722" s="132"/>
      <c r="C722" s="132"/>
      <c r="D722" s="132"/>
      <c r="E722" s="132"/>
      <c r="F722" s="132"/>
      <c r="G722" s="132"/>
      <c r="H722" s="132"/>
      <c r="I722" s="132"/>
      <c r="J722" s="132"/>
      <c r="K722" s="132"/>
      <c r="L722" s="132"/>
      <c r="M722" s="132"/>
      <c r="N722" s="132"/>
      <c r="O722" s="132"/>
      <c r="P722" s="132"/>
      <c r="Q722" s="132"/>
      <c r="R722" s="132"/>
      <c r="S722" s="132"/>
      <c r="T722" s="132"/>
      <c r="U722" s="132"/>
      <c r="V722" s="132"/>
      <c r="W722" s="132"/>
      <c r="X722" s="132"/>
      <c r="Y722" s="132"/>
      <c r="Z722" s="132"/>
    </row>
    <row r="723" spans="1:26" ht="11.25" customHeight="1" x14ac:dyDescent="0.3">
      <c r="A723" s="132"/>
      <c r="B723" s="132"/>
      <c r="C723" s="132"/>
      <c r="D723" s="132"/>
      <c r="E723" s="132"/>
      <c r="F723" s="132"/>
      <c r="G723" s="132"/>
      <c r="H723" s="132"/>
      <c r="I723" s="132"/>
      <c r="J723" s="132"/>
      <c r="K723" s="132"/>
      <c r="L723" s="132"/>
      <c r="M723" s="132"/>
      <c r="N723" s="132"/>
      <c r="O723" s="132"/>
      <c r="P723" s="132"/>
      <c r="Q723" s="132"/>
      <c r="R723" s="132"/>
      <c r="S723" s="132"/>
      <c r="T723" s="132"/>
      <c r="U723" s="132"/>
      <c r="V723" s="132"/>
      <c r="W723" s="132"/>
      <c r="X723" s="132"/>
      <c r="Y723" s="132"/>
      <c r="Z723" s="132"/>
    </row>
    <row r="724" spans="1:26" ht="11.25" customHeight="1" x14ac:dyDescent="0.3">
      <c r="A724" s="132"/>
      <c r="B724" s="132"/>
      <c r="C724" s="132"/>
      <c r="D724" s="132"/>
      <c r="E724" s="132"/>
      <c r="F724" s="132"/>
      <c r="G724" s="132"/>
      <c r="H724" s="132"/>
      <c r="I724" s="132"/>
      <c r="J724" s="132"/>
      <c r="K724" s="132"/>
      <c r="L724" s="132"/>
      <c r="M724" s="132"/>
      <c r="N724" s="132"/>
      <c r="O724" s="132"/>
      <c r="P724" s="132"/>
      <c r="Q724" s="132"/>
      <c r="R724" s="132"/>
      <c r="S724" s="132"/>
      <c r="T724" s="132"/>
      <c r="U724" s="132"/>
      <c r="V724" s="132"/>
      <c r="W724" s="132"/>
      <c r="X724" s="132"/>
      <c r="Y724" s="132"/>
      <c r="Z724" s="132"/>
    </row>
    <row r="725" spans="1:26" ht="11.25" customHeight="1" x14ac:dyDescent="0.3">
      <c r="A725" s="132"/>
      <c r="B725" s="132"/>
      <c r="C725" s="132"/>
      <c r="D725" s="132"/>
      <c r="E725" s="132"/>
      <c r="F725" s="132"/>
      <c r="G725" s="132"/>
      <c r="H725" s="132"/>
      <c r="I725" s="132"/>
      <c r="J725" s="132"/>
      <c r="K725" s="132"/>
      <c r="L725" s="132"/>
      <c r="M725" s="132"/>
      <c r="N725" s="132"/>
      <c r="O725" s="132"/>
      <c r="P725" s="132"/>
      <c r="Q725" s="132"/>
      <c r="R725" s="132"/>
      <c r="S725" s="132"/>
      <c r="T725" s="132"/>
      <c r="U725" s="132"/>
      <c r="V725" s="132"/>
      <c r="W725" s="132"/>
      <c r="X725" s="132"/>
      <c r="Y725" s="132"/>
      <c r="Z725" s="132"/>
    </row>
    <row r="726" spans="1:26" ht="11.25" customHeight="1" x14ac:dyDescent="0.3">
      <c r="A726" s="132"/>
      <c r="B726" s="132"/>
      <c r="C726" s="132"/>
      <c r="D726" s="132"/>
      <c r="E726" s="132"/>
      <c r="F726" s="132"/>
      <c r="G726" s="132"/>
      <c r="H726" s="132"/>
      <c r="I726" s="132"/>
      <c r="J726" s="132"/>
      <c r="K726" s="132"/>
      <c r="L726" s="132"/>
      <c r="M726" s="132"/>
      <c r="N726" s="132"/>
      <c r="O726" s="132"/>
      <c r="P726" s="132"/>
      <c r="Q726" s="132"/>
      <c r="R726" s="132"/>
      <c r="S726" s="132"/>
      <c r="T726" s="132"/>
      <c r="U726" s="132"/>
      <c r="V726" s="132"/>
      <c r="W726" s="132"/>
      <c r="X726" s="132"/>
      <c r="Y726" s="132"/>
      <c r="Z726" s="132"/>
    </row>
    <row r="727" spans="1:26" ht="11.25" customHeight="1" x14ac:dyDescent="0.3">
      <c r="A727" s="132"/>
      <c r="B727" s="132"/>
      <c r="C727" s="132"/>
      <c r="D727" s="132"/>
      <c r="E727" s="132"/>
      <c r="F727" s="132"/>
      <c r="G727" s="132"/>
      <c r="H727" s="132"/>
      <c r="I727" s="132"/>
      <c r="J727" s="132"/>
      <c r="K727" s="132"/>
      <c r="L727" s="132"/>
      <c r="M727" s="132"/>
      <c r="N727" s="132"/>
      <c r="O727" s="132"/>
      <c r="P727" s="132"/>
      <c r="Q727" s="132"/>
      <c r="R727" s="132"/>
      <c r="S727" s="132"/>
      <c r="T727" s="132"/>
      <c r="U727" s="132"/>
      <c r="V727" s="132"/>
      <c r="W727" s="132"/>
      <c r="X727" s="132"/>
      <c r="Y727" s="132"/>
      <c r="Z727" s="132"/>
    </row>
    <row r="728" spans="1:26" ht="11.25" customHeight="1" x14ac:dyDescent="0.3">
      <c r="A728" s="132"/>
      <c r="B728" s="132"/>
      <c r="C728" s="132"/>
      <c r="D728" s="132"/>
      <c r="E728" s="132"/>
      <c r="F728" s="132"/>
      <c r="G728" s="132"/>
      <c r="H728" s="132"/>
      <c r="I728" s="132"/>
      <c r="J728" s="132"/>
      <c r="K728" s="132"/>
      <c r="L728" s="132"/>
      <c r="M728" s="132"/>
      <c r="N728" s="132"/>
      <c r="O728" s="132"/>
      <c r="P728" s="132"/>
      <c r="Q728" s="132"/>
      <c r="R728" s="132"/>
      <c r="S728" s="132"/>
      <c r="T728" s="132"/>
      <c r="U728" s="132"/>
      <c r="V728" s="132"/>
      <c r="W728" s="132"/>
      <c r="X728" s="132"/>
      <c r="Y728" s="132"/>
      <c r="Z728" s="132"/>
    </row>
    <row r="729" spans="1:26" ht="11.25" customHeight="1" x14ac:dyDescent="0.3">
      <c r="A729" s="132"/>
      <c r="B729" s="132"/>
      <c r="C729" s="132"/>
      <c r="D729" s="132"/>
      <c r="E729" s="132"/>
      <c r="F729" s="132"/>
      <c r="G729" s="132"/>
      <c r="H729" s="132"/>
      <c r="I729" s="132"/>
      <c r="J729" s="132"/>
      <c r="K729" s="132"/>
      <c r="L729" s="132"/>
      <c r="M729" s="132"/>
      <c r="N729" s="132"/>
      <c r="O729" s="132"/>
      <c r="P729" s="132"/>
      <c r="Q729" s="132"/>
      <c r="R729" s="132"/>
      <c r="S729" s="132"/>
      <c r="T729" s="132"/>
      <c r="U729" s="132"/>
      <c r="V729" s="132"/>
      <c r="W729" s="132"/>
      <c r="X729" s="132"/>
      <c r="Y729" s="132"/>
      <c r="Z729" s="132"/>
    </row>
    <row r="730" spans="1:26" ht="11.25" customHeight="1" x14ac:dyDescent="0.3">
      <c r="A730" s="132"/>
      <c r="B730" s="132"/>
      <c r="C730" s="132"/>
      <c r="D730" s="132"/>
      <c r="E730" s="132"/>
      <c r="F730" s="132"/>
      <c r="G730" s="132"/>
      <c r="H730" s="132"/>
      <c r="I730" s="132"/>
      <c r="J730" s="132"/>
      <c r="K730" s="132"/>
      <c r="L730" s="132"/>
      <c r="M730" s="132"/>
      <c r="N730" s="132"/>
      <c r="O730" s="132"/>
      <c r="P730" s="132"/>
      <c r="Q730" s="132"/>
      <c r="R730" s="132"/>
      <c r="S730" s="132"/>
      <c r="T730" s="132"/>
      <c r="U730" s="132"/>
      <c r="V730" s="132"/>
      <c r="W730" s="132"/>
      <c r="X730" s="132"/>
      <c r="Y730" s="132"/>
      <c r="Z730" s="132"/>
    </row>
    <row r="731" spans="1:26" ht="11.25" customHeight="1" x14ac:dyDescent="0.3">
      <c r="A731" s="132"/>
      <c r="B731" s="132"/>
      <c r="C731" s="132"/>
      <c r="D731" s="132"/>
      <c r="E731" s="132"/>
      <c r="F731" s="132"/>
      <c r="G731" s="132"/>
      <c r="H731" s="132"/>
      <c r="I731" s="132"/>
      <c r="J731" s="132"/>
      <c r="K731" s="132"/>
      <c r="L731" s="132"/>
      <c r="M731" s="132"/>
      <c r="N731" s="132"/>
      <c r="O731" s="132"/>
      <c r="P731" s="132"/>
      <c r="Q731" s="132"/>
      <c r="R731" s="132"/>
      <c r="S731" s="132"/>
      <c r="T731" s="132"/>
      <c r="U731" s="132"/>
      <c r="V731" s="132"/>
      <c r="W731" s="132"/>
      <c r="X731" s="132"/>
      <c r="Y731" s="132"/>
      <c r="Z731" s="132"/>
    </row>
    <row r="732" spans="1:26" ht="11.25" customHeight="1" x14ac:dyDescent="0.3">
      <c r="A732" s="132"/>
      <c r="B732" s="132"/>
      <c r="C732" s="132"/>
      <c r="D732" s="132"/>
      <c r="E732" s="132"/>
      <c r="F732" s="132"/>
      <c r="G732" s="132"/>
      <c r="H732" s="132"/>
      <c r="I732" s="132"/>
      <c r="J732" s="132"/>
      <c r="K732" s="132"/>
      <c r="L732" s="132"/>
      <c r="M732" s="132"/>
      <c r="N732" s="132"/>
      <c r="O732" s="132"/>
      <c r="P732" s="132"/>
      <c r="Q732" s="132"/>
      <c r="R732" s="132"/>
      <c r="S732" s="132"/>
      <c r="T732" s="132"/>
      <c r="U732" s="132"/>
      <c r="V732" s="132"/>
      <c r="W732" s="132"/>
      <c r="X732" s="132"/>
      <c r="Y732" s="132"/>
      <c r="Z732" s="132"/>
    </row>
    <row r="733" spans="1:26" ht="11.25" customHeight="1" x14ac:dyDescent="0.3">
      <c r="A733" s="132"/>
      <c r="B733" s="132"/>
      <c r="C733" s="132"/>
      <c r="D733" s="132"/>
      <c r="E733" s="132"/>
      <c r="F733" s="132"/>
      <c r="G733" s="132"/>
      <c r="H733" s="132"/>
      <c r="I733" s="132"/>
      <c r="J733" s="132"/>
      <c r="K733" s="132"/>
      <c r="L733" s="132"/>
      <c r="M733" s="132"/>
      <c r="N733" s="132"/>
      <c r="O733" s="132"/>
      <c r="P733" s="132"/>
      <c r="Q733" s="132"/>
      <c r="R733" s="132"/>
      <c r="S733" s="132"/>
      <c r="T733" s="132"/>
      <c r="U733" s="132"/>
      <c r="V733" s="132"/>
      <c r="W733" s="132"/>
      <c r="X733" s="132"/>
      <c r="Y733" s="132"/>
      <c r="Z733" s="132"/>
    </row>
    <row r="734" spans="1:26" ht="11.25" customHeight="1" x14ac:dyDescent="0.3">
      <c r="A734" s="132"/>
      <c r="B734" s="132"/>
      <c r="C734" s="132"/>
      <c r="D734" s="132"/>
      <c r="E734" s="132"/>
      <c r="F734" s="132"/>
      <c r="G734" s="132"/>
      <c r="H734" s="132"/>
      <c r="I734" s="132"/>
      <c r="J734" s="132"/>
      <c r="K734" s="132"/>
      <c r="L734" s="132"/>
      <c r="M734" s="132"/>
      <c r="N734" s="132"/>
      <c r="O734" s="132"/>
      <c r="P734" s="132"/>
      <c r="Q734" s="132"/>
      <c r="R734" s="132"/>
      <c r="S734" s="132"/>
      <c r="T734" s="132"/>
      <c r="U734" s="132"/>
      <c r="V734" s="132"/>
      <c r="W734" s="132"/>
      <c r="X734" s="132"/>
      <c r="Y734" s="132"/>
      <c r="Z734" s="132"/>
    </row>
    <row r="735" spans="1:26" ht="11.25" customHeight="1" x14ac:dyDescent="0.3">
      <c r="A735" s="132"/>
      <c r="B735" s="132"/>
      <c r="C735" s="132"/>
      <c r="D735" s="132"/>
      <c r="E735" s="132"/>
      <c r="F735" s="132"/>
      <c r="G735" s="132"/>
      <c r="H735" s="132"/>
      <c r="I735" s="132"/>
      <c r="J735" s="132"/>
      <c r="K735" s="132"/>
      <c r="L735" s="132"/>
      <c r="M735" s="132"/>
      <c r="N735" s="132"/>
      <c r="O735" s="132"/>
      <c r="P735" s="132"/>
      <c r="Q735" s="132"/>
      <c r="R735" s="132"/>
      <c r="S735" s="132"/>
      <c r="T735" s="132"/>
      <c r="U735" s="132"/>
      <c r="V735" s="132"/>
      <c r="W735" s="132"/>
      <c r="X735" s="132"/>
      <c r="Y735" s="132"/>
      <c r="Z735" s="132"/>
    </row>
    <row r="736" spans="1:26" ht="11.25" customHeight="1" x14ac:dyDescent="0.3">
      <c r="A736" s="132"/>
      <c r="B736" s="132"/>
      <c r="C736" s="132"/>
      <c r="D736" s="132"/>
      <c r="E736" s="132"/>
      <c r="F736" s="132"/>
      <c r="G736" s="132"/>
      <c r="H736" s="132"/>
      <c r="I736" s="132"/>
      <c r="J736" s="132"/>
      <c r="K736" s="132"/>
      <c r="L736" s="132"/>
      <c r="M736" s="132"/>
      <c r="N736" s="132"/>
      <c r="O736" s="132"/>
      <c r="P736" s="132"/>
      <c r="Q736" s="132"/>
      <c r="R736" s="132"/>
      <c r="S736" s="132"/>
      <c r="T736" s="132"/>
      <c r="U736" s="132"/>
      <c r="V736" s="132"/>
      <c r="W736" s="132"/>
      <c r="X736" s="132"/>
      <c r="Y736" s="132"/>
      <c r="Z736" s="132"/>
    </row>
    <row r="737" spans="1:26" ht="11.25" customHeight="1" x14ac:dyDescent="0.3">
      <c r="A737" s="132"/>
      <c r="B737" s="132"/>
      <c r="C737" s="132"/>
      <c r="D737" s="132"/>
      <c r="E737" s="132"/>
      <c r="F737" s="132"/>
      <c r="G737" s="132"/>
      <c r="H737" s="132"/>
      <c r="I737" s="132"/>
      <c r="J737" s="132"/>
      <c r="K737" s="132"/>
      <c r="L737" s="132"/>
      <c r="M737" s="132"/>
      <c r="N737" s="132"/>
      <c r="O737" s="132"/>
      <c r="P737" s="132"/>
      <c r="Q737" s="132"/>
      <c r="R737" s="132"/>
      <c r="S737" s="132"/>
      <c r="T737" s="132"/>
      <c r="U737" s="132"/>
      <c r="V737" s="132"/>
      <c r="W737" s="132"/>
      <c r="X737" s="132"/>
      <c r="Y737" s="132"/>
      <c r="Z737" s="132"/>
    </row>
    <row r="738" spans="1:26" ht="11.25" customHeight="1" x14ac:dyDescent="0.3">
      <c r="A738" s="132"/>
      <c r="B738" s="132"/>
      <c r="C738" s="132"/>
      <c r="D738" s="132"/>
      <c r="E738" s="132"/>
      <c r="F738" s="132"/>
      <c r="G738" s="132"/>
      <c r="H738" s="132"/>
      <c r="I738" s="132"/>
      <c r="J738" s="132"/>
      <c r="K738" s="132"/>
      <c r="L738" s="132"/>
      <c r="M738" s="132"/>
      <c r="N738" s="132"/>
      <c r="O738" s="132"/>
      <c r="P738" s="132"/>
      <c r="Q738" s="132"/>
      <c r="R738" s="132"/>
      <c r="S738" s="132"/>
      <c r="T738" s="132"/>
      <c r="U738" s="132"/>
      <c r="V738" s="132"/>
      <c r="W738" s="132"/>
      <c r="X738" s="132"/>
      <c r="Y738" s="132"/>
      <c r="Z738" s="132"/>
    </row>
    <row r="739" spans="1:26" ht="11.25" customHeight="1" x14ac:dyDescent="0.3">
      <c r="A739" s="132"/>
      <c r="B739" s="132"/>
      <c r="C739" s="132"/>
      <c r="D739" s="132"/>
      <c r="E739" s="132"/>
      <c r="F739" s="132"/>
      <c r="G739" s="132"/>
      <c r="H739" s="132"/>
      <c r="I739" s="132"/>
      <c r="J739" s="132"/>
      <c r="K739" s="132"/>
      <c r="L739" s="132"/>
      <c r="M739" s="132"/>
      <c r="N739" s="132"/>
      <c r="O739" s="132"/>
      <c r="P739" s="132"/>
      <c r="Q739" s="132"/>
      <c r="R739" s="132"/>
      <c r="S739" s="132"/>
      <c r="T739" s="132"/>
      <c r="U739" s="132"/>
      <c r="V739" s="132"/>
      <c r="W739" s="132"/>
      <c r="X739" s="132"/>
      <c r="Y739" s="132"/>
      <c r="Z739" s="132"/>
    </row>
    <row r="740" spans="1:26" ht="11.25" customHeight="1" x14ac:dyDescent="0.3">
      <c r="A740" s="132"/>
      <c r="B740" s="132"/>
      <c r="C740" s="132"/>
      <c r="D740" s="132"/>
      <c r="E740" s="132"/>
      <c r="F740" s="132"/>
      <c r="G740" s="132"/>
      <c r="H740" s="132"/>
      <c r="I740" s="132"/>
      <c r="J740" s="132"/>
      <c r="K740" s="132"/>
      <c r="L740" s="132"/>
      <c r="M740" s="132"/>
      <c r="N740" s="132"/>
      <c r="O740" s="132"/>
      <c r="P740" s="132"/>
      <c r="Q740" s="132"/>
      <c r="R740" s="132"/>
      <c r="S740" s="132"/>
      <c r="T740" s="132"/>
      <c r="U740" s="132"/>
      <c r="V740" s="132"/>
      <c r="W740" s="132"/>
      <c r="X740" s="132"/>
      <c r="Y740" s="132"/>
      <c r="Z740" s="132"/>
    </row>
    <row r="741" spans="1:26" ht="11.25" customHeight="1" x14ac:dyDescent="0.3">
      <c r="A741" s="132"/>
      <c r="B741" s="132"/>
      <c r="C741" s="132"/>
      <c r="D741" s="132"/>
      <c r="E741" s="132"/>
      <c r="F741" s="132"/>
      <c r="G741" s="132"/>
      <c r="H741" s="132"/>
      <c r="I741" s="132"/>
      <c r="J741" s="132"/>
      <c r="K741" s="132"/>
      <c r="L741" s="132"/>
      <c r="M741" s="132"/>
      <c r="N741" s="132"/>
      <c r="O741" s="132"/>
      <c r="P741" s="132"/>
      <c r="Q741" s="132"/>
      <c r="R741" s="132"/>
      <c r="S741" s="132"/>
      <c r="T741" s="132"/>
      <c r="U741" s="132"/>
      <c r="V741" s="132"/>
      <c r="W741" s="132"/>
      <c r="X741" s="132"/>
      <c r="Y741" s="132"/>
      <c r="Z741" s="132"/>
    </row>
    <row r="742" spans="1:26" ht="11.25" customHeight="1" x14ac:dyDescent="0.3">
      <c r="A742" s="132"/>
      <c r="B742" s="132"/>
      <c r="C742" s="132"/>
      <c r="D742" s="132"/>
      <c r="E742" s="132"/>
      <c r="F742" s="132"/>
      <c r="G742" s="132"/>
      <c r="H742" s="132"/>
      <c r="I742" s="132"/>
      <c r="J742" s="132"/>
      <c r="K742" s="132"/>
      <c r="L742" s="132"/>
      <c r="M742" s="132"/>
      <c r="N742" s="132"/>
      <c r="O742" s="132"/>
      <c r="P742" s="132"/>
      <c r="Q742" s="132"/>
      <c r="R742" s="132"/>
      <c r="S742" s="132"/>
      <c r="T742" s="132"/>
      <c r="U742" s="132"/>
      <c r="V742" s="132"/>
      <c r="W742" s="132"/>
      <c r="X742" s="132"/>
      <c r="Y742" s="132"/>
      <c r="Z742" s="132"/>
    </row>
    <row r="743" spans="1:26" ht="11.25" customHeight="1" x14ac:dyDescent="0.3">
      <c r="A743" s="132"/>
      <c r="B743" s="132"/>
      <c r="C743" s="132"/>
      <c r="D743" s="132"/>
      <c r="E743" s="132"/>
      <c r="F743" s="132"/>
      <c r="G743" s="132"/>
      <c r="H743" s="132"/>
      <c r="I743" s="132"/>
      <c r="J743" s="132"/>
      <c r="K743" s="132"/>
      <c r="L743" s="132"/>
      <c r="M743" s="132"/>
      <c r="N743" s="132"/>
      <c r="O743" s="132"/>
      <c r="P743" s="132"/>
      <c r="Q743" s="132"/>
      <c r="R743" s="132"/>
      <c r="S743" s="132"/>
      <c r="T743" s="132"/>
      <c r="U743" s="132"/>
      <c r="V743" s="132"/>
      <c r="W743" s="132"/>
      <c r="X743" s="132"/>
      <c r="Y743" s="132"/>
      <c r="Z743" s="132"/>
    </row>
    <row r="744" spans="1:26" ht="11.25" customHeight="1" x14ac:dyDescent="0.3">
      <c r="A744" s="132"/>
      <c r="B744" s="132"/>
      <c r="C744" s="132"/>
      <c r="D744" s="132"/>
      <c r="E744" s="132"/>
      <c r="F744" s="132"/>
      <c r="G744" s="132"/>
      <c r="H744" s="132"/>
      <c r="I744" s="132"/>
      <c r="J744" s="132"/>
      <c r="K744" s="132"/>
      <c r="L744" s="132"/>
      <c r="M744" s="132"/>
      <c r="N744" s="132"/>
      <c r="O744" s="132"/>
      <c r="P744" s="132"/>
      <c r="Q744" s="132"/>
      <c r="R744" s="132"/>
      <c r="S744" s="132"/>
      <c r="T744" s="132"/>
      <c r="U744" s="132"/>
      <c r="V744" s="132"/>
      <c r="W744" s="132"/>
      <c r="X744" s="132"/>
      <c r="Y744" s="132"/>
      <c r="Z744" s="132"/>
    </row>
    <row r="745" spans="1:26" ht="11.25" customHeight="1" x14ac:dyDescent="0.3">
      <c r="A745" s="132"/>
      <c r="B745" s="132"/>
      <c r="C745" s="132"/>
      <c r="D745" s="132"/>
      <c r="E745" s="132"/>
      <c r="F745" s="132"/>
      <c r="G745" s="132"/>
      <c r="H745" s="132"/>
      <c r="I745" s="132"/>
      <c r="J745" s="132"/>
      <c r="K745" s="132"/>
      <c r="L745" s="132"/>
      <c r="M745" s="132"/>
      <c r="N745" s="132"/>
      <c r="O745" s="132"/>
      <c r="P745" s="132"/>
      <c r="Q745" s="132"/>
      <c r="R745" s="132"/>
      <c r="S745" s="132"/>
      <c r="T745" s="132"/>
      <c r="U745" s="132"/>
      <c r="V745" s="132"/>
      <c r="W745" s="132"/>
      <c r="X745" s="132"/>
      <c r="Y745" s="132"/>
      <c r="Z745" s="132"/>
    </row>
    <row r="746" spans="1:26" ht="11.25" customHeight="1" x14ac:dyDescent="0.3">
      <c r="A746" s="132"/>
      <c r="B746" s="132"/>
      <c r="C746" s="132"/>
      <c r="D746" s="132"/>
      <c r="E746" s="132"/>
      <c r="F746" s="132"/>
      <c r="G746" s="132"/>
      <c r="H746" s="132"/>
      <c r="I746" s="132"/>
      <c r="J746" s="132"/>
      <c r="K746" s="132"/>
      <c r="L746" s="132"/>
      <c r="M746" s="132"/>
      <c r="N746" s="132"/>
      <c r="O746" s="132"/>
      <c r="P746" s="132"/>
      <c r="Q746" s="132"/>
      <c r="R746" s="132"/>
      <c r="S746" s="132"/>
      <c r="T746" s="132"/>
      <c r="U746" s="132"/>
      <c r="V746" s="132"/>
      <c r="W746" s="132"/>
      <c r="X746" s="132"/>
      <c r="Y746" s="132"/>
      <c r="Z746" s="132"/>
    </row>
    <row r="747" spans="1:26" ht="11.25" customHeight="1" x14ac:dyDescent="0.3">
      <c r="A747" s="132"/>
      <c r="B747" s="132"/>
      <c r="C747" s="132"/>
      <c r="D747" s="132"/>
      <c r="E747" s="132"/>
      <c r="F747" s="132"/>
      <c r="G747" s="132"/>
      <c r="H747" s="132"/>
      <c r="I747" s="132"/>
      <c r="J747" s="132"/>
      <c r="K747" s="132"/>
      <c r="L747" s="132"/>
      <c r="M747" s="132"/>
      <c r="N747" s="132"/>
      <c r="O747" s="132"/>
      <c r="P747" s="132"/>
      <c r="Q747" s="132"/>
      <c r="R747" s="132"/>
      <c r="S747" s="132"/>
      <c r="T747" s="132"/>
      <c r="U747" s="132"/>
      <c r="V747" s="132"/>
      <c r="W747" s="132"/>
      <c r="X747" s="132"/>
      <c r="Y747" s="132"/>
      <c r="Z747" s="132"/>
    </row>
    <row r="748" spans="1:26" ht="11.25" customHeight="1" x14ac:dyDescent="0.3">
      <c r="A748" s="132"/>
      <c r="B748" s="132"/>
      <c r="C748" s="132"/>
      <c r="D748" s="132"/>
      <c r="E748" s="132"/>
      <c r="F748" s="132"/>
      <c r="G748" s="132"/>
      <c r="H748" s="132"/>
      <c r="I748" s="132"/>
      <c r="J748" s="132"/>
      <c r="K748" s="132"/>
      <c r="L748" s="132"/>
      <c r="M748" s="132"/>
      <c r="N748" s="132"/>
      <c r="O748" s="132"/>
      <c r="P748" s="132"/>
      <c r="Q748" s="132"/>
      <c r="R748" s="132"/>
      <c r="S748" s="132"/>
      <c r="T748" s="132"/>
      <c r="U748" s="132"/>
      <c r="V748" s="132"/>
      <c r="W748" s="132"/>
      <c r="X748" s="132"/>
      <c r="Y748" s="132"/>
      <c r="Z748" s="132"/>
    </row>
    <row r="749" spans="1:26" ht="11.25" customHeight="1" x14ac:dyDescent="0.3">
      <c r="A749" s="132"/>
      <c r="B749" s="132"/>
      <c r="C749" s="132"/>
      <c r="D749" s="132"/>
      <c r="E749" s="132"/>
      <c r="F749" s="132"/>
      <c r="G749" s="132"/>
      <c r="H749" s="132"/>
      <c r="I749" s="132"/>
      <c r="J749" s="132"/>
      <c r="K749" s="132"/>
      <c r="L749" s="132"/>
      <c r="M749" s="132"/>
      <c r="N749" s="132"/>
      <c r="O749" s="132"/>
      <c r="P749" s="132"/>
      <c r="Q749" s="132"/>
      <c r="R749" s="132"/>
      <c r="S749" s="132"/>
      <c r="T749" s="132"/>
      <c r="U749" s="132"/>
      <c r="V749" s="132"/>
      <c r="W749" s="132"/>
      <c r="X749" s="132"/>
      <c r="Y749" s="132"/>
      <c r="Z749" s="132"/>
    </row>
    <row r="750" spans="1:26" ht="11.25" customHeight="1" x14ac:dyDescent="0.3">
      <c r="A750" s="132"/>
      <c r="B750" s="132"/>
      <c r="C750" s="132"/>
      <c r="D750" s="132"/>
      <c r="E750" s="132"/>
      <c r="F750" s="132"/>
      <c r="G750" s="132"/>
      <c r="H750" s="132"/>
      <c r="I750" s="132"/>
      <c r="J750" s="132"/>
      <c r="K750" s="132"/>
      <c r="L750" s="132"/>
      <c r="M750" s="132"/>
      <c r="N750" s="132"/>
      <c r="O750" s="132"/>
      <c r="P750" s="132"/>
      <c r="Q750" s="132"/>
      <c r="R750" s="132"/>
      <c r="S750" s="132"/>
      <c r="T750" s="132"/>
      <c r="U750" s="132"/>
      <c r="V750" s="132"/>
      <c r="W750" s="132"/>
      <c r="X750" s="132"/>
      <c r="Y750" s="132"/>
      <c r="Z750" s="132"/>
    </row>
    <row r="751" spans="1:26" ht="11.25" customHeight="1" x14ac:dyDescent="0.3">
      <c r="A751" s="132"/>
      <c r="B751" s="132"/>
      <c r="C751" s="132"/>
      <c r="D751" s="132"/>
      <c r="E751" s="132"/>
      <c r="F751" s="132"/>
      <c r="G751" s="132"/>
      <c r="H751" s="132"/>
      <c r="I751" s="132"/>
      <c r="J751" s="132"/>
      <c r="K751" s="132"/>
      <c r="L751" s="132"/>
      <c r="M751" s="132"/>
      <c r="N751" s="132"/>
      <c r="O751" s="132"/>
      <c r="P751" s="132"/>
      <c r="Q751" s="132"/>
      <c r="R751" s="132"/>
      <c r="S751" s="132"/>
      <c r="T751" s="132"/>
      <c r="U751" s="132"/>
      <c r="V751" s="132"/>
      <c r="W751" s="132"/>
      <c r="X751" s="132"/>
      <c r="Y751" s="132"/>
      <c r="Z751" s="132"/>
    </row>
    <row r="752" spans="1:26" ht="11.25" customHeight="1" x14ac:dyDescent="0.3">
      <c r="A752" s="132"/>
      <c r="B752" s="132"/>
      <c r="C752" s="132"/>
      <c r="D752" s="132"/>
      <c r="E752" s="132"/>
      <c r="F752" s="132"/>
      <c r="G752" s="132"/>
      <c r="H752" s="132"/>
      <c r="I752" s="132"/>
      <c r="J752" s="132"/>
      <c r="K752" s="132"/>
      <c r="L752" s="132"/>
      <c r="M752" s="132"/>
      <c r="N752" s="132"/>
      <c r="O752" s="132"/>
      <c r="P752" s="132"/>
      <c r="Q752" s="132"/>
      <c r="R752" s="132"/>
      <c r="S752" s="132"/>
      <c r="T752" s="132"/>
      <c r="U752" s="132"/>
      <c r="V752" s="132"/>
      <c r="W752" s="132"/>
      <c r="X752" s="132"/>
      <c r="Y752" s="132"/>
      <c r="Z752" s="132"/>
    </row>
    <row r="753" spans="1:26" ht="11.25" customHeight="1" x14ac:dyDescent="0.3">
      <c r="A753" s="132"/>
      <c r="B753" s="132"/>
      <c r="C753" s="132"/>
      <c r="D753" s="132"/>
      <c r="E753" s="132"/>
      <c r="F753" s="132"/>
      <c r="G753" s="132"/>
      <c r="H753" s="132"/>
      <c r="I753" s="132"/>
      <c r="J753" s="132"/>
      <c r="K753" s="132"/>
      <c r="L753" s="132"/>
      <c r="M753" s="132"/>
      <c r="N753" s="132"/>
      <c r="O753" s="132"/>
      <c r="P753" s="132"/>
      <c r="Q753" s="132"/>
      <c r="R753" s="132"/>
      <c r="S753" s="132"/>
      <c r="T753" s="132"/>
      <c r="U753" s="132"/>
      <c r="V753" s="132"/>
      <c r="W753" s="132"/>
      <c r="X753" s="132"/>
      <c r="Y753" s="132"/>
      <c r="Z753" s="132"/>
    </row>
    <row r="754" spans="1:26" ht="11.25" customHeight="1" x14ac:dyDescent="0.3">
      <c r="A754" s="132"/>
      <c r="B754" s="132"/>
      <c r="C754" s="132"/>
      <c r="D754" s="132"/>
      <c r="E754" s="132"/>
      <c r="F754" s="132"/>
      <c r="G754" s="132"/>
      <c r="H754" s="132"/>
      <c r="I754" s="132"/>
      <c r="J754" s="132"/>
      <c r="K754" s="132"/>
      <c r="L754" s="132"/>
      <c r="M754" s="132"/>
      <c r="N754" s="132"/>
      <c r="O754" s="132"/>
      <c r="P754" s="132"/>
      <c r="Q754" s="132"/>
      <c r="R754" s="132"/>
      <c r="S754" s="132"/>
      <c r="T754" s="132"/>
      <c r="U754" s="132"/>
      <c r="V754" s="132"/>
      <c r="W754" s="132"/>
      <c r="X754" s="132"/>
      <c r="Y754" s="132"/>
      <c r="Z754" s="132"/>
    </row>
    <row r="755" spans="1:26" ht="11.25" customHeight="1" x14ac:dyDescent="0.3">
      <c r="A755" s="132"/>
      <c r="B755" s="132"/>
      <c r="C755" s="132"/>
      <c r="D755" s="132"/>
      <c r="E755" s="132"/>
      <c r="F755" s="132"/>
      <c r="G755" s="132"/>
      <c r="H755" s="132"/>
      <c r="I755" s="132"/>
      <c r="J755" s="132"/>
      <c r="K755" s="132"/>
      <c r="L755" s="132"/>
      <c r="M755" s="132"/>
      <c r="N755" s="132"/>
      <c r="O755" s="132"/>
      <c r="P755" s="132"/>
      <c r="Q755" s="132"/>
      <c r="R755" s="132"/>
      <c r="S755" s="132"/>
      <c r="T755" s="132"/>
      <c r="U755" s="132"/>
      <c r="V755" s="132"/>
      <c r="W755" s="132"/>
      <c r="X755" s="132"/>
      <c r="Y755" s="132"/>
      <c r="Z755" s="132"/>
    </row>
    <row r="756" spans="1:26" ht="11.25" customHeight="1" x14ac:dyDescent="0.3">
      <c r="A756" s="132"/>
      <c r="B756" s="132"/>
      <c r="C756" s="132"/>
      <c r="D756" s="132"/>
      <c r="E756" s="132"/>
      <c r="F756" s="132"/>
      <c r="G756" s="132"/>
      <c r="H756" s="132"/>
      <c r="I756" s="132"/>
      <c r="J756" s="132"/>
      <c r="K756" s="132"/>
      <c r="L756" s="132"/>
      <c r="M756" s="132"/>
      <c r="N756" s="132"/>
      <c r="O756" s="132"/>
      <c r="P756" s="132"/>
      <c r="Q756" s="132"/>
      <c r="R756" s="132"/>
      <c r="S756" s="132"/>
      <c r="T756" s="132"/>
      <c r="U756" s="132"/>
      <c r="V756" s="132"/>
      <c r="W756" s="132"/>
      <c r="X756" s="132"/>
      <c r="Y756" s="132"/>
      <c r="Z756" s="132"/>
    </row>
    <row r="757" spans="1:26" ht="11.25" customHeight="1" x14ac:dyDescent="0.3">
      <c r="A757" s="132"/>
      <c r="B757" s="132"/>
      <c r="C757" s="132"/>
      <c r="D757" s="132"/>
      <c r="E757" s="132"/>
      <c r="F757" s="132"/>
      <c r="G757" s="132"/>
      <c r="H757" s="132"/>
      <c r="I757" s="132"/>
      <c r="J757" s="132"/>
      <c r="K757" s="132"/>
      <c r="L757" s="132"/>
      <c r="M757" s="132"/>
      <c r="N757" s="132"/>
      <c r="O757" s="132"/>
      <c r="P757" s="132"/>
      <c r="Q757" s="132"/>
      <c r="R757" s="132"/>
      <c r="S757" s="132"/>
      <c r="T757" s="132"/>
      <c r="U757" s="132"/>
      <c r="V757" s="132"/>
      <c r="W757" s="132"/>
      <c r="X757" s="132"/>
      <c r="Y757" s="132"/>
      <c r="Z757" s="132"/>
    </row>
    <row r="758" spans="1:26" ht="11.25" customHeight="1" x14ac:dyDescent="0.3">
      <c r="A758" s="132"/>
      <c r="B758" s="132"/>
      <c r="C758" s="132"/>
      <c r="D758" s="132"/>
      <c r="E758" s="132"/>
      <c r="F758" s="132"/>
      <c r="G758" s="132"/>
      <c r="H758" s="132"/>
      <c r="I758" s="132"/>
      <c r="J758" s="132"/>
      <c r="K758" s="132"/>
      <c r="L758" s="132"/>
      <c r="M758" s="132"/>
      <c r="N758" s="132"/>
      <c r="O758" s="132"/>
      <c r="P758" s="132"/>
      <c r="Q758" s="132"/>
      <c r="R758" s="132"/>
      <c r="S758" s="132"/>
      <c r="T758" s="132"/>
      <c r="U758" s="132"/>
      <c r="V758" s="132"/>
      <c r="W758" s="132"/>
      <c r="X758" s="132"/>
      <c r="Y758" s="132"/>
      <c r="Z758" s="132"/>
    </row>
    <row r="759" spans="1:26" ht="11.25" customHeight="1" x14ac:dyDescent="0.3">
      <c r="A759" s="132"/>
      <c r="B759" s="132"/>
      <c r="C759" s="132"/>
      <c r="D759" s="132"/>
      <c r="E759" s="132"/>
      <c r="F759" s="132"/>
      <c r="G759" s="132"/>
      <c r="H759" s="132"/>
      <c r="I759" s="132"/>
      <c r="J759" s="132"/>
      <c r="K759" s="132"/>
      <c r="L759" s="132"/>
      <c r="M759" s="132"/>
      <c r="N759" s="132"/>
      <c r="O759" s="132"/>
      <c r="P759" s="132"/>
      <c r="Q759" s="132"/>
      <c r="R759" s="132"/>
      <c r="S759" s="132"/>
      <c r="T759" s="132"/>
      <c r="U759" s="132"/>
      <c r="V759" s="132"/>
      <c r="W759" s="132"/>
      <c r="X759" s="132"/>
      <c r="Y759" s="132"/>
      <c r="Z759" s="132"/>
    </row>
    <row r="760" spans="1:26" ht="11.25" customHeight="1" x14ac:dyDescent="0.3">
      <c r="A760" s="132"/>
      <c r="B760" s="132"/>
      <c r="C760" s="132"/>
      <c r="D760" s="132"/>
      <c r="E760" s="132"/>
      <c r="F760" s="132"/>
      <c r="G760" s="132"/>
      <c r="H760" s="132"/>
      <c r="I760" s="132"/>
      <c r="J760" s="132"/>
      <c r="K760" s="132"/>
      <c r="L760" s="132"/>
      <c r="M760" s="132"/>
      <c r="N760" s="132"/>
      <c r="O760" s="132"/>
      <c r="P760" s="132"/>
      <c r="Q760" s="132"/>
      <c r="R760" s="132"/>
      <c r="S760" s="132"/>
      <c r="T760" s="132"/>
      <c r="U760" s="132"/>
      <c r="V760" s="132"/>
      <c r="W760" s="132"/>
      <c r="X760" s="132"/>
      <c r="Y760" s="132"/>
      <c r="Z760" s="132"/>
    </row>
    <row r="761" spans="1:26" ht="11.25" customHeight="1" x14ac:dyDescent="0.3">
      <c r="A761" s="132"/>
      <c r="B761" s="132"/>
      <c r="C761" s="132"/>
      <c r="D761" s="132"/>
      <c r="E761" s="132"/>
      <c r="F761" s="132"/>
      <c r="G761" s="132"/>
      <c r="H761" s="132"/>
      <c r="I761" s="132"/>
      <c r="J761" s="132"/>
      <c r="K761" s="132"/>
      <c r="L761" s="132"/>
      <c r="M761" s="132"/>
      <c r="N761" s="132"/>
      <c r="O761" s="132"/>
      <c r="P761" s="132"/>
      <c r="Q761" s="132"/>
      <c r="R761" s="132"/>
      <c r="S761" s="132"/>
      <c r="T761" s="132"/>
      <c r="U761" s="132"/>
      <c r="V761" s="132"/>
      <c r="W761" s="132"/>
      <c r="X761" s="132"/>
      <c r="Y761" s="132"/>
      <c r="Z761" s="132"/>
    </row>
    <row r="762" spans="1:26" ht="11.25" customHeight="1" x14ac:dyDescent="0.3">
      <c r="A762" s="132"/>
      <c r="B762" s="132"/>
      <c r="C762" s="132"/>
      <c r="D762" s="132"/>
      <c r="E762" s="132"/>
      <c r="F762" s="132"/>
      <c r="G762" s="132"/>
      <c r="H762" s="132"/>
      <c r="I762" s="132"/>
      <c r="J762" s="132"/>
      <c r="K762" s="132"/>
      <c r="L762" s="132"/>
      <c r="M762" s="132"/>
      <c r="N762" s="132"/>
      <c r="O762" s="132"/>
      <c r="P762" s="132"/>
      <c r="Q762" s="132"/>
      <c r="R762" s="132"/>
      <c r="S762" s="132"/>
      <c r="T762" s="132"/>
      <c r="U762" s="132"/>
      <c r="V762" s="132"/>
      <c r="W762" s="132"/>
      <c r="X762" s="132"/>
      <c r="Y762" s="132"/>
      <c r="Z762" s="132"/>
    </row>
    <row r="763" spans="1:26" ht="11.25" customHeight="1" x14ac:dyDescent="0.3">
      <c r="A763" s="132"/>
      <c r="B763" s="132"/>
      <c r="C763" s="132"/>
      <c r="D763" s="132"/>
      <c r="E763" s="132"/>
      <c r="F763" s="132"/>
      <c r="G763" s="132"/>
      <c r="H763" s="132"/>
      <c r="I763" s="132"/>
      <c r="J763" s="132"/>
      <c r="K763" s="132"/>
      <c r="L763" s="132"/>
      <c r="M763" s="132"/>
      <c r="N763" s="132"/>
      <c r="O763" s="132"/>
      <c r="P763" s="132"/>
      <c r="Q763" s="132"/>
      <c r="R763" s="132"/>
      <c r="S763" s="132"/>
      <c r="T763" s="132"/>
      <c r="U763" s="132"/>
      <c r="V763" s="132"/>
      <c r="W763" s="132"/>
      <c r="X763" s="132"/>
      <c r="Y763" s="132"/>
      <c r="Z763" s="132"/>
    </row>
    <row r="764" spans="1:26" ht="11.25" customHeight="1" x14ac:dyDescent="0.3">
      <c r="A764" s="132"/>
      <c r="B764" s="132"/>
      <c r="C764" s="132"/>
      <c r="D764" s="132"/>
      <c r="E764" s="132"/>
      <c r="F764" s="132"/>
      <c r="G764" s="132"/>
      <c r="H764" s="132"/>
      <c r="I764" s="132"/>
      <c r="J764" s="132"/>
      <c r="K764" s="132"/>
      <c r="L764" s="132"/>
      <c r="M764" s="132"/>
      <c r="N764" s="132"/>
      <c r="O764" s="132"/>
      <c r="P764" s="132"/>
      <c r="Q764" s="132"/>
      <c r="R764" s="132"/>
      <c r="S764" s="132"/>
      <c r="T764" s="132"/>
      <c r="U764" s="132"/>
      <c r="V764" s="132"/>
      <c r="W764" s="132"/>
      <c r="X764" s="132"/>
      <c r="Y764" s="132"/>
      <c r="Z764" s="132"/>
    </row>
    <row r="765" spans="1:26" ht="11.25" customHeight="1" x14ac:dyDescent="0.3">
      <c r="A765" s="132"/>
      <c r="B765" s="132"/>
      <c r="C765" s="132"/>
      <c r="D765" s="132"/>
      <c r="E765" s="132"/>
      <c r="F765" s="132"/>
      <c r="G765" s="132"/>
      <c r="H765" s="132"/>
      <c r="I765" s="132"/>
      <c r="J765" s="132"/>
      <c r="K765" s="132"/>
      <c r="L765" s="132"/>
      <c r="M765" s="132"/>
      <c r="N765" s="132"/>
      <c r="O765" s="132"/>
      <c r="P765" s="132"/>
      <c r="Q765" s="132"/>
      <c r="R765" s="132"/>
      <c r="S765" s="132"/>
      <c r="T765" s="132"/>
      <c r="U765" s="132"/>
      <c r="V765" s="132"/>
      <c r="W765" s="132"/>
      <c r="X765" s="132"/>
      <c r="Y765" s="132"/>
      <c r="Z765" s="132"/>
    </row>
    <row r="766" spans="1:26" ht="11.25" customHeight="1" x14ac:dyDescent="0.3">
      <c r="A766" s="132"/>
      <c r="B766" s="132"/>
      <c r="C766" s="132"/>
      <c r="D766" s="132"/>
      <c r="E766" s="132"/>
      <c r="F766" s="132"/>
      <c r="G766" s="132"/>
      <c r="H766" s="132"/>
      <c r="I766" s="132"/>
      <c r="J766" s="132"/>
      <c r="K766" s="132"/>
      <c r="L766" s="132"/>
      <c r="M766" s="132"/>
      <c r="N766" s="132"/>
      <c r="O766" s="132"/>
      <c r="P766" s="132"/>
      <c r="Q766" s="132"/>
      <c r="R766" s="132"/>
      <c r="S766" s="132"/>
      <c r="T766" s="132"/>
      <c r="U766" s="132"/>
      <c r="V766" s="132"/>
      <c r="W766" s="132"/>
      <c r="X766" s="132"/>
      <c r="Y766" s="132"/>
      <c r="Z766" s="132"/>
    </row>
    <row r="767" spans="1:26" ht="11.25" customHeight="1" x14ac:dyDescent="0.3">
      <c r="A767" s="132"/>
      <c r="B767" s="132"/>
      <c r="C767" s="132"/>
      <c r="D767" s="132"/>
      <c r="E767" s="132"/>
      <c r="F767" s="132"/>
      <c r="G767" s="132"/>
      <c r="H767" s="132"/>
      <c r="I767" s="132"/>
      <c r="J767" s="132"/>
      <c r="K767" s="132"/>
      <c r="L767" s="132"/>
      <c r="M767" s="132"/>
      <c r="N767" s="132"/>
      <c r="O767" s="132"/>
      <c r="P767" s="132"/>
      <c r="Q767" s="132"/>
      <c r="R767" s="132"/>
      <c r="S767" s="132"/>
      <c r="T767" s="132"/>
      <c r="U767" s="132"/>
      <c r="V767" s="132"/>
      <c r="W767" s="132"/>
      <c r="X767" s="132"/>
      <c r="Y767" s="132"/>
      <c r="Z767" s="132"/>
    </row>
    <row r="768" spans="1:26" ht="11.25" customHeight="1" x14ac:dyDescent="0.3">
      <c r="A768" s="132"/>
      <c r="B768" s="132"/>
      <c r="C768" s="132"/>
      <c r="D768" s="132"/>
      <c r="E768" s="132"/>
      <c r="F768" s="132"/>
      <c r="G768" s="132"/>
      <c r="H768" s="132"/>
      <c r="I768" s="132"/>
      <c r="J768" s="132"/>
      <c r="K768" s="132"/>
      <c r="L768" s="132"/>
      <c r="M768" s="132"/>
      <c r="N768" s="132"/>
      <c r="O768" s="132"/>
      <c r="P768" s="132"/>
      <c r="Q768" s="132"/>
      <c r="R768" s="132"/>
      <c r="S768" s="132"/>
      <c r="T768" s="132"/>
      <c r="U768" s="132"/>
      <c r="V768" s="132"/>
      <c r="W768" s="132"/>
      <c r="X768" s="132"/>
      <c r="Y768" s="132"/>
      <c r="Z768" s="132"/>
    </row>
    <row r="769" spans="1:26" ht="11.25" customHeight="1" x14ac:dyDescent="0.3">
      <c r="A769" s="132"/>
      <c r="B769" s="132"/>
      <c r="C769" s="132"/>
      <c r="D769" s="132"/>
      <c r="E769" s="132"/>
      <c r="F769" s="132"/>
      <c r="G769" s="132"/>
      <c r="H769" s="132"/>
      <c r="I769" s="132"/>
      <c r="J769" s="132"/>
      <c r="K769" s="132"/>
      <c r="L769" s="132"/>
      <c r="M769" s="132"/>
      <c r="N769" s="132"/>
      <c r="O769" s="132"/>
      <c r="P769" s="132"/>
      <c r="Q769" s="132"/>
      <c r="R769" s="132"/>
      <c r="S769" s="132"/>
      <c r="T769" s="132"/>
      <c r="U769" s="132"/>
      <c r="V769" s="132"/>
      <c r="W769" s="132"/>
      <c r="X769" s="132"/>
      <c r="Y769" s="132"/>
      <c r="Z769" s="132"/>
    </row>
    <row r="770" spans="1:26" ht="11.25" customHeight="1" x14ac:dyDescent="0.3">
      <c r="A770" s="132"/>
      <c r="B770" s="132"/>
      <c r="C770" s="132"/>
      <c r="D770" s="132"/>
      <c r="E770" s="132"/>
      <c r="F770" s="132"/>
      <c r="G770" s="132"/>
      <c r="H770" s="132"/>
      <c r="I770" s="132"/>
      <c r="J770" s="132"/>
      <c r="K770" s="132"/>
      <c r="L770" s="132"/>
      <c r="M770" s="132"/>
      <c r="N770" s="132"/>
      <c r="O770" s="132"/>
      <c r="P770" s="132"/>
      <c r="Q770" s="132"/>
      <c r="R770" s="132"/>
      <c r="S770" s="132"/>
      <c r="T770" s="132"/>
      <c r="U770" s="132"/>
      <c r="V770" s="132"/>
      <c r="W770" s="132"/>
      <c r="X770" s="132"/>
      <c r="Y770" s="132"/>
      <c r="Z770" s="132"/>
    </row>
    <row r="771" spans="1:26" ht="11.25" customHeight="1" x14ac:dyDescent="0.3">
      <c r="A771" s="132"/>
      <c r="B771" s="132"/>
      <c r="C771" s="132"/>
      <c r="D771" s="132"/>
      <c r="E771" s="132"/>
      <c r="F771" s="132"/>
      <c r="G771" s="132"/>
      <c r="H771" s="132"/>
      <c r="I771" s="132"/>
      <c r="J771" s="132"/>
      <c r="K771" s="132"/>
      <c r="L771" s="132"/>
      <c r="M771" s="132"/>
      <c r="N771" s="132"/>
      <c r="O771" s="132"/>
      <c r="P771" s="132"/>
      <c r="Q771" s="132"/>
      <c r="R771" s="132"/>
      <c r="S771" s="132"/>
      <c r="T771" s="132"/>
      <c r="U771" s="132"/>
      <c r="V771" s="132"/>
      <c r="W771" s="132"/>
      <c r="X771" s="132"/>
      <c r="Y771" s="132"/>
      <c r="Z771" s="132"/>
    </row>
    <row r="772" spans="1:26" ht="11.25" customHeight="1" x14ac:dyDescent="0.3">
      <c r="A772" s="132"/>
      <c r="B772" s="132"/>
      <c r="C772" s="132"/>
      <c r="D772" s="132"/>
      <c r="E772" s="132"/>
      <c r="F772" s="132"/>
      <c r="G772" s="132"/>
      <c r="H772" s="132"/>
      <c r="I772" s="132"/>
      <c r="J772" s="132"/>
      <c r="K772" s="132"/>
      <c r="L772" s="132"/>
      <c r="M772" s="132"/>
      <c r="N772" s="132"/>
      <c r="O772" s="132"/>
      <c r="P772" s="132"/>
      <c r="Q772" s="132"/>
      <c r="R772" s="132"/>
      <c r="S772" s="132"/>
      <c r="T772" s="132"/>
      <c r="U772" s="132"/>
      <c r="V772" s="132"/>
      <c r="W772" s="132"/>
      <c r="X772" s="132"/>
      <c r="Y772" s="132"/>
      <c r="Z772" s="132"/>
    </row>
    <row r="773" spans="1:26" ht="11.25" customHeight="1" x14ac:dyDescent="0.3">
      <c r="A773" s="132"/>
      <c r="B773" s="132"/>
      <c r="C773" s="132"/>
      <c r="D773" s="132"/>
      <c r="E773" s="132"/>
      <c r="F773" s="132"/>
      <c r="G773" s="132"/>
      <c r="H773" s="132"/>
      <c r="I773" s="132"/>
      <c r="J773" s="132"/>
      <c r="K773" s="132"/>
      <c r="L773" s="132"/>
      <c r="M773" s="132"/>
      <c r="N773" s="132"/>
      <c r="O773" s="132"/>
      <c r="P773" s="132"/>
      <c r="Q773" s="132"/>
      <c r="R773" s="132"/>
      <c r="S773" s="132"/>
      <c r="T773" s="132"/>
      <c r="U773" s="132"/>
      <c r="V773" s="132"/>
      <c r="W773" s="132"/>
      <c r="X773" s="132"/>
      <c r="Y773" s="132"/>
      <c r="Z773" s="132"/>
    </row>
    <row r="774" spans="1:26" ht="11.25" customHeight="1" x14ac:dyDescent="0.3">
      <c r="A774" s="132"/>
      <c r="B774" s="132"/>
      <c r="C774" s="132"/>
      <c r="D774" s="132"/>
      <c r="E774" s="132"/>
      <c r="F774" s="132"/>
      <c r="G774" s="132"/>
      <c r="H774" s="132"/>
      <c r="I774" s="132"/>
      <c r="J774" s="132"/>
      <c r="K774" s="132"/>
      <c r="L774" s="132"/>
      <c r="M774" s="132"/>
      <c r="N774" s="132"/>
      <c r="O774" s="132"/>
      <c r="P774" s="132"/>
      <c r="Q774" s="132"/>
      <c r="R774" s="132"/>
      <c r="S774" s="132"/>
      <c r="T774" s="132"/>
      <c r="U774" s="132"/>
      <c r="V774" s="132"/>
      <c r="W774" s="132"/>
      <c r="X774" s="132"/>
      <c r="Y774" s="132"/>
      <c r="Z774" s="132"/>
    </row>
    <row r="775" spans="1:26" ht="11.25" customHeight="1" x14ac:dyDescent="0.3">
      <c r="A775" s="132"/>
      <c r="B775" s="132"/>
      <c r="C775" s="132"/>
      <c r="D775" s="132"/>
      <c r="E775" s="132"/>
      <c r="F775" s="132"/>
      <c r="G775" s="132"/>
      <c r="H775" s="132"/>
      <c r="I775" s="132"/>
      <c r="J775" s="132"/>
      <c r="K775" s="132"/>
      <c r="L775" s="132"/>
      <c r="M775" s="132"/>
      <c r="N775" s="132"/>
      <c r="O775" s="132"/>
      <c r="P775" s="132"/>
      <c r="Q775" s="132"/>
      <c r="R775" s="132"/>
      <c r="S775" s="132"/>
      <c r="T775" s="132"/>
      <c r="U775" s="132"/>
      <c r="V775" s="132"/>
      <c r="W775" s="132"/>
      <c r="X775" s="132"/>
      <c r="Y775" s="132"/>
      <c r="Z775" s="132"/>
    </row>
    <row r="776" spans="1:26" ht="11.25" customHeight="1" x14ac:dyDescent="0.3">
      <c r="A776" s="132"/>
      <c r="B776" s="132"/>
      <c r="C776" s="132"/>
      <c r="D776" s="132"/>
      <c r="E776" s="132"/>
      <c r="F776" s="132"/>
      <c r="G776" s="132"/>
      <c r="H776" s="132"/>
      <c r="I776" s="132"/>
      <c r="J776" s="132"/>
      <c r="K776" s="132"/>
      <c r="L776" s="132"/>
      <c r="M776" s="132"/>
      <c r="N776" s="132"/>
      <c r="O776" s="132"/>
      <c r="P776" s="132"/>
      <c r="Q776" s="132"/>
      <c r="R776" s="132"/>
      <c r="S776" s="132"/>
      <c r="T776" s="132"/>
      <c r="U776" s="132"/>
      <c r="V776" s="132"/>
      <c r="W776" s="132"/>
      <c r="X776" s="132"/>
      <c r="Y776" s="132"/>
      <c r="Z776" s="132"/>
    </row>
    <row r="777" spans="1:26" ht="11.25" customHeight="1" x14ac:dyDescent="0.3">
      <c r="A777" s="132"/>
      <c r="B777" s="132"/>
      <c r="C777" s="132"/>
      <c r="D777" s="132"/>
      <c r="E777" s="132"/>
      <c r="F777" s="132"/>
      <c r="G777" s="132"/>
      <c r="H777" s="132"/>
      <c r="I777" s="132"/>
      <c r="J777" s="132"/>
      <c r="K777" s="132"/>
      <c r="L777" s="132"/>
      <c r="M777" s="132"/>
      <c r="N777" s="132"/>
      <c r="O777" s="132"/>
      <c r="P777" s="132"/>
      <c r="Q777" s="132"/>
      <c r="R777" s="132"/>
      <c r="S777" s="132"/>
      <c r="T777" s="132"/>
      <c r="U777" s="132"/>
      <c r="V777" s="132"/>
      <c r="W777" s="132"/>
      <c r="X777" s="132"/>
      <c r="Y777" s="132"/>
      <c r="Z777" s="132"/>
    </row>
    <row r="778" spans="1:26" ht="11.25" customHeight="1" x14ac:dyDescent="0.3">
      <c r="A778" s="132"/>
      <c r="B778" s="132"/>
      <c r="C778" s="132"/>
      <c r="D778" s="132"/>
      <c r="E778" s="132"/>
      <c r="F778" s="132"/>
      <c r="G778" s="132"/>
      <c r="H778" s="132"/>
      <c r="I778" s="132"/>
      <c r="J778" s="132"/>
      <c r="K778" s="132"/>
      <c r="L778" s="132"/>
      <c r="M778" s="132"/>
      <c r="N778" s="132"/>
      <c r="O778" s="132"/>
      <c r="P778" s="132"/>
      <c r="Q778" s="132"/>
      <c r="R778" s="132"/>
      <c r="S778" s="132"/>
      <c r="T778" s="132"/>
      <c r="U778" s="132"/>
      <c r="V778" s="132"/>
      <c r="W778" s="132"/>
      <c r="X778" s="132"/>
      <c r="Y778" s="132"/>
      <c r="Z778" s="132"/>
    </row>
    <row r="779" spans="1:26" ht="11.25" customHeight="1" x14ac:dyDescent="0.3">
      <c r="A779" s="132"/>
      <c r="B779" s="132"/>
      <c r="C779" s="132"/>
      <c r="D779" s="132"/>
      <c r="E779" s="132"/>
      <c r="F779" s="132"/>
      <c r="G779" s="132"/>
      <c r="H779" s="132"/>
      <c r="I779" s="132"/>
      <c r="J779" s="132"/>
      <c r="K779" s="132"/>
      <c r="L779" s="132"/>
      <c r="M779" s="132"/>
      <c r="N779" s="132"/>
      <c r="O779" s="132"/>
      <c r="P779" s="132"/>
      <c r="Q779" s="132"/>
      <c r="R779" s="132"/>
      <c r="S779" s="132"/>
      <c r="T779" s="132"/>
      <c r="U779" s="132"/>
      <c r="V779" s="132"/>
      <c r="W779" s="132"/>
      <c r="X779" s="132"/>
      <c r="Y779" s="132"/>
      <c r="Z779" s="132"/>
    </row>
    <row r="780" spans="1:26" ht="11.25" customHeight="1" x14ac:dyDescent="0.3">
      <c r="A780" s="132"/>
      <c r="B780" s="132"/>
      <c r="C780" s="132"/>
      <c r="D780" s="132"/>
      <c r="E780" s="132"/>
      <c r="F780" s="132"/>
      <c r="G780" s="132"/>
      <c r="H780" s="132"/>
      <c r="I780" s="132"/>
      <c r="J780" s="132"/>
      <c r="K780" s="132"/>
      <c r="L780" s="132"/>
      <c r="M780" s="132"/>
      <c r="N780" s="132"/>
      <c r="O780" s="132"/>
      <c r="P780" s="132"/>
      <c r="Q780" s="132"/>
      <c r="R780" s="132"/>
      <c r="S780" s="132"/>
      <c r="T780" s="132"/>
      <c r="U780" s="132"/>
      <c r="V780" s="132"/>
      <c r="W780" s="132"/>
      <c r="X780" s="132"/>
      <c r="Y780" s="132"/>
      <c r="Z780" s="132"/>
    </row>
    <row r="781" spans="1:26" ht="11.25" customHeight="1" x14ac:dyDescent="0.3">
      <c r="A781" s="132"/>
      <c r="B781" s="132"/>
      <c r="C781" s="132"/>
      <c r="D781" s="132"/>
      <c r="E781" s="132"/>
      <c r="F781" s="132"/>
      <c r="G781" s="132"/>
      <c r="H781" s="132"/>
      <c r="I781" s="132"/>
      <c r="J781" s="132"/>
      <c r="K781" s="132"/>
      <c r="L781" s="132"/>
      <c r="M781" s="132"/>
      <c r="N781" s="132"/>
      <c r="O781" s="132"/>
      <c r="P781" s="132"/>
      <c r="Q781" s="132"/>
      <c r="R781" s="132"/>
      <c r="S781" s="132"/>
      <c r="T781" s="132"/>
      <c r="U781" s="132"/>
      <c r="V781" s="132"/>
      <c r="W781" s="132"/>
      <c r="X781" s="132"/>
      <c r="Y781" s="132"/>
      <c r="Z781" s="132"/>
    </row>
    <row r="782" spans="1:26" ht="11.25" customHeight="1" x14ac:dyDescent="0.3">
      <c r="A782" s="132"/>
      <c r="B782" s="132"/>
      <c r="C782" s="132"/>
      <c r="D782" s="132"/>
      <c r="E782" s="132"/>
      <c r="F782" s="132"/>
      <c r="G782" s="132"/>
      <c r="H782" s="132"/>
      <c r="I782" s="132"/>
      <c r="J782" s="132"/>
      <c r="K782" s="132"/>
      <c r="L782" s="132"/>
      <c r="M782" s="132"/>
      <c r="N782" s="132"/>
      <c r="O782" s="132"/>
      <c r="P782" s="132"/>
      <c r="Q782" s="132"/>
      <c r="R782" s="132"/>
      <c r="S782" s="132"/>
      <c r="T782" s="132"/>
      <c r="U782" s="132"/>
      <c r="V782" s="132"/>
      <c r="W782" s="132"/>
      <c r="X782" s="132"/>
      <c r="Y782" s="132"/>
      <c r="Z782" s="132"/>
    </row>
    <row r="783" spans="1:26" ht="11.25" customHeight="1" x14ac:dyDescent="0.3">
      <c r="A783" s="132"/>
      <c r="B783" s="132"/>
      <c r="C783" s="132"/>
      <c r="D783" s="132"/>
      <c r="E783" s="132"/>
      <c r="F783" s="132"/>
      <c r="G783" s="132"/>
      <c r="H783" s="132"/>
      <c r="I783" s="132"/>
      <c r="J783" s="132"/>
      <c r="K783" s="132"/>
      <c r="L783" s="132"/>
      <c r="M783" s="132"/>
      <c r="N783" s="132"/>
      <c r="O783" s="132"/>
      <c r="P783" s="132"/>
      <c r="Q783" s="132"/>
      <c r="R783" s="132"/>
      <c r="S783" s="132"/>
      <c r="T783" s="132"/>
      <c r="U783" s="132"/>
      <c r="V783" s="132"/>
      <c r="W783" s="132"/>
      <c r="X783" s="132"/>
      <c r="Y783" s="132"/>
      <c r="Z783" s="132"/>
    </row>
    <row r="784" spans="1:26" ht="11.25" customHeight="1" x14ac:dyDescent="0.3">
      <c r="A784" s="132"/>
      <c r="B784" s="132"/>
      <c r="C784" s="132"/>
      <c r="D784" s="132"/>
      <c r="E784" s="132"/>
      <c r="F784" s="132"/>
      <c r="G784" s="132"/>
      <c r="H784" s="132"/>
      <c r="I784" s="132"/>
      <c r="J784" s="132"/>
      <c r="K784" s="132"/>
      <c r="L784" s="132"/>
      <c r="M784" s="132"/>
      <c r="N784" s="132"/>
      <c r="O784" s="132"/>
      <c r="P784" s="132"/>
      <c r="Q784" s="132"/>
      <c r="R784" s="132"/>
      <c r="S784" s="132"/>
      <c r="T784" s="132"/>
      <c r="U784" s="132"/>
      <c r="V784" s="132"/>
      <c r="W784" s="132"/>
      <c r="X784" s="132"/>
      <c r="Y784" s="132"/>
      <c r="Z784" s="132"/>
    </row>
    <row r="785" spans="1:26" ht="11.25" customHeight="1" x14ac:dyDescent="0.3">
      <c r="A785" s="132"/>
      <c r="B785" s="132"/>
      <c r="C785" s="132"/>
      <c r="D785" s="132"/>
      <c r="E785" s="132"/>
      <c r="F785" s="132"/>
      <c r="G785" s="132"/>
      <c r="H785" s="132"/>
      <c r="I785" s="132"/>
      <c r="J785" s="132"/>
      <c r="K785" s="132"/>
      <c r="L785" s="132"/>
      <c r="M785" s="132"/>
      <c r="N785" s="132"/>
      <c r="O785" s="132"/>
      <c r="P785" s="132"/>
      <c r="Q785" s="132"/>
      <c r="R785" s="132"/>
      <c r="S785" s="132"/>
      <c r="T785" s="132"/>
      <c r="U785" s="132"/>
      <c r="V785" s="132"/>
      <c r="W785" s="132"/>
      <c r="X785" s="132"/>
      <c r="Y785" s="132"/>
      <c r="Z785" s="132"/>
    </row>
    <row r="786" spans="1:26" ht="11.25" customHeight="1" x14ac:dyDescent="0.3">
      <c r="A786" s="132"/>
      <c r="B786" s="132"/>
      <c r="C786" s="132"/>
      <c r="D786" s="132"/>
      <c r="E786" s="132"/>
      <c r="F786" s="132"/>
      <c r="G786" s="132"/>
      <c r="H786" s="132"/>
      <c r="I786" s="132"/>
      <c r="J786" s="132"/>
      <c r="K786" s="132"/>
      <c r="L786" s="132"/>
      <c r="M786" s="132"/>
      <c r="N786" s="132"/>
      <c r="O786" s="132"/>
      <c r="P786" s="132"/>
      <c r="Q786" s="132"/>
      <c r="R786" s="132"/>
      <c r="S786" s="132"/>
      <c r="T786" s="132"/>
      <c r="U786" s="132"/>
      <c r="V786" s="132"/>
      <c r="W786" s="132"/>
      <c r="X786" s="132"/>
      <c r="Y786" s="132"/>
      <c r="Z786" s="132"/>
    </row>
    <row r="787" spans="1:26" ht="11.25" customHeight="1" x14ac:dyDescent="0.3">
      <c r="A787" s="132"/>
      <c r="B787" s="132"/>
      <c r="C787" s="132"/>
      <c r="D787" s="132"/>
      <c r="E787" s="132"/>
      <c r="F787" s="132"/>
      <c r="G787" s="132"/>
      <c r="H787" s="132"/>
      <c r="I787" s="132"/>
      <c r="J787" s="132"/>
      <c r="K787" s="132"/>
      <c r="L787" s="132"/>
      <c r="M787" s="132"/>
      <c r="N787" s="132"/>
      <c r="O787" s="132"/>
      <c r="P787" s="132"/>
      <c r="Q787" s="132"/>
      <c r="R787" s="132"/>
      <c r="S787" s="132"/>
      <c r="T787" s="132"/>
      <c r="U787" s="132"/>
      <c r="V787" s="132"/>
      <c r="W787" s="132"/>
      <c r="X787" s="132"/>
      <c r="Y787" s="132"/>
      <c r="Z787" s="132"/>
    </row>
    <row r="788" spans="1:26" ht="11.25" customHeight="1" x14ac:dyDescent="0.3">
      <c r="A788" s="132"/>
      <c r="B788" s="132"/>
      <c r="C788" s="132"/>
      <c r="D788" s="132"/>
      <c r="E788" s="132"/>
      <c r="F788" s="132"/>
      <c r="G788" s="132"/>
      <c r="H788" s="132"/>
      <c r="I788" s="132"/>
      <c r="J788" s="132"/>
      <c r="K788" s="132"/>
      <c r="L788" s="132"/>
      <c r="M788" s="132"/>
      <c r="N788" s="132"/>
      <c r="O788" s="132"/>
      <c r="P788" s="132"/>
      <c r="Q788" s="132"/>
      <c r="R788" s="132"/>
      <c r="S788" s="132"/>
      <c r="T788" s="132"/>
      <c r="U788" s="132"/>
      <c r="V788" s="132"/>
      <c r="W788" s="132"/>
      <c r="X788" s="132"/>
      <c r="Y788" s="132"/>
      <c r="Z788" s="132"/>
    </row>
    <row r="789" spans="1:26" ht="11.25" customHeight="1" x14ac:dyDescent="0.3">
      <c r="A789" s="132"/>
      <c r="B789" s="132"/>
      <c r="C789" s="132"/>
      <c r="D789" s="132"/>
      <c r="E789" s="132"/>
      <c r="F789" s="132"/>
      <c r="G789" s="132"/>
      <c r="H789" s="132"/>
      <c r="I789" s="132"/>
      <c r="J789" s="132"/>
      <c r="K789" s="132"/>
      <c r="L789" s="132"/>
      <c r="M789" s="132"/>
      <c r="N789" s="132"/>
      <c r="O789" s="132"/>
      <c r="P789" s="132"/>
      <c r="Q789" s="132"/>
      <c r="R789" s="132"/>
      <c r="S789" s="132"/>
      <c r="T789" s="132"/>
      <c r="U789" s="132"/>
      <c r="V789" s="132"/>
      <c r="W789" s="132"/>
      <c r="X789" s="132"/>
      <c r="Y789" s="132"/>
      <c r="Z789" s="132"/>
    </row>
    <row r="790" spans="1:26" ht="11.25" customHeight="1" x14ac:dyDescent="0.3">
      <c r="A790" s="132"/>
      <c r="B790" s="132"/>
      <c r="C790" s="132"/>
      <c r="D790" s="132"/>
      <c r="E790" s="132"/>
      <c r="F790" s="132"/>
      <c r="G790" s="132"/>
      <c r="H790" s="132"/>
      <c r="I790" s="132"/>
      <c r="J790" s="132"/>
      <c r="K790" s="132"/>
      <c r="L790" s="132"/>
      <c r="M790" s="132"/>
      <c r="N790" s="132"/>
      <c r="O790" s="132"/>
      <c r="P790" s="132"/>
      <c r="Q790" s="132"/>
      <c r="R790" s="132"/>
      <c r="S790" s="132"/>
      <c r="T790" s="132"/>
      <c r="U790" s="132"/>
      <c r="V790" s="132"/>
      <c r="W790" s="132"/>
      <c r="X790" s="132"/>
      <c r="Y790" s="132"/>
      <c r="Z790" s="132"/>
    </row>
    <row r="791" spans="1:26" ht="11.25" customHeight="1" x14ac:dyDescent="0.3">
      <c r="A791" s="132"/>
      <c r="B791" s="132"/>
      <c r="C791" s="132"/>
      <c r="D791" s="132"/>
      <c r="E791" s="132"/>
      <c r="F791" s="132"/>
      <c r="G791" s="132"/>
      <c r="H791" s="132"/>
      <c r="I791" s="132"/>
      <c r="J791" s="132"/>
      <c r="K791" s="132"/>
      <c r="L791" s="132"/>
      <c r="M791" s="132"/>
      <c r="N791" s="132"/>
      <c r="O791" s="132"/>
      <c r="P791" s="132"/>
      <c r="Q791" s="132"/>
      <c r="R791" s="132"/>
      <c r="S791" s="132"/>
      <c r="T791" s="132"/>
      <c r="U791" s="132"/>
      <c r="V791" s="132"/>
      <c r="W791" s="132"/>
      <c r="X791" s="132"/>
      <c r="Y791" s="132"/>
      <c r="Z791" s="132"/>
    </row>
    <row r="792" spans="1:26" ht="11.25" customHeight="1" x14ac:dyDescent="0.3">
      <c r="A792" s="132"/>
      <c r="B792" s="132"/>
      <c r="C792" s="132"/>
      <c r="D792" s="132"/>
      <c r="E792" s="132"/>
      <c r="F792" s="132"/>
      <c r="G792" s="132"/>
      <c r="H792" s="132"/>
      <c r="I792" s="132"/>
      <c r="J792" s="132"/>
      <c r="K792" s="132"/>
      <c r="L792" s="132"/>
      <c r="M792" s="132"/>
      <c r="N792" s="132"/>
      <c r="O792" s="132"/>
      <c r="P792" s="132"/>
      <c r="Q792" s="132"/>
      <c r="R792" s="132"/>
      <c r="S792" s="132"/>
      <c r="T792" s="132"/>
      <c r="U792" s="132"/>
      <c r="V792" s="132"/>
      <c r="W792" s="132"/>
      <c r="X792" s="132"/>
      <c r="Y792" s="132"/>
      <c r="Z792" s="132"/>
    </row>
    <row r="793" spans="1:26" ht="11.25" customHeight="1" x14ac:dyDescent="0.3">
      <c r="A793" s="132"/>
      <c r="B793" s="132"/>
      <c r="C793" s="132"/>
      <c r="D793" s="132"/>
      <c r="E793" s="132"/>
      <c r="F793" s="132"/>
      <c r="G793" s="132"/>
      <c r="H793" s="132"/>
      <c r="I793" s="132"/>
      <c r="J793" s="132"/>
      <c r="K793" s="132"/>
      <c r="L793" s="132"/>
      <c r="M793" s="132"/>
      <c r="N793" s="132"/>
      <c r="O793" s="132"/>
      <c r="P793" s="132"/>
      <c r="Q793" s="132"/>
      <c r="R793" s="132"/>
      <c r="S793" s="132"/>
      <c r="T793" s="132"/>
      <c r="U793" s="132"/>
      <c r="V793" s="132"/>
      <c r="W793" s="132"/>
      <c r="X793" s="132"/>
      <c r="Y793" s="132"/>
      <c r="Z793" s="132"/>
    </row>
    <row r="794" spans="1:26" ht="11.25" customHeight="1" x14ac:dyDescent="0.3">
      <c r="A794" s="132"/>
      <c r="B794" s="132"/>
      <c r="C794" s="132"/>
      <c r="D794" s="132"/>
      <c r="E794" s="132"/>
      <c r="F794" s="132"/>
      <c r="G794" s="132"/>
      <c r="H794" s="132"/>
      <c r="I794" s="132"/>
      <c r="J794" s="132"/>
      <c r="K794" s="132"/>
      <c r="L794" s="132"/>
      <c r="M794" s="132"/>
      <c r="N794" s="132"/>
      <c r="O794" s="132"/>
      <c r="P794" s="132"/>
      <c r="Q794" s="132"/>
      <c r="R794" s="132"/>
      <c r="S794" s="132"/>
      <c r="T794" s="132"/>
      <c r="U794" s="132"/>
      <c r="V794" s="132"/>
      <c r="W794" s="132"/>
      <c r="X794" s="132"/>
      <c r="Y794" s="132"/>
      <c r="Z794" s="132"/>
    </row>
    <row r="795" spans="1:26" ht="11.25" customHeight="1" x14ac:dyDescent="0.3">
      <c r="A795" s="132"/>
      <c r="B795" s="132"/>
      <c r="C795" s="132"/>
      <c r="D795" s="132"/>
      <c r="E795" s="132"/>
      <c r="F795" s="132"/>
      <c r="G795" s="132"/>
      <c r="H795" s="132"/>
      <c r="I795" s="132"/>
      <c r="J795" s="132"/>
      <c r="K795" s="132"/>
      <c r="L795" s="132"/>
      <c r="M795" s="132"/>
      <c r="N795" s="132"/>
      <c r="O795" s="132"/>
      <c r="P795" s="132"/>
      <c r="Q795" s="132"/>
      <c r="R795" s="132"/>
      <c r="S795" s="132"/>
      <c r="T795" s="132"/>
      <c r="U795" s="132"/>
      <c r="V795" s="132"/>
      <c r="W795" s="132"/>
      <c r="X795" s="132"/>
      <c r="Y795" s="132"/>
      <c r="Z795" s="132"/>
    </row>
    <row r="796" spans="1:26" ht="11.25" customHeight="1" x14ac:dyDescent="0.3">
      <c r="A796" s="132"/>
      <c r="B796" s="132"/>
      <c r="C796" s="132"/>
      <c r="D796" s="132"/>
      <c r="E796" s="132"/>
      <c r="F796" s="132"/>
      <c r="G796" s="132"/>
      <c r="H796" s="132"/>
      <c r="I796" s="132"/>
      <c r="J796" s="132"/>
      <c r="K796" s="132"/>
      <c r="L796" s="132"/>
      <c r="M796" s="132"/>
      <c r="N796" s="132"/>
      <c r="O796" s="132"/>
      <c r="P796" s="132"/>
      <c r="Q796" s="132"/>
      <c r="R796" s="132"/>
      <c r="S796" s="132"/>
      <c r="T796" s="132"/>
      <c r="U796" s="132"/>
      <c r="V796" s="132"/>
      <c r="W796" s="132"/>
      <c r="X796" s="132"/>
      <c r="Y796" s="132"/>
      <c r="Z796" s="132"/>
    </row>
    <row r="797" spans="1:26" ht="11.25" customHeight="1" x14ac:dyDescent="0.3">
      <c r="A797" s="132"/>
      <c r="B797" s="132"/>
      <c r="C797" s="132"/>
      <c r="D797" s="132"/>
      <c r="E797" s="132"/>
      <c r="F797" s="132"/>
      <c r="G797" s="132"/>
      <c r="H797" s="132"/>
      <c r="I797" s="132"/>
      <c r="J797" s="132"/>
      <c r="K797" s="132"/>
      <c r="L797" s="132"/>
      <c r="M797" s="132"/>
      <c r="N797" s="132"/>
      <c r="O797" s="132"/>
      <c r="P797" s="132"/>
      <c r="Q797" s="132"/>
      <c r="R797" s="132"/>
      <c r="S797" s="132"/>
      <c r="T797" s="132"/>
      <c r="U797" s="132"/>
      <c r="V797" s="132"/>
      <c r="W797" s="132"/>
      <c r="X797" s="132"/>
      <c r="Y797" s="132"/>
      <c r="Z797" s="132"/>
    </row>
    <row r="798" spans="1:26" ht="11.25" customHeight="1" x14ac:dyDescent="0.3">
      <c r="A798" s="132"/>
      <c r="B798" s="132"/>
      <c r="C798" s="132"/>
      <c r="D798" s="132"/>
      <c r="E798" s="132"/>
      <c r="F798" s="132"/>
      <c r="G798" s="132"/>
      <c r="H798" s="132"/>
      <c r="I798" s="132"/>
      <c r="J798" s="132"/>
      <c r="K798" s="132"/>
      <c r="L798" s="132"/>
      <c r="M798" s="132"/>
      <c r="N798" s="132"/>
      <c r="O798" s="132"/>
      <c r="P798" s="132"/>
      <c r="Q798" s="132"/>
      <c r="R798" s="132"/>
      <c r="S798" s="132"/>
      <c r="T798" s="132"/>
      <c r="U798" s="132"/>
      <c r="V798" s="132"/>
      <c r="W798" s="132"/>
      <c r="X798" s="132"/>
      <c r="Y798" s="132"/>
      <c r="Z798" s="132"/>
    </row>
    <row r="799" spans="1:26" ht="11.25" customHeight="1" x14ac:dyDescent="0.3">
      <c r="A799" s="132"/>
      <c r="B799" s="132"/>
      <c r="C799" s="132"/>
      <c r="D799" s="132"/>
      <c r="E799" s="132"/>
      <c r="F799" s="132"/>
      <c r="G799" s="132"/>
      <c r="H799" s="132"/>
      <c r="I799" s="132"/>
      <c r="J799" s="132"/>
      <c r="K799" s="132"/>
      <c r="L799" s="132"/>
      <c r="M799" s="132"/>
      <c r="N799" s="132"/>
      <c r="O799" s="132"/>
      <c r="P799" s="132"/>
      <c r="Q799" s="132"/>
      <c r="R799" s="132"/>
      <c r="S799" s="132"/>
      <c r="T799" s="132"/>
      <c r="U799" s="132"/>
      <c r="V799" s="132"/>
      <c r="W799" s="132"/>
      <c r="X799" s="132"/>
      <c r="Y799" s="132"/>
      <c r="Z799" s="132"/>
    </row>
    <row r="800" spans="1:26" ht="11.25" customHeight="1" x14ac:dyDescent="0.3">
      <c r="A800" s="132"/>
      <c r="B800" s="132"/>
      <c r="C800" s="132"/>
      <c r="D800" s="132"/>
      <c r="E800" s="132"/>
      <c r="F800" s="132"/>
      <c r="G800" s="132"/>
      <c r="H800" s="132"/>
      <c r="I800" s="132"/>
      <c r="J800" s="132"/>
      <c r="K800" s="132"/>
      <c r="L800" s="132"/>
      <c r="M800" s="132"/>
      <c r="N800" s="132"/>
      <c r="O800" s="132"/>
      <c r="P800" s="132"/>
      <c r="Q800" s="132"/>
      <c r="R800" s="132"/>
      <c r="S800" s="132"/>
      <c r="T800" s="132"/>
      <c r="U800" s="132"/>
      <c r="V800" s="132"/>
      <c r="W800" s="132"/>
      <c r="X800" s="132"/>
      <c r="Y800" s="132"/>
      <c r="Z800" s="132"/>
    </row>
    <row r="801" spans="1:26" ht="11.25" customHeight="1" x14ac:dyDescent="0.3">
      <c r="A801" s="132"/>
      <c r="B801" s="132"/>
      <c r="C801" s="132"/>
      <c r="D801" s="132"/>
      <c r="E801" s="132"/>
      <c r="F801" s="132"/>
      <c r="G801" s="132"/>
      <c r="H801" s="132"/>
      <c r="I801" s="132"/>
      <c r="J801" s="132"/>
      <c r="K801" s="132"/>
      <c r="L801" s="132"/>
      <c r="M801" s="132"/>
      <c r="N801" s="132"/>
      <c r="O801" s="132"/>
      <c r="P801" s="132"/>
      <c r="Q801" s="132"/>
      <c r="R801" s="132"/>
      <c r="S801" s="132"/>
      <c r="T801" s="132"/>
      <c r="U801" s="132"/>
      <c r="V801" s="132"/>
      <c r="W801" s="132"/>
      <c r="X801" s="132"/>
      <c r="Y801" s="132"/>
      <c r="Z801" s="132"/>
    </row>
    <row r="802" spans="1:26" ht="11.25" customHeight="1" x14ac:dyDescent="0.3">
      <c r="A802" s="132"/>
      <c r="B802" s="132"/>
      <c r="C802" s="132"/>
      <c r="D802" s="132"/>
      <c r="E802" s="132"/>
      <c r="F802" s="132"/>
      <c r="G802" s="132"/>
      <c r="H802" s="132"/>
      <c r="I802" s="132"/>
      <c r="J802" s="132"/>
      <c r="K802" s="132"/>
      <c r="L802" s="132"/>
      <c r="M802" s="132"/>
      <c r="N802" s="132"/>
      <c r="O802" s="132"/>
      <c r="P802" s="132"/>
      <c r="Q802" s="132"/>
      <c r="R802" s="132"/>
      <c r="S802" s="132"/>
      <c r="T802" s="132"/>
      <c r="U802" s="132"/>
      <c r="V802" s="132"/>
      <c r="W802" s="132"/>
      <c r="X802" s="132"/>
      <c r="Y802" s="132"/>
      <c r="Z802" s="132"/>
    </row>
    <row r="803" spans="1:26" ht="11.25" customHeight="1" x14ac:dyDescent="0.3">
      <c r="A803" s="132"/>
      <c r="B803" s="132"/>
      <c r="C803" s="132"/>
      <c r="D803" s="132"/>
      <c r="E803" s="132"/>
      <c r="F803" s="132"/>
      <c r="G803" s="132"/>
      <c r="H803" s="132"/>
      <c r="I803" s="132"/>
      <c r="J803" s="132"/>
      <c r="K803" s="132"/>
      <c r="L803" s="132"/>
      <c r="M803" s="132"/>
      <c r="N803" s="132"/>
      <c r="O803" s="132"/>
      <c r="P803" s="132"/>
      <c r="Q803" s="132"/>
      <c r="R803" s="132"/>
      <c r="S803" s="132"/>
      <c r="T803" s="132"/>
      <c r="U803" s="132"/>
      <c r="V803" s="132"/>
      <c r="W803" s="132"/>
      <c r="X803" s="132"/>
      <c r="Y803" s="132"/>
      <c r="Z803" s="132"/>
    </row>
    <row r="804" spans="1:26" ht="11.25" customHeight="1" x14ac:dyDescent="0.3">
      <c r="A804" s="132"/>
      <c r="B804" s="132"/>
      <c r="C804" s="132"/>
      <c r="D804" s="132"/>
      <c r="E804" s="132"/>
      <c r="F804" s="132"/>
      <c r="G804" s="132"/>
      <c r="H804" s="132"/>
      <c r="I804" s="132"/>
      <c r="J804" s="132"/>
      <c r="K804" s="132"/>
      <c r="L804" s="132"/>
      <c r="M804" s="132"/>
      <c r="N804" s="132"/>
      <c r="O804" s="132"/>
      <c r="P804" s="132"/>
      <c r="Q804" s="132"/>
      <c r="R804" s="132"/>
      <c r="S804" s="132"/>
      <c r="T804" s="132"/>
      <c r="U804" s="132"/>
      <c r="V804" s="132"/>
      <c r="W804" s="132"/>
      <c r="X804" s="132"/>
      <c r="Y804" s="132"/>
      <c r="Z804" s="132"/>
    </row>
    <row r="805" spans="1:26" ht="11.25" customHeight="1" x14ac:dyDescent="0.3">
      <c r="A805" s="132"/>
      <c r="B805" s="132"/>
      <c r="C805" s="132"/>
      <c r="D805" s="132"/>
      <c r="E805" s="132"/>
      <c r="F805" s="132"/>
      <c r="G805" s="132"/>
      <c r="H805" s="132"/>
      <c r="I805" s="132"/>
      <c r="J805" s="132"/>
      <c r="K805" s="132"/>
      <c r="L805" s="132"/>
      <c r="M805" s="132"/>
      <c r="N805" s="132"/>
      <c r="O805" s="132"/>
      <c r="P805" s="132"/>
      <c r="Q805" s="132"/>
      <c r="R805" s="132"/>
      <c r="S805" s="132"/>
      <c r="T805" s="132"/>
      <c r="U805" s="132"/>
      <c r="V805" s="132"/>
      <c r="W805" s="132"/>
      <c r="X805" s="132"/>
      <c r="Y805" s="132"/>
      <c r="Z805" s="132"/>
    </row>
    <row r="806" spans="1:26" ht="11.25" customHeight="1" x14ac:dyDescent="0.3">
      <c r="A806" s="132"/>
      <c r="B806" s="132"/>
      <c r="C806" s="132"/>
      <c r="D806" s="132"/>
      <c r="E806" s="132"/>
      <c r="F806" s="132"/>
      <c r="G806" s="132"/>
      <c r="H806" s="132"/>
      <c r="I806" s="132"/>
      <c r="J806" s="132"/>
      <c r="K806" s="132"/>
      <c r="L806" s="132"/>
      <c r="M806" s="132"/>
      <c r="N806" s="132"/>
      <c r="O806" s="132"/>
      <c r="P806" s="132"/>
      <c r="Q806" s="132"/>
      <c r="R806" s="132"/>
      <c r="S806" s="132"/>
      <c r="T806" s="132"/>
      <c r="U806" s="132"/>
      <c r="V806" s="132"/>
      <c r="W806" s="132"/>
      <c r="X806" s="132"/>
      <c r="Y806" s="132"/>
      <c r="Z806" s="132"/>
    </row>
    <row r="807" spans="1:26" ht="11.25" customHeight="1" x14ac:dyDescent="0.3">
      <c r="A807" s="132"/>
      <c r="B807" s="132"/>
      <c r="C807" s="132"/>
      <c r="D807" s="132"/>
      <c r="E807" s="132"/>
      <c r="F807" s="132"/>
      <c r="G807" s="132"/>
      <c r="H807" s="132"/>
      <c r="I807" s="132"/>
      <c r="J807" s="132"/>
      <c r="K807" s="132"/>
      <c r="L807" s="132"/>
      <c r="M807" s="132"/>
      <c r="N807" s="132"/>
      <c r="O807" s="132"/>
      <c r="P807" s="132"/>
      <c r="Q807" s="132"/>
      <c r="R807" s="132"/>
      <c r="S807" s="132"/>
      <c r="T807" s="132"/>
      <c r="U807" s="132"/>
      <c r="V807" s="132"/>
      <c r="W807" s="132"/>
      <c r="X807" s="132"/>
      <c r="Y807" s="132"/>
      <c r="Z807" s="132"/>
    </row>
    <row r="808" spans="1:26" ht="11.25" customHeight="1" x14ac:dyDescent="0.3">
      <c r="A808" s="132"/>
      <c r="B808" s="132"/>
      <c r="C808" s="132"/>
      <c r="D808" s="132"/>
      <c r="E808" s="132"/>
      <c r="F808" s="132"/>
      <c r="G808" s="132"/>
      <c r="H808" s="132"/>
      <c r="I808" s="132"/>
      <c r="J808" s="132"/>
      <c r="K808" s="132"/>
      <c r="L808" s="132"/>
      <c r="M808" s="132"/>
      <c r="N808" s="132"/>
      <c r="O808" s="132"/>
      <c r="P808" s="132"/>
      <c r="Q808" s="132"/>
      <c r="R808" s="132"/>
      <c r="S808" s="132"/>
      <c r="T808" s="132"/>
      <c r="U808" s="132"/>
      <c r="V808" s="132"/>
      <c r="W808" s="132"/>
      <c r="X808" s="132"/>
      <c r="Y808" s="132"/>
      <c r="Z808" s="132"/>
    </row>
    <row r="809" spans="1:26" ht="11.25" customHeight="1" x14ac:dyDescent="0.3">
      <c r="A809" s="132"/>
      <c r="B809" s="132"/>
      <c r="C809" s="132"/>
      <c r="D809" s="132"/>
      <c r="E809" s="132"/>
      <c r="F809" s="132"/>
      <c r="G809" s="132"/>
      <c r="H809" s="132"/>
      <c r="I809" s="132"/>
      <c r="J809" s="132"/>
      <c r="K809" s="132"/>
      <c r="L809" s="132"/>
      <c r="M809" s="132"/>
      <c r="N809" s="132"/>
      <c r="O809" s="132"/>
      <c r="P809" s="132"/>
      <c r="Q809" s="132"/>
      <c r="R809" s="132"/>
      <c r="S809" s="132"/>
      <c r="T809" s="132"/>
      <c r="U809" s="132"/>
      <c r="V809" s="132"/>
      <c r="W809" s="132"/>
      <c r="X809" s="132"/>
      <c r="Y809" s="132"/>
      <c r="Z809" s="132"/>
    </row>
    <row r="810" spans="1:26" ht="11.25" customHeight="1" x14ac:dyDescent="0.3">
      <c r="A810" s="132"/>
      <c r="B810" s="132"/>
      <c r="C810" s="132"/>
      <c r="D810" s="132"/>
      <c r="E810" s="132"/>
      <c r="F810" s="132"/>
      <c r="G810" s="132"/>
      <c r="H810" s="132"/>
      <c r="I810" s="132"/>
      <c r="J810" s="132"/>
      <c r="K810" s="132"/>
      <c r="L810" s="132"/>
      <c r="M810" s="132"/>
      <c r="N810" s="132"/>
      <c r="O810" s="132"/>
      <c r="P810" s="132"/>
      <c r="Q810" s="132"/>
      <c r="R810" s="132"/>
      <c r="S810" s="132"/>
      <c r="T810" s="132"/>
      <c r="U810" s="132"/>
      <c r="V810" s="132"/>
      <c r="W810" s="132"/>
      <c r="X810" s="132"/>
      <c r="Y810" s="132"/>
      <c r="Z810" s="132"/>
    </row>
    <row r="811" spans="1:26" ht="11.25" customHeight="1" x14ac:dyDescent="0.3">
      <c r="A811" s="132"/>
      <c r="B811" s="132"/>
      <c r="C811" s="132"/>
      <c r="D811" s="132"/>
      <c r="E811" s="132"/>
      <c r="F811" s="132"/>
      <c r="G811" s="132"/>
      <c r="H811" s="132"/>
      <c r="I811" s="132"/>
      <c r="J811" s="132"/>
      <c r="K811" s="132"/>
      <c r="L811" s="132"/>
      <c r="M811" s="132"/>
      <c r="N811" s="132"/>
      <c r="O811" s="132"/>
      <c r="P811" s="132"/>
      <c r="Q811" s="132"/>
      <c r="R811" s="132"/>
      <c r="S811" s="132"/>
      <c r="T811" s="132"/>
      <c r="U811" s="132"/>
      <c r="V811" s="132"/>
      <c r="W811" s="132"/>
      <c r="X811" s="132"/>
      <c r="Y811" s="132"/>
      <c r="Z811" s="132"/>
    </row>
    <row r="812" spans="1:26" ht="11.25" customHeight="1" x14ac:dyDescent="0.3">
      <c r="A812" s="132"/>
      <c r="B812" s="132"/>
      <c r="C812" s="132"/>
      <c r="D812" s="132"/>
      <c r="E812" s="132"/>
      <c r="F812" s="132"/>
      <c r="G812" s="132"/>
      <c r="H812" s="132"/>
      <c r="I812" s="132"/>
      <c r="J812" s="132"/>
      <c r="K812" s="132"/>
      <c r="L812" s="132"/>
      <c r="M812" s="132"/>
      <c r="N812" s="132"/>
      <c r="O812" s="132"/>
      <c r="P812" s="132"/>
      <c r="Q812" s="132"/>
      <c r="R812" s="132"/>
      <c r="S812" s="132"/>
      <c r="T812" s="132"/>
      <c r="U812" s="132"/>
      <c r="V812" s="132"/>
      <c r="W812" s="132"/>
      <c r="X812" s="132"/>
      <c r="Y812" s="132"/>
      <c r="Z812" s="132"/>
    </row>
    <row r="813" spans="1:26" ht="11.25" customHeight="1" x14ac:dyDescent="0.3">
      <c r="A813" s="132"/>
      <c r="B813" s="132"/>
      <c r="C813" s="132"/>
      <c r="D813" s="132"/>
      <c r="E813" s="132"/>
      <c r="F813" s="132"/>
      <c r="G813" s="132"/>
      <c r="H813" s="132"/>
      <c r="I813" s="132"/>
      <c r="J813" s="132"/>
      <c r="K813" s="132"/>
      <c r="L813" s="132"/>
      <c r="M813" s="132"/>
      <c r="N813" s="132"/>
      <c r="O813" s="132"/>
      <c r="P813" s="132"/>
      <c r="Q813" s="132"/>
      <c r="R813" s="132"/>
      <c r="S813" s="132"/>
      <c r="T813" s="132"/>
      <c r="U813" s="132"/>
      <c r="V813" s="132"/>
      <c r="W813" s="132"/>
      <c r="X813" s="132"/>
      <c r="Y813" s="132"/>
      <c r="Z813" s="132"/>
    </row>
    <row r="814" spans="1:26" ht="11.25" customHeight="1" x14ac:dyDescent="0.3">
      <c r="A814" s="132"/>
      <c r="B814" s="132"/>
      <c r="C814" s="132"/>
      <c r="D814" s="132"/>
      <c r="E814" s="132"/>
      <c r="F814" s="132"/>
      <c r="G814" s="132"/>
      <c r="H814" s="132"/>
      <c r="I814" s="132"/>
      <c r="J814" s="132"/>
      <c r="K814" s="132"/>
      <c r="L814" s="132"/>
      <c r="M814" s="132"/>
      <c r="N814" s="132"/>
      <c r="O814" s="132"/>
      <c r="P814" s="132"/>
      <c r="Q814" s="132"/>
      <c r="R814" s="132"/>
      <c r="S814" s="132"/>
      <c r="T814" s="132"/>
      <c r="U814" s="132"/>
      <c r="V814" s="132"/>
      <c r="W814" s="132"/>
      <c r="X814" s="132"/>
      <c r="Y814" s="132"/>
      <c r="Z814" s="132"/>
    </row>
    <row r="815" spans="1:26" ht="11.25" customHeight="1" x14ac:dyDescent="0.3">
      <c r="A815" s="132"/>
      <c r="B815" s="132"/>
      <c r="C815" s="132"/>
      <c r="D815" s="132"/>
      <c r="E815" s="132"/>
      <c r="F815" s="132"/>
      <c r="G815" s="132"/>
      <c r="H815" s="132"/>
      <c r="I815" s="132"/>
      <c r="J815" s="132"/>
      <c r="K815" s="132"/>
      <c r="L815" s="132"/>
      <c r="M815" s="132"/>
      <c r="N815" s="132"/>
      <c r="O815" s="132"/>
      <c r="P815" s="132"/>
      <c r="Q815" s="132"/>
      <c r="R815" s="132"/>
      <c r="S815" s="132"/>
      <c r="T815" s="132"/>
      <c r="U815" s="132"/>
      <c r="V815" s="132"/>
      <c r="W815" s="132"/>
      <c r="X815" s="132"/>
      <c r="Y815" s="132"/>
      <c r="Z815" s="132"/>
    </row>
    <row r="816" spans="1:26" ht="11.25" customHeight="1" x14ac:dyDescent="0.3">
      <c r="A816" s="132"/>
      <c r="B816" s="132"/>
      <c r="C816" s="132"/>
      <c r="D816" s="132"/>
      <c r="E816" s="132"/>
      <c r="F816" s="132"/>
      <c r="G816" s="132"/>
      <c r="H816" s="132"/>
      <c r="I816" s="132"/>
      <c r="J816" s="132"/>
      <c r="K816" s="132"/>
      <c r="L816" s="132"/>
      <c r="M816" s="132"/>
      <c r="N816" s="132"/>
      <c r="O816" s="132"/>
      <c r="P816" s="132"/>
      <c r="Q816" s="132"/>
      <c r="R816" s="132"/>
      <c r="S816" s="132"/>
      <c r="T816" s="132"/>
      <c r="U816" s="132"/>
      <c r="V816" s="132"/>
      <c r="W816" s="132"/>
      <c r="X816" s="132"/>
      <c r="Y816" s="132"/>
      <c r="Z816" s="132"/>
    </row>
    <row r="817" spans="1:26" ht="11.25" customHeight="1" x14ac:dyDescent="0.3">
      <c r="A817" s="132"/>
      <c r="B817" s="132"/>
      <c r="C817" s="132"/>
      <c r="D817" s="132"/>
      <c r="E817" s="132"/>
      <c r="F817" s="132"/>
      <c r="G817" s="132"/>
      <c r="H817" s="132"/>
      <c r="I817" s="132"/>
      <c r="J817" s="132"/>
      <c r="K817" s="132"/>
      <c r="L817" s="132"/>
      <c r="M817" s="132"/>
      <c r="N817" s="132"/>
      <c r="O817" s="132"/>
      <c r="P817" s="132"/>
      <c r="Q817" s="132"/>
      <c r="R817" s="132"/>
      <c r="S817" s="132"/>
      <c r="T817" s="132"/>
      <c r="U817" s="132"/>
      <c r="V817" s="132"/>
      <c r="W817" s="132"/>
      <c r="X817" s="132"/>
      <c r="Y817" s="132"/>
      <c r="Z817" s="132"/>
    </row>
    <row r="818" spans="1:26" ht="11.25" customHeight="1" x14ac:dyDescent="0.3">
      <c r="A818" s="132"/>
      <c r="B818" s="132"/>
      <c r="C818" s="132"/>
      <c r="D818" s="132"/>
      <c r="E818" s="132"/>
      <c r="F818" s="132"/>
      <c r="G818" s="132"/>
      <c r="H818" s="132"/>
      <c r="I818" s="132"/>
      <c r="J818" s="132"/>
      <c r="K818" s="132"/>
      <c r="L818" s="132"/>
      <c r="M818" s="132"/>
      <c r="N818" s="132"/>
      <c r="O818" s="132"/>
      <c r="P818" s="132"/>
      <c r="Q818" s="132"/>
      <c r="R818" s="132"/>
      <c r="S818" s="132"/>
      <c r="T818" s="132"/>
      <c r="U818" s="132"/>
      <c r="V818" s="132"/>
      <c r="W818" s="132"/>
      <c r="X818" s="132"/>
      <c r="Y818" s="132"/>
      <c r="Z818" s="132"/>
    </row>
    <row r="819" spans="1:26" ht="11.25" customHeight="1" x14ac:dyDescent="0.3">
      <c r="A819" s="132"/>
      <c r="B819" s="132"/>
      <c r="C819" s="132"/>
      <c r="D819" s="132"/>
      <c r="E819" s="132"/>
      <c r="F819" s="132"/>
      <c r="G819" s="132"/>
      <c r="H819" s="132"/>
      <c r="I819" s="132"/>
      <c r="J819" s="132"/>
      <c r="K819" s="132"/>
      <c r="L819" s="132"/>
      <c r="M819" s="132"/>
      <c r="N819" s="132"/>
      <c r="O819" s="132"/>
      <c r="P819" s="132"/>
      <c r="Q819" s="132"/>
      <c r="R819" s="132"/>
      <c r="S819" s="132"/>
      <c r="T819" s="132"/>
      <c r="U819" s="132"/>
      <c r="V819" s="132"/>
      <c r="W819" s="132"/>
      <c r="X819" s="132"/>
      <c r="Y819" s="132"/>
      <c r="Z819" s="132"/>
    </row>
    <row r="820" spans="1:26" ht="11.25" customHeight="1" x14ac:dyDescent="0.3">
      <c r="A820" s="132"/>
      <c r="B820" s="132"/>
      <c r="C820" s="132"/>
      <c r="D820" s="132"/>
      <c r="E820" s="132"/>
      <c r="F820" s="132"/>
      <c r="G820" s="132"/>
      <c r="H820" s="132"/>
      <c r="I820" s="132"/>
      <c r="J820" s="132"/>
      <c r="K820" s="132"/>
      <c r="L820" s="132"/>
      <c r="M820" s="132"/>
      <c r="N820" s="132"/>
      <c r="O820" s="132"/>
      <c r="P820" s="132"/>
      <c r="Q820" s="132"/>
      <c r="R820" s="132"/>
      <c r="S820" s="132"/>
      <c r="T820" s="132"/>
      <c r="U820" s="132"/>
      <c r="V820" s="132"/>
      <c r="W820" s="132"/>
      <c r="X820" s="132"/>
      <c r="Y820" s="132"/>
      <c r="Z820" s="132"/>
    </row>
    <row r="821" spans="1:26" ht="11.25" customHeight="1" x14ac:dyDescent="0.3">
      <c r="A821" s="132"/>
      <c r="B821" s="132"/>
      <c r="C821" s="132"/>
      <c r="D821" s="132"/>
      <c r="E821" s="132"/>
      <c r="F821" s="132"/>
      <c r="G821" s="132"/>
      <c r="H821" s="132"/>
      <c r="I821" s="132"/>
      <c r="J821" s="132"/>
      <c r="K821" s="132"/>
      <c r="L821" s="132"/>
      <c r="M821" s="132"/>
      <c r="N821" s="132"/>
      <c r="O821" s="132"/>
      <c r="P821" s="132"/>
      <c r="Q821" s="132"/>
      <c r="R821" s="132"/>
      <c r="S821" s="132"/>
      <c r="T821" s="132"/>
      <c r="U821" s="132"/>
      <c r="V821" s="132"/>
      <c r="W821" s="132"/>
      <c r="X821" s="132"/>
      <c r="Y821" s="132"/>
      <c r="Z821" s="132"/>
    </row>
    <row r="822" spans="1:26" ht="11.25" customHeight="1" x14ac:dyDescent="0.3">
      <c r="A822" s="132"/>
      <c r="B822" s="132"/>
      <c r="C822" s="132"/>
      <c r="D822" s="132"/>
      <c r="E822" s="132"/>
      <c r="F822" s="132"/>
      <c r="G822" s="132"/>
      <c r="H822" s="132"/>
      <c r="I822" s="132"/>
      <c r="J822" s="132"/>
      <c r="K822" s="132"/>
      <c r="L822" s="132"/>
      <c r="M822" s="132"/>
      <c r="N822" s="132"/>
      <c r="O822" s="132"/>
      <c r="P822" s="132"/>
      <c r="Q822" s="132"/>
      <c r="R822" s="132"/>
      <c r="S822" s="132"/>
      <c r="T822" s="132"/>
      <c r="U822" s="132"/>
      <c r="V822" s="132"/>
      <c r="W822" s="132"/>
      <c r="X822" s="132"/>
      <c r="Y822" s="132"/>
      <c r="Z822" s="132"/>
    </row>
    <row r="823" spans="1:26" ht="11.25" customHeight="1" x14ac:dyDescent="0.3">
      <c r="A823" s="132"/>
      <c r="B823" s="132"/>
      <c r="C823" s="132"/>
      <c r="D823" s="132"/>
      <c r="E823" s="132"/>
      <c r="F823" s="132"/>
      <c r="G823" s="132"/>
      <c r="H823" s="132"/>
      <c r="I823" s="132"/>
      <c r="J823" s="132"/>
      <c r="K823" s="132"/>
      <c r="L823" s="132"/>
      <c r="M823" s="132"/>
      <c r="N823" s="132"/>
      <c r="O823" s="132"/>
      <c r="P823" s="132"/>
      <c r="Q823" s="132"/>
      <c r="R823" s="132"/>
      <c r="S823" s="132"/>
      <c r="T823" s="132"/>
      <c r="U823" s="132"/>
      <c r="V823" s="132"/>
      <c r="W823" s="132"/>
      <c r="X823" s="132"/>
      <c r="Y823" s="132"/>
      <c r="Z823" s="132"/>
    </row>
    <row r="824" spans="1:26" ht="11.25" customHeight="1" x14ac:dyDescent="0.3">
      <c r="A824" s="132"/>
      <c r="B824" s="132"/>
      <c r="C824" s="132"/>
      <c r="D824" s="132"/>
      <c r="E824" s="132"/>
      <c r="F824" s="132"/>
      <c r="G824" s="132"/>
      <c r="H824" s="132"/>
      <c r="I824" s="132"/>
      <c r="J824" s="132"/>
      <c r="K824" s="132"/>
      <c r="L824" s="132"/>
      <c r="M824" s="132"/>
      <c r="N824" s="132"/>
      <c r="O824" s="132"/>
      <c r="P824" s="132"/>
      <c r="Q824" s="132"/>
      <c r="R824" s="132"/>
      <c r="S824" s="132"/>
      <c r="T824" s="132"/>
      <c r="U824" s="132"/>
      <c r="V824" s="132"/>
      <c r="W824" s="132"/>
      <c r="X824" s="132"/>
      <c r="Y824" s="132"/>
      <c r="Z824" s="132"/>
    </row>
    <row r="825" spans="1:26" ht="11.25" customHeight="1" x14ac:dyDescent="0.3">
      <c r="A825" s="132"/>
      <c r="B825" s="132"/>
      <c r="C825" s="132"/>
      <c r="D825" s="132"/>
      <c r="E825" s="132"/>
      <c r="F825" s="132"/>
      <c r="G825" s="132"/>
      <c r="H825" s="132"/>
      <c r="I825" s="132"/>
      <c r="J825" s="132"/>
      <c r="K825" s="132"/>
      <c r="L825" s="132"/>
      <c r="M825" s="132"/>
      <c r="N825" s="132"/>
      <c r="O825" s="132"/>
      <c r="P825" s="132"/>
      <c r="Q825" s="132"/>
      <c r="R825" s="132"/>
      <c r="S825" s="132"/>
      <c r="T825" s="132"/>
      <c r="U825" s="132"/>
      <c r="V825" s="132"/>
      <c r="W825" s="132"/>
      <c r="X825" s="132"/>
      <c r="Y825" s="132"/>
      <c r="Z825" s="132"/>
    </row>
    <row r="826" spans="1:26" ht="11.25" customHeight="1" x14ac:dyDescent="0.3">
      <c r="A826" s="132"/>
      <c r="B826" s="132"/>
      <c r="C826" s="132"/>
      <c r="D826" s="132"/>
      <c r="E826" s="132"/>
      <c r="F826" s="132"/>
      <c r="G826" s="132"/>
      <c r="H826" s="132"/>
      <c r="I826" s="132"/>
      <c r="J826" s="132"/>
      <c r="K826" s="132"/>
      <c r="L826" s="132"/>
      <c r="M826" s="132"/>
      <c r="N826" s="132"/>
      <c r="O826" s="132"/>
      <c r="P826" s="132"/>
      <c r="Q826" s="132"/>
      <c r="R826" s="132"/>
      <c r="S826" s="132"/>
      <c r="T826" s="132"/>
      <c r="U826" s="132"/>
      <c r="V826" s="132"/>
      <c r="W826" s="132"/>
      <c r="X826" s="132"/>
      <c r="Y826" s="132"/>
      <c r="Z826" s="132"/>
    </row>
    <row r="827" spans="1:26" ht="11.25" customHeight="1" x14ac:dyDescent="0.3">
      <c r="A827" s="132"/>
      <c r="B827" s="132"/>
      <c r="C827" s="132"/>
      <c r="D827" s="132"/>
      <c r="E827" s="132"/>
      <c r="F827" s="132"/>
      <c r="G827" s="132"/>
      <c r="H827" s="132"/>
      <c r="I827" s="132"/>
      <c r="J827" s="132"/>
      <c r="K827" s="132"/>
      <c r="L827" s="132"/>
      <c r="M827" s="132"/>
      <c r="N827" s="132"/>
      <c r="O827" s="132"/>
      <c r="P827" s="132"/>
      <c r="Q827" s="132"/>
      <c r="R827" s="132"/>
      <c r="S827" s="132"/>
      <c r="T827" s="132"/>
      <c r="U827" s="132"/>
      <c r="V827" s="132"/>
      <c r="W827" s="132"/>
      <c r="X827" s="132"/>
      <c r="Y827" s="132"/>
      <c r="Z827" s="132"/>
    </row>
    <row r="828" spans="1:26" ht="11.25" customHeight="1" x14ac:dyDescent="0.3">
      <c r="A828" s="132"/>
      <c r="B828" s="132"/>
      <c r="C828" s="132"/>
      <c r="D828" s="132"/>
      <c r="E828" s="132"/>
      <c r="F828" s="132"/>
      <c r="G828" s="132"/>
      <c r="H828" s="132"/>
      <c r="I828" s="132"/>
      <c r="J828" s="132"/>
      <c r="K828" s="132"/>
      <c r="L828" s="132"/>
      <c r="M828" s="132"/>
      <c r="N828" s="132"/>
      <c r="O828" s="132"/>
      <c r="P828" s="132"/>
      <c r="Q828" s="132"/>
      <c r="R828" s="132"/>
      <c r="S828" s="132"/>
      <c r="T828" s="132"/>
      <c r="U828" s="132"/>
      <c r="V828" s="132"/>
      <c r="W828" s="132"/>
      <c r="X828" s="132"/>
      <c r="Y828" s="132"/>
      <c r="Z828" s="132"/>
    </row>
    <row r="829" spans="1:26" ht="11.25" customHeight="1" x14ac:dyDescent="0.3">
      <c r="A829" s="132"/>
      <c r="B829" s="132"/>
      <c r="C829" s="132"/>
      <c r="D829" s="132"/>
      <c r="E829" s="132"/>
      <c r="F829" s="132"/>
      <c r="G829" s="132"/>
      <c r="H829" s="132"/>
      <c r="I829" s="132"/>
      <c r="J829" s="132"/>
      <c r="K829" s="132"/>
      <c r="L829" s="132"/>
      <c r="M829" s="132"/>
      <c r="N829" s="132"/>
      <c r="O829" s="132"/>
      <c r="P829" s="132"/>
      <c r="Q829" s="132"/>
      <c r="R829" s="132"/>
      <c r="S829" s="132"/>
      <c r="T829" s="132"/>
      <c r="U829" s="132"/>
      <c r="V829" s="132"/>
      <c r="W829" s="132"/>
      <c r="X829" s="132"/>
      <c r="Y829" s="132"/>
      <c r="Z829" s="132"/>
    </row>
    <row r="830" spans="1:26" ht="11.25" customHeight="1" x14ac:dyDescent="0.3">
      <c r="A830" s="132"/>
      <c r="B830" s="132"/>
      <c r="C830" s="132"/>
      <c r="D830" s="132"/>
      <c r="E830" s="132"/>
      <c r="F830" s="132"/>
      <c r="G830" s="132"/>
      <c r="H830" s="132"/>
      <c r="I830" s="132"/>
      <c r="J830" s="132"/>
      <c r="K830" s="132"/>
      <c r="L830" s="132"/>
      <c r="M830" s="132"/>
      <c r="N830" s="132"/>
      <c r="O830" s="132"/>
      <c r="P830" s="132"/>
      <c r="Q830" s="132"/>
      <c r="R830" s="132"/>
      <c r="S830" s="132"/>
      <c r="T830" s="132"/>
      <c r="U830" s="132"/>
      <c r="V830" s="132"/>
      <c r="W830" s="132"/>
      <c r="X830" s="132"/>
      <c r="Y830" s="132"/>
      <c r="Z830" s="132"/>
    </row>
    <row r="831" spans="1:26" ht="11.25" customHeight="1" x14ac:dyDescent="0.3">
      <c r="A831" s="132"/>
      <c r="B831" s="132"/>
      <c r="C831" s="132"/>
      <c r="D831" s="132"/>
      <c r="E831" s="132"/>
      <c r="F831" s="132"/>
      <c r="G831" s="132"/>
      <c r="H831" s="132"/>
      <c r="I831" s="132"/>
      <c r="J831" s="132"/>
      <c r="K831" s="132"/>
      <c r="L831" s="132"/>
      <c r="M831" s="132"/>
      <c r="N831" s="132"/>
      <c r="O831" s="132"/>
      <c r="P831" s="132"/>
      <c r="Q831" s="132"/>
      <c r="R831" s="132"/>
      <c r="S831" s="132"/>
      <c r="T831" s="132"/>
      <c r="U831" s="132"/>
      <c r="V831" s="132"/>
      <c r="W831" s="132"/>
      <c r="X831" s="132"/>
      <c r="Y831" s="132"/>
      <c r="Z831" s="132"/>
    </row>
    <row r="832" spans="1:26" ht="11.25" customHeight="1" x14ac:dyDescent="0.3">
      <c r="A832" s="132"/>
      <c r="B832" s="132"/>
      <c r="C832" s="132"/>
      <c r="D832" s="132"/>
      <c r="E832" s="132"/>
      <c r="F832" s="132"/>
      <c r="G832" s="132"/>
      <c r="H832" s="132"/>
      <c r="I832" s="132"/>
      <c r="J832" s="132"/>
      <c r="K832" s="132"/>
      <c r="L832" s="132"/>
      <c r="M832" s="132"/>
      <c r="N832" s="132"/>
      <c r="O832" s="132"/>
      <c r="P832" s="132"/>
      <c r="Q832" s="132"/>
      <c r="R832" s="132"/>
      <c r="S832" s="132"/>
      <c r="T832" s="132"/>
      <c r="U832" s="132"/>
      <c r="V832" s="132"/>
      <c r="W832" s="132"/>
      <c r="X832" s="132"/>
      <c r="Y832" s="132"/>
      <c r="Z832" s="132"/>
    </row>
    <row r="833" spans="1:26" ht="11.25" customHeight="1" x14ac:dyDescent="0.3">
      <c r="A833" s="132"/>
      <c r="B833" s="132"/>
      <c r="C833" s="132"/>
      <c r="D833" s="132"/>
      <c r="E833" s="132"/>
      <c r="F833" s="132"/>
      <c r="G833" s="132"/>
      <c r="H833" s="132"/>
      <c r="I833" s="132"/>
      <c r="J833" s="132"/>
      <c r="K833" s="132"/>
      <c r="L833" s="132"/>
      <c r="M833" s="132"/>
      <c r="N833" s="132"/>
      <c r="O833" s="132"/>
      <c r="P833" s="132"/>
      <c r="Q833" s="132"/>
      <c r="R833" s="132"/>
      <c r="S833" s="132"/>
      <c r="T833" s="132"/>
      <c r="U833" s="132"/>
      <c r="V833" s="132"/>
      <c r="W833" s="132"/>
      <c r="X833" s="132"/>
      <c r="Y833" s="132"/>
      <c r="Z833" s="132"/>
    </row>
    <row r="834" spans="1:26" ht="11.25" customHeight="1" x14ac:dyDescent="0.3">
      <c r="A834" s="132"/>
      <c r="B834" s="132"/>
      <c r="C834" s="132"/>
      <c r="D834" s="132"/>
      <c r="E834" s="132"/>
      <c r="F834" s="132"/>
      <c r="G834" s="132"/>
      <c r="H834" s="132"/>
      <c r="I834" s="132"/>
      <c r="J834" s="132"/>
      <c r="K834" s="132"/>
      <c r="L834" s="132"/>
      <c r="M834" s="132"/>
      <c r="N834" s="132"/>
      <c r="O834" s="132"/>
      <c r="P834" s="132"/>
      <c r="Q834" s="132"/>
      <c r="R834" s="132"/>
      <c r="S834" s="132"/>
      <c r="T834" s="132"/>
      <c r="U834" s="132"/>
      <c r="V834" s="132"/>
      <c r="W834" s="132"/>
      <c r="X834" s="132"/>
      <c r="Y834" s="132"/>
      <c r="Z834" s="132"/>
    </row>
    <row r="835" spans="1:26" ht="11.25" customHeight="1" x14ac:dyDescent="0.3">
      <c r="A835" s="132"/>
      <c r="B835" s="132"/>
      <c r="C835" s="132"/>
      <c r="D835" s="132"/>
      <c r="E835" s="132"/>
      <c r="F835" s="132"/>
      <c r="G835" s="132"/>
      <c r="H835" s="132"/>
      <c r="I835" s="132"/>
      <c r="J835" s="132"/>
      <c r="K835" s="132"/>
      <c r="L835" s="132"/>
      <c r="M835" s="132"/>
      <c r="N835" s="132"/>
      <c r="O835" s="132"/>
      <c r="P835" s="132"/>
      <c r="Q835" s="132"/>
      <c r="R835" s="132"/>
      <c r="S835" s="132"/>
      <c r="T835" s="132"/>
      <c r="U835" s="132"/>
      <c r="V835" s="132"/>
      <c r="W835" s="132"/>
      <c r="X835" s="132"/>
      <c r="Y835" s="132"/>
      <c r="Z835" s="132"/>
    </row>
    <row r="836" spans="1:26" ht="11.25" customHeight="1" x14ac:dyDescent="0.3">
      <c r="A836" s="132"/>
      <c r="B836" s="132"/>
      <c r="C836" s="132"/>
      <c r="D836" s="132"/>
      <c r="E836" s="132"/>
      <c r="F836" s="132"/>
      <c r="G836" s="132"/>
      <c r="H836" s="132"/>
      <c r="I836" s="132"/>
      <c r="J836" s="132"/>
      <c r="K836" s="132"/>
      <c r="L836" s="132"/>
      <c r="M836" s="132"/>
      <c r="N836" s="132"/>
      <c r="O836" s="132"/>
      <c r="P836" s="132"/>
      <c r="Q836" s="132"/>
      <c r="R836" s="132"/>
      <c r="S836" s="132"/>
      <c r="T836" s="132"/>
      <c r="U836" s="132"/>
      <c r="V836" s="132"/>
      <c r="W836" s="132"/>
      <c r="X836" s="132"/>
      <c r="Y836" s="132"/>
      <c r="Z836" s="132"/>
    </row>
    <row r="837" spans="1:26" ht="11.25" customHeight="1" x14ac:dyDescent="0.3">
      <c r="A837" s="132"/>
      <c r="B837" s="132"/>
      <c r="C837" s="132"/>
      <c r="D837" s="132"/>
      <c r="E837" s="132"/>
      <c r="F837" s="132"/>
      <c r="G837" s="132"/>
      <c r="H837" s="132"/>
      <c r="I837" s="132"/>
      <c r="J837" s="132"/>
      <c r="K837" s="132"/>
      <c r="L837" s="132"/>
      <c r="M837" s="132"/>
      <c r="N837" s="132"/>
      <c r="O837" s="132"/>
      <c r="P837" s="132"/>
      <c r="Q837" s="132"/>
      <c r="R837" s="132"/>
      <c r="S837" s="132"/>
      <c r="T837" s="132"/>
      <c r="U837" s="132"/>
      <c r="V837" s="132"/>
      <c r="W837" s="132"/>
      <c r="X837" s="132"/>
      <c r="Y837" s="132"/>
      <c r="Z837" s="132"/>
    </row>
    <row r="838" spans="1:26" ht="11.25" customHeight="1" x14ac:dyDescent="0.3">
      <c r="A838" s="132"/>
      <c r="B838" s="132"/>
      <c r="C838" s="132"/>
      <c r="D838" s="132"/>
      <c r="E838" s="132"/>
      <c r="F838" s="132"/>
      <c r="G838" s="132"/>
      <c r="H838" s="132"/>
      <c r="I838" s="132"/>
      <c r="J838" s="132"/>
      <c r="K838" s="132"/>
      <c r="L838" s="132"/>
      <c r="M838" s="132"/>
      <c r="N838" s="132"/>
      <c r="O838" s="132"/>
      <c r="P838" s="132"/>
      <c r="Q838" s="132"/>
      <c r="R838" s="132"/>
      <c r="S838" s="132"/>
      <c r="T838" s="132"/>
      <c r="U838" s="132"/>
      <c r="V838" s="132"/>
      <c r="W838" s="132"/>
      <c r="X838" s="132"/>
      <c r="Y838" s="132"/>
      <c r="Z838" s="132"/>
    </row>
    <row r="839" spans="1:26" ht="11.25" customHeight="1" x14ac:dyDescent="0.3">
      <c r="A839" s="132"/>
      <c r="B839" s="132"/>
      <c r="C839" s="132"/>
      <c r="D839" s="132"/>
      <c r="E839" s="132"/>
      <c r="F839" s="132"/>
      <c r="G839" s="132"/>
      <c r="H839" s="132"/>
      <c r="I839" s="132"/>
      <c r="J839" s="132"/>
      <c r="K839" s="132"/>
      <c r="L839" s="132"/>
      <c r="M839" s="132"/>
      <c r="N839" s="132"/>
      <c r="O839" s="132"/>
      <c r="P839" s="132"/>
      <c r="Q839" s="132"/>
      <c r="R839" s="132"/>
      <c r="S839" s="132"/>
      <c r="T839" s="132"/>
      <c r="U839" s="132"/>
      <c r="V839" s="132"/>
      <c r="W839" s="132"/>
      <c r="X839" s="132"/>
      <c r="Y839" s="132"/>
      <c r="Z839" s="132"/>
    </row>
    <row r="840" spans="1:26" ht="11.25" customHeight="1" x14ac:dyDescent="0.3">
      <c r="A840" s="132"/>
      <c r="B840" s="132"/>
      <c r="C840" s="132"/>
      <c r="D840" s="132"/>
      <c r="E840" s="132"/>
      <c r="F840" s="132"/>
      <c r="G840" s="132"/>
      <c r="H840" s="132"/>
      <c r="I840" s="132"/>
      <c r="J840" s="132"/>
      <c r="K840" s="132"/>
      <c r="L840" s="132"/>
      <c r="M840" s="132"/>
      <c r="N840" s="132"/>
      <c r="O840" s="132"/>
      <c r="P840" s="132"/>
      <c r="Q840" s="132"/>
      <c r="R840" s="132"/>
      <c r="S840" s="132"/>
      <c r="T840" s="132"/>
      <c r="U840" s="132"/>
      <c r="V840" s="132"/>
      <c r="W840" s="132"/>
      <c r="X840" s="132"/>
      <c r="Y840" s="132"/>
      <c r="Z840" s="132"/>
    </row>
    <row r="841" spans="1:26" ht="11.25" customHeight="1" x14ac:dyDescent="0.3">
      <c r="A841" s="132"/>
      <c r="B841" s="132"/>
      <c r="C841" s="132"/>
      <c r="D841" s="132"/>
      <c r="E841" s="132"/>
      <c r="F841" s="132"/>
      <c r="G841" s="132"/>
      <c r="H841" s="132"/>
      <c r="I841" s="132"/>
      <c r="J841" s="132"/>
      <c r="K841" s="132"/>
      <c r="L841" s="132"/>
      <c r="M841" s="132"/>
      <c r="N841" s="132"/>
      <c r="O841" s="132"/>
      <c r="P841" s="132"/>
      <c r="Q841" s="132"/>
      <c r="R841" s="132"/>
      <c r="S841" s="132"/>
      <c r="T841" s="132"/>
      <c r="U841" s="132"/>
      <c r="V841" s="132"/>
      <c r="W841" s="132"/>
      <c r="X841" s="132"/>
      <c r="Y841" s="132"/>
      <c r="Z841" s="132"/>
    </row>
    <row r="842" spans="1:26" ht="11.25" customHeight="1" x14ac:dyDescent="0.3">
      <c r="A842" s="132"/>
      <c r="B842" s="132"/>
      <c r="C842" s="132"/>
      <c r="D842" s="132"/>
      <c r="E842" s="132"/>
      <c r="F842" s="132"/>
      <c r="G842" s="132"/>
      <c r="H842" s="132"/>
      <c r="I842" s="132"/>
      <c r="J842" s="132"/>
      <c r="K842" s="132"/>
      <c r="L842" s="132"/>
      <c r="M842" s="132"/>
      <c r="N842" s="132"/>
      <c r="O842" s="132"/>
      <c r="P842" s="132"/>
      <c r="Q842" s="132"/>
      <c r="R842" s="132"/>
      <c r="S842" s="132"/>
      <c r="T842" s="132"/>
      <c r="U842" s="132"/>
      <c r="V842" s="132"/>
      <c r="W842" s="132"/>
      <c r="X842" s="132"/>
      <c r="Y842" s="132"/>
      <c r="Z842" s="132"/>
    </row>
    <row r="843" spans="1:26" ht="11.25" customHeight="1" x14ac:dyDescent="0.3">
      <c r="A843" s="132"/>
      <c r="B843" s="132"/>
      <c r="C843" s="132"/>
      <c r="D843" s="132"/>
      <c r="E843" s="132"/>
      <c r="F843" s="132"/>
      <c r="G843" s="132"/>
      <c r="H843" s="132"/>
      <c r="I843" s="132"/>
      <c r="J843" s="132"/>
      <c r="K843" s="132"/>
      <c r="L843" s="132"/>
      <c r="M843" s="132"/>
      <c r="N843" s="132"/>
      <c r="O843" s="132"/>
      <c r="P843" s="132"/>
      <c r="Q843" s="132"/>
      <c r="R843" s="132"/>
      <c r="S843" s="132"/>
      <c r="T843" s="132"/>
      <c r="U843" s="132"/>
      <c r="V843" s="132"/>
      <c r="W843" s="132"/>
      <c r="X843" s="132"/>
      <c r="Y843" s="132"/>
      <c r="Z843" s="132"/>
    </row>
    <row r="844" spans="1:26" ht="11.25" customHeight="1" x14ac:dyDescent="0.3">
      <c r="A844" s="132"/>
      <c r="B844" s="132"/>
      <c r="C844" s="132"/>
      <c r="D844" s="132"/>
      <c r="E844" s="132"/>
      <c r="F844" s="132"/>
      <c r="G844" s="132"/>
      <c r="H844" s="132"/>
      <c r="I844" s="132"/>
      <c r="J844" s="132"/>
      <c r="K844" s="132"/>
      <c r="L844" s="132"/>
      <c r="M844" s="132"/>
      <c r="N844" s="132"/>
      <c r="O844" s="132"/>
      <c r="P844" s="132"/>
      <c r="Q844" s="132"/>
      <c r="R844" s="132"/>
      <c r="S844" s="132"/>
      <c r="T844" s="132"/>
      <c r="U844" s="132"/>
      <c r="V844" s="132"/>
      <c r="W844" s="132"/>
      <c r="X844" s="132"/>
      <c r="Y844" s="132"/>
      <c r="Z844" s="132"/>
    </row>
    <row r="845" spans="1:26" ht="11.25" customHeight="1" x14ac:dyDescent="0.3">
      <c r="A845" s="132"/>
      <c r="B845" s="132"/>
      <c r="C845" s="132"/>
      <c r="D845" s="132"/>
      <c r="E845" s="132"/>
      <c r="F845" s="132"/>
      <c r="G845" s="132"/>
      <c r="H845" s="132"/>
      <c r="I845" s="132"/>
      <c r="J845" s="132"/>
      <c r="K845" s="132"/>
      <c r="L845" s="132"/>
      <c r="M845" s="132"/>
      <c r="N845" s="132"/>
      <c r="O845" s="132"/>
      <c r="P845" s="132"/>
      <c r="Q845" s="132"/>
      <c r="R845" s="132"/>
      <c r="S845" s="132"/>
      <c r="T845" s="132"/>
      <c r="U845" s="132"/>
      <c r="V845" s="132"/>
      <c r="W845" s="132"/>
      <c r="X845" s="132"/>
      <c r="Y845" s="132"/>
      <c r="Z845" s="132"/>
    </row>
    <row r="846" spans="1:26" ht="11.25" customHeight="1" x14ac:dyDescent="0.3">
      <c r="A846" s="132"/>
      <c r="B846" s="132"/>
      <c r="C846" s="132"/>
      <c r="D846" s="132"/>
      <c r="E846" s="132"/>
      <c r="F846" s="132"/>
      <c r="G846" s="132"/>
      <c r="H846" s="132"/>
      <c r="I846" s="132"/>
      <c r="J846" s="132"/>
      <c r="K846" s="132"/>
      <c r="L846" s="132"/>
      <c r="M846" s="132"/>
      <c r="N846" s="132"/>
      <c r="O846" s="132"/>
      <c r="P846" s="132"/>
      <c r="Q846" s="132"/>
      <c r="R846" s="132"/>
      <c r="S846" s="132"/>
      <c r="T846" s="132"/>
      <c r="U846" s="132"/>
      <c r="V846" s="132"/>
      <c r="W846" s="132"/>
      <c r="X846" s="132"/>
      <c r="Y846" s="132"/>
      <c r="Z846" s="132"/>
    </row>
    <row r="847" spans="1:26" ht="11.25" customHeight="1" x14ac:dyDescent="0.3">
      <c r="A847" s="132"/>
      <c r="B847" s="132"/>
      <c r="C847" s="132"/>
      <c r="D847" s="132"/>
      <c r="E847" s="132"/>
      <c r="F847" s="132"/>
      <c r="G847" s="132"/>
      <c r="H847" s="132"/>
      <c r="I847" s="132"/>
      <c r="J847" s="132"/>
      <c r="K847" s="132"/>
      <c r="L847" s="132"/>
      <c r="M847" s="132"/>
      <c r="N847" s="132"/>
      <c r="O847" s="132"/>
      <c r="P847" s="132"/>
      <c r="Q847" s="132"/>
      <c r="R847" s="132"/>
      <c r="S847" s="132"/>
      <c r="T847" s="132"/>
      <c r="U847" s="132"/>
      <c r="V847" s="132"/>
      <c r="W847" s="132"/>
      <c r="X847" s="132"/>
      <c r="Y847" s="132"/>
      <c r="Z847" s="132"/>
    </row>
    <row r="848" spans="1:26" ht="11.25" customHeight="1" x14ac:dyDescent="0.3">
      <c r="A848" s="132"/>
      <c r="B848" s="132"/>
      <c r="C848" s="132"/>
      <c r="D848" s="132"/>
      <c r="E848" s="132"/>
      <c r="F848" s="132"/>
      <c r="G848" s="132"/>
      <c r="H848" s="132"/>
      <c r="I848" s="132"/>
      <c r="J848" s="132"/>
      <c r="K848" s="132"/>
      <c r="L848" s="132"/>
      <c r="M848" s="132"/>
      <c r="N848" s="132"/>
      <c r="O848" s="132"/>
      <c r="P848" s="132"/>
      <c r="Q848" s="132"/>
      <c r="R848" s="132"/>
      <c r="S848" s="132"/>
      <c r="T848" s="132"/>
      <c r="U848" s="132"/>
      <c r="V848" s="132"/>
      <c r="W848" s="132"/>
      <c r="X848" s="132"/>
      <c r="Y848" s="132"/>
      <c r="Z848" s="132"/>
    </row>
    <row r="849" spans="1:26" ht="11.25" customHeight="1" x14ac:dyDescent="0.3">
      <c r="A849" s="132"/>
      <c r="B849" s="132"/>
      <c r="C849" s="132"/>
      <c r="D849" s="132"/>
      <c r="E849" s="132"/>
      <c r="F849" s="132"/>
      <c r="G849" s="132"/>
      <c r="H849" s="132"/>
      <c r="I849" s="132"/>
      <c r="J849" s="132"/>
      <c r="K849" s="132"/>
      <c r="L849" s="132"/>
      <c r="M849" s="132"/>
      <c r="N849" s="132"/>
      <c r="O849" s="132"/>
      <c r="P849" s="132"/>
      <c r="Q849" s="132"/>
      <c r="R849" s="132"/>
      <c r="S849" s="132"/>
      <c r="T849" s="132"/>
      <c r="U849" s="132"/>
      <c r="V849" s="132"/>
      <c r="W849" s="132"/>
      <c r="X849" s="132"/>
      <c r="Y849" s="132"/>
      <c r="Z849" s="132"/>
    </row>
    <row r="850" spans="1:26" ht="11.25" customHeight="1" x14ac:dyDescent="0.3">
      <c r="A850" s="132"/>
      <c r="B850" s="132"/>
      <c r="C850" s="132"/>
      <c r="D850" s="132"/>
      <c r="E850" s="132"/>
      <c r="F850" s="132"/>
      <c r="G850" s="132"/>
      <c r="H850" s="132"/>
      <c r="I850" s="132"/>
      <c r="J850" s="132"/>
      <c r="K850" s="132"/>
      <c r="L850" s="132"/>
      <c r="M850" s="132"/>
      <c r="N850" s="132"/>
      <c r="O850" s="132"/>
      <c r="P850" s="132"/>
      <c r="Q850" s="132"/>
      <c r="R850" s="132"/>
      <c r="S850" s="132"/>
      <c r="T850" s="132"/>
      <c r="U850" s="132"/>
      <c r="V850" s="132"/>
      <c r="W850" s="132"/>
      <c r="X850" s="132"/>
      <c r="Y850" s="132"/>
      <c r="Z850" s="132"/>
    </row>
    <row r="851" spans="1:26" ht="11.25" customHeight="1" x14ac:dyDescent="0.3">
      <c r="A851" s="132"/>
      <c r="B851" s="132"/>
      <c r="C851" s="132"/>
      <c r="D851" s="132"/>
      <c r="E851" s="132"/>
      <c r="F851" s="132"/>
      <c r="G851" s="132"/>
      <c r="H851" s="132"/>
      <c r="I851" s="132"/>
      <c r="J851" s="132"/>
      <c r="K851" s="132"/>
      <c r="L851" s="132"/>
      <c r="M851" s="132"/>
      <c r="N851" s="132"/>
      <c r="O851" s="132"/>
      <c r="P851" s="132"/>
      <c r="Q851" s="132"/>
      <c r="R851" s="132"/>
      <c r="S851" s="132"/>
      <c r="T851" s="132"/>
      <c r="U851" s="132"/>
      <c r="V851" s="132"/>
      <c r="W851" s="132"/>
      <c r="X851" s="132"/>
      <c r="Y851" s="132"/>
      <c r="Z851" s="132"/>
    </row>
    <row r="852" spans="1:26" ht="11.25" customHeight="1" x14ac:dyDescent="0.3">
      <c r="A852" s="132"/>
      <c r="B852" s="132"/>
      <c r="C852" s="132"/>
      <c r="D852" s="132"/>
      <c r="E852" s="132"/>
      <c r="F852" s="132"/>
      <c r="G852" s="132"/>
      <c r="H852" s="132"/>
      <c r="I852" s="132"/>
      <c r="J852" s="132"/>
      <c r="K852" s="132"/>
      <c r="L852" s="132"/>
      <c r="M852" s="132"/>
      <c r="N852" s="132"/>
      <c r="O852" s="132"/>
      <c r="P852" s="132"/>
      <c r="Q852" s="132"/>
      <c r="R852" s="132"/>
      <c r="S852" s="132"/>
      <c r="T852" s="132"/>
      <c r="U852" s="132"/>
      <c r="V852" s="132"/>
      <c r="W852" s="132"/>
      <c r="X852" s="132"/>
      <c r="Y852" s="132"/>
      <c r="Z852" s="132"/>
    </row>
    <row r="853" spans="1:26" ht="11.25" customHeight="1" x14ac:dyDescent="0.3">
      <c r="A853" s="132"/>
      <c r="B853" s="132"/>
      <c r="C853" s="132"/>
      <c r="D853" s="132"/>
      <c r="E853" s="132"/>
      <c r="F853" s="132"/>
      <c r="G853" s="132"/>
      <c r="H853" s="132"/>
      <c r="I853" s="132"/>
      <c r="J853" s="132"/>
      <c r="K853" s="132"/>
      <c r="L853" s="132"/>
      <c r="M853" s="132"/>
      <c r="N853" s="132"/>
      <c r="O853" s="132"/>
      <c r="P853" s="132"/>
      <c r="Q853" s="132"/>
      <c r="R853" s="132"/>
      <c r="S853" s="132"/>
      <c r="T853" s="132"/>
      <c r="U853" s="132"/>
      <c r="V853" s="132"/>
      <c r="W853" s="132"/>
      <c r="X853" s="132"/>
      <c r="Y853" s="132"/>
      <c r="Z853" s="132"/>
    </row>
    <row r="854" spans="1:26" ht="11.25" customHeight="1" x14ac:dyDescent="0.3">
      <c r="A854" s="132"/>
      <c r="B854" s="132"/>
      <c r="C854" s="132"/>
      <c r="D854" s="132"/>
      <c r="E854" s="132"/>
      <c r="F854" s="132"/>
      <c r="G854" s="132"/>
      <c r="H854" s="132"/>
      <c r="I854" s="132"/>
      <c r="J854" s="132"/>
      <c r="K854" s="132"/>
      <c r="L854" s="132"/>
      <c r="M854" s="132"/>
      <c r="N854" s="132"/>
      <c r="O854" s="132"/>
      <c r="P854" s="132"/>
      <c r="Q854" s="132"/>
      <c r="R854" s="132"/>
      <c r="S854" s="132"/>
      <c r="T854" s="132"/>
      <c r="U854" s="132"/>
      <c r="V854" s="132"/>
      <c r="W854" s="132"/>
      <c r="X854" s="132"/>
      <c r="Y854" s="132"/>
      <c r="Z854" s="132"/>
    </row>
    <row r="855" spans="1:26" ht="11.25" customHeight="1" x14ac:dyDescent="0.3">
      <c r="A855" s="132"/>
      <c r="B855" s="132"/>
      <c r="C855" s="132"/>
      <c r="D855" s="132"/>
      <c r="E855" s="132"/>
      <c r="F855" s="132"/>
      <c r="G855" s="132"/>
      <c r="H855" s="132"/>
      <c r="I855" s="132"/>
      <c r="J855" s="132"/>
      <c r="K855" s="132"/>
      <c r="L855" s="132"/>
      <c r="M855" s="132"/>
      <c r="N855" s="132"/>
      <c r="O855" s="132"/>
      <c r="P855" s="132"/>
      <c r="Q855" s="132"/>
      <c r="R855" s="132"/>
      <c r="S855" s="132"/>
      <c r="T855" s="132"/>
      <c r="U855" s="132"/>
      <c r="V855" s="132"/>
      <c r="W855" s="132"/>
      <c r="X855" s="132"/>
      <c r="Y855" s="132"/>
      <c r="Z855" s="132"/>
    </row>
    <row r="856" spans="1:26" ht="11.25" customHeight="1" x14ac:dyDescent="0.3">
      <c r="A856" s="132"/>
      <c r="B856" s="132"/>
      <c r="C856" s="132"/>
      <c r="D856" s="132"/>
      <c r="E856" s="132"/>
      <c r="F856" s="132"/>
      <c r="G856" s="132"/>
      <c r="H856" s="132"/>
      <c r="I856" s="132"/>
      <c r="J856" s="132"/>
      <c r="K856" s="132"/>
      <c r="L856" s="132"/>
      <c r="M856" s="132"/>
      <c r="N856" s="132"/>
      <c r="O856" s="132"/>
      <c r="P856" s="132"/>
      <c r="Q856" s="132"/>
      <c r="R856" s="132"/>
      <c r="S856" s="132"/>
      <c r="T856" s="132"/>
      <c r="U856" s="132"/>
      <c r="V856" s="132"/>
      <c r="W856" s="132"/>
      <c r="X856" s="132"/>
      <c r="Y856" s="132"/>
      <c r="Z856" s="132"/>
    </row>
    <row r="857" spans="1:26" ht="11.25" customHeight="1" x14ac:dyDescent="0.3">
      <c r="A857" s="132"/>
      <c r="B857" s="132"/>
      <c r="C857" s="132"/>
      <c r="D857" s="132"/>
      <c r="E857" s="132"/>
      <c r="F857" s="132"/>
      <c r="G857" s="132"/>
      <c r="H857" s="132"/>
      <c r="I857" s="132"/>
      <c r="J857" s="132"/>
      <c r="K857" s="132"/>
      <c r="L857" s="132"/>
      <c r="M857" s="132"/>
      <c r="N857" s="132"/>
      <c r="O857" s="132"/>
      <c r="P857" s="132"/>
      <c r="Q857" s="132"/>
      <c r="R857" s="132"/>
      <c r="S857" s="132"/>
      <c r="T857" s="132"/>
      <c r="U857" s="132"/>
      <c r="V857" s="132"/>
      <c r="W857" s="132"/>
      <c r="X857" s="132"/>
      <c r="Y857" s="132"/>
      <c r="Z857" s="132"/>
    </row>
    <row r="858" spans="1:26" ht="11.25" customHeight="1" x14ac:dyDescent="0.3">
      <c r="A858" s="132"/>
      <c r="B858" s="132"/>
      <c r="C858" s="132"/>
      <c r="D858" s="132"/>
      <c r="E858" s="132"/>
      <c r="F858" s="132"/>
      <c r="G858" s="132"/>
      <c r="H858" s="132"/>
      <c r="I858" s="132"/>
      <c r="J858" s="132"/>
      <c r="K858" s="132"/>
      <c r="L858" s="132"/>
      <c r="M858" s="132"/>
      <c r="N858" s="132"/>
      <c r="O858" s="132"/>
      <c r="P858" s="132"/>
      <c r="Q858" s="132"/>
      <c r="R858" s="132"/>
      <c r="S858" s="132"/>
      <c r="T858" s="132"/>
      <c r="U858" s="132"/>
      <c r="V858" s="132"/>
      <c r="W858" s="132"/>
      <c r="X858" s="132"/>
      <c r="Y858" s="132"/>
      <c r="Z858" s="132"/>
    </row>
    <row r="859" spans="1:26" ht="11.25" customHeight="1" x14ac:dyDescent="0.3">
      <c r="A859" s="132"/>
      <c r="B859" s="132"/>
      <c r="C859" s="132"/>
      <c r="D859" s="132"/>
      <c r="E859" s="132"/>
      <c r="F859" s="132"/>
      <c r="G859" s="132"/>
      <c r="H859" s="132"/>
      <c r="I859" s="132"/>
      <c r="J859" s="132"/>
      <c r="K859" s="132"/>
      <c r="L859" s="132"/>
      <c r="M859" s="132"/>
      <c r="N859" s="132"/>
      <c r="O859" s="132"/>
      <c r="P859" s="132"/>
      <c r="Q859" s="132"/>
      <c r="R859" s="132"/>
      <c r="S859" s="132"/>
      <c r="T859" s="132"/>
      <c r="U859" s="132"/>
      <c r="V859" s="132"/>
      <c r="W859" s="132"/>
      <c r="X859" s="132"/>
      <c r="Y859" s="132"/>
      <c r="Z859" s="132"/>
    </row>
    <row r="860" spans="1:26" ht="11.25" customHeight="1" x14ac:dyDescent="0.3">
      <c r="A860" s="132"/>
      <c r="B860" s="132"/>
      <c r="C860" s="132"/>
      <c r="D860" s="132"/>
      <c r="E860" s="132"/>
      <c r="F860" s="132"/>
      <c r="G860" s="132"/>
      <c r="H860" s="132"/>
      <c r="I860" s="132"/>
      <c r="J860" s="132"/>
      <c r="K860" s="132"/>
      <c r="L860" s="132"/>
      <c r="M860" s="132"/>
      <c r="N860" s="132"/>
      <c r="O860" s="132"/>
      <c r="P860" s="132"/>
      <c r="Q860" s="132"/>
      <c r="R860" s="132"/>
      <c r="S860" s="132"/>
      <c r="T860" s="132"/>
      <c r="U860" s="132"/>
      <c r="V860" s="132"/>
      <c r="W860" s="132"/>
      <c r="X860" s="132"/>
      <c r="Y860" s="132"/>
      <c r="Z860" s="132"/>
    </row>
    <row r="861" spans="1:26" ht="11.25" customHeight="1" x14ac:dyDescent="0.3">
      <c r="A861" s="132"/>
      <c r="B861" s="132"/>
      <c r="C861" s="132"/>
      <c r="D861" s="132"/>
      <c r="E861" s="132"/>
      <c r="F861" s="132"/>
      <c r="G861" s="132"/>
      <c r="H861" s="132"/>
      <c r="I861" s="132"/>
      <c r="J861" s="132"/>
      <c r="K861" s="132"/>
      <c r="L861" s="132"/>
      <c r="M861" s="132"/>
      <c r="N861" s="132"/>
      <c r="O861" s="132"/>
      <c r="P861" s="132"/>
      <c r="Q861" s="132"/>
      <c r="R861" s="132"/>
      <c r="S861" s="132"/>
      <c r="T861" s="132"/>
      <c r="U861" s="132"/>
      <c r="V861" s="132"/>
      <c r="W861" s="132"/>
      <c r="X861" s="132"/>
      <c r="Y861" s="132"/>
      <c r="Z861" s="132"/>
    </row>
    <row r="862" spans="1:26" ht="11.25" customHeight="1" x14ac:dyDescent="0.3">
      <c r="A862" s="132"/>
      <c r="B862" s="132"/>
      <c r="C862" s="132"/>
      <c r="D862" s="132"/>
      <c r="E862" s="132"/>
      <c r="F862" s="132"/>
      <c r="G862" s="132"/>
      <c r="H862" s="132"/>
      <c r="I862" s="132"/>
      <c r="J862" s="132"/>
      <c r="K862" s="132"/>
      <c r="L862" s="132"/>
      <c r="M862" s="132"/>
      <c r="N862" s="132"/>
      <c r="O862" s="132"/>
      <c r="P862" s="132"/>
      <c r="Q862" s="132"/>
      <c r="R862" s="132"/>
      <c r="S862" s="132"/>
      <c r="T862" s="132"/>
      <c r="U862" s="132"/>
      <c r="V862" s="132"/>
      <c r="W862" s="132"/>
      <c r="X862" s="132"/>
      <c r="Y862" s="132"/>
      <c r="Z862" s="132"/>
    </row>
    <row r="863" spans="1:26" ht="11.25" customHeight="1" x14ac:dyDescent="0.3">
      <c r="A863" s="132"/>
      <c r="B863" s="132"/>
      <c r="C863" s="132"/>
      <c r="D863" s="132"/>
      <c r="E863" s="132"/>
      <c r="F863" s="132"/>
      <c r="G863" s="132"/>
      <c r="H863" s="132"/>
      <c r="I863" s="132"/>
      <c r="J863" s="132"/>
      <c r="K863" s="132"/>
      <c r="L863" s="132"/>
      <c r="M863" s="132"/>
      <c r="N863" s="132"/>
      <c r="O863" s="132"/>
      <c r="P863" s="132"/>
      <c r="Q863" s="132"/>
      <c r="R863" s="132"/>
      <c r="S863" s="132"/>
      <c r="T863" s="132"/>
      <c r="U863" s="132"/>
      <c r="V863" s="132"/>
      <c r="W863" s="132"/>
      <c r="X863" s="132"/>
      <c r="Y863" s="132"/>
      <c r="Z863" s="132"/>
    </row>
    <row r="864" spans="1:26" ht="11.25" customHeight="1" x14ac:dyDescent="0.3">
      <c r="A864" s="132"/>
      <c r="B864" s="132"/>
      <c r="C864" s="132"/>
      <c r="D864" s="132"/>
      <c r="E864" s="132"/>
      <c r="F864" s="132"/>
      <c r="G864" s="132"/>
      <c r="H864" s="132"/>
      <c r="I864" s="132"/>
      <c r="J864" s="132"/>
      <c r="K864" s="132"/>
      <c r="L864" s="132"/>
      <c r="M864" s="132"/>
      <c r="N864" s="132"/>
      <c r="O864" s="132"/>
      <c r="P864" s="132"/>
      <c r="Q864" s="132"/>
      <c r="R864" s="132"/>
      <c r="S864" s="132"/>
      <c r="T864" s="132"/>
      <c r="U864" s="132"/>
      <c r="V864" s="132"/>
      <c r="W864" s="132"/>
      <c r="X864" s="132"/>
      <c r="Y864" s="132"/>
      <c r="Z864" s="132"/>
    </row>
    <row r="865" spans="1:26" ht="11.25" customHeight="1" x14ac:dyDescent="0.3">
      <c r="A865" s="132"/>
      <c r="B865" s="132"/>
      <c r="C865" s="132"/>
      <c r="D865" s="132"/>
      <c r="E865" s="132"/>
      <c r="F865" s="132"/>
      <c r="G865" s="132"/>
      <c r="H865" s="132"/>
      <c r="I865" s="132"/>
      <c r="J865" s="132"/>
      <c r="K865" s="132"/>
      <c r="L865" s="132"/>
      <c r="M865" s="132"/>
      <c r="N865" s="132"/>
      <c r="O865" s="132"/>
      <c r="P865" s="132"/>
      <c r="Q865" s="132"/>
      <c r="R865" s="132"/>
      <c r="S865" s="132"/>
      <c r="T865" s="132"/>
      <c r="U865" s="132"/>
      <c r="V865" s="132"/>
      <c r="W865" s="132"/>
      <c r="X865" s="132"/>
      <c r="Y865" s="132"/>
      <c r="Z865" s="132"/>
    </row>
    <row r="866" spans="1:26" ht="11.25" customHeight="1" x14ac:dyDescent="0.3">
      <c r="A866" s="132"/>
      <c r="B866" s="132"/>
      <c r="C866" s="132"/>
      <c r="D866" s="132"/>
      <c r="E866" s="132"/>
      <c r="F866" s="132"/>
      <c r="G866" s="132"/>
      <c r="H866" s="132"/>
      <c r="I866" s="132"/>
      <c r="J866" s="132"/>
      <c r="K866" s="132"/>
      <c r="L866" s="132"/>
      <c r="M866" s="132"/>
      <c r="N866" s="132"/>
      <c r="O866" s="132"/>
      <c r="P866" s="132"/>
      <c r="Q866" s="132"/>
      <c r="R866" s="132"/>
      <c r="S866" s="132"/>
      <c r="T866" s="132"/>
      <c r="U866" s="132"/>
      <c r="V866" s="132"/>
      <c r="W866" s="132"/>
      <c r="X866" s="132"/>
      <c r="Y866" s="132"/>
      <c r="Z866" s="132"/>
    </row>
    <row r="867" spans="1:26" ht="11.25" customHeight="1" x14ac:dyDescent="0.3">
      <c r="A867" s="132"/>
      <c r="B867" s="132"/>
      <c r="C867" s="132"/>
      <c r="D867" s="132"/>
      <c r="E867" s="132"/>
      <c r="F867" s="132"/>
      <c r="G867" s="132"/>
      <c r="H867" s="132"/>
      <c r="I867" s="132"/>
      <c r="J867" s="132"/>
      <c r="K867" s="132"/>
      <c r="L867" s="132"/>
      <c r="M867" s="132"/>
      <c r="N867" s="132"/>
      <c r="O867" s="132"/>
      <c r="P867" s="132"/>
      <c r="Q867" s="132"/>
      <c r="R867" s="132"/>
      <c r="S867" s="132"/>
      <c r="T867" s="132"/>
      <c r="U867" s="132"/>
      <c r="V867" s="132"/>
      <c r="W867" s="132"/>
      <c r="X867" s="132"/>
      <c r="Y867" s="132"/>
      <c r="Z867" s="132"/>
    </row>
    <row r="868" spans="1:26" ht="11.25" customHeight="1" x14ac:dyDescent="0.3">
      <c r="A868" s="132"/>
      <c r="B868" s="132"/>
      <c r="C868" s="132"/>
      <c r="D868" s="132"/>
      <c r="E868" s="132"/>
      <c r="F868" s="132"/>
      <c r="G868" s="132"/>
      <c r="H868" s="132"/>
      <c r="I868" s="132"/>
      <c r="J868" s="132"/>
      <c r="K868" s="132"/>
      <c r="L868" s="132"/>
      <c r="M868" s="132"/>
      <c r="N868" s="132"/>
      <c r="O868" s="132"/>
      <c r="P868" s="132"/>
      <c r="Q868" s="132"/>
      <c r="R868" s="132"/>
      <c r="S868" s="132"/>
      <c r="T868" s="132"/>
      <c r="U868" s="132"/>
      <c r="V868" s="132"/>
      <c r="W868" s="132"/>
      <c r="X868" s="132"/>
      <c r="Y868" s="132"/>
      <c r="Z868" s="132"/>
    </row>
    <row r="869" spans="1:26" ht="11.25" customHeight="1" x14ac:dyDescent="0.3">
      <c r="A869" s="132"/>
      <c r="B869" s="132"/>
      <c r="C869" s="132"/>
      <c r="D869" s="132"/>
      <c r="E869" s="132"/>
      <c r="F869" s="132"/>
      <c r="G869" s="132"/>
      <c r="H869" s="132"/>
      <c r="I869" s="132"/>
      <c r="J869" s="132"/>
      <c r="K869" s="132"/>
      <c r="L869" s="132"/>
      <c r="M869" s="132"/>
      <c r="N869" s="132"/>
      <c r="O869" s="132"/>
      <c r="P869" s="132"/>
      <c r="Q869" s="132"/>
      <c r="R869" s="132"/>
      <c r="S869" s="132"/>
      <c r="T869" s="132"/>
      <c r="U869" s="132"/>
      <c r="V869" s="132"/>
      <c r="W869" s="132"/>
      <c r="X869" s="132"/>
      <c r="Y869" s="132"/>
      <c r="Z869" s="132"/>
    </row>
    <row r="870" spans="1:26" ht="11.25" customHeight="1" x14ac:dyDescent="0.3">
      <c r="A870" s="132"/>
      <c r="B870" s="132"/>
      <c r="C870" s="132"/>
      <c r="D870" s="132"/>
      <c r="E870" s="132"/>
      <c r="F870" s="132"/>
      <c r="G870" s="132"/>
      <c r="H870" s="132"/>
      <c r="I870" s="132"/>
      <c r="J870" s="132"/>
      <c r="K870" s="132"/>
      <c r="L870" s="132"/>
      <c r="M870" s="132"/>
      <c r="N870" s="132"/>
      <c r="O870" s="132"/>
      <c r="P870" s="132"/>
      <c r="Q870" s="132"/>
      <c r="R870" s="132"/>
      <c r="S870" s="132"/>
      <c r="T870" s="132"/>
      <c r="U870" s="132"/>
      <c r="V870" s="132"/>
      <c r="W870" s="132"/>
      <c r="X870" s="132"/>
      <c r="Y870" s="132"/>
      <c r="Z870" s="132"/>
    </row>
    <row r="871" spans="1:26" ht="11.25" customHeight="1" x14ac:dyDescent="0.3">
      <c r="A871" s="132"/>
      <c r="B871" s="132"/>
      <c r="C871" s="132"/>
      <c r="D871" s="132"/>
      <c r="E871" s="132"/>
      <c r="F871" s="132"/>
      <c r="G871" s="132"/>
      <c r="H871" s="132"/>
      <c r="I871" s="132"/>
      <c r="J871" s="132"/>
      <c r="K871" s="132"/>
      <c r="L871" s="132"/>
      <c r="M871" s="132"/>
      <c r="N871" s="132"/>
      <c r="O871" s="132"/>
      <c r="P871" s="132"/>
      <c r="Q871" s="132"/>
      <c r="R871" s="132"/>
      <c r="S871" s="132"/>
      <c r="T871" s="132"/>
      <c r="U871" s="132"/>
      <c r="V871" s="132"/>
      <c r="W871" s="132"/>
      <c r="X871" s="132"/>
      <c r="Y871" s="132"/>
      <c r="Z871" s="132"/>
    </row>
    <row r="872" spans="1:26" ht="11.25" customHeight="1" x14ac:dyDescent="0.3">
      <c r="A872" s="132"/>
      <c r="B872" s="132"/>
      <c r="C872" s="132"/>
      <c r="D872" s="132"/>
      <c r="E872" s="132"/>
      <c r="F872" s="132"/>
      <c r="G872" s="132"/>
      <c r="H872" s="132"/>
      <c r="I872" s="132"/>
      <c r="J872" s="132"/>
      <c r="K872" s="132"/>
      <c r="L872" s="132"/>
      <c r="M872" s="132"/>
      <c r="N872" s="132"/>
      <c r="O872" s="132"/>
      <c r="P872" s="132"/>
      <c r="Q872" s="132"/>
      <c r="R872" s="132"/>
      <c r="S872" s="132"/>
      <c r="T872" s="132"/>
      <c r="U872" s="132"/>
      <c r="V872" s="132"/>
      <c r="W872" s="132"/>
      <c r="X872" s="132"/>
      <c r="Y872" s="132"/>
      <c r="Z872" s="132"/>
    </row>
    <row r="873" spans="1:26" ht="11.25" customHeight="1" x14ac:dyDescent="0.3">
      <c r="A873" s="132"/>
      <c r="B873" s="132"/>
      <c r="C873" s="132"/>
      <c r="D873" s="132"/>
      <c r="E873" s="132"/>
      <c r="F873" s="132"/>
      <c r="G873" s="132"/>
      <c r="H873" s="132"/>
      <c r="I873" s="132"/>
      <c r="J873" s="132"/>
      <c r="K873" s="132"/>
      <c r="L873" s="132"/>
      <c r="M873" s="132"/>
      <c r="N873" s="132"/>
      <c r="O873" s="132"/>
      <c r="P873" s="132"/>
      <c r="Q873" s="132"/>
      <c r="R873" s="132"/>
      <c r="S873" s="132"/>
      <c r="T873" s="132"/>
      <c r="U873" s="132"/>
      <c r="V873" s="132"/>
      <c r="W873" s="132"/>
      <c r="X873" s="132"/>
      <c r="Y873" s="132"/>
      <c r="Z873" s="132"/>
    </row>
    <row r="874" spans="1:26" ht="11.25" customHeight="1" x14ac:dyDescent="0.3">
      <c r="A874" s="132"/>
      <c r="B874" s="132"/>
      <c r="C874" s="132"/>
      <c r="D874" s="132"/>
      <c r="E874" s="132"/>
      <c r="F874" s="132"/>
      <c r="G874" s="132"/>
      <c r="H874" s="132"/>
      <c r="I874" s="132"/>
      <c r="J874" s="132"/>
      <c r="K874" s="132"/>
      <c r="L874" s="132"/>
      <c r="M874" s="132"/>
      <c r="N874" s="132"/>
      <c r="O874" s="132"/>
      <c r="P874" s="132"/>
      <c r="Q874" s="132"/>
      <c r="R874" s="132"/>
      <c r="S874" s="132"/>
      <c r="T874" s="132"/>
      <c r="U874" s="132"/>
      <c r="V874" s="132"/>
      <c r="W874" s="132"/>
      <c r="X874" s="132"/>
      <c r="Y874" s="132"/>
      <c r="Z874" s="132"/>
    </row>
    <row r="875" spans="1:26" ht="11.25" customHeight="1" x14ac:dyDescent="0.3">
      <c r="A875" s="132"/>
      <c r="B875" s="132"/>
      <c r="C875" s="132"/>
      <c r="D875" s="132"/>
      <c r="E875" s="132"/>
      <c r="F875" s="132"/>
      <c r="G875" s="132"/>
      <c r="H875" s="132"/>
      <c r="I875" s="132"/>
      <c r="J875" s="132"/>
      <c r="K875" s="132"/>
      <c r="L875" s="132"/>
      <c r="M875" s="132"/>
      <c r="N875" s="132"/>
      <c r="O875" s="132"/>
      <c r="P875" s="132"/>
      <c r="Q875" s="132"/>
      <c r="R875" s="132"/>
      <c r="S875" s="132"/>
      <c r="T875" s="132"/>
      <c r="U875" s="132"/>
      <c r="V875" s="132"/>
      <c r="W875" s="132"/>
      <c r="X875" s="132"/>
      <c r="Y875" s="132"/>
      <c r="Z875" s="132"/>
    </row>
    <row r="876" spans="1:26" ht="11.25" customHeight="1" x14ac:dyDescent="0.3">
      <c r="A876" s="132"/>
      <c r="B876" s="132"/>
      <c r="C876" s="132"/>
      <c r="D876" s="132"/>
      <c r="E876" s="132"/>
      <c r="F876" s="132"/>
      <c r="G876" s="132"/>
      <c r="H876" s="132"/>
      <c r="I876" s="132"/>
      <c r="J876" s="132"/>
      <c r="K876" s="132"/>
      <c r="L876" s="132"/>
      <c r="M876" s="132"/>
      <c r="N876" s="132"/>
      <c r="O876" s="132"/>
      <c r="P876" s="132"/>
      <c r="Q876" s="132"/>
      <c r="R876" s="132"/>
      <c r="S876" s="132"/>
      <c r="T876" s="132"/>
      <c r="U876" s="132"/>
      <c r="V876" s="132"/>
      <c r="W876" s="132"/>
      <c r="X876" s="132"/>
      <c r="Y876" s="132"/>
      <c r="Z876" s="132"/>
    </row>
    <row r="877" spans="1:26" ht="11.25" customHeight="1" x14ac:dyDescent="0.3">
      <c r="A877" s="132"/>
      <c r="B877" s="132"/>
      <c r="C877" s="132"/>
      <c r="D877" s="132"/>
      <c r="E877" s="132"/>
      <c r="F877" s="132"/>
      <c r="G877" s="132"/>
      <c r="H877" s="132"/>
      <c r="I877" s="132"/>
      <c r="J877" s="132"/>
      <c r="K877" s="132"/>
      <c r="L877" s="132"/>
      <c r="M877" s="132"/>
      <c r="N877" s="132"/>
      <c r="O877" s="132"/>
      <c r="P877" s="132"/>
      <c r="Q877" s="132"/>
      <c r="R877" s="132"/>
      <c r="S877" s="132"/>
      <c r="T877" s="132"/>
      <c r="U877" s="132"/>
      <c r="V877" s="132"/>
      <c r="W877" s="132"/>
      <c r="X877" s="132"/>
      <c r="Y877" s="132"/>
      <c r="Z877" s="132"/>
    </row>
    <row r="878" spans="1:26" ht="11.25" customHeight="1" x14ac:dyDescent="0.3">
      <c r="A878" s="132"/>
      <c r="B878" s="132"/>
      <c r="C878" s="132"/>
      <c r="D878" s="132"/>
      <c r="E878" s="132"/>
      <c r="F878" s="132"/>
      <c r="G878" s="132"/>
      <c r="H878" s="132"/>
      <c r="I878" s="132"/>
      <c r="J878" s="132"/>
      <c r="K878" s="132"/>
      <c r="L878" s="132"/>
      <c r="M878" s="132"/>
      <c r="N878" s="132"/>
      <c r="O878" s="132"/>
      <c r="P878" s="132"/>
      <c r="Q878" s="132"/>
      <c r="R878" s="132"/>
      <c r="S878" s="132"/>
      <c r="T878" s="132"/>
      <c r="U878" s="132"/>
      <c r="V878" s="132"/>
      <c r="W878" s="132"/>
      <c r="X878" s="132"/>
      <c r="Y878" s="132"/>
      <c r="Z878" s="132"/>
    </row>
    <row r="879" spans="1:26" ht="11.25" customHeight="1" x14ac:dyDescent="0.3">
      <c r="A879" s="132"/>
      <c r="B879" s="132"/>
      <c r="C879" s="132"/>
      <c r="D879" s="132"/>
      <c r="E879" s="132"/>
      <c r="F879" s="132"/>
      <c r="G879" s="132"/>
      <c r="H879" s="132"/>
      <c r="I879" s="132"/>
      <c r="J879" s="132"/>
      <c r="K879" s="132"/>
      <c r="L879" s="132"/>
      <c r="M879" s="132"/>
      <c r="N879" s="132"/>
      <c r="O879" s="132"/>
      <c r="P879" s="132"/>
      <c r="Q879" s="132"/>
      <c r="R879" s="132"/>
      <c r="S879" s="132"/>
      <c r="T879" s="132"/>
      <c r="U879" s="132"/>
      <c r="V879" s="132"/>
      <c r="W879" s="132"/>
      <c r="X879" s="132"/>
      <c r="Y879" s="132"/>
      <c r="Z879" s="132"/>
    </row>
    <row r="880" spans="1:26" ht="11.25" customHeight="1" x14ac:dyDescent="0.3">
      <c r="A880" s="132"/>
      <c r="B880" s="132"/>
      <c r="C880" s="132"/>
      <c r="D880" s="132"/>
      <c r="E880" s="132"/>
      <c r="F880" s="132"/>
      <c r="G880" s="132"/>
      <c r="H880" s="132"/>
      <c r="I880" s="132"/>
      <c r="J880" s="132"/>
      <c r="K880" s="132"/>
      <c r="L880" s="132"/>
      <c r="M880" s="132"/>
      <c r="N880" s="132"/>
      <c r="O880" s="132"/>
      <c r="P880" s="132"/>
      <c r="Q880" s="132"/>
      <c r="R880" s="132"/>
      <c r="S880" s="132"/>
      <c r="T880" s="132"/>
      <c r="U880" s="132"/>
      <c r="V880" s="132"/>
      <c r="W880" s="132"/>
      <c r="X880" s="132"/>
      <c r="Y880" s="132"/>
      <c r="Z880" s="132"/>
    </row>
    <row r="881" spans="1:26" ht="11.25" customHeight="1" x14ac:dyDescent="0.3">
      <c r="A881" s="132"/>
      <c r="B881" s="132"/>
      <c r="C881" s="132"/>
      <c r="D881" s="132"/>
      <c r="E881" s="132"/>
      <c r="F881" s="132"/>
      <c r="G881" s="132"/>
      <c r="H881" s="132"/>
      <c r="I881" s="132"/>
      <c r="J881" s="132"/>
      <c r="K881" s="132"/>
      <c r="L881" s="132"/>
      <c r="M881" s="132"/>
      <c r="N881" s="132"/>
      <c r="O881" s="132"/>
      <c r="P881" s="132"/>
      <c r="Q881" s="132"/>
      <c r="R881" s="132"/>
      <c r="S881" s="132"/>
      <c r="T881" s="132"/>
      <c r="U881" s="132"/>
      <c r="V881" s="132"/>
      <c r="W881" s="132"/>
      <c r="X881" s="132"/>
      <c r="Y881" s="132"/>
      <c r="Z881" s="132"/>
    </row>
    <row r="882" spans="1:26" ht="11.25" customHeight="1" x14ac:dyDescent="0.3">
      <c r="A882" s="132"/>
      <c r="B882" s="132"/>
      <c r="C882" s="132"/>
      <c r="D882" s="132"/>
      <c r="E882" s="132"/>
      <c r="F882" s="132"/>
      <c r="G882" s="132"/>
      <c r="H882" s="132"/>
      <c r="I882" s="132"/>
      <c r="J882" s="132"/>
      <c r="K882" s="132"/>
      <c r="L882" s="132"/>
      <c r="M882" s="132"/>
      <c r="N882" s="132"/>
      <c r="O882" s="132"/>
      <c r="P882" s="132"/>
      <c r="Q882" s="132"/>
      <c r="R882" s="132"/>
      <c r="S882" s="132"/>
      <c r="T882" s="132"/>
      <c r="U882" s="132"/>
      <c r="V882" s="132"/>
      <c r="W882" s="132"/>
      <c r="X882" s="132"/>
      <c r="Y882" s="132"/>
      <c r="Z882" s="132"/>
    </row>
    <row r="883" spans="1:26" ht="11.25" customHeight="1" x14ac:dyDescent="0.3">
      <c r="A883" s="132"/>
      <c r="B883" s="132"/>
      <c r="C883" s="132"/>
      <c r="D883" s="132"/>
      <c r="E883" s="132"/>
      <c r="F883" s="132"/>
      <c r="G883" s="132"/>
      <c r="H883" s="132"/>
      <c r="I883" s="132"/>
      <c r="J883" s="132"/>
      <c r="K883" s="132"/>
      <c r="L883" s="132"/>
      <c r="M883" s="132"/>
      <c r="N883" s="132"/>
      <c r="O883" s="132"/>
      <c r="P883" s="132"/>
      <c r="Q883" s="132"/>
      <c r="R883" s="132"/>
      <c r="S883" s="132"/>
      <c r="T883" s="132"/>
      <c r="U883" s="132"/>
      <c r="V883" s="132"/>
      <c r="W883" s="132"/>
      <c r="X883" s="132"/>
      <c r="Y883" s="132"/>
      <c r="Z883" s="132"/>
    </row>
    <row r="884" spans="1:26" ht="11.25" customHeight="1" x14ac:dyDescent="0.3">
      <c r="A884" s="132"/>
      <c r="B884" s="132"/>
      <c r="C884" s="132"/>
      <c r="D884" s="132"/>
      <c r="E884" s="132"/>
      <c r="F884" s="132"/>
      <c r="G884" s="132"/>
      <c r="H884" s="132"/>
      <c r="I884" s="132"/>
      <c r="J884" s="132"/>
      <c r="K884" s="132"/>
      <c r="L884" s="132"/>
      <c r="M884" s="132"/>
      <c r="N884" s="132"/>
      <c r="O884" s="132"/>
      <c r="P884" s="132"/>
      <c r="Q884" s="132"/>
      <c r="R884" s="132"/>
      <c r="S884" s="132"/>
      <c r="T884" s="132"/>
      <c r="U884" s="132"/>
      <c r="V884" s="132"/>
      <c r="W884" s="132"/>
      <c r="X884" s="132"/>
      <c r="Y884" s="132"/>
      <c r="Z884" s="132"/>
    </row>
    <row r="885" spans="1:26" ht="11.25" customHeight="1" x14ac:dyDescent="0.3">
      <c r="A885" s="132"/>
      <c r="B885" s="132"/>
      <c r="C885" s="132"/>
      <c r="D885" s="132"/>
      <c r="E885" s="132"/>
      <c r="F885" s="132"/>
      <c r="G885" s="132"/>
      <c r="H885" s="132"/>
      <c r="I885" s="132"/>
      <c r="J885" s="132"/>
      <c r="K885" s="132"/>
      <c r="L885" s="132"/>
      <c r="M885" s="132"/>
      <c r="N885" s="132"/>
      <c r="O885" s="132"/>
      <c r="P885" s="132"/>
      <c r="Q885" s="132"/>
      <c r="R885" s="132"/>
      <c r="S885" s="132"/>
      <c r="T885" s="132"/>
      <c r="U885" s="132"/>
      <c r="V885" s="132"/>
      <c r="W885" s="132"/>
      <c r="X885" s="132"/>
      <c r="Y885" s="132"/>
      <c r="Z885" s="132"/>
    </row>
    <row r="886" spans="1:26" ht="11.25" customHeight="1" x14ac:dyDescent="0.3">
      <c r="A886" s="132"/>
      <c r="B886" s="132"/>
      <c r="C886" s="132"/>
      <c r="D886" s="132"/>
      <c r="E886" s="132"/>
      <c r="F886" s="132"/>
      <c r="G886" s="132"/>
      <c r="H886" s="132"/>
      <c r="I886" s="132"/>
      <c r="J886" s="132"/>
      <c r="K886" s="132"/>
      <c r="L886" s="132"/>
      <c r="M886" s="132"/>
      <c r="N886" s="132"/>
      <c r="O886" s="132"/>
      <c r="P886" s="132"/>
      <c r="Q886" s="132"/>
      <c r="R886" s="132"/>
      <c r="S886" s="132"/>
      <c r="T886" s="132"/>
      <c r="U886" s="132"/>
      <c r="V886" s="132"/>
      <c r="W886" s="132"/>
      <c r="X886" s="132"/>
      <c r="Y886" s="132"/>
      <c r="Z886" s="132"/>
    </row>
    <row r="887" spans="1:26" ht="11.25" customHeight="1" x14ac:dyDescent="0.3">
      <c r="A887" s="132"/>
      <c r="B887" s="132"/>
      <c r="C887" s="132"/>
      <c r="D887" s="132"/>
      <c r="E887" s="132"/>
      <c r="F887" s="132"/>
      <c r="G887" s="132"/>
      <c r="H887" s="132"/>
      <c r="I887" s="132"/>
      <c r="J887" s="132"/>
      <c r="K887" s="132"/>
      <c r="L887" s="132"/>
      <c r="M887" s="132"/>
      <c r="N887" s="132"/>
      <c r="O887" s="132"/>
      <c r="P887" s="132"/>
      <c r="Q887" s="132"/>
      <c r="R887" s="132"/>
      <c r="S887" s="132"/>
      <c r="T887" s="132"/>
      <c r="U887" s="132"/>
      <c r="V887" s="132"/>
      <c r="W887" s="132"/>
      <c r="X887" s="132"/>
      <c r="Y887" s="132"/>
      <c r="Z887" s="132"/>
    </row>
    <row r="888" spans="1:26" ht="11.25" customHeight="1" x14ac:dyDescent="0.3">
      <c r="A888" s="132"/>
      <c r="B888" s="132"/>
      <c r="C888" s="132"/>
      <c r="D888" s="132"/>
      <c r="E888" s="132"/>
      <c r="F888" s="132"/>
      <c r="G888" s="132"/>
      <c r="H888" s="132"/>
      <c r="I888" s="132"/>
      <c r="J888" s="132"/>
      <c r="K888" s="132"/>
      <c r="L888" s="132"/>
      <c r="M888" s="132"/>
      <c r="N888" s="132"/>
      <c r="O888" s="132"/>
      <c r="P888" s="132"/>
      <c r="Q888" s="132"/>
      <c r="R888" s="132"/>
      <c r="S888" s="132"/>
      <c r="T888" s="132"/>
      <c r="U888" s="132"/>
      <c r="V888" s="132"/>
      <c r="W888" s="132"/>
      <c r="X888" s="132"/>
      <c r="Y888" s="132"/>
      <c r="Z888" s="132"/>
    </row>
    <row r="889" spans="1:26" ht="11.25" customHeight="1" x14ac:dyDescent="0.3">
      <c r="A889" s="132"/>
      <c r="B889" s="132"/>
      <c r="C889" s="132"/>
      <c r="D889" s="132"/>
      <c r="E889" s="132"/>
      <c r="F889" s="132"/>
      <c r="G889" s="132"/>
      <c r="H889" s="132"/>
      <c r="I889" s="132"/>
      <c r="J889" s="132"/>
      <c r="K889" s="132"/>
      <c r="L889" s="132"/>
      <c r="M889" s="132"/>
      <c r="N889" s="132"/>
      <c r="O889" s="132"/>
      <c r="P889" s="132"/>
      <c r="Q889" s="132"/>
      <c r="R889" s="132"/>
      <c r="S889" s="132"/>
      <c r="T889" s="132"/>
      <c r="U889" s="132"/>
      <c r="V889" s="132"/>
      <c r="W889" s="132"/>
      <c r="X889" s="132"/>
      <c r="Y889" s="132"/>
      <c r="Z889" s="132"/>
    </row>
    <row r="890" spans="1:26" ht="11.25" customHeight="1" x14ac:dyDescent="0.3">
      <c r="A890" s="132"/>
      <c r="B890" s="132"/>
      <c r="C890" s="132"/>
      <c r="D890" s="132"/>
      <c r="E890" s="132"/>
      <c r="F890" s="132"/>
      <c r="G890" s="132"/>
      <c r="H890" s="132"/>
      <c r="I890" s="132"/>
      <c r="J890" s="132"/>
      <c r="K890" s="132"/>
      <c r="L890" s="132"/>
      <c r="M890" s="132"/>
      <c r="N890" s="132"/>
      <c r="O890" s="132"/>
      <c r="P890" s="132"/>
      <c r="Q890" s="132"/>
      <c r="R890" s="132"/>
      <c r="S890" s="132"/>
      <c r="T890" s="132"/>
      <c r="U890" s="132"/>
      <c r="V890" s="132"/>
      <c r="W890" s="132"/>
      <c r="X890" s="132"/>
      <c r="Y890" s="132"/>
      <c r="Z890" s="132"/>
    </row>
    <row r="891" spans="1:26" ht="11.25" customHeight="1" x14ac:dyDescent="0.3">
      <c r="A891" s="132"/>
      <c r="B891" s="132"/>
      <c r="C891" s="132"/>
      <c r="D891" s="132"/>
      <c r="E891" s="132"/>
      <c r="F891" s="132"/>
      <c r="G891" s="132"/>
      <c r="H891" s="132"/>
      <c r="I891" s="132"/>
      <c r="J891" s="132"/>
      <c r="K891" s="132"/>
      <c r="L891" s="132"/>
      <c r="M891" s="132"/>
      <c r="N891" s="132"/>
      <c r="O891" s="132"/>
      <c r="P891" s="132"/>
      <c r="Q891" s="132"/>
      <c r="R891" s="132"/>
      <c r="S891" s="132"/>
      <c r="T891" s="132"/>
      <c r="U891" s="132"/>
      <c r="V891" s="132"/>
      <c r="W891" s="132"/>
      <c r="X891" s="132"/>
      <c r="Y891" s="132"/>
      <c r="Z891" s="132"/>
    </row>
    <row r="892" spans="1:26" ht="11.25" customHeight="1" x14ac:dyDescent="0.3">
      <c r="A892" s="132"/>
      <c r="B892" s="132"/>
      <c r="C892" s="132"/>
      <c r="D892" s="132"/>
      <c r="E892" s="132"/>
      <c r="F892" s="132"/>
      <c r="G892" s="132"/>
      <c r="H892" s="132"/>
      <c r="I892" s="132"/>
      <c r="J892" s="132"/>
      <c r="K892" s="132"/>
      <c r="L892" s="132"/>
      <c r="M892" s="132"/>
      <c r="N892" s="132"/>
      <c r="O892" s="132"/>
      <c r="P892" s="132"/>
      <c r="Q892" s="132"/>
      <c r="R892" s="132"/>
      <c r="S892" s="132"/>
      <c r="T892" s="132"/>
      <c r="U892" s="132"/>
      <c r="V892" s="132"/>
      <c r="W892" s="132"/>
      <c r="X892" s="132"/>
      <c r="Y892" s="132"/>
      <c r="Z892" s="132"/>
    </row>
    <row r="893" spans="1:26" ht="11.25" customHeight="1" x14ac:dyDescent="0.3">
      <c r="A893" s="132"/>
      <c r="B893" s="132"/>
      <c r="C893" s="132"/>
      <c r="D893" s="132"/>
      <c r="E893" s="132"/>
      <c r="F893" s="132"/>
      <c r="G893" s="132"/>
      <c r="H893" s="132"/>
      <c r="I893" s="132"/>
      <c r="J893" s="132"/>
      <c r="K893" s="132"/>
      <c r="L893" s="132"/>
      <c r="M893" s="132"/>
      <c r="N893" s="132"/>
      <c r="O893" s="132"/>
      <c r="P893" s="132"/>
      <c r="Q893" s="132"/>
      <c r="R893" s="132"/>
      <c r="S893" s="132"/>
      <c r="T893" s="132"/>
      <c r="U893" s="132"/>
      <c r="V893" s="132"/>
      <c r="W893" s="132"/>
      <c r="X893" s="132"/>
      <c r="Y893" s="132"/>
      <c r="Z893" s="132"/>
    </row>
    <row r="894" spans="1:26" ht="11.25" customHeight="1" x14ac:dyDescent="0.3">
      <c r="A894" s="132"/>
      <c r="B894" s="132"/>
      <c r="C894" s="132"/>
      <c r="D894" s="132"/>
      <c r="E894" s="132"/>
      <c r="F894" s="132"/>
      <c r="G894" s="132"/>
      <c r="H894" s="132"/>
      <c r="I894" s="132"/>
      <c r="J894" s="132"/>
      <c r="K894" s="132"/>
      <c r="L894" s="132"/>
      <c r="M894" s="132"/>
      <c r="N894" s="132"/>
      <c r="O894" s="132"/>
      <c r="P894" s="132"/>
      <c r="Q894" s="132"/>
      <c r="R894" s="132"/>
      <c r="S894" s="132"/>
      <c r="T894" s="132"/>
      <c r="U894" s="132"/>
      <c r="V894" s="132"/>
      <c r="W894" s="132"/>
      <c r="X894" s="132"/>
      <c r="Y894" s="132"/>
      <c r="Z894" s="132"/>
    </row>
    <row r="895" spans="1:26" ht="11.25" customHeight="1" x14ac:dyDescent="0.3">
      <c r="A895" s="132"/>
      <c r="B895" s="132"/>
      <c r="C895" s="132"/>
      <c r="D895" s="132"/>
      <c r="E895" s="132"/>
      <c r="F895" s="132"/>
      <c r="G895" s="132"/>
      <c r="H895" s="132"/>
      <c r="I895" s="132"/>
      <c r="J895" s="132"/>
      <c r="K895" s="132"/>
      <c r="L895" s="132"/>
      <c r="M895" s="132"/>
      <c r="N895" s="132"/>
      <c r="O895" s="132"/>
      <c r="P895" s="132"/>
      <c r="Q895" s="132"/>
      <c r="R895" s="132"/>
      <c r="S895" s="132"/>
      <c r="T895" s="132"/>
      <c r="U895" s="132"/>
      <c r="V895" s="132"/>
      <c r="W895" s="132"/>
      <c r="X895" s="132"/>
      <c r="Y895" s="132"/>
      <c r="Z895" s="132"/>
    </row>
    <row r="896" spans="1:26" ht="11.25" customHeight="1" x14ac:dyDescent="0.3">
      <c r="A896" s="132"/>
      <c r="B896" s="132"/>
      <c r="C896" s="132"/>
      <c r="D896" s="132"/>
      <c r="E896" s="132"/>
      <c r="F896" s="132"/>
      <c r="G896" s="132"/>
      <c r="H896" s="132"/>
      <c r="I896" s="132"/>
      <c r="J896" s="132"/>
      <c r="K896" s="132"/>
      <c r="L896" s="132"/>
      <c r="M896" s="132"/>
      <c r="N896" s="132"/>
      <c r="O896" s="132"/>
      <c r="P896" s="132"/>
      <c r="Q896" s="132"/>
      <c r="R896" s="132"/>
      <c r="S896" s="132"/>
      <c r="T896" s="132"/>
      <c r="U896" s="132"/>
      <c r="V896" s="132"/>
      <c r="W896" s="132"/>
      <c r="X896" s="132"/>
      <c r="Y896" s="132"/>
      <c r="Z896" s="132"/>
    </row>
    <row r="897" spans="1:26" ht="11.25" customHeight="1" x14ac:dyDescent="0.3">
      <c r="A897" s="132"/>
      <c r="B897" s="132"/>
      <c r="C897" s="132"/>
      <c r="D897" s="132"/>
      <c r="E897" s="132"/>
      <c r="F897" s="132"/>
      <c r="G897" s="132"/>
      <c r="H897" s="132"/>
      <c r="I897" s="132"/>
      <c r="J897" s="132"/>
      <c r="K897" s="132"/>
      <c r="L897" s="132"/>
      <c r="M897" s="132"/>
      <c r="N897" s="132"/>
      <c r="O897" s="132"/>
      <c r="P897" s="132"/>
      <c r="Q897" s="132"/>
      <c r="R897" s="132"/>
      <c r="S897" s="132"/>
      <c r="T897" s="132"/>
      <c r="U897" s="132"/>
      <c r="V897" s="132"/>
      <c r="W897" s="132"/>
      <c r="X897" s="132"/>
      <c r="Y897" s="132"/>
      <c r="Z897" s="132"/>
    </row>
    <row r="898" spans="1:26" ht="11.25" customHeight="1" x14ac:dyDescent="0.3">
      <c r="A898" s="132"/>
      <c r="B898" s="132"/>
      <c r="C898" s="132"/>
      <c r="D898" s="132"/>
      <c r="E898" s="132"/>
      <c r="F898" s="132"/>
      <c r="G898" s="132"/>
      <c r="H898" s="132"/>
      <c r="I898" s="132"/>
      <c r="J898" s="132"/>
      <c r="K898" s="132"/>
      <c r="L898" s="132"/>
      <c r="M898" s="132"/>
      <c r="N898" s="132"/>
      <c r="O898" s="132"/>
      <c r="P898" s="132"/>
      <c r="Q898" s="132"/>
      <c r="R898" s="132"/>
      <c r="S898" s="132"/>
      <c r="T898" s="132"/>
      <c r="U898" s="132"/>
      <c r="V898" s="132"/>
      <c r="W898" s="132"/>
      <c r="X898" s="132"/>
      <c r="Y898" s="132"/>
      <c r="Z898" s="132"/>
    </row>
    <row r="899" spans="1:26" ht="11.25" customHeight="1" x14ac:dyDescent="0.3">
      <c r="A899" s="132"/>
      <c r="B899" s="132"/>
      <c r="C899" s="132"/>
      <c r="D899" s="132"/>
      <c r="E899" s="132"/>
      <c r="F899" s="132"/>
      <c r="G899" s="132"/>
      <c r="H899" s="132"/>
      <c r="I899" s="132"/>
      <c r="J899" s="132"/>
      <c r="K899" s="132"/>
      <c r="L899" s="132"/>
      <c r="M899" s="132"/>
      <c r="N899" s="132"/>
      <c r="O899" s="132"/>
      <c r="P899" s="132"/>
      <c r="Q899" s="132"/>
      <c r="R899" s="132"/>
      <c r="S899" s="132"/>
      <c r="T899" s="132"/>
      <c r="U899" s="132"/>
      <c r="V899" s="132"/>
      <c r="W899" s="132"/>
      <c r="X899" s="132"/>
      <c r="Y899" s="132"/>
      <c r="Z899" s="132"/>
    </row>
    <row r="900" spans="1:26" ht="11.25" customHeight="1" x14ac:dyDescent="0.3">
      <c r="A900" s="132"/>
      <c r="B900" s="132"/>
      <c r="C900" s="132"/>
      <c r="D900" s="132"/>
      <c r="E900" s="132"/>
      <c r="F900" s="132"/>
      <c r="G900" s="132"/>
      <c r="H900" s="132"/>
      <c r="I900" s="132"/>
      <c r="J900" s="132"/>
      <c r="K900" s="132"/>
      <c r="L900" s="132"/>
      <c r="M900" s="132"/>
      <c r="N900" s="132"/>
      <c r="O900" s="132"/>
      <c r="P900" s="132"/>
      <c r="Q900" s="132"/>
      <c r="R900" s="132"/>
      <c r="S900" s="132"/>
      <c r="T900" s="132"/>
      <c r="U900" s="132"/>
      <c r="V900" s="132"/>
      <c r="W900" s="132"/>
      <c r="X900" s="132"/>
      <c r="Y900" s="132"/>
      <c r="Z900" s="132"/>
    </row>
    <row r="901" spans="1:26" ht="11.25" customHeight="1" x14ac:dyDescent="0.3">
      <c r="A901" s="132"/>
      <c r="B901" s="132"/>
      <c r="C901" s="132"/>
      <c r="D901" s="132"/>
      <c r="E901" s="132"/>
      <c r="F901" s="132"/>
      <c r="G901" s="132"/>
      <c r="H901" s="132"/>
      <c r="I901" s="132"/>
      <c r="J901" s="132"/>
      <c r="K901" s="132"/>
      <c r="L901" s="132"/>
      <c r="M901" s="132"/>
      <c r="N901" s="132"/>
      <c r="O901" s="132"/>
      <c r="P901" s="132"/>
      <c r="Q901" s="132"/>
      <c r="R901" s="132"/>
      <c r="S901" s="132"/>
      <c r="T901" s="132"/>
      <c r="U901" s="132"/>
      <c r="V901" s="132"/>
      <c r="W901" s="132"/>
      <c r="X901" s="132"/>
      <c r="Y901" s="132"/>
      <c r="Z901" s="132"/>
    </row>
    <row r="902" spans="1:26" ht="11.25" customHeight="1" x14ac:dyDescent="0.3">
      <c r="A902" s="132"/>
      <c r="B902" s="132"/>
      <c r="C902" s="132"/>
      <c r="D902" s="132"/>
      <c r="E902" s="132"/>
      <c r="F902" s="132"/>
      <c r="G902" s="132"/>
      <c r="H902" s="132"/>
      <c r="I902" s="132"/>
      <c r="J902" s="132"/>
      <c r="K902" s="132"/>
      <c r="L902" s="132"/>
      <c r="M902" s="132"/>
      <c r="N902" s="132"/>
      <c r="O902" s="132"/>
      <c r="P902" s="132"/>
      <c r="Q902" s="132"/>
      <c r="R902" s="132"/>
      <c r="S902" s="132"/>
      <c r="T902" s="132"/>
      <c r="U902" s="132"/>
      <c r="V902" s="132"/>
      <c r="W902" s="132"/>
      <c r="X902" s="132"/>
      <c r="Y902" s="132"/>
      <c r="Z902" s="132"/>
    </row>
    <row r="903" spans="1:26" ht="11.25" customHeight="1" x14ac:dyDescent="0.3">
      <c r="A903" s="132"/>
      <c r="B903" s="132"/>
      <c r="C903" s="132"/>
      <c r="D903" s="132"/>
      <c r="E903" s="132"/>
      <c r="F903" s="132"/>
      <c r="G903" s="132"/>
      <c r="H903" s="132"/>
      <c r="I903" s="132"/>
      <c r="J903" s="132"/>
      <c r="K903" s="132"/>
      <c r="L903" s="132"/>
      <c r="M903" s="132"/>
      <c r="N903" s="132"/>
      <c r="O903" s="132"/>
      <c r="P903" s="132"/>
      <c r="Q903" s="132"/>
      <c r="R903" s="132"/>
      <c r="S903" s="132"/>
      <c r="T903" s="132"/>
      <c r="U903" s="132"/>
      <c r="V903" s="132"/>
      <c r="W903" s="132"/>
      <c r="X903" s="132"/>
      <c r="Y903" s="132"/>
      <c r="Z903" s="132"/>
    </row>
    <row r="904" spans="1:26" ht="11.25" customHeight="1" x14ac:dyDescent="0.3">
      <c r="A904" s="132"/>
      <c r="B904" s="132"/>
      <c r="C904" s="132"/>
      <c r="D904" s="132"/>
      <c r="E904" s="132"/>
      <c r="F904" s="132"/>
      <c r="G904" s="132"/>
      <c r="H904" s="132"/>
      <c r="I904" s="132"/>
      <c r="J904" s="132"/>
      <c r="K904" s="132"/>
      <c r="L904" s="132"/>
      <c r="M904" s="132"/>
      <c r="N904" s="132"/>
      <c r="O904" s="132"/>
      <c r="P904" s="132"/>
      <c r="Q904" s="132"/>
      <c r="R904" s="132"/>
      <c r="S904" s="132"/>
      <c r="T904" s="132"/>
      <c r="U904" s="132"/>
      <c r="V904" s="132"/>
      <c r="W904" s="132"/>
      <c r="X904" s="132"/>
      <c r="Y904" s="132"/>
      <c r="Z904" s="132"/>
    </row>
    <row r="905" spans="1:26" ht="11.25" customHeight="1" x14ac:dyDescent="0.3">
      <c r="A905" s="132"/>
      <c r="B905" s="132"/>
      <c r="C905" s="132"/>
      <c r="D905" s="132"/>
      <c r="E905" s="132"/>
      <c r="F905" s="132"/>
      <c r="G905" s="132"/>
      <c r="H905" s="132"/>
      <c r="I905" s="132"/>
      <c r="J905" s="132"/>
      <c r="K905" s="132"/>
      <c r="L905" s="132"/>
      <c r="M905" s="132"/>
      <c r="N905" s="132"/>
      <c r="O905" s="132"/>
      <c r="P905" s="132"/>
      <c r="Q905" s="132"/>
      <c r="R905" s="132"/>
      <c r="S905" s="132"/>
      <c r="T905" s="132"/>
      <c r="U905" s="132"/>
      <c r="V905" s="132"/>
      <c r="W905" s="132"/>
      <c r="X905" s="132"/>
      <c r="Y905" s="132"/>
      <c r="Z905" s="132"/>
    </row>
    <row r="906" spans="1:26" ht="11.25" customHeight="1" x14ac:dyDescent="0.3">
      <c r="A906" s="132"/>
      <c r="B906" s="132"/>
      <c r="C906" s="132"/>
      <c r="D906" s="132"/>
      <c r="E906" s="132"/>
      <c r="F906" s="132"/>
      <c r="G906" s="132"/>
      <c r="H906" s="132"/>
      <c r="I906" s="132"/>
      <c r="J906" s="132"/>
      <c r="K906" s="132"/>
      <c r="L906" s="132"/>
      <c r="M906" s="132"/>
      <c r="N906" s="132"/>
      <c r="O906" s="132"/>
      <c r="P906" s="132"/>
      <c r="Q906" s="132"/>
      <c r="R906" s="132"/>
      <c r="S906" s="132"/>
      <c r="T906" s="132"/>
      <c r="U906" s="132"/>
      <c r="V906" s="132"/>
      <c r="W906" s="132"/>
      <c r="X906" s="132"/>
      <c r="Y906" s="132"/>
      <c r="Z906" s="132"/>
    </row>
    <row r="907" spans="1:26" ht="11.25" customHeight="1" x14ac:dyDescent="0.3">
      <c r="A907" s="132"/>
      <c r="B907" s="132"/>
      <c r="C907" s="132"/>
      <c r="D907" s="132"/>
      <c r="E907" s="132"/>
      <c r="F907" s="132"/>
      <c r="G907" s="132"/>
      <c r="H907" s="132"/>
      <c r="I907" s="132"/>
      <c r="J907" s="132"/>
      <c r="K907" s="132"/>
      <c r="L907" s="132"/>
      <c r="M907" s="132"/>
      <c r="N907" s="132"/>
      <c r="O907" s="132"/>
      <c r="P907" s="132"/>
      <c r="Q907" s="132"/>
      <c r="R907" s="132"/>
      <c r="S907" s="132"/>
      <c r="T907" s="132"/>
      <c r="U907" s="132"/>
      <c r="V907" s="132"/>
      <c r="W907" s="132"/>
      <c r="X907" s="132"/>
      <c r="Y907" s="132"/>
      <c r="Z907" s="132"/>
    </row>
    <row r="908" spans="1:26" ht="11.25" customHeight="1" x14ac:dyDescent="0.3">
      <c r="A908" s="132"/>
      <c r="B908" s="132"/>
      <c r="C908" s="132"/>
      <c r="D908" s="132"/>
      <c r="E908" s="132"/>
      <c r="F908" s="132"/>
      <c r="G908" s="132"/>
      <c r="H908" s="132"/>
      <c r="I908" s="132"/>
      <c r="J908" s="132"/>
      <c r="K908" s="132"/>
      <c r="L908" s="132"/>
      <c r="M908" s="132"/>
      <c r="N908" s="132"/>
      <c r="O908" s="132"/>
      <c r="P908" s="132"/>
      <c r="Q908" s="132"/>
      <c r="R908" s="132"/>
      <c r="S908" s="132"/>
      <c r="T908" s="132"/>
      <c r="U908" s="132"/>
      <c r="V908" s="132"/>
      <c r="W908" s="132"/>
      <c r="X908" s="132"/>
      <c r="Y908" s="132"/>
      <c r="Z908" s="132"/>
    </row>
    <row r="909" spans="1:26" ht="11.25" customHeight="1" x14ac:dyDescent="0.3">
      <c r="A909" s="132"/>
      <c r="B909" s="132"/>
      <c r="C909" s="132"/>
      <c r="D909" s="132"/>
      <c r="E909" s="132"/>
      <c r="F909" s="132"/>
      <c r="G909" s="132"/>
      <c r="H909" s="132"/>
      <c r="I909" s="132"/>
      <c r="J909" s="132"/>
      <c r="K909" s="132"/>
      <c r="L909" s="132"/>
      <c r="M909" s="132"/>
      <c r="N909" s="132"/>
      <c r="O909" s="132"/>
      <c r="P909" s="132"/>
      <c r="Q909" s="132"/>
      <c r="R909" s="132"/>
      <c r="S909" s="132"/>
      <c r="T909" s="132"/>
      <c r="U909" s="132"/>
      <c r="V909" s="132"/>
      <c r="W909" s="132"/>
      <c r="X909" s="132"/>
      <c r="Y909" s="132"/>
      <c r="Z909" s="132"/>
    </row>
    <row r="910" spans="1:26" ht="11.25" customHeight="1" x14ac:dyDescent="0.3">
      <c r="A910" s="132"/>
      <c r="B910" s="132"/>
      <c r="C910" s="132"/>
      <c r="D910" s="132"/>
      <c r="E910" s="132"/>
      <c r="F910" s="132"/>
      <c r="G910" s="132"/>
      <c r="H910" s="132"/>
      <c r="I910" s="132"/>
      <c r="J910" s="132"/>
      <c r="K910" s="132"/>
      <c r="L910" s="132"/>
      <c r="M910" s="132"/>
      <c r="N910" s="132"/>
      <c r="O910" s="132"/>
      <c r="P910" s="132"/>
      <c r="Q910" s="132"/>
      <c r="R910" s="132"/>
      <c r="S910" s="132"/>
      <c r="T910" s="132"/>
      <c r="U910" s="132"/>
      <c r="V910" s="132"/>
      <c r="W910" s="132"/>
      <c r="X910" s="132"/>
      <c r="Y910" s="132"/>
      <c r="Z910" s="132"/>
    </row>
    <row r="911" spans="1:26" ht="11.25" customHeight="1" x14ac:dyDescent="0.3">
      <c r="A911" s="132"/>
      <c r="B911" s="132"/>
      <c r="C911" s="132"/>
      <c r="D911" s="132"/>
      <c r="E911" s="132"/>
      <c r="F911" s="132"/>
      <c r="G911" s="132"/>
      <c r="H911" s="132"/>
      <c r="I911" s="132"/>
      <c r="J911" s="132"/>
      <c r="K911" s="132"/>
      <c r="L911" s="132"/>
      <c r="M911" s="132"/>
      <c r="N911" s="132"/>
      <c r="O911" s="132"/>
      <c r="P911" s="132"/>
      <c r="Q911" s="132"/>
      <c r="R911" s="132"/>
      <c r="S911" s="132"/>
      <c r="T911" s="132"/>
      <c r="U911" s="132"/>
      <c r="V911" s="132"/>
      <c r="W911" s="132"/>
      <c r="X911" s="132"/>
      <c r="Y911" s="132"/>
      <c r="Z911" s="132"/>
    </row>
    <row r="912" spans="1:26" ht="11.25" customHeight="1" x14ac:dyDescent="0.3">
      <c r="A912" s="132"/>
      <c r="B912" s="132"/>
      <c r="C912" s="132"/>
      <c r="D912" s="132"/>
      <c r="E912" s="132"/>
      <c r="F912" s="132"/>
      <c r="G912" s="132"/>
      <c r="H912" s="132"/>
      <c r="I912" s="132"/>
      <c r="J912" s="132"/>
      <c r="K912" s="132"/>
      <c r="L912" s="132"/>
      <c r="M912" s="132"/>
      <c r="N912" s="132"/>
      <c r="O912" s="132"/>
      <c r="P912" s="132"/>
      <c r="Q912" s="132"/>
      <c r="R912" s="132"/>
      <c r="S912" s="132"/>
      <c r="T912" s="132"/>
      <c r="U912" s="132"/>
      <c r="V912" s="132"/>
      <c r="W912" s="132"/>
      <c r="X912" s="132"/>
      <c r="Y912" s="132"/>
      <c r="Z912" s="132"/>
    </row>
    <row r="913" spans="1:26" ht="11.25" customHeight="1" x14ac:dyDescent="0.3">
      <c r="A913" s="132"/>
      <c r="B913" s="132"/>
      <c r="C913" s="132"/>
      <c r="D913" s="132"/>
      <c r="E913" s="132"/>
      <c r="F913" s="132"/>
      <c r="G913" s="132"/>
      <c r="H913" s="132"/>
      <c r="I913" s="132"/>
      <c r="J913" s="132"/>
      <c r="K913" s="132"/>
      <c r="L913" s="132"/>
      <c r="M913" s="132"/>
      <c r="N913" s="132"/>
      <c r="O913" s="132"/>
      <c r="P913" s="132"/>
      <c r="Q913" s="132"/>
      <c r="R913" s="132"/>
      <c r="S913" s="132"/>
      <c r="T913" s="132"/>
      <c r="U913" s="132"/>
      <c r="V913" s="132"/>
      <c r="W913" s="132"/>
      <c r="X913" s="132"/>
      <c r="Y913" s="132"/>
      <c r="Z913" s="132"/>
    </row>
    <row r="914" spans="1:26" ht="11.25" customHeight="1" x14ac:dyDescent="0.3">
      <c r="A914" s="132"/>
      <c r="B914" s="132"/>
      <c r="C914" s="132"/>
      <c r="D914" s="132"/>
      <c r="E914" s="132"/>
      <c r="F914" s="132"/>
      <c r="G914" s="132"/>
      <c r="H914" s="132"/>
      <c r="I914" s="132"/>
      <c r="J914" s="132"/>
      <c r="K914" s="132"/>
      <c r="L914" s="132"/>
      <c r="M914" s="132"/>
      <c r="N914" s="132"/>
      <c r="O914" s="132"/>
      <c r="P914" s="132"/>
      <c r="Q914" s="132"/>
      <c r="R914" s="132"/>
      <c r="S914" s="132"/>
      <c r="T914" s="132"/>
      <c r="U914" s="132"/>
      <c r="V914" s="132"/>
      <c r="W914" s="132"/>
      <c r="X914" s="132"/>
      <c r="Y914" s="132"/>
      <c r="Z914" s="132"/>
    </row>
    <row r="915" spans="1:26" ht="11.25" customHeight="1" x14ac:dyDescent="0.3">
      <c r="A915" s="132"/>
      <c r="B915" s="132"/>
      <c r="C915" s="132"/>
      <c r="D915" s="132"/>
      <c r="E915" s="132"/>
      <c r="F915" s="132"/>
      <c r="G915" s="132"/>
      <c r="H915" s="132"/>
      <c r="I915" s="132"/>
      <c r="J915" s="132"/>
      <c r="K915" s="132"/>
      <c r="L915" s="132"/>
      <c r="M915" s="132"/>
      <c r="N915" s="132"/>
      <c r="O915" s="132"/>
      <c r="P915" s="132"/>
      <c r="Q915" s="132"/>
      <c r="R915" s="132"/>
      <c r="S915" s="132"/>
      <c r="T915" s="132"/>
      <c r="U915" s="132"/>
      <c r="V915" s="132"/>
      <c r="W915" s="132"/>
      <c r="X915" s="132"/>
      <c r="Y915" s="132"/>
      <c r="Z915" s="132"/>
    </row>
    <row r="916" spans="1:26" ht="11.25" customHeight="1" x14ac:dyDescent="0.3">
      <c r="A916" s="132"/>
      <c r="B916" s="132"/>
      <c r="C916" s="132"/>
      <c r="D916" s="132"/>
      <c r="E916" s="132"/>
      <c r="F916" s="132"/>
      <c r="G916" s="132"/>
      <c r="H916" s="132"/>
      <c r="I916" s="132"/>
      <c r="J916" s="132"/>
      <c r="K916" s="132"/>
      <c r="L916" s="132"/>
      <c r="M916" s="132"/>
      <c r="N916" s="132"/>
      <c r="O916" s="132"/>
      <c r="P916" s="132"/>
      <c r="Q916" s="132"/>
      <c r="R916" s="132"/>
      <c r="S916" s="132"/>
      <c r="T916" s="132"/>
      <c r="U916" s="132"/>
      <c r="V916" s="132"/>
      <c r="W916" s="132"/>
      <c r="X916" s="132"/>
      <c r="Y916" s="132"/>
      <c r="Z916" s="132"/>
    </row>
    <row r="917" spans="1:26" ht="11.25" customHeight="1" x14ac:dyDescent="0.3">
      <c r="A917" s="132"/>
      <c r="B917" s="132"/>
      <c r="C917" s="132"/>
      <c r="D917" s="132"/>
      <c r="E917" s="132"/>
      <c r="F917" s="132"/>
      <c r="G917" s="132"/>
      <c r="H917" s="132"/>
      <c r="I917" s="132"/>
      <c r="J917" s="132"/>
      <c r="K917" s="132"/>
      <c r="L917" s="132"/>
      <c r="M917" s="132"/>
      <c r="N917" s="132"/>
      <c r="O917" s="132"/>
      <c r="P917" s="132"/>
      <c r="Q917" s="132"/>
      <c r="R917" s="132"/>
      <c r="S917" s="132"/>
      <c r="T917" s="132"/>
      <c r="U917" s="132"/>
      <c r="V917" s="132"/>
      <c r="W917" s="132"/>
      <c r="X917" s="132"/>
      <c r="Y917" s="132"/>
      <c r="Z917" s="132"/>
    </row>
    <row r="918" spans="1:26" ht="11.25" customHeight="1" x14ac:dyDescent="0.3">
      <c r="A918" s="132"/>
      <c r="B918" s="132"/>
      <c r="C918" s="132"/>
      <c r="D918" s="132"/>
      <c r="E918" s="132"/>
      <c r="F918" s="132"/>
      <c r="G918" s="132"/>
      <c r="H918" s="132"/>
      <c r="I918" s="132"/>
      <c r="J918" s="132"/>
      <c r="K918" s="132"/>
      <c r="L918" s="132"/>
      <c r="M918" s="132"/>
      <c r="N918" s="132"/>
      <c r="O918" s="132"/>
      <c r="P918" s="132"/>
      <c r="Q918" s="132"/>
      <c r="R918" s="132"/>
      <c r="S918" s="132"/>
      <c r="T918" s="132"/>
      <c r="U918" s="132"/>
      <c r="V918" s="132"/>
      <c r="W918" s="132"/>
      <c r="X918" s="132"/>
      <c r="Y918" s="132"/>
      <c r="Z918" s="132"/>
    </row>
    <row r="919" spans="1:26" ht="11.25" customHeight="1" x14ac:dyDescent="0.3">
      <c r="A919" s="132"/>
      <c r="B919" s="132"/>
      <c r="C919" s="132"/>
      <c r="D919" s="132"/>
      <c r="E919" s="132"/>
      <c r="F919" s="132"/>
      <c r="G919" s="132"/>
      <c r="H919" s="132"/>
      <c r="I919" s="132"/>
      <c r="J919" s="132"/>
      <c r="K919" s="132"/>
      <c r="L919" s="132"/>
      <c r="M919" s="132"/>
      <c r="N919" s="132"/>
      <c r="O919" s="132"/>
      <c r="P919" s="132"/>
      <c r="Q919" s="132"/>
      <c r="R919" s="132"/>
      <c r="S919" s="132"/>
      <c r="T919" s="132"/>
      <c r="U919" s="132"/>
      <c r="V919" s="132"/>
      <c r="W919" s="132"/>
      <c r="X919" s="132"/>
      <c r="Y919" s="132"/>
      <c r="Z919" s="132"/>
    </row>
    <row r="920" spans="1:26" ht="11.25" customHeight="1" x14ac:dyDescent="0.3">
      <c r="A920" s="132"/>
      <c r="B920" s="132"/>
      <c r="C920" s="132"/>
      <c r="D920" s="132"/>
      <c r="E920" s="132"/>
      <c r="F920" s="132"/>
      <c r="G920" s="132"/>
      <c r="H920" s="132"/>
      <c r="I920" s="132"/>
      <c r="J920" s="132"/>
      <c r="K920" s="132"/>
      <c r="L920" s="132"/>
      <c r="M920" s="132"/>
      <c r="N920" s="132"/>
      <c r="O920" s="132"/>
      <c r="P920" s="132"/>
      <c r="Q920" s="132"/>
      <c r="R920" s="132"/>
      <c r="S920" s="132"/>
      <c r="T920" s="132"/>
      <c r="U920" s="132"/>
      <c r="V920" s="132"/>
      <c r="W920" s="132"/>
      <c r="X920" s="132"/>
      <c r="Y920" s="132"/>
      <c r="Z920" s="132"/>
    </row>
    <row r="921" spans="1:26" ht="11.25" customHeight="1" x14ac:dyDescent="0.3">
      <c r="A921" s="132"/>
      <c r="B921" s="132"/>
      <c r="C921" s="132"/>
      <c r="D921" s="132"/>
      <c r="E921" s="132"/>
      <c r="F921" s="132"/>
      <c r="G921" s="132"/>
      <c r="H921" s="132"/>
      <c r="I921" s="132"/>
      <c r="J921" s="132"/>
      <c r="K921" s="132"/>
      <c r="L921" s="132"/>
      <c r="M921" s="132"/>
      <c r="N921" s="132"/>
      <c r="O921" s="132"/>
      <c r="P921" s="132"/>
      <c r="Q921" s="132"/>
      <c r="R921" s="132"/>
      <c r="S921" s="132"/>
      <c r="T921" s="132"/>
      <c r="U921" s="132"/>
      <c r="V921" s="132"/>
      <c r="W921" s="132"/>
      <c r="X921" s="132"/>
      <c r="Y921" s="132"/>
      <c r="Z921" s="132"/>
    </row>
    <row r="922" spans="1:26" ht="11.25" customHeight="1" x14ac:dyDescent="0.3">
      <c r="A922" s="132"/>
      <c r="B922" s="132"/>
      <c r="C922" s="132"/>
      <c r="D922" s="132"/>
      <c r="E922" s="132"/>
      <c r="F922" s="132"/>
      <c r="G922" s="132"/>
      <c r="H922" s="132"/>
      <c r="I922" s="132"/>
      <c r="J922" s="132"/>
      <c r="K922" s="132"/>
      <c r="L922" s="132"/>
      <c r="M922" s="132"/>
      <c r="N922" s="132"/>
      <c r="O922" s="132"/>
      <c r="P922" s="132"/>
      <c r="Q922" s="132"/>
      <c r="R922" s="132"/>
      <c r="S922" s="132"/>
      <c r="T922" s="132"/>
      <c r="U922" s="132"/>
      <c r="V922" s="132"/>
      <c r="W922" s="132"/>
      <c r="X922" s="132"/>
      <c r="Y922" s="132"/>
      <c r="Z922" s="132"/>
    </row>
    <row r="923" spans="1:26" ht="11.25" customHeight="1" x14ac:dyDescent="0.3">
      <c r="A923" s="132"/>
      <c r="B923" s="132"/>
      <c r="C923" s="132"/>
      <c r="D923" s="132"/>
      <c r="E923" s="132"/>
      <c r="F923" s="132"/>
      <c r="G923" s="132"/>
      <c r="H923" s="132"/>
      <c r="I923" s="132"/>
      <c r="J923" s="132"/>
      <c r="K923" s="132"/>
      <c r="L923" s="132"/>
      <c r="M923" s="132"/>
      <c r="N923" s="132"/>
      <c r="O923" s="132"/>
      <c r="P923" s="132"/>
      <c r="Q923" s="132"/>
      <c r="R923" s="132"/>
      <c r="S923" s="132"/>
      <c r="T923" s="132"/>
      <c r="U923" s="132"/>
      <c r="V923" s="132"/>
      <c r="W923" s="132"/>
      <c r="X923" s="132"/>
      <c r="Y923" s="132"/>
      <c r="Z923" s="132"/>
    </row>
    <row r="924" spans="1:26" ht="11.25" customHeight="1" x14ac:dyDescent="0.3">
      <c r="A924" s="132"/>
      <c r="B924" s="132"/>
      <c r="C924" s="132"/>
      <c r="D924" s="132"/>
      <c r="E924" s="132"/>
      <c r="F924" s="132"/>
      <c r="G924" s="132"/>
      <c r="H924" s="132"/>
      <c r="I924" s="132"/>
      <c r="J924" s="132"/>
      <c r="K924" s="132"/>
      <c r="L924" s="132"/>
      <c r="M924" s="132"/>
      <c r="N924" s="132"/>
      <c r="O924" s="132"/>
      <c r="P924" s="132"/>
      <c r="Q924" s="132"/>
      <c r="R924" s="132"/>
      <c r="S924" s="132"/>
      <c r="T924" s="132"/>
      <c r="U924" s="132"/>
      <c r="V924" s="132"/>
      <c r="W924" s="132"/>
      <c r="X924" s="132"/>
      <c r="Y924" s="132"/>
      <c r="Z924" s="132"/>
    </row>
    <row r="925" spans="1:26" ht="11.25" customHeight="1" x14ac:dyDescent="0.3">
      <c r="A925" s="132"/>
      <c r="B925" s="132"/>
      <c r="C925" s="132"/>
      <c r="D925" s="132"/>
      <c r="E925" s="132"/>
      <c r="F925" s="132"/>
      <c r="G925" s="132"/>
      <c r="H925" s="132"/>
      <c r="I925" s="132"/>
      <c r="J925" s="132"/>
      <c r="K925" s="132"/>
      <c r="L925" s="132"/>
      <c r="M925" s="132"/>
      <c r="N925" s="132"/>
      <c r="O925" s="132"/>
      <c r="P925" s="132"/>
      <c r="Q925" s="132"/>
      <c r="R925" s="132"/>
      <c r="S925" s="132"/>
      <c r="T925" s="132"/>
      <c r="U925" s="132"/>
      <c r="V925" s="132"/>
      <c r="W925" s="132"/>
      <c r="X925" s="132"/>
      <c r="Y925" s="132"/>
      <c r="Z925" s="132"/>
    </row>
    <row r="926" spans="1:26" ht="11.25" customHeight="1" x14ac:dyDescent="0.3">
      <c r="A926" s="132"/>
      <c r="B926" s="132"/>
      <c r="C926" s="132"/>
      <c r="D926" s="132"/>
      <c r="E926" s="132"/>
      <c r="F926" s="132"/>
      <c r="G926" s="132"/>
      <c r="H926" s="132"/>
      <c r="I926" s="132"/>
      <c r="J926" s="132"/>
      <c r="K926" s="132"/>
      <c r="L926" s="132"/>
      <c r="M926" s="132"/>
      <c r="N926" s="132"/>
      <c r="O926" s="132"/>
      <c r="P926" s="132"/>
      <c r="Q926" s="132"/>
      <c r="R926" s="132"/>
      <c r="S926" s="132"/>
      <c r="T926" s="132"/>
      <c r="U926" s="132"/>
      <c r="V926" s="132"/>
      <c r="W926" s="132"/>
      <c r="X926" s="132"/>
      <c r="Y926" s="132"/>
      <c r="Z926" s="132"/>
    </row>
    <row r="927" spans="1:26" ht="11.25" customHeight="1" x14ac:dyDescent="0.3">
      <c r="A927" s="132"/>
      <c r="B927" s="132"/>
      <c r="C927" s="132"/>
      <c r="D927" s="132"/>
      <c r="E927" s="132"/>
      <c r="F927" s="132"/>
      <c r="G927" s="132"/>
      <c r="H927" s="132"/>
      <c r="I927" s="132"/>
      <c r="J927" s="132"/>
      <c r="K927" s="132"/>
      <c r="L927" s="132"/>
      <c r="M927" s="132"/>
      <c r="N927" s="132"/>
      <c r="O927" s="132"/>
      <c r="P927" s="132"/>
      <c r="Q927" s="132"/>
      <c r="R927" s="132"/>
      <c r="S927" s="132"/>
      <c r="T927" s="132"/>
      <c r="U927" s="132"/>
      <c r="V927" s="132"/>
      <c r="W927" s="132"/>
      <c r="X927" s="132"/>
      <c r="Y927" s="132"/>
      <c r="Z927" s="132"/>
    </row>
    <row r="928" spans="1:26" ht="11.25" customHeight="1" x14ac:dyDescent="0.3">
      <c r="A928" s="132"/>
      <c r="B928" s="132"/>
      <c r="C928" s="132"/>
      <c r="D928" s="132"/>
      <c r="E928" s="132"/>
      <c r="F928" s="132"/>
      <c r="G928" s="132"/>
      <c r="H928" s="132"/>
      <c r="I928" s="132"/>
      <c r="J928" s="132"/>
      <c r="K928" s="132"/>
      <c r="L928" s="132"/>
      <c r="M928" s="132"/>
      <c r="N928" s="132"/>
      <c r="O928" s="132"/>
      <c r="P928" s="132"/>
      <c r="Q928" s="132"/>
      <c r="R928" s="132"/>
      <c r="S928" s="132"/>
      <c r="T928" s="132"/>
      <c r="U928" s="132"/>
      <c r="V928" s="132"/>
      <c r="W928" s="132"/>
      <c r="X928" s="132"/>
      <c r="Y928" s="132"/>
      <c r="Z928" s="132"/>
    </row>
    <row r="929" spans="1:26" ht="11.25" customHeight="1" x14ac:dyDescent="0.3">
      <c r="A929" s="132"/>
      <c r="B929" s="132"/>
      <c r="C929" s="132"/>
      <c r="D929" s="132"/>
      <c r="E929" s="132"/>
      <c r="F929" s="132"/>
      <c r="G929" s="132"/>
      <c r="H929" s="132"/>
      <c r="I929" s="132"/>
      <c r="J929" s="132"/>
      <c r="K929" s="132"/>
      <c r="L929" s="132"/>
      <c r="M929" s="132"/>
      <c r="N929" s="132"/>
      <c r="O929" s="132"/>
      <c r="P929" s="132"/>
      <c r="Q929" s="132"/>
      <c r="R929" s="132"/>
      <c r="S929" s="132"/>
      <c r="T929" s="132"/>
      <c r="U929" s="132"/>
      <c r="V929" s="132"/>
      <c r="W929" s="132"/>
      <c r="X929" s="132"/>
      <c r="Y929" s="132"/>
      <c r="Z929" s="132"/>
    </row>
    <row r="930" spans="1:26" ht="11.25" customHeight="1" x14ac:dyDescent="0.3">
      <c r="A930" s="132"/>
      <c r="B930" s="132"/>
      <c r="C930" s="132"/>
      <c r="D930" s="132"/>
      <c r="E930" s="132"/>
      <c r="F930" s="132"/>
      <c r="G930" s="132"/>
      <c r="H930" s="132"/>
      <c r="I930" s="132"/>
      <c r="J930" s="132"/>
      <c r="K930" s="132"/>
      <c r="L930" s="132"/>
      <c r="M930" s="132"/>
      <c r="N930" s="132"/>
      <c r="O930" s="132"/>
      <c r="P930" s="132"/>
      <c r="Q930" s="132"/>
      <c r="R930" s="132"/>
      <c r="S930" s="132"/>
      <c r="T930" s="132"/>
      <c r="U930" s="132"/>
      <c r="V930" s="132"/>
      <c r="W930" s="132"/>
      <c r="X930" s="132"/>
      <c r="Y930" s="132"/>
      <c r="Z930" s="132"/>
    </row>
    <row r="931" spans="1:26" ht="11.25" customHeight="1" x14ac:dyDescent="0.3">
      <c r="A931" s="132"/>
      <c r="B931" s="132"/>
      <c r="C931" s="132"/>
      <c r="D931" s="132"/>
      <c r="E931" s="132"/>
      <c r="F931" s="132"/>
      <c r="G931" s="132"/>
      <c r="H931" s="132"/>
      <c r="I931" s="132"/>
      <c r="J931" s="132"/>
      <c r="K931" s="132"/>
      <c r="L931" s="132"/>
      <c r="M931" s="132"/>
      <c r="N931" s="132"/>
      <c r="O931" s="132"/>
      <c r="P931" s="132"/>
      <c r="Q931" s="132"/>
      <c r="R931" s="132"/>
      <c r="S931" s="132"/>
      <c r="T931" s="132"/>
      <c r="U931" s="132"/>
      <c r="V931" s="132"/>
      <c r="W931" s="132"/>
      <c r="X931" s="132"/>
      <c r="Y931" s="132"/>
      <c r="Z931" s="132"/>
    </row>
    <row r="932" spans="1:26" ht="11.25" customHeight="1" x14ac:dyDescent="0.3">
      <c r="A932" s="132"/>
      <c r="B932" s="132"/>
      <c r="C932" s="132"/>
      <c r="D932" s="132"/>
      <c r="E932" s="132"/>
      <c r="F932" s="132"/>
      <c r="G932" s="132"/>
      <c r="H932" s="132"/>
      <c r="I932" s="132"/>
      <c r="J932" s="132"/>
      <c r="K932" s="132"/>
      <c r="L932" s="132"/>
      <c r="M932" s="132"/>
      <c r="N932" s="132"/>
      <c r="O932" s="132"/>
      <c r="P932" s="132"/>
      <c r="Q932" s="132"/>
      <c r="R932" s="132"/>
      <c r="S932" s="132"/>
      <c r="T932" s="132"/>
      <c r="U932" s="132"/>
      <c r="V932" s="132"/>
      <c r="W932" s="132"/>
      <c r="X932" s="132"/>
      <c r="Y932" s="132"/>
      <c r="Z932" s="132"/>
    </row>
    <row r="933" spans="1:26" ht="11.25" customHeight="1" x14ac:dyDescent="0.3">
      <c r="A933" s="132"/>
      <c r="B933" s="132"/>
      <c r="C933" s="132"/>
      <c r="D933" s="132"/>
      <c r="E933" s="132"/>
      <c r="F933" s="132"/>
      <c r="G933" s="132"/>
      <c r="H933" s="132"/>
      <c r="I933" s="132"/>
      <c r="J933" s="132"/>
      <c r="K933" s="132"/>
      <c r="L933" s="132"/>
      <c r="M933" s="132"/>
      <c r="N933" s="132"/>
      <c r="O933" s="132"/>
      <c r="P933" s="132"/>
      <c r="Q933" s="132"/>
      <c r="R933" s="132"/>
      <c r="S933" s="132"/>
      <c r="T933" s="132"/>
      <c r="U933" s="132"/>
      <c r="V933" s="132"/>
      <c r="W933" s="132"/>
      <c r="X933" s="132"/>
      <c r="Y933" s="132"/>
      <c r="Z933" s="132"/>
    </row>
    <row r="934" spans="1:26" ht="11.25" customHeight="1" x14ac:dyDescent="0.3">
      <c r="A934" s="132"/>
      <c r="B934" s="132"/>
      <c r="C934" s="132"/>
      <c r="D934" s="132"/>
      <c r="E934" s="132"/>
      <c r="F934" s="132"/>
      <c r="G934" s="132"/>
      <c r="H934" s="132"/>
      <c r="I934" s="132"/>
      <c r="J934" s="132"/>
      <c r="K934" s="132"/>
      <c r="L934" s="132"/>
      <c r="M934" s="132"/>
      <c r="N934" s="132"/>
      <c r="O934" s="132"/>
      <c r="P934" s="132"/>
      <c r="Q934" s="132"/>
      <c r="R934" s="132"/>
      <c r="S934" s="132"/>
      <c r="T934" s="132"/>
      <c r="U934" s="132"/>
      <c r="V934" s="132"/>
      <c r="W934" s="132"/>
      <c r="X934" s="132"/>
      <c r="Y934" s="132"/>
      <c r="Z934" s="132"/>
    </row>
    <row r="935" spans="1:26" ht="11.25" customHeight="1" x14ac:dyDescent="0.3">
      <c r="A935" s="132"/>
      <c r="B935" s="132"/>
      <c r="C935" s="132"/>
      <c r="D935" s="132"/>
      <c r="E935" s="132"/>
      <c r="F935" s="132"/>
      <c r="G935" s="132"/>
      <c r="H935" s="132"/>
      <c r="I935" s="132"/>
      <c r="J935" s="132"/>
      <c r="K935" s="132"/>
      <c r="L935" s="132"/>
      <c r="M935" s="132"/>
      <c r="N935" s="132"/>
      <c r="O935" s="132"/>
      <c r="P935" s="132"/>
      <c r="Q935" s="132"/>
      <c r="R935" s="132"/>
      <c r="S935" s="132"/>
      <c r="T935" s="132"/>
      <c r="U935" s="132"/>
      <c r="V935" s="132"/>
      <c r="W935" s="132"/>
      <c r="X935" s="132"/>
      <c r="Y935" s="132"/>
      <c r="Z935" s="132"/>
    </row>
    <row r="936" spans="1:26" ht="11.25" customHeight="1" x14ac:dyDescent="0.3">
      <c r="A936" s="132"/>
      <c r="B936" s="132"/>
      <c r="C936" s="132"/>
      <c r="D936" s="132"/>
      <c r="E936" s="132"/>
      <c r="F936" s="132"/>
      <c r="G936" s="132"/>
      <c r="H936" s="132"/>
      <c r="I936" s="132"/>
      <c r="J936" s="132"/>
      <c r="K936" s="132"/>
      <c r="L936" s="132"/>
      <c r="M936" s="132"/>
      <c r="N936" s="132"/>
      <c r="O936" s="132"/>
      <c r="P936" s="132"/>
      <c r="Q936" s="132"/>
      <c r="R936" s="132"/>
      <c r="S936" s="132"/>
      <c r="T936" s="132"/>
      <c r="U936" s="132"/>
      <c r="V936" s="132"/>
      <c r="W936" s="132"/>
      <c r="X936" s="132"/>
      <c r="Y936" s="132"/>
      <c r="Z936" s="132"/>
    </row>
    <row r="937" spans="1:26" ht="11.25" customHeight="1" x14ac:dyDescent="0.3">
      <c r="A937" s="132"/>
      <c r="B937" s="132"/>
      <c r="C937" s="132"/>
      <c r="D937" s="132"/>
      <c r="E937" s="132"/>
      <c r="F937" s="132"/>
      <c r="G937" s="132"/>
      <c r="H937" s="132"/>
      <c r="I937" s="132"/>
      <c r="J937" s="132"/>
      <c r="K937" s="132"/>
      <c r="L937" s="132"/>
      <c r="M937" s="132"/>
      <c r="N937" s="132"/>
      <c r="O937" s="132"/>
      <c r="P937" s="132"/>
      <c r="Q937" s="132"/>
      <c r="R937" s="132"/>
      <c r="S937" s="132"/>
      <c r="T937" s="132"/>
      <c r="U937" s="132"/>
      <c r="V937" s="132"/>
      <c r="W937" s="132"/>
      <c r="X937" s="132"/>
      <c r="Y937" s="132"/>
      <c r="Z937" s="132"/>
    </row>
    <row r="938" spans="1:26" ht="11.25" customHeight="1" x14ac:dyDescent="0.3">
      <c r="A938" s="132"/>
      <c r="B938" s="132"/>
      <c r="C938" s="132"/>
      <c r="D938" s="132"/>
      <c r="E938" s="132"/>
      <c r="F938" s="132"/>
      <c r="G938" s="132"/>
      <c r="H938" s="132"/>
      <c r="I938" s="132"/>
      <c r="J938" s="132"/>
      <c r="K938" s="132"/>
      <c r="L938" s="132"/>
      <c r="M938" s="132"/>
      <c r="N938" s="132"/>
      <c r="O938" s="132"/>
      <c r="P938" s="132"/>
      <c r="Q938" s="132"/>
      <c r="R938" s="132"/>
      <c r="S938" s="132"/>
      <c r="T938" s="132"/>
      <c r="U938" s="132"/>
      <c r="V938" s="132"/>
      <c r="W938" s="132"/>
      <c r="X938" s="132"/>
      <c r="Y938" s="132"/>
      <c r="Z938" s="132"/>
    </row>
    <row r="939" spans="1:26" ht="11.25" customHeight="1" x14ac:dyDescent="0.3">
      <c r="A939" s="132"/>
      <c r="B939" s="132"/>
      <c r="C939" s="132"/>
      <c r="D939" s="132"/>
      <c r="E939" s="132"/>
      <c r="F939" s="132"/>
      <c r="G939" s="132"/>
      <c r="H939" s="132"/>
      <c r="I939" s="132"/>
      <c r="J939" s="132"/>
      <c r="K939" s="132"/>
      <c r="L939" s="132"/>
      <c r="M939" s="132"/>
      <c r="N939" s="132"/>
      <c r="O939" s="132"/>
      <c r="P939" s="132"/>
      <c r="Q939" s="132"/>
      <c r="R939" s="132"/>
      <c r="S939" s="132"/>
      <c r="T939" s="132"/>
      <c r="U939" s="132"/>
      <c r="V939" s="132"/>
      <c r="W939" s="132"/>
      <c r="X939" s="132"/>
      <c r="Y939" s="132"/>
      <c r="Z939" s="132"/>
    </row>
    <row r="940" spans="1:26" ht="11.25" customHeight="1" x14ac:dyDescent="0.3">
      <c r="A940" s="132"/>
      <c r="B940" s="132"/>
      <c r="C940" s="132"/>
      <c r="D940" s="132"/>
      <c r="E940" s="132"/>
      <c r="F940" s="132"/>
      <c r="G940" s="132"/>
      <c r="H940" s="132"/>
      <c r="I940" s="132"/>
      <c r="J940" s="132"/>
      <c r="K940" s="132"/>
      <c r="L940" s="132"/>
      <c r="M940" s="132"/>
      <c r="N940" s="132"/>
      <c r="O940" s="132"/>
      <c r="P940" s="132"/>
      <c r="Q940" s="132"/>
      <c r="R940" s="132"/>
      <c r="S940" s="132"/>
      <c r="T940" s="132"/>
      <c r="U940" s="132"/>
      <c r="V940" s="132"/>
      <c r="W940" s="132"/>
      <c r="X940" s="132"/>
      <c r="Y940" s="132"/>
      <c r="Z940" s="132"/>
    </row>
    <row r="941" spans="1:26" ht="11.25" customHeight="1" x14ac:dyDescent="0.3">
      <c r="A941" s="132"/>
      <c r="B941" s="132"/>
      <c r="C941" s="132"/>
      <c r="D941" s="132"/>
      <c r="E941" s="132"/>
      <c r="F941" s="132"/>
      <c r="G941" s="132"/>
      <c r="H941" s="132"/>
      <c r="I941" s="132"/>
      <c r="J941" s="132"/>
      <c r="K941" s="132"/>
      <c r="L941" s="132"/>
      <c r="M941" s="132"/>
      <c r="N941" s="132"/>
      <c r="O941" s="132"/>
      <c r="P941" s="132"/>
      <c r="Q941" s="132"/>
      <c r="R941" s="132"/>
      <c r="S941" s="132"/>
      <c r="T941" s="132"/>
      <c r="U941" s="132"/>
      <c r="V941" s="132"/>
      <c r="W941" s="132"/>
      <c r="X941" s="132"/>
      <c r="Y941" s="132"/>
      <c r="Z941" s="132"/>
    </row>
    <row r="942" spans="1:26" ht="11.25" customHeight="1" x14ac:dyDescent="0.3">
      <c r="A942" s="132"/>
      <c r="B942" s="132"/>
      <c r="C942" s="132"/>
      <c r="D942" s="132"/>
      <c r="E942" s="132"/>
      <c r="F942" s="132"/>
      <c r="G942" s="132"/>
      <c r="H942" s="132"/>
      <c r="I942" s="132"/>
      <c r="J942" s="132"/>
      <c r="K942" s="132"/>
      <c r="L942" s="132"/>
      <c r="M942" s="132"/>
      <c r="N942" s="132"/>
      <c r="O942" s="132"/>
      <c r="P942" s="132"/>
      <c r="Q942" s="132"/>
      <c r="R942" s="132"/>
      <c r="S942" s="132"/>
      <c r="T942" s="132"/>
      <c r="U942" s="132"/>
      <c r="V942" s="132"/>
      <c r="W942" s="132"/>
      <c r="X942" s="132"/>
      <c r="Y942" s="132"/>
      <c r="Z942" s="132"/>
    </row>
    <row r="943" spans="1:26" ht="11.25" customHeight="1" x14ac:dyDescent="0.3">
      <c r="A943" s="132"/>
      <c r="B943" s="132"/>
      <c r="C943" s="132"/>
      <c r="D943" s="132"/>
      <c r="E943" s="132"/>
      <c r="F943" s="132"/>
      <c r="G943" s="132"/>
      <c r="H943" s="132"/>
      <c r="I943" s="132"/>
      <c r="J943" s="132"/>
      <c r="K943" s="132"/>
      <c r="L943" s="132"/>
      <c r="M943" s="132"/>
      <c r="N943" s="132"/>
      <c r="O943" s="132"/>
      <c r="P943" s="132"/>
      <c r="Q943" s="132"/>
      <c r="R943" s="132"/>
      <c r="S943" s="132"/>
      <c r="T943" s="132"/>
      <c r="U943" s="132"/>
      <c r="V943" s="132"/>
      <c r="W943" s="132"/>
      <c r="X943" s="132"/>
      <c r="Y943" s="132"/>
      <c r="Z943" s="132"/>
    </row>
    <row r="944" spans="1:26" ht="11.25" customHeight="1" x14ac:dyDescent="0.3">
      <c r="A944" s="132"/>
      <c r="B944" s="132"/>
      <c r="C944" s="132"/>
      <c r="D944" s="132"/>
      <c r="E944" s="132"/>
      <c r="F944" s="132"/>
      <c r="G944" s="132"/>
      <c r="H944" s="132"/>
      <c r="I944" s="132"/>
      <c r="J944" s="132"/>
      <c r="K944" s="132"/>
      <c r="L944" s="132"/>
      <c r="M944" s="132"/>
      <c r="N944" s="132"/>
      <c r="O944" s="132"/>
      <c r="P944" s="132"/>
      <c r="Q944" s="132"/>
      <c r="R944" s="132"/>
      <c r="S944" s="132"/>
      <c r="T944" s="132"/>
      <c r="U944" s="132"/>
      <c r="V944" s="132"/>
      <c r="W944" s="132"/>
      <c r="X944" s="132"/>
      <c r="Y944" s="132"/>
      <c r="Z944" s="132"/>
    </row>
    <row r="945" spans="1:26" ht="11.25" customHeight="1" x14ac:dyDescent="0.3">
      <c r="A945" s="132"/>
      <c r="B945" s="132"/>
      <c r="C945" s="132"/>
      <c r="D945" s="132"/>
      <c r="E945" s="132"/>
      <c r="F945" s="132"/>
      <c r="G945" s="132"/>
      <c r="H945" s="132"/>
      <c r="I945" s="132"/>
      <c r="J945" s="132"/>
      <c r="K945" s="132"/>
      <c r="L945" s="132"/>
      <c r="M945" s="132"/>
      <c r="N945" s="132"/>
      <c r="O945" s="132"/>
      <c r="P945" s="132"/>
      <c r="Q945" s="132"/>
      <c r="R945" s="132"/>
      <c r="S945" s="132"/>
      <c r="T945" s="132"/>
      <c r="U945" s="132"/>
      <c r="V945" s="132"/>
      <c r="W945" s="132"/>
      <c r="X945" s="132"/>
      <c r="Y945" s="132"/>
      <c r="Z945" s="132"/>
    </row>
    <row r="946" spans="1:26" ht="11.25" customHeight="1" x14ac:dyDescent="0.3">
      <c r="A946" s="132"/>
      <c r="B946" s="132"/>
      <c r="C946" s="132"/>
      <c r="D946" s="132"/>
      <c r="E946" s="132"/>
      <c r="F946" s="132"/>
      <c r="G946" s="132"/>
      <c r="H946" s="132"/>
      <c r="I946" s="132"/>
      <c r="J946" s="132"/>
      <c r="K946" s="132"/>
      <c r="L946" s="132"/>
      <c r="M946" s="132"/>
      <c r="N946" s="132"/>
      <c r="O946" s="132"/>
      <c r="P946" s="132"/>
      <c r="Q946" s="132"/>
      <c r="R946" s="132"/>
      <c r="S946" s="132"/>
      <c r="T946" s="132"/>
      <c r="U946" s="132"/>
      <c r="V946" s="132"/>
      <c r="W946" s="132"/>
      <c r="X946" s="132"/>
      <c r="Y946" s="132"/>
      <c r="Z946" s="132"/>
    </row>
    <row r="947" spans="1:26" ht="11.25" customHeight="1" x14ac:dyDescent="0.3">
      <c r="A947" s="132"/>
      <c r="B947" s="132"/>
      <c r="C947" s="132"/>
      <c r="D947" s="132"/>
      <c r="E947" s="132"/>
      <c r="F947" s="132"/>
      <c r="G947" s="132"/>
      <c r="H947" s="132"/>
      <c r="I947" s="132"/>
      <c r="J947" s="132"/>
      <c r="K947" s="132"/>
      <c r="L947" s="132"/>
      <c r="M947" s="132"/>
      <c r="N947" s="132"/>
      <c r="O947" s="132"/>
      <c r="P947" s="132"/>
      <c r="Q947" s="132"/>
      <c r="R947" s="132"/>
      <c r="S947" s="132"/>
      <c r="T947" s="132"/>
      <c r="U947" s="132"/>
      <c r="V947" s="132"/>
      <c r="W947" s="132"/>
      <c r="X947" s="132"/>
      <c r="Y947" s="132"/>
      <c r="Z947" s="132"/>
    </row>
    <row r="948" spans="1:26" ht="11.25" customHeight="1" x14ac:dyDescent="0.3">
      <c r="A948" s="132"/>
      <c r="B948" s="132"/>
      <c r="C948" s="132"/>
      <c r="D948" s="132"/>
      <c r="E948" s="132"/>
      <c r="F948" s="132"/>
      <c r="G948" s="132"/>
      <c r="H948" s="132"/>
      <c r="I948" s="132"/>
      <c r="J948" s="132"/>
      <c r="K948" s="132"/>
      <c r="L948" s="132"/>
      <c r="M948" s="132"/>
      <c r="N948" s="132"/>
      <c r="O948" s="132"/>
      <c r="P948" s="132"/>
      <c r="Q948" s="132"/>
      <c r="R948" s="132"/>
      <c r="S948" s="132"/>
      <c r="T948" s="132"/>
      <c r="U948" s="132"/>
      <c r="V948" s="132"/>
      <c r="W948" s="132"/>
      <c r="X948" s="132"/>
      <c r="Y948" s="132"/>
      <c r="Z948" s="132"/>
    </row>
    <row r="949" spans="1:26" ht="11.25" customHeight="1" x14ac:dyDescent="0.3">
      <c r="A949" s="132"/>
      <c r="B949" s="132"/>
      <c r="C949" s="132"/>
      <c r="D949" s="132"/>
      <c r="E949" s="132"/>
      <c r="F949" s="132"/>
      <c r="G949" s="132"/>
      <c r="H949" s="132"/>
      <c r="I949" s="132"/>
      <c r="J949" s="132"/>
      <c r="K949" s="132"/>
      <c r="L949" s="132"/>
      <c r="M949" s="132"/>
      <c r="N949" s="132"/>
      <c r="O949" s="132"/>
      <c r="P949" s="132"/>
      <c r="Q949" s="132"/>
      <c r="R949" s="132"/>
      <c r="S949" s="132"/>
      <c r="T949" s="132"/>
      <c r="U949" s="132"/>
      <c r="V949" s="132"/>
      <c r="W949" s="132"/>
      <c r="X949" s="132"/>
      <c r="Y949" s="132"/>
      <c r="Z949" s="132"/>
    </row>
    <row r="950" spans="1:26" ht="11.25" customHeight="1" x14ac:dyDescent="0.3">
      <c r="A950" s="132"/>
      <c r="B950" s="132"/>
      <c r="C950" s="132"/>
      <c r="D950" s="132"/>
      <c r="E950" s="132"/>
      <c r="F950" s="132"/>
      <c r="G950" s="132"/>
      <c r="H950" s="132"/>
      <c r="I950" s="132"/>
      <c r="J950" s="132"/>
      <c r="K950" s="132"/>
      <c r="L950" s="132"/>
      <c r="M950" s="132"/>
      <c r="N950" s="132"/>
      <c r="O950" s="132"/>
      <c r="P950" s="132"/>
      <c r="Q950" s="132"/>
      <c r="R950" s="132"/>
      <c r="S950" s="132"/>
      <c r="T950" s="132"/>
      <c r="U950" s="132"/>
      <c r="V950" s="132"/>
      <c r="W950" s="132"/>
      <c r="X950" s="132"/>
      <c r="Y950" s="132"/>
      <c r="Z950" s="132"/>
    </row>
    <row r="951" spans="1:26" ht="11.25" customHeight="1" x14ac:dyDescent="0.3">
      <c r="A951" s="132"/>
      <c r="B951" s="132"/>
      <c r="C951" s="132"/>
      <c r="D951" s="132"/>
      <c r="E951" s="132"/>
      <c r="F951" s="132"/>
      <c r="G951" s="132"/>
      <c r="H951" s="132"/>
      <c r="I951" s="132"/>
      <c r="J951" s="132"/>
      <c r="K951" s="132"/>
      <c r="L951" s="132"/>
      <c r="M951" s="132"/>
      <c r="N951" s="132"/>
      <c r="O951" s="132"/>
      <c r="P951" s="132"/>
      <c r="Q951" s="132"/>
      <c r="R951" s="132"/>
      <c r="S951" s="132"/>
      <c r="T951" s="132"/>
      <c r="U951" s="132"/>
      <c r="V951" s="132"/>
      <c r="W951" s="132"/>
      <c r="X951" s="132"/>
      <c r="Y951" s="132"/>
      <c r="Z951" s="132"/>
    </row>
    <row r="952" spans="1:26" ht="11.25" customHeight="1" x14ac:dyDescent="0.3">
      <c r="A952" s="132"/>
      <c r="B952" s="132"/>
      <c r="C952" s="132"/>
      <c r="D952" s="132"/>
      <c r="E952" s="132"/>
      <c r="F952" s="132"/>
      <c r="G952" s="132"/>
      <c r="H952" s="132"/>
      <c r="I952" s="132"/>
      <c r="J952" s="132"/>
      <c r="K952" s="132"/>
      <c r="L952" s="132"/>
      <c r="M952" s="132"/>
      <c r="N952" s="132"/>
      <c r="O952" s="132"/>
      <c r="P952" s="132"/>
      <c r="Q952" s="132"/>
      <c r="R952" s="132"/>
      <c r="S952" s="132"/>
      <c r="T952" s="132"/>
      <c r="U952" s="132"/>
      <c r="V952" s="132"/>
      <c r="W952" s="132"/>
      <c r="X952" s="132"/>
      <c r="Y952" s="132"/>
      <c r="Z952" s="132"/>
    </row>
    <row r="953" spans="1:26" ht="11.25" customHeight="1" x14ac:dyDescent="0.3">
      <c r="A953" s="132"/>
      <c r="B953" s="132"/>
      <c r="C953" s="132"/>
      <c r="D953" s="132"/>
      <c r="E953" s="132"/>
      <c r="F953" s="132"/>
      <c r="G953" s="132"/>
      <c r="H953" s="132"/>
      <c r="I953" s="132"/>
      <c r="J953" s="132"/>
      <c r="K953" s="132"/>
      <c r="L953" s="132"/>
      <c r="M953" s="132"/>
      <c r="N953" s="132"/>
      <c r="O953" s="132"/>
      <c r="P953" s="132"/>
      <c r="Q953" s="132"/>
      <c r="R953" s="132"/>
      <c r="S953" s="132"/>
      <c r="T953" s="132"/>
      <c r="U953" s="132"/>
      <c r="V953" s="132"/>
      <c r="W953" s="132"/>
      <c r="X953" s="132"/>
      <c r="Y953" s="132"/>
      <c r="Z953" s="132"/>
    </row>
    <row r="954" spans="1:26" ht="11.25" customHeight="1" x14ac:dyDescent="0.3">
      <c r="A954" s="132"/>
      <c r="B954" s="132"/>
      <c r="C954" s="132"/>
      <c r="D954" s="132"/>
      <c r="E954" s="132"/>
      <c r="F954" s="132"/>
      <c r="G954" s="132"/>
      <c r="H954" s="132"/>
      <c r="I954" s="132"/>
      <c r="J954" s="132"/>
      <c r="K954" s="132"/>
      <c r="L954" s="132"/>
      <c r="M954" s="132"/>
      <c r="N954" s="132"/>
      <c r="O954" s="132"/>
      <c r="P954" s="132"/>
      <c r="Q954" s="132"/>
      <c r="R954" s="132"/>
      <c r="S954" s="132"/>
      <c r="T954" s="132"/>
      <c r="U954" s="132"/>
      <c r="V954" s="132"/>
      <c r="W954" s="132"/>
      <c r="X954" s="132"/>
      <c r="Y954" s="132"/>
      <c r="Z954" s="132"/>
    </row>
    <row r="955" spans="1:26" ht="11.25" customHeight="1" x14ac:dyDescent="0.3">
      <c r="A955" s="132"/>
      <c r="B955" s="132"/>
      <c r="C955" s="132"/>
      <c r="D955" s="132"/>
      <c r="E955" s="132"/>
      <c r="F955" s="132"/>
      <c r="G955" s="132"/>
      <c r="H955" s="132"/>
      <c r="I955" s="132"/>
      <c r="J955" s="132"/>
      <c r="K955" s="132"/>
      <c r="L955" s="132"/>
      <c r="M955" s="132"/>
      <c r="N955" s="132"/>
      <c r="O955" s="132"/>
      <c r="P955" s="132"/>
      <c r="Q955" s="132"/>
      <c r="R955" s="132"/>
      <c r="S955" s="132"/>
      <c r="T955" s="132"/>
      <c r="U955" s="132"/>
      <c r="V955" s="132"/>
      <c r="W955" s="132"/>
      <c r="X955" s="132"/>
      <c r="Y955" s="132"/>
      <c r="Z955" s="132"/>
    </row>
    <row r="956" spans="1:26" ht="11.25" customHeight="1" x14ac:dyDescent="0.3">
      <c r="A956" s="132"/>
      <c r="B956" s="132"/>
      <c r="C956" s="132"/>
      <c r="D956" s="132"/>
      <c r="E956" s="132"/>
      <c r="F956" s="132"/>
      <c r="G956" s="132"/>
      <c r="H956" s="132"/>
      <c r="I956" s="132"/>
      <c r="J956" s="132"/>
      <c r="K956" s="132"/>
      <c r="L956" s="132"/>
      <c r="M956" s="132"/>
      <c r="N956" s="132"/>
      <c r="O956" s="132"/>
      <c r="P956" s="132"/>
      <c r="Q956" s="132"/>
      <c r="R956" s="132"/>
      <c r="S956" s="132"/>
      <c r="T956" s="132"/>
      <c r="U956" s="132"/>
      <c r="V956" s="132"/>
      <c r="W956" s="132"/>
      <c r="X956" s="132"/>
      <c r="Y956" s="132"/>
      <c r="Z956" s="132"/>
    </row>
    <row r="957" spans="1:26" ht="11.25" customHeight="1" x14ac:dyDescent="0.3">
      <c r="A957" s="132"/>
      <c r="B957" s="132"/>
      <c r="C957" s="132"/>
      <c r="D957" s="132"/>
      <c r="E957" s="132"/>
      <c r="F957" s="132"/>
      <c r="G957" s="132"/>
      <c r="H957" s="132"/>
      <c r="I957" s="132"/>
      <c r="J957" s="132"/>
      <c r="K957" s="132"/>
      <c r="L957" s="132"/>
      <c r="M957" s="132"/>
      <c r="N957" s="132"/>
      <c r="O957" s="132"/>
      <c r="P957" s="132"/>
      <c r="Q957" s="132"/>
      <c r="R957" s="132"/>
      <c r="S957" s="132"/>
      <c r="T957" s="132"/>
      <c r="U957" s="132"/>
      <c r="V957" s="132"/>
      <c r="W957" s="132"/>
      <c r="X957" s="132"/>
      <c r="Y957" s="132"/>
      <c r="Z957" s="132"/>
    </row>
    <row r="958" spans="1:26" ht="11.25" customHeight="1" x14ac:dyDescent="0.3">
      <c r="A958" s="132"/>
      <c r="B958" s="132"/>
      <c r="C958" s="132"/>
      <c r="D958" s="132"/>
      <c r="E958" s="132"/>
      <c r="F958" s="132"/>
      <c r="G958" s="132"/>
      <c r="H958" s="132"/>
      <c r="I958" s="132"/>
      <c r="J958" s="132"/>
      <c r="K958" s="132"/>
      <c r="L958" s="132"/>
      <c r="M958" s="132"/>
      <c r="N958" s="132"/>
      <c r="O958" s="132"/>
      <c r="P958" s="132"/>
      <c r="Q958" s="132"/>
      <c r="R958" s="132"/>
      <c r="S958" s="132"/>
      <c r="T958" s="132"/>
      <c r="U958" s="132"/>
      <c r="V958" s="132"/>
      <c r="W958" s="132"/>
      <c r="X958" s="132"/>
      <c r="Y958" s="132"/>
      <c r="Z958" s="132"/>
    </row>
    <row r="959" spans="1:26" ht="11.25" customHeight="1" x14ac:dyDescent="0.3">
      <c r="A959" s="132"/>
      <c r="B959" s="132"/>
      <c r="C959" s="132"/>
      <c r="D959" s="132"/>
      <c r="E959" s="132"/>
      <c r="F959" s="132"/>
      <c r="G959" s="132"/>
      <c r="H959" s="132"/>
      <c r="I959" s="132"/>
      <c r="J959" s="132"/>
      <c r="K959" s="132"/>
      <c r="L959" s="132"/>
      <c r="M959" s="132"/>
      <c r="N959" s="132"/>
      <c r="O959" s="132"/>
      <c r="P959" s="132"/>
      <c r="Q959" s="132"/>
      <c r="R959" s="132"/>
      <c r="S959" s="132"/>
      <c r="T959" s="132"/>
      <c r="U959" s="132"/>
      <c r="V959" s="132"/>
      <c r="W959" s="132"/>
      <c r="X959" s="132"/>
      <c r="Y959" s="132"/>
      <c r="Z959" s="132"/>
    </row>
    <row r="960" spans="1:26" ht="11.25" customHeight="1" x14ac:dyDescent="0.3">
      <c r="A960" s="132"/>
      <c r="B960" s="132"/>
      <c r="C960" s="132"/>
      <c r="D960" s="132"/>
      <c r="E960" s="132"/>
      <c r="F960" s="132"/>
      <c r="G960" s="132"/>
      <c r="H960" s="132"/>
      <c r="I960" s="132"/>
      <c r="J960" s="132"/>
      <c r="K960" s="132"/>
      <c r="L960" s="132"/>
      <c r="M960" s="132"/>
      <c r="N960" s="132"/>
      <c r="O960" s="132"/>
      <c r="P960" s="132"/>
      <c r="Q960" s="132"/>
      <c r="R960" s="132"/>
      <c r="S960" s="132"/>
      <c r="T960" s="132"/>
      <c r="U960" s="132"/>
      <c r="V960" s="132"/>
      <c r="W960" s="132"/>
      <c r="X960" s="132"/>
      <c r="Y960" s="132"/>
      <c r="Z960" s="132"/>
    </row>
    <row r="961" spans="1:26" ht="11.25" customHeight="1" x14ac:dyDescent="0.3">
      <c r="A961" s="132"/>
      <c r="B961" s="132"/>
      <c r="C961" s="132"/>
      <c r="D961" s="132"/>
      <c r="E961" s="132"/>
      <c r="F961" s="132"/>
      <c r="G961" s="132"/>
      <c r="H961" s="132"/>
      <c r="I961" s="132"/>
      <c r="J961" s="132"/>
      <c r="K961" s="132"/>
      <c r="L961" s="132"/>
      <c r="M961" s="132"/>
      <c r="N961" s="132"/>
      <c r="O961" s="132"/>
      <c r="P961" s="132"/>
      <c r="Q961" s="132"/>
      <c r="R961" s="132"/>
      <c r="S961" s="132"/>
      <c r="T961" s="132"/>
      <c r="U961" s="132"/>
      <c r="V961" s="132"/>
      <c r="W961" s="132"/>
      <c r="X961" s="132"/>
      <c r="Y961" s="132"/>
      <c r="Z961" s="132"/>
    </row>
    <row r="962" spans="1:26" ht="11.25" customHeight="1" x14ac:dyDescent="0.3">
      <c r="A962" s="132"/>
      <c r="B962" s="132"/>
      <c r="C962" s="132"/>
      <c r="D962" s="132"/>
      <c r="E962" s="132"/>
      <c r="F962" s="132"/>
      <c r="G962" s="132"/>
      <c r="H962" s="132"/>
      <c r="I962" s="132"/>
      <c r="J962" s="132"/>
      <c r="K962" s="132"/>
      <c r="L962" s="132"/>
      <c r="M962" s="132"/>
      <c r="N962" s="132"/>
      <c r="O962" s="132"/>
      <c r="P962" s="132"/>
      <c r="Q962" s="132"/>
      <c r="R962" s="132"/>
      <c r="S962" s="132"/>
      <c r="T962" s="132"/>
      <c r="U962" s="132"/>
      <c r="V962" s="132"/>
      <c r="W962" s="132"/>
      <c r="X962" s="132"/>
      <c r="Y962" s="132"/>
      <c r="Z962" s="132"/>
    </row>
    <row r="963" spans="1:26" ht="11.25" customHeight="1" x14ac:dyDescent="0.3">
      <c r="A963" s="132"/>
      <c r="B963" s="132"/>
      <c r="C963" s="132"/>
      <c r="D963" s="132"/>
      <c r="E963" s="132"/>
      <c r="F963" s="132"/>
      <c r="G963" s="132"/>
      <c r="H963" s="132"/>
      <c r="I963" s="132"/>
      <c r="J963" s="132"/>
      <c r="K963" s="132"/>
      <c r="L963" s="132"/>
      <c r="M963" s="132"/>
      <c r="N963" s="132"/>
      <c r="O963" s="132"/>
      <c r="P963" s="132"/>
      <c r="Q963" s="132"/>
      <c r="R963" s="132"/>
      <c r="S963" s="132"/>
      <c r="T963" s="132"/>
      <c r="U963" s="132"/>
      <c r="V963" s="132"/>
      <c r="W963" s="132"/>
      <c r="X963" s="132"/>
      <c r="Y963" s="132"/>
      <c r="Z963" s="132"/>
    </row>
    <row r="964" spans="1:26" ht="11.25" customHeight="1" x14ac:dyDescent="0.3">
      <c r="A964" s="132"/>
      <c r="B964" s="132"/>
      <c r="C964" s="132"/>
      <c r="D964" s="132"/>
      <c r="E964" s="132"/>
      <c r="F964" s="132"/>
      <c r="G964" s="132"/>
      <c r="H964" s="132"/>
      <c r="I964" s="132"/>
      <c r="J964" s="132"/>
      <c r="K964" s="132"/>
      <c r="L964" s="132"/>
      <c r="M964" s="132"/>
      <c r="N964" s="132"/>
      <c r="O964" s="132"/>
      <c r="P964" s="132"/>
      <c r="Q964" s="132"/>
      <c r="R964" s="132"/>
      <c r="S964" s="132"/>
      <c r="T964" s="132"/>
      <c r="U964" s="132"/>
      <c r="V964" s="132"/>
      <c r="W964" s="132"/>
      <c r="X964" s="132"/>
      <c r="Y964" s="132"/>
      <c r="Z964" s="132"/>
    </row>
    <row r="965" spans="1:26" ht="11.25" customHeight="1" x14ac:dyDescent="0.3">
      <c r="A965" s="132"/>
      <c r="B965" s="132"/>
      <c r="C965" s="132"/>
      <c r="D965" s="132"/>
      <c r="E965" s="132"/>
      <c r="F965" s="132"/>
      <c r="G965" s="132"/>
      <c r="H965" s="132"/>
      <c r="I965" s="132"/>
      <c r="J965" s="132"/>
      <c r="K965" s="132"/>
      <c r="L965" s="132"/>
      <c r="M965" s="132"/>
      <c r="N965" s="132"/>
      <c r="O965" s="132"/>
      <c r="P965" s="132"/>
      <c r="Q965" s="132"/>
      <c r="R965" s="132"/>
      <c r="S965" s="132"/>
      <c r="T965" s="132"/>
      <c r="U965" s="132"/>
      <c r="V965" s="132"/>
      <c r="W965" s="132"/>
      <c r="X965" s="132"/>
      <c r="Y965" s="132"/>
      <c r="Z965" s="132"/>
    </row>
    <row r="966" spans="1:26" ht="11.25" customHeight="1" x14ac:dyDescent="0.3">
      <c r="A966" s="132"/>
      <c r="B966" s="132"/>
      <c r="C966" s="132"/>
      <c r="D966" s="132"/>
      <c r="E966" s="132"/>
      <c r="F966" s="132"/>
      <c r="G966" s="132"/>
      <c r="H966" s="132"/>
      <c r="I966" s="132"/>
      <c r="J966" s="132"/>
      <c r="K966" s="132"/>
      <c r="L966" s="132"/>
      <c r="M966" s="132"/>
      <c r="N966" s="132"/>
      <c r="O966" s="132"/>
      <c r="P966" s="132"/>
      <c r="Q966" s="132"/>
      <c r="R966" s="132"/>
      <c r="S966" s="132"/>
      <c r="T966" s="132"/>
      <c r="U966" s="132"/>
      <c r="V966" s="132"/>
      <c r="W966" s="132"/>
      <c r="X966" s="132"/>
      <c r="Y966" s="132"/>
      <c r="Z966" s="132"/>
    </row>
    <row r="967" spans="1:26" ht="11.25" customHeight="1" x14ac:dyDescent="0.3">
      <c r="A967" s="132"/>
      <c r="B967" s="132"/>
      <c r="C967" s="132"/>
      <c r="D967" s="132"/>
      <c r="E967" s="132"/>
      <c r="F967" s="132"/>
      <c r="G967" s="132"/>
      <c r="H967" s="132"/>
      <c r="I967" s="132"/>
      <c r="J967" s="132"/>
      <c r="K967" s="132"/>
      <c r="L967" s="132"/>
      <c r="M967" s="132"/>
      <c r="N967" s="132"/>
      <c r="O967" s="132"/>
      <c r="P967" s="132"/>
      <c r="Q967" s="132"/>
      <c r="R967" s="132"/>
      <c r="S967" s="132"/>
      <c r="T967" s="132"/>
      <c r="U967" s="132"/>
      <c r="V967" s="132"/>
      <c r="W967" s="132"/>
      <c r="X967" s="132"/>
      <c r="Y967" s="132"/>
      <c r="Z967" s="132"/>
    </row>
    <row r="968" spans="1:26" ht="11.25" customHeight="1" x14ac:dyDescent="0.3">
      <c r="A968" s="132"/>
      <c r="B968" s="132"/>
      <c r="C968" s="132"/>
      <c r="D968" s="132"/>
      <c r="E968" s="132"/>
      <c r="F968" s="132"/>
      <c r="G968" s="132"/>
      <c r="H968" s="132"/>
      <c r="I968" s="132"/>
      <c r="J968" s="132"/>
      <c r="K968" s="132"/>
      <c r="L968" s="132"/>
      <c r="M968" s="132"/>
      <c r="N968" s="132"/>
      <c r="O968" s="132"/>
      <c r="P968" s="132"/>
      <c r="Q968" s="132"/>
      <c r="R968" s="132"/>
      <c r="S968" s="132"/>
      <c r="T968" s="132"/>
      <c r="U968" s="132"/>
      <c r="V968" s="132"/>
      <c r="W968" s="132"/>
      <c r="X968" s="132"/>
      <c r="Y968" s="132"/>
      <c r="Z968" s="132"/>
    </row>
    <row r="969" spans="1:26" ht="11.25" customHeight="1" x14ac:dyDescent="0.3">
      <c r="A969" s="132"/>
      <c r="B969" s="132"/>
      <c r="C969" s="132"/>
      <c r="D969" s="132"/>
      <c r="E969" s="132"/>
      <c r="F969" s="132"/>
      <c r="G969" s="132"/>
      <c r="H969" s="132"/>
      <c r="I969" s="132"/>
      <c r="J969" s="132"/>
      <c r="K969" s="132"/>
      <c r="L969" s="132"/>
      <c r="M969" s="132"/>
      <c r="N969" s="132"/>
      <c r="O969" s="132"/>
      <c r="P969" s="132"/>
      <c r="Q969" s="132"/>
      <c r="R969" s="132"/>
      <c r="S969" s="132"/>
      <c r="T969" s="132"/>
      <c r="U969" s="132"/>
      <c r="V969" s="132"/>
      <c r="W969" s="132"/>
      <c r="X969" s="132"/>
      <c r="Y969" s="132"/>
      <c r="Z969" s="132"/>
    </row>
    <row r="970" spans="1:26" ht="11.25" customHeight="1" x14ac:dyDescent="0.3">
      <c r="A970" s="132"/>
      <c r="B970" s="132"/>
      <c r="C970" s="132"/>
      <c r="D970" s="132"/>
      <c r="E970" s="132"/>
      <c r="F970" s="132"/>
      <c r="G970" s="132"/>
      <c r="H970" s="132"/>
      <c r="I970" s="132"/>
      <c r="J970" s="132"/>
      <c r="K970" s="132"/>
      <c r="L970" s="132"/>
      <c r="M970" s="132"/>
      <c r="N970" s="132"/>
      <c r="O970" s="132"/>
      <c r="P970" s="132"/>
      <c r="Q970" s="132"/>
      <c r="R970" s="132"/>
      <c r="S970" s="132"/>
      <c r="T970" s="132"/>
      <c r="U970" s="132"/>
      <c r="V970" s="132"/>
      <c r="W970" s="132"/>
      <c r="X970" s="132"/>
      <c r="Y970" s="132"/>
      <c r="Z970" s="132"/>
    </row>
    <row r="971" spans="1:26" ht="11.25" customHeight="1" x14ac:dyDescent="0.3">
      <c r="A971" s="132"/>
      <c r="B971" s="132"/>
      <c r="C971" s="132"/>
      <c r="D971" s="132"/>
      <c r="E971" s="132"/>
      <c r="F971" s="132"/>
      <c r="G971" s="132"/>
      <c r="H971" s="132"/>
      <c r="I971" s="132"/>
      <c r="J971" s="132"/>
      <c r="K971" s="132"/>
      <c r="L971" s="132"/>
      <c r="M971" s="132"/>
      <c r="N971" s="132"/>
      <c r="O971" s="132"/>
      <c r="P971" s="132"/>
      <c r="Q971" s="132"/>
      <c r="R971" s="132"/>
      <c r="S971" s="132"/>
      <c r="T971" s="132"/>
      <c r="U971" s="132"/>
      <c r="V971" s="132"/>
      <c r="W971" s="132"/>
      <c r="X971" s="132"/>
      <c r="Y971" s="132"/>
      <c r="Z971" s="132"/>
    </row>
    <row r="972" spans="1:26" ht="11.25" customHeight="1" x14ac:dyDescent="0.3">
      <c r="A972" s="132"/>
      <c r="B972" s="132"/>
      <c r="C972" s="132"/>
      <c r="D972" s="132"/>
      <c r="E972" s="132"/>
      <c r="F972" s="132"/>
      <c r="G972" s="132"/>
      <c r="H972" s="132"/>
      <c r="I972" s="132"/>
      <c r="J972" s="132"/>
      <c r="K972" s="132"/>
      <c r="L972" s="132"/>
      <c r="M972" s="132"/>
      <c r="N972" s="132"/>
      <c r="O972" s="132"/>
      <c r="P972" s="132"/>
      <c r="Q972" s="132"/>
      <c r="R972" s="132"/>
      <c r="S972" s="132"/>
      <c r="T972" s="132"/>
      <c r="U972" s="132"/>
      <c r="V972" s="132"/>
      <c r="W972" s="132"/>
      <c r="X972" s="132"/>
      <c r="Y972" s="132"/>
      <c r="Z972" s="132"/>
    </row>
    <row r="973" spans="1:26" ht="11.25" customHeight="1" x14ac:dyDescent="0.3">
      <c r="A973" s="132"/>
      <c r="B973" s="132"/>
      <c r="C973" s="132"/>
      <c r="D973" s="132"/>
      <c r="E973" s="132"/>
      <c r="F973" s="132"/>
      <c r="G973" s="132"/>
      <c r="H973" s="132"/>
      <c r="I973" s="132"/>
      <c r="J973" s="132"/>
      <c r="K973" s="132"/>
      <c r="L973" s="132"/>
      <c r="M973" s="132"/>
      <c r="N973" s="132"/>
      <c r="O973" s="132"/>
      <c r="P973" s="132"/>
      <c r="Q973" s="132"/>
      <c r="R973" s="132"/>
      <c r="S973" s="132"/>
      <c r="T973" s="132"/>
      <c r="U973" s="132"/>
      <c r="V973" s="132"/>
      <c r="W973" s="132"/>
      <c r="X973" s="132"/>
      <c r="Y973" s="132"/>
      <c r="Z973" s="132"/>
    </row>
    <row r="974" spans="1:26" ht="11.25" customHeight="1" x14ac:dyDescent="0.3">
      <c r="A974" s="132"/>
      <c r="B974" s="132"/>
      <c r="C974" s="132"/>
      <c r="D974" s="132"/>
      <c r="E974" s="132"/>
      <c r="F974" s="132"/>
      <c r="G974" s="132"/>
      <c r="H974" s="132"/>
      <c r="I974" s="132"/>
      <c r="J974" s="132"/>
      <c r="K974" s="132"/>
      <c r="L974" s="132"/>
      <c r="M974" s="132"/>
      <c r="N974" s="132"/>
      <c r="O974" s="132"/>
      <c r="P974" s="132"/>
      <c r="Q974" s="132"/>
      <c r="R974" s="132"/>
      <c r="S974" s="132"/>
      <c r="T974" s="132"/>
      <c r="U974" s="132"/>
      <c r="V974" s="132"/>
      <c r="W974" s="132"/>
      <c r="X974" s="132"/>
      <c r="Y974" s="132"/>
      <c r="Z974" s="132"/>
    </row>
    <row r="975" spans="1:26" ht="11.25" customHeight="1" x14ac:dyDescent="0.3">
      <c r="A975" s="132"/>
      <c r="B975" s="132"/>
      <c r="C975" s="132"/>
      <c r="D975" s="132"/>
      <c r="E975" s="132"/>
      <c r="F975" s="132"/>
      <c r="G975" s="132"/>
      <c r="H975" s="132"/>
      <c r="I975" s="132"/>
      <c r="J975" s="132"/>
      <c r="K975" s="132"/>
      <c r="L975" s="132"/>
      <c r="M975" s="132"/>
      <c r="N975" s="132"/>
      <c r="O975" s="132"/>
      <c r="P975" s="132"/>
      <c r="Q975" s="132"/>
      <c r="R975" s="132"/>
      <c r="S975" s="132"/>
      <c r="T975" s="132"/>
      <c r="U975" s="132"/>
      <c r="V975" s="132"/>
      <c r="W975" s="132"/>
      <c r="X975" s="132"/>
      <c r="Y975" s="132"/>
      <c r="Z975" s="132"/>
    </row>
    <row r="976" spans="1:26" ht="11.25" customHeight="1" x14ac:dyDescent="0.3">
      <c r="A976" s="132"/>
      <c r="B976" s="132"/>
      <c r="C976" s="132"/>
      <c r="D976" s="132"/>
      <c r="E976" s="132"/>
      <c r="F976" s="132"/>
      <c r="G976" s="132"/>
      <c r="H976" s="132"/>
      <c r="I976" s="132"/>
      <c r="J976" s="132"/>
      <c r="K976" s="132"/>
      <c r="L976" s="132"/>
      <c r="M976" s="132"/>
      <c r="N976" s="132"/>
      <c r="O976" s="132"/>
      <c r="P976" s="132"/>
      <c r="Q976" s="132"/>
      <c r="R976" s="132"/>
      <c r="S976" s="132"/>
      <c r="T976" s="132"/>
      <c r="U976" s="132"/>
      <c r="V976" s="132"/>
      <c r="W976" s="132"/>
      <c r="X976" s="132"/>
      <c r="Y976" s="132"/>
      <c r="Z976" s="132"/>
    </row>
    <row r="977" spans="1:26" ht="11.25" customHeight="1" x14ac:dyDescent="0.3">
      <c r="A977" s="132"/>
      <c r="B977" s="132"/>
      <c r="C977" s="132"/>
      <c r="D977" s="132"/>
      <c r="E977" s="132"/>
      <c r="F977" s="132"/>
      <c r="G977" s="132"/>
      <c r="H977" s="132"/>
      <c r="I977" s="132"/>
      <c r="J977" s="132"/>
      <c r="K977" s="132"/>
      <c r="L977" s="132"/>
      <c r="M977" s="132"/>
      <c r="N977" s="132"/>
      <c r="O977" s="132"/>
      <c r="P977" s="132"/>
      <c r="Q977" s="132"/>
      <c r="R977" s="132"/>
      <c r="S977" s="132"/>
      <c r="T977" s="132"/>
      <c r="U977" s="132"/>
      <c r="V977" s="132"/>
      <c r="W977" s="132"/>
      <c r="X977" s="132"/>
      <c r="Y977" s="132"/>
      <c r="Z977" s="132"/>
    </row>
    <row r="978" spans="1:26" ht="11.25" customHeight="1" x14ac:dyDescent="0.3">
      <c r="A978" s="132"/>
      <c r="B978" s="132"/>
      <c r="C978" s="132"/>
      <c r="D978" s="132"/>
      <c r="E978" s="132"/>
      <c r="F978" s="132"/>
      <c r="G978" s="132"/>
      <c r="H978" s="132"/>
      <c r="I978" s="132"/>
      <c r="J978" s="132"/>
      <c r="K978" s="132"/>
      <c r="L978" s="132"/>
      <c r="M978" s="132"/>
      <c r="N978" s="132"/>
      <c r="O978" s="132"/>
      <c r="P978" s="132"/>
      <c r="Q978" s="132"/>
      <c r="R978" s="132"/>
      <c r="S978" s="132"/>
      <c r="T978" s="132"/>
      <c r="U978" s="132"/>
      <c r="V978" s="132"/>
      <c r="W978" s="132"/>
      <c r="X978" s="132"/>
      <c r="Y978" s="132"/>
      <c r="Z978" s="132"/>
    </row>
    <row r="979" spans="1:26" ht="11.25" customHeight="1" x14ac:dyDescent="0.3">
      <c r="A979" s="132"/>
      <c r="B979" s="132"/>
      <c r="C979" s="132"/>
      <c r="D979" s="132"/>
      <c r="E979" s="132"/>
      <c r="F979" s="132"/>
      <c r="G979" s="132"/>
      <c r="H979" s="132"/>
      <c r="I979" s="132"/>
      <c r="J979" s="132"/>
      <c r="K979" s="132"/>
      <c r="L979" s="132"/>
      <c r="M979" s="132"/>
      <c r="N979" s="132"/>
      <c r="O979" s="132"/>
      <c r="P979" s="132"/>
      <c r="Q979" s="132"/>
      <c r="R979" s="132"/>
      <c r="S979" s="132"/>
      <c r="T979" s="132"/>
      <c r="U979" s="132"/>
      <c r="V979" s="132"/>
      <c r="W979" s="132"/>
      <c r="X979" s="132"/>
      <c r="Y979" s="132"/>
      <c r="Z979" s="132"/>
    </row>
    <row r="980" spans="1:26" ht="11.25" customHeight="1" x14ac:dyDescent="0.3">
      <c r="A980" s="132"/>
      <c r="B980" s="132"/>
      <c r="C980" s="132"/>
      <c r="D980" s="132"/>
      <c r="E980" s="132"/>
      <c r="F980" s="132"/>
      <c r="G980" s="132"/>
      <c r="H980" s="132"/>
      <c r="I980" s="132"/>
      <c r="J980" s="132"/>
      <c r="K980" s="132"/>
      <c r="L980" s="132"/>
      <c r="M980" s="132"/>
      <c r="N980" s="132"/>
      <c r="O980" s="132"/>
      <c r="P980" s="132"/>
      <c r="Q980" s="132"/>
      <c r="R980" s="132"/>
      <c r="S980" s="132"/>
      <c r="T980" s="132"/>
      <c r="U980" s="132"/>
      <c r="V980" s="132"/>
      <c r="W980" s="132"/>
      <c r="X980" s="132"/>
      <c r="Y980" s="132"/>
      <c r="Z980" s="132"/>
    </row>
    <row r="981" spans="1:26" ht="11.25" customHeight="1" x14ac:dyDescent="0.3">
      <c r="A981" s="132"/>
      <c r="B981" s="132"/>
      <c r="C981" s="132"/>
      <c r="D981" s="132"/>
      <c r="E981" s="132"/>
      <c r="F981" s="132"/>
      <c r="G981" s="132"/>
      <c r="H981" s="132"/>
      <c r="I981" s="132"/>
      <c r="J981" s="132"/>
      <c r="K981" s="132"/>
      <c r="L981" s="132"/>
      <c r="M981" s="132"/>
      <c r="N981" s="132"/>
      <c r="O981" s="132"/>
      <c r="P981" s="132"/>
      <c r="Q981" s="132"/>
      <c r="R981" s="132"/>
      <c r="S981" s="132"/>
      <c r="T981" s="132"/>
      <c r="U981" s="132"/>
      <c r="V981" s="132"/>
      <c r="W981" s="132"/>
      <c r="X981" s="132"/>
      <c r="Y981" s="132"/>
      <c r="Z981" s="132"/>
    </row>
    <row r="982" spans="1:26" ht="11.25" customHeight="1" x14ac:dyDescent="0.3">
      <c r="A982" s="132"/>
      <c r="B982" s="132"/>
      <c r="C982" s="132"/>
      <c r="D982" s="132"/>
      <c r="E982" s="132"/>
      <c r="F982" s="132"/>
      <c r="G982" s="132"/>
      <c r="H982" s="132"/>
      <c r="I982" s="132"/>
      <c r="J982" s="132"/>
      <c r="K982" s="132"/>
      <c r="L982" s="132"/>
      <c r="M982" s="132"/>
      <c r="N982" s="132"/>
      <c r="O982" s="132"/>
      <c r="P982" s="132"/>
      <c r="Q982" s="132"/>
      <c r="R982" s="132"/>
      <c r="S982" s="132"/>
      <c r="T982" s="132"/>
      <c r="U982" s="132"/>
      <c r="V982" s="132"/>
      <c r="W982" s="132"/>
      <c r="X982" s="132"/>
      <c r="Y982" s="132"/>
      <c r="Z982" s="132"/>
    </row>
    <row r="983" spans="1:26" ht="11.25" customHeight="1" x14ac:dyDescent="0.3">
      <c r="A983" s="132"/>
      <c r="B983" s="132"/>
      <c r="C983" s="132"/>
      <c r="D983" s="132"/>
      <c r="E983" s="132"/>
      <c r="F983" s="132"/>
      <c r="G983" s="132"/>
      <c r="H983" s="132"/>
      <c r="I983" s="132"/>
      <c r="J983" s="132"/>
      <c r="K983" s="132"/>
      <c r="L983" s="132"/>
      <c r="M983" s="132"/>
      <c r="N983" s="132"/>
      <c r="O983" s="132"/>
      <c r="P983" s="132"/>
      <c r="Q983" s="132"/>
      <c r="R983" s="132"/>
      <c r="S983" s="132"/>
      <c r="T983" s="132"/>
      <c r="U983" s="132"/>
      <c r="V983" s="132"/>
      <c r="W983" s="132"/>
      <c r="X983" s="132"/>
      <c r="Y983" s="132"/>
      <c r="Z983" s="132"/>
    </row>
    <row r="984" spans="1:26" ht="11.25" customHeight="1" x14ac:dyDescent="0.3">
      <c r="A984" s="132"/>
      <c r="B984" s="132"/>
      <c r="C984" s="132"/>
      <c r="D984" s="132"/>
      <c r="E984" s="132"/>
      <c r="F984" s="132"/>
      <c r="G984" s="132"/>
      <c r="H984" s="132"/>
      <c r="I984" s="132"/>
      <c r="J984" s="132"/>
      <c r="K984" s="132"/>
      <c r="L984" s="132"/>
      <c r="M984" s="132"/>
      <c r="N984" s="132"/>
      <c r="O984" s="132"/>
      <c r="P984" s="132"/>
      <c r="Q984" s="132"/>
      <c r="R984" s="132"/>
      <c r="S984" s="132"/>
      <c r="T984" s="132"/>
      <c r="U984" s="132"/>
      <c r="V984" s="132"/>
      <c r="W984" s="132"/>
      <c r="X984" s="132"/>
      <c r="Y984" s="132"/>
      <c r="Z984" s="132"/>
    </row>
    <row r="985" spans="1:26" ht="11.25" customHeight="1" x14ac:dyDescent="0.3">
      <c r="A985" s="132"/>
      <c r="B985" s="132"/>
      <c r="C985" s="132"/>
      <c r="D985" s="132"/>
      <c r="E985" s="132"/>
      <c r="F985" s="132"/>
      <c r="G985" s="132"/>
      <c r="H985" s="132"/>
      <c r="I985" s="132"/>
      <c r="J985" s="132"/>
      <c r="K985" s="132"/>
      <c r="L985" s="132"/>
      <c r="M985" s="132"/>
      <c r="N985" s="132"/>
      <c r="O985" s="132"/>
      <c r="P985" s="132"/>
      <c r="Q985" s="132"/>
      <c r="R985" s="132"/>
      <c r="S985" s="132"/>
      <c r="T985" s="132"/>
      <c r="U985" s="132"/>
      <c r="V985" s="132"/>
      <c r="W985" s="132"/>
      <c r="X985" s="132"/>
      <c r="Y985" s="132"/>
      <c r="Z985" s="132"/>
    </row>
    <row r="986" spans="1:26" ht="11.25" customHeight="1" x14ac:dyDescent="0.3">
      <c r="A986" s="132"/>
      <c r="B986" s="132"/>
      <c r="C986" s="132"/>
      <c r="D986" s="132"/>
      <c r="E986" s="132"/>
      <c r="F986" s="132"/>
      <c r="G986" s="132"/>
      <c r="H986" s="132"/>
      <c r="I986" s="132"/>
      <c r="J986" s="132"/>
      <c r="K986" s="132"/>
      <c r="L986" s="132"/>
      <c r="M986" s="132"/>
      <c r="N986" s="132"/>
      <c r="O986" s="132"/>
      <c r="P986" s="132"/>
      <c r="Q986" s="132"/>
      <c r="R986" s="132"/>
      <c r="S986" s="132"/>
      <c r="T986" s="132"/>
      <c r="U986" s="132"/>
      <c r="V986" s="132"/>
      <c r="W986" s="132"/>
      <c r="X986" s="132"/>
      <c r="Y986" s="132"/>
      <c r="Z986" s="132"/>
    </row>
    <row r="987" spans="1:26" ht="11.25" customHeight="1" x14ac:dyDescent="0.3">
      <c r="A987" s="132"/>
      <c r="B987" s="132"/>
      <c r="C987" s="132"/>
      <c r="D987" s="132"/>
      <c r="E987" s="132"/>
      <c r="F987" s="132"/>
      <c r="G987" s="132"/>
      <c r="H987" s="132"/>
      <c r="I987" s="132"/>
      <c r="J987" s="132"/>
      <c r="K987" s="132"/>
      <c r="L987" s="132"/>
      <c r="M987" s="132"/>
      <c r="N987" s="132"/>
      <c r="O987" s="132"/>
      <c r="P987" s="132"/>
      <c r="Q987" s="132"/>
      <c r="R987" s="132"/>
      <c r="S987" s="132"/>
      <c r="T987" s="132"/>
      <c r="U987" s="132"/>
      <c r="V987" s="132"/>
      <c r="W987" s="132"/>
      <c r="X987" s="132"/>
      <c r="Y987" s="132"/>
      <c r="Z987" s="132"/>
    </row>
    <row r="988" spans="1:26" ht="11.25" customHeight="1" x14ac:dyDescent="0.3">
      <c r="A988" s="132"/>
      <c r="B988" s="132"/>
      <c r="C988" s="132"/>
      <c r="D988" s="132"/>
      <c r="E988" s="132"/>
      <c r="F988" s="132"/>
      <c r="G988" s="132"/>
      <c r="H988" s="132"/>
      <c r="I988" s="132"/>
      <c r="J988" s="132"/>
      <c r="K988" s="132"/>
      <c r="L988" s="132"/>
      <c r="M988" s="132"/>
      <c r="N988" s="132"/>
      <c r="O988" s="132"/>
      <c r="P988" s="132"/>
      <c r="Q988" s="132"/>
      <c r="R988" s="132"/>
      <c r="S988" s="132"/>
      <c r="T988" s="132"/>
      <c r="U988" s="132"/>
      <c r="V988" s="132"/>
      <c r="W988" s="132"/>
      <c r="X988" s="132"/>
      <c r="Y988" s="132"/>
      <c r="Z988" s="132"/>
    </row>
    <row r="989" spans="1:26" ht="11.25" customHeight="1" x14ac:dyDescent="0.3">
      <c r="A989" s="132"/>
      <c r="B989" s="132"/>
      <c r="C989" s="132"/>
      <c r="D989" s="132"/>
      <c r="E989" s="132"/>
      <c r="F989" s="132"/>
      <c r="G989" s="132"/>
      <c r="H989" s="132"/>
      <c r="I989" s="132"/>
      <c r="J989" s="132"/>
      <c r="K989" s="132"/>
      <c r="L989" s="132"/>
      <c r="M989" s="132"/>
      <c r="N989" s="132"/>
      <c r="O989" s="132"/>
      <c r="P989" s="132"/>
      <c r="Q989" s="132"/>
      <c r="R989" s="132"/>
      <c r="S989" s="132"/>
      <c r="T989" s="132"/>
      <c r="U989" s="132"/>
      <c r="V989" s="132"/>
      <c r="W989" s="132"/>
      <c r="X989" s="132"/>
      <c r="Y989" s="132"/>
      <c r="Z989" s="132"/>
    </row>
    <row r="990" spans="1:26" ht="11.25" customHeight="1" x14ac:dyDescent="0.3">
      <c r="A990" s="132"/>
      <c r="B990" s="132"/>
      <c r="C990" s="132"/>
      <c r="D990" s="132"/>
      <c r="E990" s="132"/>
      <c r="F990" s="132"/>
      <c r="G990" s="132"/>
      <c r="H990" s="132"/>
      <c r="I990" s="132"/>
      <c r="J990" s="132"/>
      <c r="K990" s="132"/>
      <c r="L990" s="132"/>
      <c r="M990" s="132"/>
      <c r="N990" s="132"/>
      <c r="O990" s="132"/>
      <c r="P990" s="132"/>
      <c r="Q990" s="132"/>
      <c r="R990" s="132"/>
      <c r="S990" s="132"/>
      <c r="T990" s="132"/>
      <c r="U990" s="132"/>
      <c r="V990" s="132"/>
      <c r="W990" s="132"/>
      <c r="X990" s="132"/>
      <c r="Y990" s="132"/>
      <c r="Z990" s="132"/>
    </row>
    <row r="991" spans="1:26" ht="11.25" customHeight="1" x14ac:dyDescent="0.3">
      <c r="A991" s="132"/>
      <c r="B991" s="132"/>
      <c r="C991" s="132"/>
      <c r="D991" s="132"/>
      <c r="E991" s="132"/>
      <c r="F991" s="132"/>
      <c r="G991" s="132"/>
      <c r="H991" s="132"/>
      <c r="I991" s="132"/>
      <c r="J991" s="132"/>
      <c r="K991" s="132"/>
      <c r="L991" s="132"/>
      <c r="M991" s="132"/>
      <c r="N991" s="132"/>
      <c r="O991" s="132"/>
      <c r="P991" s="132"/>
      <c r="Q991" s="132"/>
      <c r="R991" s="132"/>
      <c r="S991" s="132"/>
      <c r="T991" s="132"/>
      <c r="U991" s="132"/>
      <c r="V991" s="132"/>
      <c r="W991" s="132"/>
      <c r="X991" s="132"/>
      <c r="Y991" s="132"/>
      <c r="Z991" s="132"/>
    </row>
    <row r="992" spans="1:26" ht="11.25" customHeight="1" x14ac:dyDescent="0.3">
      <c r="A992" s="132"/>
      <c r="B992" s="132"/>
      <c r="C992" s="132"/>
      <c r="D992" s="132"/>
      <c r="E992" s="132"/>
      <c r="F992" s="132"/>
      <c r="G992" s="132"/>
      <c r="H992" s="132"/>
      <c r="I992" s="132"/>
      <c r="J992" s="132"/>
      <c r="K992" s="132"/>
      <c r="L992" s="132"/>
      <c r="M992" s="132"/>
      <c r="N992" s="132"/>
      <c r="O992" s="132"/>
      <c r="P992" s="132"/>
      <c r="Q992" s="132"/>
      <c r="R992" s="132"/>
      <c r="S992" s="132"/>
      <c r="T992" s="132"/>
      <c r="U992" s="132"/>
      <c r="V992" s="132"/>
      <c r="W992" s="132"/>
      <c r="X992" s="132"/>
      <c r="Y992" s="132"/>
      <c r="Z992" s="132"/>
    </row>
    <row r="993" spans="1:26" ht="11.25" customHeight="1" x14ac:dyDescent="0.3">
      <c r="A993" s="132"/>
      <c r="B993" s="132"/>
      <c r="C993" s="132"/>
      <c r="D993" s="132"/>
      <c r="E993" s="132"/>
      <c r="F993" s="132"/>
      <c r="G993" s="132"/>
      <c r="H993" s="132"/>
      <c r="I993" s="132"/>
      <c r="J993" s="132"/>
      <c r="K993" s="132"/>
      <c r="L993" s="132"/>
      <c r="M993" s="132"/>
      <c r="N993" s="132"/>
      <c r="O993" s="132"/>
      <c r="P993" s="132"/>
      <c r="Q993" s="132"/>
      <c r="R993" s="132"/>
      <c r="S993" s="132"/>
      <c r="T993" s="132"/>
      <c r="U993" s="132"/>
      <c r="V993" s="132"/>
      <c r="W993" s="132"/>
      <c r="X993" s="132"/>
      <c r="Y993" s="132"/>
      <c r="Z993" s="132"/>
    </row>
    <row r="994" spans="1:26" ht="11.25" customHeight="1" x14ac:dyDescent="0.3">
      <c r="A994" s="132"/>
      <c r="B994" s="132"/>
      <c r="C994" s="132"/>
      <c r="D994" s="132"/>
      <c r="E994" s="132"/>
      <c r="F994" s="132"/>
      <c r="G994" s="132"/>
      <c r="H994" s="132"/>
      <c r="I994" s="132"/>
      <c r="J994" s="132"/>
      <c r="K994" s="132"/>
      <c r="L994" s="132"/>
      <c r="M994" s="132"/>
      <c r="N994" s="132"/>
      <c r="O994" s="132"/>
      <c r="P994" s="132"/>
      <c r="Q994" s="132"/>
      <c r="R994" s="132"/>
      <c r="S994" s="132"/>
      <c r="T994" s="132"/>
      <c r="U994" s="132"/>
      <c r="V994" s="132"/>
      <c r="W994" s="132"/>
      <c r="X994" s="132"/>
      <c r="Y994" s="132"/>
      <c r="Z994" s="132"/>
    </row>
    <row r="995" spans="1:26" ht="11.25" customHeight="1" x14ac:dyDescent="0.3">
      <c r="A995" s="132"/>
      <c r="B995" s="132"/>
      <c r="C995" s="132"/>
      <c r="D995" s="132"/>
      <c r="E995" s="132"/>
      <c r="F995" s="132"/>
      <c r="G995" s="132"/>
      <c r="H995" s="132"/>
      <c r="I995" s="132"/>
      <c r="J995" s="132"/>
      <c r="K995" s="132"/>
      <c r="L995" s="132"/>
      <c r="M995" s="132"/>
      <c r="N995" s="132"/>
      <c r="O995" s="132"/>
      <c r="P995" s="132"/>
      <c r="Q995" s="132"/>
      <c r="R995" s="132"/>
      <c r="S995" s="132"/>
      <c r="T995" s="132"/>
      <c r="U995" s="132"/>
      <c r="V995" s="132"/>
      <c r="W995" s="132"/>
      <c r="X995" s="132"/>
      <c r="Y995" s="132"/>
      <c r="Z995" s="132"/>
    </row>
    <row r="996" spans="1:26" ht="11.25" customHeight="1" x14ac:dyDescent="0.3">
      <c r="A996" s="132"/>
      <c r="B996" s="132"/>
      <c r="C996" s="132"/>
      <c r="D996" s="132"/>
      <c r="E996" s="132"/>
      <c r="F996" s="132"/>
      <c r="G996" s="132"/>
      <c r="H996" s="132"/>
      <c r="I996" s="132"/>
      <c r="J996" s="132"/>
      <c r="K996" s="132"/>
      <c r="L996" s="132"/>
      <c r="M996" s="132"/>
      <c r="N996" s="132"/>
      <c r="O996" s="132"/>
      <c r="P996" s="132"/>
      <c r="Q996" s="132"/>
      <c r="R996" s="132"/>
      <c r="S996" s="132"/>
      <c r="T996" s="132"/>
      <c r="U996" s="132"/>
      <c r="V996" s="132"/>
      <c r="W996" s="132"/>
      <c r="X996" s="132"/>
      <c r="Y996" s="132"/>
      <c r="Z996" s="132"/>
    </row>
    <row r="997" spans="1:26" ht="11.25" customHeight="1" x14ac:dyDescent="0.3">
      <c r="A997" s="132"/>
      <c r="B997" s="132"/>
      <c r="C997" s="132"/>
      <c r="D997" s="132"/>
      <c r="E997" s="132"/>
      <c r="F997" s="132"/>
      <c r="G997" s="132"/>
      <c r="H997" s="132"/>
      <c r="I997" s="132"/>
      <c r="J997" s="132"/>
      <c r="K997" s="132"/>
      <c r="L997" s="132"/>
      <c r="M997" s="132"/>
      <c r="N997" s="132"/>
      <c r="O997" s="132"/>
      <c r="P997" s="132"/>
      <c r="Q997" s="132"/>
      <c r="R997" s="132"/>
      <c r="S997" s="132"/>
      <c r="T997" s="132"/>
      <c r="U997" s="132"/>
      <c r="V997" s="132"/>
      <c r="W997" s="132"/>
      <c r="X997" s="132"/>
      <c r="Y997" s="132"/>
      <c r="Z997" s="132"/>
    </row>
    <row r="998" spans="1:26" ht="11.25" customHeight="1" x14ac:dyDescent="0.3">
      <c r="A998" s="132"/>
      <c r="B998" s="132"/>
      <c r="C998" s="132"/>
      <c r="D998" s="132"/>
      <c r="E998" s="132"/>
      <c r="F998" s="132"/>
      <c r="G998" s="132"/>
      <c r="H998" s="132"/>
      <c r="I998" s="132"/>
      <c r="J998" s="132"/>
      <c r="K998" s="132"/>
      <c r="L998" s="132"/>
      <c r="M998" s="132"/>
      <c r="N998" s="132"/>
      <c r="O998" s="132"/>
      <c r="P998" s="132"/>
      <c r="Q998" s="132"/>
      <c r="R998" s="132"/>
      <c r="S998" s="132"/>
      <c r="T998" s="132"/>
      <c r="U998" s="132"/>
      <c r="V998" s="132"/>
      <c r="W998" s="132"/>
      <c r="X998" s="132"/>
      <c r="Y998" s="132"/>
      <c r="Z998" s="132"/>
    </row>
    <row r="999" spans="1:26" ht="11.25" customHeight="1" x14ac:dyDescent="0.3">
      <c r="A999" s="132"/>
      <c r="B999" s="132"/>
      <c r="C999" s="132"/>
      <c r="D999" s="132"/>
      <c r="E999" s="132"/>
      <c r="F999" s="132"/>
      <c r="G999" s="132"/>
      <c r="H999" s="132"/>
      <c r="I999" s="132"/>
      <c r="J999" s="132"/>
      <c r="K999" s="132"/>
      <c r="L999" s="132"/>
      <c r="M999" s="132"/>
      <c r="N999" s="132"/>
      <c r="O999" s="132"/>
      <c r="P999" s="132"/>
      <c r="Q999" s="132"/>
      <c r="R999" s="132"/>
      <c r="S999" s="132"/>
      <c r="T999" s="132"/>
      <c r="U999" s="132"/>
      <c r="V999" s="132"/>
      <c r="W999" s="132"/>
      <c r="X999" s="132"/>
      <c r="Y999" s="132"/>
      <c r="Z999" s="132"/>
    </row>
    <row r="1000" spans="1:26" ht="11.25" customHeight="1" x14ac:dyDescent="0.3">
      <c r="A1000" s="132"/>
      <c r="B1000" s="132"/>
      <c r="C1000" s="132"/>
      <c r="D1000" s="132"/>
      <c r="E1000" s="132"/>
      <c r="F1000" s="132"/>
      <c r="G1000" s="132"/>
      <c r="H1000" s="132"/>
      <c r="I1000" s="132"/>
      <c r="J1000" s="132"/>
      <c r="K1000" s="132"/>
      <c r="L1000" s="132"/>
      <c r="M1000" s="132"/>
      <c r="N1000" s="132"/>
      <c r="O1000" s="132"/>
      <c r="P1000" s="132"/>
      <c r="Q1000" s="132"/>
      <c r="R1000" s="132"/>
      <c r="S1000" s="132"/>
      <c r="T1000" s="132"/>
      <c r="U1000" s="132"/>
      <c r="V1000" s="132"/>
      <c r="W1000" s="132"/>
      <c r="X1000" s="132"/>
      <c r="Y1000" s="132"/>
      <c r="Z1000" s="132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G27" sqref="G27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1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96" t="s">
        <v>224</v>
      </c>
      <c r="B1" s="197" t="s">
        <v>225</v>
      </c>
      <c r="C1" s="198" t="s">
        <v>226</v>
      </c>
      <c r="D1" s="199"/>
      <c r="E1" s="200" t="s">
        <v>227</v>
      </c>
      <c r="F1" s="201" t="s">
        <v>228</v>
      </c>
      <c r="G1" s="202" t="s">
        <v>229</v>
      </c>
      <c r="H1" s="203" t="s">
        <v>230</v>
      </c>
      <c r="I1" s="204"/>
      <c r="J1" s="205" t="s">
        <v>231</v>
      </c>
      <c r="K1" s="206" t="s">
        <v>232</v>
      </c>
      <c r="L1" s="207" t="s">
        <v>229</v>
      </c>
      <c r="M1" s="208" t="s">
        <v>233</v>
      </c>
      <c r="N1" s="209"/>
      <c r="O1" s="210" t="s">
        <v>234</v>
      </c>
      <c r="P1" s="211" t="s">
        <v>235</v>
      </c>
      <c r="Q1" s="212" t="s">
        <v>229</v>
      </c>
      <c r="R1" s="209"/>
      <c r="S1" s="204"/>
      <c r="T1" s="209"/>
    </row>
    <row r="2" spans="1:20" ht="11.25" customHeight="1" x14ac:dyDescent="0.3">
      <c r="A2" s="213" t="s">
        <v>236</v>
      </c>
      <c r="B2" s="214">
        <v>2</v>
      </c>
      <c r="C2" s="215">
        <v>2</v>
      </c>
      <c r="D2" s="199"/>
      <c r="E2" s="216">
        <f>(B2*'Proposed Budget'!$O$68)+(C2*'Proposed Budget'!$O$44)+'Proposed Budget'!$L$21+'Proposed Budget'!$L$22</f>
        <v>16606.55292099333</v>
      </c>
      <c r="F2" s="217">
        <f>SUM('Monthly Breakdown'!I49:I52)</f>
        <v>15639.36</v>
      </c>
      <c r="G2" s="218">
        <f t="shared" ref="G2:G13" si="0">F2-E2</f>
        <v>-967.19292099332961</v>
      </c>
      <c r="H2" s="219">
        <f t="shared" ref="H2:H13" si="1">((F2-E2)/E2)</f>
        <v>-5.8241642657257522E-2</v>
      </c>
      <c r="I2" s="209"/>
      <c r="J2" s="220">
        <f t="shared" ref="J2:K2" si="2">SUM(O20,E20,J20)</f>
        <v>13000</v>
      </c>
      <c r="K2" s="221">
        <f t="shared" si="2"/>
        <v>12394.720000000001</v>
      </c>
      <c r="L2" s="222">
        <f t="shared" ref="L2:L13" si="3">J2-K2</f>
        <v>605.27999999999884</v>
      </c>
      <c r="M2" s="223">
        <f t="shared" ref="M2:M13" si="4">((K2-J2)/J2)</f>
        <v>-4.6559999999999907E-2</v>
      </c>
      <c r="N2" s="209"/>
      <c r="O2" s="224">
        <f t="shared" ref="O2:O13" si="5">E2-O20-E20-J20</f>
        <v>3606.5529209933302</v>
      </c>
      <c r="P2" s="225">
        <f>SUM('Monthly Breakdown'!I45:I46)</f>
        <v>3244.64</v>
      </c>
      <c r="Q2" s="226">
        <f t="shared" ref="Q2:Q13" si="6">P2-O2</f>
        <v>-361.91292099333032</v>
      </c>
      <c r="R2" s="209"/>
      <c r="S2" s="209"/>
      <c r="T2" s="209">
        <f t="shared" ref="T2:T13" si="7">F2-K2-P2</f>
        <v>0</v>
      </c>
    </row>
    <row r="3" spans="1:20" ht="11.25" customHeight="1" x14ac:dyDescent="0.3">
      <c r="A3" s="213" t="s">
        <v>237</v>
      </c>
      <c r="B3" s="214">
        <v>2</v>
      </c>
      <c r="C3" s="215">
        <v>2</v>
      </c>
      <c r="D3" s="199"/>
      <c r="E3" s="216">
        <f>(B3*'Proposed Budget'!$O$68)+(C3*'Proposed Budget'!$O$44)+'Proposed Budget'!$L$21+'Proposed Budget'!$L$22</f>
        <v>16606.55292099333</v>
      </c>
      <c r="F3" s="217">
        <f>SUM('Monthly Breakdown'!K49:K52)</f>
        <v>16615.62</v>
      </c>
      <c r="G3" s="218">
        <f t="shared" si="0"/>
        <v>9.0670790066687914</v>
      </c>
      <c r="H3" s="219">
        <f t="shared" si="1"/>
        <v>5.4599404523057629E-4</v>
      </c>
      <c r="I3" s="209"/>
      <c r="J3" s="220">
        <f t="shared" ref="J3:K3" si="8">SUM(O21,E21,J21)</f>
        <v>13000</v>
      </c>
      <c r="K3" s="221">
        <f t="shared" si="8"/>
        <v>12800.71</v>
      </c>
      <c r="L3" s="222">
        <f t="shared" si="3"/>
        <v>199.29000000000087</v>
      </c>
      <c r="M3" s="223">
        <f t="shared" si="4"/>
        <v>-1.5330000000000068E-2</v>
      </c>
      <c r="N3" s="209"/>
      <c r="O3" s="224">
        <f t="shared" si="5"/>
        <v>3606.5529209933302</v>
      </c>
      <c r="P3" s="225">
        <f>SUM('Monthly Breakdown'!K45:K46)</f>
        <v>3814.91</v>
      </c>
      <c r="Q3" s="226">
        <f t="shared" si="6"/>
        <v>208.35707900666966</v>
      </c>
      <c r="R3" s="209"/>
      <c r="S3" s="209"/>
      <c r="T3" s="209">
        <f t="shared" si="7"/>
        <v>0</v>
      </c>
    </row>
    <row r="4" spans="1:20" ht="11.25" customHeight="1" x14ac:dyDescent="0.3">
      <c r="A4" s="213" t="s">
        <v>238</v>
      </c>
      <c r="B4" s="214">
        <v>2</v>
      </c>
      <c r="C4" s="215">
        <v>2</v>
      </c>
      <c r="D4" s="199"/>
      <c r="E4" s="216">
        <f>(B4*'Proposed Budget'!$O$68)+(C4*'Proposed Budget'!$O$44)+'Proposed Budget'!$L$21+'Proposed Budget'!$L$22</f>
        <v>16606.55292099333</v>
      </c>
      <c r="F4" s="217">
        <f>SUM('Monthly Breakdown'!M49:M52)</f>
        <v>16971.29</v>
      </c>
      <c r="G4" s="218">
        <f t="shared" si="0"/>
        <v>364.73707900667068</v>
      </c>
      <c r="H4" s="219">
        <f t="shared" si="1"/>
        <v>2.1963443030105594E-2</v>
      </c>
      <c r="I4" s="209"/>
      <c r="J4" s="220">
        <f t="shared" ref="J4:K4" si="9">SUM(O22,E22,J22)</f>
        <v>13000</v>
      </c>
      <c r="K4" s="221">
        <f t="shared" si="9"/>
        <v>12611.71</v>
      </c>
      <c r="L4" s="222">
        <f t="shared" si="3"/>
        <v>388.29000000000087</v>
      </c>
      <c r="M4" s="223">
        <f t="shared" si="4"/>
        <v>-2.9868461538461604E-2</v>
      </c>
      <c r="N4" s="209"/>
      <c r="O4" s="224">
        <f t="shared" si="5"/>
        <v>3606.5529209933302</v>
      </c>
      <c r="P4" s="225">
        <f>SUM('Monthly Breakdown'!M45:M46)</f>
        <v>4359.58</v>
      </c>
      <c r="Q4" s="226">
        <f t="shared" si="6"/>
        <v>753.02707900666974</v>
      </c>
      <c r="R4" s="209"/>
      <c r="S4" s="209"/>
      <c r="T4" s="209">
        <f t="shared" si="7"/>
        <v>0</v>
      </c>
    </row>
    <row r="5" spans="1:20" ht="11.25" customHeight="1" x14ac:dyDescent="0.3">
      <c r="A5" s="213" t="s">
        <v>239</v>
      </c>
      <c r="B5" s="214">
        <v>2</v>
      </c>
      <c r="C5" s="215">
        <v>3</v>
      </c>
      <c r="D5" s="199"/>
      <c r="E5" s="216">
        <f>(B5*'Proposed Budget'!$O$68)+(C5*'Proposed Budget'!$O$44)+'Proposed Budget'!$L$21+'Proposed Budget'!$L$22</f>
        <v>19370.33642599333</v>
      </c>
      <c r="F5" s="217">
        <f>SUM('Monthly Breakdown'!O49:O52)</f>
        <v>18875.669999999998</v>
      </c>
      <c r="G5" s="218">
        <f t="shared" si="0"/>
        <v>-494.66642599333136</v>
      </c>
      <c r="H5" s="219">
        <f t="shared" si="1"/>
        <v>-2.5537317221270946E-2</v>
      </c>
      <c r="I5" s="209"/>
      <c r="J5" s="220">
        <f t="shared" ref="J5:K5" si="10">SUM(O23,E23,J23)</f>
        <v>13000</v>
      </c>
      <c r="K5" s="221">
        <f t="shared" si="10"/>
        <v>13208.85</v>
      </c>
      <c r="L5" s="222">
        <f t="shared" si="3"/>
        <v>-208.85000000000036</v>
      </c>
      <c r="M5" s="223">
        <f t="shared" si="4"/>
        <v>1.6065384615384645E-2</v>
      </c>
      <c r="N5" s="209"/>
      <c r="O5" s="224">
        <f t="shared" si="5"/>
        <v>6370.3364259933296</v>
      </c>
      <c r="P5" s="225">
        <f>SUM('Monthly Breakdown'!O45:O46)</f>
        <v>5666.82</v>
      </c>
      <c r="Q5" s="226">
        <f t="shared" si="6"/>
        <v>-703.5164259933299</v>
      </c>
      <c r="R5" s="209"/>
      <c r="S5" s="209"/>
      <c r="T5" s="209">
        <f t="shared" si="7"/>
        <v>0</v>
      </c>
    </row>
    <row r="6" spans="1:20" ht="11.25" customHeight="1" x14ac:dyDescent="0.3">
      <c r="A6" s="213" t="s">
        <v>240</v>
      </c>
      <c r="B6" s="214">
        <v>2</v>
      </c>
      <c r="C6" s="215">
        <v>2</v>
      </c>
      <c r="D6" s="199"/>
      <c r="E6" s="216">
        <f>(B6*'Proposed Budget'!$O$68)+(C6*'Proposed Budget'!$O$44)+'Proposed Budget'!$L$21+'Proposed Budget'!$L$22</f>
        <v>16606.55292099333</v>
      </c>
      <c r="F6" s="217">
        <f>SUM('Monthly Breakdown'!Q49:Q52)</f>
        <v>0</v>
      </c>
      <c r="G6" s="218">
        <f t="shared" si="0"/>
        <v>-16606.55292099333</v>
      </c>
      <c r="H6" s="219">
        <f t="shared" si="1"/>
        <v>-1</v>
      </c>
      <c r="I6" s="209"/>
      <c r="J6" s="220">
        <f t="shared" ref="J6:K6" si="11">SUM(O24,E24,J24)</f>
        <v>13000</v>
      </c>
      <c r="K6" s="221">
        <f t="shared" si="11"/>
        <v>4461.5800000000008</v>
      </c>
      <c r="L6" s="222">
        <f t="shared" si="3"/>
        <v>8538.4199999999983</v>
      </c>
      <c r="M6" s="223">
        <f t="shared" si="4"/>
        <v>-0.65680153846153833</v>
      </c>
      <c r="N6" s="209"/>
      <c r="O6" s="224">
        <f t="shared" si="5"/>
        <v>3606.5529209933302</v>
      </c>
      <c r="P6" s="225">
        <f>SUM('Monthly Breakdown'!Q45:Q46)</f>
        <v>50</v>
      </c>
      <c r="Q6" s="226">
        <f t="shared" si="6"/>
        <v>-3556.5529209933302</v>
      </c>
      <c r="R6" s="209"/>
      <c r="S6" s="209"/>
      <c r="T6" s="209">
        <f t="shared" si="7"/>
        <v>-4511.5800000000008</v>
      </c>
    </row>
    <row r="7" spans="1:20" ht="11.25" customHeight="1" x14ac:dyDescent="0.3">
      <c r="A7" s="213" t="s">
        <v>241</v>
      </c>
      <c r="B7" s="214">
        <v>2</v>
      </c>
      <c r="C7" s="215">
        <v>2</v>
      </c>
      <c r="D7" s="199"/>
      <c r="E7" s="216">
        <f>(B7*'Proposed Budget'!$O$68)+(C7*'Proposed Budget'!$O$44)+'Proposed Budget'!$L$21+'Proposed Budget'!$L$22</f>
        <v>16606.55292099333</v>
      </c>
      <c r="F7" s="217">
        <f>SUM('Monthly Breakdown'!S49:S52)</f>
        <v>0</v>
      </c>
      <c r="G7" s="218">
        <f t="shared" si="0"/>
        <v>-16606.55292099333</v>
      </c>
      <c r="H7" s="219">
        <f t="shared" si="1"/>
        <v>-1</v>
      </c>
      <c r="I7" s="209"/>
      <c r="J7" s="220">
        <f t="shared" ref="J7:K7" si="12">SUM(O25,E25,J25)</f>
        <v>13000</v>
      </c>
      <c r="K7" s="221">
        <f t="shared" si="12"/>
        <v>0</v>
      </c>
      <c r="L7" s="222">
        <f t="shared" si="3"/>
        <v>13000</v>
      </c>
      <c r="M7" s="223">
        <f t="shared" si="4"/>
        <v>-1</v>
      </c>
      <c r="N7" s="209"/>
      <c r="O7" s="224">
        <f t="shared" si="5"/>
        <v>3606.5529209933302</v>
      </c>
      <c r="P7" s="225">
        <f>SUM('Monthly Breakdown'!S45:S46)</f>
        <v>0</v>
      </c>
      <c r="Q7" s="226">
        <f t="shared" si="6"/>
        <v>-3606.5529209933302</v>
      </c>
      <c r="R7" s="209"/>
      <c r="S7" s="209"/>
      <c r="T7" s="209">
        <f t="shared" si="7"/>
        <v>0</v>
      </c>
    </row>
    <row r="8" spans="1:20" ht="11.25" customHeight="1" x14ac:dyDescent="0.3">
      <c r="A8" s="213" t="s">
        <v>242</v>
      </c>
      <c r="B8" s="214">
        <v>2</v>
      </c>
      <c r="C8" s="215">
        <v>2</v>
      </c>
      <c r="D8" s="199"/>
      <c r="E8" s="216">
        <f>(B8*'Proposed Budget'!$O$68)+(C8*'Proposed Budget'!$O$44)+'Proposed Budget'!$L$21+'Proposed Budget'!$L$22</f>
        <v>16606.55292099333</v>
      </c>
      <c r="F8" s="217">
        <f>SUM('Monthly Breakdown'!U49:U52)</f>
        <v>0</v>
      </c>
      <c r="G8" s="218">
        <f t="shared" si="0"/>
        <v>-16606.55292099333</v>
      </c>
      <c r="H8" s="219">
        <f t="shared" si="1"/>
        <v>-1</v>
      </c>
      <c r="I8" s="209"/>
      <c r="J8" s="220">
        <f t="shared" ref="J8:K8" si="13">SUM(O26,E26,J26)</f>
        <v>13000</v>
      </c>
      <c r="K8" s="221">
        <f t="shared" si="13"/>
        <v>0</v>
      </c>
      <c r="L8" s="222">
        <f t="shared" si="3"/>
        <v>13000</v>
      </c>
      <c r="M8" s="223">
        <f t="shared" si="4"/>
        <v>-1</v>
      </c>
      <c r="N8" s="209"/>
      <c r="O8" s="224">
        <f t="shared" si="5"/>
        <v>3606.5529209933302</v>
      </c>
      <c r="P8" s="225">
        <f>SUM('Monthly Breakdown'!U45:U46)</f>
        <v>0</v>
      </c>
      <c r="Q8" s="226">
        <f t="shared" si="6"/>
        <v>-3606.5529209933302</v>
      </c>
      <c r="R8" s="209"/>
      <c r="S8" s="209"/>
      <c r="T8" s="209">
        <f t="shared" si="7"/>
        <v>0</v>
      </c>
    </row>
    <row r="9" spans="1:20" ht="11.25" customHeight="1" x14ac:dyDescent="0.3">
      <c r="A9" s="213" t="s">
        <v>243</v>
      </c>
      <c r="B9" s="214">
        <v>2</v>
      </c>
      <c r="C9" s="215">
        <v>2</v>
      </c>
      <c r="D9" s="199"/>
      <c r="E9" s="216">
        <f>(B9*'Proposed Budget'!$O$68)+(C9*'Proposed Budget'!$O$44)+'Proposed Budget'!$L$21+'Proposed Budget'!$L$22</f>
        <v>16606.55292099333</v>
      </c>
      <c r="F9" s="217">
        <f>SUM('Monthly Breakdown'!W49:W52)</f>
        <v>0</v>
      </c>
      <c r="G9" s="218">
        <f t="shared" si="0"/>
        <v>-16606.55292099333</v>
      </c>
      <c r="H9" s="219">
        <f t="shared" si="1"/>
        <v>-1</v>
      </c>
      <c r="I9" s="209"/>
      <c r="J9" s="220">
        <f t="shared" ref="J9:K9" si="14">SUM(O27,E27,J27)</f>
        <v>13000</v>
      </c>
      <c r="K9" s="221">
        <f t="shared" si="14"/>
        <v>0</v>
      </c>
      <c r="L9" s="222">
        <f t="shared" si="3"/>
        <v>13000</v>
      </c>
      <c r="M9" s="223">
        <f t="shared" si="4"/>
        <v>-1</v>
      </c>
      <c r="N9" s="209"/>
      <c r="O9" s="224">
        <f t="shared" si="5"/>
        <v>3606.5529209933302</v>
      </c>
      <c r="P9" s="225">
        <f>SUM('Monthly Breakdown'!W45:W46)</f>
        <v>0</v>
      </c>
      <c r="Q9" s="226">
        <f t="shared" si="6"/>
        <v>-3606.5529209933302</v>
      </c>
      <c r="R9" s="209"/>
      <c r="S9" s="209"/>
      <c r="T9" s="209">
        <f t="shared" si="7"/>
        <v>0</v>
      </c>
    </row>
    <row r="10" spans="1:20" ht="11.25" customHeight="1" x14ac:dyDescent="0.3">
      <c r="A10" s="227" t="s">
        <v>244</v>
      </c>
      <c r="B10" s="214">
        <v>2</v>
      </c>
      <c r="C10" s="215">
        <v>3</v>
      </c>
      <c r="D10" s="199"/>
      <c r="E10" s="216">
        <f>(B10*'Proposed Budget'!$O$68)+(C10*'Proposed Budget'!$O$44)+'Proposed Budget'!$L$21+'Proposed Budget'!$L$22</f>
        <v>19370.33642599333</v>
      </c>
      <c r="F10" s="217">
        <f>SUM('Monthly Breakdown'!Y49:Y52)</f>
        <v>0</v>
      </c>
      <c r="G10" s="218">
        <f t="shared" si="0"/>
        <v>-19370.33642599333</v>
      </c>
      <c r="H10" s="219">
        <f t="shared" si="1"/>
        <v>-1</v>
      </c>
      <c r="I10" s="209"/>
      <c r="J10" s="220">
        <f t="shared" ref="J10:K10" si="15">SUM(O28,E28,J28)</f>
        <v>13000</v>
      </c>
      <c r="K10" s="221">
        <f t="shared" si="15"/>
        <v>0</v>
      </c>
      <c r="L10" s="222">
        <f t="shared" si="3"/>
        <v>13000</v>
      </c>
      <c r="M10" s="223">
        <f t="shared" si="4"/>
        <v>-1</v>
      </c>
      <c r="N10" s="209"/>
      <c r="O10" s="224">
        <f t="shared" si="5"/>
        <v>6370.3364259933296</v>
      </c>
      <c r="P10" s="225">
        <f>SUM('Monthly Breakdown'!Y45:Y46)</f>
        <v>0</v>
      </c>
      <c r="Q10" s="226">
        <f t="shared" si="6"/>
        <v>-6370.3364259933296</v>
      </c>
      <c r="R10" s="209"/>
      <c r="S10" s="209"/>
      <c r="T10" s="209">
        <f t="shared" si="7"/>
        <v>0</v>
      </c>
    </row>
    <row r="11" spans="1:20" ht="11.25" customHeight="1" x14ac:dyDescent="0.3">
      <c r="A11" s="227" t="s">
        <v>245</v>
      </c>
      <c r="B11" s="214">
        <v>2</v>
      </c>
      <c r="C11" s="215">
        <v>2</v>
      </c>
      <c r="D11" s="199"/>
      <c r="E11" s="216">
        <f>(B11*'Proposed Budget'!$O$68)+(C11*'Proposed Budget'!$O$44)+'Proposed Budget'!$L$21+'Proposed Budget'!$L$22</f>
        <v>16606.55292099333</v>
      </c>
      <c r="F11" s="217">
        <f>SUM('Monthly Breakdown'!AA49:AA52)</f>
        <v>0</v>
      </c>
      <c r="G11" s="218">
        <f t="shared" si="0"/>
        <v>-16606.55292099333</v>
      </c>
      <c r="H11" s="219">
        <f t="shared" si="1"/>
        <v>-1</v>
      </c>
      <c r="I11" s="209"/>
      <c r="J11" s="220">
        <f t="shared" ref="J11:K11" si="16">SUM(O29,E29,J29)</f>
        <v>13000</v>
      </c>
      <c r="K11" s="221">
        <f t="shared" si="16"/>
        <v>0</v>
      </c>
      <c r="L11" s="222">
        <f t="shared" si="3"/>
        <v>13000</v>
      </c>
      <c r="M11" s="223">
        <f t="shared" si="4"/>
        <v>-1</v>
      </c>
      <c r="N11" s="209"/>
      <c r="O11" s="224">
        <f t="shared" si="5"/>
        <v>3606.5529209933302</v>
      </c>
      <c r="P11" s="225">
        <f>SUM('Monthly Breakdown'!AA45:AA46)</f>
        <v>0</v>
      </c>
      <c r="Q11" s="226">
        <f t="shared" si="6"/>
        <v>-3606.5529209933302</v>
      </c>
      <c r="R11" s="209"/>
      <c r="S11" s="209"/>
      <c r="T11" s="209">
        <f t="shared" si="7"/>
        <v>0</v>
      </c>
    </row>
    <row r="12" spans="1:20" ht="11.25" customHeight="1" x14ac:dyDescent="0.3">
      <c r="A12" s="227" t="s">
        <v>246</v>
      </c>
      <c r="B12" s="214">
        <v>2</v>
      </c>
      <c r="C12" s="215">
        <v>2</v>
      </c>
      <c r="D12" s="199"/>
      <c r="E12" s="216">
        <f>(B12*'Proposed Budget'!$O$68)+(C12*'Proposed Budget'!$O$44)+'Proposed Budget'!$L$21+'Proposed Budget'!$L$22</f>
        <v>16606.55292099333</v>
      </c>
      <c r="F12" s="217">
        <f>SUM('Monthly Breakdown'!AC49:AC52)</f>
        <v>0</v>
      </c>
      <c r="G12" s="218">
        <f t="shared" si="0"/>
        <v>-16606.55292099333</v>
      </c>
      <c r="H12" s="219">
        <f t="shared" si="1"/>
        <v>-1</v>
      </c>
      <c r="I12" s="209"/>
      <c r="J12" s="220">
        <f t="shared" ref="J12:K12" si="17">SUM(O30,E30,J30)</f>
        <v>13000</v>
      </c>
      <c r="K12" s="221">
        <f t="shared" si="17"/>
        <v>0</v>
      </c>
      <c r="L12" s="222">
        <f t="shared" si="3"/>
        <v>13000</v>
      </c>
      <c r="M12" s="223">
        <f t="shared" si="4"/>
        <v>-1</v>
      </c>
      <c r="N12" s="209"/>
      <c r="O12" s="224">
        <f t="shared" si="5"/>
        <v>3606.5529209933302</v>
      </c>
      <c r="P12" s="225">
        <f>SUM('Monthly Breakdown'!AC45:AC46)</f>
        <v>0</v>
      </c>
      <c r="Q12" s="226">
        <f t="shared" si="6"/>
        <v>-3606.5529209933302</v>
      </c>
      <c r="R12" s="209"/>
      <c r="S12" s="209"/>
      <c r="T12" s="209">
        <f t="shared" si="7"/>
        <v>0</v>
      </c>
    </row>
    <row r="13" spans="1:20" ht="11.25" customHeight="1" x14ac:dyDescent="0.3">
      <c r="A13" s="227" t="s">
        <v>247</v>
      </c>
      <c r="B13" s="214">
        <v>2</v>
      </c>
      <c r="C13" s="215">
        <v>2</v>
      </c>
      <c r="D13" s="199"/>
      <c r="E13" s="216">
        <f>(B13*'Proposed Budget'!$O$68)+(C13*'Proposed Budget'!$O$44)+'Proposed Budget'!$L$21+'Proposed Budget'!$L$22</f>
        <v>16606.55292099333</v>
      </c>
      <c r="F13" s="217">
        <f>SUM('Monthly Breakdown'!AE49:AE52)</f>
        <v>0</v>
      </c>
      <c r="G13" s="218">
        <f t="shared" si="0"/>
        <v>-16606.55292099333</v>
      </c>
      <c r="H13" s="219">
        <f t="shared" si="1"/>
        <v>-1</v>
      </c>
      <c r="I13" s="209"/>
      <c r="J13" s="220">
        <f t="shared" ref="J13:K13" si="18">SUM(O31,E31,J31)</f>
        <v>13000</v>
      </c>
      <c r="K13" s="221">
        <f t="shared" si="18"/>
        <v>0</v>
      </c>
      <c r="L13" s="222">
        <f t="shared" si="3"/>
        <v>13000</v>
      </c>
      <c r="M13" s="223">
        <f t="shared" si="4"/>
        <v>-1</v>
      </c>
      <c r="N13" s="209"/>
      <c r="O13" s="224">
        <f t="shared" si="5"/>
        <v>3606.5529209933302</v>
      </c>
      <c r="P13" s="225">
        <f>SUM('Monthly Breakdown'!AE45:AE46)</f>
        <v>0</v>
      </c>
      <c r="Q13" s="226">
        <f t="shared" si="6"/>
        <v>-3606.5529209933302</v>
      </c>
      <c r="R13" s="209"/>
      <c r="S13" s="209"/>
      <c r="T13" s="209">
        <f t="shared" si="7"/>
        <v>0</v>
      </c>
    </row>
    <row r="14" spans="1:20" ht="11.25" customHeight="1" x14ac:dyDescent="0.3">
      <c r="A14" s="228"/>
      <c r="B14" s="214"/>
      <c r="C14" s="215"/>
      <c r="D14" s="199"/>
      <c r="E14" s="216"/>
      <c r="F14" s="217"/>
      <c r="G14" s="218"/>
      <c r="H14" s="219"/>
      <c r="I14" s="209"/>
      <c r="J14" s="220"/>
      <c r="K14" s="221"/>
      <c r="L14" s="222"/>
      <c r="M14" s="223"/>
      <c r="N14" s="209"/>
      <c r="O14" s="224"/>
      <c r="P14" s="225"/>
      <c r="Q14" s="226"/>
      <c r="R14" s="209"/>
      <c r="S14" s="209"/>
      <c r="T14" s="209"/>
    </row>
    <row r="15" spans="1:20" ht="11.25" customHeight="1" x14ac:dyDescent="0.3">
      <c r="A15" s="228"/>
      <c r="B15" s="214"/>
      <c r="C15" s="215"/>
      <c r="D15" s="199"/>
      <c r="E15" s="216"/>
      <c r="F15" s="217"/>
      <c r="G15" s="218"/>
      <c r="H15" s="219"/>
      <c r="I15" s="209"/>
      <c r="J15" s="220"/>
      <c r="K15" s="221"/>
      <c r="L15" s="222"/>
      <c r="M15" s="223"/>
      <c r="N15" s="209"/>
      <c r="O15" s="224"/>
      <c r="P15" s="225"/>
      <c r="Q15" s="226"/>
      <c r="R15" s="209"/>
      <c r="S15" s="209"/>
      <c r="T15" s="209"/>
    </row>
    <row r="16" spans="1:20" ht="11.25" customHeight="1" x14ac:dyDescent="0.3">
      <c r="A16" s="228" t="s">
        <v>68</v>
      </c>
      <c r="B16" s="214"/>
      <c r="C16" s="215"/>
      <c r="D16" s="199"/>
      <c r="E16" s="216">
        <f t="shared" ref="E16:G16" si="19">SUM(E2:E5)</f>
        <v>69189.99518897332</v>
      </c>
      <c r="F16" s="216">
        <f t="shared" si="19"/>
        <v>68101.94</v>
      </c>
      <c r="G16" s="216">
        <f t="shared" si="19"/>
        <v>-1088.0551889733215</v>
      </c>
      <c r="H16" s="219">
        <f>((SUM(F16))-SUM(E16))/SUM(E16)</f>
        <v>-1.5725614462056201E-2</v>
      </c>
      <c r="I16" s="209"/>
      <c r="J16" s="220">
        <f t="shared" ref="J16:L16" si="20">SUM(J2:J5)</f>
        <v>52000</v>
      </c>
      <c r="K16" s="220">
        <f t="shared" si="20"/>
        <v>51015.99</v>
      </c>
      <c r="L16" s="220">
        <f t="shared" si="20"/>
        <v>984.01000000000022</v>
      </c>
      <c r="M16" s="223">
        <f>((K16-SUM(J16))/SUM(J16))</f>
        <v>-1.8923269230769271E-2</v>
      </c>
      <c r="N16" s="209"/>
      <c r="O16" s="224">
        <f t="shared" ref="O16:Q16" si="21">SUM(O2:O5)</f>
        <v>17189.99518897332</v>
      </c>
      <c r="P16" s="224">
        <f t="shared" si="21"/>
        <v>17085.949999999997</v>
      </c>
      <c r="Q16" s="224">
        <f t="shared" si="21"/>
        <v>-104.04518897332082</v>
      </c>
      <c r="R16" s="229">
        <f>((P16-SUM(O16))/SUM(O16))</f>
        <v>-6.0526595749173821E-3</v>
      </c>
      <c r="S16" s="209"/>
      <c r="T16" s="209">
        <f>F16-K16-P16</f>
        <v>0</v>
      </c>
    </row>
    <row r="19" spans="1:17" ht="11.25" customHeight="1" x14ac:dyDescent="0.3">
      <c r="A19" s="196" t="s">
        <v>224</v>
      </c>
      <c r="B19" s="199"/>
      <c r="C19" s="199"/>
      <c r="D19" s="199"/>
      <c r="E19" s="230" t="s">
        <v>248</v>
      </c>
      <c r="F19" s="231" t="s">
        <v>249</v>
      </c>
      <c r="G19" s="232" t="s">
        <v>229</v>
      </c>
      <c r="H19" s="233" t="s">
        <v>233</v>
      </c>
      <c r="I19" s="209"/>
      <c r="J19" s="234" t="s">
        <v>250</v>
      </c>
      <c r="K19" s="235" t="s">
        <v>251</v>
      </c>
      <c r="L19" s="236" t="s">
        <v>229</v>
      </c>
      <c r="M19" s="237" t="s">
        <v>233</v>
      </c>
      <c r="N19" s="209"/>
      <c r="O19" s="238" t="s">
        <v>252</v>
      </c>
      <c r="P19" s="239" t="s">
        <v>253</v>
      </c>
      <c r="Q19" s="240" t="s">
        <v>229</v>
      </c>
    </row>
    <row r="20" spans="1:17" ht="11.25" customHeight="1" x14ac:dyDescent="0.3">
      <c r="A20" s="213" t="s">
        <v>236</v>
      </c>
      <c r="B20" s="199"/>
      <c r="C20" s="199"/>
      <c r="D20" s="199"/>
      <c r="E20" s="241">
        <f>SUM('Proposed Budget'!$D$14:$D$31)</f>
        <v>5200</v>
      </c>
      <c r="F20" s="242">
        <f>SUM('Monthly Breakdown'!I14:I31)</f>
        <v>4819.04</v>
      </c>
      <c r="G20" s="243">
        <f t="shared" ref="G20:G31" si="22">E20-F20</f>
        <v>380.96000000000004</v>
      </c>
      <c r="H20" s="244">
        <f t="shared" ref="H20:H31" si="23">((F20-E20)/E20)</f>
        <v>-7.3261538461538475E-2</v>
      </c>
      <c r="I20" s="209"/>
      <c r="J20" s="245">
        <f>SUM('Proposed Budget'!$D$5:$D$12)</f>
        <v>5800</v>
      </c>
      <c r="K20" s="246">
        <f>SUM('Monthly Breakdown'!I5:I12)</f>
        <v>5575.68</v>
      </c>
      <c r="L20" s="247">
        <f t="shared" ref="L20:L31" si="24">J20-K20</f>
        <v>224.31999999999971</v>
      </c>
      <c r="M20" s="248">
        <f t="shared" ref="M20:M31" si="25">((K20-J20)/J20)</f>
        <v>-3.8675862068965464E-2</v>
      </c>
      <c r="N20" s="209"/>
      <c r="O20" s="249">
        <f>SUM('Proposed Budget'!$D$33:$D$43)</f>
        <v>2000</v>
      </c>
      <c r="P20" s="250">
        <f>SUM('Monthly Breakdown'!I33:I43)</f>
        <v>2000</v>
      </c>
      <c r="Q20" s="251">
        <f t="shared" ref="Q20:Q31" si="26">O20-P20</f>
        <v>0</v>
      </c>
    </row>
    <row r="21" spans="1:17" ht="11.25" customHeight="1" x14ac:dyDescent="0.3">
      <c r="A21" s="213" t="s">
        <v>237</v>
      </c>
      <c r="B21" s="199"/>
      <c r="C21" s="199"/>
      <c r="D21" s="199"/>
      <c r="E21" s="241">
        <f>SUM('Proposed Budget'!$D$14:$D$31)</f>
        <v>5200</v>
      </c>
      <c r="F21" s="242">
        <f>SUM('Monthly Breakdown'!K14:K31)</f>
        <v>4930.4799999999996</v>
      </c>
      <c r="G21" s="243">
        <f t="shared" si="22"/>
        <v>269.52000000000044</v>
      </c>
      <c r="H21" s="244">
        <f t="shared" si="23"/>
        <v>-5.1830769230769312E-2</v>
      </c>
      <c r="I21" s="209"/>
      <c r="J21" s="245">
        <f>SUM('Proposed Budget'!$D$5:$D$12)</f>
        <v>5800</v>
      </c>
      <c r="K21" s="246">
        <f>SUM('Monthly Breakdown'!K5:K12)</f>
        <v>5870.2300000000005</v>
      </c>
      <c r="L21" s="247">
        <f t="shared" si="24"/>
        <v>-70.230000000000473</v>
      </c>
      <c r="M21" s="248">
        <f t="shared" si="25"/>
        <v>1.2108620689655254E-2</v>
      </c>
      <c r="N21" s="209"/>
      <c r="O21" s="249">
        <f>SUM('Proposed Budget'!$D$33:$D$43)</f>
        <v>2000</v>
      </c>
      <c r="P21" s="250">
        <f>SUM('Monthly Breakdown'!K33:K43)</f>
        <v>2000</v>
      </c>
      <c r="Q21" s="251">
        <f t="shared" si="26"/>
        <v>0</v>
      </c>
    </row>
    <row r="22" spans="1:17" ht="11.25" customHeight="1" x14ac:dyDescent="0.3">
      <c r="A22" s="213" t="s">
        <v>238</v>
      </c>
      <c r="B22" s="199"/>
      <c r="C22" s="199"/>
      <c r="D22" s="199"/>
      <c r="E22" s="241">
        <f>SUM('Proposed Budget'!$D$14:$D$31)</f>
        <v>5200</v>
      </c>
      <c r="F22" s="242">
        <f>SUM('Monthly Breakdown'!M14:M31)</f>
        <v>5444.89</v>
      </c>
      <c r="G22" s="243">
        <f t="shared" si="22"/>
        <v>-244.89000000000033</v>
      </c>
      <c r="H22" s="244">
        <f t="shared" si="23"/>
        <v>4.7094230769230833E-2</v>
      </c>
      <c r="I22" s="209"/>
      <c r="J22" s="245">
        <f>SUM('Proposed Budget'!$D$5:$D$12)</f>
        <v>5800</v>
      </c>
      <c r="K22" s="246">
        <f>SUM('Monthly Breakdown'!M5:M12)</f>
        <v>5166.82</v>
      </c>
      <c r="L22" s="247">
        <f t="shared" si="24"/>
        <v>633.18000000000029</v>
      </c>
      <c r="M22" s="248">
        <f t="shared" si="25"/>
        <v>-0.10916896551724142</v>
      </c>
      <c r="N22" s="209"/>
      <c r="O22" s="249">
        <f>SUM('Proposed Budget'!$D$33:$D$43)</f>
        <v>2000</v>
      </c>
      <c r="P22" s="250">
        <f>SUM('Monthly Breakdown'!M33:M43)</f>
        <v>2000</v>
      </c>
      <c r="Q22" s="251">
        <f t="shared" si="26"/>
        <v>0</v>
      </c>
    </row>
    <row r="23" spans="1:17" ht="11.25" customHeight="1" x14ac:dyDescent="0.3">
      <c r="A23" s="213" t="s">
        <v>239</v>
      </c>
      <c r="B23" s="199"/>
      <c r="C23" s="199"/>
      <c r="D23" s="199"/>
      <c r="E23" s="241">
        <f>SUM('Proposed Budget'!$D$14:$D$31)</f>
        <v>5200</v>
      </c>
      <c r="F23" s="242">
        <f>SUM('Monthly Breakdown'!O14:O31)</f>
        <v>4511.1900000000005</v>
      </c>
      <c r="G23" s="243">
        <f t="shared" si="22"/>
        <v>688.80999999999949</v>
      </c>
      <c r="H23" s="244">
        <f t="shared" si="23"/>
        <v>-0.13246346153846145</v>
      </c>
      <c r="I23" s="209"/>
      <c r="J23" s="245">
        <f>SUM('Proposed Budget'!$D$5:$D$12)</f>
        <v>5800</v>
      </c>
      <c r="K23" s="246">
        <f>SUM('Monthly Breakdown'!O5:O12)</f>
        <v>6697.66</v>
      </c>
      <c r="L23" s="247">
        <f t="shared" si="24"/>
        <v>-897.65999999999985</v>
      </c>
      <c r="M23" s="248">
        <f t="shared" si="25"/>
        <v>0.15476896551724134</v>
      </c>
      <c r="N23" s="209"/>
      <c r="O23" s="249">
        <f>SUM('Proposed Budget'!$D$33:$D$43)</f>
        <v>2000</v>
      </c>
      <c r="P23" s="250">
        <f>SUM('Monthly Breakdown'!O33:O43)</f>
        <v>2000</v>
      </c>
      <c r="Q23" s="251">
        <f t="shared" si="26"/>
        <v>0</v>
      </c>
    </row>
    <row r="24" spans="1:17" ht="11.25" customHeight="1" x14ac:dyDescent="0.3">
      <c r="A24" s="213" t="s">
        <v>240</v>
      </c>
      <c r="B24" s="199"/>
      <c r="C24" s="199"/>
      <c r="D24" s="199"/>
      <c r="E24" s="241">
        <f>SUM('Proposed Budget'!$D$14:$D$31)</f>
        <v>5200</v>
      </c>
      <c r="F24" s="242">
        <f>SUM('Monthly Breakdown'!Q14:Q31)</f>
        <v>2244.0400000000004</v>
      </c>
      <c r="G24" s="243">
        <f t="shared" si="22"/>
        <v>2955.9599999999996</v>
      </c>
      <c r="H24" s="244">
        <f t="shared" si="23"/>
        <v>-0.56845384615384609</v>
      </c>
      <c r="I24" s="209"/>
      <c r="J24" s="245">
        <f>SUM('Proposed Budget'!$D$5:$D$12)</f>
        <v>5800</v>
      </c>
      <c r="K24" s="246">
        <f>SUM('Monthly Breakdown'!Q5:Q12)</f>
        <v>2217.5400000000004</v>
      </c>
      <c r="L24" s="247">
        <f t="shared" si="24"/>
        <v>3582.4599999999996</v>
      </c>
      <c r="M24" s="248">
        <f t="shared" si="25"/>
        <v>-0.61766551724137919</v>
      </c>
      <c r="N24" s="209"/>
      <c r="O24" s="249">
        <f>SUM('Proposed Budget'!$D$33:$D$43)</f>
        <v>2000</v>
      </c>
      <c r="P24" s="250">
        <f>SUM('Monthly Breakdown'!Q33:Q43)</f>
        <v>0</v>
      </c>
      <c r="Q24" s="251">
        <f t="shared" si="26"/>
        <v>2000</v>
      </c>
    </row>
    <row r="25" spans="1:17" ht="11.25" customHeight="1" x14ac:dyDescent="0.3">
      <c r="A25" s="213" t="s">
        <v>241</v>
      </c>
      <c r="B25" s="199"/>
      <c r="C25" s="199"/>
      <c r="D25" s="199"/>
      <c r="E25" s="241">
        <f>SUM('Proposed Budget'!$D$14:$D$31)</f>
        <v>5200</v>
      </c>
      <c r="F25" s="242">
        <f>SUM('Monthly Breakdown'!S14:S31)</f>
        <v>0</v>
      </c>
      <c r="G25" s="243">
        <f t="shared" si="22"/>
        <v>5200</v>
      </c>
      <c r="H25" s="244">
        <f t="shared" si="23"/>
        <v>-1</v>
      </c>
      <c r="I25" s="209"/>
      <c r="J25" s="245">
        <f>SUM('Proposed Budget'!$D$5:$D$12)</f>
        <v>5800</v>
      </c>
      <c r="K25" s="246">
        <f>SUM('Monthly Breakdown'!S5:S12)</f>
        <v>0</v>
      </c>
      <c r="L25" s="247">
        <f t="shared" si="24"/>
        <v>5800</v>
      </c>
      <c r="M25" s="248">
        <f t="shared" si="25"/>
        <v>-1</v>
      </c>
      <c r="N25" s="209"/>
      <c r="O25" s="249">
        <f>SUM('Proposed Budget'!$D$33:$D$43)</f>
        <v>2000</v>
      </c>
      <c r="P25" s="250">
        <f>SUM('Monthly Breakdown'!S33:S43)</f>
        <v>0</v>
      </c>
      <c r="Q25" s="251">
        <f t="shared" si="26"/>
        <v>2000</v>
      </c>
    </row>
    <row r="26" spans="1:17" ht="11.25" customHeight="1" x14ac:dyDescent="0.3">
      <c r="A26" s="213" t="s">
        <v>242</v>
      </c>
      <c r="B26" s="199"/>
      <c r="C26" s="199"/>
      <c r="D26" s="199"/>
      <c r="E26" s="241">
        <f>SUM('Proposed Budget'!$D$14:$D$31)</f>
        <v>5200</v>
      </c>
      <c r="F26" s="242">
        <f>SUM('Monthly Breakdown'!U14:U31)</f>
        <v>0</v>
      </c>
      <c r="G26" s="243">
        <f t="shared" si="22"/>
        <v>5200</v>
      </c>
      <c r="H26" s="244">
        <f t="shared" si="23"/>
        <v>-1</v>
      </c>
      <c r="I26" s="209"/>
      <c r="J26" s="245">
        <f>SUM('Proposed Budget'!$D$5:$D$12)</f>
        <v>5800</v>
      </c>
      <c r="K26" s="246">
        <f>SUM('Monthly Breakdown'!U5:U12)</f>
        <v>0</v>
      </c>
      <c r="L26" s="247">
        <f t="shared" si="24"/>
        <v>5800</v>
      </c>
      <c r="M26" s="248">
        <f t="shared" si="25"/>
        <v>-1</v>
      </c>
      <c r="N26" s="209"/>
      <c r="O26" s="249">
        <f>SUM('Proposed Budget'!$D$33:$D$43)</f>
        <v>2000</v>
      </c>
      <c r="P26" s="250">
        <f>SUM('Monthly Breakdown'!U33:U43)</f>
        <v>0</v>
      </c>
      <c r="Q26" s="251">
        <f t="shared" si="26"/>
        <v>2000</v>
      </c>
    </row>
    <row r="27" spans="1:17" ht="11.25" customHeight="1" x14ac:dyDescent="0.3">
      <c r="A27" s="213" t="s">
        <v>243</v>
      </c>
      <c r="B27" s="199"/>
      <c r="C27" s="199"/>
      <c r="D27" s="199"/>
      <c r="E27" s="241">
        <f>SUM('Proposed Budget'!$D$14:$D$31)</f>
        <v>5200</v>
      </c>
      <c r="F27" s="242">
        <f>SUM('Monthly Breakdown'!W14:W31)</f>
        <v>0</v>
      </c>
      <c r="G27" s="243">
        <f t="shared" si="22"/>
        <v>5200</v>
      </c>
      <c r="H27" s="244">
        <f t="shared" si="23"/>
        <v>-1</v>
      </c>
      <c r="I27" s="209"/>
      <c r="J27" s="245">
        <f>SUM('Proposed Budget'!$D$5:$D$12)</f>
        <v>5800</v>
      </c>
      <c r="K27" s="246">
        <f>SUM('Monthly Breakdown'!W5:W12)</f>
        <v>0</v>
      </c>
      <c r="L27" s="247">
        <f t="shared" si="24"/>
        <v>5800</v>
      </c>
      <c r="M27" s="248">
        <f t="shared" si="25"/>
        <v>-1</v>
      </c>
      <c r="N27" s="209"/>
      <c r="O27" s="249">
        <f>SUM('Proposed Budget'!$D$33:$D$43)</f>
        <v>2000</v>
      </c>
      <c r="P27" s="250">
        <f>SUM('Monthly Breakdown'!W33:W43)</f>
        <v>0</v>
      </c>
      <c r="Q27" s="251">
        <f t="shared" si="26"/>
        <v>2000</v>
      </c>
    </row>
    <row r="28" spans="1:17" ht="11.25" customHeight="1" x14ac:dyDescent="0.3">
      <c r="A28" s="227" t="s">
        <v>244</v>
      </c>
      <c r="B28" s="199"/>
      <c r="C28" s="199"/>
      <c r="D28" s="199"/>
      <c r="E28" s="241">
        <f>SUM('Proposed Budget'!$D$14:$D$31)</f>
        <v>5200</v>
      </c>
      <c r="F28" s="242">
        <f>SUM('Monthly Breakdown'!Y14:Y31)</f>
        <v>0</v>
      </c>
      <c r="G28" s="243">
        <f t="shared" si="22"/>
        <v>5200</v>
      </c>
      <c r="H28" s="244">
        <f t="shared" si="23"/>
        <v>-1</v>
      </c>
      <c r="I28" s="209"/>
      <c r="J28" s="245">
        <f>SUM('Proposed Budget'!$D$5:$D$12)</f>
        <v>5800</v>
      </c>
      <c r="K28" s="246">
        <f>SUM('Monthly Breakdown'!Y5:Y12)</f>
        <v>0</v>
      </c>
      <c r="L28" s="247">
        <f t="shared" si="24"/>
        <v>5800</v>
      </c>
      <c r="M28" s="248">
        <f t="shared" si="25"/>
        <v>-1</v>
      </c>
      <c r="N28" s="209"/>
      <c r="O28" s="249">
        <f>SUM('Proposed Budget'!$D$33:$D$43)</f>
        <v>2000</v>
      </c>
      <c r="P28" s="250">
        <f>SUM('Monthly Breakdown'!Y33:Y43)</f>
        <v>0</v>
      </c>
      <c r="Q28" s="251">
        <f t="shared" si="26"/>
        <v>2000</v>
      </c>
    </row>
    <row r="29" spans="1:17" ht="11.25" customHeight="1" x14ac:dyDescent="0.3">
      <c r="A29" s="227" t="s">
        <v>245</v>
      </c>
      <c r="B29" s="199"/>
      <c r="C29" s="199"/>
      <c r="D29" s="199"/>
      <c r="E29" s="241">
        <f>SUM('Proposed Budget'!$D$14:$D$31)</f>
        <v>5200</v>
      </c>
      <c r="F29" s="242">
        <f>SUM('Monthly Breakdown'!AA14:AA31)</f>
        <v>0</v>
      </c>
      <c r="G29" s="243">
        <f t="shared" si="22"/>
        <v>5200</v>
      </c>
      <c r="H29" s="244">
        <f t="shared" si="23"/>
        <v>-1</v>
      </c>
      <c r="I29" s="209"/>
      <c r="J29" s="245">
        <f>SUM('Proposed Budget'!$D$5:$D$12)</f>
        <v>5800</v>
      </c>
      <c r="K29" s="246">
        <f>SUM('Monthly Breakdown'!AA5:AA12)</f>
        <v>0</v>
      </c>
      <c r="L29" s="247">
        <f t="shared" si="24"/>
        <v>5800</v>
      </c>
      <c r="M29" s="248">
        <f t="shared" si="25"/>
        <v>-1</v>
      </c>
      <c r="N29" s="209"/>
      <c r="O29" s="249">
        <f>SUM('Proposed Budget'!$D$33:$D$43)</f>
        <v>2000</v>
      </c>
      <c r="P29" s="250">
        <f>SUM('Monthly Breakdown'!AA33:AA43)</f>
        <v>0</v>
      </c>
      <c r="Q29" s="251">
        <f t="shared" si="26"/>
        <v>2000</v>
      </c>
    </row>
    <row r="30" spans="1:17" ht="11.25" customHeight="1" x14ac:dyDescent="0.3">
      <c r="A30" s="227" t="s">
        <v>246</v>
      </c>
      <c r="B30" s="199"/>
      <c r="C30" s="199"/>
      <c r="D30" s="199"/>
      <c r="E30" s="241">
        <f>SUM('Proposed Budget'!$D$14:$D$31)</f>
        <v>5200</v>
      </c>
      <c r="F30" s="242">
        <f>SUM('Monthly Breakdown'!AC14:AC31)</f>
        <v>0</v>
      </c>
      <c r="G30" s="243">
        <f t="shared" si="22"/>
        <v>5200</v>
      </c>
      <c r="H30" s="244">
        <f t="shared" si="23"/>
        <v>-1</v>
      </c>
      <c r="I30" s="209"/>
      <c r="J30" s="245">
        <f>SUM('Proposed Budget'!$D$5:$D$12)</f>
        <v>5800</v>
      </c>
      <c r="K30" s="246">
        <f>SUM('Monthly Breakdown'!AC5:AC12)</f>
        <v>0</v>
      </c>
      <c r="L30" s="247">
        <f t="shared" si="24"/>
        <v>5800</v>
      </c>
      <c r="M30" s="248">
        <f t="shared" si="25"/>
        <v>-1</v>
      </c>
      <c r="N30" s="209"/>
      <c r="O30" s="249">
        <f>SUM('Proposed Budget'!$D$33:$D$43)</f>
        <v>2000</v>
      </c>
      <c r="P30" s="250">
        <f>SUM('Monthly Breakdown'!AC33:AC43)</f>
        <v>0</v>
      </c>
      <c r="Q30" s="251">
        <f t="shared" si="26"/>
        <v>2000</v>
      </c>
    </row>
    <row r="31" spans="1:17" ht="11.25" customHeight="1" x14ac:dyDescent="0.3">
      <c r="A31" s="227" t="s">
        <v>247</v>
      </c>
      <c r="B31" s="199"/>
      <c r="C31" s="199"/>
      <c r="D31" s="199"/>
      <c r="E31" s="241">
        <f>SUM('Proposed Budget'!$D$14:$D$31)</f>
        <v>5200</v>
      </c>
      <c r="F31" s="242">
        <f>SUM('Monthly Breakdown'!AE14:AE31)</f>
        <v>0</v>
      </c>
      <c r="G31" s="243">
        <f t="shared" si="22"/>
        <v>5200</v>
      </c>
      <c r="H31" s="244">
        <f t="shared" si="23"/>
        <v>-1</v>
      </c>
      <c r="I31" s="209"/>
      <c r="J31" s="245">
        <f>SUM('Proposed Budget'!$D$5:$D$12)</f>
        <v>5800</v>
      </c>
      <c r="K31" s="246">
        <f>SUM('Monthly Breakdown'!AE5:AE12)</f>
        <v>0</v>
      </c>
      <c r="L31" s="247">
        <f t="shared" si="24"/>
        <v>5800</v>
      </c>
      <c r="M31" s="248">
        <f t="shared" si="25"/>
        <v>-1</v>
      </c>
      <c r="N31" s="209"/>
      <c r="O31" s="249">
        <f>SUM('Proposed Budget'!$D$33:$D$43)</f>
        <v>2000</v>
      </c>
      <c r="P31" s="250">
        <f>SUM('Monthly Breakdown'!AE33:AE43)</f>
        <v>0</v>
      </c>
      <c r="Q31" s="251">
        <f t="shared" si="26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28" t="s">
        <v>68</v>
      </c>
      <c r="B34" s="199"/>
      <c r="C34" s="199"/>
      <c r="D34" s="199"/>
      <c r="E34" s="241">
        <f t="shared" ref="E34:G34" si="27">SUM(E20:E23)</f>
        <v>20800</v>
      </c>
      <c r="F34" s="241">
        <f t="shared" si="27"/>
        <v>19705.599999999999</v>
      </c>
      <c r="G34" s="241">
        <f t="shared" si="27"/>
        <v>1094.3999999999996</v>
      </c>
      <c r="H34" s="244">
        <f>((F34-SUM(E34)))/SUM(E34)</f>
        <v>-5.2615384615384689E-2</v>
      </c>
      <c r="I34" s="209"/>
      <c r="J34" s="245">
        <f t="shared" ref="J34:L34" si="28">SUM(J20:J23)</f>
        <v>23200</v>
      </c>
      <c r="K34" s="245">
        <f t="shared" si="28"/>
        <v>23310.39</v>
      </c>
      <c r="L34" s="245">
        <f t="shared" si="28"/>
        <v>-110.39000000000033</v>
      </c>
      <c r="M34" s="248">
        <f>((K34-SUM(J34))/SUM(J34))</f>
        <v>4.7581896551723889E-3</v>
      </c>
      <c r="N34" s="209"/>
      <c r="O34" s="249">
        <f t="shared" ref="O34:Q34" si="29">SUM(O20:O31)</f>
        <v>24000</v>
      </c>
      <c r="P34" s="249">
        <f t="shared" si="29"/>
        <v>8000</v>
      </c>
      <c r="Q34" s="249">
        <f t="shared" si="29"/>
        <v>16000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I1" activePane="topRight" state="frozen"/>
      <selection pane="topRight" activeCell="R2" sqref="R2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7.6640625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52"/>
      <c r="B1" s="253"/>
      <c r="C1" s="254"/>
      <c r="D1" s="255" t="s">
        <v>254</v>
      </c>
      <c r="E1" s="256" t="s">
        <v>68</v>
      </c>
      <c r="F1" s="256" t="s">
        <v>68</v>
      </c>
      <c r="G1" s="257" t="s">
        <v>255</v>
      </c>
      <c r="H1" s="256" t="s">
        <v>254</v>
      </c>
      <c r="I1" s="258">
        <v>46023</v>
      </c>
      <c r="J1" s="258">
        <v>46053</v>
      </c>
      <c r="K1" s="259">
        <v>46054</v>
      </c>
      <c r="L1" s="259">
        <v>46081</v>
      </c>
      <c r="M1" s="260">
        <v>46082</v>
      </c>
      <c r="N1" s="260">
        <v>46112</v>
      </c>
      <c r="O1" s="261">
        <v>46113</v>
      </c>
      <c r="P1" s="261">
        <v>46142</v>
      </c>
      <c r="Q1" s="258">
        <v>46143</v>
      </c>
      <c r="R1" s="258">
        <v>46173</v>
      </c>
      <c r="S1" s="259">
        <v>45809</v>
      </c>
      <c r="T1" s="259">
        <v>45838</v>
      </c>
      <c r="U1" s="260">
        <v>45839</v>
      </c>
      <c r="V1" s="260">
        <v>45869</v>
      </c>
      <c r="W1" s="261">
        <v>45870</v>
      </c>
      <c r="X1" s="261">
        <v>45900</v>
      </c>
      <c r="Y1" s="262">
        <v>45901</v>
      </c>
      <c r="Z1" s="262">
        <v>45930</v>
      </c>
      <c r="AA1" s="263">
        <v>45931</v>
      </c>
      <c r="AB1" s="263">
        <v>45961</v>
      </c>
      <c r="AC1" s="264">
        <v>45962</v>
      </c>
      <c r="AD1" s="264">
        <v>45991</v>
      </c>
      <c r="AE1" s="265">
        <v>45627</v>
      </c>
      <c r="AF1" s="265">
        <v>45657</v>
      </c>
    </row>
    <row r="2" spans="1:32" ht="11.25" customHeight="1" x14ac:dyDescent="0.3">
      <c r="A2" s="266"/>
      <c r="B2" s="266"/>
      <c r="C2" s="267"/>
      <c r="D2" s="268" t="s">
        <v>256</v>
      </c>
      <c r="E2" s="256" t="s">
        <v>257</v>
      </c>
      <c r="F2" s="256" t="s">
        <v>258</v>
      </c>
      <c r="G2" s="257" t="s">
        <v>259</v>
      </c>
      <c r="H2" s="256" t="s">
        <v>260</v>
      </c>
      <c r="I2" s="269" t="s">
        <v>257</v>
      </c>
      <c r="J2" s="269" t="s">
        <v>258</v>
      </c>
      <c r="K2" s="270" t="s">
        <v>257</v>
      </c>
      <c r="L2" s="270" t="s">
        <v>258</v>
      </c>
      <c r="M2" s="271" t="s">
        <v>257</v>
      </c>
      <c r="N2" s="271" t="s">
        <v>258</v>
      </c>
      <c r="O2" s="272" t="s">
        <v>257</v>
      </c>
      <c r="P2" s="272"/>
      <c r="Q2" s="269" t="s">
        <v>257</v>
      </c>
      <c r="R2" s="269" t="s">
        <v>258</v>
      </c>
      <c r="S2" s="270" t="s">
        <v>257</v>
      </c>
      <c r="T2" s="270" t="s">
        <v>258</v>
      </c>
      <c r="U2" s="271" t="s">
        <v>257</v>
      </c>
      <c r="V2" s="271" t="s">
        <v>258</v>
      </c>
      <c r="W2" s="272" t="s">
        <v>257</v>
      </c>
      <c r="X2" s="272" t="s">
        <v>258</v>
      </c>
      <c r="Y2" s="273" t="s">
        <v>257</v>
      </c>
      <c r="Z2" s="273" t="s">
        <v>258</v>
      </c>
      <c r="AA2" s="274" t="s">
        <v>257</v>
      </c>
      <c r="AB2" s="274" t="s">
        <v>258</v>
      </c>
      <c r="AC2" s="275" t="s">
        <v>257</v>
      </c>
      <c r="AD2" s="275" t="s">
        <v>258</v>
      </c>
      <c r="AE2" s="276" t="s">
        <v>257</v>
      </c>
      <c r="AF2" s="276" t="s">
        <v>258</v>
      </c>
    </row>
    <row r="3" spans="1:32" ht="11.25" customHeight="1" x14ac:dyDescent="0.3">
      <c r="A3" s="551" t="s">
        <v>261</v>
      </c>
      <c r="B3" s="537"/>
      <c r="C3" s="277" t="s">
        <v>156</v>
      </c>
      <c r="D3" s="278"/>
      <c r="E3" s="279">
        <f t="shared" ref="E3:F3" si="0">SUM(E5:E46)</f>
        <v>72613.51999999999</v>
      </c>
      <c r="F3" s="279">
        <f t="shared" si="0"/>
        <v>166.79402063998816</v>
      </c>
      <c r="G3" s="280">
        <f>1-((E3/SUM(E3:F3)))</f>
        <v>2.2917463724145826E-3</v>
      </c>
      <c r="H3" s="279">
        <f>SUM(H5:H67)</f>
        <v>17067.183505159996</v>
      </c>
      <c r="I3" s="281">
        <f>SUM(I5:I46)</f>
        <v>15639.36</v>
      </c>
      <c r="J3" s="282"/>
      <c r="K3" s="243">
        <f>SUM(K5:K46)</f>
        <v>16615.620000000003</v>
      </c>
      <c r="L3" s="283"/>
      <c r="M3" s="284">
        <f>SUM(M5:M46)</f>
        <v>16971.29</v>
      </c>
      <c r="N3" s="285"/>
      <c r="O3" s="247">
        <f>SUM(O5:O46)</f>
        <v>18875.669999999998</v>
      </c>
      <c r="P3" s="286"/>
      <c r="Q3" s="281">
        <f>SUM(Q5:Q46)</f>
        <v>4511.58</v>
      </c>
      <c r="R3" s="282"/>
      <c r="S3" s="243">
        <f>SUM(S5:S46)</f>
        <v>0</v>
      </c>
      <c r="T3" s="283"/>
      <c r="U3" s="284">
        <f>SUM(U5:U46)</f>
        <v>0</v>
      </c>
      <c r="V3" s="285"/>
      <c r="W3" s="247">
        <f>SUM(W5:W46)</f>
        <v>0</v>
      </c>
      <c r="X3" s="286"/>
      <c r="Y3" s="287">
        <f>SUM(Y5:Y46)</f>
        <v>0</v>
      </c>
      <c r="Z3" s="288"/>
      <c r="AA3" s="289">
        <f>SUM(AA5:AA46)</f>
        <v>0</v>
      </c>
      <c r="AB3" s="290"/>
      <c r="AC3" s="291">
        <f>SUM(AC5:AC46)</f>
        <v>0</v>
      </c>
      <c r="AD3" s="292"/>
      <c r="AE3" s="293">
        <f>SUM(AE5:AE46)</f>
        <v>0</v>
      </c>
      <c r="AF3" s="294"/>
    </row>
    <row r="4" spans="1:32" ht="11.25" customHeight="1" x14ac:dyDescent="0.3">
      <c r="A4" s="551" t="s">
        <v>262</v>
      </c>
      <c r="B4" s="552"/>
      <c r="C4" s="537"/>
      <c r="D4" s="278"/>
      <c r="E4" s="295"/>
      <c r="F4" s="295"/>
      <c r="G4" s="296"/>
      <c r="H4" s="297"/>
      <c r="I4" s="282"/>
      <c r="J4" s="282"/>
      <c r="K4" s="283"/>
      <c r="L4" s="283"/>
      <c r="M4" s="285"/>
      <c r="N4" s="285"/>
      <c r="O4" s="286"/>
      <c r="P4" s="286"/>
      <c r="Q4" s="282"/>
      <c r="R4" s="282"/>
      <c r="S4" s="283"/>
      <c r="T4" s="283"/>
      <c r="U4" s="285"/>
      <c r="V4" s="285"/>
      <c r="W4" s="286"/>
      <c r="X4" s="286"/>
      <c r="Y4" s="288"/>
      <c r="Z4" s="288"/>
      <c r="AA4" s="290"/>
      <c r="AB4" s="290"/>
      <c r="AC4" s="292"/>
      <c r="AD4" s="292"/>
      <c r="AE4" s="294"/>
      <c r="AF4" s="294"/>
    </row>
    <row r="5" spans="1:32" ht="11.25" customHeight="1" x14ac:dyDescent="0.3">
      <c r="A5" s="295" t="str">
        <f>'Proposed Budget'!A5</f>
        <v>D</v>
      </c>
      <c r="B5" s="266">
        <f>'Proposed Budget'!B5</f>
        <v>1</v>
      </c>
      <c r="C5" s="298" t="str">
        <f>'Proposed Budget'!C5</f>
        <v>Groceries/Household</v>
      </c>
      <c r="D5" s="299">
        <f t="shared" ref="D5:D12" ca="1" si="1">(E5/(TODAY()-$I$1))*30.42</f>
        <v>1203.0902590909093</v>
      </c>
      <c r="E5" s="300">
        <f>I5+K5+M5+O5+Q5+S5+U5+W5+Y5+AA5+AC5+AE5</f>
        <v>5220.51</v>
      </c>
      <c r="F5" s="300">
        <f t="shared" ref="F5:F12" si="2">J5+L5+N5+P5</f>
        <v>95.529999999999973</v>
      </c>
      <c r="G5" s="280">
        <f t="shared" ref="G5:G12" si="3">1-((E5/SUM(E5:F5)))</f>
        <v>1.7970143189291243E-2</v>
      </c>
      <c r="H5" s="300">
        <f>'Proposed Budget'!D5</f>
        <v>1200</v>
      </c>
      <c r="I5" s="281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81">
        <f t="shared" ref="J5:J12" si="4">H5-I5</f>
        <v>132.44000000000005</v>
      </c>
      <c r="K5" s="243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43">
        <f t="shared" ref="L5:L12" si="5">H5-K5</f>
        <v>166.09999999999991</v>
      </c>
      <c r="M5" s="284">
        <f>SUMIFS('Checking Transaction Log'!$E:$E,'Checking Transaction Log'!$C:$C,"&gt;="&amp;M1,'Checking Transaction Log'!$C:$C,"&lt;="&amp;N1,'Checking Transaction Log'!$A:$A,"D",'Checking Transaction Log'!$B:$B,1)</f>
        <v>1318.18</v>
      </c>
      <c r="N5" s="284">
        <f t="shared" ref="N5:N12" si="6">H5-M5</f>
        <v>-118.18000000000006</v>
      </c>
      <c r="O5" s="247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47">
        <f t="shared" ref="P5:P12" si="7">H5-O5</f>
        <v>-84.829999999999927</v>
      </c>
      <c r="Q5" s="281">
        <f>SUMIFS('Checking Transaction Log'!$E:$E,'Checking Transaction Log'!$C:$C,"&gt;="&amp;Q1,'Checking Transaction Log'!$C:$C,"&lt;="&amp;R1,'Checking Transaction Log'!$A:$A,"D",'Checking Transaction Log'!$B:$B,1)</f>
        <v>516.04000000000008</v>
      </c>
      <c r="R5" s="281">
        <f t="shared" ref="R5:R12" si="8">H5-Q5</f>
        <v>683.95999999999992</v>
      </c>
      <c r="S5" s="243">
        <f>SUMIFS('Checking Transaction Log'!$E:$E,'Checking Transaction Log'!$C:$C,"&gt;="&amp;S1,'Checking Transaction Log'!$C:$C,"&lt;="&amp;T1,'Checking Transaction Log'!$A:$A,"D",'Checking Transaction Log'!$B:$B,1)</f>
        <v>0</v>
      </c>
      <c r="T5" s="243">
        <f t="shared" ref="T5:T12" si="9">H5-S5</f>
        <v>1200</v>
      </c>
      <c r="U5" s="284">
        <f>SUMIFS('Checking Transaction Log'!$E:$E,'Checking Transaction Log'!$C:$C,"&gt;="&amp;U1,'Checking Transaction Log'!$C:$C,"&lt;="&amp;V1,'Checking Transaction Log'!$A:$A,"D",'Checking Transaction Log'!$B:$B,1)</f>
        <v>0</v>
      </c>
      <c r="V5" s="284">
        <f t="shared" ref="V5:V12" si="10">H5-U5</f>
        <v>1200</v>
      </c>
      <c r="W5" s="247">
        <f>SUMIFS('Checking Transaction Log'!$E:$E,'Checking Transaction Log'!$C:$C,"&gt;="&amp;W1,'Checking Transaction Log'!$C:$C,"&lt;="&amp;X1,'Checking Transaction Log'!$A:$A,"D",'Checking Transaction Log'!$B:$B,1)</f>
        <v>0</v>
      </c>
      <c r="X5" s="247">
        <f t="shared" ref="X5:X12" si="11">H5-W5</f>
        <v>1200</v>
      </c>
      <c r="Y5" s="287">
        <f>SUMIFS('Checking Transaction Log'!$E:$E,'Checking Transaction Log'!$C:$C,"&gt;="&amp;Y1,'Checking Transaction Log'!$C:$C,"&lt;="&amp;Z1,'Checking Transaction Log'!$A:$A,"D",'Checking Transaction Log'!$B:$B,1)</f>
        <v>0</v>
      </c>
      <c r="Z5" s="287">
        <f t="shared" ref="Z5:Z12" si="12">H5-Y5</f>
        <v>1200</v>
      </c>
      <c r="AA5" s="289">
        <f>SUMIFS('Checking Transaction Log'!$E:$E,'Checking Transaction Log'!$C:$C,"&gt;="&amp;AA1,'Checking Transaction Log'!$C:$C,"&lt;="&amp;AB1,'Checking Transaction Log'!$A:$A,"D",'Checking Transaction Log'!$B:$B,1)</f>
        <v>0</v>
      </c>
      <c r="AB5" s="289">
        <f t="shared" ref="AB5:AB12" si="13">H5-AA5</f>
        <v>1200</v>
      </c>
      <c r="AC5" s="291">
        <f>SUMIFS('Checking Transaction Log'!$E:$E,'Checking Transaction Log'!$C:$C,"&gt;="&amp;AC1,'Checking Transaction Log'!$C:$C,"&lt;="&amp;AD1,'Checking Transaction Log'!$A:$A,"D",'Checking Transaction Log'!$B:$B,1)</f>
        <v>0</v>
      </c>
      <c r="AD5" s="291">
        <f t="shared" ref="AD5:AD12" si="14">H5-AC5</f>
        <v>1200</v>
      </c>
      <c r="AE5" s="293">
        <f>SUMIFS('Checking Transaction Log'!$E:$E,'Checking Transaction Log'!$C:$C,"&gt;="&amp;AE1,'Checking Transaction Log'!$C:$C,"&lt;="&amp;AF1,'Checking Transaction Log'!$A:$A,"D",'Checking Transaction Log'!$B:$B,1)</f>
        <v>0</v>
      </c>
      <c r="AF5" s="293">
        <f t="shared" ref="AF5:AF12" si="15">H5-AE5</f>
        <v>1200</v>
      </c>
    </row>
    <row r="6" spans="1:32" ht="11.25" customHeight="1" x14ac:dyDescent="0.3">
      <c r="A6" s="295" t="str">
        <f>'Proposed Budget'!A6</f>
        <v>D</v>
      </c>
      <c r="B6" s="266">
        <f>'Proposed Budget'!B6</f>
        <v>2</v>
      </c>
      <c r="C6" s="298" t="str">
        <f>'Proposed Budget'!C6</f>
        <v>Dining Out</v>
      </c>
      <c r="D6" s="299">
        <f t="shared" ca="1" si="1"/>
        <v>1094.4032863636362</v>
      </c>
      <c r="E6" s="300">
        <f t="shared" ref="E6:E12" si="16">Q6+S6+U6+W6+Y6+AA6+AC6+AE6+I6+K6+M6+O6</f>
        <v>4748.8899999999994</v>
      </c>
      <c r="F6" s="300">
        <f t="shared" si="2"/>
        <v>609.23000000000059</v>
      </c>
      <c r="G6" s="280">
        <f t="shared" si="3"/>
        <v>0.11370219405313808</v>
      </c>
      <c r="H6" s="300">
        <f>'Proposed Budget'!D6</f>
        <v>1200</v>
      </c>
      <c r="I6" s="281">
        <f>SUMIFS('Checking Transaction Log'!E:E,'Checking Transaction Log'!C:C,"&gt;="&amp;I1,'Checking Transaction Log'!C:C,"&lt;="&amp;J1,'Checking Transaction Log'!A:A,"D",'Checking Transaction Log'!B:B,2)</f>
        <v>1061.45</v>
      </c>
      <c r="J6" s="281">
        <f t="shared" si="4"/>
        <v>138.54999999999995</v>
      </c>
      <c r="K6" s="243">
        <f>SUMIFS('Checking Transaction Log'!E:E,'Checking Transaction Log'!C:C,"&gt;="&amp;K1,'Checking Transaction Log'!C:C,"&lt;="&amp;L1,'Checking Transaction Log'!A:A,"D",'Checking Transaction Log'!B:B,2)</f>
        <v>911.68</v>
      </c>
      <c r="L6" s="243">
        <f t="shared" si="5"/>
        <v>288.32000000000005</v>
      </c>
      <c r="M6" s="284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84">
        <f t="shared" si="6"/>
        <v>-33.459999999999582</v>
      </c>
      <c r="O6" s="247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47">
        <f t="shared" si="7"/>
        <v>215.82000000000016</v>
      </c>
      <c r="Q6" s="281">
        <f>SUMIFS('Checking Transaction Log'!$E:$E,'Checking Transaction Log'!$C:$C,"&gt;="&amp;Q1,'Checking Transaction Log'!$C:$C,"&lt;="&amp;R1,'Checking Transaction Log'!$A:$A,"D",'Checking Transaction Log'!$B:$B,2)</f>
        <v>558.12000000000012</v>
      </c>
      <c r="R6" s="281">
        <f t="shared" si="8"/>
        <v>641.87999999999988</v>
      </c>
      <c r="S6" s="243">
        <f>SUMIFS('Checking Transaction Log'!$E:$E,'Checking Transaction Log'!$C:$C,"&gt;="&amp;S1,'Checking Transaction Log'!$C:$C,"&lt;="&amp;T1,'Checking Transaction Log'!$A:$A,"D",'Checking Transaction Log'!$B:$B,2)</f>
        <v>0</v>
      </c>
      <c r="T6" s="243">
        <f t="shared" si="9"/>
        <v>1200</v>
      </c>
      <c r="U6" s="284">
        <f>SUMIFS('Checking Transaction Log'!$E:$E,'Checking Transaction Log'!$C:$C,"&gt;="&amp;U1,'Checking Transaction Log'!$C:$C,"&lt;="&amp;V1,'Checking Transaction Log'!$A:$A,"D",'Checking Transaction Log'!$B:$B,2)</f>
        <v>0</v>
      </c>
      <c r="V6" s="284">
        <f t="shared" si="10"/>
        <v>1200</v>
      </c>
      <c r="W6" s="247">
        <f>SUMIFS('Checking Transaction Log'!$E:$E,'Checking Transaction Log'!$C:$C,"&gt;="&amp;W1,'Checking Transaction Log'!$C:$C,"&lt;="&amp;X1,'Checking Transaction Log'!$A:$A,"D",'Checking Transaction Log'!$B:$B,2)</f>
        <v>0</v>
      </c>
      <c r="X6" s="247">
        <f t="shared" si="11"/>
        <v>1200</v>
      </c>
      <c r="Y6" s="287">
        <f>SUMIFS('Checking Transaction Log'!$E:$E,'Checking Transaction Log'!$C:$C,"&gt;="&amp;Y1,'Checking Transaction Log'!$C:$C,"&lt;="&amp;Z1,'Checking Transaction Log'!$A:$A,"D",'Checking Transaction Log'!$B:$B,2)</f>
        <v>0</v>
      </c>
      <c r="Z6" s="287">
        <f t="shared" si="12"/>
        <v>1200</v>
      </c>
      <c r="AA6" s="289">
        <f>SUMIFS('Checking Transaction Log'!$E:$E,'Checking Transaction Log'!$C:$C,"&gt;="&amp;AA1,'Checking Transaction Log'!$C:$C,"&lt;="&amp;AB1,'Checking Transaction Log'!$A:$A,"D",'Checking Transaction Log'!$B:$B,2)</f>
        <v>0</v>
      </c>
      <c r="AB6" s="289">
        <f t="shared" si="13"/>
        <v>1200</v>
      </c>
      <c r="AC6" s="291">
        <f>SUMIFS('Checking Transaction Log'!$E:$E,'Checking Transaction Log'!$C:$C,"&gt;="&amp;AC1,'Checking Transaction Log'!$C:$C,"&lt;="&amp;AD1,'Checking Transaction Log'!$A:$A,"D",'Checking Transaction Log'!$B:$B,2)</f>
        <v>0</v>
      </c>
      <c r="AD6" s="291">
        <f t="shared" si="14"/>
        <v>1200</v>
      </c>
      <c r="AE6" s="293">
        <f>SUMIFS('Checking Transaction Log'!$E:$E,'Checking Transaction Log'!$C:$C,"&gt;="&amp;AE1,'Checking Transaction Log'!$C:$C,"&lt;="&amp;AF1,'Checking Transaction Log'!$A:$A,"D",'Checking Transaction Log'!$B:$B,2)</f>
        <v>0</v>
      </c>
      <c r="AF6" s="293">
        <f t="shared" si="15"/>
        <v>1200</v>
      </c>
    </row>
    <row r="7" spans="1:32" ht="11.25" customHeight="1" x14ac:dyDescent="0.3">
      <c r="A7" s="295" t="str">
        <f>'Proposed Budget'!A7</f>
        <v>D</v>
      </c>
      <c r="B7" s="266">
        <f>'Proposed Budget'!B7</f>
        <v>3</v>
      </c>
      <c r="C7" s="298" t="str">
        <f>'Proposed Budget'!C7</f>
        <v>Misc Food</v>
      </c>
      <c r="D7" s="299">
        <f t="shared" ca="1" si="1"/>
        <v>135.54644999999999</v>
      </c>
      <c r="E7" s="300">
        <f t="shared" si="16"/>
        <v>588.16999999999996</v>
      </c>
      <c r="F7" s="300">
        <f t="shared" si="2"/>
        <v>99.54000000000002</v>
      </c>
      <c r="G7" s="280">
        <f t="shared" si="3"/>
        <v>0.1447412426749648</v>
      </c>
      <c r="H7" s="300">
        <f>'Proposed Budget'!D7</f>
        <v>150</v>
      </c>
      <c r="I7" s="281">
        <f>SUMIFS('Checking Transaction Log'!E:E,'Checking Transaction Log'!C:C,"&gt;="&amp;I1,'Checking Transaction Log'!C:C,"&lt;="&amp;J1,'Checking Transaction Log'!A:A,"D",'Checking Transaction Log'!B:B,3)</f>
        <v>144.51</v>
      </c>
      <c r="J7" s="281">
        <f t="shared" si="4"/>
        <v>5.4900000000000091</v>
      </c>
      <c r="K7" s="243">
        <f>SUMIFS('Checking Transaction Log'!E:E,'Checking Transaction Log'!C:C,"&gt;="&amp;K1,'Checking Transaction Log'!C:C,"&lt;="&amp;L1,'Checking Transaction Log'!A:A,"D",'Checking Transaction Log'!B:B,3)</f>
        <v>90.76</v>
      </c>
      <c r="L7" s="243">
        <f t="shared" si="5"/>
        <v>59.239999999999995</v>
      </c>
      <c r="M7" s="284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84">
        <f t="shared" si="6"/>
        <v>-23.53</v>
      </c>
      <c r="O7" s="247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47">
        <f t="shared" si="7"/>
        <v>58.340000000000018</v>
      </c>
      <c r="Q7" s="281">
        <f>SUMIFS('Checking Transaction Log'!$E:$E,'Checking Transaction Log'!$C:$C,"&gt;="&amp;Q1,'Checking Transaction Log'!$C:$C,"&lt;="&amp;R1,'Checking Transaction Log'!$A:$A,"D",'Checking Transaction Log'!$B:$B,3)</f>
        <v>87.710000000000008</v>
      </c>
      <c r="R7" s="281">
        <f t="shared" si="8"/>
        <v>62.289999999999992</v>
      </c>
      <c r="S7" s="243">
        <f>SUMIFS('Checking Transaction Log'!$E:$E,'Checking Transaction Log'!$C:$C,"&gt;="&amp;S1,'Checking Transaction Log'!$C:$C,"&lt;="&amp;T1,'Checking Transaction Log'!$A:$A,"D",'Checking Transaction Log'!$B:$B,3)</f>
        <v>0</v>
      </c>
      <c r="T7" s="243">
        <f t="shared" si="9"/>
        <v>150</v>
      </c>
      <c r="U7" s="284">
        <f>SUMIFS('Checking Transaction Log'!$E:$E,'Checking Transaction Log'!$C:$C,"&gt;="&amp;U1,'Checking Transaction Log'!$C:$C,"&lt;="&amp;V1,'Checking Transaction Log'!$A:$A,"D",'Checking Transaction Log'!$B:$B,3)</f>
        <v>0</v>
      </c>
      <c r="V7" s="284">
        <f t="shared" si="10"/>
        <v>150</v>
      </c>
      <c r="W7" s="247">
        <f>SUMIFS('Checking Transaction Log'!$E:$E,'Checking Transaction Log'!$C:$C,"&gt;="&amp;W1,'Checking Transaction Log'!$C:$C,"&lt;="&amp;X1,'Checking Transaction Log'!$A:$A,"D",'Checking Transaction Log'!$B:$B,3)</f>
        <v>0</v>
      </c>
      <c r="X7" s="247">
        <f t="shared" si="11"/>
        <v>150</v>
      </c>
      <c r="Y7" s="287">
        <f>SUMIFS('Checking Transaction Log'!$E:$E,'Checking Transaction Log'!$C:$C,"&gt;="&amp;Y1,'Checking Transaction Log'!$C:$C,"&lt;="&amp;Z1,'Checking Transaction Log'!$A:$A,"D",'Checking Transaction Log'!$B:$B,3)</f>
        <v>0</v>
      </c>
      <c r="Z7" s="287">
        <f t="shared" si="12"/>
        <v>150</v>
      </c>
      <c r="AA7" s="289">
        <f>SUMIFS('Checking Transaction Log'!$E:$E,'Checking Transaction Log'!$C:$C,"&gt;="&amp;AA1,'Checking Transaction Log'!$C:$C,"&lt;="&amp;AB1,'Checking Transaction Log'!$A:$A,"D",'Checking Transaction Log'!$B:$B,3)</f>
        <v>0</v>
      </c>
      <c r="AB7" s="289">
        <f t="shared" si="13"/>
        <v>150</v>
      </c>
      <c r="AC7" s="291">
        <f>SUMIFS('Checking Transaction Log'!$E:$E,'Checking Transaction Log'!$C:$C,"&gt;="&amp;AC1,'Checking Transaction Log'!$C:$C,"&lt;="&amp;AD1,'Checking Transaction Log'!$A:$A,"D",'Checking Transaction Log'!$B:$B,3)</f>
        <v>0</v>
      </c>
      <c r="AD7" s="291">
        <f t="shared" si="14"/>
        <v>150</v>
      </c>
      <c r="AE7" s="293">
        <f>SUMIFS('Checking Transaction Log'!$E:$E,'Checking Transaction Log'!$C:$C,"&gt;="&amp;AE1,'Checking Transaction Log'!$C:$C,"&lt;="&amp;AF1,'Checking Transaction Log'!$A:$A,"D",'Checking Transaction Log'!$B:$B,3)</f>
        <v>0</v>
      </c>
      <c r="AF7" s="293">
        <f t="shared" si="15"/>
        <v>150</v>
      </c>
    </row>
    <row r="8" spans="1:32" ht="11.25" customHeight="1" x14ac:dyDescent="0.3">
      <c r="A8" s="295" t="str">
        <f>'Proposed Budget'!A8</f>
        <v>D</v>
      </c>
      <c r="B8" s="266">
        <f>'Proposed Budget'!B8</f>
        <v>4</v>
      </c>
      <c r="C8" s="298" t="str">
        <f>'Proposed Budget'!C8</f>
        <v>Gasoline</v>
      </c>
      <c r="D8" s="299">
        <f t="shared" ca="1" si="1"/>
        <v>627.61069090909086</v>
      </c>
      <c r="E8" s="300">
        <f t="shared" si="16"/>
        <v>2723.3599999999997</v>
      </c>
      <c r="F8" s="300">
        <f t="shared" si="2"/>
        <v>-1.9300000000000637</v>
      </c>
      <c r="G8" s="280">
        <f t="shared" si="3"/>
        <v>-7.0918597943014916E-4</v>
      </c>
      <c r="H8" s="300">
        <f>'Proposed Budget'!D8</f>
        <v>600</v>
      </c>
      <c r="I8" s="281">
        <f>SUMIFS('Checking Transaction Log'!E:E,'Checking Transaction Log'!C:C,"&gt;="&amp;I1,'Checking Transaction Log'!C:C,"&lt;="&amp;J1,'Checking Transaction Log'!A:A,"D",'Checking Transaction Log'!B:B,4)</f>
        <v>561.41</v>
      </c>
      <c r="J8" s="281">
        <f t="shared" si="4"/>
        <v>38.590000000000032</v>
      </c>
      <c r="K8" s="243">
        <f>SUMIFS('Checking Transaction Log'!E:E,'Checking Transaction Log'!C:C,"&gt;="&amp;K1,'Checking Transaction Log'!C:C,"&lt;="&amp;L1,'Checking Transaction Log'!A:A,"D",'Checking Transaction Log'!B:B,4)</f>
        <v>710.78</v>
      </c>
      <c r="L8" s="243">
        <f t="shared" si="5"/>
        <v>-110.77999999999997</v>
      </c>
      <c r="M8" s="284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84">
        <f t="shared" si="6"/>
        <v>62.589999999999918</v>
      </c>
      <c r="O8" s="247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47">
        <f t="shared" si="7"/>
        <v>7.6699999999999591</v>
      </c>
      <c r="Q8" s="281">
        <f>SUMIFS('Checking Transaction Log'!$E:$E,'Checking Transaction Log'!$C:$C,"&gt;="&amp;Q1,'Checking Transaction Log'!$C:$C,"&lt;="&amp;R1,'Checking Transaction Log'!$A:$A,"D",'Checking Transaction Log'!$B:$B,4)</f>
        <v>321.43</v>
      </c>
      <c r="R8" s="281">
        <f t="shared" si="8"/>
        <v>278.57</v>
      </c>
      <c r="S8" s="243">
        <f>SUMIFS('Checking Transaction Log'!$E:$E,'Checking Transaction Log'!$C:$C,"&gt;="&amp;S1,'Checking Transaction Log'!$C:$C,"&lt;="&amp;T1,'Checking Transaction Log'!$A:$A,"D",'Checking Transaction Log'!$B:$B,4)</f>
        <v>0</v>
      </c>
      <c r="T8" s="243">
        <f t="shared" si="9"/>
        <v>600</v>
      </c>
      <c r="U8" s="284">
        <f>SUMIFS('Checking Transaction Log'!$E:$E,'Checking Transaction Log'!$C:$C,"&gt;="&amp;U1,'Checking Transaction Log'!$C:$C,"&lt;="&amp;V1,'Checking Transaction Log'!$A:$A,"D",'Checking Transaction Log'!$B:$B,4)</f>
        <v>0</v>
      </c>
      <c r="V8" s="284">
        <f t="shared" si="10"/>
        <v>600</v>
      </c>
      <c r="W8" s="247">
        <f>SUMIFS('Checking Transaction Log'!$E:$E,'Checking Transaction Log'!$C:$C,"&gt;="&amp;W1,'Checking Transaction Log'!$C:$C,"&lt;="&amp;X1,'Checking Transaction Log'!$A:$A,"D",'Checking Transaction Log'!$B:$B,4)</f>
        <v>0</v>
      </c>
      <c r="X8" s="247">
        <f t="shared" si="11"/>
        <v>600</v>
      </c>
      <c r="Y8" s="287">
        <f>SUMIFS('Checking Transaction Log'!$E:$E,'Checking Transaction Log'!$C:$C,"&gt;="&amp;Y1,'Checking Transaction Log'!$C:$C,"&lt;="&amp;Z1,'Checking Transaction Log'!$A:$A,"D",'Checking Transaction Log'!$B:$B,4)</f>
        <v>0</v>
      </c>
      <c r="Z8" s="287">
        <f t="shared" si="12"/>
        <v>600</v>
      </c>
      <c r="AA8" s="289">
        <f>SUMIFS('Checking Transaction Log'!$E:$E,'Checking Transaction Log'!$C:$C,"&gt;="&amp;AA1,'Checking Transaction Log'!$C:$C,"&lt;="&amp;AB1,'Checking Transaction Log'!$A:$A,"D",'Checking Transaction Log'!$B:$B,4)</f>
        <v>0</v>
      </c>
      <c r="AB8" s="289">
        <f t="shared" si="13"/>
        <v>600</v>
      </c>
      <c r="AC8" s="291">
        <f>SUMIFS('Checking Transaction Log'!$E:$E,'Checking Transaction Log'!$C:$C,"&gt;="&amp;AC1,'Checking Transaction Log'!$C:$C,"&lt;="&amp;AD1,'Checking Transaction Log'!$A:$A,"D",'Checking Transaction Log'!$B:$B,4)</f>
        <v>0</v>
      </c>
      <c r="AD8" s="291">
        <f t="shared" si="14"/>
        <v>600</v>
      </c>
      <c r="AE8" s="293">
        <f>SUMIFS('Checking Transaction Log'!$E:$E,'Checking Transaction Log'!$C:$C,"&gt;="&amp;AE1,'Checking Transaction Log'!$C:$C,"&lt;="&amp;AF1,'Checking Transaction Log'!$A:$A,"D",'Checking Transaction Log'!$B:$B,4)</f>
        <v>0</v>
      </c>
      <c r="AF8" s="293">
        <f t="shared" si="15"/>
        <v>600</v>
      </c>
    </row>
    <row r="9" spans="1:32" ht="11.25" customHeight="1" x14ac:dyDescent="0.3">
      <c r="A9" s="295" t="str">
        <f>'Proposed Budget'!A9</f>
        <v>D</v>
      </c>
      <c r="B9" s="266">
        <f>'Proposed Budget'!B9</f>
        <v>5</v>
      </c>
      <c r="C9" s="298" t="str">
        <f>'Proposed Budget'!C9</f>
        <v>Family Entertainment</v>
      </c>
      <c r="D9" s="299">
        <f t="shared" ca="1" si="1"/>
        <v>871.76806363636376</v>
      </c>
      <c r="E9" s="300">
        <f t="shared" si="16"/>
        <v>3782.82</v>
      </c>
      <c r="F9" s="300">
        <f t="shared" si="2"/>
        <v>-888.01</v>
      </c>
      <c r="G9" s="280">
        <f t="shared" si="3"/>
        <v>-0.30675933826399637</v>
      </c>
      <c r="H9" s="300">
        <f>'Proposed Budget'!D9</f>
        <v>700</v>
      </c>
      <c r="I9" s="281">
        <f>SUMIFS('Checking Transaction Log'!E:E,'Checking Transaction Log'!C:C,"&gt;="&amp;I1,'Checking Transaction Log'!C:C,"&lt;="&amp;J1,'Checking Transaction Log'!A:A,"D",'Checking Transaction Log'!B:B,5)</f>
        <v>717.1</v>
      </c>
      <c r="J9" s="281">
        <f t="shared" si="4"/>
        <v>-17.100000000000023</v>
      </c>
      <c r="K9" s="243">
        <f>SUMIFS('Checking Transaction Log'!E:E,'Checking Transaction Log'!C:C,"&gt;="&amp;K1,'Checking Transaction Log'!C:C,"&lt;="&amp;L1,'Checking Transaction Log'!A:A,"D",'Checking Transaction Log'!B:B,5)</f>
        <v>780.14</v>
      </c>
      <c r="L9" s="243">
        <f t="shared" si="5"/>
        <v>-80.139999999999986</v>
      </c>
      <c r="M9" s="284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84">
        <f t="shared" si="6"/>
        <v>183.21000000000004</v>
      </c>
      <c r="O9" s="247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47">
        <f t="shared" si="7"/>
        <v>-973.98</v>
      </c>
      <c r="Q9" s="281">
        <f>SUMIFS('Checking Transaction Log'!$E:$E,'Checking Transaction Log'!$C:$C,"&gt;="&amp;Q1,'Checking Transaction Log'!$C:$C,"&lt;="&amp;R1,'Checking Transaction Log'!$A:$A,"D",'Checking Transaction Log'!$B:$B,5)</f>
        <v>94.81</v>
      </c>
      <c r="R9" s="281">
        <f t="shared" si="8"/>
        <v>605.19000000000005</v>
      </c>
      <c r="S9" s="243">
        <f>SUMIFS('Checking Transaction Log'!$E:$E,'Checking Transaction Log'!$C:$C,"&gt;="&amp;S1,'Checking Transaction Log'!$C:$C,"&lt;="&amp;T1,'Checking Transaction Log'!$A:$A,"D",'Checking Transaction Log'!$B:$B,5)</f>
        <v>0</v>
      </c>
      <c r="T9" s="243">
        <f t="shared" si="9"/>
        <v>700</v>
      </c>
      <c r="U9" s="284">
        <f>SUMIFS('Checking Transaction Log'!$E:$E,'Checking Transaction Log'!$C:$C,"&gt;="&amp;U1,'Checking Transaction Log'!$C:$C,"&lt;="&amp;V1,'Checking Transaction Log'!$A:$A,"D",'Checking Transaction Log'!$B:$B,5)</f>
        <v>0</v>
      </c>
      <c r="V9" s="284">
        <f t="shared" si="10"/>
        <v>700</v>
      </c>
      <c r="W9" s="247">
        <f>SUMIFS('Checking Transaction Log'!$E:$E,'Checking Transaction Log'!$C:$C,"&gt;="&amp;W1,'Checking Transaction Log'!$C:$C,"&lt;="&amp;X1,'Checking Transaction Log'!$A:$A,"D",'Checking Transaction Log'!$B:$B,5)</f>
        <v>0</v>
      </c>
      <c r="X9" s="247">
        <f t="shared" si="11"/>
        <v>700</v>
      </c>
      <c r="Y9" s="287">
        <f>SUMIFS('Checking Transaction Log'!$E:$E,'Checking Transaction Log'!$C:$C,"&gt;="&amp;Y1,'Checking Transaction Log'!$C:$C,"&lt;="&amp;Z1,'Checking Transaction Log'!$A:$A,"D",'Checking Transaction Log'!$B:$B,5)</f>
        <v>0</v>
      </c>
      <c r="Z9" s="287">
        <f t="shared" si="12"/>
        <v>700</v>
      </c>
      <c r="AA9" s="289">
        <f>SUMIFS('Checking Transaction Log'!$E:$E,'Checking Transaction Log'!$C:$C,"&gt;="&amp;AA1,'Checking Transaction Log'!$C:$C,"&lt;="&amp;AB1,'Checking Transaction Log'!$A:$A,"D",'Checking Transaction Log'!$B:$B,5)</f>
        <v>0</v>
      </c>
      <c r="AB9" s="289">
        <f t="shared" si="13"/>
        <v>700</v>
      </c>
      <c r="AC9" s="291">
        <f>SUMIFS('Checking Transaction Log'!$E:$E,'Checking Transaction Log'!$C:$C,"&gt;="&amp;AC1,'Checking Transaction Log'!$C:$C,"&lt;="&amp;AD1,'Checking Transaction Log'!$A:$A,"D",'Checking Transaction Log'!$B:$B,5)</f>
        <v>0</v>
      </c>
      <c r="AD9" s="291">
        <f t="shared" si="14"/>
        <v>700</v>
      </c>
      <c r="AE9" s="293">
        <f>SUMIFS('Checking Transaction Log'!$E:$E,'Checking Transaction Log'!$C:$C,"&gt;="&amp;AE1,'Checking Transaction Log'!$C:$C,"&lt;="&amp;AF1,'Checking Transaction Log'!$A:$A,"D",'Checking Transaction Log'!$B:$B,5)</f>
        <v>0</v>
      </c>
      <c r="AF9" s="293">
        <f t="shared" si="15"/>
        <v>700</v>
      </c>
    </row>
    <row r="10" spans="1:32" ht="11.25" customHeight="1" x14ac:dyDescent="0.3">
      <c r="A10" s="295" t="str">
        <f>'Proposed Budget'!A10</f>
        <v>D</v>
      </c>
      <c r="B10" s="266">
        <f>'Proposed Budget'!B10</f>
        <v>6</v>
      </c>
      <c r="C10" s="298" t="str">
        <f>'Proposed Budget'!C10</f>
        <v>Miscellaneous Spending</v>
      </c>
      <c r="D10" s="299">
        <f t="shared" ca="1" si="1"/>
        <v>765.94103181818195</v>
      </c>
      <c r="E10" s="300">
        <f t="shared" si="16"/>
        <v>3323.6100000000006</v>
      </c>
      <c r="F10" s="300">
        <f t="shared" si="2"/>
        <v>520.62999999999977</v>
      </c>
      <c r="G10" s="280">
        <f t="shared" si="3"/>
        <v>0.13543119056042274</v>
      </c>
      <c r="H10" s="300">
        <f>'Proposed Budget'!D10</f>
        <v>900</v>
      </c>
      <c r="I10" s="281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81">
        <f t="shared" si="4"/>
        <v>185.87999999999988</v>
      </c>
      <c r="K10" s="243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43">
        <f t="shared" si="5"/>
        <v>206.92000000000007</v>
      </c>
      <c r="M10" s="284">
        <f>SUMIFS('Checking Transaction Log'!$E:$E,'Checking Transaction Log'!$C:$C,"&gt;="&amp;M1,'Checking Transaction Log'!$C:$C,"&lt;="&amp;N1,'Checking Transaction Log'!$A:$A,"D",'Checking Transaction Log'!$B:$B,6)</f>
        <v>525.38</v>
      </c>
      <c r="N10" s="284">
        <f t="shared" si="6"/>
        <v>374.62</v>
      </c>
      <c r="O10" s="247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47">
        <f t="shared" si="7"/>
        <v>-246.79000000000019</v>
      </c>
      <c r="Q10" s="281">
        <f>SUMIFS('Checking Transaction Log'!$E:$E,'Checking Transaction Log'!$C:$C,"&gt;="&amp;Q1,'Checking Transaction Log'!$C:$C,"&lt;="&amp;R1,'Checking Transaction Log'!$A:$A,"D",'Checking Transaction Log'!$B:$B,6)</f>
        <v>244.24</v>
      </c>
      <c r="R10" s="281">
        <f t="shared" si="8"/>
        <v>655.76</v>
      </c>
      <c r="S10" s="243">
        <f>SUMIFS('Checking Transaction Log'!$E:$E,'Checking Transaction Log'!$C:$C,"&gt;="&amp;S1,'Checking Transaction Log'!$C:$C,"&lt;="&amp;T1,'Checking Transaction Log'!$A:$A,"D",'Checking Transaction Log'!$B:$B,6)</f>
        <v>0</v>
      </c>
      <c r="T10" s="243">
        <f t="shared" si="9"/>
        <v>900</v>
      </c>
      <c r="U10" s="284">
        <f>SUMIFS('Checking Transaction Log'!$E:$E,'Checking Transaction Log'!$C:$C,"&gt;="&amp;U1,'Checking Transaction Log'!$C:$C,"&lt;="&amp;V1,'Checking Transaction Log'!$A:$A,"D",'Checking Transaction Log'!$B:$B,6)</f>
        <v>0</v>
      </c>
      <c r="V10" s="284">
        <f t="shared" si="10"/>
        <v>900</v>
      </c>
      <c r="W10" s="247">
        <f>SUMIFS('Checking Transaction Log'!$E:$E,'Checking Transaction Log'!$C:$C,"&gt;="&amp;W1,'Checking Transaction Log'!$C:$C,"&lt;="&amp;X1,'Checking Transaction Log'!$A:$A,"D",'Checking Transaction Log'!$B:$B,6)</f>
        <v>0</v>
      </c>
      <c r="X10" s="247">
        <f t="shared" si="11"/>
        <v>900</v>
      </c>
      <c r="Y10" s="287">
        <f>SUMIFS('Checking Transaction Log'!$E:$E,'Checking Transaction Log'!$C:$C,"&gt;="&amp;Y1,'Checking Transaction Log'!$C:$C,"&lt;="&amp;Z1,'Checking Transaction Log'!$A:$A,"D",'Checking Transaction Log'!$B:$B,6)</f>
        <v>0</v>
      </c>
      <c r="Z10" s="287">
        <f t="shared" si="12"/>
        <v>900</v>
      </c>
      <c r="AA10" s="289">
        <f>SUMIFS('Checking Transaction Log'!$E:$E,'Checking Transaction Log'!$C:$C,"&gt;="&amp;AA1,'Checking Transaction Log'!$C:$C,"&lt;="&amp;AB1,'Checking Transaction Log'!$A:$A,"D",'Checking Transaction Log'!$B:$B,6)</f>
        <v>0</v>
      </c>
      <c r="AB10" s="289">
        <f t="shared" si="13"/>
        <v>900</v>
      </c>
      <c r="AC10" s="291">
        <f>SUMIFS('Checking Transaction Log'!$E:$E,'Checking Transaction Log'!$C:$C,"&gt;="&amp;AC1,'Checking Transaction Log'!$C:$C,"&lt;="&amp;AD1,'Checking Transaction Log'!$A:$A,"D",'Checking Transaction Log'!$B:$B,6)</f>
        <v>0</v>
      </c>
      <c r="AD10" s="291">
        <f t="shared" si="14"/>
        <v>900</v>
      </c>
      <c r="AE10" s="293">
        <f>SUMIFS('Checking Transaction Log'!$E:$E,'Checking Transaction Log'!$C:$C,"&gt;="&amp;AE1,'Checking Transaction Log'!$C:$C,"&lt;="&amp;AF1,'Checking Transaction Log'!$A:$A,"D",'Checking Transaction Log'!$B:$B,6)</f>
        <v>0</v>
      </c>
      <c r="AF10" s="293">
        <f t="shared" si="15"/>
        <v>900</v>
      </c>
    </row>
    <row r="11" spans="1:32" ht="11.25" customHeight="1" x14ac:dyDescent="0.3">
      <c r="A11" s="295" t="str">
        <f>'Proposed Budget'!A11</f>
        <v>D</v>
      </c>
      <c r="B11" s="266">
        <f>'Proposed Budget'!B11</f>
        <v>7</v>
      </c>
      <c r="C11" s="298" t="str">
        <f>'Proposed Budget'!C11</f>
        <v>Department Stores/Clothes</v>
      </c>
      <c r="D11" s="299">
        <f t="shared" ca="1" si="1"/>
        <v>466.50452727272739</v>
      </c>
      <c r="E11" s="300">
        <f t="shared" si="16"/>
        <v>2024.2800000000002</v>
      </c>
      <c r="F11" s="300">
        <f t="shared" si="2"/>
        <v>-387.74999999999989</v>
      </c>
      <c r="G11" s="280">
        <f t="shared" si="3"/>
        <v>-0.23693424501842308</v>
      </c>
      <c r="H11" s="300">
        <f>'Proposed Budget'!D11</f>
        <v>350</v>
      </c>
      <c r="I11" s="281">
        <f>SUMIFS('Checking Transaction Log'!E:E,'Checking Transaction Log'!C:C,"&gt;="&amp;I1,'Checking Transaction Log'!C:C,"&lt;="&amp;J1,'Checking Transaction Log'!A:A,"D",'Checking Transaction Log'!B:B,7)</f>
        <v>626.04</v>
      </c>
      <c r="J11" s="281">
        <f t="shared" si="4"/>
        <v>-276.03999999999996</v>
      </c>
      <c r="K11" s="243">
        <f>SUMIFS('Checking Transaction Log'!E:E,'Checking Transaction Log'!C:C,"&gt;="&amp;K1,'Checking Transaction Log'!C:C,"&lt;="&amp;L1,'Checking Transaction Log'!A:A,"D",'Checking Transaction Log'!B:B,7)</f>
        <v>670.18</v>
      </c>
      <c r="L11" s="243">
        <f t="shared" si="5"/>
        <v>-320.17999999999995</v>
      </c>
      <c r="M11" s="284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84">
        <f t="shared" si="6"/>
        <v>128.35000000000002</v>
      </c>
      <c r="O11" s="247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47">
        <f t="shared" si="7"/>
        <v>80.12</v>
      </c>
      <c r="Q11" s="281">
        <f>SUMIFS('Checking Transaction Log'!$E:$E,'Checking Transaction Log'!$C:$C,"&gt;="&amp;Q1,'Checking Transaction Log'!$C:$C,"&lt;="&amp;R1,'Checking Transaction Log'!$A:$A,"D",'Checking Transaction Log'!$B:$B,7)</f>
        <v>236.53</v>
      </c>
      <c r="R11" s="281">
        <f t="shared" si="8"/>
        <v>113.47</v>
      </c>
      <c r="S11" s="243">
        <f>SUMIFS('Checking Transaction Log'!$E:$E,'Checking Transaction Log'!$C:$C,"&gt;="&amp;S1,'Checking Transaction Log'!$C:$C,"&lt;="&amp;T1,'Checking Transaction Log'!$A:$A,"D",'Checking Transaction Log'!$B:$B,7)</f>
        <v>0</v>
      </c>
      <c r="T11" s="243">
        <f t="shared" si="9"/>
        <v>350</v>
      </c>
      <c r="U11" s="284">
        <f>SUMIFS('Checking Transaction Log'!$E:$E,'Checking Transaction Log'!$C:$C,"&gt;="&amp;U1,'Checking Transaction Log'!$C:$C,"&lt;="&amp;V1,'Checking Transaction Log'!$A:$A,"D",'Checking Transaction Log'!$B:$B,7)</f>
        <v>0</v>
      </c>
      <c r="V11" s="284">
        <f t="shared" si="10"/>
        <v>350</v>
      </c>
      <c r="W11" s="247">
        <f>SUMIFS('Checking Transaction Log'!$E:$E,'Checking Transaction Log'!$C:$C,"&gt;="&amp;W1,'Checking Transaction Log'!$C:$C,"&lt;="&amp;X1,'Checking Transaction Log'!$A:$A,"D",'Checking Transaction Log'!$B:$B,7)</f>
        <v>0</v>
      </c>
      <c r="X11" s="247">
        <f t="shared" si="11"/>
        <v>350</v>
      </c>
      <c r="Y11" s="287">
        <f>SUMIFS('Checking Transaction Log'!$E:$E,'Checking Transaction Log'!$C:$C,"&gt;="&amp;Y1,'Checking Transaction Log'!$C:$C,"&lt;="&amp;Z1,'Checking Transaction Log'!$A:$A,"D",'Checking Transaction Log'!$B:$B,7)</f>
        <v>0</v>
      </c>
      <c r="Z11" s="287">
        <f t="shared" si="12"/>
        <v>350</v>
      </c>
      <c r="AA11" s="289">
        <f>SUMIFS('Checking Transaction Log'!$E:$E,'Checking Transaction Log'!$C:$C,"&gt;="&amp;AA1,'Checking Transaction Log'!$C:$C,"&lt;="&amp;AB1,'Checking Transaction Log'!$A:$A,"D",'Checking Transaction Log'!$B:$B,7)</f>
        <v>0</v>
      </c>
      <c r="AB11" s="289">
        <f t="shared" si="13"/>
        <v>350</v>
      </c>
      <c r="AC11" s="291">
        <f>SUMIFS('Checking Transaction Log'!$E:$E,'Checking Transaction Log'!$C:$C,"&gt;="&amp;AC1,'Checking Transaction Log'!$C:$C,"&lt;="&amp;AD1,'Checking Transaction Log'!$A:$A,"D",'Checking Transaction Log'!$B:$B,7)</f>
        <v>0</v>
      </c>
      <c r="AD11" s="291">
        <f t="shared" si="14"/>
        <v>350</v>
      </c>
      <c r="AE11" s="293">
        <f>SUMIFS('Checking Transaction Log'!$E:$E,'Checking Transaction Log'!$C:$C,"&gt;="&amp;AE1,'Checking Transaction Log'!$C:$C,"&lt;="&amp;AF1,'Checking Transaction Log'!$A:$A,"D",'Checking Transaction Log'!$B:$B,7)</f>
        <v>0</v>
      </c>
      <c r="AF11" s="293">
        <f t="shared" si="15"/>
        <v>350</v>
      </c>
    </row>
    <row r="12" spans="1:32" ht="11.25" customHeight="1" x14ac:dyDescent="0.3">
      <c r="A12" s="295" t="str">
        <f>'Proposed Budget'!A12</f>
        <v>D</v>
      </c>
      <c r="B12" s="266">
        <f>'Proposed Budget'!B12</f>
        <v>8</v>
      </c>
      <c r="C12" s="298" t="str">
        <f>'Proposed Budget'!C12</f>
        <v>Alcohol/Bars</v>
      </c>
      <c r="D12" s="299">
        <f t="shared" ca="1" si="1"/>
        <v>718.16319545454553</v>
      </c>
      <c r="E12" s="300">
        <f t="shared" si="16"/>
        <v>3116.29</v>
      </c>
      <c r="F12" s="300">
        <f t="shared" si="2"/>
        <v>-157.63000000000011</v>
      </c>
      <c r="G12" s="280">
        <f t="shared" si="3"/>
        <v>-5.3277497245374672E-2</v>
      </c>
      <c r="H12" s="300">
        <f>'Proposed Budget'!D12</f>
        <v>700</v>
      </c>
      <c r="I12" s="281">
        <f>SUMIFS('Checking Transaction Log'!E:E,'Checking Transaction Log'!C:C,"&gt;="&amp;I1,'Checking Transaction Log'!C:C,"&lt;="&amp;J1,'Checking Transaction Log'!A:A,"D",'Checking Transaction Log'!B:B,8)</f>
        <v>683.49</v>
      </c>
      <c r="J12" s="281">
        <f t="shared" si="4"/>
        <v>16.509999999999991</v>
      </c>
      <c r="K12" s="243">
        <f>SUMIFS('Checking Transaction Log'!E:E,'Checking Transaction Log'!C:C,"&gt;="&amp;K1,'Checking Transaction Log'!C:C,"&lt;="&amp;L1,'Checking Transaction Log'!A:A,"D",'Checking Transaction Log'!B:B,8)</f>
        <v>979.71</v>
      </c>
      <c r="L12" s="243">
        <f t="shared" si="5"/>
        <v>-279.71000000000004</v>
      </c>
      <c r="M12" s="284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84">
        <f t="shared" si="6"/>
        <v>59.579999999999814</v>
      </c>
      <c r="O12" s="247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47">
        <f t="shared" si="7"/>
        <v>45.990000000000123</v>
      </c>
      <c r="Q12" s="281">
        <f>SUMIFS('Checking Transaction Log'!$E:$E,'Checking Transaction Log'!$C:$C,"&gt;="&amp;Q1,'Checking Transaction Log'!$C:$C,"&lt;="&amp;R1,'Checking Transaction Log'!$A:$A,"D",'Checking Transaction Log'!$B:$B,8)</f>
        <v>158.66000000000003</v>
      </c>
      <c r="R12" s="281">
        <f t="shared" si="8"/>
        <v>541.33999999999992</v>
      </c>
      <c r="S12" s="243">
        <f>SUMIFS('Checking Transaction Log'!$E:$E,'Checking Transaction Log'!$C:$C,"&gt;="&amp;S1,'Checking Transaction Log'!$C:$C,"&lt;="&amp;T1,'Checking Transaction Log'!$A:$A,"D",'Checking Transaction Log'!$B:$B,8)</f>
        <v>0</v>
      </c>
      <c r="T12" s="243">
        <f t="shared" si="9"/>
        <v>700</v>
      </c>
      <c r="U12" s="284">
        <f>SUMIFS('Checking Transaction Log'!$E:$E,'Checking Transaction Log'!$C:$C,"&gt;="&amp;U1,'Checking Transaction Log'!$C:$C,"&lt;="&amp;V1,'Checking Transaction Log'!$A:$A,"D",'Checking Transaction Log'!$B:$B,8)</f>
        <v>0</v>
      </c>
      <c r="V12" s="284">
        <f t="shared" si="10"/>
        <v>700</v>
      </c>
      <c r="W12" s="247">
        <f>SUMIFS('Checking Transaction Log'!$E:$E,'Checking Transaction Log'!$C:$C,"&gt;="&amp;W1,'Checking Transaction Log'!$C:$C,"&lt;="&amp;X1,'Checking Transaction Log'!$A:$A,"D",'Checking Transaction Log'!$B:$B,8)</f>
        <v>0</v>
      </c>
      <c r="X12" s="247">
        <f t="shared" si="11"/>
        <v>700</v>
      </c>
      <c r="Y12" s="287">
        <f>SUMIFS('Checking Transaction Log'!$E:$E,'Checking Transaction Log'!$C:$C,"&gt;="&amp;Y1,'Checking Transaction Log'!$C:$C,"&lt;="&amp;Z1,'Checking Transaction Log'!$A:$A,"D",'Checking Transaction Log'!$B:$B,8)</f>
        <v>0</v>
      </c>
      <c r="Z12" s="287">
        <f t="shared" si="12"/>
        <v>700</v>
      </c>
      <c r="AA12" s="289">
        <f>SUMIFS('Checking Transaction Log'!$E:$E,'Checking Transaction Log'!$C:$C,"&gt;="&amp;AA1,'Checking Transaction Log'!$C:$C,"&lt;="&amp;AB1,'Checking Transaction Log'!$A:$A,"D",'Checking Transaction Log'!$B:$B,8)</f>
        <v>0</v>
      </c>
      <c r="AB12" s="289">
        <f t="shared" si="13"/>
        <v>700</v>
      </c>
      <c r="AC12" s="291">
        <f>SUMIFS('Checking Transaction Log'!$E:$E,'Checking Transaction Log'!$C:$C,"&gt;="&amp;AC1,'Checking Transaction Log'!$C:$C,"&lt;="&amp;AD1,'Checking Transaction Log'!$A:$A,"D",'Checking Transaction Log'!$B:$B,8)</f>
        <v>0</v>
      </c>
      <c r="AD12" s="291">
        <f t="shared" si="14"/>
        <v>700</v>
      </c>
      <c r="AE12" s="293">
        <f>SUMIFS('Checking Transaction Log'!$E:$E,'Checking Transaction Log'!$C:$C,"&gt;="&amp;AE1,'Checking Transaction Log'!$C:$C,"&lt;="&amp;AF1,'Checking Transaction Log'!$A:$A,"D",'Checking Transaction Log'!$B:$B,8)</f>
        <v>0</v>
      </c>
      <c r="AF12" s="293">
        <f t="shared" si="15"/>
        <v>700</v>
      </c>
    </row>
    <row r="13" spans="1:32" ht="11.25" customHeight="1" x14ac:dyDescent="0.3">
      <c r="A13" s="295"/>
      <c r="B13" s="266"/>
      <c r="C13" s="298"/>
      <c r="D13" s="299"/>
      <c r="E13" s="301"/>
      <c r="F13" s="301"/>
      <c r="G13" s="280"/>
      <c r="H13" s="300"/>
      <c r="I13" s="281"/>
      <c r="J13" s="281"/>
      <c r="K13" s="243"/>
      <c r="L13" s="243"/>
      <c r="M13" s="284"/>
      <c r="N13" s="284"/>
      <c r="O13" s="247"/>
      <c r="P13" s="247"/>
      <c r="Q13" s="281"/>
      <c r="R13" s="281"/>
      <c r="S13" s="243"/>
      <c r="T13" s="243"/>
      <c r="U13" s="284"/>
      <c r="V13" s="284"/>
      <c r="W13" s="247"/>
      <c r="X13" s="247"/>
      <c r="Y13" s="287"/>
      <c r="Z13" s="287"/>
      <c r="AA13" s="289"/>
      <c r="AB13" s="289"/>
      <c r="AC13" s="291"/>
      <c r="AD13" s="291"/>
      <c r="AE13" s="293"/>
      <c r="AF13" s="293"/>
    </row>
    <row r="14" spans="1:32" ht="11.25" customHeight="1" x14ac:dyDescent="0.3">
      <c r="A14" s="295" t="str">
        <f>'Proposed Budget'!A14</f>
        <v>F</v>
      </c>
      <c r="B14" s="266">
        <f>'Proposed Budget'!B14</f>
        <v>9</v>
      </c>
      <c r="C14" s="298" t="str">
        <f>'Proposed Budget'!C14</f>
        <v>Rocket Mortgage</v>
      </c>
      <c r="D14" s="299">
        <f t="shared" ref="D14:D31" ca="1" si="17">(E14/(TODAY()-$I$1))*30.42</f>
        <v>1465.1839090909089</v>
      </c>
      <c r="E14" s="300">
        <f t="shared" ref="E14:E31" si="18">Q14+S14+U14+W14+Y14+AA14+AC14+AE14+I14+K14+M14+O14</f>
        <v>6357.7999999999993</v>
      </c>
      <c r="F14" s="300">
        <f t="shared" ref="F14:F31" si="19">J14+L14+N14+P14</f>
        <v>13.880000000000109</v>
      </c>
      <c r="G14" s="280">
        <f t="shared" ref="G14:G31" si="20">1-((E14/SUM(E14:F14)))</f>
        <v>2.1783893729754311E-3</v>
      </c>
      <c r="H14" s="300">
        <f>'Proposed Budget'!D14</f>
        <v>1285</v>
      </c>
      <c r="I14" s="281">
        <f>SUMIFS('Checking Transaction Log'!E:E,'Checking Transaction Log'!C:C,"&gt;="&amp;I1,'Checking Transaction Log'!C:C,"&lt;="&amp;J1,'Checking Transaction Log'!A:A,"F",'Checking Transaction Log'!B:B,9)</f>
        <v>1281.53</v>
      </c>
      <c r="J14" s="281">
        <f t="shared" ref="J14:J31" si="21">H14-I14</f>
        <v>3.4700000000000273</v>
      </c>
      <c r="K14" s="243">
        <f>SUMIFS('Checking Transaction Log'!E:E,'Checking Transaction Log'!C:C,"&gt;="&amp;K1,'Checking Transaction Log'!C:C,"&lt;="&amp;L1,'Checking Transaction Log'!A:A,"F",'Checking Transaction Log'!B:B,9)</f>
        <v>1281.53</v>
      </c>
      <c r="L14" s="243">
        <f t="shared" ref="L14:L31" si="22">H14-K14</f>
        <v>3.4700000000000273</v>
      </c>
      <c r="M14" s="284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84">
        <f t="shared" ref="N14:N31" si="23">H14-M14</f>
        <v>3.4700000000000273</v>
      </c>
      <c r="O14" s="247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47">
        <f t="shared" ref="P14:P31" si="24">H14-O14</f>
        <v>3.4700000000000273</v>
      </c>
      <c r="Q14" s="281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81">
        <f t="shared" ref="R14:R31" si="25">H14-Q14</f>
        <v>53.319999999999936</v>
      </c>
      <c r="S14" s="243">
        <f>SUMIFS('Checking Transaction Log'!$E:$E,'Checking Transaction Log'!$C:$C,"&gt;="&amp;S1,'Checking Transaction Log'!$C:$C,"&lt;="&amp;T1,'Checking Transaction Log'!$A:$A,"F",'Checking Transaction Log'!$B:$B,9)</f>
        <v>0</v>
      </c>
      <c r="T14" s="243">
        <f t="shared" ref="T14:T31" si="26">H14-S14</f>
        <v>1285</v>
      </c>
      <c r="U14" s="284">
        <f>SUMIFS('Checking Transaction Log'!$E:$E,'Checking Transaction Log'!$C:$C,"&gt;="&amp;U1,'Checking Transaction Log'!$C:$C,"&lt;="&amp;V1,'Checking Transaction Log'!$A:$A,"F",'Checking Transaction Log'!$B:$B,9)</f>
        <v>0</v>
      </c>
      <c r="V14" s="284">
        <f t="shared" ref="V14:V31" si="27">H14-U14</f>
        <v>1285</v>
      </c>
      <c r="W14" s="247">
        <f>SUMIFS('Checking Transaction Log'!$E:$E,'Checking Transaction Log'!$C:$C,"&gt;="&amp;W1,'Checking Transaction Log'!$C:$C,"&lt;="&amp;X1,'Checking Transaction Log'!$A:$A,"F",'Checking Transaction Log'!$B:$B,9)</f>
        <v>0</v>
      </c>
      <c r="X14" s="247">
        <f t="shared" ref="X14:X31" si="28">H14-W14</f>
        <v>1285</v>
      </c>
      <c r="Y14" s="287">
        <f>SUMIFS('Checking Transaction Log'!$E:$E,'Checking Transaction Log'!$C:$C,"&gt;="&amp;Y1,'Checking Transaction Log'!$C:$C,"&lt;="&amp;Z1,'Checking Transaction Log'!$A:$A,"F",'Checking Transaction Log'!$B:$B,9)</f>
        <v>0</v>
      </c>
      <c r="Z14" s="287">
        <f t="shared" ref="Z14:Z31" si="29">H14-Y14</f>
        <v>1285</v>
      </c>
      <c r="AA14" s="289">
        <f>SUMIFS('Checking Transaction Log'!$E:$E,'Checking Transaction Log'!$C:$C,"&gt;="&amp;AA1,'Checking Transaction Log'!$C:$C,"&lt;="&amp;AB1,'Checking Transaction Log'!$A:$A,"F",'Checking Transaction Log'!$B:$B,9)</f>
        <v>0</v>
      </c>
      <c r="AB14" s="289">
        <f t="shared" ref="AB14:AB31" si="30">H14-AA14</f>
        <v>1285</v>
      </c>
      <c r="AC14" s="291">
        <f>SUMIFS('Checking Transaction Log'!$E:$E,'Checking Transaction Log'!$C:$C,"&gt;="&amp;AC1,'Checking Transaction Log'!$C:$C,"&lt;="&amp;AD1,'Checking Transaction Log'!$A:$A,"F",'Checking Transaction Log'!$B:$B,9)</f>
        <v>0</v>
      </c>
      <c r="AD14" s="291">
        <f t="shared" ref="AD14:AD31" si="31">H14-AC14</f>
        <v>1285</v>
      </c>
      <c r="AE14" s="293">
        <f>SUMIFS('Checking Transaction Log'!$E:$E,'Checking Transaction Log'!$C:$C,"&gt;="&amp;AE1,'Checking Transaction Log'!$C:$C,"&lt;="&amp;AF1,'Checking Transaction Log'!$A:$A,"F",'Checking Transaction Log'!$B:$B,9)</f>
        <v>0</v>
      </c>
      <c r="AF14" s="293">
        <f t="shared" ref="AF14:AF31" si="32">H14-AE14</f>
        <v>1285</v>
      </c>
    </row>
    <row r="15" spans="1:32" ht="11.25" customHeight="1" x14ac:dyDescent="0.3">
      <c r="A15" s="295" t="str">
        <f>'Proposed Budget'!A15</f>
        <v>F</v>
      </c>
      <c r="B15" s="266">
        <f>'Proposed Budget'!B15</f>
        <v>10</v>
      </c>
      <c r="C15" s="298" t="str">
        <f>'Proposed Budget'!C15</f>
        <v>EH Roberts</v>
      </c>
      <c r="D15" s="299">
        <f t="shared" ca="1" si="17"/>
        <v>16.500545454545453</v>
      </c>
      <c r="E15" s="300">
        <f t="shared" si="18"/>
        <v>71.599999999999994</v>
      </c>
      <c r="F15" s="300">
        <f t="shared" si="19"/>
        <v>8.4000000000000057</v>
      </c>
      <c r="G15" s="280">
        <f t="shared" si="20"/>
        <v>0.10500000000000009</v>
      </c>
      <c r="H15" s="300">
        <f>'Proposed Budget'!D15</f>
        <v>20</v>
      </c>
      <c r="I15" s="281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81">
        <f t="shared" si="21"/>
        <v>2.1000000000000014</v>
      </c>
      <c r="K15" s="243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43">
        <f t="shared" si="22"/>
        <v>2.1000000000000014</v>
      </c>
      <c r="M15" s="284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84">
        <f t="shared" si="23"/>
        <v>2.1000000000000014</v>
      </c>
      <c r="O15" s="247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47">
        <f t="shared" si="24"/>
        <v>2.1000000000000014</v>
      </c>
      <c r="Q15" s="281">
        <f>SUMIFS('Checking Transaction Log'!$E:$E,'Checking Transaction Log'!$C:$C,"&gt;="&amp;Q1,'Checking Transaction Log'!$C:$C,"&lt;="&amp;R1,'Checking Transaction Log'!$A:$A,"F",'Checking Transaction Log'!$B:$B,10)</f>
        <v>0</v>
      </c>
      <c r="R15" s="281">
        <f t="shared" si="25"/>
        <v>20</v>
      </c>
      <c r="S15" s="243">
        <f>SUMIFS('Checking Transaction Log'!$E:$E,'Checking Transaction Log'!$C:$C,"&gt;="&amp;S1,'Checking Transaction Log'!$C:$C,"&lt;="&amp;T1,'Checking Transaction Log'!$A:$A,"F",'Checking Transaction Log'!$B:$B,10)</f>
        <v>0</v>
      </c>
      <c r="T15" s="243">
        <f t="shared" si="26"/>
        <v>20</v>
      </c>
      <c r="U15" s="284">
        <f>SUMIFS('Checking Transaction Log'!$E:$E,'Checking Transaction Log'!$C:$C,"&gt;="&amp;U1,'Checking Transaction Log'!$C:$C,"&lt;="&amp;V1,'Checking Transaction Log'!$A:$A,"F",'Checking Transaction Log'!$B:$B,10)</f>
        <v>0</v>
      </c>
      <c r="V15" s="284">
        <f t="shared" si="27"/>
        <v>20</v>
      </c>
      <c r="W15" s="247">
        <f>SUMIFS('Checking Transaction Log'!$E:$E,'Checking Transaction Log'!$C:$C,"&gt;="&amp;W1,'Checking Transaction Log'!$C:$C,"&lt;="&amp;X1,'Checking Transaction Log'!$A:$A,"F",'Checking Transaction Log'!$B:$B,10)</f>
        <v>0</v>
      </c>
      <c r="X15" s="247">
        <f t="shared" si="28"/>
        <v>20</v>
      </c>
      <c r="Y15" s="287">
        <f>SUMIFS('Checking Transaction Log'!$E:$E,'Checking Transaction Log'!$C:$C,"&gt;="&amp;Y1,'Checking Transaction Log'!$C:$C,"&lt;="&amp;Z1,'Checking Transaction Log'!$A:$A,"F",'Checking Transaction Log'!$B:$B,10)</f>
        <v>0</v>
      </c>
      <c r="Z15" s="287">
        <f t="shared" si="29"/>
        <v>20</v>
      </c>
      <c r="AA15" s="289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89">
        <f t="shared" si="30"/>
        <v>20</v>
      </c>
      <c r="AC15" s="291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91">
        <f t="shared" si="31"/>
        <v>20</v>
      </c>
      <c r="AE15" s="293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93">
        <f t="shared" si="32"/>
        <v>20</v>
      </c>
    </row>
    <row r="16" spans="1:32" ht="11.25" customHeight="1" x14ac:dyDescent="0.3">
      <c r="A16" s="295" t="str">
        <f>'Proposed Budget'!A16</f>
        <v>F</v>
      </c>
      <c r="B16" s="266">
        <f>'Proposed Budget'!B16</f>
        <v>11</v>
      </c>
      <c r="C16" s="298" t="str">
        <f>'Proposed Budget'!C16</f>
        <v>Verizon Wireless</v>
      </c>
      <c r="D16" s="299">
        <f t="shared" ca="1" si="17"/>
        <v>296.06265000000002</v>
      </c>
      <c r="E16" s="300">
        <f t="shared" si="18"/>
        <v>1284.69</v>
      </c>
      <c r="F16" s="300">
        <f t="shared" si="19"/>
        <v>-204.69000000000005</v>
      </c>
      <c r="G16" s="280">
        <f t="shared" si="20"/>
        <v>-0.18952777777777774</v>
      </c>
      <c r="H16" s="300">
        <f>'Proposed Budget'!D16</f>
        <v>270</v>
      </c>
      <c r="I16" s="281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81">
        <f t="shared" si="21"/>
        <v>2.0400000000000205</v>
      </c>
      <c r="K16" s="243">
        <f>SUMIFS('Checking Transaction Log'!E:E,'Checking Transaction Log'!C:C,"&gt;="&amp;K1,'Checking Transaction Log'!C:C,"&lt;="&amp;L1,'Checking Transaction Log'!A:A,"F",'Checking Transaction Log'!B:B,11)</f>
        <v>480.91</v>
      </c>
      <c r="L16" s="243">
        <f t="shared" si="22"/>
        <v>-210.91000000000003</v>
      </c>
      <c r="M16" s="284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84">
        <f t="shared" si="23"/>
        <v>2.089999999999975</v>
      </c>
      <c r="O16" s="247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47">
        <f t="shared" si="24"/>
        <v>2.089999999999975</v>
      </c>
      <c r="Q16" s="281">
        <f>SUMIFS('Checking Transaction Log'!$E:$E,'Checking Transaction Log'!$C:$C,"&gt;="&amp;Q1,'Checking Transaction Log'!$C:$C,"&lt;="&amp;R1,'Checking Transaction Log'!$A:$A,"F",'Checking Transaction Log'!$B:$B,11)</f>
        <v>0</v>
      </c>
      <c r="R16" s="281">
        <f t="shared" si="25"/>
        <v>270</v>
      </c>
      <c r="S16" s="243">
        <f>SUMIFS('Checking Transaction Log'!$E:$E,'Checking Transaction Log'!$C:$C,"&gt;="&amp;S1,'Checking Transaction Log'!$C:$C,"&lt;="&amp;T1,'Checking Transaction Log'!$A:$A,"F",'Checking Transaction Log'!$B:$B,11)</f>
        <v>0</v>
      </c>
      <c r="T16" s="243">
        <f t="shared" si="26"/>
        <v>270</v>
      </c>
      <c r="U16" s="284">
        <f>SUMIFS('Checking Transaction Log'!$E:$E,'Checking Transaction Log'!$C:$C,"&gt;="&amp;U1,'Checking Transaction Log'!$C:$C,"&lt;="&amp;V1,'Checking Transaction Log'!$A:$A,"F",'Checking Transaction Log'!$B:$B,11)</f>
        <v>0</v>
      </c>
      <c r="V16" s="284">
        <f t="shared" si="27"/>
        <v>270</v>
      </c>
      <c r="W16" s="247">
        <f>SUMIFS('Checking Transaction Log'!$E:$E,'Checking Transaction Log'!$C:$C,"&gt;="&amp;W1,'Checking Transaction Log'!$C:$C,"&lt;="&amp;X1,'Checking Transaction Log'!$A:$A,"F",'Checking Transaction Log'!$B:$B,11)</f>
        <v>0</v>
      </c>
      <c r="X16" s="247">
        <f t="shared" si="28"/>
        <v>270</v>
      </c>
      <c r="Y16" s="287">
        <f>SUMIFS('Checking Transaction Log'!$E:$E,'Checking Transaction Log'!$C:$C,"&gt;="&amp;Y1,'Checking Transaction Log'!$C:$C,"&lt;="&amp;Z1,'Checking Transaction Log'!$A:$A,"F",'Checking Transaction Log'!$B:$B,11)</f>
        <v>0</v>
      </c>
      <c r="Z16" s="287">
        <f t="shared" si="29"/>
        <v>270</v>
      </c>
      <c r="AA16" s="289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89">
        <f t="shared" si="30"/>
        <v>270</v>
      </c>
      <c r="AC16" s="291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91">
        <f t="shared" si="31"/>
        <v>270</v>
      </c>
      <c r="AE16" s="293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93">
        <f t="shared" si="32"/>
        <v>270</v>
      </c>
    </row>
    <row r="17" spans="1:32" ht="11.25" customHeight="1" x14ac:dyDescent="0.3">
      <c r="A17" s="295" t="str">
        <f>'Proposed Budget'!A17</f>
        <v>F</v>
      </c>
      <c r="B17" s="266">
        <f>'Proposed Budget'!B17</f>
        <v>12</v>
      </c>
      <c r="C17" s="298" t="str">
        <f>'Proposed Budget'!C17</f>
        <v>Spectrum TV/Internet</v>
      </c>
      <c r="D17" s="299">
        <f t="shared" ca="1" si="17"/>
        <v>190.93389545454545</v>
      </c>
      <c r="E17" s="300">
        <f t="shared" si="18"/>
        <v>828.51</v>
      </c>
      <c r="F17" s="300">
        <f t="shared" si="19"/>
        <v>-8.5100000000000193</v>
      </c>
      <c r="G17" s="280">
        <f t="shared" si="20"/>
        <v>-1.037804878048787E-2</v>
      </c>
      <c r="H17" s="300">
        <f>'Proposed Budget'!D17</f>
        <v>205</v>
      </c>
      <c r="I17" s="281">
        <f>SUMIFS('Checking Transaction Log'!E:E,'Checking Transaction Log'!C:C,"&gt;="&amp;I1,'Checking Transaction Log'!C:C,"&lt;="&amp;J1,'Checking Transaction Log'!A:A,"F",'Checking Transaction Log'!B:B,12)</f>
        <v>204.83</v>
      </c>
      <c r="J17" s="281">
        <f t="shared" si="21"/>
        <v>0.16999999999998749</v>
      </c>
      <c r="K17" s="243">
        <f>SUMIFS('Checking Transaction Log'!E:E,'Checking Transaction Log'!C:C,"&gt;="&amp;K1,'Checking Transaction Log'!C:C,"&lt;="&amp;L1,'Checking Transaction Log'!A:A,"F",'Checking Transaction Log'!B:B,12)</f>
        <v>204.47</v>
      </c>
      <c r="L17" s="243">
        <f t="shared" si="22"/>
        <v>0.53000000000000114</v>
      </c>
      <c r="M17" s="284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84">
        <f t="shared" si="23"/>
        <v>0.53000000000000114</v>
      </c>
      <c r="O17" s="247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47">
        <f t="shared" si="24"/>
        <v>-9.7400000000000091</v>
      </c>
      <c r="Q17" s="281">
        <f>SUMIFS('Checking Transaction Log'!$E:$E,'Checking Transaction Log'!$C:$C,"&gt;="&amp;Q1,'Checking Transaction Log'!$C:$C,"&lt;="&amp;R1,'Checking Transaction Log'!$A:$A,"F",'Checking Transaction Log'!$B:$B,12)</f>
        <v>0</v>
      </c>
      <c r="R17" s="281">
        <f t="shared" si="25"/>
        <v>205</v>
      </c>
      <c r="S17" s="243">
        <f>SUMIFS('Checking Transaction Log'!$E:$E,'Checking Transaction Log'!$C:$C,"&gt;="&amp;S1,'Checking Transaction Log'!$C:$C,"&lt;="&amp;T1,'Checking Transaction Log'!$A:$A,"F",'Checking Transaction Log'!$B:$B,12)</f>
        <v>0</v>
      </c>
      <c r="T17" s="243">
        <f t="shared" si="26"/>
        <v>205</v>
      </c>
      <c r="U17" s="284">
        <f>SUMIFS('Checking Transaction Log'!$E:$E,'Checking Transaction Log'!$C:$C,"&gt;="&amp;U1,'Checking Transaction Log'!$C:$C,"&lt;="&amp;V1,'Checking Transaction Log'!$A:$A,"F",'Checking Transaction Log'!$B:$B,12)</f>
        <v>0</v>
      </c>
      <c r="V17" s="284">
        <f t="shared" si="27"/>
        <v>205</v>
      </c>
      <c r="W17" s="247">
        <f>SUMIFS('Checking Transaction Log'!$E:$E,'Checking Transaction Log'!$C:$C,"&gt;="&amp;W1,'Checking Transaction Log'!$C:$C,"&lt;="&amp;X1,'Checking Transaction Log'!$A:$A,"F",'Checking Transaction Log'!$B:$B,12)</f>
        <v>0</v>
      </c>
      <c r="X17" s="247">
        <f t="shared" si="28"/>
        <v>205</v>
      </c>
      <c r="Y17" s="287">
        <f>SUMIFS('Checking Transaction Log'!$E:$E,'Checking Transaction Log'!$C:$C,"&gt;="&amp;Y1,'Checking Transaction Log'!$C:$C,"&lt;="&amp;Z1,'Checking Transaction Log'!$A:$A,"F",'Checking Transaction Log'!$B:$B,12)</f>
        <v>0</v>
      </c>
      <c r="Z17" s="287">
        <f t="shared" si="29"/>
        <v>205</v>
      </c>
      <c r="AA17" s="289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89">
        <f t="shared" si="30"/>
        <v>205</v>
      </c>
      <c r="AC17" s="291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91">
        <f t="shared" si="31"/>
        <v>205</v>
      </c>
      <c r="AE17" s="293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93">
        <f t="shared" si="32"/>
        <v>205</v>
      </c>
    </row>
    <row r="18" spans="1:32" ht="11.25" customHeight="1" x14ac:dyDescent="0.3">
      <c r="A18" s="295" t="str">
        <f>'Proposed Budget'!A18</f>
        <v>F</v>
      </c>
      <c r="B18" s="266">
        <f>'Proposed Budget'!B18</f>
        <v>13</v>
      </c>
      <c r="C18" s="298" t="str">
        <f>'Proposed Budget'!C18</f>
        <v>First Energy</v>
      </c>
      <c r="D18" s="299">
        <f t="shared" ca="1" si="17"/>
        <v>158.75091818181821</v>
      </c>
      <c r="E18" s="300">
        <f t="shared" si="18"/>
        <v>688.86000000000013</v>
      </c>
      <c r="F18" s="300">
        <f t="shared" si="19"/>
        <v>153.32</v>
      </c>
      <c r="G18" s="280">
        <f t="shared" si="20"/>
        <v>0.18205134294331371</v>
      </c>
      <c r="H18" s="300">
        <f>'Proposed Budget'!D18</f>
        <v>180</v>
      </c>
      <c r="I18" s="281">
        <f>SUMIFS('Checking Transaction Log'!E:E,'Checking Transaction Log'!C:C,"&gt;="&amp;I1,'Checking Transaction Log'!C:C,"&lt;="&amp;J1,'Checking Transaction Log'!A:A,"F",'Checking Transaction Log'!B:B,13)</f>
        <v>167.42</v>
      </c>
      <c r="J18" s="281">
        <f t="shared" si="21"/>
        <v>12.580000000000013</v>
      </c>
      <c r="K18" s="243">
        <f>SUMIFS('Checking Transaction Log'!E:E,'Checking Transaction Log'!C:C,"&gt;="&amp;K1,'Checking Transaction Log'!C:C,"&lt;="&amp;L1,'Checking Transaction Log'!A:A,"F",'Checking Transaction Log'!B:B,13)</f>
        <v>159.35</v>
      </c>
      <c r="L18" s="243">
        <f t="shared" si="22"/>
        <v>20.650000000000006</v>
      </c>
      <c r="M18" s="284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84">
        <f t="shared" si="23"/>
        <v>45.069999999999993</v>
      </c>
      <c r="O18" s="247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47">
        <f t="shared" si="24"/>
        <v>75.02</v>
      </c>
      <c r="Q18" s="281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81">
        <f t="shared" si="25"/>
        <v>57.819999999999993</v>
      </c>
      <c r="S18" s="243">
        <f>SUMIFS('Checking Transaction Log'!$E:$E,'Checking Transaction Log'!$C:$C,"&gt;="&amp;S1,'Checking Transaction Log'!$C:$C,"&lt;="&amp;T1,'Checking Transaction Log'!$A:$A,"F",'Checking Transaction Log'!$B:$B,13)</f>
        <v>0</v>
      </c>
      <c r="T18" s="243">
        <f t="shared" si="26"/>
        <v>180</v>
      </c>
      <c r="U18" s="284">
        <f>SUMIFS('Checking Transaction Log'!$E:$E,'Checking Transaction Log'!$C:$C,"&gt;="&amp;U1,'Checking Transaction Log'!$C:$C,"&lt;="&amp;V1,'Checking Transaction Log'!$A:$A,"F",'Checking Transaction Log'!$B:$B,13)</f>
        <v>0</v>
      </c>
      <c r="V18" s="284">
        <f t="shared" si="27"/>
        <v>180</v>
      </c>
      <c r="W18" s="247">
        <f>SUMIFS('Checking Transaction Log'!$E:$E,'Checking Transaction Log'!$C:$C,"&gt;="&amp;W1,'Checking Transaction Log'!$C:$C,"&lt;="&amp;X1,'Checking Transaction Log'!$A:$A,"F",'Checking Transaction Log'!$B:$B,13)</f>
        <v>0</v>
      </c>
      <c r="X18" s="247">
        <f t="shared" si="28"/>
        <v>180</v>
      </c>
      <c r="Y18" s="287">
        <f>SUMIFS('Checking Transaction Log'!$E:$E,'Checking Transaction Log'!$C:$C,"&gt;="&amp;Y1,'Checking Transaction Log'!$C:$C,"&lt;="&amp;Z1,'Checking Transaction Log'!$A:$A,"F",'Checking Transaction Log'!$B:$B,13)</f>
        <v>0</v>
      </c>
      <c r="Z18" s="287">
        <f t="shared" si="29"/>
        <v>180</v>
      </c>
      <c r="AA18" s="289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89">
        <f t="shared" si="30"/>
        <v>180</v>
      </c>
      <c r="AC18" s="291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91">
        <f t="shared" si="31"/>
        <v>180</v>
      </c>
      <c r="AE18" s="293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93">
        <f t="shared" si="32"/>
        <v>180</v>
      </c>
    </row>
    <row r="19" spans="1:32" ht="11.25" customHeight="1" x14ac:dyDescent="0.3">
      <c r="A19" s="295" t="str">
        <f>'Proposed Budget'!A19</f>
        <v>F</v>
      </c>
      <c r="B19" s="266">
        <f>'Proposed Budget'!B19</f>
        <v>14</v>
      </c>
      <c r="C19" s="298" t="str">
        <f>'Proposed Budget'!C19</f>
        <v>Vivint Home Security</v>
      </c>
      <c r="D19" s="299">
        <f t="shared" ca="1" si="17"/>
        <v>156.72522272727272</v>
      </c>
      <c r="E19" s="300">
        <f t="shared" si="18"/>
        <v>680.06999999999994</v>
      </c>
      <c r="F19" s="300">
        <f t="shared" si="19"/>
        <v>16.849999999999994</v>
      </c>
      <c r="G19" s="280">
        <f t="shared" si="20"/>
        <v>2.4177810939562727E-2</v>
      </c>
      <c r="H19" s="300">
        <f>'Proposed Budget'!D19</f>
        <v>140</v>
      </c>
      <c r="I19" s="281">
        <f>SUMIFS('Checking Transaction Log'!E:E,'Checking Transaction Log'!C:C,"&gt;="&amp;I1,'Checking Transaction Log'!C:C,"&lt;="&amp;J1,'Checking Transaction Log'!A:A,"F",'Checking Transaction Log'!B:B,14)</f>
        <v>135.41</v>
      </c>
      <c r="J19" s="281">
        <f t="shared" si="21"/>
        <v>4.5900000000000034</v>
      </c>
      <c r="K19" s="243">
        <f>SUMIFS('Checking Transaction Log'!E:E,'Checking Transaction Log'!C:C,"&gt;="&amp;K1,'Checking Transaction Log'!C:C,"&lt;="&amp;L1,'Checking Transaction Log'!A:A,"F",'Checking Transaction Log'!B:B,14)</f>
        <v>135.41</v>
      </c>
      <c r="L19" s="243">
        <f t="shared" si="22"/>
        <v>4.5900000000000034</v>
      </c>
      <c r="M19" s="284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84">
        <f t="shared" si="23"/>
        <v>4.5900000000000034</v>
      </c>
      <c r="O19" s="247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47">
        <f t="shared" si="24"/>
        <v>3.0799999999999841</v>
      </c>
      <c r="Q19" s="281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81">
        <f t="shared" si="25"/>
        <v>3.0799999999999841</v>
      </c>
      <c r="S19" s="243">
        <f>SUMIFS('Checking Transaction Log'!$E:$E,'Checking Transaction Log'!$C:$C,"&gt;="&amp;S1,'Checking Transaction Log'!$C:$C,"&lt;="&amp;T1,'Checking Transaction Log'!$A:$A,"F",'Checking Transaction Log'!$B:$B,14)</f>
        <v>0</v>
      </c>
      <c r="T19" s="243">
        <f t="shared" si="26"/>
        <v>140</v>
      </c>
      <c r="U19" s="284">
        <f>SUMIFS('Checking Transaction Log'!$E:$E,'Checking Transaction Log'!$C:$C,"&gt;="&amp;U1,'Checking Transaction Log'!$C:$C,"&lt;="&amp;V1,'Checking Transaction Log'!$A:$A,"F",'Checking Transaction Log'!$B:$B,14)</f>
        <v>0</v>
      </c>
      <c r="V19" s="284">
        <f t="shared" si="27"/>
        <v>140</v>
      </c>
      <c r="W19" s="247">
        <f>SUMIFS('Checking Transaction Log'!$E:$E,'Checking Transaction Log'!$C:$C,"&gt;="&amp;W1,'Checking Transaction Log'!$C:$C,"&lt;="&amp;X1,'Checking Transaction Log'!$A:$A,"F",'Checking Transaction Log'!$B:$B,14)</f>
        <v>0</v>
      </c>
      <c r="X19" s="247">
        <f t="shared" si="28"/>
        <v>140</v>
      </c>
      <c r="Y19" s="287">
        <f>SUMIFS('Checking Transaction Log'!$E:$E,'Checking Transaction Log'!$C:$C,"&gt;="&amp;Y1,'Checking Transaction Log'!$C:$C,"&lt;="&amp;Z1,'Checking Transaction Log'!$A:$A,"F",'Checking Transaction Log'!$B:$B,14)</f>
        <v>0</v>
      </c>
      <c r="Z19" s="287">
        <f t="shared" si="29"/>
        <v>140</v>
      </c>
      <c r="AA19" s="289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89">
        <f t="shared" si="30"/>
        <v>140</v>
      </c>
      <c r="AC19" s="291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91">
        <f t="shared" si="31"/>
        <v>140</v>
      </c>
      <c r="AE19" s="293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93">
        <f t="shared" si="32"/>
        <v>140</v>
      </c>
    </row>
    <row r="20" spans="1:32" ht="11.25" customHeight="1" x14ac:dyDescent="0.3">
      <c r="A20" s="295" t="str">
        <f>'Proposed Budget'!A20</f>
        <v>F</v>
      </c>
      <c r="B20" s="266">
        <f>'Proposed Budget'!B20</f>
        <v>15</v>
      </c>
      <c r="C20" s="298" t="str">
        <f>'Proposed Budget'!C20</f>
        <v>Columbia Gas</v>
      </c>
      <c r="D20" s="299">
        <f t="shared" ca="1" si="17"/>
        <v>144.46734545454547</v>
      </c>
      <c r="E20" s="300">
        <f t="shared" si="18"/>
        <v>626.88</v>
      </c>
      <c r="F20" s="300">
        <f t="shared" si="19"/>
        <v>-226.88</v>
      </c>
      <c r="G20" s="280">
        <f t="shared" si="20"/>
        <v>-0.56719999999999993</v>
      </c>
      <c r="H20" s="300">
        <f>'Proposed Budget'!D20</f>
        <v>100</v>
      </c>
      <c r="I20" s="281">
        <f>SUMIFS('Checking Transaction Log'!E:E,'Checking Transaction Log'!C:C,"&gt;="&amp;I1,'Checking Transaction Log'!C:C,"&lt;="&amp;J1,'Checking Transaction Log'!A:A,"F",'Checking Transaction Log'!B:B,15)</f>
        <v>132.4</v>
      </c>
      <c r="J20" s="281">
        <f t="shared" si="21"/>
        <v>-32.400000000000006</v>
      </c>
      <c r="K20" s="243">
        <f>SUMIFS('Checking Transaction Log'!E:E,'Checking Transaction Log'!C:C,"&gt;="&amp;K1,'Checking Transaction Log'!C:C,"&lt;="&amp;L1,'Checking Transaction Log'!A:A,"F",'Checking Transaction Log'!B:B,15)</f>
        <v>188.16</v>
      </c>
      <c r="L20" s="243">
        <f t="shared" si="22"/>
        <v>-88.16</v>
      </c>
      <c r="M20" s="284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84">
        <f t="shared" si="23"/>
        <v>-75.09</v>
      </c>
      <c r="O20" s="247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47">
        <f t="shared" si="24"/>
        <v>-31.22999999999999</v>
      </c>
      <c r="Q20" s="281">
        <f>SUMIFS('Checking Transaction Log'!$E:$E,'Checking Transaction Log'!$C:$C,"&gt;="&amp;Q1,'Checking Transaction Log'!$C:$C,"&lt;="&amp;R1,'Checking Transaction Log'!$A:$A,"F",'Checking Transaction Log'!$B:$B,15)</f>
        <v>0</v>
      </c>
      <c r="R20" s="281">
        <f t="shared" si="25"/>
        <v>100</v>
      </c>
      <c r="S20" s="243">
        <f>SUMIFS('Checking Transaction Log'!$E:$E,'Checking Transaction Log'!$C:$C,"&gt;="&amp;S1,'Checking Transaction Log'!$C:$C,"&lt;="&amp;T1,'Checking Transaction Log'!$A:$A,"F",'Checking Transaction Log'!$B:$B,15)</f>
        <v>0</v>
      </c>
      <c r="T20" s="243">
        <f t="shared" si="26"/>
        <v>100</v>
      </c>
      <c r="U20" s="284">
        <f>SUMIFS('Checking Transaction Log'!$E:$E,'Checking Transaction Log'!$C:$C,"&gt;="&amp;U1,'Checking Transaction Log'!$C:$C,"&lt;="&amp;V1,'Checking Transaction Log'!$A:$A,"F",'Checking Transaction Log'!$B:$B,15)</f>
        <v>0</v>
      </c>
      <c r="V20" s="284">
        <f t="shared" si="27"/>
        <v>100</v>
      </c>
      <c r="W20" s="247">
        <f>SUMIFS('Checking Transaction Log'!$E:$E,'Checking Transaction Log'!$C:$C,"&gt;="&amp;W1,'Checking Transaction Log'!$C:$C,"&lt;="&amp;X1,'Checking Transaction Log'!$A:$A,"F",'Checking Transaction Log'!$B:$B,15)</f>
        <v>0</v>
      </c>
      <c r="X20" s="247">
        <f t="shared" si="28"/>
        <v>100</v>
      </c>
      <c r="Y20" s="287">
        <f>SUMIFS('Checking Transaction Log'!$E:$E,'Checking Transaction Log'!$C:$C,"&gt;="&amp;Y1,'Checking Transaction Log'!$C:$C,"&lt;="&amp;Z1,'Checking Transaction Log'!$A:$A,"F",'Checking Transaction Log'!$B:$B,15)</f>
        <v>0</v>
      </c>
      <c r="Z20" s="287">
        <f t="shared" si="29"/>
        <v>100</v>
      </c>
      <c r="AA20" s="289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89">
        <f t="shared" si="30"/>
        <v>100</v>
      </c>
      <c r="AC20" s="291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91">
        <f t="shared" si="31"/>
        <v>100</v>
      </c>
      <c r="AE20" s="293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93">
        <f t="shared" si="32"/>
        <v>100</v>
      </c>
    </row>
    <row r="21" spans="1:32" ht="11.25" customHeight="1" x14ac:dyDescent="0.3">
      <c r="A21" s="295" t="str">
        <f>'Proposed Budget'!A21</f>
        <v>F</v>
      </c>
      <c r="B21" s="266">
        <f>'Proposed Budget'!B21</f>
        <v>16</v>
      </c>
      <c r="C21" s="298" t="str">
        <f>'Proposed Budget'!C21</f>
        <v>Medical Bills</v>
      </c>
      <c r="D21" s="299">
        <f t="shared" ca="1" si="17"/>
        <v>192.44337272727273</v>
      </c>
      <c r="E21" s="300">
        <f t="shared" si="18"/>
        <v>835.06</v>
      </c>
      <c r="F21" s="300">
        <f t="shared" si="19"/>
        <v>-835.06</v>
      </c>
      <c r="G21" s="280" t="e">
        <f t="shared" si="20"/>
        <v>#DIV/0!</v>
      </c>
      <c r="H21" s="300">
        <f>'Proposed Budget'!D21</f>
        <v>0</v>
      </c>
      <c r="I21" s="281">
        <f>SUMIFS('Checking Transaction Log'!E:E,'Checking Transaction Log'!C:C,"&gt;="&amp;I1,'Checking Transaction Log'!C:C,"&lt;="&amp;J1,'Checking Transaction Log'!A:A,"F",'Checking Transaction Log'!B:B,16)</f>
        <v>0</v>
      </c>
      <c r="J21" s="281">
        <f t="shared" si="21"/>
        <v>0</v>
      </c>
      <c r="K21" s="243">
        <f>SUMIFS('Checking Transaction Log'!E:E,'Checking Transaction Log'!C:C,"&gt;="&amp;K1,'Checking Transaction Log'!C:C,"&lt;="&amp;L1,'Checking Transaction Log'!A:A,"F",'Checking Transaction Log'!B:B,16)</f>
        <v>0</v>
      </c>
      <c r="L21" s="243">
        <f t="shared" si="22"/>
        <v>0</v>
      </c>
      <c r="M21" s="284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84">
        <f t="shared" si="23"/>
        <v>-820.06</v>
      </c>
      <c r="O21" s="247">
        <f>SUMIFS('Checking Transaction Log'!$E:$E,'Checking Transaction Log'!$C:$C,"&gt;="&amp;O1,'Checking Transaction Log'!$C:$C,"&lt;="&amp;P1,'Checking Transaction Log'!$A:$A,"F",'Checking Transaction Log'!$B:$B,16)</f>
        <v>15</v>
      </c>
      <c r="P21" s="247">
        <f t="shared" si="24"/>
        <v>-15</v>
      </c>
      <c r="Q21" s="281">
        <f>SUMIFS('Checking Transaction Log'!$E:$E,'Checking Transaction Log'!$C:$C,"&gt;="&amp;Q1,'Checking Transaction Log'!$C:$C,"&lt;="&amp;R1,'Checking Transaction Log'!$A:$A,"F",'Checking Transaction Log'!$B:$B,16)</f>
        <v>0</v>
      </c>
      <c r="R21" s="281">
        <f t="shared" si="25"/>
        <v>0</v>
      </c>
      <c r="S21" s="243">
        <f>SUMIFS('Checking Transaction Log'!$E:$E,'Checking Transaction Log'!$C:$C,"&gt;="&amp;S1,'Checking Transaction Log'!$C:$C,"&lt;="&amp;T1,'Checking Transaction Log'!$A:$A,"F",'Checking Transaction Log'!$B:$B,16)</f>
        <v>0</v>
      </c>
      <c r="T21" s="243">
        <f t="shared" si="26"/>
        <v>0</v>
      </c>
      <c r="U21" s="284">
        <f>SUMIFS('Checking Transaction Log'!$E:$E,'Checking Transaction Log'!$C:$C,"&gt;="&amp;U1,'Checking Transaction Log'!$C:$C,"&lt;="&amp;V1,'Checking Transaction Log'!$A:$A,"F",'Checking Transaction Log'!$B:$B,16)</f>
        <v>0</v>
      </c>
      <c r="V21" s="284">
        <f t="shared" si="27"/>
        <v>0</v>
      </c>
      <c r="W21" s="247">
        <f>SUMIFS('Checking Transaction Log'!$E:$E,'Checking Transaction Log'!$C:$C,"&gt;="&amp;W1,'Checking Transaction Log'!$C:$C,"&lt;="&amp;X1,'Checking Transaction Log'!$A:$A,"F",'Checking Transaction Log'!$B:$B,16)</f>
        <v>0</v>
      </c>
      <c r="X21" s="247">
        <f t="shared" si="28"/>
        <v>0</v>
      </c>
      <c r="Y21" s="287">
        <f>SUMIFS('Checking Transaction Log'!$E:$E,'Checking Transaction Log'!$C:$C,"&gt;="&amp;Y1,'Checking Transaction Log'!$C:$C,"&lt;="&amp;Z1,'Checking Transaction Log'!$A:$A,"F",'Checking Transaction Log'!$B:$B,16)</f>
        <v>0</v>
      </c>
      <c r="Z21" s="287">
        <f t="shared" si="29"/>
        <v>0</v>
      </c>
      <c r="AA21" s="289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89">
        <f t="shared" si="30"/>
        <v>0</v>
      </c>
      <c r="AC21" s="291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91">
        <f t="shared" si="31"/>
        <v>0</v>
      </c>
      <c r="AE21" s="293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93">
        <f t="shared" si="32"/>
        <v>0</v>
      </c>
    </row>
    <row r="22" spans="1:32" ht="11.25" customHeight="1" x14ac:dyDescent="0.3">
      <c r="A22" s="295" t="str">
        <f>'Proposed Budget'!A22</f>
        <v>F</v>
      </c>
      <c r="B22" s="266">
        <f>'Proposed Budget'!B22</f>
        <v>17</v>
      </c>
      <c r="C22" s="298" t="str">
        <f>'Proposed Budget'!C22</f>
        <v>Planet Fitness</v>
      </c>
      <c r="D22" s="299">
        <f t="shared" ca="1" si="17"/>
        <v>204.68511818181821</v>
      </c>
      <c r="E22" s="300">
        <f t="shared" si="18"/>
        <v>888.18000000000006</v>
      </c>
      <c r="F22" s="300">
        <f t="shared" si="19"/>
        <v>-209.18</v>
      </c>
      <c r="G22" s="280">
        <f t="shared" si="20"/>
        <v>-0.30807069219440364</v>
      </c>
      <c r="H22" s="300">
        <f>'Proposed Budget'!D22</f>
        <v>145</v>
      </c>
      <c r="I22" s="281">
        <f>SUMIFS('Checking Transaction Log'!E:E,'Checking Transaction Log'!C:C,"&gt;="&amp;I1,'Checking Transaction Log'!C:C,"&lt;="&amp;J1,'Checking Transaction Log'!A:A,"F",'Checking Transaction Log'!B:B,17)</f>
        <v>281.25</v>
      </c>
      <c r="J22" s="281">
        <f t="shared" si="21"/>
        <v>-136.25</v>
      </c>
      <c r="K22" s="243">
        <f>SUMIFS('Checking Transaction Log'!E:E,'Checking Transaction Log'!C:C,"&gt;="&amp;K1,'Checking Transaction Log'!C:C,"&lt;="&amp;L1,'Checking Transaction Log'!A:A,"F",'Checking Transaction Log'!B:B,17)</f>
        <v>183.19</v>
      </c>
      <c r="L22" s="243">
        <f t="shared" si="22"/>
        <v>-38.19</v>
      </c>
      <c r="M22" s="284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84">
        <f t="shared" si="23"/>
        <v>-38.090000000000003</v>
      </c>
      <c r="O22" s="247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47">
        <f t="shared" si="24"/>
        <v>3.3499999999999943</v>
      </c>
      <c r="Q22" s="281">
        <f>SUMIFS('Checking Transaction Log'!$E:$E,'Checking Transaction Log'!$C:$C,"&gt;="&amp;Q1,'Checking Transaction Log'!$C:$C,"&lt;="&amp;R1,'Checking Transaction Log'!$A:$A,"F",'Checking Transaction Log'!$B:$B,17)</f>
        <v>99</v>
      </c>
      <c r="R22" s="281">
        <f t="shared" si="25"/>
        <v>46</v>
      </c>
      <c r="S22" s="243">
        <f>SUMIFS('Checking Transaction Log'!$E:$E,'Checking Transaction Log'!$C:$C,"&gt;="&amp;S1,'Checking Transaction Log'!$C:$C,"&lt;="&amp;T1,'Checking Transaction Log'!$A:$A,"F",'Checking Transaction Log'!$B:$B,17)</f>
        <v>0</v>
      </c>
      <c r="T22" s="243">
        <f t="shared" si="26"/>
        <v>145</v>
      </c>
      <c r="U22" s="284">
        <f>SUMIFS('Checking Transaction Log'!$E:$E,'Checking Transaction Log'!$C:$C,"&gt;="&amp;U1,'Checking Transaction Log'!$C:$C,"&lt;="&amp;V1,'Checking Transaction Log'!$A:$A,"F",'Checking Transaction Log'!$B:$B,17)</f>
        <v>0</v>
      </c>
      <c r="V22" s="284">
        <f t="shared" si="27"/>
        <v>145</v>
      </c>
      <c r="W22" s="247">
        <f>SUMIFS('Checking Transaction Log'!$E:$E,'Checking Transaction Log'!$C:$C,"&gt;="&amp;W1,'Checking Transaction Log'!$C:$C,"&lt;="&amp;X1,'Checking Transaction Log'!$A:$A,"F",'Checking Transaction Log'!$B:$B,17)</f>
        <v>0</v>
      </c>
      <c r="X22" s="247">
        <f t="shared" si="28"/>
        <v>145</v>
      </c>
      <c r="Y22" s="287">
        <f>SUMIFS('Checking Transaction Log'!$E:$E,'Checking Transaction Log'!$C:$C,"&gt;="&amp;Y1,'Checking Transaction Log'!$C:$C,"&lt;="&amp;Z1,'Checking Transaction Log'!$A:$A,"F",'Checking Transaction Log'!$B:$B,17)</f>
        <v>0</v>
      </c>
      <c r="Z22" s="287">
        <f t="shared" si="29"/>
        <v>145</v>
      </c>
      <c r="AA22" s="289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89">
        <f t="shared" si="30"/>
        <v>145</v>
      </c>
      <c r="AC22" s="291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91">
        <f t="shared" si="31"/>
        <v>145</v>
      </c>
      <c r="AE22" s="293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93">
        <f t="shared" si="32"/>
        <v>145</v>
      </c>
    </row>
    <row r="23" spans="1:32" ht="11.25" customHeight="1" x14ac:dyDescent="0.3">
      <c r="A23" s="295" t="str">
        <f>'Proposed Budget'!A23</f>
        <v>F</v>
      </c>
      <c r="B23" s="266">
        <f>'Proposed Budget'!B23</f>
        <v>18</v>
      </c>
      <c r="C23" s="298" t="str">
        <f>'Proposed Budget'!C23</f>
        <v>Lowes Rewards</v>
      </c>
      <c r="D23" s="299">
        <f t="shared" ca="1" si="17"/>
        <v>460.90909090909093</v>
      </c>
      <c r="E23" s="300">
        <f t="shared" si="18"/>
        <v>2000</v>
      </c>
      <c r="F23" s="300">
        <f t="shared" si="19"/>
        <v>0</v>
      </c>
      <c r="G23" s="280">
        <f t="shared" si="20"/>
        <v>0</v>
      </c>
      <c r="H23" s="300">
        <f>'Proposed Budget'!D23</f>
        <v>400</v>
      </c>
      <c r="I23" s="281">
        <f>SUMIFS('Checking Transaction Log'!E:E,'Checking Transaction Log'!C:C,"&gt;="&amp;I1,'Checking Transaction Log'!C:C,"&lt;="&amp;J1,'Checking Transaction Log'!A:A,"F",'Checking Transaction Log'!B:B,18)</f>
        <v>400</v>
      </c>
      <c r="J23" s="281">
        <f t="shared" si="21"/>
        <v>0</v>
      </c>
      <c r="K23" s="243">
        <f>SUMIFS('Checking Transaction Log'!E:E,'Checking Transaction Log'!C:C,"&gt;="&amp;K1,'Checking Transaction Log'!C:C,"&lt;="&amp;L1,'Checking Transaction Log'!A:A,"F",'Checking Transaction Log'!B:B,18)</f>
        <v>400</v>
      </c>
      <c r="L23" s="243">
        <f t="shared" si="22"/>
        <v>0</v>
      </c>
      <c r="M23" s="284">
        <f>SUMIFS('Checking Transaction Log'!$E:$E,'Checking Transaction Log'!$C:$C,"&gt;="&amp;M1,'Checking Transaction Log'!$C:$C,"&lt;="&amp;N1,'Checking Transaction Log'!$A:$A,"F",'Checking Transaction Log'!$B:$B,18)</f>
        <v>400</v>
      </c>
      <c r="N23" s="284">
        <f t="shared" si="23"/>
        <v>0</v>
      </c>
      <c r="O23" s="247">
        <f>SUMIFS('Checking Transaction Log'!$E:$E,'Checking Transaction Log'!$C:$C,"&gt;="&amp;O1,'Checking Transaction Log'!$C:$C,"&lt;="&amp;P1,'Checking Transaction Log'!$A:$A,"F",'Checking Transaction Log'!$B:$B,18)</f>
        <v>400</v>
      </c>
      <c r="P23" s="247">
        <f t="shared" si="24"/>
        <v>0</v>
      </c>
      <c r="Q23" s="281">
        <f>SUMIFS('Checking Transaction Log'!$E:$E,'Checking Transaction Log'!$C:$C,"&gt;="&amp;Q1,'Checking Transaction Log'!$C:$C,"&lt;="&amp;R1,'Checking Transaction Log'!$A:$A,"F",'Checking Transaction Log'!$B:$B,18)</f>
        <v>400</v>
      </c>
      <c r="R23" s="281">
        <f t="shared" si="25"/>
        <v>0</v>
      </c>
      <c r="S23" s="243">
        <f>SUMIFS('Checking Transaction Log'!$E:$E,'Checking Transaction Log'!$C:$C,"&gt;="&amp;S1,'Checking Transaction Log'!$C:$C,"&lt;="&amp;T1,'Checking Transaction Log'!$A:$A,"F",'Checking Transaction Log'!$B:$B,18)</f>
        <v>0</v>
      </c>
      <c r="T23" s="243">
        <f t="shared" si="26"/>
        <v>400</v>
      </c>
      <c r="U23" s="284">
        <f>SUMIFS('Checking Transaction Log'!$E:$E,'Checking Transaction Log'!$C:$C,"&gt;="&amp;U1,'Checking Transaction Log'!$C:$C,"&lt;="&amp;V1,'Checking Transaction Log'!$A:$A,"F",'Checking Transaction Log'!$B:$B,18)</f>
        <v>0</v>
      </c>
      <c r="V23" s="284">
        <f t="shared" si="27"/>
        <v>400</v>
      </c>
      <c r="W23" s="247">
        <f>SUMIFS('Checking Transaction Log'!$E:$E,'Checking Transaction Log'!$C:$C,"&gt;="&amp;W1,'Checking Transaction Log'!$C:$C,"&lt;="&amp;X1,'Checking Transaction Log'!$A:$A,"F",'Checking Transaction Log'!$B:$B,18)</f>
        <v>0</v>
      </c>
      <c r="X23" s="247">
        <f t="shared" si="28"/>
        <v>400</v>
      </c>
      <c r="Y23" s="287">
        <f>SUMIFS('Checking Transaction Log'!$E:$E,'Checking Transaction Log'!$C:$C,"&gt;="&amp;Y1,'Checking Transaction Log'!$C:$C,"&lt;="&amp;Z1,'Checking Transaction Log'!$A:$A,"F",'Checking Transaction Log'!$B:$B,18)</f>
        <v>0</v>
      </c>
      <c r="Z23" s="287">
        <f t="shared" si="29"/>
        <v>400</v>
      </c>
      <c r="AA23" s="289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89">
        <f t="shared" si="30"/>
        <v>400</v>
      </c>
      <c r="AC23" s="291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91">
        <f t="shared" si="31"/>
        <v>400</v>
      </c>
      <c r="AE23" s="293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93">
        <f t="shared" si="32"/>
        <v>400</v>
      </c>
    </row>
    <row r="24" spans="1:32" ht="11.25" customHeight="1" x14ac:dyDescent="0.3">
      <c r="A24" s="295" t="str">
        <f>'Proposed Budget'!A24</f>
        <v>F</v>
      </c>
      <c r="B24" s="266">
        <f>'Proposed Budget'!B24</f>
        <v>19</v>
      </c>
      <c r="C24" s="298" t="str">
        <f>'Proposed Budget'!C24</f>
        <v>Wells Fargo - Pool</v>
      </c>
      <c r="D24" s="299">
        <f t="shared" ca="1" si="17"/>
        <v>230.45454545454547</v>
      </c>
      <c r="E24" s="300">
        <f t="shared" si="18"/>
        <v>1000</v>
      </c>
      <c r="F24" s="300">
        <f t="shared" si="19"/>
        <v>0</v>
      </c>
      <c r="G24" s="280">
        <f t="shared" si="20"/>
        <v>0</v>
      </c>
      <c r="H24" s="300">
        <f>'Proposed Budget'!D24</f>
        <v>200</v>
      </c>
      <c r="I24" s="281">
        <f>SUMIFS('Checking Transaction Log'!E:E,'Checking Transaction Log'!C:C,"&gt;="&amp;I1,'Checking Transaction Log'!C:C,"&lt;="&amp;J1,'Checking Transaction Log'!A:A,"F",'Checking Transaction Log'!B:B,19)</f>
        <v>200</v>
      </c>
      <c r="J24" s="281">
        <f t="shared" si="21"/>
        <v>0</v>
      </c>
      <c r="K24" s="243">
        <f>SUMIFS('Checking Transaction Log'!E:E,'Checking Transaction Log'!C:C,"&gt;="&amp;K1,'Checking Transaction Log'!C:C,"&lt;="&amp;L1,'Checking Transaction Log'!A:A,"F",'Checking Transaction Log'!B:B,19)</f>
        <v>200</v>
      </c>
      <c r="L24" s="243">
        <f t="shared" si="22"/>
        <v>0</v>
      </c>
      <c r="M24" s="284">
        <f>SUMIFS('Checking Transaction Log'!$E:$E,'Checking Transaction Log'!$C:$C,"&gt;="&amp;M1,'Checking Transaction Log'!$C:$C,"&lt;="&amp;N1,'Checking Transaction Log'!$A:$A,"F",'Checking Transaction Log'!$B:$B,19)</f>
        <v>200</v>
      </c>
      <c r="N24" s="284">
        <f t="shared" si="23"/>
        <v>0</v>
      </c>
      <c r="O24" s="247">
        <f>SUMIFS('Checking Transaction Log'!$E:$E,'Checking Transaction Log'!$C:$C,"&gt;="&amp;O1,'Checking Transaction Log'!$C:$C,"&lt;="&amp;P1,'Checking Transaction Log'!$A:$A,"F",'Checking Transaction Log'!$B:$B,19)</f>
        <v>200</v>
      </c>
      <c r="P24" s="247">
        <f t="shared" si="24"/>
        <v>0</v>
      </c>
      <c r="Q24" s="281">
        <f>SUMIFS('Checking Transaction Log'!$E:$E,'Checking Transaction Log'!$C:$C,"&gt;="&amp;Q1,'Checking Transaction Log'!$C:$C,"&lt;="&amp;R1,'Checking Transaction Log'!$A:$A,"F",'Checking Transaction Log'!$B:$B,19)</f>
        <v>200</v>
      </c>
      <c r="R24" s="281">
        <f t="shared" si="25"/>
        <v>0</v>
      </c>
      <c r="S24" s="243">
        <f>SUMIFS('Checking Transaction Log'!$E:$E,'Checking Transaction Log'!$C:$C,"&gt;="&amp;S1,'Checking Transaction Log'!$C:$C,"&lt;="&amp;T1,'Checking Transaction Log'!$A:$A,"F",'Checking Transaction Log'!$B:$B,19)</f>
        <v>0</v>
      </c>
      <c r="T24" s="243">
        <f t="shared" si="26"/>
        <v>200</v>
      </c>
      <c r="U24" s="284">
        <f>SUMIFS('Checking Transaction Log'!$E:$E,'Checking Transaction Log'!$C:$C,"&gt;="&amp;U1,'Checking Transaction Log'!$C:$C,"&lt;="&amp;V1,'Checking Transaction Log'!$A:$A,"F",'Checking Transaction Log'!$B:$B,19)</f>
        <v>0</v>
      </c>
      <c r="V24" s="284">
        <f t="shared" si="27"/>
        <v>200</v>
      </c>
      <c r="W24" s="247">
        <f>SUMIFS('Checking Transaction Log'!$E:$E,'Checking Transaction Log'!$C:$C,"&gt;="&amp;W1,'Checking Transaction Log'!$C:$C,"&lt;="&amp;X1,'Checking Transaction Log'!$A:$A,"F",'Checking Transaction Log'!$B:$B,19)</f>
        <v>0</v>
      </c>
      <c r="X24" s="247">
        <f t="shared" si="28"/>
        <v>200</v>
      </c>
      <c r="Y24" s="287">
        <f>SUMIFS('Checking Transaction Log'!$E:$E,'Checking Transaction Log'!$C:$C,"&gt;="&amp;Y1,'Checking Transaction Log'!$C:$C,"&lt;="&amp;Z1,'Checking Transaction Log'!$A:$A,"F",'Checking Transaction Log'!$B:$B,19)</f>
        <v>0</v>
      </c>
      <c r="Z24" s="287">
        <f t="shared" si="29"/>
        <v>200</v>
      </c>
      <c r="AA24" s="289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89">
        <f t="shared" si="30"/>
        <v>200</v>
      </c>
      <c r="AC24" s="291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91">
        <f t="shared" si="31"/>
        <v>200</v>
      </c>
      <c r="AE24" s="293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93">
        <f t="shared" si="32"/>
        <v>200</v>
      </c>
    </row>
    <row r="25" spans="1:32" ht="11.25" customHeight="1" x14ac:dyDescent="0.3">
      <c r="A25" s="295" t="str">
        <f>'Proposed Budget'!A25</f>
        <v>F</v>
      </c>
      <c r="B25" s="266">
        <f>'Proposed Budget'!B25</f>
        <v>20</v>
      </c>
      <c r="C25" s="298" t="str">
        <f>'Proposed Budget'!C25</f>
        <v>Wells Fargo - Deck</v>
      </c>
      <c r="D25" s="299">
        <f t="shared" ca="1" si="17"/>
        <v>0</v>
      </c>
      <c r="E25" s="300">
        <f t="shared" si="18"/>
        <v>0</v>
      </c>
      <c r="F25" s="300">
        <f t="shared" si="19"/>
        <v>2400</v>
      </c>
      <c r="G25" s="280">
        <f t="shared" si="20"/>
        <v>1</v>
      </c>
      <c r="H25" s="300">
        <f>'Proposed Budget'!D25</f>
        <v>600</v>
      </c>
      <c r="I25" s="281">
        <f>SUMIFS('Checking Transaction Log'!E:E,'Checking Transaction Log'!C:C,"&gt;="&amp;I1,'Checking Transaction Log'!C:C,"&lt;="&amp;J1,'Checking Transaction Log'!A:A,"F",'Checking Transaction Log'!B:B,20)</f>
        <v>0</v>
      </c>
      <c r="J25" s="281">
        <f t="shared" si="21"/>
        <v>600</v>
      </c>
      <c r="K25" s="243">
        <f>SUMIFS('Checking Transaction Log'!E:E,'Checking Transaction Log'!C:C,"&gt;="&amp;K1,'Checking Transaction Log'!C:C,"&lt;="&amp;L1,'Checking Transaction Log'!A:A,"F",'Checking Transaction Log'!B:B,20)</f>
        <v>0</v>
      </c>
      <c r="L25" s="243">
        <f t="shared" si="22"/>
        <v>600</v>
      </c>
      <c r="M25" s="284">
        <f>SUMIFS('Checking Transaction Log'!$E:$E,'Checking Transaction Log'!$C:$C,"&gt;="&amp;M1,'Checking Transaction Log'!$C:$C,"&lt;="&amp;N1,'Checking Transaction Log'!$A:$A,"F",'Checking Transaction Log'!$B:$B,20)</f>
        <v>0</v>
      </c>
      <c r="N25" s="284">
        <f t="shared" si="23"/>
        <v>600</v>
      </c>
      <c r="O25" s="247">
        <f>SUMIFS('Checking Transaction Log'!$E:$E,'Checking Transaction Log'!$C:$C,"&gt;="&amp;O1,'Checking Transaction Log'!$C:$C,"&lt;="&amp;P1,'Checking Transaction Log'!$A:$A,"F",'Checking Transaction Log'!$B:$B,20)</f>
        <v>0</v>
      </c>
      <c r="P25" s="247">
        <f t="shared" si="24"/>
        <v>600</v>
      </c>
      <c r="Q25" s="281">
        <f>SUMIFS('Checking Transaction Log'!$E:$E,'Checking Transaction Log'!$C:$C,"&gt;="&amp;Q1,'Checking Transaction Log'!$C:$C,"&lt;="&amp;R1,'Checking Transaction Log'!$A:$A,"F",'Checking Transaction Log'!$B:$B,20)</f>
        <v>0</v>
      </c>
      <c r="R25" s="281">
        <f t="shared" si="25"/>
        <v>600</v>
      </c>
      <c r="S25" s="243">
        <f>SUMIFS('Checking Transaction Log'!$E:$E,'Checking Transaction Log'!$C:$C,"&gt;="&amp;S1,'Checking Transaction Log'!$C:$C,"&lt;="&amp;T1,'Checking Transaction Log'!$A:$A,"F",'Checking Transaction Log'!$B:$B,20)</f>
        <v>0</v>
      </c>
      <c r="T25" s="243">
        <f t="shared" si="26"/>
        <v>600</v>
      </c>
      <c r="U25" s="284">
        <f>SUMIFS('Checking Transaction Log'!$E:$E,'Checking Transaction Log'!$C:$C,"&gt;="&amp;U1,'Checking Transaction Log'!$C:$C,"&lt;="&amp;V1,'Checking Transaction Log'!$A:$A,"F",'Checking Transaction Log'!$B:$B,20)</f>
        <v>0</v>
      </c>
      <c r="V25" s="284">
        <f t="shared" si="27"/>
        <v>600</v>
      </c>
      <c r="W25" s="247">
        <f>SUMIFS('Checking Transaction Log'!$E:$E,'Checking Transaction Log'!$C:$C,"&gt;="&amp;W1,'Checking Transaction Log'!$C:$C,"&lt;="&amp;X1,'Checking Transaction Log'!$A:$A,"F",'Checking Transaction Log'!$B:$B,20)</f>
        <v>0</v>
      </c>
      <c r="X25" s="247">
        <f t="shared" si="28"/>
        <v>600</v>
      </c>
      <c r="Y25" s="287">
        <f>SUMIFS('Checking Transaction Log'!$E:$E,'Checking Transaction Log'!$C:$C,"&gt;="&amp;Y1,'Checking Transaction Log'!$C:$C,"&lt;="&amp;Z1,'Checking Transaction Log'!$A:$A,"F",'Checking Transaction Log'!$B:$B,20)</f>
        <v>0</v>
      </c>
      <c r="Z25" s="287">
        <f t="shared" si="29"/>
        <v>600</v>
      </c>
      <c r="AA25" s="289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89">
        <f t="shared" si="30"/>
        <v>600</v>
      </c>
      <c r="AC25" s="291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91">
        <f t="shared" si="31"/>
        <v>600</v>
      </c>
      <c r="AE25" s="293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93">
        <f t="shared" si="32"/>
        <v>600</v>
      </c>
    </row>
    <row r="26" spans="1:32" ht="11.25" customHeight="1" x14ac:dyDescent="0.3">
      <c r="A26" s="295" t="str">
        <f>'Proposed Budget'!A26</f>
        <v>F</v>
      </c>
      <c r="B26" s="266">
        <f>'Proposed Budget'!B26</f>
        <v>21</v>
      </c>
      <c r="C26" s="298" t="str">
        <f>'Proposed Budget'!C26</f>
        <v>Massage Envy</v>
      </c>
      <c r="D26" s="299">
        <f t="shared" ca="1" si="17"/>
        <v>92.426100000000005</v>
      </c>
      <c r="E26" s="300">
        <f t="shared" si="18"/>
        <v>401.05999999999995</v>
      </c>
      <c r="F26" s="300">
        <f t="shared" si="19"/>
        <v>-61.059999999999988</v>
      </c>
      <c r="G26" s="280">
        <f t="shared" si="20"/>
        <v>-0.1795882352941176</v>
      </c>
      <c r="H26" s="300">
        <f>'Proposed Budget'!D26</f>
        <v>85</v>
      </c>
      <c r="I26" s="281">
        <f>SUMIFS('Checking Transaction Log'!E:E,'Checking Transaction Log'!C:C,"&gt;="&amp;I1,'Checking Transaction Log'!C:C,"&lt;="&amp;J1,'Checking Transaction Log'!A:A,"F",'Checking Transaction Log'!B:B,21)</f>
        <v>100.79</v>
      </c>
      <c r="J26" s="281">
        <f t="shared" si="21"/>
        <v>-15.790000000000006</v>
      </c>
      <c r="K26" s="243">
        <f>SUMIFS('Checking Transaction Log'!E:E,'Checking Transaction Log'!C:C,"&gt;="&amp;K1,'Checking Transaction Log'!C:C,"&lt;="&amp;L1,'Checking Transaction Log'!A:A,"F",'Checking Transaction Log'!B:B,21)</f>
        <v>108.35</v>
      </c>
      <c r="L26" s="243">
        <f t="shared" si="22"/>
        <v>-23.349999999999994</v>
      </c>
      <c r="M26" s="284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84">
        <f t="shared" si="23"/>
        <v>-31.319999999999993</v>
      </c>
      <c r="O26" s="247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47">
        <f t="shared" si="24"/>
        <v>9.4000000000000057</v>
      </c>
      <c r="Q26" s="281">
        <f>SUMIFS('Checking Transaction Log'!$E:$E,'Checking Transaction Log'!$C:$C,"&gt;="&amp;Q1,'Checking Transaction Log'!$C:$C,"&lt;="&amp;R1,'Checking Transaction Log'!$A:$A,"F",'Checking Transaction Log'!$B:$B,21)</f>
        <v>0</v>
      </c>
      <c r="R26" s="281">
        <f t="shared" si="25"/>
        <v>85</v>
      </c>
      <c r="S26" s="243">
        <f>SUMIFS('Checking Transaction Log'!$E:$E,'Checking Transaction Log'!$C:$C,"&gt;="&amp;S1,'Checking Transaction Log'!$C:$C,"&lt;="&amp;T1,'Checking Transaction Log'!$A:$A,"F",'Checking Transaction Log'!$B:$B,21)</f>
        <v>0</v>
      </c>
      <c r="T26" s="243">
        <f t="shared" si="26"/>
        <v>85</v>
      </c>
      <c r="U26" s="284">
        <f>SUMIFS('Checking Transaction Log'!$E:$E,'Checking Transaction Log'!$C:$C,"&gt;="&amp;U1,'Checking Transaction Log'!$C:$C,"&lt;="&amp;V1,'Checking Transaction Log'!$A:$A,"F",'Checking Transaction Log'!$B:$B,21)</f>
        <v>0</v>
      </c>
      <c r="V26" s="284">
        <f t="shared" si="27"/>
        <v>85</v>
      </c>
      <c r="W26" s="247">
        <f>SUMIFS('Checking Transaction Log'!$E:$E,'Checking Transaction Log'!$C:$C,"&gt;="&amp;W1,'Checking Transaction Log'!$C:$C,"&lt;="&amp;X1,'Checking Transaction Log'!$A:$A,"F",'Checking Transaction Log'!$B:$B,21)</f>
        <v>0</v>
      </c>
      <c r="X26" s="247">
        <f t="shared" si="28"/>
        <v>85</v>
      </c>
      <c r="Y26" s="287">
        <f>SUMIFS('Checking Transaction Log'!$E:$E,'Checking Transaction Log'!$C:$C,"&gt;="&amp;Y1,'Checking Transaction Log'!$C:$C,"&lt;="&amp;Z1,'Checking Transaction Log'!$A:$A,"F",'Checking Transaction Log'!$B:$B,21)</f>
        <v>0</v>
      </c>
      <c r="Z26" s="287">
        <f t="shared" si="29"/>
        <v>85</v>
      </c>
      <c r="AA26" s="289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89">
        <f t="shared" si="30"/>
        <v>85</v>
      </c>
      <c r="AC26" s="291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91">
        <f t="shared" si="31"/>
        <v>85</v>
      </c>
      <c r="AE26" s="293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93">
        <f t="shared" si="32"/>
        <v>85</v>
      </c>
    </row>
    <row r="27" spans="1:32" ht="11.25" customHeight="1" x14ac:dyDescent="0.3">
      <c r="A27" s="295" t="str">
        <f>'Proposed Budget'!A27</f>
        <v>F</v>
      </c>
      <c r="B27" s="266">
        <f>'Proposed Budget'!B27</f>
        <v>22</v>
      </c>
      <c r="C27" s="298" t="str">
        <f>'Proposed Budget'!C27</f>
        <v>Streaming/Music</v>
      </c>
      <c r="D27" s="299">
        <f t="shared" ca="1" si="17"/>
        <v>114.31006363636365</v>
      </c>
      <c r="E27" s="300">
        <f t="shared" si="18"/>
        <v>496.02</v>
      </c>
      <c r="F27" s="300">
        <f t="shared" si="19"/>
        <v>-41.759999999999977</v>
      </c>
      <c r="G27" s="280">
        <f t="shared" si="20"/>
        <v>-9.1929731871615461E-2</v>
      </c>
      <c r="H27" s="300">
        <f>'Proposed Budget'!D27</f>
        <v>100</v>
      </c>
      <c r="I27" s="281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81">
        <f t="shared" si="21"/>
        <v>-118.26999999999998</v>
      </c>
      <c r="K27" s="243">
        <f>SUMIFS('Checking Transaction Log'!E:E,'Checking Transaction Log'!C:C,"&gt;="&amp;K1,'Checking Transaction Log'!C:C,"&lt;="&amp;L1,'Checking Transaction Log'!A:A,"F",'Checking Transaction Log'!B:B,22)</f>
        <v>67.05</v>
      </c>
      <c r="L27" s="243">
        <f t="shared" si="22"/>
        <v>32.950000000000003</v>
      </c>
      <c r="M27" s="284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84">
        <f t="shared" si="23"/>
        <v>20.180000000000007</v>
      </c>
      <c r="O27" s="247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47">
        <f t="shared" si="24"/>
        <v>23.379999999999995</v>
      </c>
      <c r="Q27" s="281">
        <f>SUMIFS('Checking Transaction Log'!$E:$E,'Checking Transaction Log'!$C:$C,"&gt;="&amp;Q1,'Checking Transaction Log'!$C:$C,"&lt;="&amp;R1,'Checking Transaction Log'!$A:$A,"F",'Checking Transaction Log'!$B:$B,22)</f>
        <v>54.26</v>
      </c>
      <c r="R27" s="281">
        <f t="shared" si="25"/>
        <v>45.74</v>
      </c>
      <c r="S27" s="243">
        <f>SUMIFS('Checking Transaction Log'!$E:$E,'Checking Transaction Log'!$C:$C,"&gt;="&amp;S1,'Checking Transaction Log'!$C:$C,"&lt;="&amp;T1,'Checking Transaction Log'!$A:$A,"F",'Checking Transaction Log'!$B:$B,22)</f>
        <v>0</v>
      </c>
      <c r="T27" s="243">
        <f t="shared" si="26"/>
        <v>100</v>
      </c>
      <c r="U27" s="284">
        <f>SUMIFS('Checking Transaction Log'!$E:$E,'Checking Transaction Log'!$C:$C,"&gt;="&amp;U1,'Checking Transaction Log'!$C:$C,"&lt;="&amp;V1,'Checking Transaction Log'!$A:$A,"F",'Checking Transaction Log'!$B:$B,22)</f>
        <v>0</v>
      </c>
      <c r="V27" s="284">
        <f t="shared" si="27"/>
        <v>100</v>
      </c>
      <c r="W27" s="247">
        <f>SUMIFS('Checking Transaction Log'!$E:$E,'Checking Transaction Log'!$C:$C,"&gt;="&amp;W1,'Checking Transaction Log'!$C:$C,"&lt;="&amp;X1,'Checking Transaction Log'!$A:$A,"F",'Checking Transaction Log'!$B:$B,22)</f>
        <v>0</v>
      </c>
      <c r="X27" s="247">
        <f t="shared" si="28"/>
        <v>100</v>
      </c>
      <c r="Y27" s="287">
        <f>SUMIFS('Checking Transaction Log'!$E:$E,'Checking Transaction Log'!$C:$C,"&gt;="&amp;Y1,'Checking Transaction Log'!$C:$C,"&lt;="&amp;Z1,'Checking Transaction Log'!$A:$A,"F",'Checking Transaction Log'!$B:$B,22)</f>
        <v>0</v>
      </c>
      <c r="Z27" s="287">
        <f t="shared" si="29"/>
        <v>100</v>
      </c>
      <c r="AA27" s="289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89">
        <f t="shared" si="30"/>
        <v>100</v>
      </c>
      <c r="AC27" s="291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91">
        <f t="shared" si="31"/>
        <v>100</v>
      </c>
      <c r="AE27" s="293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93">
        <f t="shared" si="32"/>
        <v>100</v>
      </c>
    </row>
    <row r="28" spans="1:32" ht="11.25" customHeight="1" x14ac:dyDescent="0.3">
      <c r="A28" s="295" t="str">
        <f>'Proposed Budget'!A28</f>
        <v>F</v>
      </c>
      <c r="B28" s="266">
        <f>'Proposed Budget'!B28</f>
        <v>23</v>
      </c>
      <c r="C28" s="298" t="str">
        <f>'Proposed Budget'!C28</f>
        <v>GM Financial/Toyota</v>
      </c>
      <c r="D28" s="299">
        <f t="shared" ca="1" si="17"/>
        <v>1088.058872727273</v>
      </c>
      <c r="E28" s="300">
        <f t="shared" si="18"/>
        <v>4721.3600000000006</v>
      </c>
      <c r="F28" s="300">
        <f t="shared" si="19"/>
        <v>78.639999999999418</v>
      </c>
      <c r="G28" s="280">
        <f t="shared" si="20"/>
        <v>1.6383333333333194E-2</v>
      </c>
      <c r="H28" s="300">
        <f>'Proposed Budget'!D28</f>
        <v>1200</v>
      </c>
      <c r="I28" s="281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81">
        <f t="shared" si="21"/>
        <v>19.659999999999854</v>
      </c>
      <c r="K28" s="243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43">
        <f t="shared" si="22"/>
        <v>19.659999999999854</v>
      </c>
      <c r="M28" s="284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84">
        <f t="shared" si="23"/>
        <v>19.659999999999854</v>
      </c>
      <c r="O28" s="247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47">
        <f t="shared" si="24"/>
        <v>19.659999999999854</v>
      </c>
      <c r="Q28" s="281">
        <f>SUMIFS('Checking Transaction Log'!$E:$E,'Checking Transaction Log'!$C:$C,"&gt;="&amp;Q1,'Checking Transaction Log'!$C:$C,"&lt;="&amp;R1,'Checking Transaction Log'!$A:$A,"F",'Checking Transaction Log'!$B:$B,23)</f>
        <v>0</v>
      </c>
      <c r="R28" s="281">
        <f t="shared" si="25"/>
        <v>1200</v>
      </c>
      <c r="S28" s="243">
        <f>SUMIFS('Checking Transaction Log'!$E:$E,'Checking Transaction Log'!$C:$C,"&gt;="&amp;S1,'Checking Transaction Log'!$C:$C,"&lt;="&amp;T1,'Checking Transaction Log'!$A:$A,"F",'Checking Transaction Log'!$B:$B,23)</f>
        <v>0</v>
      </c>
      <c r="T28" s="243">
        <f t="shared" si="26"/>
        <v>1200</v>
      </c>
      <c r="U28" s="284">
        <f>SUMIFS('Checking Transaction Log'!$E:$E,'Checking Transaction Log'!$C:$C,"&gt;="&amp;U1,'Checking Transaction Log'!$C:$C,"&lt;="&amp;V1,'Checking Transaction Log'!$A:$A,"F",'Checking Transaction Log'!$B:$B,23)</f>
        <v>0</v>
      </c>
      <c r="V28" s="284">
        <f t="shared" si="27"/>
        <v>1200</v>
      </c>
      <c r="W28" s="247">
        <f>SUMIFS('Checking Transaction Log'!$E:$E,'Checking Transaction Log'!$C:$C,"&gt;="&amp;W1,'Checking Transaction Log'!$C:$C,"&lt;="&amp;X1,'Checking Transaction Log'!$A:$A,"F",'Checking Transaction Log'!$B:$B,23)</f>
        <v>0</v>
      </c>
      <c r="X28" s="247">
        <f t="shared" si="28"/>
        <v>1200</v>
      </c>
      <c r="Y28" s="287">
        <f>SUMIFS('Checking Transaction Log'!$E:$E,'Checking Transaction Log'!$C:$C,"&gt;="&amp;Y1,'Checking Transaction Log'!$C:$C,"&lt;="&amp;Z1,'Checking Transaction Log'!$A:$A,"F",'Checking Transaction Log'!$B:$B,23)</f>
        <v>0</v>
      </c>
      <c r="Z28" s="287">
        <f t="shared" si="29"/>
        <v>1200</v>
      </c>
      <c r="AA28" s="289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89">
        <f t="shared" si="30"/>
        <v>1200</v>
      </c>
      <c r="AC28" s="291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91">
        <f t="shared" si="31"/>
        <v>1200</v>
      </c>
      <c r="AE28" s="293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93">
        <f t="shared" si="32"/>
        <v>1200</v>
      </c>
    </row>
    <row r="29" spans="1:32" ht="11.25" customHeight="1" x14ac:dyDescent="0.3">
      <c r="A29" s="295" t="str">
        <f>'Proposed Budget'!A29</f>
        <v>F</v>
      </c>
      <c r="B29" s="266">
        <f>'Proposed Budget'!B29</f>
        <v>24</v>
      </c>
      <c r="C29" s="298" t="str">
        <f>'Proposed Budget'!C29</f>
        <v>Ohio Turnpike</v>
      </c>
      <c r="D29" s="299">
        <f t="shared" ca="1" si="17"/>
        <v>102.2619</v>
      </c>
      <c r="E29" s="300">
        <f t="shared" si="18"/>
        <v>443.73999999999995</v>
      </c>
      <c r="F29" s="300">
        <f t="shared" si="19"/>
        <v>36.260000000000005</v>
      </c>
      <c r="G29" s="280">
        <f t="shared" si="20"/>
        <v>7.5541666666666618E-2</v>
      </c>
      <c r="H29" s="300">
        <f>'Proposed Budget'!D29</f>
        <v>120</v>
      </c>
      <c r="I29" s="281">
        <f>SUMIFS('Checking Transaction Log'!E:E,'Checking Transaction Log'!C:C,"&gt;="&amp;I1,'Checking Transaction Log'!C:C,"&lt;="&amp;J1,'Checking Transaction Log'!A:A,"F",'Checking Transaction Log'!B:B,24)</f>
        <v>83.42</v>
      </c>
      <c r="J29" s="281">
        <f t="shared" si="21"/>
        <v>36.58</v>
      </c>
      <c r="K29" s="243">
        <f>SUMIFS('Checking Transaction Log'!E:E,'Checking Transaction Log'!C:C,"&gt;="&amp;K1,'Checking Transaction Log'!C:C,"&lt;="&amp;L1,'Checking Transaction Log'!A:A,"F",'Checking Transaction Log'!B:B,24)</f>
        <v>168.41</v>
      </c>
      <c r="L29" s="243">
        <f t="shared" si="22"/>
        <v>-48.41</v>
      </c>
      <c r="M29" s="284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84">
        <f t="shared" si="23"/>
        <v>33.42</v>
      </c>
      <c r="O29" s="247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47">
        <f t="shared" si="24"/>
        <v>14.670000000000002</v>
      </c>
      <c r="Q29" s="281">
        <f>SUMIFS('Checking Transaction Log'!$E:$E,'Checking Transaction Log'!$C:$C,"&gt;="&amp;Q1,'Checking Transaction Log'!$C:$C,"&lt;="&amp;R1,'Checking Transaction Log'!$A:$A,"F",'Checking Transaction Log'!$B:$B,24)</f>
        <v>0</v>
      </c>
      <c r="R29" s="281">
        <f t="shared" si="25"/>
        <v>120</v>
      </c>
      <c r="S29" s="243">
        <f>SUMIFS('Checking Transaction Log'!$E:$E,'Checking Transaction Log'!$C:$C,"&gt;="&amp;S1,'Checking Transaction Log'!$C:$C,"&lt;="&amp;T1,'Checking Transaction Log'!$A:$A,"F",'Checking Transaction Log'!$B:$B,24)</f>
        <v>0</v>
      </c>
      <c r="T29" s="243">
        <f t="shared" si="26"/>
        <v>120</v>
      </c>
      <c r="U29" s="284">
        <f>SUMIFS('Checking Transaction Log'!$E:$E,'Checking Transaction Log'!$C:$C,"&gt;="&amp;U1,'Checking Transaction Log'!$C:$C,"&lt;="&amp;V1,'Checking Transaction Log'!$A:$A,"F",'Checking Transaction Log'!$B:$B,24)</f>
        <v>0</v>
      </c>
      <c r="V29" s="284">
        <f t="shared" si="27"/>
        <v>120</v>
      </c>
      <c r="W29" s="247">
        <f>SUMIFS('Checking Transaction Log'!$E:$E,'Checking Transaction Log'!$C:$C,"&gt;="&amp;W1,'Checking Transaction Log'!$C:$C,"&lt;="&amp;X1,'Checking Transaction Log'!$A:$A,"F",'Checking Transaction Log'!$B:$B,24)</f>
        <v>0</v>
      </c>
      <c r="X29" s="247">
        <f t="shared" si="28"/>
        <v>120</v>
      </c>
      <c r="Y29" s="287">
        <f>SUMIFS('Checking Transaction Log'!$E:$E,'Checking Transaction Log'!$C:$C,"&gt;="&amp;Y1,'Checking Transaction Log'!$C:$C,"&lt;="&amp;Z1,'Checking Transaction Log'!$A:$A,"F",'Checking Transaction Log'!$B:$B,24)</f>
        <v>0</v>
      </c>
      <c r="Z29" s="287">
        <f t="shared" si="29"/>
        <v>120</v>
      </c>
      <c r="AA29" s="289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89">
        <f t="shared" si="30"/>
        <v>120</v>
      </c>
      <c r="AC29" s="291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91">
        <f t="shared" si="31"/>
        <v>120</v>
      </c>
      <c r="AE29" s="293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93">
        <f t="shared" si="32"/>
        <v>120</v>
      </c>
    </row>
    <row r="30" spans="1:32" ht="11.25" customHeight="1" x14ac:dyDescent="0.3">
      <c r="A30" s="295" t="str">
        <f>'Proposed Budget'!A30</f>
        <v>F</v>
      </c>
      <c r="B30" s="266">
        <f>'Proposed Budget'!B30</f>
        <v>42</v>
      </c>
      <c r="C30" s="298" t="str">
        <f>'Proposed Budget'!C30</f>
        <v>Water Bill - Main</v>
      </c>
      <c r="D30" s="299">
        <f t="shared" ca="1" si="17"/>
        <v>81.546340909090915</v>
      </c>
      <c r="E30" s="300">
        <f t="shared" si="18"/>
        <v>353.85</v>
      </c>
      <c r="F30" s="300">
        <f t="shared" si="19"/>
        <v>-53.849999999999994</v>
      </c>
      <c r="G30" s="280">
        <f t="shared" si="20"/>
        <v>-0.17949999999999999</v>
      </c>
      <c r="H30" s="300">
        <f>'Proposed Budget'!D30</f>
        <v>75</v>
      </c>
      <c r="I30" s="281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81">
        <f t="shared" si="21"/>
        <v>-5.9899999999999949</v>
      </c>
      <c r="K30" s="243">
        <f>SUMIFS('Checking Transaction Log'!E:E,'Checking Transaction Log'!C:C,"&gt;="&amp;K1,'Checking Transaction Log'!C:C,"&lt;="&amp;L1,'Checking Transaction Log'!A:A,"F",'Checking Transaction Log'!B:B,42)</f>
        <v>88.44</v>
      </c>
      <c r="L30" s="243">
        <f t="shared" si="22"/>
        <v>-13.439999999999998</v>
      </c>
      <c r="M30" s="284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84">
        <f t="shared" si="23"/>
        <v>-21.25</v>
      </c>
      <c r="O30" s="247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47">
        <f t="shared" si="24"/>
        <v>-13.170000000000002</v>
      </c>
      <c r="Q30" s="281">
        <f>SUMIFS('Checking Transaction Log'!$E:$E,'Checking Transaction Log'!$C:$C,"&gt;="&amp;Q1,'Checking Transaction Log'!$C:$C,"&lt;="&amp;R1,'Checking Transaction Log'!$A:$A,"F",'Checking Transaction Log'!$B:$B,42)</f>
        <v>0</v>
      </c>
      <c r="R30" s="281">
        <f t="shared" si="25"/>
        <v>75</v>
      </c>
      <c r="S30" s="243">
        <f>SUMIFS('Checking Transaction Log'!$E:$E,'Checking Transaction Log'!$C:$C,"&gt;="&amp;S1,'Checking Transaction Log'!$C:$C,"&lt;="&amp;T1,'Checking Transaction Log'!$A:$A,"F",'Checking Transaction Log'!$B:$B,42)</f>
        <v>0</v>
      </c>
      <c r="T30" s="243">
        <f t="shared" si="26"/>
        <v>75</v>
      </c>
      <c r="U30" s="284">
        <f>SUMIFS('Checking Transaction Log'!$E:$E,'Checking Transaction Log'!$C:$C,"&gt;="&amp;U1,'Checking Transaction Log'!$C:$C,"&lt;="&amp;V1,'Checking Transaction Log'!$A:$A,"F",'Checking Transaction Log'!$B:$B,42)</f>
        <v>0</v>
      </c>
      <c r="V30" s="284">
        <f t="shared" si="27"/>
        <v>75</v>
      </c>
      <c r="W30" s="247">
        <f>SUMIFS('Checking Transaction Log'!$E:$E,'Checking Transaction Log'!$C:$C,"&gt;="&amp;W1,'Checking Transaction Log'!$C:$C,"&lt;="&amp;X1,'Checking Transaction Log'!$A:$A,"F",'Checking Transaction Log'!$B:$B,42)</f>
        <v>0</v>
      </c>
      <c r="X30" s="247">
        <f t="shared" si="28"/>
        <v>75</v>
      </c>
      <c r="Y30" s="287">
        <f>SUMIFS('Checking Transaction Log'!$E:$E,'Checking Transaction Log'!$C:$C,"&gt;="&amp;Y1,'Checking Transaction Log'!$C:$C,"&lt;="&amp;Z1,'Checking Transaction Log'!$A:$A,"F",'Checking Transaction Log'!$B:$B,42)</f>
        <v>0</v>
      </c>
      <c r="Z30" s="287">
        <f t="shared" si="29"/>
        <v>75</v>
      </c>
      <c r="AA30" s="289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89">
        <f t="shared" si="30"/>
        <v>75</v>
      </c>
      <c r="AC30" s="291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91">
        <f t="shared" si="31"/>
        <v>75</v>
      </c>
      <c r="AE30" s="293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93">
        <f t="shared" si="32"/>
        <v>75</v>
      </c>
    </row>
    <row r="31" spans="1:32" ht="11.25" customHeight="1" x14ac:dyDescent="0.3">
      <c r="A31" s="295" t="str">
        <f>'Proposed Budget'!A31</f>
        <v>F</v>
      </c>
      <c r="B31" s="266">
        <f>'Proposed Budget'!B31</f>
        <v>43</v>
      </c>
      <c r="C31" s="298" t="str">
        <f>'Proposed Budget'!C31</f>
        <v>Water Bill - Rental</v>
      </c>
      <c r="D31" s="299">
        <f t="shared" ca="1" si="17"/>
        <v>62.67441818181819</v>
      </c>
      <c r="E31" s="300">
        <f t="shared" si="18"/>
        <v>271.96000000000004</v>
      </c>
      <c r="F31" s="300">
        <f t="shared" si="19"/>
        <v>28.039999999999992</v>
      </c>
      <c r="G31" s="280">
        <f t="shared" si="20"/>
        <v>9.3466666666666587E-2</v>
      </c>
      <c r="H31" s="300">
        <f>'Proposed Budget'!D31</f>
        <v>75</v>
      </c>
      <c r="I31" s="281">
        <f>SUMIFS('Checking Transaction Log'!E:E,'Checking Transaction Log'!C:C,"&gt;="&amp;I1,'Checking Transaction Log'!C:C,"&lt;="&amp;J1,'Checking Transaction Log'!A:A,"F",'Checking Transaction Log'!B:B,43)</f>
        <v>66.53</v>
      </c>
      <c r="J31" s="281">
        <f t="shared" si="21"/>
        <v>8.4699999999999989</v>
      </c>
      <c r="K31" s="243">
        <f>SUMIFS('Checking Transaction Log'!E:E,'Checking Transaction Log'!C:C,"&gt;="&amp;K1,'Checking Transaction Log'!C:C,"&lt;="&amp;L1,'Checking Transaction Log'!A:A,"F",'Checking Transaction Log'!B:B,43)</f>
        <v>66.97</v>
      </c>
      <c r="L31" s="243">
        <f t="shared" si="22"/>
        <v>8.0300000000000011</v>
      </c>
      <c r="M31" s="284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84">
        <f t="shared" si="23"/>
        <v>9.8100000000000023</v>
      </c>
      <c r="O31" s="247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47">
        <f t="shared" si="24"/>
        <v>1.7299999999999898</v>
      </c>
      <c r="Q31" s="281">
        <f>SUMIFS('Checking Transaction Log'!$E:$E,'Checking Transaction Log'!$C:$C,"&gt;="&amp;Q1,'Checking Transaction Log'!$C:$C,"&lt;="&amp;R1,'Checking Transaction Log'!$A:$A,"F",'Checking Transaction Log'!$B:$B,43)</f>
        <v>0</v>
      </c>
      <c r="R31" s="281">
        <f t="shared" si="25"/>
        <v>75</v>
      </c>
      <c r="S31" s="243">
        <f>SUMIFS('Checking Transaction Log'!$E:$E,'Checking Transaction Log'!$C:$C,"&gt;="&amp;S1,'Checking Transaction Log'!$C:$C,"&lt;="&amp;T1,'Checking Transaction Log'!$A:$A,"F",'Checking Transaction Log'!$B:$B,43)</f>
        <v>0</v>
      </c>
      <c r="T31" s="243">
        <f t="shared" si="26"/>
        <v>75</v>
      </c>
      <c r="U31" s="284">
        <f>SUMIFS('Checking Transaction Log'!$E:$E,'Checking Transaction Log'!$C:$C,"&gt;="&amp;U1,'Checking Transaction Log'!$C:$C,"&lt;="&amp;V1,'Checking Transaction Log'!$A:$A,"F",'Checking Transaction Log'!$B:$B,43)</f>
        <v>0</v>
      </c>
      <c r="V31" s="284">
        <f t="shared" si="27"/>
        <v>75</v>
      </c>
      <c r="W31" s="247">
        <f>SUMIFS('Checking Transaction Log'!$E:$E,'Checking Transaction Log'!$C:$C,"&gt;="&amp;W1,'Checking Transaction Log'!$C:$C,"&lt;="&amp;X1,'Checking Transaction Log'!$A:$A,"F",'Checking Transaction Log'!$B:$B,43)</f>
        <v>0</v>
      </c>
      <c r="X31" s="247">
        <f t="shared" si="28"/>
        <v>75</v>
      </c>
      <c r="Y31" s="287">
        <f>SUMIFS('Checking Transaction Log'!$E:$E,'Checking Transaction Log'!$C:$C,"&gt;="&amp;Y1,'Checking Transaction Log'!$C:$C,"&lt;="&amp;Z1,'Checking Transaction Log'!$A:$A,"F",'Checking Transaction Log'!$B:$B,43)</f>
        <v>0</v>
      </c>
      <c r="Z31" s="287">
        <f t="shared" si="29"/>
        <v>75</v>
      </c>
      <c r="AA31" s="289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89">
        <f t="shared" si="30"/>
        <v>75</v>
      </c>
      <c r="AC31" s="291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91">
        <f t="shared" si="31"/>
        <v>75</v>
      </c>
      <c r="AE31" s="293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93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95" t="str">
        <f>'Proposed Budget'!A33</f>
        <v>R</v>
      </c>
      <c r="B33" s="266">
        <f>'Proposed Budget'!B33</f>
        <v>25</v>
      </c>
      <c r="C33" s="298" t="str">
        <f>'Proposed Budget'!C33</f>
        <v>Vehicle Maintenance</v>
      </c>
      <c r="D33" s="299">
        <f t="shared" ref="D33:D43" ca="1" si="33">(E33/(TODAY()-$I$1))*30.42</f>
        <v>322.63636363636363</v>
      </c>
      <c r="E33" s="300">
        <f t="shared" ref="E33:E43" si="34">Q33+S33+U33+W33+Y33+AA33+AC33+AE33+I33+K33+M33+O33</f>
        <v>1400</v>
      </c>
      <c r="F33" s="300">
        <f t="shared" ref="F33:F43" si="35">J33+L33+N33+P33</f>
        <v>0</v>
      </c>
      <c r="G33" s="280">
        <f t="shared" ref="G33:G43" si="36">1-((E33/SUM(E33:F33)))</f>
        <v>0</v>
      </c>
      <c r="H33" s="300">
        <f>'Proposed Budget'!D33</f>
        <v>350</v>
      </c>
      <c r="I33" s="281">
        <f>SUMIFS('Checking Transaction Log'!$E:$E,'Checking Transaction Log'!$C:$C,"&gt;="&amp;I1,'Checking Transaction Log'!$C:$C,"&lt;="&amp;J1,'Checking Transaction Log'!$A:$A,"R",'Checking Transaction Log'!$B:$B,25)</f>
        <v>350</v>
      </c>
      <c r="J33" s="281">
        <f t="shared" ref="J33:J43" si="37">H33-I33</f>
        <v>0</v>
      </c>
      <c r="K33" s="243">
        <f>SUMIFS('Checking Transaction Log'!$E:$E,'Checking Transaction Log'!$C:$C,"&gt;="&amp;K1,'Checking Transaction Log'!$C:$C,"&lt;="&amp;L1,'Checking Transaction Log'!$A:$A,"R",'Checking Transaction Log'!$B:$B,25)</f>
        <v>350</v>
      </c>
      <c r="L33" s="243">
        <f t="shared" ref="L33:L43" si="38">H33-K33</f>
        <v>0</v>
      </c>
      <c r="M33" s="284">
        <f>SUMIFS('Checking Transaction Log'!$E:$E,'Checking Transaction Log'!$C:$C,"&gt;="&amp;M1,'Checking Transaction Log'!$C:$C,"&lt;="&amp;N1,'Checking Transaction Log'!$A:$A,"R",'Checking Transaction Log'!$B:$B,25)</f>
        <v>350</v>
      </c>
      <c r="N33" s="284">
        <f t="shared" ref="N33:N43" si="39">H33-M33</f>
        <v>0</v>
      </c>
      <c r="O33" s="247">
        <f>SUMIFS('Checking Transaction Log'!$E:$E,'Checking Transaction Log'!$C:$C,"&gt;="&amp;O1,'Checking Transaction Log'!$C:$C,"&lt;="&amp;P1,'Checking Transaction Log'!$A:$A,"R",'Checking Transaction Log'!$B:$B,25)</f>
        <v>350</v>
      </c>
      <c r="P33" s="247">
        <f t="shared" ref="P33:P43" si="40">H33-O33</f>
        <v>0</v>
      </c>
      <c r="Q33" s="281">
        <f>SUMIFS('Checking Transaction Log'!$E:$E,'Checking Transaction Log'!$C:$C,"&gt;="&amp;Q1,'Checking Transaction Log'!$C:$C,"&lt;="&amp;R1,'Checking Transaction Log'!$A:$A,"R",'Checking Transaction Log'!$B:$B,25)</f>
        <v>0</v>
      </c>
      <c r="R33" s="281">
        <f t="shared" ref="R33:R43" si="41">H33-Q33</f>
        <v>350</v>
      </c>
      <c r="S33" s="243">
        <f>SUMIFS('Checking Transaction Log'!$E:$E,'Checking Transaction Log'!$C:$C,"&gt;="&amp;S1,'Checking Transaction Log'!$C:$C,"&lt;="&amp;T1,'Checking Transaction Log'!$A:$A,"R",'Checking Transaction Log'!$B:$B,25)</f>
        <v>0</v>
      </c>
      <c r="T33" s="243">
        <f t="shared" ref="T33:T43" si="42">H33-S33</f>
        <v>350</v>
      </c>
      <c r="U33" s="284">
        <f>SUMIFS('Checking Transaction Log'!$E:$E,'Checking Transaction Log'!$C:$C,"&gt;="&amp;U1,'Checking Transaction Log'!$C:$C,"&lt;="&amp;V1,'Checking Transaction Log'!$A:$A,"R",'Checking Transaction Log'!$B:$B,25)</f>
        <v>0</v>
      </c>
      <c r="V33" s="284">
        <f t="shared" ref="V33:V43" si="43">H33-U33</f>
        <v>350</v>
      </c>
      <c r="W33" s="247">
        <f>SUMIFS('Checking Transaction Log'!$E:$E,'Checking Transaction Log'!$C:$C,"&gt;="&amp;W1,'Checking Transaction Log'!$C:$C,"&lt;="&amp;X1,'Checking Transaction Log'!$A:$A,"R",'Checking Transaction Log'!$B:$B,25)</f>
        <v>0</v>
      </c>
      <c r="X33" s="247">
        <f t="shared" ref="X33:X43" si="44">H33-W33</f>
        <v>350</v>
      </c>
      <c r="Y33" s="287">
        <f>SUMIFS('Checking Transaction Log'!$E:$E,'Checking Transaction Log'!$C:$C,"&gt;="&amp;Y1,'Checking Transaction Log'!$C:$C,"&lt;="&amp;Z1,'Checking Transaction Log'!$A:$A,"R",'Checking Transaction Log'!$B:$B,25)</f>
        <v>0</v>
      </c>
      <c r="Z33" s="287">
        <f t="shared" ref="Z33:Z43" si="45">H33-Y33</f>
        <v>350</v>
      </c>
      <c r="AA33" s="289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89">
        <f t="shared" ref="AB33:AB43" si="46">H33-AA33</f>
        <v>350</v>
      </c>
      <c r="AC33" s="291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91">
        <f t="shared" ref="AD33:AD43" si="47">H33-AC33</f>
        <v>350</v>
      </c>
      <c r="AE33" s="293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93">
        <f t="shared" ref="AF33:AF43" si="48">H33-AE33</f>
        <v>350</v>
      </c>
    </row>
    <row r="34" spans="1:32" ht="11.25" customHeight="1" x14ac:dyDescent="0.3">
      <c r="A34" s="295" t="str">
        <f>'Proposed Budget'!A34</f>
        <v>R</v>
      </c>
      <c r="B34" s="266">
        <f>'Proposed Budget'!B34</f>
        <v>26</v>
      </c>
      <c r="C34" s="298" t="str">
        <f>'Proposed Budget'!C34</f>
        <v>Car Insurance</v>
      </c>
      <c r="D34" s="299">
        <f t="shared" ca="1" si="33"/>
        <v>294.9818181818182</v>
      </c>
      <c r="E34" s="300">
        <f t="shared" si="34"/>
        <v>1280</v>
      </c>
      <c r="F34" s="300">
        <f t="shared" si="35"/>
        <v>0</v>
      </c>
      <c r="G34" s="280">
        <f t="shared" si="36"/>
        <v>0</v>
      </c>
      <c r="H34" s="300">
        <f>'Proposed Budget'!D34</f>
        <v>320</v>
      </c>
      <c r="I34" s="281">
        <f>SUMIFS('Checking Transaction Log'!E:E,'Checking Transaction Log'!C:C,"&gt;="&amp;I1,'Checking Transaction Log'!C:C,"&lt;="&amp;J1,'Checking Transaction Log'!A:A,"R",'Checking Transaction Log'!B:B,26)</f>
        <v>320</v>
      </c>
      <c r="J34" s="281">
        <f t="shared" si="37"/>
        <v>0</v>
      </c>
      <c r="K34" s="243">
        <f>SUMIFS('Checking Transaction Log'!$E:$E,'Checking Transaction Log'!$C:$C,"&gt;="&amp;K1,'Checking Transaction Log'!$C:$C,"&lt;="&amp;L1,'Checking Transaction Log'!$A:$A,"R",'Checking Transaction Log'!$B:$B,26)</f>
        <v>320</v>
      </c>
      <c r="L34" s="243">
        <f t="shared" si="38"/>
        <v>0</v>
      </c>
      <c r="M34" s="284">
        <f>SUMIFS('Checking Transaction Log'!$E:$E,'Checking Transaction Log'!$C:$C,"&gt;="&amp;M1,'Checking Transaction Log'!$C:$C,"&lt;="&amp;N1,'Checking Transaction Log'!$A:$A,"R",'Checking Transaction Log'!$B:$B,26)</f>
        <v>320</v>
      </c>
      <c r="N34" s="284">
        <f t="shared" si="39"/>
        <v>0</v>
      </c>
      <c r="O34" s="247">
        <f>SUMIFS('Checking Transaction Log'!$E:$E,'Checking Transaction Log'!$C:$C,"&gt;="&amp;O1,'Checking Transaction Log'!$C:$C,"&lt;="&amp;P1,'Checking Transaction Log'!$A:$A,"R",'Checking Transaction Log'!$B:$B,26)</f>
        <v>320</v>
      </c>
      <c r="P34" s="247">
        <f t="shared" si="40"/>
        <v>0</v>
      </c>
      <c r="Q34" s="281">
        <f>SUMIFS('Checking Transaction Log'!$E:$E,'Checking Transaction Log'!$C:$C,"&gt;="&amp;Q1,'Checking Transaction Log'!$C:$C,"&lt;="&amp;R1,'Checking Transaction Log'!$A:$A,"R",'Checking Transaction Log'!$B:$B,26)</f>
        <v>0</v>
      </c>
      <c r="R34" s="281">
        <f t="shared" si="41"/>
        <v>320</v>
      </c>
      <c r="S34" s="243">
        <f>SUMIFS('Checking Transaction Log'!$E:$E,'Checking Transaction Log'!$C:$C,"&gt;="&amp;S1,'Checking Transaction Log'!$C:$C,"&lt;="&amp;T1,'Checking Transaction Log'!$A:$A,"R",'Checking Transaction Log'!$B:$B,26)</f>
        <v>0</v>
      </c>
      <c r="T34" s="243">
        <f t="shared" si="42"/>
        <v>320</v>
      </c>
      <c r="U34" s="284">
        <f>SUMIFS('Checking Transaction Log'!$E:$E,'Checking Transaction Log'!$C:$C,"&gt;="&amp;U1,'Checking Transaction Log'!$C:$C,"&lt;="&amp;V1,'Checking Transaction Log'!$A:$A,"R",'Checking Transaction Log'!$B:$B,26)</f>
        <v>0</v>
      </c>
      <c r="V34" s="284">
        <f t="shared" si="43"/>
        <v>320</v>
      </c>
      <c r="W34" s="247">
        <f>SUMIFS('Checking Transaction Log'!$E:$E,'Checking Transaction Log'!$C:$C,"&gt;="&amp;W1,'Checking Transaction Log'!$C:$C,"&lt;="&amp;X1,'Checking Transaction Log'!$A:$A,"R",'Checking Transaction Log'!$B:$B,26)</f>
        <v>0</v>
      </c>
      <c r="X34" s="247">
        <f t="shared" si="44"/>
        <v>320</v>
      </c>
      <c r="Y34" s="287">
        <f>SUMIFS('Checking Transaction Log'!$E:$E,'Checking Transaction Log'!$C:$C,"&gt;="&amp;Y1,'Checking Transaction Log'!$C:$C,"&lt;="&amp;Z1,'Checking Transaction Log'!$A:$A,"R",'Checking Transaction Log'!$B:$B,26)</f>
        <v>0</v>
      </c>
      <c r="Z34" s="287">
        <f t="shared" si="45"/>
        <v>320</v>
      </c>
      <c r="AA34" s="289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89">
        <f t="shared" si="46"/>
        <v>320</v>
      </c>
      <c r="AC34" s="291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91">
        <f t="shared" si="47"/>
        <v>320</v>
      </c>
      <c r="AE34" s="293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93">
        <f t="shared" si="48"/>
        <v>320</v>
      </c>
    </row>
    <row r="35" spans="1:32" ht="11.25" customHeight="1" x14ac:dyDescent="0.3">
      <c r="A35" s="295" t="str">
        <f>'Proposed Budget'!A35</f>
        <v>R</v>
      </c>
      <c r="B35" s="266">
        <f>'Proposed Budget'!B35</f>
        <v>27</v>
      </c>
      <c r="C35" s="298" t="str">
        <f>'Proposed Budget'!C35</f>
        <v>Rental Garbage</v>
      </c>
      <c r="D35" s="299">
        <f t="shared" ca="1" si="33"/>
        <v>23.045454545454547</v>
      </c>
      <c r="E35" s="300">
        <f t="shared" si="34"/>
        <v>100</v>
      </c>
      <c r="F35" s="300">
        <f t="shared" si="35"/>
        <v>0</v>
      </c>
      <c r="G35" s="280">
        <f t="shared" si="36"/>
        <v>0</v>
      </c>
      <c r="H35" s="300">
        <f>'Proposed Budget'!D35</f>
        <v>25</v>
      </c>
      <c r="I35" s="281">
        <f>SUMIFS('Checking Transaction Log'!E:E,'Checking Transaction Log'!C:C,"&gt;="&amp;I1,'Checking Transaction Log'!C:C,"&lt;="&amp;J1,'Checking Transaction Log'!A:A,"R",'Checking Transaction Log'!B:B,27)</f>
        <v>25</v>
      </c>
      <c r="J35" s="281">
        <f t="shared" si="37"/>
        <v>0</v>
      </c>
      <c r="K35" s="243">
        <f>SUMIFS('Checking Transaction Log'!$E:$E,'Checking Transaction Log'!$C:$C,"&gt;="&amp;K1,'Checking Transaction Log'!$C:$C,"&lt;="&amp;L1,'Checking Transaction Log'!$A:$A,"R",'Checking Transaction Log'!$B:$B,27)</f>
        <v>25</v>
      </c>
      <c r="L35" s="243">
        <f t="shared" si="38"/>
        <v>0</v>
      </c>
      <c r="M35" s="284">
        <f>SUMIFS('Checking Transaction Log'!$E:$E,'Checking Transaction Log'!$C:$C,"&gt;="&amp;M1,'Checking Transaction Log'!$C:$C,"&lt;="&amp;N1,'Checking Transaction Log'!$A:$A,"R",'Checking Transaction Log'!$B:$B,27)</f>
        <v>25</v>
      </c>
      <c r="N35" s="284">
        <f t="shared" si="39"/>
        <v>0</v>
      </c>
      <c r="O35" s="247">
        <f>SUMIFS('Checking Transaction Log'!$E:$E,'Checking Transaction Log'!$C:$C,"&gt;="&amp;O1,'Checking Transaction Log'!$C:$C,"&lt;="&amp;P1,'Checking Transaction Log'!$A:$A,"R",'Checking Transaction Log'!$B:$B,27)</f>
        <v>25</v>
      </c>
      <c r="P35" s="247">
        <f t="shared" si="40"/>
        <v>0</v>
      </c>
      <c r="Q35" s="281">
        <f>SUMIFS('Checking Transaction Log'!$E:$E,'Checking Transaction Log'!$C:$C,"&gt;="&amp;Q1,'Checking Transaction Log'!$C:$C,"&lt;="&amp;R1,'Checking Transaction Log'!$A:$A,"R",'Checking Transaction Log'!$B:$B,27)</f>
        <v>0</v>
      </c>
      <c r="R35" s="281">
        <f t="shared" si="41"/>
        <v>25</v>
      </c>
      <c r="S35" s="243">
        <f>SUMIFS('Checking Transaction Log'!$E:$E,'Checking Transaction Log'!$C:$C,"&gt;="&amp;S1,'Checking Transaction Log'!$C:$C,"&lt;="&amp;T1,'Checking Transaction Log'!$A:$A,"R",'Checking Transaction Log'!$B:$B,27)</f>
        <v>0</v>
      </c>
      <c r="T35" s="243">
        <f t="shared" si="42"/>
        <v>25</v>
      </c>
      <c r="U35" s="284">
        <f>SUMIFS('Checking Transaction Log'!$E:$E,'Checking Transaction Log'!$C:$C,"&gt;="&amp;U1,'Checking Transaction Log'!$C:$C,"&lt;="&amp;V1,'Checking Transaction Log'!$A:$A,"R",'Checking Transaction Log'!$B:$B,27)</f>
        <v>0</v>
      </c>
      <c r="V35" s="284">
        <f t="shared" si="43"/>
        <v>25</v>
      </c>
      <c r="W35" s="247">
        <f>SUMIFS('Checking Transaction Log'!$E:$E,'Checking Transaction Log'!$C:$C,"&gt;="&amp;W1,'Checking Transaction Log'!$C:$C,"&lt;="&amp;X1,'Checking Transaction Log'!$A:$A,"R",'Checking Transaction Log'!$B:$B,27)</f>
        <v>0</v>
      </c>
      <c r="X35" s="247">
        <f t="shared" si="44"/>
        <v>25</v>
      </c>
      <c r="Y35" s="287">
        <f>SUMIFS('Checking Transaction Log'!$E:$E,'Checking Transaction Log'!$C:$C,"&gt;="&amp;Y1,'Checking Transaction Log'!$C:$C,"&lt;="&amp;Z1,'Checking Transaction Log'!$A:$A,"R",'Checking Transaction Log'!$B:$B,27)</f>
        <v>0</v>
      </c>
      <c r="Z35" s="287">
        <f t="shared" si="45"/>
        <v>25</v>
      </c>
      <c r="AA35" s="289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89">
        <f t="shared" si="46"/>
        <v>25</v>
      </c>
      <c r="AC35" s="291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91">
        <f t="shared" si="47"/>
        <v>25</v>
      </c>
      <c r="AE35" s="293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93">
        <f t="shared" si="48"/>
        <v>25</v>
      </c>
    </row>
    <row r="36" spans="1:32" ht="11.25" customHeight="1" x14ac:dyDescent="0.3">
      <c r="A36" s="295" t="str">
        <f>'Proposed Budget'!A36</f>
        <v>R</v>
      </c>
      <c r="B36" s="266">
        <f>'Proposed Budget'!B36</f>
        <v>28</v>
      </c>
      <c r="C36" s="298" t="str">
        <f>'Proposed Budget'!C36</f>
        <v>Garbage</v>
      </c>
      <c r="D36" s="299">
        <f t="shared" ca="1" si="33"/>
        <v>23.045454545454547</v>
      </c>
      <c r="E36" s="300">
        <f t="shared" si="34"/>
        <v>100</v>
      </c>
      <c r="F36" s="300">
        <f t="shared" si="35"/>
        <v>0</v>
      </c>
      <c r="G36" s="280">
        <f t="shared" si="36"/>
        <v>0</v>
      </c>
      <c r="H36" s="300">
        <f>'Proposed Budget'!D36</f>
        <v>25</v>
      </c>
      <c r="I36" s="281">
        <f>SUMIFS('Checking Transaction Log'!E:E,'Checking Transaction Log'!C:C,"&gt;="&amp;I1,'Checking Transaction Log'!C:C,"&lt;="&amp;J1,'Checking Transaction Log'!A:A,"R",'Checking Transaction Log'!B:B,28)</f>
        <v>25</v>
      </c>
      <c r="J36" s="281">
        <f t="shared" si="37"/>
        <v>0</v>
      </c>
      <c r="K36" s="243">
        <f>SUMIFS('Checking Transaction Log'!$E:$E,'Checking Transaction Log'!$C:$C,"&gt;="&amp;K1,'Checking Transaction Log'!$C:$C,"&lt;="&amp;L1,'Checking Transaction Log'!$A:$A,"R",'Checking Transaction Log'!$B:$B,28)</f>
        <v>25</v>
      </c>
      <c r="L36" s="243">
        <f t="shared" si="38"/>
        <v>0</v>
      </c>
      <c r="M36" s="284">
        <f>SUMIFS('Checking Transaction Log'!$E:$E,'Checking Transaction Log'!$C:$C,"&gt;="&amp;M1,'Checking Transaction Log'!$C:$C,"&lt;="&amp;N1,'Checking Transaction Log'!$A:$A,"R",'Checking Transaction Log'!$B:$B,28)</f>
        <v>25</v>
      </c>
      <c r="N36" s="284">
        <f t="shared" si="39"/>
        <v>0</v>
      </c>
      <c r="O36" s="247">
        <f>SUMIFS('Checking Transaction Log'!$E:$E,'Checking Transaction Log'!$C:$C,"&gt;="&amp;O1,'Checking Transaction Log'!$C:$C,"&lt;="&amp;P1,'Checking Transaction Log'!$A:$A,"R",'Checking Transaction Log'!$B:$B,28)</f>
        <v>25</v>
      </c>
      <c r="P36" s="247">
        <f t="shared" si="40"/>
        <v>0</v>
      </c>
      <c r="Q36" s="281">
        <f>SUMIFS('Checking Transaction Log'!$E:$E,'Checking Transaction Log'!$C:$C,"&gt;="&amp;Q1,'Checking Transaction Log'!$C:$C,"&lt;="&amp;R1,'Checking Transaction Log'!$A:$A,"R",'Checking Transaction Log'!$B:$B,28)</f>
        <v>0</v>
      </c>
      <c r="R36" s="281">
        <f t="shared" si="41"/>
        <v>25</v>
      </c>
      <c r="S36" s="243">
        <f>SUMIFS('Checking Transaction Log'!$E:$E,'Checking Transaction Log'!$C:$C,"&gt;="&amp;S1,'Checking Transaction Log'!$C:$C,"&lt;="&amp;T1,'Checking Transaction Log'!$A:$A,"R",'Checking Transaction Log'!$B:$B,28)</f>
        <v>0</v>
      </c>
      <c r="T36" s="243">
        <f t="shared" si="42"/>
        <v>25</v>
      </c>
      <c r="U36" s="284">
        <f>SUMIFS('Checking Transaction Log'!$E:$E,'Checking Transaction Log'!$C:$C,"&gt;="&amp;U1,'Checking Transaction Log'!$C:$C,"&lt;="&amp;V1,'Checking Transaction Log'!$A:$A,"R",'Checking Transaction Log'!$B:$B,28)</f>
        <v>0</v>
      </c>
      <c r="V36" s="284">
        <f t="shared" si="43"/>
        <v>25</v>
      </c>
      <c r="W36" s="247">
        <f>SUMIFS('Checking Transaction Log'!$E:$E,'Checking Transaction Log'!$C:$C,"&gt;="&amp;W1,'Checking Transaction Log'!$C:$C,"&lt;="&amp;X1,'Checking Transaction Log'!$A:$A,"R",'Checking Transaction Log'!$B:$B,28)</f>
        <v>0</v>
      </c>
      <c r="X36" s="247">
        <f t="shared" si="44"/>
        <v>25</v>
      </c>
      <c r="Y36" s="287">
        <f>SUMIFS('Checking Transaction Log'!$E:$E,'Checking Transaction Log'!$C:$C,"&gt;="&amp;Y1,'Checking Transaction Log'!$C:$C,"&lt;="&amp;Z1,'Checking Transaction Log'!$A:$A,"R",'Checking Transaction Log'!$B:$B,28)</f>
        <v>0</v>
      </c>
      <c r="Z36" s="287">
        <f t="shared" si="45"/>
        <v>25</v>
      </c>
      <c r="AA36" s="289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89">
        <f t="shared" si="46"/>
        <v>25</v>
      </c>
      <c r="AC36" s="291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91">
        <f t="shared" si="47"/>
        <v>25</v>
      </c>
      <c r="AE36" s="293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93">
        <f t="shared" si="48"/>
        <v>25</v>
      </c>
    </row>
    <row r="37" spans="1:32" ht="11.25" customHeight="1" x14ac:dyDescent="0.3">
      <c r="A37" s="295" t="str">
        <f>'Proposed Budget'!A37</f>
        <v>R</v>
      </c>
      <c r="B37" s="266">
        <f>'Proposed Budget'!B37</f>
        <v>29</v>
      </c>
      <c r="C37" s="298" t="str">
        <f>'Proposed Budget'!C37</f>
        <v>Sanitation - Main</v>
      </c>
      <c r="D37" s="299">
        <f t="shared" ca="1" si="33"/>
        <v>41.481818181818184</v>
      </c>
      <c r="E37" s="300">
        <f t="shared" si="34"/>
        <v>180</v>
      </c>
      <c r="F37" s="300">
        <f t="shared" si="35"/>
        <v>0</v>
      </c>
      <c r="G37" s="280">
        <f t="shared" si="36"/>
        <v>0</v>
      </c>
      <c r="H37" s="300">
        <f>'Proposed Budget'!D37</f>
        <v>45</v>
      </c>
      <c r="I37" s="281">
        <f>SUMIFS('Checking Transaction Log'!E:E,'Checking Transaction Log'!C:C,"&gt;="&amp;I1,'Checking Transaction Log'!C:C,"&lt;="&amp;J1,'Checking Transaction Log'!A:A,"R",'Checking Transaction Log'!B:B,29)</f>
        <v>45</v>
      </c>
      <c r="J37" s="281">
        <f t="shared" si="37"/>
        <v>0</v>
      </c>
      <c r="K37" s="243">
        <f>SUMIFS('Checking Transaction Log'!$E:$E,'Checking Transaction Log'!$C:$C,"&gt;="&amp;K1,'Checking Transaction Log'!$C:$C,"&lt;="&amp;L1,'Checking Transaction Log'!$A:$A,"R",'Checking Transaction Log'!$B:$B,29)</f>
        <v>45</v>
      </c>
      <c r="L37" s="243">
        <f t="shared" si="38"/>
        <v>0</v>
      </c>
      <c r="M37" s="284">
        <f>SUMIFS('Checking Transaction Log'!$E:$E,'Checking Transaction Log'!$C:$C,"&gt;="&amp;M1,'Checking Transaction Log'!$C:$C,"&lt;="&amp;N1,'Checking Transaction Log'!$A:$A,"R",'Checking Transaction Log'!$B:$B,29)</f>
        <v>45</v>
      </c>
      <c r="N37" s="284">
        <f t="shared" si="39"/>
        <v>0</v>
      </c>
      <c r="O37" s="247">
        <f>SUMIFS('Checking Transaction Log'!$E:$E,'Checking Transaction Log'!$C:$C,"&gt;="&amp;O1,'Checking Transaction Log'!$C:$C,"&lt;="&amp;P1,'Checking Transaction Log'!$A:$A,"R",'Checking Transaction Log'!$B:$B,29)</f>
        <v>45</v>
      </c>
      <c r="P37" s="247">
        <f t="shared" si="40"/>
        <v>0</v>
      </c>
      <c r="Q37" s="281">
        <f>SUMIFS('Checking Transaction Log'!$E:$E,'Checking Transaction Log'!$C:$C,"&gt;="&amp;Q1,'Checking Transaction Log'!$C:$C,"&lt;="&amp;R1,'Checking Transaction Log'!$A:$A,"R",'Checking Transaction Log'!$B:$B,29)</f>
        <v>0</v>
      </c>
      <c r="R37" s="281">
        <f t="shared" si="41"/>
        <v>45</v>
      </c>
      <c r="S37" s="243">
        <f>SUMIFS('Checking Transaction Log'!$E:$E,'Checking Transaction Log'!$C:$C,"&gt;="&amp;S1,'Checking Transaction Log'!$C:$C,"&lt;="&amp;T1,'Checking Transaction Log'!$A:$A,"R",'Checking Transaction Log'!$B:$B,29)</f>
        <v>0</v>
      </c>
      <c r="T37" s="243">
        <f t="shared" si="42"/>
        <v>45</v>
      </c>
      <c r="U37" s="284">
        <f>SUMIFS('Checking Transaction Log'!$E:$E,'Checking Transaction Log'!$C:$C,"&gt;="&amp;U1,'Checking Transaction Log'!$C:$C,"&lt;="&amp;V1,'Checking Transaction Log'!$A:$A,"R",'Checking Transaction Log'!$B:$B,29)</f>
        <v>0</v>
      </c>
      <c r="V37" s="284">
        <f t="shared" si="43"/>
        <v>45</v>
      </c>
      <c r="W37" s="247">
        <f>SUMIFS('Checking Transaction Log'!$E:$E,'Checking Transaction Log'!$C:$C,"&gt;="&amp;W1,'Checking Transaction Log'!$C:$C,"&lt;="&amp;X1,'Checking Transaction Log'!$A:$A,"R",'Checking Transaction Log'!$B:$B,29)</f>
        <v>0</v>
      </c>
      <c r="X37" s="247">
        <f t="shared" si="44"/>
        <v>45</v>
      </c>
      <c r="Y37" s="287">
        <f>SUMIFS('Checking Transaction Log'!$E:$E,'Checking Transaction Log'!$C:$C,"&gt;="&amp;Y1,'Checking Transaction Log'!$C:$C,"&lt;="&amp;Z1,'Checking Transaction Log'!$A:$A,"R",'Checking Transaction Log'!$B:$B,29)</f>
        <v>0</v>
      </c>
      <c r="Z37" s="287">
        <f t="shared" si="45"/>
        <v>45</v>
      </c>
      <c r="AA37" s="289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89">
        <f t="shared" si="46"/>
        <v>45</v>
      </c>
      <c r="AC37" s="291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91">
        <f t="shared" si="47"/>
        <v>45</v>
      </c>
      <c r="AE37" s="293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93">
        <f t="shared" si="48"/>
        <v>45</v>
      </c>
    </row>
    <row r="38" spans="1:32" ht="11.25" customHeight="1" x14ac:dyDescent="0.3">
      <c r="A38" s="295" t="str">
        <f>'Proposed Budget'!A38</f>
        <v>R</v>
      </c>
      <c r="B38" s="266">
        <f>'Proposed Budget'!B38</f>
        <v>30</v>
      </c>
      <c r="C38" s="298" t="str">
        <f>'Proposed Budget'!C38</f>
        <v>Camping/Vacation</v>
      </c>
      <c r="D38" s="299">
        <f t="shared" ca="1" si="33"/>
        <v>368.72727272727275</v>
      </c>
      <c r="E38" s="300">
        <f t="shared" si="34"/>
        <v>1600</v>
      </c>
      <c r="F38" s="300">
        <f t="shared" si="35"/>
        <v>0</v>
      </c>
      <c r="G38" s="280">
        <f t="shared" si="36"/>
        <v>0</v>
      </c>
      <c r="H38" s="300">
        <f>'Proposed Budget'!D38</f>
        <v>400</v>
      </c>
      <c r="I38" s="281">
        <f>SUMIFS('Checking Transaction Log'!E:E,'Checking Transaction Log'!C:C,"&gt;="&amp;I1,'Checking Transaction Log'!C:C,"&lt;="&amp;J1,'Checking Transaction Log'!A:A,"R",'Checking Transaction Log'!B:B,30)</f>
        <v>400</v>
      </c>
      <c r="J38" s="281">
        <f t="shared" si="37"/>
        <v>0</v>
      </c>
      <c r="K38" s="243">
        <f>SUMIFS('Checking Transaction Log'!$E:$E,'Checking Transaction Log'!$C:$C,"&gt;="&amp;K1,'Checking Transaction Log'!$C:$C,"&lt;="&amp;L1,'Checking Transaction Log'!$A:$A,"R",'Checking Transaction Log'!$B:$B,30)</f>
        <v>400</v>
      </c>
      <c r="L38" s="243">
        <f t="shared" si="38"/>
        <v>0</v>
      </c>
      <c r="M38" s="284">
        <f>SUMIFS('Checking Transaction Log'!$E:$E,'Checking Transaction Log'!$C:$C,"&gt;="&amp;M1,'Checking Transaction Log'!$C:$C,"&lt;="&amp;N1,'Checking Transaction Log'!$A:$A,"R",'Checking Transaction Log'!$B:$B,30)</f>
        <v>400</v>
      </c>
      <c r="N38" s="284">
        <f t="shared" si="39"/>
        <v>0</v>
      </c>
      <c r="O38" s="247">
        <f>SUMIFS('Checking Transaction Log'!$E:$E,'Checking Transaction Log'!$C:$C,"&gt;="&amp;O1,'Checking Transaction Log'!$C:$C,"&lt;="&amp;P1,'Checking Transaction Log'!$A:$A,"R",'Checking Transaction Log'!$B:$B,30)</f>
        <v>400</v>
      </c>
      <c r="P38" s="247">
        <f t="shared" si="40"/>
        <v>0</v>
      </c>
      <c r="Q38" s="281">
        <f>SUMIFS('Checking Transaction Log'!$E:$E,'Checking Transaction Log'!$C:$C,"&gt;="&amp;Q1,'Checking Transaction Log'!$C:$C,"&lt;="&amp;R1,'Checking Transaction Log'!$A:$A,"R",'Checking Transaction Log'!$B:$B,30)</f>
        <v>0</v>
      </c>
      <c r="R38" s="281">
        <f t="shared" si="41"/>
        <v>400</v>
      </c>
      <c r="S38" s="243">
        <f>SUMIFS('Checking Transaction Log'!$E:$E,'Checking Transaction Log'!$C:$C,"&gt;="&amp;S1,'Checking Transaction Log'!$C:$C,"&lt;="&amp;T1,'Checking Transaction Log'!$A:$A,"R",'Checking Transaction Log'!$B:$B,30)</f>
        <v>0</v>
      </c>
      <c r="T38" s="243">
        <f t="shared" si="42"/>
        <v>400</v>
      </c>
      <c r="U38" s="284">
        <f>SUMIFS('Checking Transaction Log'!$E:$E,'Checking Transaction Log'!$C:$C,"&gt;="&amp;U1,'Checking Transaction Log'!$C:$C,"&lt;="&amp;V1,'Checking Transaction Log'!$A:$A,"R",'Checking Transaction Log'!$B:$B,30)</f>
        <v>0</v>
      </c>
      <c r="V38" s="284">
        <f t="shared" si="43"/>
        <v>400</v>
      </c>
      <c r="W38" s="247">
        <f>SUMIFS('Checking Transaction Log'!$E:$E,'Checking Transaction Log'!$C:$C,"&gt;="&amp;W1,'Checking Transaction Log'!$C:$C,"&lt;="&amp;X1,'Checking Transaction Log'!$A:$A,"R",'Checking Transaction Log'!$B:$B,30)</f>
        <v>0</v>
      </c>
      <c r="X38" s="247">
        <f t="shared" si="44"/>
        <v>400</v>
      </c>
      <c r="Y38" s="287">
        <f>SUMIFS('Checking Transaction Log'!$E:$E,'Checking Transaction Log'!$C:$C,"&gt;="&amp;Y1,'Checking Transaction Log'!$C:$C,"&lt;="&amp;Z1,'Checking Transaction Log'!$A:$A,"R",'Checking Transaction Log'!$B:$B,30)</f>
        <v>0</v>
      </c>
      <c r="Z38" s="287">
        <f t="shared" si="45"/>
        <v>400</v>
      </c>
      <c r="AA38" s="289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89">
        <f t="shared" si="46"/>
        <v>400</v>
      </c>
      <c r="AC38" s="291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91">
        <f t="shared" si="47"/>
        <v>400</v>
      </c>
      <c r="AE38" s="293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93">
        <f t="shared" si="48"/>
        <v>400</v>
      </c>
    </row>
    <row r="39" spans="1:32" ht="11.25" customHeight="1" x14ac:dyDescent="0.3">
      <c r="A39" s="295" t="str">
        <f>'Proposed Budget'!A39</f>
        <v>R</v>
      </c>
      <c r="B39" s="266">
        <f>'Proposed Budget'!B39</f>
        <v>31</v>
      </c>
      <c r="C39" s="298" t="str">
        <f>'Proposed Budget'!C39</f>
        <v>Home Maintenance</v>
      </c>
      <c r="D39" s="299">
        <f t="shared" ca="1" si="33"/>
        <v>345.68181818181819</v>
      </c>
      <c r="E39" s="300">
        <f t="shared" si="34"/>
        <v>1500</v>
      </c>
      <c r="F39" s="300">
        <f t="shared" si="35"/>
        <v>0</v>
      </c>
      <c r="G39" s="280">
        <f t="shared" si="36"/>
        <v>0</v>
      </c>
      <c r="H39" s="300">
        <f>'Proposed Budget'!D39</f>
        <v>375</v>
      </c>
      <c r="I39" s="281">
        <f>SUMIFS('Checking Transaction Log'!E:E,'Checking Transaction Log'!C:C,"&gt;="&amp;I1,'Checking Transaction Log'!C:C,"&lt;="&amp;J1,'Checking Transaction Log'!A:A,"R",'Checking Transaction Log'!B:B,31)</f>
        <v>375</v>
      </c>
      <c r="J39" s="281">
        <f t="shared" si="37"/>
        <v>0</v>
      </c>
      <c r="K39" s="243">
        <f>SUMIFS('Checking Transaction Log'!$E:$E,'Checking Transaction Log'!$C:$C,"&gt;="&amp;K1,'Checking Transaction Log'!$C:$C,"&lt;="&amp;L1,'Checking Transaction Log'!$A:$A,"R",'Checking Transaction Log'!$B:$B,31)</f>
        <v>375</v>
      </c>
      <c r="L39" s="243">
        <f t="shared" si="38"/>
        <v>0</v>
      </c>
      <c r="M39" s="284">
        <f>SUMIFS('Checking Transaction Log'!$E:$E,'Checking Transaction Log'!$C:$C,"&gt;="&amp;M1,'Checking Transaction Log'!$C:$C,"&lt;="&amp;N1,'Checking Transaction Log'!$A:$A,"R",'Checking Transaction Log'!$B:$B,31)</f>
        <v>375</v>
      </c>
      <c r="N39" s="284">
        <f t="shared" si="39"/>
        <v>0</v>
      </c>
      <c r="O39" s="247">
        <f>SUMIFS('Checking Transaction Log'!$E:$E,'Checking Transaction Log'!$C:$C,"&gt;="&amp;O1,'Checking Transaction Log'!$C:$C,"&lt;="&amp;P1,'Checking Transaction Log'!$A:$A,"R",'Checking Transaction Log'!$B:$B,31)</f>
        <v>375</v>
      </c>
      <c r="P39" s="247">
        <f t="shared" si="40"/>
        <v>0</v>
      </c>
      <c r="Q39" s="281">
        <f>SUMIFS('Checking Transaction Log'!$E:$E,'Checking Transaction Log'!$C:$C,"&gt;="&amp;Q1,'Checking Transaction Log'!$C:$C,"&lt;="&amp;R1,'Checking Transaction Log'!$A:$A,"R",'Checking Transaction Log'!$B:$B,31)</f>
        <v>0</v>
      </c>
      <c r="R39" s="281">
        <f t="shared" si="41"/>
        <v>375</v>
      </c>
      <c r="S39" s="243">
        <f>SUMIFS('Checking Transaction Log'!$E:$E,'Checking Transaction Log'!$C:$C,"&gt;="&amp;S1,'Checking Transaction Log'!$C:$C,"&lt;="&amp;T1,'Checking Transaction Log'!$A:$A,"R",'Checking Transaction Log'!$B:$B,31)</f>
        <v>0</v>
      </c>
      <c r="T39" s="243">
        <f t="shared" si="42"/>
        <v>375</v>
      </c>
      <c r="U39" s="284">
        <f>SUMIFS('Checking Transaction Log'!$E:$E,'Checking Transaction Log'!$C:$C,"&gt;="&amp;U1,'Checking Transaction Log'!$C:$C,"&lt;="&amp;V1,'Checking Transaction Log'!$A:$A,"R",'Checking Transaction Log'!$B:$B,31)</f>
        <v>0</v>
      </c>
      <c r="V39" s="284">
        <f t="shared" si="43"/>
        <v>375</v>
      </c>
      <c r="W39" s="247">
        <f>SUMIFS('Checking Transaction Log'!$E:$E,'Checking Transaction Log'!$C:$C,"&gt;="&amp;W1,'Checking Transaction Log'!$C:$C,"&lt;="&amp;X1,'Checking Transaction Log'!$A:$A,"R",'Checking Transaction Log'!$B:$B,31)</f>
        <v>0</v>
      </c>
      <c r="X39" s="247">
        <f t="shared" si="44"/>
        <v>375</v>
      </c>
      <c r="Y39" s="287">
        <f>SUMIFS('Checking Transaction Log'!$E:$E,'Checking Transaction Log'!$C:$C,"&gt;="&amp;Y1,'Checking Transaction Log'!$C:$C,"&lt;="&amp;Z1,'Checking Transaction Log'!$A:$A,"R",'Checking Transaction Log'!$B:$B,31)</f>
        <v>0</v>
      </c>
      <c r="Z39" s="287">
        <f t="shared" si="45"/>
        <v>375</v>
      </c>
      <c r="AA39" s="289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89">
        <f t="shared" si="46"/>
        <v>375</v>
      </c>
      <c r="AC39" s="291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91">
        <f t="shared" si="47"/>
        <v>375</v>
      </c>
      <c r="AE39" s="293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93">
        <f t="shared" si="48"/>
        <v>375</v>
      </c>
    </row>
    <row r="40" spans="1:32" ht="11.25" customHeight="1" x14ac:dyDescent="0.3">
      <c r="A40" s="295" t="str">
        <f>'Proposed Budget'!A40</f>
        <v>R</v>
      </c>
      <c r="B40" s="266">
        <f>'Proposed Budget'!B40</f>
        <v>32</v>
      </c>
      <c r="C40" s="298" t="str">
        <f>'Proposed Budget'!C40</f>
        <v>Rental Repairs</v>
      </c>
      <c r="D40" s="299">
        <f t="shared" ca="1" si="33"/>
        <v>92.181818181818187</v>
      </c>
      <c r="E40" s="300">
        <f t="shared" si="34"/>
        <v>400</v>
      </c>
      <c r="F40" s="300">
        <f t="shared" si="35"/>
        <v>0</v>
      </c>
      <c r="G40" s="280">
        <f t="shared" si="36"/>
        <v>0</v>
      </c>
      <c r="H40" s="300">
        <f>'Proposed Budget'!D40</f>
        <v>100</v>
      </c>
      <c r="I40" s="281">
        <f>SUMIFS('Checking Transaction Log'!E:E,'Checking Transaction Log'!C:C,"&gt;="&amp;I1,'Checking Transaction Log'!C:C,"&lt;="&amp;J1,'Checking Transaction Log'!A:A,"R",'Checking Transaction Log'!B:B,32)</f>
        <v>100</v>
      </c>
      <c r="J40" s="281">
        <f t="shared" si="37"/>
        <v>0</v>
      </c>
      <c r="K40" s="243">
        <f>SUMIFS('Checking Transaction Log'!$E:$E,'Checking Transaction Log'!$C:$C,"&gt;="&amp;K1,'Checking Transaction Log'!$C:$C,"&lt;="&amp;L1,'Checking Transaction Log'!$A:$A,"R",'Checking Transaction Log'!$B:$B,32)</f>
        <v>100</v>
      </c>
      <c r="L40" s="243">
        <f t="shared" si="38"/>
        <v>0</v>
      </c>
      <c r="M40" s="284">
        <f>SUMIFS('Checking Transaction Log'!$E:$E,'Checking Transaction Log'!$C:$C,"&gt;="&amp;M1,'Checking Transaction Log'!$C:$C,"&lt;="&amp;N1,'Checking Transaction Log'!$A:$A,"R",'Checking Transaction Log'!$B:$B,32)</f>
        <v>100</v>
      </c>
      <c r="N40" s="284">
        <f t="shared" si="39"/>
        <v>0</v>
      </c>
      <c r="O40" s="247">
        <f>SUMIFS('Checking Transaction Log'!$E:$E,'Checking Transaction Log'!$C:$C,"&gt;="&amp;O1,'Checking Transaction Log'!$C:$C,"&lt;="&amp;P1,'Checking Transaction Log'!$A:$A,"R",'Checking Transaction Log'!$B:$B,32)</f>
        <v>100</v>
      </c>
      <c r="P40" s="247">
        <f t="shared" si="40"/>
        <v>0</v>
      </c>
      <c r="Q40" s="281">
        <f>SUMIFS('Checking Transaction Log'!$E:$E,'Checking Transaction Log'!$C:$C,"&gt;="&amp;Q1,'Checking Transaction Log'!$C:$C,"&lt;="&amp;R1,'Checking Transaction Log'!$A:$A,"R",'Checking Transaction Log'!$B:$B,32)</f>
        <v>0</v>
      </c>
      <c r="R40" s="281">
        <f t="shared" si="41"/>
        <v>100</v>
      </c>
      <c r="S40" s="243">
        <f>SUMIFS('Checking Transaction Log'!$E:$E,'Checking Transaction Log'!$C:$C,"&gt;="&amp;S1,'Checking Transaction Log'!$C:$C,"&lt;="&amp;T1,'Checking Transaction Log'!$A:$A,"R",'Checking Transaction Log'!$B:$B,32)</f>
        <v>0</v>
      </c>
      <c r="T40" s="243">
        <f t="shared" si="42"/>
        <v>100</v>
      </c>
      <c r="U40" s="284">
        <f>SUMIFS('Checking Transaction Log'!$E:$E,'Checking Transaction Log'!$C:$C,"&gt;="&amp;U1,'Checking Transaction Log'!$C:$C,"&lt;="&amp;V1,'Checking Transaction Log'!$A:$A,"R",'Checking Transaction Log'!$B:$B,32)</f>
        <v>0</v>
      </c>
      <c r="V40" s="284">
        <f t="shared" si="43"/>
        <v>100</v>
      </c>
      <c r="W40" s="247">
        <f>SUMIFS('Checking Transaction Log'!$E:$E,'Checking Transaction Log'!$C:$C,"&gt;="&amp;W1,'Checking Transaction Log'!$C:$C,"&lt;="&amp;X1,'Checking Transaction Log'!$A:$A,"R",'Checking Transaction Log'!$B:$B,32)</f>
        <v>0</v>
      </c>
      <c r="X40" s="247">
        <f t="shared" si="44"/>
        <v>100</v>
      </c>
      <c r="Y40" s="287">
        <f>SUMIFS('Checking Transaction Log'!$E:$E,'Checking Transaction Log'!$C:$C,"&gt;="&amp;Y1,'Checking Transaction Log'!$C:$C,"&lt;="&amp;Z1,'Checking Transaction Log'!$A:$A,"R",'Checking Transaction Log'!$B:$B,32)</f>
        <v>0</v>
      </c>
      <c r="Z40" s="287">
        <f t="shared" si="45"/>
        <v>100</v>
      </c>
      <c r="AA40" s="289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89">
        <f t="shared" si="46"/>
        <v>100</v>
      </c>
      <c r="AC40" s="291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91">
        <f t="shared" si="47"/>
        <v>100</v>
      </c>
      <c r="AE40" s="293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93">
        <f t="shared" si="48"/>
        <v>100</v>
      </c>
    </row>
    <row r="41" spans="1:32" ht="11.25" customHeight="1" x14ac:dyDescent="0.3">
      <c r="A41" s="295" t="str">
        <f>'Proposed Budget'!A41</f>
        <v>R</v>
      </c>
      <c r="B41" s="266">
        <f>'Proposed Budget'!B41</f>
        <v>33</v>
      </c>
      <c r="C41" s="298" t="str">
        <f>'Proposed Budget'!C41</f>
        <v>Rental Insurance</v>
      </c>
      <c r="D41" s="299">
        <f t="shared" ca="1" si="33"/>
        <v>78.354545454545459</v>
      </c>
      <c r="E41" s="300">
        <f t="shared" si="34"/>
        <v>340</v>
      </c>
      <c r="F41" s="300">
        <f t="shared" si="35"/>
        <v>0</v>
      </c>
      <c r="G41" s="280">
        <f t="shared" si="36"/>
        <v>0</v>
      </c>
      <c r="H41" s="300">
        <f>'Proposed Budget'!D41</f>
        <v>85</v>
      </c>
      <c r="I41" s="281">
        <f>SUMIFS('Checking Transaction Log'!E:E,'Checking Transaction Log'!C:C,"&gt;="&amp;I1,'Checking Transaction Log'!C:C,"&lt;="&amp;J1,'Checking Transaction Log'!A:A,"R",'Checking Transaction Log'!B:B,33)</f>
        <v>85</v>
      </c>
      <c r="J41" s="281">
        <f t="shared" si="37"/>
        <v>0</v>
      </c>
      <c r="K41" s="243">
        <f>SUMIFS('Checking Transaction Log'!$E:$E,'Checking Transaction Log'!$C:$C,"&gt;="&amp;K1,'Checking Transaction Log'!$C:$C,"&lt;="&amp;L1,'Checking Transaction Log'!$A:$A,"R",'Checking Transaction Log'!$B:$B,33)</f>
        <v>85</v>
      </c>
      <c r="L41" s="243">
        <f t="shared" si="38"/>
        <v>0</v>
      </c>
      <c r="M41" s="284">
        <f>SUMIFS('Checking Transaction Log'!$E:$E,'Checking Transaction Log'!$C:$C,"&gt;="&amp;M1,'Checking Transaction Log'!$C:$C,"&lt;="&amp;N1,'Checking Transaction Log'!$A:$A,"R",'Checking Transaction Log'!$B:$B,33)</f>
        <v>85</v>
      </c>
      <c r="N41" s="284">
        <f t="shared" si="39"/>
        <v>0</v>
      </c>
      <c r="O41" s="247">
        <f>SUMIFS('Checking Transaction Log'!$E:$E,'Checking Transaction Log'!$C:$C,"&gt;="&amp;O1,'Checking Transaction Log'!$C:$C,"&lt;="&amp;P1,'Checking Transaction Log'!$A:$A,"R",'Checking Transaction Log'!$B:$B,33)</f>
        <v>85</v>
      </c>
      <c r="P41" s="247">
        <f t="shared" si="40"/>
        <v>0</v>
      </c>
      <c r="Q41" s="281">
        <f>SUMIFS('Checking Transaction Log'!$E:$E,'Checking Transaction Log'!$C:$C,"&gt;="&amp;Q1,'Checking Transaction Log'!$C:$C,"&lt;="&amp;R1,'Checking Transaction Log'!$A:$A,"R",'Checking Transaction Log'!$B:$B,33)</f>
        <v>0</v>
      </c>
      <c r="R41" s="281">
        <f t="shared" si="41"/>
        <v>85</v>
      </c>
      <c r="S41" s="243">
        <f>SUMIFS('Checking Transaction Log'!$E:$E,'Checking Transaction Log'!$C:$C,"&gt;="&amp;S1,'Checking Transaction Log'!$C:$C,"&lt;="&amp;T1,'Checking Transaction Log'!$A:$A,"R",'Checking Transaction Log'!$B:$B,33)</f>
        <v>0</v>
      </c>
      <c r="T41" s="243">
        <f t="shared" si="42"/>
        <v>85</v>
      </c>
      <c r="U41" s="284">
        <f>SUMIFS('Checking Transaction Log'!$E:$E,'Checking Transaction Log'!$C:$C,"&gt;="&amp;U1,'Checking Transaction Log'!$C:$C,"&lt;="&amp;V1,'Checking Transaction Log'!$A:$A,"R",'Checking Transaction Log'!$B:$B,33)</f>
        <v>0</v>
      </c>
      <c r="V41" s="284">
        <f t="shared" si="43"/>
        <v>85</v>
      </c>
      <c r="W41" s="247">
        <f>SUMIFS('Checking Transaction Log'!$E:$E,'Checking Transaction Log'!$C:$C,"&gt;="&amp;W1,'Checking Transaction Log'!$C:$C,"&lt;="&amp;X1,'Checking Transaction Log'!$A:$A,"R",'Checking Transaction Log'!$B:$B,33)</f>
        <v>0</v>
      </c>
      <c r="X41" s="247">
        <f t="shared" si="44"/>
        <v>85</v>
      </c>
      <c r="Y41" s="287">
        <f>SUMIFS('Checking Transaction Log'!$E:$E,'Checking Transaction Log'!$C:$C,"&gt;="&amp;Y1,'Checking Transaction Log'!$C:$C,"&lt;="&amp;Z1,'Checking Transaction Log'!$A:$A,"R",'Checking Transaction Log'!$B:$B,33)</f>
        <v>0</v>
      </c>
      <c r="Z41" s="287">
        <f t="shared" si="45"/>
        <v>85</v>
      </c>
      <c r="AA41" s="289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89">
        <f t="shared" si="46"/>
        <v>85</v>
      </c>
      <c r="AC41" s="291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91">
        <f t="shared" si="47"/>
        <v>85</v>
      </c>
      <c r="AE41" s="293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93">
        <f t="shared" si="48"/>
        <v>85</v>
      </c>
    </row>
    <row r="42" spans="1:32" ht="11.25" customHeight="1" x14ac:dyDescent="0.3">
      <c r="A42" s="295" t="str">
        <f>'Proposed Budget'!A42</f>
        <v>R</v>
      </c>
      <c r="B42" s="266">
        <f>'Proposed Budget'!B42</f>
        <v>34</v>
      </c>
      <c r="C42" s="298" t="str">
        <f>'Proposed Budget'!C42</f>
        <v>Rental Property Taxes</v>
      </c>
      <c r="D42" s="299">
        <f t="shared" ca="1" si="33"/>
        <v>212.01818181818183</v>
      </c>
      <c r="E42" s="300">
        <f t="shared" si="34"/>
        <v>920</v>
      </c>
      <c r="F42" s="300">
        <f t="shared" si="35"/>
        <v>0</v>
      </c>
      <c r="G42" s="280">
        <f t="shared" si="36"/>
        <v>0</v>
      </c>
      <c r="H42" s="300">
        <f>'Proposed Budget'!D42</f>
        <v>230</v>
      </c>
      <c r="I42" s="281">
        <f>SUMIFS('Checking Transaction Log'!E:E,'Checking Transaction Log'!C:C,"&gt;="&amp;I1,'Checking Transaction Log'!C:C,"&lt;="&amp;J1,'Checking Transaction Log'!A:A,"R",'Checking Transaction Log'!B:B,34)</f>
        <v>230</v>
      </c>
      <c r="J42" s="281">
        <f t="shared" si="37"/>
        <v>0</v>
      </c>
      <c r="K42" s="243">
        <f>SUMIFS('Checking Transaction Log'!$E:$E,'Checking Transaction Log'!$C:$C,"&gt;="&amp;K1,'Checking Transaction Log'!$C:$C,"&lt;="&amp;L1,'Checking Transaction Log'!$A:$A,"R",'Checking Transaction Log'!$B:$B,34)</f>
        <v>230</v>
      </c>
      <c r="L42" s="243">
        <f t="shared" si="38"/>
        <v>0</v>
      </c>
      <c r="M42" s="284">
        <f>SUMIFS('Checking Transaction Log'!$E:$E,'Checking Transaction Log'!$C:$C,"&gt;="&amp;M1,'Checking Transaction Log'!$C:$C,"&lt;="&amp;N1,'Checking Transaction Log'!$A:$A,"R",'Checking Transaction Log'!$B:$B,34)</f>
        <v>230</v>
      </c>
      <c r="N42" s="284">
        <f t="shared" si="39"/>
        <v>0</v>
      </c>
      <c r="O42" s="247">
        <f>SUMIFS('Checking Transaction Log'!$E:$E,'Checking Transaction Log'!$C:$C,"&gt;="&amp;O1,'Checking Transaction Log'!$C:$C,"&lt;="&amp;P1,'Checking Transaction Log'!$A:$A,"R",'Checking Transaction Log'!$B:$B,34)</f>
        <v>230</v>
      </c>
      <c r="P42" s="247">
        <f t="shared" si="40"/>
        <v>0</v>
      </c>
      <c r="Q42" s="281">
        <f>SUMIFS('Checking Transaction Log'!$E:$E,'Checking Transaction Log'!$C:$C,"&gt;="&amp;Q1,'Checking Transaction Log'!$C:$C,"&lt;="&amp;R1,'Checking Transaction Log'!$A:$A,"R",'Checking Transaction Log'!$B:$B,34)</f>
        <v>0</v>
      </c>
      <c r="R42" s="281">
        <f t="shared" si="41"/>
        <v>230</v>
      </c>
      <c r="S42" s="243">
        <f>SUMIFS('Checking Transaction Log'!$E:$E,'Checking Transaction Log'!$C:$C,"&gt;="&amp;S1,'Checking Transaction Log'!$C:$C,"&lt;="&amp;T1,'Checking Transaction Log'!$A:$A,"R",'Checking Transaction Log'!$B:$B,34)</f>
        <v>0</v>
      </c>
      <c r="T42" s="243">
        <f t="shared" si="42"/>
        <v>230</v>
      </c>
      <c r="U42" s="284">
        <f>SUMIFS('Checking Transaction Log'!$E:$E,'Checking Transaction Log'!$C:$C,"&gt;="&amp;U1,'Checking Transaction Log'!$C:$C,"&lt;="&amp;V1,'Checking Transaction Log'!$A:$A,"R",'Checking Transaction Log'!$B:$B,34)</f>
        <v>0</v>
      </c>
      <c r="V42" s="284">
        <f t="shared" si="43"/>
        <v>230</v>
      </c>
      <c r="W42" s="247">
        <f>SUMIFS('Checking Transaction Log'!$E:$E,'Checking Transaction Log'!$C:$C,"&gt;="&amp;W1,'Checking Transaction Log'!$C:$C,"&lt;="&amp;X1,'Checking Transaction Log'!$A:$A,"R",'Checking Transaction Log'!$B:$B,34)</f>
        <v>0</v>
      </c>
      <c r="X42" s="247">
        <f t="shared" si="44"/>
        <v>230</v>
      </c>
      <c r="Y42" s="287">
        <f>SUMIFS('Checking Transaction Log'!$E:$E,'Checking Transaction Log'!$C:$C,"&gt;="&amp;Y1,'Checking Transaction Log'!$C:$C,"&lt;="&amp;Z1,'Checking Transaction Log'!$A:$A,"R",'Checking Transaction Log'!$B:$B,34)</f>
        <v>0</v>
      </c>
      <c r="Z42" s="287">
        <f t="shared" si="45"/>
        <v>230</v>
      </c>
      <c r="AA42" s="289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89">
        <f t="shared" si="46"/>
        <v>230</v>
      </c>
      <c r="AC42" s="291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91">
        <f t="shared" si="47"/>
        <v>230</v>
      </c>
      <c r="AE42" s="293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93">
        <f t="shared" si="48"/>
        <v>230</v>
      </c>
    </row>
    <row r="43" spans="1:32" ht="11.25" customHeight="1" x14ac:dyDescent="0.3">
      <c r="A43" s="295" t="str">
        <f>'Proposed Budget'!A43</f>
        <v>R</v>
      </c>
      <c r="B43" s="266">
        <f>'Proposed Budget'!B43</f>
        <v>35</v>
      </c>
      <c r="C43" s="298" t="str">
        <f>'Proposed Budget'!C43</f>
        <v>Rental Sanitation</v>
      </c>
      <c r="D43" s="299">
        <f t="shared" ca="1" si="33"/>
        <v>41.481818181818184</v>
      </c>
      <c r="E43" s="300">
        <f t="shared" si="34"/>
        <v>180</v>
      </c>
      <c r="F43" s="300">
        <f t="shared" si="35"/>
        <v>0</v>
      </c>
      <c r="G43" s="280">
        <f t="shared" si="36"/>
        <v>0</v>
      </c>
      <c r="H43" s="300">
        <f>'Proposed Budget'!D43</f>
        <v>45</v>
      </c>
      <c r="I43" s="281">
        <f>SUMIFS('Checking Transaction Log'!E:E,'Checking Transaction Log'!C:C,"&gt;="&amp;I1,'Checking Transaction Log'!C:C,"&lt;="&amp;J1,'Checking Transaction Log'!A:A,"R",'Checking Transaction Log'!B:B,35)</f>
        <v>45</v>
      </c>
      <c r="J43" s="281">
        <f t="shared" si="37"/>
        <v>0</v>
      </c>
      <c r="K43" s="243">
        <f>SUMIFS('Checking Transaction Log'!$E:$E,'Checking Transaction Log'!$C:$C,"&gt;="&amp;K1,'Checking Transaction Log'!$C:$C,"&lt;="&amp;L1,'Checking Transaction Log'!$A:$A,"R",'Checking Transaction Log'!$B:$B,35)</f>
        <v>45</v>
      </c>
      <c r="L43" s="243">
        <f t="shared" si="38"/>
        <v>0</v>
      </c>
      <c r="M43" s="284">
        <f>SUMIFS('Checking Transaction Log'!$E:$E,'Checking Transaction Log'!$C:$C,"&gt;="&amp;M1,'Checking Transaction Log'!$C:$C,"&lt;="&amp;N1,'Checking Transaction Log'!$A:$A,"R",'Checking Transaction Log'!$B:$B,35)</f>
        <v>45</v>
      </c>
      <c r="N43" s="284">
        <f t="shared" si="39"/>
        <v>0</v>
      </c>
      <c r="O43" s="247">
        <f>SUMIFS('Checking Transaction Log'!$E:$E,'Checking Transaction Log'!$C:$C,"&gt;="&amp;O1,'Checking Transaction Log'!$C:$C,"&lt;="&amp;P1,'Checking Transaction Log'!$A:$A,"R",'Checking Transaction Log'!$B:$B,35)</f>
        <v>45</v>
      </c>
      <c r="P43" s="247">
        <f t="shared" si="40"/>
        <v>0</v>
      </c>
      <c r="Q43" s="281">
        <f>SUMIFS('Checking Transaction Log'!$E:$E,'Checking Transaction Log'!$C:$C,"&gt;="&amp;Q1,'Checking Transaction Log'!$C:$C,"&lt;="&amp;R1,'Checking Transaction Log'!$A:$A,"R",'Checking Transaction Log'!$B:$B,35)</f>
        <v>0</v>
      </c>
      <c r="R43" s="281">
        <f t="shared" si="41"/>
        <v>45</v>
      </c>
      <c r="S43" s="243">
        <f>SUMIFS('Checking Transaction Log'!$E:$E,'Checking Transaction Log'!$C:$C,"&gt;="&amp;S1,'Checking Transaction Log'!$C:$C,"&lt;="&amp;T1,'Checking Transaction Log'!$A:$A,"R",'Checking Transaction Log'!$B:$B,35)</f>
        <v>0</v>
      </c>
      <c r="T43" s="243">
        <f t="shared" si="42"/>
        <v>45</v>
      </c>
      <c r="U43" s="284">
        <f>SUMIFS('Checking Transaction Log'!$E:$E,'Checking Transaction Log'!$C:$C,"&gt;="&amp;U1,'Checking Transaction Log'!$C:$C,"&lt;="&amp;V1,'Checking Transaction Log'!$A:$A,"R",'Checking Transaction Log'!$B:$B,35)</f>
        <v>0</v>
      </c>
      <c r="V43" s="284">
        <f t="shared" si="43"/>
        <v>45</v>
      </c>
      <c r="W43" s="247">
        <f>SUMIFS('Checking Transaction Log'!$E:$E,'Checking Transaction Log'!$C:$C,"&gt;="&amp;W1,'Checking Transaction Log'!$C:$C,"&lt;="&amp;X1,'Checking Transaction Log'!$A:$A,"R",'Checking Transaction Log'!$B:$B,35)</f>
        <v>0</v>
      </c>
      <c r="X43" s="247">
        <f t="shared" si="44"/>
        <v>45</v>
      </c>
      <c r="Y43" s="287">
        <f>SUMIFS('Checking Transaction Log'!$E:$E,'Checking Transaction Log'!$C:$C,"&gt;="&amp;Y1,'Checking Transaction Log'!$C:$C,"&lt;="&amp;Z1,'Checking Transaction Log'!$A:$A,"R",'Checking Transaction Log'!$B:$B,35)</f>
        <v>0</v>
      </c>
      <c r="Z43" s="287">
        <f t="shared" si="45"/>
        <v>45</v>
      </c>
      <c r="AA43" s="289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89">
        <f t="shared" si="46"/>
        <v>45</v>
      </c>
      <c r="AC43" s="291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91">
        <f t="shared" si="47"/>
        <v>45</v>
      </c>
      <c r="AE43" s="293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93">
        <f t="shared" si="48"/>
        <v>45</v>
      </c>
    </row>
    <row r="44" spans="1:32" ht="11.25" customHeight="1" x14ac:dyDescent="0.3">
      <c r="A44" s="295"/>
      <c r="B44" s="266"/>
      <c r="C44" s="298"/>
      <c r="D44" s="299"/>
      <c r="E44" s="300"/>
      <c r="F44" s="300"/>
      <c r="G44" s="280"/>
      <c r="H44" s="300"/>
      <c r="I44" s="281"/>
      <c r="J44" s="281"/>
      <c r="K44" s="243"/>
      <c r="L44" s="243"/>
      <c r="M44" s="284"/>
      <c r="N44" s="284"/>
      <c r="O44" s="247"/>
      <c r="P44" s="247"/>
      <c r="Q44" s="281"/>
      <c r="R44" s="281"/>
      <c r="S44" s="243"/>
      <c r="T44" s="243"/>
      <c r="U44" s="284"/>
      <c r="V44" s="284"/>
      <c r="W44" s="247"/>
      <c r="X44" s="247"/>
      <c r="Y44" s="287"/>
      <c r="Z44" s="287"/>
      <c r="AA44" s="289"/>
      <c r="AB44" s="289"/>
      <c r="AC44" s="291"/>
      <c r="AD44" s="291"/>
      <c r="AE44" s="293"/>
      <c r="AF44" s="293"/>
    </row>
    <row r="45" spans="1:32" ht="11.25" customHeight="1" x14ac:dyDescent="0.3">
      <c r="A45" s="295" t="str">
        <f>'Proposed Budget'!A45</f>
        <v>S</v>
      </c>
      <c r="B45" s="266">
        <f>'Proposed Budget'!B45</f>
        <v>36</v>
      </c>
      <c r="C45" s="298" t="str">
        <f>'Proposed Budget'!C45</f>
        <v>Kids Savings</v>
      </c>
      <c r="D45" s="299">
        <f t="shared" ref="D45:D46" ca="1" si="49">(E45/(TODAY()-$I$1))*30.42</f>
        <v>57.613636363636367</v>
      </c>
      <c r="E45" s="300">
        <f t="shared" ref="E45:E46" si="50">Q45+S45+U45+W45+Y45+AA45+AC45+AE45+I45+K45+M45+O45</f>
        <v>250</v>
      </c>
      <c r="F45" s="300">
        <f t="shared" ref="F45:F46" si="51">J45+L45+N45+P45</f>
        <v>0</v>
      </c>
      <c r="G45" s="280">
        <f t="shared" ref="G45:G46" si="52">1-((E45/SUM(E45:F45)))</f>
        <v>0</v>
      </c>
      <c r="H45" s="300">
        <f>'Proposed Budget'!D45</f>
        <v>50</v>
      </c>
      <c r="I45" s="281">
        <f>SUMIFS('Checking Transaction Log'!E:E,'Checking Transaction Log'!C:C,"&gt;="&amp;I1,'Checking Transaction Log'!C:C,"&lt;="&amp;J1,'Checking Transaction Log'!A:A,"S",'Checking Transaction Log'!B:B,36)</f>
        <v>50</v>
      </c>
      <c r="J45" s="281">
        <f t="shared" ref="J45:J46" si="53">H45-I45</f>
        <v>0</v>
      </c>
      <c r="K45" s="243">
        <f>SUMIFS('Checking Transaction Log'!E:E,'Checking Transaction Log'!C:C,"&gt;="&amp;K1,'Checking Transaction Log'!C:C,"&lt;="&amp;L1,'Checking Transaction Log'!A:A,"S",'Checking Transaction Log'!B:B,36)</f>
        <v>50</v>
      </c>
      <c r="L45" s="243">
        <f t="shared" ref="L45:L46" si="54">H45-K45</f>
        <v>0</v>
      </c>
      <c r="M45" s="284">
        <f>SUMIFS('Checking Transaction Log'!$E:$E,'Checking Transaction Log'!$C:$C,"&gt;="&amp;M1,'Checking Transaction Log'!$C:$C,"&lt;="&amp;N1,'Checking Transaction Log'!$A:$A,"s",'Checking Transaction Log'!$B:$B,36)</f>
        <v>50</v>
      </c>
      <c r="N45" s="284">
        <f t="shared" ref="N45:N46" si="55">H45-M45</f>
        <v>0</v>
      </c>
      <c r="O45" s="247">
        <f>SUMIFS('Checking Transaction Log'!$E:$E,'Checking Transaction Log'!$C:$C,"&gt;="&amp;O1,'Checking Transaction Log'!$C:$C,"&lt;="&amp;P1,'Checking Transaction Log'!$A:$A,"s",'Checking Transaction Log'!$B:$B,36)</f>
        <v>50</v>
      </c>
      <c r="P45" s="247">
        <f t="shared" ref="P45:P46" si="56">H45-O45</f>
        <v>0</v>
      </c>
      <c r="Q45" s="281">
        <f>SUMIFS('Checking Transaction Log'!$E:$E,'Checking Transaction Log'!$C:$C,"&gt;="&amp;Q1,'Checking Transaction Log'!$C:$C,"&lt;="&amp;R1,'Checking Transaction Log'!$A:$A,"s",'Checking Transaction Log'!$B:$B,36)</f>
        <v>50</v>
      </c>
      <c r="R45" s="281">
        <f t="shared" ref="R45:R46" si="57">H45-Q45</f>
        <v>0</v>
      </c>
      <c r="S45" s="243">
        <f>SUMIFS('Checking Transaction Log'!$E:$E,'Checking Transaction Log'!$C:$C,"&gt;="&amp;S1,'Checking Transaction Log'!$C:$C,"&lt;="&amp;T1,'Checking Transaction Log'!$A:$A,"s",'Checking Transaction Log'!$B:$B,36)</f>
        <v>0</v>
      </c>
      <c r="T45" s="243">
        <f t="shared" ref="T45:T46" si="58">H45-S45</f>
        <v>50</v>
      </c>
      <c r="U45" s="284">
        <f>SUMIFS('Checking Transaction Log'!$E:$E,'Checking Transaction Log'!$C:$C,"&gt;="&amp;U1,'Checking Transaction Log'!$C:$C,"&lt;="&amp;V1,'Checking Transaction Log'!$A:$A,"s",'Checking Transaction Log'!$B:$B,36)</f>
        <v>0</v>
      </c>
      <c r="V45" s="284">
        <f t="shared" ref="V45:V46" si="59">H45-U45</f>
        <v>50</v>
      </c>
      <c r="W45" s="247">
        <f>SUMIFS('Checking Transaction Log'!$E:$E,'Checking Transaction Log'!$C:$C,"&gt;="&amp;W1,'Checking Transaction Log'!$C:$C,"&lt;="&amp;X1,'Checking Transaction Log'!$A:$A,"s",'Checking Transaction Log'!$B:$B,36)</f>
        <v>0</v>
      </c>
      <c r="X45" s="247">
        <f t="shared" ref="X45:X46" si="60">H45-W45</f>
        <v>50</v>
      </c>
      <c r="Y45" s="287">
        <f>SUMIFS('Checking Transaction Log'!$E:$E,'Checking Transaction Log'!$C:$C,"&gt;="&amp;Y1,'Checking Transaction Log'!$C:$C,"&lt;="&amp;Z1,'Checking Transaction Log'!$A:$A,"s",'Checking Transaction Log'!$B:$B,36)</f>
        <v>0</v>
      </c>
      <c r="Z45" s="287">
        <f t="shared" ref="Z45:Z46" si="61">H45-Y45</f>
        <v>50</v>
      </c>
      <c r="AA45" s="289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89">
        <f t="shared" ref="AB45:AB46" si="62">H45-AA45</f>
        <v>50</v>
      </c>
      <c r="AC45" s="291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91">
        <f t="shared" ref="AD45:AD46" si="63">H45-AC45</f>
        <v>50</v>
      </c>
      <c r="AE45" s="293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93">
        <f t="shared" ref="AF45:AF46" si="64">H45-AE45</f>
        <v>50</v>
      </c>
    </row>
    <row r="46" spans="1:32" ht="11.25" customHeight="1" x14ac:dyDescent="0.3">
      <c r="A46" s="295" t="str">
        <f>'Proposed Budget'!A46</f>
        <v>S</v>
      </c>
      <c r="B46" s="266">
        <f>'Proposed Budget'!B46</f>
        <v>37</v>
      </c>
      <c r="C46" s="298" t="str">
        <f>'Proposed Budget'!C46</f>
        <v>Our Savings</v>
      </c>
      <c r="D46" s="299">
        <f t="shared" ca="1" si="49"/>
        <v>3891.4439318181817</v>
      </c>
      <c r="E46" s="300">
        <f t="shared" si="50"/>
        <v>16885.949999999997</v>
      </c>
      <c r="F46" s="300">
        <f t="shared" si="51"/>
        <v>-817.21597936001172</v>
      </c>
      <c r="G46" s="280">
        <f t="shared" si="52"/>
        <v>-5.0857521090977853E-2</v>
      </c>
      <c r="H46" s="300">
        <f>'Proposed Budget'!D46</f>
        <v>4017.1835051599969</v>
      </c>
      <c r="I46" s="281">
        <f>SUMIFS('Checking Transaction Log'!E:E,'Checking Transaction Log'!C:C,"&gt;="&amp;I1,'Checking Transaction Log'!C:C,"&lt;="&amp;J1,'Checking Transaction Log'!A:A,"S",'Checking Transaction Log'!B:B,37)</f>
        <v>3194.64</v>
      </c>
      <c r="J46" s="281">
        <f t="shared" si="53"/>
        <v>822.54350515999704</v>
      </c>
      <c r="K46" s="243">
        <f>SUMIFS('Checking Transaction Log'!E:E,'Checking Transaction Log'!C:C,"&gt;="&amp;K1,'Checking Transaction Log'!C:C,"&lt;="&amp;L1,'Checking Transaction Log'!A:A,"S",'Checking Transaction Log'!B:B,37)</f>
        <v>3764.91</v>
      </c>
      <c r="L46" s="243">
        <f t="shared" si="54"/>
        <v>252.27350515999706</v>
      </c>
      <c r="M46" s="284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84">
        <f t="shared" si="55"/>
        <v>-292.39649484000302</v>
      </c>
      <c r="O46" s="247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47">
        <f t="shared" si="56"/>
        <v>-1599.6364948400028</v>
      </c>
      <c r="Q46" s="281">
        <f>SUMIFS('Checking Transaction Log'!$E:$E,'Checking Transaction Log'!$C:$C,"&gt;="&amp;Q1,'Checking Transaction Log'!$C:$C,"&lt;="&amp;R1,'Checking Transaction Log'!$A:$A,"s",'Checking Transaction Log'!$B:$B,37)</f>
        <v>0</v>
      </c>
      <c r="R46" s="281">
        <f t="shared" si="57"/>
        <v>4017.1835051599969</v>
      </c>
      <c r="S46" s="243">
        <f>SUMIFS('Checking Transaction Log'!$E:$E,'Checking Transaction Log'!$C:$C,"&gt;="&amp;S1,'Checking Transaction Log'!$C:$C,"&lt;="&amp;T1,'Checking Transaction Log'!$A:$A,"s",'Checking Transaction Log'!$B:$B,37)</f>
        <v>0</v>
      </c>
      <c r="T46" s="243">
        <f t="shared" si="58"/>
        <v>4017.1835051599969</v>
      </c>
      <c r="U46" s="284">
        <f>SUMIFS('Checking Transaction Log'!$E:$E,'Checking Transaction Log'!$C:$C,"&gt;="&amp;U1,'Checking Transaction Log'!$C:$C,"&lt;="&amp;V1,'Checking Transaction Log'!$A:$A,"s",'Checking Transaction Log'!$B:$B,37)</f>
        <v>0</v>
      </c>
      <c r="V46" s="284">
        <f t="shared" si="59"/>
        <v>4017.1835051599969</v>
      </c>
      <c r="W46" s="247">
        <f>SUMIFS('Checking Transaction Log'!$E:$E,'Checking Transaction Log'!$C:$C,"&gt;="&amp;W1,'Checking Transaction Log'!$C:$C,"&lt;="&amp;X1,'Checking Transaction Log'!$A:$A,"s",'Checking Transaction Log'!$B:$B,37)</f>
        <v>0</v>
      </c>
      <c r="X46" s="247">
        <f t="shared" si="60"/>
        <v>4017.1835051599969</v>
      </c>
      <c r="Y46" s="287">
        <f>SUMIFS('Checking Transaction Log'!$E:$E,'Checking Transaction Log'!$C:$C,"&gt;="&amp;Y1,'Checking Transaction Log'!$C:$C,"&lt;="&amp;Z1,'Checking Transaction Log'!$A:$A,"s",'Checking Transaction Log'!$B:$B,37)</f>
        <v>0</v>
      </c>
      <c r="Z46" s="287">
        <f t="shared" si="61"/>
        <v>4017.1835051599969</v>
      </c>
      <c r="AA46" s="289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89">
        <f t="shared" si="62"/>
        <v>4017.1835051599969</v>
      </c>
      <c r="AC46" s="291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91">
        <f t="shared" si="63"/>
        <v>4017.1835051599969</v>
      </c>
      <c r="AE46" s="293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93">
        <f t="shared" si="64"/>
        <v>4017.1835051599969</v>
      </c>
    </row>
    <row r="47" spans="1:32" ht="11.25" customHeight="1" x14ac:dyDescent="0.3">
      <c r="A47" s="295"/>
      <c r="B47" s="266"/>
      <c r="C47" s="298"/>
      <c r="D47" s="302"/>
      <c r="E47" s="256" t="s">
        <v>68</v>
      </c>
      <c r="F47" s="256" t="s">
        <v>68</v>
      </c>
      <c r="G47" s="257" t="s">
        <v>153</v>
      </c>
      <c r="H47" s="297"/>
      <c r="I47" s="281"/>
      <c r="J47" s="281"/>
      <c r="K47" s="243"/>
      <c r="L47" s="243"/>
      <c r="M47" s="284"/>
      <c r="N47" s="284"/>
      <c r="O47" s="247"/>
      <c r="P47" s="247"/>
      <c r="Q47" s="281"/>
      <c r="R47" s="281"/>
      <c r="S47" s="243"/>
      <c r="T47" s="243"/>
      <c r="U47" s="284"/>
      <c r="V47" s="284"/>
      <c r="W47" s="247"/>
      <c r="X47" s="247"/>
      <c r="Y47" s="287"/>
      <c r="Z47" s="287"/>
      <c r="AA47" s="289"/>
      <c r="AB47" s="289"/>
      <c r="AC47" s="291"/>
      <c r="AD47" s="291"/>
      <c r="AE47" s="293"/>
    </row>
    <row r="48" spans="1:32" ht="11.25" customHeight="1" x14ac:dyDescent="0.3">
      <c r="A48" s="295"/>
      <c r="B48" s="266"/>
      <c r="C48" s="298"/>
      <c r="D48" s="302"/>
      <c r="E48" s="256" t="s">
        <v>263</v>
      </c>
      <c r="F48" s="256" t="s">
        <v>258</v>
      </c>
      <c r="G48" s="257" t="s">
        <v>264</v>
      </c>
      <c r="H48" s="295"/>
      <c r="I48" s="282"/>
      <c r="J48" s="282"/>
      <c r="K48" s="283"/>
      <c r="L48" s="283"/>
      <c r="M48" s="285"/>
      <c r="N48" s="285"/>
      <c r="O48" s="286"/>
      <c r="P48" s="286"/>
      <c r="Q48" s="282"/>
      <c r="R48" s="282"/>
      <c r="S48" s="283"/>
      <c r="T48" s="283"/>
      <c r="U48" s="285"/>
      <c r="V48" s="285"/>
      <c r="W48" s="286"/>
      <c r="X48" s="286"/>
      <c r="Y48" s="288"/>
      <c r="Z48" s="288"/>
      <c r="AA48" s="290"/>
      <c r="AB48" s="290"/>
      <c r="AC48" s="292"/>
      <c r="AD48" s="292"/>
      <c r="AE48" s="294"/>
    </row>
    <row r="49" spans="1:31" ht="11.25" customHeight="1" x14ac:dyDescent="0.3">
      <c r="A49" s="297" t="s">
        <v>226</v>
      </c>
      <c r="B49" s="266">
        <v>38</v>
      </c>
      <c r="C49" s="303" t="s">
        <v>265</v>
      </c>
      <c r="D49" s="299">
        <f t="shared" ref="D49:D52" ca="1" si="65">(E49/(TODAY()-$I$1))*30.42</f>
        <v>8178.4469590909102</v>
      </c>
      <c r="E49" s="279">
        <f t="shared" ref="E49:E52" si="66">Q49+S49+U49+W49+Y49+AA49+AC49+AE49+I49+K49+M49+O49</f>
        <v>35488.33</v>
      </c>
      <c r="F49" s="279">
        <f>E49-('Proposed Budget'!J68*14)</f>
        <v>-28881.238043619989</v>
      </c>
      <c r="G49" s="257">
        <f t="shared" ref="G49:G50" si="67">(E49/(E49-F49))-1</f>
        <v>-0.44867845041384524</v>
      </c>
      <c r="H49" s="297"/>
      <c r="I49" s="281">
        <f>SUMIFS('Checking Transaction Log'!F:F,'Checking Transaction Log'!C:C,"&gt;="&amp;I1,'Checking Transaction Log'!C:C,"&lt;="&amp;J1,'Checking Transaction Log'!A:A,"i",'Checking Transaction Log'!B:B,38)</f>
        <v>8731.32</v>
      </c>
      <c r="J49" s="281"/>
      <c r="K49" s="243">
        <f>SUMIFS('Checking Transaction Log'!F:F,'Checking Transaction Log'!C:C,"&gt;="&amp;K1,'Checking Transaction Log'!C:C,"&lt;="&amp;L1,'Checking Transaction Log'!A:A,"i",'Checking Transaction Log'!B:B,38)</f>
        <v>8556.31</v>
      </c>
      <c r="L49" s="243"/>
      <c r="M49" s="284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84"/>
      <c r="O49" s="247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47"/>
      <c r="Q49" s="281">
        <f>SUMIFS('Checking Transaction Log'!$F:$F,'Checking Transaction Log'!$C:$C,"&gt;="&amp;Q1,'Checking Transaction Log'!$C:$C,"&lt;="&amp;R1,'Checking Transaction Log'!$A:$A,"i",'Checking Transaction Log'!$B:$B,38)</f>
        <v>0</v>
      </c>
      <c r="R49" s="281"/>
      <c r="S49" s="243">
        <f>SUMIFS('Checking Transaction Log'!$F:$F,'Checking Transaction Log'!$C:$C,"&gt;="&amp;S1,'Checking Transaction Log'!$C:$C,"&lt;="&amp;T1,'Checking Transaction Log'!$A:$A,"i",'Checking Transaction Log'!$B:$B,38)</f>
        <v>0</v>
      </c>
      <c r="T49" s="243"/>
      <c r="U49" s="284">
        <f>SUMIFS('Checking Transaction Log'!$F:$F,'Checking Transaction Log'!$C:$C,"&gt;="&amp;U1,'Checking Transaction Log'!$C:$C,"&lt;="&amp;V1,'Checking Transaction Log'!$A:$A,"i",'Checking Transaction Log'!$B:$B,38)</f>
        <v>0</v>
      </c>
      <c r="V49" s="284"/>
      <c r="W49" s="247">
        <f>SUMIFS('Checking Transaction Log'!$F:$F,'Checking Transaction Log'!$C:$C,"&gt;="&amp;W1,'Checking Transaction Log'!$C:$C,"&lt;="&amp;X1,'Checking Transaction Log'!$A:$A,"i",'Checking Transaction Log'!$B:$B,38)</f>
        <v>0</v>
      </c>
      <c r="X49" s="247"/>
      <c r="Y49" s="287">
        <f>SUMIFS('Checking Transaction Log'!$F:$F,'Checking Transaction Log'!$C:$C,"&gt;="&amp;Y1,'Checking Transaction Log'!$C:$C,"&lt;="&amp;Z1,'Checking Transaction Log'!$A:$A,"i",'Checking Transaction Log'!$B:$B,38)</f>
        <v>0</v>
      </c>
      <c r="Z49" s="287"/>
      <c r="AA49" s="289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89"/>
      <c r="AC49" s="291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91"/>
      <c r="AE49" s="293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97" t="s">
        <v>226</v>
      </c>
      <c r="B50" s="266">
        <v>39</v>
      </c>
      <c r="C50" s="303" t="s">
        <v>266</v>
      </c>
      <c r="D50" s="299">
        <f t="shared" ca="1" si="65"/>
        <v>5866.1052272727275</v>
      </c>
      <c r="E50" s="279">
        <f t="shared" si="66"/>
        <v>25454.5</v>
      </c>
      <c r="F50" s="279">
        <f>E50-('Proposed Budget'!J44*14)</f>
        <v>-13238.469069999992</v>
      </c>
      <c r="G50" s="257">
        <f t="shared" si="67"/>
        <v>-0.34214146363516562</v>
      </c>
      <c r="H50" s="297"/>
      <c r="I50" s="281">
        <f>SUMIFS('Checking Transaction Log'!F:F,'Checking Transaction Log'!C:C,"&gt;="&amp;I1,'Checking Transaction Log'!C:C,"&lt;="&amp;J1,'Checking Transaction Log'!A:A,"i",'Checking Transaction Log'!B:B,39)</f>
        <v>6108.04</v>
      </c>
      <c r="J50" s="281"/>
      <c r="K50" s="243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43"/>
      <c r="M50" s="284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84"/>
      <c r="O50" s="247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47"/>
      <c r="Q50" s="281">
        <f>SUMIFS('Checking Transaction Log'!$F:$F,'Checking Transaction Log'!$C:$C,"&gt;="&amp;Q1,'Checking Transaction Log'!$C:$C,"&lt;="&amp;R1,'Checking Transaction Log'!$A:$A,"i",'Checking Transaction Log'!$B:$B,39)</f>
        <v>0</v>
      </c>
      <c r="R50" s="281"/>
      <c r="S50" s="243">
        <f>SUMIFS('Checking Transaction Log'!$F:$F,'Checking Transaction Log'!$C:$C,"&gt;="&amp;S1,'Checking Transaction Log'!$C:$C,"&lt;="&amp;T1,'Checking Transaction Log'!$A:$A,"i",'Checking Transaction Log'!$B:$B,39)</f>
        <v>0</v>
      </c>
      <c r="T50" s="243"/>
      <c r="U50" s="284">
        <f>SUMIFS('Checking Transaction Log'!$F:$F,'Checking Transaction Log'!$C:$C,"&gt;="&amp;U1,'Checking Transaction Log'!$C:$C,"&lt;="&amp;V1,'Checking Transaction Log'!$A:$A,"i",'Checking Transaction Log'!$B:$B,39)</f>
        <v>0</v>
      </c>
      <c r="V50" s="284"/>
      <c r="W50" s="247">
        <f>SUMIFS('Checking Transaction Log'!$F:$F,'Checking Transaction Log'!$C:$C,"&gt;="&amp;W1,'Checking Transaction Log'!$C:$C,"&lt;="&amp;X1,'Checking Transaction Log'!$A:$A,"i",'Checking Transaction Log'!$B:$B,39)</f>
        <v>0</v>
      </c>
      <c r="X50" s="247"/>
      <c r="Y50" s="287">
        <f>SUMIFS('Checking Transaction Log'!$F:$F,'Checking Transaction Log'!$C:$C,"&gt;="&amp;Y1,'Checking Transaction Log'!$C:$C,"&lt;="&amp;Z1,'Checking Transaction Log'!$A:$A,"i",'Checking Transaction Log'!$B:$B,39)</f>
        <v>0</v>
      </c>
      <c r="Z50" s="287"/>
      <c r="AA50" s="289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89"/>
      <c r="AC50" s="291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91"/>
      <c r="AE50" s="293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97" t="s">
        <v>226</v>
      </c>
      <c r="B51" s="266">
        <v>40</v>
      </c>
      <c r="C51" s="303" t="s">
        <v>267</v>
      </c>
      <c r="D51" s="299">
        <f t="shared" ca="1" si="65"/>
        <v>970.00853181818195</v>
      </c>
      <c r="E51" s="279">
        <f t="shared" si="66"/>
        <v>4209.1100000000006</v>
      </c>
      <c r="F51" s="279"/>
      <c r="G51" s="257"/>
      <c r="H51" s="297"/>
      <c r="I51" s="281">
        <f>SUMIFS('Checking Transaction Log'!F:F,'Checking Transaction Log'!C:C,"&gt;="&amp;I1,'Checking Transaction Log'!C:C,"&lt;="&amp;J1,'Checking Transaction Log'!A:A,"i",'Checking Transaction Log'!B:B,40)</f>
        <v>0</v>
      </c>
      <c r="J51" s="281"/>
      <c r="K51" s="243">
        <f>SUMIFS('Checking Transaction Log'!F:F,'Checking Transaction Log'!C:C,"&gt;="&amp;K1,'Checking Transaction Log'!C:C,"&lt;="&amp;L1,'Checking Transaction Log'!A:A,"i",'Checking Transaction Log'!B:B,40)</f>
        <v>2531.75</v>
      </c>
      <c r="L51" s="243"/>
      <c r="M51" s="284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84"/>
      <c r="O51" s="247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47"/>
      <c r="Q51" s="281">
        <f>SUMIFS('Checking Transaction Log'!$F:$F,'Checking Transaction Log'!$C:$C,"&gt;="&amp;Q1,'Checking Transaction Log'!$C:$C,"&lt;="&amp;R1,'Checking Transaction Log'!$A:$A,"i",'Checking Transaction Log'!$B:$B,40)</f>
        <v>0</v>
      </c>
      <c r="R51" s="281"/>
      <c r="S51" s="243">
        <f>SUMIFS('Checking Transaction Log'!$F:$F,'Checking Transaction Log'!$C:$C,"&gt;="&amp;S1,'Checking Transaction Log'!$C:$C,"&lt;="&amp;T1,'Checking Transaction Log'!$A:$A,"i",'Checking Transaction Log'!$B:$B,40)</f>
        <v>0</v>
      </c>
      <c r="T51" s="243"/>
      <c r="U51" s="284">
        <f>SUMIFS('Checking Transaction Log'!$F:$F,'Checking Transaction Log'!$C:$C,"&gt;="&amp;U1,'Checking Transaction Log'!$C:$C,"&lt;="&amp;V1,'Checking Transaction Log'!$A:$A,"i",'Checking Transaction Log'!$B:$B,40)</f>
        <v>0</v>
      </c>
      <c r="V51" s="284"/>
      <c r="W51" s="247">
        <f>SUMIFS('Checking Transaction Log'!$F:$F,'Checking Transaction Log'!$C:$C,"&gt;="&amp;W1,'Checking Transaction Log'!$C:$C,"&lt;="&amp;X1,'Checking Transaction Log'!$A:$A,"i",'Checking Transaction Log'!$B:$B,40)</f>
        <v>0</v>
      </c>
      <c r="X51" s="247"/>
      <c r="Y51" s="287">
        <f>SUMIFS('Checking Transaction Log'!$F:$F,'Checking Transaction Log'!$C:$C,"&gt;="&amp;Y1,'Checking Transaction Log'!$C:$C,"&lt;="&amp;Z1,'Checking Transaction Log'!$A:$A,"i",'Checking Transaction Log'!$B:$B,40)</f>
        <v>0</v>
      </c>
      <c r="Z51" s="287"/>
      <c r="AA51" s="289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89"/>
      <c r="AC51" s="291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91"/>
      <c r="AE51" s="293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97" t="s">
        <v>226</v>
      </c>
      <c r="B52" s="266">
        <v>41</v>
      </c>
      <c r="C52" s="303" t="s">
        <v>189</v>
      </c>
      <c r="D52" s="299">
        <f t="shared" ca="1" si="65"/>
        <v>679.84090909090912</v>
      </c>
      <c r="E52" s="279">
        <f t="shared" si="66"/>
        <v>2950</v>
      </c>
      <c r="F52" s="279"/>
      <c r="G52" s="257"/>
      <c r="H52" s="297"/>
      <c r="I52" s="281">
        <f>SUMIFS('Checking Transaction Log'!F:F,'Checking Transaction Log'!C:C,"&gt;="&amp;I1,'Checking Transaction Log'!C:C,"&lt;="&amp;J1,'Checking Transaction Log'!A:A,"i",'Checking Transaction Log'!B:B,41)</f>
        <v>800</v>
      </c>
      <c r="J52" s="281"/>
      <c r="K52" s="243">
        <f>SUMIFS('Checking Transaction Log'!F:F,'Checking Transaction Log'!C:C,"&gt;="&amp;K1,'Checking Transaction Log'!C:C,"&lt;="&amp;L1,'Checking Transaction Log'!A:A,"i",'Checking Transaction Log'!B:B,41)</f>
        <v>0</v>
      </c>
      <c r="L52" s="243"/>
      <c r="M52" s="284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84"/>
      <c r="O52" s="247">
        <f>SUMIFS('Checking Transaction Log'!$F:$F,'Checking Transaction Log'!$C:$C,"&gt;="&amp;O1,'Checking Transaction Log'!$C:$C,"&lt;="&amp;P1,'Checking Transaction Log'!$A:$A,"i",'Checking Transaction Log'!$B:$B,41)</f>
        <v>550</v>
      </c>
      <c r="P52" s="247"/>
      <c r="Q52" s="281">
        <f>SUMIFS('Checking Transaction Log'!$F:$F,'Checking Transaction Log'!$C:$C,"&gt;="&amp;Q1,'Checking Transaction Log'!$C:$C,"&lt;="&amp;R1,'Checking Transaction Log'!$A:$A,"i",'Checking Transaction Log'!$B:$B,41)</f>
        <v>0</v>
      </c>
      <c r="R52" s="281"/>
      <c r="S52" s="243">
        <f>SUMIFS('Checking Transaction Log'!$F:$F,'Checking Transaction Log'!$C:$C,"&gt;="&amp;S1,'Checking Transaction Log'!$C:$C,"&lt;="&amp;T1,'Checking Transaction Log'!$A:$A,"i",'Checking Transaction Log'!$B:$B,41)</f>
        <v>0</v>
      </c>
      <c r="T52" s="243"/>
      <c r="U52" s="284">
        <f>SUMIFS('Checking Transaction Log'!$F:$F,'Checking Transaction Log'!$C:$C,"&gt;="&amp;U1,'Checking Transaction Log'!$C:$C,"&lt;="&amp;V1,'Checking Transaction Log'!$A:$A,"i",'Checking Transaction Log'!$B:$B,41)</f>
        <v>0</v>
      </c>
      <c r="V52" s="284"/>
      <c r="W52" s="247">
        <f>SUMIFS('Checking Transaction Log'!$F:$F,'Checking Transaction Log'!$C:$C,"&gt;="&amp;W1,'Checking Transaction Log'!$C:$C,"&lt;="&amp;X1,'Checking Transaction Log'!$A:$A,"i",'Checking Transaction Log'!$B:$B,41)</f>
        <v>0</v>
      </c>
      <c r="X52" s="247"/>
      <c r="Y52" s="287">
        <f>SUMIFS('Checking Transaction Log'!$F:$F,'Checking Transaction Log'!$C:$C,"&gt;="&amp;Y1,'Checking Transaction Log'!$C:$C,"&lt;="&amp;Z1,'Checking Transaction Log'!$A:$A,"i",'Checking Transaction Log'!$B:$B,41)</f>
        <v>0</v>
      </c>
      <c r="Z52" s="287"/>
      <c r="AA52" s="289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89"/>
      <c r="AC52" s="291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91"/>
      <c r="AE52" s="293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99"/>
      <c r="B53" s="304"/>
      <c r="C53" s="305"/>
      <c r="D53" s="133"/>
      <c r="E53" s="306"/>
      <c r="F53" s="306"/>
      <c r="G53" s="307"/>
      <c r="H53" s="306"/>
      <c r="I53" s="306"/>
      <c r="J53" s="306"/>
      <c r="K53" s="306"/>
      <c r="L53" s="306"/>
      <c r="M53" s="306"/>
      <c r="N53" s="306"/>
      <c r="O53" s="306"/>
      <c r="P53" s="306"/>
      <c r="Q53" s="306"/>
      <c r="R53" s="306"/>
      <c r="S53" s="306"/>
      <c r="T53" s="306"/>
      <c r="U53" s="306"/>
      <c r="V53" s="306"/>
      <c r="W53" s="306"/>
      <c r="X53" s="306"/>
      <c r="Y53" s="306"/>
      <c r="Z53" s="306"/>
      <c r="AA53" s="306"/>
      <c r="AB53" s="306"/>
      <c r="AC53" s="306"/>
      <c r="AD53" s="306"/>
      <c r="AE53" s="306"/>
    </row>
    <row r="54" spans="1:31" ht="11.25" customHeight="1" x14ac:dyDescent="0.3">
      <c r="A54" s="199"/>
      <c r="B54" s="304"/>
      <c r="C54" s="305"/>
      <c r="D54" s="133"/>
      <c r="E54" s="308">
        <f>SUM(E49:E52)</f>
        <v>68101.94</v>
      </c>
      <c r="F54" s="308">
        <f>F49+F50+E52</f>
        <v>-39169.707113619981</v>
      </c>
      <c r="G54" s="257">
        <f>(E54/(E54-F54))-1</f>
        <v>-0.36514501424716828</v>
      </c>
      <c r="H54" s="306"/>
      <c r="I54" s="209">
        <f>SUM(I49:I52)</f>
        <v>15639.36</v>
      </c>
      <c r="J54" s="306"/>
      <c r="K54" s="209">
        <f>SUM(K49:K52)</f>
        <v>16615.62</v>
      </c>
      <c r="L54" s="306"/>
      <c r="M54" s="209">
        <f>SUM(M49:M52)</f>
        <v>16971.29</v>
      </c>
      <c r="N54" s="306"/>
      <c r="O54" s="209">
        <f>SUM(O49:O52)</f>
        <v>18875.669999999998</v>
      </c>
      <c r="P54" s="306"/>
      <c r="Q54" s="209">
        <f>SUM(Q49:Q52)</f>
        <v>0</v>
      </c>
      <c r="R54" s="306"/>
      <c r="S54" s="209">
        <f>SUM(S49:S52)</f>
        <v>0</v>
      </c>
      <c r="T54" s="306"/>
      <c r="U54" s="209">
        <f>SUM(U49:U52)</f>
        <v>0</v>
      </c>
      <c r="V54" s="306"/>
      <c r="W54" s="209">
        <f>SUM(W49:W52)</f>
        <v>0</v>
      </c>
      <c r="X54" s="306"/>
      <c r="Y54" s="209">
        <f>SUM(Y49:Y52)</f>
        <v>0</v>
      </c>
      <c r="Z54" s="306"/>
      <c r="AA54" s="209">
        <f>SUM(AA49:AA52)</f>
        <v>0</v>
      </c>
      <c r="AB54" s="306"/>
      <c r="AC54" s="209">
        <f>SUM(AC49:AC52)</f>
        <v>0</v>
      </c>
      <c r="AD54" s="306"/>
      <c r="AE54" s="209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2635"/>
  <sheetViews>
    <sheetView tabSelected="1" workbookViewId="0">
      <pane ySplit="4" topLeftCell="A5" activePane="bottomLeft" state="frozen"/>
      <selection pane="bottomLeft" activeCell="D838" sqref="D838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36" t="s">
        <v>261</v>
      </c>
      <c r="B1" s="537"/>
      <c r="C1" s="309" t="s">
        <v>268</v>
      </c>
      <c r="D1" s="310" t="s">
        <v>269</v>
      </c>
      <c r="E1" s="538" t="s">
        <v>270</v>
      </c>
      <c r="F1" s="537"/>
      <c r="G1" s="311">
        <f t="array" aca="1" ref="G1" ca="1">(SUM(INDIRECT("g5:g5")))+J2+L2+N2+P2-R2+T2-G838</f>
        <v>5816.3799999999837</v>
      </c>
      <c r="H1" s="312"/>
      <c r="I1" s="313" t="s">
        <v>271</v>
      </c>
      <c r="J1" s="314">
        <v>25000</v>
      </c>
      <c r="K1" s="315" t="s">
        <v>272</v>
      </c>
      <c r="L1" s="316">
        <v>25000</v>
      </c>
      <c r="M1" s="317" t="s">
        <v>273</v>
      </c>
      <c r="N1" s="318">
        <f>10500-N2</f>
        <v>10500</v>
      </c>
      <c r="O1" s="319" t="s">
        <v>274</v>
      </c>
      <c r="P1" s="320">
        <f>5000-P2</f>
        <v>5000</v>
      </c>
      <c r="Q1" s="539" t="s">
        <v>39</v>
      </c>
      <c r="R1" s="537"/>
      <c r="S1" s="321" t="s">
        <v>273</v>
      </c>
      <c r="T1" s="322">
        <f>1200-T2</f>
        <v>1200</v>
      </c>
    </row>
    <row r="2" spans="1:20" ht="12" customHeight="1" x14ac:dyDescent="0.3">
      <c r="A2" s="310"/>
      <c r="B2" s="323"/>
      <c r="C2" s="309"/>
      <c r="D2" s="324"/>
      <c r="E2" s="538" t="s">
        <v>39</v>
      </c>
      <c r="F2" s="537"/>
      <c r="G2" s="311">
        <f>R2</f>
        <v>100</v>
      </c>
      <c r="H2" s="312"/>
      <c r="I2" s="325" t="s">
        <v>275</v>
      </c>
      <c r="J2" s="314">
        <f>SUMIFS(E:E,I:I,"1")</f>
        <v>4060.16</v>
      </c>
      <c r="K2" s="315" t="s">
        <v>276</v>
      </c>
      <c r="L2" s="316">
        <f>(SUMIFS(E:E,I:I,"2"))</f>
        <v>1277.21</v>
      </c>
      <c r="M2" s="317" t="s">
        <v>277</v>
      </c>
      <c r="N2" s="318">
        <f>SUMIFS(E:E,I:I,"3")</f>
        <v>0</v>
      </c>
      <c r="O2" s="319" t="s">
        <v>278</v>
      </c>
      <c r="P2" s="320">
        <f>SUMIFS(E:E,I:I,"4")</f>
        <v>0</v>
      </c>
      <c r="Q2" s="326"/>
      <c r="R2" s="327">
        <f>SUMIFS(F:F,H:H,"cash")-SUMIFS(E:E,H:H,"cash")</f>
        <v>100</v>
      </c>
      <c r="S2" s="321" t="s">
        <v>279</v>
      </c>
      <c r="T2" s="322">
        <f>SUMIFS(E:E,I:I,"6")</f>
        <v>0</v>
      </c>
    </row>
    <row r="3" spans="1:20" ht="12" customHeight="1" x14ac:dyDescent="0.3">
      <c r="A3" s="310"/>
      <c r="B3" s="323"/>
      <c r="C3" s="309"/>
      <c r="D3" s="324"/>
      <c r="E3" s="538" t="s">
        <v>280</v>
      </c>
      <c r="F3" s="537"/>
      <c r="G3" s="311">
        <f>SUM(J1,L1,N1,P1,T1)</f>
        <v>66700</v>
      </c>
      <c r="H3" s="312"/>
      <c r="I3" s="328"/>
      <c r="J3" s="329"/>
      <c r="K3" s="330"/>
      <c r="L3" s="331"/>
      <c r="M3" s="332"/>
      <c r="N3" s="333"/>
      <c r="O3" s="334"/>
      <c r="P3" s="335"/>
      <c r="Q3" s="336"/>
      <c r="R3" s="337"/>
      <c r="S3" s="338"/>
      <c r="T3" s="339"/>
    </row>
    <row r="4" spans="1:20" ht="12" customHeight="1" x14ac:dyDescent="0.3">
      <c r="A4" s="340"/>
      <c r="B4" s="341"/>
      <c r="C4" s="309"/>
      <c r="D4" s="310"/>
      <c r="E4" s="342" t="s">
        <v>281</v>
      </c>
      <c r="F4" s="343" t="s">
        <v>282</v>
      </c>
      <c r="G4" s="344" t="s">
        <v>283</v>
      </c>
      <c r="H4" s="345"/>
      <c r="I4" s="346"/>
      <c r="J4" s="347"/>
      <c r="K4" s="312"/>
      <c r="L4" s="347"/>
      <c r="M4" s="312"/>
      <c r="N4" s="347"/>
      <c r="O4" s="312"/>
      <c r="P4" s="347"/>
      <c r="Q4" s="312"/>
      <c r="R4" s="347"/>
      <c r="S4" s="312"/>
      <c r="T4" s="347"/>
    </row>
    <row r="5" spans="1:20" ht="12" customHeight="1" x14ac:dyDescent="0.3">
      <c r="A5" s="340" t="s">
        <v>294</v>
      </c>
      <c r="B5" s="341">
        <v>19</v>
      </c>
      <c r="C5" s="309">
        <v>46154</v>
      </c>
      <c r="D5" s="310" t="s">
        <v>191</v>
      </c>
      <c r="E5" s="533">
        <v>200</v>
      </c>
      <c r="F5" s="533"/>
      <c r="G5" s="344">
        <f t="shared" ref="G5:G41" si="0">G6-E5+F5</f>
        <v>579.00999999998419</v>
      </c>
      <c r="H5" s="345"/>
      <c r="I5" s="346"/>
      <c r="J5" s="347"/>
      <c r="K5" s="312"/>
      <c r="L5" s="347"/>
      <c r="M5" s="312"/>
      <c r="N5" s="347"/>
      <c r="O5" s="312"/>
      <c r="P5" s="347"/>
      <c r="Q5" s="312"/>
      <c r="R5" s="347"/>
      <c r="S5" s="312"/>
      <c r="T5" s="347"/>
    </row>
    <row r="6" spans="1:20" ht="12" customHeight="1" x14ac:dyDescent="0.3">
      <c r="A6" s="340" t="s">
        <v>289</v>
      </c>
      <c r="B6" s="341">
        <v>6</v>
      </c>
      <c r="C6" s="309">
        <v>46154</v>
      </c>
      <c r="D6" s="310" t="s">
        <v>455</v>
      </c>
      <c r="E6" s="533">
        <v>-0.06</v>
      </c>
      <c r="F6" s="533"/>
      <c r="G6" s="344">
        <f t="shared" si="0"/>
        <v>779.00999999998419</v>
      </c>
      <c r="H6" s="345"/>
      <c r="I6" s="346"/>
      <c r="J6" s="347"/>
      <c r="K6" s="312"/>
      <c r="L6" s="347"/>
      <c r="M6" s="312"/>
      <c r="N6" s="347"/>
      <c r="O6" s="312"/>
      <c r="P6" s="347"/>
      <c r="Q6" s="312"/>
      <c r="R6" s="347"/>
      <c r="S6" s="312"/>
      <c r="T6" s="347"/>
    </row>
    <row r="7" spans="1:20" ht="12" customHeight="1" x14ac:dyDescent="0.3">
      <c r="A7" s="340" t="s">
        <v>289</v>
      </c>
      <c r="B7" s="341">
        <v>3</v>
      </c>
      <c r="C7" s="309">
        <v>46153</v>
      </c>
      <c r="D7" s="310" t="s">
        <v>296</v>
      </c>
      <c r="E7" s="533">
        <v>4.79</v>
      </c>
      <c r="F7" s="533"/>
      <c r="G7" s="344">
        <f t="shared" si="0"/>
        <v>778.94999999998424</v>
      </c>
      <c r="H7" s="345"/>
      <c r="I7" s="346">
        <v>1</v>
      </c>
      <c r="J7" s="347"/>
      <c r="K7" s="312"/>
      <c r="L7" s="347"/>
      <c r="M7" s="312"/>
      <c r="N7" s="347"/>
      <c r="O7" s="312"/>
      <c r="P7" s="347"/>
      <c r="Q7" s="312"/>
      <c r="R7" s="347"/>
      <c r="S7" s="312"/>
      <c r="T7" s="347"/>
    </row>
    <row r="8" spans="1:20" ht="12" customHeight="1" x14ac:dyDescent="0.3">
      <c r="A8" s="340" t="s">
        <v>289</v>
      </c>
      <c r="B8" s="341">
        <v>4</v>
      </c>
      <c r="C8" s="309">
        <v>46153</v>
      </c>
      <c r="D8" s="310" t="s">
        <v>296</v>
      </c>
      <c r="E8" s="533">
        <v>66.59</v>
      </c>
      <c r="F8" s="533"/>
      <c r="G8" s="344">
        <f t="shared" si="0"/>
        <v>783.73999999998421</v>
      </c>
      <c r="H8" s="345"/>
      <c r="I8" s="346">
        <v>1</v>
      </c>
      <c r="J8" s="347"/>
      <c r="K8" s="312"/>
      <c r="L8" s="347"/>
      <c r="M8" s="312"/>
      <c r="N8" s="347"/>
      <c r="O8" s="312"/>
      <c r="P8" s="347"/>
      <c r="Q8" s="312"/>
      <c r="R8" s="347"/>
      <c r="S8" s="312"/>
      <c r="T8" s="347"/>
    </row>
    <row r="9" spans="1:20" ht="12" customHeight="1" x14ac:dyDescent="0.3">
      <c r="A9" s="340"/>
      <c r="B9" s="341"/>
      <c r="C9" s="309">
        <v>46153</v>
      </c>
      <c r="D9" s="310" t="s">
        <v>860</v>
      </c>
      <c r="E9" s="533">
        <v>-51.06</v>
      </c>
      <c r="F9" s="533"/>
      <c r="G9" s="344">
        <f t="shared" si="0"/>
        <v>850.32999999998424</v>
      </c>
      <c r="H9" s="345"/>
      <c r="I9" s="346">
        <v>1</v>
      </c>
      <c r="J9" s="347"/>
      <c r="K9" s="312"/>
      <c r="L9" s="347"/>
      <c r="M9" s="312"/>
      <c r="N9" s="347"/>
      <c r="O9" s="312"/>
      <c r="P9" s="347"/>
      <c r="Q9" s="312"/>
      <c r="R9" s="347"/>
      <c r="S9" s="312"/>
      <c r="T9" s="347"/>
    </row>
    <row r="10" spans="1:20" ht="12" customHeight="1" x14ac:dyDescent="0.3">
      <c r="A10" s="340" t="s">
        <v>294</v>
      </c>
      <c r="B10" s="341">
        <v>22</v>
      </c>
      <c r="C10" s="309">
        <v>46153</v>
      </c>
      <c r="D10" s="310" t="s">
        <v>356</v>
      </c>
      <c r="E10" s="533">
        <v>21.29</v>
      </c>
      <c r="F10" s="533"/>
      <c r="G10" s="344">
        <f t="shared" si="0"/>
        <v>799.26999999998429</v>
      </c>
      <c r="H10" s="345"/>
      <c r="I10" s="346">
        <v>1</v>
      </c>
      <c r="J10" s="347"/>
      <c r="K10" s="312"/>
      <c r="L10" s="347"/>
      <c r="M10" s="312"/>
      <c r="N10" s="347"/>
      <c r="O10" s="312"/>
      <c r="P10" s="347"/>
      <c r="Q10" s="312"/>
      <c r="R10" s="347"/>
      <c r="S10" s="312"/>
      <c r="T10" s="347"/>
    </row>
    <row r="11" spans="1:20" ht="12" customHeight="1" x14ac:dyDescent="0.3">
      <c r="A11" s="340" t="s">
        <v>289</v>
      </c>
      <c r="B11" s="341">
        <v>8</v>
      </c>
      <c r="C11" s="309">
        <v>46152</v>
      </c>
      <c r="D11" s="310" t="s">
        <v>321</v>
      </c>
      <c r="E11" s="533">
        <v>59.25</v>
      </c>
      <c r="F11" s="533"/>
      <c r="G11" s="344">
        <f t="shared" si="0"/>
        <v>820.55999999998426</v>
      </c>
      <c r="H11" s="345"/>
      <c r="I11" s="346">
        <v>1</v>
      </c>
      <c r="J11" s="347"/>
      <c r="K11" s="312"/>
      <c r="L11" s="347"/>
      <c r="M11" s="312"/>
      <c r="N11" s="347"/>
      <c r="O11" s="312"/>
      <c r="P11" s="347"/>
      <c r="Q11" s="312"/>
      <c r="R11" s="347"/>
      <c r="S11" s="312"/>
      <c r="T11" s="347"/>
    </row>
    <row r="12" spans="1:20" ht="12" customHeight="1" x14ac:dyDescent="0.3">
      <c r="A12" s="340" t="s">
        <v>289</v>
      </c>
      <c r="B12" s="341">
        <v>1</v>
      </c>
      <c r="C12" s="309">
        <v>46152</v>
      </c>
      <c r="D12" s="310" t="s">
        <v>304</v>
      </c>
      <c r="E12" s="533">
        <v>145.94999999999999</v>
      </c>
      <c r="F12" s="533"/>
      <c r="G12" s="344">
        <f t="shared" si="0"/>
        <v>879.80999999998426</v>
      </c>
      <c r="H12" s="345"/>
      <c r="I12" s="346">
        <v>2</v>
      </c>
      <c r="J12" s="347"/>
      <c r="K12" s="312"/>
      <c r="L12" s="347"/>
      <c r="M12" s="312"/>
      <c r="N12" s="347"/>
      <c r="O12" s="312"/>
      <c r="P12" s="347"/>
      <c r="Q12" s="312"/>
      <c r="R12" s="347"/>
      <c r="S12" s="312"/>
      <c r="T12" s="347"/>
    </row>
    <row r="13" spans="1:20" ht="12" customHeight="1" x14ac:dyDescent="0.3">
      <c r="A13" s="340" t="s">
        <v>289</v>
      </c>
      <c r="B13" s="341">
        <v>1</v>
      </c>
      <c r="C13" s="309">
        <v>46152</v>
      </c>
      <c r="D13" s="310" t="s">
        <v>312</v>
      </c>
      <c r="E13" s="533">
        <v>131.9</v>
      </c>
      <c r="F13" s="533"/>
      <c r="G13" s="344">
        <f t="shared" si="0"/>
        <v>1025.7599999999843</v>
      </c>
      <c r="H13" s="345"/>
      <c r="I13" s="346">
        <v>2</v>
      </c>
      <c r="J13" s="347"/>
      <c r="K13" s="312"/>
      <c r="L13" s="347"/>
      <c r="M13" s="312"/>
      <c r="N13" s="347"/>
      <c r="O13" s="312"/>
      <c r="P13" s="347"/>
      <c r="Q13" s="312"/>
      <c r="R13" s="347"/>
      <c r="S13" s="312"/>
      <c r="T13" s="347"/>
    </row>
    <row r="14" spans="1:20" ht="12" customHeight="1" x14ac:dyDescent="0.3">
      <c r="A14" s="340" t="s">
        <v>289</v>
      </c>
      <c r="B14" s="341">
        <v>2</v>
      </c>
      <c r="C14" s="309">
        <v>46152</v>
      </c>
      <c r="D14" s="310" t="s">
        <v>867</v>
      </c>
      <c r="E14" s="533">
        <v>96.46</v>
      </c>
      <c r="F14" s="533"/>
      <c r="G14" s="344">
        <f t="shared" si="0"/>
        <v>1157.6599999999844</v>
      </c>
      <c r="H14" s="345"/>
      <c r="I14" s="346">
        <v>2</v>
      </c>
      <c r="J14" s="347"/>
      <c r="K14" s="312"/>
      <c r="L14" s="347"/>
      <c r="M14" s="312"/>
      <c r="N14" s="347"/>
      <c r="O14" s="312"/>
      <c r="P14" s="347"/>
      <c r="Q14" s="312"/>
      <c r="R14" s="347"/>
      <c r="S14" s="312"/>
      <c r="T14" s="347"/>
    </row>
    <row r="15" spans="1:20" ht="12" customHeight="1" x14ac:dyDescent="0.3">
      <c r="A15" s="340" t="s">
        <v>289</v>
      </c>
      <c r="B15" s="341">
        <v>7</v>
      </c>
      <c r="C15" s="309">
        <v>46152</v>
      </c>
      <c r="D15" s="310" t="s">
        <v>868</v>
      </c>
      <c r="E15" s="533">
        <v>162</v>
      </c>
      <c r="F15" s="533"/>
      <c r="G15" s="344">
        <f t="shared" si="0"/>
        <v>1254.1199999999844</v>
      </c>
      <c r="H15" s="345"/>
      <c r="I15" s="346">
        <v>2</v>
      </c>
      <c r="J15" s="347"/>
      <c r="K15" s="312"/>
      <c r="L15" s="347"/>
      <c r="M15" s="312"/>
      <c r="N15" s="347"/>
      <c r="O15" s="312"/>
      <c r="P15" s="347"/>
      <c r="Q15" s="312"/>
      <c r="R15" s="347"/>
      <c r="S15" s="312"/>
      <c r="T15" s="347"/>
    </row>
    <row r="16" spans="1:20" ht="12" customHeight="1" x14ac:dyDescent="0.3">
      <c r="A16" s="340" t="s">
        <v>289</v>
      </c>
      <c r="B16" s="341">
        <v>3</v>
      </c>
      <c r="C16" s="309">
        <v>46152</v>
      </c>
      <c r="D16" s="310" t="s">
        <v>352</v>
      </c>
      <c r="E16" s="533">
        <v>25</v>
      </c>
      <c r="F16" s="533"/>
      <c r="G16" s="344">
        <f t="shared" si="0"/>
        <v>1416.1199999999844</v>
      </c>
      <c r="H16" s="345"/>
      <c r="I16" s="346">
        <v>2</v>
      </c>
      <c r="J16" s="347"/>
      <c r="K16" s="312"/>
      <c r="L16" s="347"/>
      <c r="M16" s="312"/>
      <c r="N16" s="347"/>
      <c r="O16" s="312"/>
      <c r="P16" s="347"/>
      <c r="Q16" s="312"/>
      <c r="R16" s="347"/>
      <c r="S16" s="312"/>
      <c r="T16" s="347"/>
    </row>
    <row r="17" spans="1:20" ht="12" customHeight="1" x14ac:dyDescent="0.3">
      <c r="A17" s="340" t="s">
        <v>289</v>
      </c>
      <c r="B17" s="341">
        <v>2</v>
      </c>
      <c r="C17" s="309">
        <v>46151</v>
      </c>
      <c r="D17" s="310" t="s">
        <v>869</v>
      </c>
      <c r="E17" s="533">
        <v>35.83</v>
      </c>
      <c r="F17" s="533"/>
      <c r="G17" s="344">
        <f t="shared" si="0"/>
        <v>1441.1199999999844</v>
      </c>
      <c r="H17" s="345"/>
      <c r="I17" s="346">
        <v>2</v>
      </c>
      <c r="J17" s="347"/>
      <c r="K17" s="312"/>
      <c r="L17" s="347"/>
      <c r="M17" s="312"/>
      <c r="N17" s="347"/>
      <c r="O17" s="312"/>
      <c r="P17" s="347"/>
      <c r="Q17" s="312"/>
      <c r="R17" s="347"/>
      <c r="S17" s="312"/>
      <c r="T17" s="347"/>
    </row>
    <row r="18" spans="1:20" ht="12" customHeight="1" x14ac:dyDescent="0.3">
      <c r="A18" s="340" t="s">
        <v>289</v>
      </c>
      <c r="B18" s="341">
        <v>4</v>
      </c>
      <c r="C18" s="309">
        <v>46151</v>
      </c>
      <c r="D18" s="310" t="s">
        <v>311</v>
      </c>
      <c r="E18" s="533">
        <v>50.58</v>
      </c>
      <c r="F18" s="533"/>
      <c r="G18" s="344">
        <f t="shared" si="0"/>
        <v>1476.9499999999844</v>
      </c>
      <c r="H18" s="345"/>
      <c r="I18" s="346">
        <v>2</v>
      </c>
      <c r="J18" s="347"/>
      <c r="K18" s="312"/>
      <c r="L18" s="347"/>
      <c r="M18" s="312"/>
      <c r="N18" s="347"/>
      <c r="O18" s="312"/>
      <c r="P18" s="347"/>
      <c r="Q18" s="312"/>
      <c r="R18" s="347"/>
      <c r="S18" s="312"/>
      <c r="T18" s="347"/>
    </row>
    <row r="19" spans="1:20" ht="12" customHeight="1" x14ac:dyDescent="0.3">
      <c r="A19" s="340" t="s">
        <v>289</v>
      </c>
      <c r="B19" s="341">
        <v>2</v>
      </c>
      <c r="C19" s="309">
        <v>46151</v>
      </c>
      <c r="D19" s="310" t="s">
        <v>870</v>
      </c>
      <c r="E19" s="533">
        <v>20.65</v>
      </c>
      <c r="F19" s="533"/>
      <c r="G19" s="344">
        <f t="shared" si="0"/>
        <v>1527.5299999999843</v>
      </c>
      <c r="H19" s="345"/>
      <c r="I19" s="346">
        <v>2</v>
      </c>
      <c r="J19" s="347"/>
      <c r="K19" s="312"/>
      <c r="L19" s="347"/>
      <c r="M19" s="312"/>
      <c r="N19" s="347"/>
      <c r="O19" s="312"/>
      <c r="P19" s="347"/>
      <c r="Q19" s="312"/>
      <c r="R19" s="347"/>
      <c r="S19" s="312"/>
      <c r="T19" s="347"/>
    </row>
    <row r="20" spans="1:20" ht="12" customHeight="1" x14ac:dyDescent="0.3">
      <c r="A20" s="340" t="s">
        <v>289</v>
      </c>
      <c r="B20" s="341">
        <v>8</v>
      </c>
      <c r="C20" s="309">
        <v>46151</v>
      </c>
      <c r="D20" s="310" t="s">
        <v>321</v>
      </c>
      <c r="E20" s="533">
        <v>38.770000000000003</v>
      </c>
      <c r="F20" s="533"/>
      <c r="G20" s="344">
        <f t="shared" si="0"/>
        <v>1548.1799999999844</v>
      </c>
      <c r="H20" s="345"/>
      <c r="I20" s="346">
        <v>1</v>
      </c>
      <c r="J20" s="347"/>
      <c r="K20" s="312"/>
      <c r="L20" s="347"/>
      <c r="M20" s="312"/>
      <c r="N20" s="347"/>
      <c r="O20" s="312"/>
      <c r="P20" s="347"/>
      <c r="Q20" s="312"/>
      <c r="R20" s="347"/>
      <c r="S20" s="312"/>
      <c r="T20" s="347"/>
    </row>
    <row r="21" spans="1:20" ht="12" customHeight="1" x14ac:dyDescent="0.3">
      <c r="A21" s="340"/>
      <c r="B21" s="341"/>
      <c r="C21" s="309">
        <v>46151</v>
      </c>
      <c r="D21" s="310" t="s">
        <v>860</v>
      </c>
      <c r="E21" s="533">
        <v>383.63</v>
      </c>
      <c r="F21" s="533"/>
      <c r="G21" s="344">
        <f t="shared" si="0"/>
        <v>1586.9499999999844</v>
      </c>
      <c r="H21" s="345"/>
      <c r="I21" s="346">
        <v>1</v>
      </c>
      <c r="J21" s="347"/>
      <c r="K21" s="312"/>
      <c r="L21" s="347"/>
      <c r="M21" s="312"/>
      <c r="N21" s="347"/>
      <c r="O21" s="312"/>
      <c r="P21" s="347"/>
      <c r="Q21" s="312"/>
      <c r="R21" s="347"/>
      <c r="S21" s="312"/>
      <c r="T21" s="347"/>
    </row>
    <row r="22" spans="1:20" ht="12" customHeight="1" x14ac:dyDescent="0.3">
      <c r="A22" s="340" t="s">
        <v>289</v>
      </c>
      <c r="B22" s="341">
        <v>5</v>
      </c>
      <c r="C22" s="309">
        <v>46151</v>
      </c>
      <c r="D22" s="310" t="s">
        <v>871</v>
      </c>
      <c r="E22" s="533">
        <v>10.68</v>
      </c>
      <c r="F22" s="533"/>
      <c r="G22" s="344">
        <f t="shared" si="0"/>
        <v>1970.5799999999842</v>
      </c>
      <c r="H22" s="345"/>
      <c r="I22" s="346">
        <v>1</v>
      </c>
      <c r="J22" s="347"/>
      <c r="K22" s="312"/>
      <c r="L22" s="347"/>
      <c r="M22" s="312"/>
      <c r="N22" s="347"/>
      <c r="O22" s="312"/>
      <c r="P22" s="347"/>
      <c r="Q22" s="312"/>
      <c r="R22" s="347"/>
      <c r="S22" s="312"/>
      <c r="T22" s="347"/>
    </row>
    <row r="23" spans="1:20" ht="12" customHeight="1" x14ac:dyDescent="0.3">
      <c r="A23" s="340" t="s">
        <v>289</v>
      </c>
      <c r="B23" s="341">
        <v>3</v>
      </c>
      <c r="C23" s="309">
        <v>46151</v>
      </c>
      <c r="D23" s="310" t="s">
        <v>352</v>
      </c>
      <c r="E23" s="533">
        <v>9.35</v>
      </c>
      <c r="F23" s="533"/>
      <c r="G23" s="344">
        <f t="shared" si="0"/>
        <v>1981.2599999999843</v>
      </c>
      <c r="H23" s="345"/>
      <c r="I23" s="346">
        <v>1</v>
      </c>
      <c r="J23" s="347"/>
      <c r="K23" s="312"/>
      <c r="L23" s="347"/>
      <c r="M23" s="312"/>
      <c r="N23" s="347"/>
      <c r="O23" s="312"/>
      <c r="P23" s="347"/>
      <c r="Q23" s="312"/>
      <c r="R23" s="347"/>
      <c r="S23" s="312"/>
      <c r="T23" s="347"/>
    </row>
    <row r="24" spans="1:20" ht="12" customHeight="1" x14ac:dyDescent="0.3">
      <c r="A24" s="340"/>
      <c r="B24" s="341"/>
      <c r="C24" s="309">
        <v>46151</v>
      </c>
      <c r="D24" s="310" t="s">
        <v>335</v>
      </c>
      <c r="E24" s="533">
        <v>-150.9</v>
      </c>
      <c r="F24" s="533"/>
      <c r="G24" s="344">
        <f t="shared" si="0"/>
        <v>1990.6099999999842</v>
      </c>
      <c r="H24" s="345"/>
      <c r="I24" s="346">
        <v>1</v>
      </c>
      <c r="J24" s="347"/>
      <c r="K24" s="312"/>
      <c r="L24" s="347"/>
      <c r="M24" s="312"/>
      <c r="N24" s="347"/>
      <c r="O24" s="312"/>
      <c r="P24" s="347"/>
      <c r="Q24" s="312"/>
      <c r="R24" s="347"/>
      <c r="S24" s="312"/>
      <c r="T24" s="347"/>
    </row>
    <row r="25" spans="1:20" ht="12" customHeight="1" x14ac:dyDescent="0.3">
      <c r="A25" s="340"/>
      <c r="B25" s="341"/>
      <c r="C25" s="309">
        <v>46151</v>
      </c>
      <c r="D25" s="310" t="s">
        <v>864</v>
      </c>
      <c r="E25" s="533">
        <v>557.9</v>
      </c>
      <c r="F25" s="533"/>
      <c r="G25" s="344">
        <f t="shared" si="0"/>
        <v>1839.7099999999841</v>
      </c>
      <c r="H25" s="345"/>
      <c r="I25" s="346">
        <v>1</v>
      </c>
      <c r="J25" s="347"/>
      <c r="K25" s="312"/>
      <c r="L25" s="347"/>
      <c r="M25" s="312"/>
      <c r="N25" s="347"/>
      <c r="O25" s="312"/>
      <c r="P25" s="347"/>
      <c r="Q25" s="312"/>
      <c r="R25" s="347"/>
      <c r="S25" s="312"/>
      <c r="T25" s="347"/>
    </row>
    <row r="26" spans="1:20" ht="12" customHeight="1" x14ac:dyDescent="0.3">
      <c r="A26" s="340" t="s">
        <v>294</v>
      </c>
      <c r="B26" s="341">
        <v>18</v>
      </c>
      <c r="C26" s="309">
        <v>46150</v>
      </c>
      <c r="D26" s="310" t="s">
        <v>365</v>
      </c>
      <c r="E26" s="533">
        <v>400</v>
      </c>
      <c r="F26" s="533"/>
      <c r="G26" s="344">
        <f t="shared" si="0"/>
        <v>2397.6099999999842</v>
      </c>
      <c r="H26" s="345"/>
      <c r="I26" s="346"/>
      <c r="J26" s="347"/>
      <c r="K26" s="312"/>
      <c r="L26" s="347"/>
      <c r="M26" s="312"/>
      <c r="N26" s="347"/>
      <c r="O26" s="312"/>
      <c r="P26" s="347"/>
      <c r="Q26" s="312"/>
      <c r="R26" s="347"/>
      <c r="S26" s="312"/>
      <c r="T26" s="347"/>
    </row>
    <row r="27" spans="1:20" ht="12" customHeight="1" x14ac:dyDescent="0.3">
      <c r="A27" s="340"/>
      <c r="B27" s="341"/>
      <c r="C27" s="309">
        <v>46150</v>
      </c>
      <c r="D27" s="310" t="s">
        <v>859</v>
      </c>
      <c r="E27" s="533">
        <v>200</v>
      </c>
      <c r="F27" s="533"/>
      <c r="G27" s="344">
        <f t="shared" si="0"/>
        <v>2797.6099999999842</v>
      </c>
      <c r="H27" s="345"/>
      <c r="I27" s="346"/>
      <c r="J27" s="347"/>
      <c r="K27" s="312"/>
      <c r="L27" s="347"/>
      <c r="M27" s="312"/>
      <c r="N27" s="347"/>
      <c r="O27" s="312"/>
      <c r="P27" s="347"/>
      <c r="Q27" s="312"/>
      <c r="R27" s="347"/>
      <c r="S27" s="312"/>
      <c r="T27" s="347"/>
    </row>
    <row r="28" spans="1:20" ht="12" customHeight="1" x14ac:dyDescent="0.3">
      <c r="A28" s="340" t="s">
        <v>289</v>
      </c>
      <c r="B28" s="341">
        <v>2</v>
      </c>
      <c r="C28" s="309">
        <v>46150</v>
      </c>
      <c r="D28" s="310" t="s">
        <v>487</v>
      </c>
      <c r="E28" s="533">
        <v>52.78</v>
      </c>
      <c r="F28" s="533"/>
      <c r="G28" s="344">
        <f t="shared" si="0"/>
        <v>2997.6099999999842</v>
      </c>
      <c r="H28" s="345"/>
      <c r="I28" s="346">
        <v>1</v>
      </c>
      <c r="J28" s="347"/>
      <c r="K28" s="312"/>
      <c r="L28" s="347"/>
      <c r="M28" s="312"/>
      <c r="N28" s="347"/>
      <c r="O28" s="312"/>
      <c r="P28" s="347"/>
      <c r="Q28" s="312"/>
      <c r="R28" s="347"/>
      <c r="S28" s="312"/>
      <c r="T28" s="347"/>
    </row>
    <row r="29" spans="1:20" ht="12" customHeight="1" x14ac:dyDescent="0.3">
      <c r="A29" s="340"/>
      <c r="B29" s="341"/>
      <c r="C29" s="309">
        <v>46150</v>
      </c>
      <c r="D29" s="310" t="s">
        <v>865</v>
      </c>
      <c r="E29" s="533">
        <v>137.07</v>
      </c>
      <c r="F29" s="533"/>
      <c r="G29" s="344">
        <f t="shared" si="0"/>
        <v>3050.3899999999844</v>
      </c>
      <c r="H29" s="345"/>
      <c r="I29" s="346">
        <v>1</v>
      </c>
      <c r="J29" s="347"/>
      <c r="K29" s="312"/>
      <c r="L29" s="347"/>
      <c r="M29" s="312"/>
      <c r="N29" s="347"/>
      <c r="O29" s="312"/>
      <c r="P29" s="347"/>
      <c r="Q29" s="312"/>
      <c r="R29" s="347"/>
      <c r="S29" s="312"/>
      <c r="T29" s="347"/>
    </row>
    <row r="30" spans="1:20" ht="12" customHeight="1" x14ac:dyDescent="0.3">
      <c r="A30" s="340" t="s">
        <v>289</v>
      </c>
      <c r="B30" s="341">
        <v>2</v>
      </c>
      <c r="C30" s="309">
        <v>46150</v>
      </c>
      <c r="D30" s="310" t="s">
        <v>362</v>
      </c>
      <c r="E30" s="533">
        <v>17.440000000000001</v>
      </c>
      <c r="F30" s="533"/>
      <c r="G30" s="344">
        <f t="shared" si="0"/>
        <v>3187.4599999999846</v>
      </c>
      <c r="H30" s="345"/>
      <c r="I30" s="346">
        <v>1</v>
      </c>
      <c r="J30" s="347"/>
      <c r="K30" s="312"/>
      <c r="L30" s="347"/>
      <c r="M30" s="312"/>
      <c r="N30" s="347"/>
      <c r="O30" s="312"/>
      <c r="P30" s="347"/>
      <c r="Q30" s="312"/>
      <c r="R30" s="347"/>
      <c r="S30" s="312"/>
      <c r="T30" s="347"/>
    </row>
    <row r="31" spans="1:20" ht="12" customHeight="1" x14ac:dyDescent="0.3">
      <c r="A31" s="340"/>
      <c r="B31" s="341"/>
      <c r="C31" s="309">
        <v>46150</v>
      </c>
      <c r="D31" s="310" t="s">
        <v>866</v>
      </c>
      <c r="E31" s="533">
        <v>359.81</v>
      </c>
      <c r="F31" s="533"/>
      <c r="G31" s="344">
        <f t="shared" si="0"/>
        <v>3204.8999999999846</v>
      </c>
      <c r="H31" s="345"/>
      <c r="I31" s="346">
        <v>1</v>
      </c>
      <c r="J31" s="347"/>
      <c r="K31" s="312"/>
      <c r="L31" s="347"/>
      <c r="M31" s="312"/>
      <c r="N31" s="347"/>
      <c r="O31" s="312"/>
      <c r="P31" s="347"/>
      <c r="Q31" s="312"/>
      <c r="R31" s="347"/>
      <c r="S31" s="312"/>
      <c r="T31" s="347"/>
    </row>
    <row r="32" spans="1:20" ht="12" customHeight="1" x14ac:dyDescent="0.3">
      <c r="A32" s="340" t="s">
        <v>289</v>
      </c>
      <c r="B32" s="341">
        <v>6</v>
      </c>
      <c r="C32" s="309">
        <v>46149</v>
      </c>
      <c r="D32" s="310" t="s">
        <v>863</v>
      </c>
      <c r="E32" s="533">
        <v>23.7</v>
      </c>
      <c r="F32" s="533"/>
      <c r="G32" s="344">
        <f t="shared" si="0"/>
        <v>3564.7099999999846</v>
      </c>
      <c r="H32" s="345"/>
      <c r="I32" s="346">
        <v>2</v>
      </c>
      <c r="J32" s="347"/>
      <c r="K32" s="312"/>
      <c r="L32" s="347"/>
      <c r="M32" s="312"/>
      <c r="N32" s="347"/>
      <c r="O32" s="312"/>
      <c r="P32" s="347"/>
      <c r="Q32" s="312"/>
      <c r="R32" s="347"/>
      <c r="S32" s="312"/>
      <c r="T32" s="347"/>
    </row>
    <row r="33" spans="1:20" ht="12" customHeight="1" x14ac:dyDescent="0.3">
      <c r="A33" s="340" t="s">
        <v>289</v>
      </c>
      <c r="B33" s="341">
        <v>2</v>
      </c>
      <c r="C33" s="309">
        <v>46149</v>
      </c>
      <c r="D33" s="310" t="s">
        <v>375</v>
      </c>
      <c r="E33" s="533">
        <v>13.43</v>
      </c>
      <c r="F33" s="533"/>
      <c r="G33" s="344">
        <f t="shared" si="0"/>
        <v>3588.4099999999844</v>
      </c>
      <c r="H33" s="345"/>
      <c r="I33" s="346">
        <v>2</v>
      </c>
      <c r="J33" s="347"/>
      <c r="K33" s="312"/>
      <c r="L33" s="347"/>
      <c r="M33" s="312"/>
      <c r="N33" s="347"/>
      <c r="O33" s="312"/>
      <c r="P33" s="347"/>
      <c r="Q33" s="312"/>
      <c r="R33" s="347"/>
      <c r="S33" s="312"/>
      <c r="T33" s="347"/>
    </row>
    <row r="34" spans="1:20" ht="12" customHeight="1" x14ac:dyDescent="0.3">
      <c r="A34" s="340" t="s">
        <v>294</v>
      </c>
      <c r="B34" s="341">
        <v>13</v>
      </c>
      <c r="C34" s="309">
        <v>46149</v>
      </c>
      <c r="D34" s="310" t="s">
        <v>182</v>
      </c>
      <c r="E34" s="533">
        <v>122.18</v>
      </c>
      <c r="F34" s="533"/>
      <c r="G34" s="344">
        <f t="shared" si="0"/>
        <v>3601.8399999999842</v>
      </c>
      <c r="H34" s="345"/>
      <c r="I34" s="346"/>
      <c r="J34" s="347"/>
      <c r="K34" s="312"/>
      <c r="L34" s="347"/>
      <c r="M34" s="312"/>
      <c r="N34" s="347"/>
      <c r="O34" s="312"/>
      <c r="P34" s="347"/>
      <c r="Q34" s="312"/>
      <c r="R34" s="347"/>
      <c r="S34" s="312"/>
      <c r="T34" s="347"/>
    </row>
    <row r="35" spans="1:20" ht="12" customHeight="1" x14ac:dyDescent="0.3">
      <c r="A35" s="340" t="s">
        <v>339</v>
      </c>
      <c r="B35" s="341" t="s">
        <v>339</v>
      </c>
      <c r="C35" s="309">
        <v>46149</v>
      </c>
      <c r="D35" s="310" t="s">
        <v>456</v>
      </c>
      <c r="E35" s="533">
        <v>43.62</v>
      </c>
      <c r="F35" s="533"/>
      <c r="G35" s="344">
        <f t="shared" si="0"/>
        <v>3724.0199999999841</v>
      </c>
      <c r="H35" s="345"/>
      <c r="I35" s="346"/>
      <c r="J35" s="347"/>
      <c r="K35" s="312"/>
      <c r="L35" s="347"/>
      <c r="M35" s="312"/>
      <c r="N35" s="347"/>
      <c r="O35" s="312"/>
      <c r="P35" s="347"/>
      <c r="Q35" s="312"/>
      <c r="R35" s="347"/>
      <c r="S35" s="312"/>
      <c r="T35" s="347"/>
    </row>
    <row r="36" spans="1:20" ht="12" customHeight="1" x14ac:dyDescent="0.3">
      <c r="A36" s="340" t="s">
        <v>294</v>
      </c>
      <c r="B36" s="341">
        <v>9</v>
      </c>
      <c r="C36" s="309">
        <v>46149</v>
      </c>
      <c r="D36" s="310" t="s">
        <v>58</v>
      </c>
      <c r="E36" s="533">
        <v>1231.68</v>
      </c>
      <c r="F36" s="533"/>
      <c r="G36" s="344">
        <f t="shared" si="0"/>
        <v>3767.639999999984</v>
      </c>
      <c r="H36" s="345"/>
      <c r="I36" s="346"/>
      <c r="J36" s="347"/>
      <c r="K36" s="312"/>
      <c r="L36" s="347"/>
      <c r="M36" s="312"/>
      <c r="N36" s="347"/>
      <c r="O36" s="312"/>
      <c r="P36" s="347"/>
      <c r="Q36" s="312"/>
      <c r="R36" s="347"/>
      <c r="S36" s="312"/>
      <c r="T36" s="347"/>
    </row>
    <row r="37" spans="1:20" ht="12" customHeight="1" x14ac:dyDescent="0.3">
      <c r="A37" s="340" t="s">
        <v>289</v>
      </c>
      <c r="B37" s="341">
        <v>3</v>
      </c>
      <c r="C37" s="309">
        <v>46149</v>
      </c>
      <c r="D37" s="310" t="s">
        <v>310</v>
      </c>
      <c r="E37" s="533">
        <v>4.49</v>
      </c>
      <c r="F37" s="533"/>
      <c r="G37" s="344">
        <f t="shared" si="0"/>
        <v>4999.3199999999842</v>
      </c>
      <c r="H37" s="345"/>
      <c r="I37" s="346">
        <v>2</v>
      </c>
      <c r="J37" s="347"/>
      <c r="K37" s="312"/>
      <c r="L37" s="347"/>
      <c r="M37" s="312"/>
      <c r="N37" s="347"/>
      <c r="O37" s="312"/>
      <c r="P37" s="347"/>
      <c r="Q37" s="312"/>
      <c r="R37" s="347"/>
      <c r="S37" s="312"/>
      <c r="T37" s="347"/>
    </row>
    <row r="38" spans="1:20" ht="12" customHeight="1" x14ac:dyDescent="0.3">
      <c r="A38" s="340" t="s">
        <v>289</v>
      </c>
      <c r="B38" s="341">
        <v>8</v>
      </c>
      <c r="C38" s="309">
        <v>46149</v>
      </c>
      <c r="D38" s="310" t="s">
        <v>863</v>
      </c>
      <c r="E38" s="533">
        <v>19.2</v>
      </c>
      <c r="F38" s="533"/>
      <c r="G38" s="344">
        <f t="shared" si="0"/>
        <v>5003.809999999984</v>
      </c>
      <c r="H38" s="345"/>
      <c r="I38" s="346">
        <v>2</v>
      </c>
      <c r="J38" s="347"/>
      <c r="K38" s="312"/>
      <c r="L38" s="347"/>
      <c r="M38" s="312"/>
      <c r="N38" s="347"/>
      <c r="O38" s="312"/>
      <c r="P38" s="347"/>
      <c r="Q38" s="312"/>
      <c r="R38" s="347"/>
      <c r="S38" s="312"/>
      <c r="T38" s="347"/>
    </row>
    <row r="39" spans="1:20" ht="12" customHeight="1" x14ac:dyDescent="0.3">
      <c r="A39" s="340" t="s">
        <v>289</v>
      </c>
      <c r="B39" s="341">
        <v>5</v>
      </c>
      <c r="C39" s="309">
        <v>46149</v>
      </c>
      <c r="D39" s="310" t="s">
        <v>863</v>
      </c>
      <c r="E39" s="533">
        <v>35</v>
      </c>
      <c r="F39" s="533"/>
      <c r="G39" s="344">
        <f t="shared" si="0"/>
        <v>5023.0099999999838</v>
      </c>
      <c r="H39" s="345"/>
      <c r="I39" s="346">
        <v>2</v>
      </c>
      <c r="J39" s="347"/>
      <c r="K39" s="312"/>
      <c r="L39" s="347"/>
      <c r="M39" s="312"/>
      <c r="N39" s="347"/>
      <c r="O39" s="312"/>
      <c r="P39" s="347"/>
      <c r="Q39" s="312"/>
      <c r="R39" s="347"/>
      <c r="S39" s="312"/>
      <c r="T39" s="347"/>
    </row>
    <row r="40" spans="1:20" ht="12" customHeight="1" x14ac:dyDescent="0.3">
      <c r="A40" s="340" t="s">
        <v>289</v>
      </c>
      <c r="B40" s="341">
        <v>8</v>
      </c>
      <c r="C40" s="309">
        <v>46149</v>
      </c>
      <c r="D40" s="310" t="s">
        <v>321</v>
      </c>
      <c r="E40" s="533">
        <v>15.93</v>
      </c>
      <c r="F40" s="533"/>
      <c r="G40" s="344">
        <f t="shared" si="0"/>
        <v>5058.0099999999838</v>
      </c>
      <c r="H40" s="345"/>
      <c r="I40" s="346">
        <v>1</v>
      </c>
      <c r="J40" s="347"/>
      <c r="K40" s="312"/>
      <c r="L40" s="347"/>
      <c r="M40" s="312"/>
      <c r="N40" s="347"/>
      <c r="O40" s="312"/>
      <c r="P40" s="347"/>
      <c r="Q40" s="312"/>
      <c r="R40" s="347"/>
      <c r="S40" s="312"/>
      <c r="T40" s="347"/>
    </row>
    <row r="41" spans="1:20" ht="12" customHeight="1" x14ac:dyDescent="0.3">
      <c r="A41" s="340" t="s">
        <v>289</v>
      </c>
      <c r="B41" s="341">
        <v>2</v>
      </c>
      <c r="C41" s="309">
        <v>46149</v>
      </c>
      <c r="D41" s="310" t="s">
        <v>296</v>
      </c>
      <c r="E41" s="533">
        <v>11.18</v>
      </c>
      <c r="F41" s="533"/>
      <c r="G41" s="344">
        <f t="shared" si="0"/>
        <v>5073.9399999999841</v>
      </c>
      <c r="H41" s="345"/>
      <c r="I41" s="346">
        <v>1</v>
      </c>
      <c r="J41" s="347"/>
      <c r="K41" s="312"/>
      <c r="L41" s="347"/>
      <c r="M41" s="312"/>
      <c r="N41" s="347"/>
      <c r="O41" s="312"/>
      <c r="P41" s="347"/>
      <c r="Q41" s="312"/>
      <c r="R41" s="347"/>
      <c r="S41" s="312"/>
      <c r="T41" s="347"/>
    </row>
    <row r="42" spans="1:20" ht="12" customHeight="1" x14ac:dyDescent="0.3">
      <c r="A42" s="340" t="s">
        <v>289</v>
      </c>
      <c r="B42" s="341">
        <v>2</v>
      </c>
      <c r="C42" s="309">
        <v>46149</v>
      </c>
      <c r="D42" s="310" t="s">
        <v>301</v>
      </c>
      <c r="E42" s="533">
        <v>16.05</v>
      </c>
      <c r="F42" s="533"/>
      <c r="G42" s="344">
        <f t="shared" ref="G42:G81" si="1">G43-E42+F42</f>
        <v>5085.1199999999844</v>
      </c>
      <c r="H42" s="345"/>
      <c r="I42" s="346">
        <v>1</v>
      </c>
      <c r="J42" s="347"/>
      <c r="K42" s="312"/>
      <c r="L42" s="347"/>
      <c r="M42" s="312"/>
      <c r="N42" s="347"/>
      <c r="O42" s="312"/>
      <c r="P42" s="347"/>
      <c r="Q42" s="312"/>
      <c r="R42" s="347"/>
      <c r="S42" s="312"/>
      <c r="T42" s="347"/>
    </row>
    <row r="43" spans="1:20" ht="12" customHeight="1" x14ac:dyDescent="0.3">
      <c r="A43" s="340" t="s">
        <v>289</v>
      </c>
      <c r="B43" s="341">
        <v>6</v>
      </c>
      <c r="C43" s="309">
        <v>46148</v>
      </c>
      <c r="D43" s="310" t="s">
        <v>344</v>
      </c>
      <c r="E43" s="533">
        <v>47.93</v>
      </c>
      <c r="F43" s="533"/>
      <c r="G43" s="344">
        <f t="shared" si="1"/>
        <v>5101.1699999999846</v>
      </c>
      <c r="H43" s="345"/>
      <c r="I43" s="346">
        <v>1</v>
      </c>
      <c r="J43" s="347"/>
      <c r="K43" s="312"/>
      <c r="L43" s="347"/>
      <c r="M43" s="312"/>
      <c r="N43" s="347"/>
      <c r="O43" s="312"/>
      <c r="P43" s="347"/>
      <c r="Q43" s="312"/>
      <c r="R43" s="347"/>
      <c r="S43" s="312"/>
      <c r="T43" s="347"/>
    </row>
    <row r="44" spans="1:20" ht="12" customHeight="1" x14ac:dyDescent="0.3">
      <c r="A44" s="340" t="s">
        <v>294</v>
      </c>
      <c r="B44" s="341">
        <v>14</v>
      </c>
      <c r="C44" s="309">
        <v>46148</v>
      </c>
      <c r="D44" s="310" t="s">
        <v>370</v>
      </c>
      <c r="E44" s="533">
        <v>66.67</v>
      </c>
      <c r="F44" s="533"/>
      <c r="G44" s="344">
        <f t="shared" si="1"/>
        <v>5149.0999999999849</v>
      </c>
      <c r="H44" s="345"/>
      <c r="I44" s="346">
        <v>1</v>
      </c>
      <c r="J44" s="347"/>
      <c r="K44" s="312"/>
      <c r="L44" s="347"/>
      <c r="M44" s="312"/>
      <c r="N44" s="347"/>
      <c r="O44" s="312"/>
      <c r="P44" s="347"/>
      <c r="Q44" s="312"/>
      <c r="R44" s="347"/>
      <c r="S44" s="312"/>
      <c r="T44" s="347"/>
    </row>
    <row r="45" spans="1:20" ht="12" customHeight="1" x14ac:dyDescent="0.3">
      <c r="A45" s="340" t="s">
        <v>289</v>
      </c>
      <c r="B45" s="341">
        <v>8</v>
      </c>
      <c r="C45" s="309">
        <v>46148</v>
      </c>
      <c r="D45" s="310" t="s">
        <v>321</v>
      </c>
      <c r="E45" s="533">
        <v>19.14</v>
      </c>
      <c r="F45" s="533"/>
      <c r="G45" s="344">
        <f t="shared" si="1"/>
        <v>5215.769999999985</v>
      </c>
      <c r="H45" s="345"/>
      <c r="I45" s="346">
        <v>1</v>
      </c>
      <c r="J45" s="347"/>
      <c r="K45" s="312"/>
      <c r="L45" s="347"/>
      <c r="M45" s="312"/>
      <c r="N45" s="347"/>
      <c r="O45" s="312"/>
      <c r="P45" s="347"/>
      <c r="Q45" s="312"/>
      <c r="R45" s="347"/>
      <c r="S45" s="312"/>
      <c r="T45" s="347"/>
    </row>
    <row r="46" spans="1:20" ht="12" customHeight="1" x14ac:dyDescent="0.3">
      <c r="A46" s="340" t="s">
        <v>289</v>
      </c>
      <c r="B46" s="341">
        <v>4</v>
      </c>
      <c r="C46" s="309">
        <v>46148</v>
      </c>
      <c r="D46" s="310" t="s">
        <v>311</v>
      </c>
      <c r="E46" s="533">
        <v>103.69</v>
      </c>
      <c r="F46" s="533"/>
      <c r="G46" s="344">
        <f t="shared" si="1"/>
        <v>5234.9099999999853</v>
      </c>
      <c r="H46" s="345"/>
      <c r="I46" s="346">
        <v>1</v>
      </c>
      <c r="J46" s="347"/>
      <c r="K46" s="312"/>
      <c r="L46" s="347"/>
      <c r="M46" s="312"/>
      <c r="N46" s="347"/>
      <c r="O46" s="312"/>
      <c r="P46" s="347"/>
      <c r="Q46" s="312"/>
      <c r="R46" s="347"/>
      <c r="S46" s="312"/>
      <c r="T46" s="347"/>
    </row>
    <row r="47" spans="1:20" ht="12" customHeight="1" x14ac:dyDescent="0.3">
      <c r="A47" s="340"/>
      <c r="B47" s="341"/>
      <c r="C47" s="309">
        <v>46148</v>
      </c>
      <c r="D47" s="310" t="s">
        <v>860</v>
      </c>
      <c r="E47" s="533">
        <v>513.29999999999995</v>
      </c>
      <c r="F47" s="533"/>
      <c r="G47" s="344">
        <f t="shared" si="1"/>
        <v>5338.5999999999849</v>
      </c>
      <c r="H47" s="345"/>
      <c r="I47" s="346">
        <v>1</v>
      </c>
      <c r="J47" s="347"/>
      <c r="K47" s="312"/>
      <c r="L47" s="347"/>
      <c r="M47" s="312"/>
      <c r="N47" s="347"/>
      <c r="O47" s="312"/>
      <c r="P47" s="347"/>
      <c r="Q47" s="312"/>
      <c r="R47" s="347"/>
      <c r="S47" s="312"/>
      <c r="T47" s="347"/>
    </row>
    <row r="48" spans="1:20" ht="12" customHeight="1" x14ac:dyDescent="0.3">
      <c r="A48" s="340" t="s">
        <v>289</v>
      </c>
      <c r="B48" s="341">
        <v>6</v>
      </c>
      <c r="C48" s="309">
        <v>46148</v>
      </c>
      <c r="D48" s="310" t="s">
        <v>300</v>
      </c>
      <c r="E48" s="533">
        <v>41.52</v>
      </c>
      <c r="F48" s="533"/>
      <c r="G48" s="344">
        <f t="shared" si="1"/>
        <v>5851.8999999999851</v>
      </c>
      <c r="H48" s="345"/>
      <c r="I48" s="346">
        <v>1</v>
      </c>
      <c r="J48" s="347"/>
      <c r="K48" s="312"/>
      <c r="L48" s="347"/>
      <c r="M48" s="312"/>
      <c r="N48" s="347"/>
      <c r="O48" s="312"/>
      <c r="P48" s="347"/>
      <c r="Q48" s="312"/>
      <c r="R48" s="347"/>
      <c r="S48" s="312"/>
      <c r="T48" s="347"/>
    </row>
    <row r="49" spans="1:20" ht="12" customHeight="1" x14ac:dyDescent="0.3">
      <c r="A49" s="340"/>
      <c r="B49" s="341"/>
      <c r="C49" s="309">
        <v>46148</v>
      </c>
      <c r="D49" s="310" t="s">
        <v>861</v>
      </c>
      <c r="E49" s="533">
        <v>500.5</v>
      </c>
      <c r="F49" s="533"/>
      <c r="G49" s="344">
        <f t="shared" si="1"/>
        <v>5893.4199999999855</v>
      </c>
      <c r="H49" s="345"/>
      <c r="I49" s="346">
        <v>1</v>
      </c>
      <c r="J49" s="347"/>
      <c r="K49" s="312"/>
      <c r="L49" s="347"/>
      <c r="M49" s="312"/>
      <c r="N49" s="347"/>
      <c r="O49" s="312"/>
      <c r="P49" s="347"/>
      <c r="Q49" s="312"/>
      <c r="R49" s="347"/>
      <c r="S49" s="312"/>
      <c r="T49" s="347"/>
    </row>
    <row r="50" spans="1:20" ht="12" customHeight="1" x14ac:dyDescent="0.3">
      <c r="A50" s="340"/>
      <c r="B50" s="341"/>
      <c r="C50" s="309">
        <v>46148</v>
      </c>
      <c r="D50" s="310" t="s">
        <v>862</v>
      </c>
      <c r="E50" s="533">
        <v>457.94</v>
      </c>
      <c r="F50" s="533"/>
      <c r="G50" s="344">
        <f t="shared" si="1"/>
        <v>6393.9199999999855</v>
      </c>
      <c r="H50" s="345"/>
      <c r="I50" s="346">
        <v>1</v>
      </c>
      <c r="J50" s="347"/>
      <c r="K50" s="312"/>
      <c r="L50" s="347"/>
      <c r="M50" s="312"/>
      <c r="N50" s="347"/>
      <c r="O50" s="312"/>
      <c r="P50" s="347"/>
      <c r="Q50" s="312"/>
      <c r="R50" s="347"/>
      <c r="S50" s="312"/>
      <c r="T50" s="347"/>
    </row>
    <row r="51" spans="1:20" ht="12" customHeight="1" x14ac:dyDescent="0.3">
      <c r="A51" s="340" t="s">
        <v>289</v>
      </c>
      <c r="B51" s="341">
        <v>1</v>
      </c>
      <c r="C51" s="309">
        <v>46148</v>
      </c>
      <c r="D51" s="310" t="s">
        <v>307</v>
      </c>
      <c r="E51" s="533">
        <v>23.48</v>
      </c>
      <c r="F51" s="533"/>
      <c r="G51" s="344">
        <f t="shared" si="1"/>
        <v>6851.8599999999851</v>
      </c>
      <c r="H51" s="345"/>
      <c r="I51" s="346">
        <v>2</v>
      </c>
      <c r="J51" s="347"/>
      <c r="K51" s="312"/>
      <c r="L51" s="347"/>
      <c r="M51" s="312"/>
      <c r="N51" s="347"/>
      <c r="O51" s="312"/>
      <c r="P51" s="347"/>
      <c r="Q51" s="312"/>
      <c r="R51" s="347"/>
      <c r="S51" s="312"/>
      <c r="T51" s="347"/>
    </row>
    <row r="52" spans="1:20" ht="12" customHeight="1" x14ac:dyDescent="0.3">
      <c r="A52" s="340" t="s">
        <v>289</v>
      </c>
      <c r="B52" s="341">
        <v>2</v>
      </c>
      <c r="C52" s="309">
        <v>46147</v>
      </c>
      <c r="D52" s="310" t="s">
        <v>388</v>
      </c>
      <c r="E52" s="533">
        <v>59.03</v>
      </c>
      <c r="F52" s="533"/>
      <c r="G52" s="344">
        <f t="shared" si="1"/>
        <v>6875.3399999999847</v>
      </c>
      <c r="H52" s="345"/>
      <c r="I52" s="346">
        <v>1</v>
      </c>
      <c r="J52" s="347"/>
      <c r="K52" s="312"/>
      <c r="L52" s="347"/>
      <c r="M52" s="312"/>
      <c r="N52" s="347"/>
      <c r="O52" s="312"/>
      <c r="P52" s="347"/>
      <c r="Q52" s="312"/>
      <c r="R52" s="347"/>
      <c r="S52" s="312"/>
      <c r="T52" s="347"/>
    </row>
    <row r="53" spans="1:20" ht="12" customHeight="1" x14ac:dyDescent="0.3">
      <c r="A53" s="340" t="s">
        <v>289</v>
      </c>
      <c r="B53" s="341">
        <v>2</v>
      </c>
      <c r="C53" s="309">
        <v>46147</v>
      </c>
      <c r="D53" s="310" t="s">
        <v>338</v>
      </c>
      <c r="E53" s="533">
        <v>11.06</v>
      </c>
      <c r="F53" s="533"/>
      <c r="G53" s="344">
        <f t="shared" si="1"/>
        <v>6934.3699999999844</v>
      </c>
      <c r="H53" s="345"/>
      <c r="I53" s="346">
        <v>1</v>
      </c>
      <c r="J53" s="347"/>
      <c r="K53" s="312"/>
      <c r="L53" s="347"/>
      <c r="M53" s="312"/>
      <c r="N53" s="347"/>
      <c r="O53" s="312"/>
      <c r="P53" s="347"/>
      <c r="Q53" s="312"/>
      <c r="R53" s="347"/>
      <c r="S53" s="312"/>
      <c r="T53" s="347"/>
    </row>
    <row r="54" spans="1:20" ht="12" customHeight="1" x14ac:dyDescent="0.3">
      <c r="A54" s="340" t="s">
        <v>289</v>
      </c>
      <c r="B54" s="341">
        <v>2</v>
      </c>
      <c r="C54" s="309">
        <v>46147</v>
      </c>
      <c r="D54" s="310" t="s">
        <v>296</v>
      </c>
      <c r="E54" s="533">
        <v>8.7200000000000006</v>
      </c>
      <c r="F54" s="533"/>
      <c r="G54" s="344">
        <f t="shared" si="1"/>
        <v>6945.4299999999848</v>
      </c>
      <c r="H54" s="345"/>
      <c r="I54" s="346">
        <v>1</v>
      </c>
      <c r="J54" s="347"/>
      <c r="K54" s="312"/>
      <c r="L54" s="347"/>
      <c r="M54" s="312"/>
      <c r="N54" s="347"/>
      <c r="O54" s="312"/>
      <c r="P54" s="347"/>
      <c r="Q54" s="312"/>
      <c r="R54" s="347"/>
      <c r="S54" s="312"/>
      <c r="T54" s="347"/>
    </row>
    <row r="55" spans="1:20" ht="12" customHeight="1" x14ac:dyDescent="0.3">
      <c r="A55" s="340" t="s">
        <v>289</v>
      </c>
      <c r="B55" s="341">
        <v>4</v>
      </c>
      <c r="C55" s="309">
        <v>46147</v>
      </c>
      <c r="D55" s="310" t="s">
        <v>296</v>
      </c>
      <c r="E55" s="533">
        <v>42.88</v>
      </c>
      <c r="F55" s="533"/>
      <c r="G55" s="344">
        <f t="shared" si="1"/>
        <v>6954.1499999999851</v>
      </c>
      <c r="H55" s="345"/>
      <c r="I55" s="346">
        <v>1</v>
      </c>
      <c r="J55" s="347"/>
      <c r="K55" s="312"/>
      <c r="L55" s="347"/>
      <c r="M55" s="312"/>
      <c r="N55" s="347"/>
      <c r="O55" s="312"/>
      <c r="P55" s="347"/>
      <c r="Q55" s="312"/>
      <c r="R55" s="347"/>
      <c r="S55" s="312"/>
      <c r="T55" s="347"/>
    </row>
    <row r="56" spans="1:20" ht="12" customHeight="1" x14ac:dyDescent="0.3">
      <c r="A56" s="340" t="s">
        <v>289</v>
      </c>
      <c r="B56" s="341">
        <v>6</v>
      </c>
      <c r="C56" s="309">
        <v>46147</v>
      </c>
      <c r="D56" s="310" t="s">
        <v>300</v>
      </c>
      <c r="E56" s="533">
        <v>17.03</v>
      </c>
      <c r="F56" s="533"/>
      <c r="G56" s="344">
        <f t="shared" si="1"/>
        <v>6997.0299999999852</v>
      </c>
      <c r="H56" s="345"/>
      <c r="I56" s="346">
        <v>1</v>
      </c>
      <c r="J56" s="347"/>
      <c r="K56" s="312"/>
      <c r="L56" s="347"/>
      <c r="M56" s="312"/>
      <c r="N56" s="347"/>
      <c r="O56" s="312"/>
      <c r="P56" s="347"/>
      <c r="Q56" s="312"/>
      <c r="R56" s="347"/>
      <c r="S56" s="312"/>
      <c r="T56" s="347"/>
    </row>
    <row r="57" spans="1:20" ht="12" customHeight="1" x14ac:dyDescent="0.3">
      <c r="A57" s="340" t="s">
        <v>294</v>
      </c>
      <c r="B57" s="341">
        <v>22</v>
      </c>
      <c r="C57" s="309">
        <v>46146</v>
      </c>
      <c r="D57" s="310" t="s">
        <v>851</v>
      </c>
      <c r="E57" s="533">
        <v>13.83</v>
      </c>
      <c r="F57" s="533"/>
      <c r="G57" s="344">
        <f t="shared" si="1"/>
        <v>7014.0599999999849</v>
      </c>
      <c r="H57" s="345"/>
      <c r="I57" s="346">
        <v>1</v>
      </c>
      <c r="J57" s="347"/>
      <c r="K57" s="312"/>
      <c r="L57" s="347"/>
      <c r="M57" s="312"/>
      <c r="N57" s="347"/>
      <c r="O57" s="312"/>
      <c r="P57" s="347"/>
      <c r="Q57" s="312"/>
      <c r="R57" s="347"/>
      <c r="S57" s="312"/>
      <c r="T57" s="347"/>
    </row>
    <row r="58" spans="1:20" ht="12" customHeight="1" x14ac:dyDescent="0.3">
      <c r="A58" s="340" t="s">
        <v>289</v>
      </c>
      <c r="B58" s="341">
        <v>6</v>
      </c>
      <c r="C58" s="309">
        <v>46146</v>
      </c>
      <c r="D58" s="310" t="s">
        <v>344</v>
      </c>
      <c r="E58" s="533">
        <v>47.93</v>
      </c>
      <c r="F58" s="533"/>
      <c r="G58" s="344">
        <f t="shared" si="1"/>
        <v>7027.8899999999849</v>
      </c>
      <c r="H58" s="345"/>
      <c r="I58" s="346">
        <v>1</v>
      </c>
      <c r="J58" s="347"/>
      <c r="K58" s="312"/>
      <c r="L58" s="347"/>
      <c r="M58" s="312"/>
      <c r="N58" s="347"/>
      <c r="O58" s="312"/>
      <c r="P58" s="347"/>
      <c r="Q58" s="312"/>
      <c r="R58" s="347"/>
      <c r="S58" s="312"/>
      <c r="T58" s="347"/>
    </row>
    <row r="59" spans="1:20" ht="12" customHeight="1" x14ac:dyDescent="0.3">
      <c r="A59" s="340" t="s">
        <v>289</v>
      </c>
      <c r="B59" s="341">
        <v>2</v>
      </c>
      <c r="C59" s="309">
        <v>46146</v>
      </c>
      <c r="D59" s="310" t="s">
        <v>338</v>
      </c>
      <c r="E59" s="533">
        <v>11.06</v>
      </c>
      <c r="F59" s="533"/>
      <c r="G59" s="344">
        <f t="shared" si="1"/>
        <v>7075.8199999999852</v>
      </c>
      <c r="H59" s="345"/>
      <c r="I59" s="346">
        <v>1</v>
      </c>
      <c r="J59" s="347"/>
      <c r="K59" s="312"/>
      <c r="L59" s="347"/>
      <c r="M59" s="312"/>
      <c r="N59" s="347"/>
      <c r="O59" s="312"/>
      <c r="P59" s="347"/>
      <c r="Q59" s="312"/>
      <c r="R59" s="347"/>
      <c r="S59" s="312"/>
      <c r="T59" s="347"/>
    </row>
    <row r="60" spans="1:20" ht="12" customHeight="1" x14ac:dyDescent="0.3">
      <c r="A60" s="340" t="s">
        <v>294</v>
      </c>
      <c r="B60" s="341">
        <v>14</v>
      </c>
      <c r="C60" s="309">
        <v>46146</v>
      </c>
      <c r="D60" s="310" t="s">
        <v>371</v>
      </c>
      <c r="E60" s="533">
        <v>70.25</v>
      </c>
      <c r="F60" s="533"/>
      <c r="G60" s="344">
        <f t="shared" si="1"/>
        <v>7086.8799999999856</v>
      </c>
      <c r="H60" s="345"/>
      <c r="I60" s="346">
        <v>1</v>
      </c>
      <c r="J60" s="347"/>
      <c r="K60" s="312"/>
      <c r="L60" s="347"/>
      <c r="M60" s="312"/>
      <c r="N60" s="347"/>
      <c r="O60" s="312"/>
      <c r="P60" s="347"/>
      <c r="Q60" s="312"/>
      <c r="R60" s="347"/>
      <c r="S60" s="312"/>
      <c r="T60" s="347"/>
    </row>
    <row r="61" spans="1:20" ht="12" customHeight="1" x14ac:dyDescent="0.3">
      <c r="A61" s="340" t="s">
        <v>284</v>
      </c>
      <c r="B61" s="341">
        <v>36</v>
      </c>
      <c r="C61" s="309">
        <v>46146</v>
      </c>
      <c r="D61" s="310" t="s">
        <v>378</v>
      </c>
      <c r="E61" s="533">
        <v>50</v>
      </c>
      <c r="F61" s="533"/>
      <c r="G61" s="344">
        <f t="shared" si="1"/>
        <v>7157.1299999999856</v>
      </c>
      <c r="H61" s="345"/>
      <c r="I61" s="346"/>
      <c r="J61" s="347"/>
      <c r="K61" s="312"/>
      <c r="L61" s="347"/>
      <c r="M61" s="312"/>
      <c r="N61" s="347"/>
      <c r="O61" s="312"/>
      <c r="P61" s="347"/>
      <c r="Q61" s="312"/>
      <c r="R61" s="347"/>
      <c r="S61" s="312"/>
      <c r="T61" s="347"/>
    </row>
    <row r="62" spans="1:20" ht="12" customHeight="1" x14ac:dyDescent="0.3">
      <c r="A62" s="340" t="s">
        <v>294</v>
      </c>
      <c r="B62" s="341">
        <v>17</v>
      </c>
      <c r="C62" s="309">
        <v>46146</v>
      </c>
      <c r="D62" s="310" t="s">
        <v>374</v>
      </c>
      <c r="E62" s="533">
        <v>99</v>
      </c>
      <c r="F62" s="533"/>
      <c r="G62" s="344">
        <f t="shared" si="1"/>
        <v>7207.1299999999856</v>
      </c>
      <c r="H62" s="345"/>
      <c r="I62" s="346">
        <v>2</v>
      </c>
      <c r="J62" s="347"/>
      <c r="K62" s="312"/>
      <c r="L62" s="347"/>
      <c r="M62" s="312"/>
      <c r="N62" s="347"/>
      <c r="O62" s="312"/>
      <c r="P62" s="347"/>
      <c r="Q62" s="312"/>
      <c r="R62" s="347"/>
      <c r="S62" s="312"/>
      <c r="T62" s="347"/>
    </row>
    <row r="63" spans="1:20" ht="12" customHeight="1" x14ac:dyDescent="0.3">
      <c r="A63" s="340" t="s">
        <v>289</v>
      </c>
      <c r="B63" s="341">
        <v>5</v>
      </c>
      <c r="C63" s="309">
        <v>46145</v>
      </c>
      <c r="D63" s="310" t="s">
        <v>850</v>
      </c>
      <c r="E63" s="533">
        <v>49.13</v>
      </c>
      <c r="F63" s="533"/>
      <c r="G63" s="344">
        <f t="shared" si="1"/>
        <v>7306.1299999999856</v>
      </c>
      <c r="H63" s="345"/>
      <c r="I63" s="346">
        <v>2</v>
      </c>
      <c r="J63" s="347"/>
      <c r="K63" s="312"/>
      <c r="L63" s="347"/>
      <c r="M63" s="312"/>
      <c r="N63" s="347"/>
      <c r="O63" s="312"/>
      <c r="P63" s="347"/>
      <c r="Q63" s="312"/>
      <c r="R63" s="347"/>
      <c r="S63" s="312"/>
      <c r="T63" s="347"/>
    </row>
    <row r="64" spans="1:20" ht="12" customHeight="1" x14ac:dyDescent="0.3">
      <c r="A64" s="340" t="s">
        <v>289</v>
      </c>
      <c r="B64" s="341">
        <v>1</v>
      </c>
      <c r="C64" s="309">
        <v>46145</v>
      </c>
      <c r="D64" s="310" t="s">
        <v>847</v>
      </c>
      <c r="E64" s="533">
        <v>50</v>
      </c>
      <c r="F64" s="533"/>
      <c r="G64" s="344">
        <f t="shared" si="1"/>
        <v>7355.2599999999857</v>
      </c>
      <c r="H64" s="345"/>
      <c r="I64" s="346">
        <v>2</v>
      </c>
      <c r="J64" s="347"/>
      <c r="K64" s="312"/>
      <c r="L64" s="347"/>
      <c r="M64" s="312"/>
      <c r="N64" s="347"/>
      <c r="O64" s="312"/>
      <c r="P64" s="347"/>
      <c r="Q64" s="312"/>
      <c r="R64" s="347"/>
      <c r="S64" s="312"/>
      <c r="T64" s="347"/>
    </row>
    <row r="65" spans="1:20" ht="12" customHeight="1" x14ac:dyDescent="0.3">
      <c r="A65" s="340" t="s">
        <v>289</v>
      </c>
      <c r="B65" s="341">
        <v>1</v>
      </c>
      <c r="C65" s="309">
        <v>46145</v>
      </c>
      <c r="D65" s="310" t="s">
        <v>312</v>
      </c>
      <c r="E65" s="533">
        <v>91.98</v>
      </c>
      <c r="F65" s="533"/>
      <c r="G65" s="344">
        <f t="shared" si="1"/>
        <v>7405.2599999999857</v>
      </c>
      <c r="H65" s="345"/>
      <c r="I65" s="346">
        <v>2</v>
      </c>
      <c r="J65" s="347"/>
      <c r="K65" s="312"/>
      <c r="L65" s="347"/>
      <c r="M65" s="312"/>
      <c r="N65" s="347"/>
      <c r="O65" s="312"/>
      <c r="P65" s="347"/>
      <c r="Q65" s="312"/>
      <c r="R65" s="347"/>
      <c r="S65" s="312"/>
      <c r="T65" s="347"/>
    </row>
    <row r="66" spans="1:20" ht="12" customHeight="1" x14ac:dyDescent="0.3">
      <c r="A66" s="340" t="s">
        <v>289</v>
      </c>
      <c r="B66" s="341">
        <v>6</v>
      </c>
      <c r="C66" s="309">
        <v>46145</v>
      </c>
      <c r="D66" s="310" t="s">
        <v>848</v>
      </c>
      <c r="E66" s="533">
        <v>24.68</v>
      </c>
      <c r="F66" s="533"/>
      <c r="G66" s="344">
        <f t="shared" si="1"/>
        <v>7497.2399999999852</v>
      </c>
      <c r="H66" s="345"/>
      <c r="I66" s="346">
        <v>2</v>
      </c>
      <c r="J66" s="347"/>
      <c r="K66" s="312"/>
      <c r="L66" s="347"/>
      <c r="M66" s="312"/>
      <c r="N66" s="347"/>
      <c r="O66" s="312"/>
      <c r="P66" s="347"/>
      <c r="Q66" s="312"/>
      <c r="R66" s="347"/>
      <c r="S66" s="312"/>
      <c r="T66" s="347"/>
    </row>
    <row r="67" spans="1:20" ht="12" customHeight="1" x14ac:dyDescent="0.3">
      <c r="A67" s="340" t="s">
        <v>289</v>
      </c>
      <c r="B67" s="341">
        <v>2</v>
      </c>
      <c r="C67" s="309">
        <v>46145</v>
      </c>
      <c r="D67" s="310" t="s">
        <v>362</v>
      </c>
      <c r="E67" s="533">
        <v>2.4900000000000002</v>
      </c>
      <c r="F67" s="533"/>
      <c r="G67" s="344">
        <f t="shared" si="1"/>
        <v>7521.9199999999855</v>
      </c>
      <c r="H67" s="345"/>
      <c r="I67" s="346">
        <v>2</v>
      </c>
      <c r="J67" s="347"/>
      <c r="K67" s="312"/>
      <c r="L67" s="347"/>
      <c r="M67" s="312"/>
      <c r="N67" s="347"/>
      <c r="O67" s="312"/>
      <c r="P67" s="347"/>
      <c r="Q67" s="312"/>
      <c r="R67" s="347"/>
      <c r="S67" s="312"/>
      <c r="T67" s="347"/>
    </row>
    <row r="68" spans="1:20" ht="12" customHeight="1" x14ac:dyDescent="0.3">
      <c r="A68" s="340" t="s">
        <v>294</v>
      </c>
      <c r="B68" s="341">
        <v>22</v>
      </c>
      <c r="C68" s="309">
        <v>46145</v>
      </c>
      <c r="D68" s="310" t="s">
        <v>846</v>
      </c>
      <c r="E68" s="533">
        <v>12.77</v>
      </c>
      <c r="F68" s="533"/>
      <c r="G68" s="344">
        <f t="shared" si="1"/>
        <v>7524.4099999999853</v>
      </c>
      <c r="H68" s="345"/>
      <c r="I68" s="346">
        <v>1</v>
      </c>
      <c r="J68" s="347"/>
      <c r="K68" s="312"/>
      <c r="L68" s="347"/>
      <c r="M68" s="312"/>
      <c r="N68" s="347"/>
      <c r="O68" s="312"/>
      <c r="P68" s="347"/>
      <c r="Q68" s="312"/>
      <c r="R68" s="347"/>
      <c r="S68" s="312"/>
      <c r="T68" s="347"/>
    </row>
    <row r="69" spans="1:20" ht="12" customHeight="1" x14ac:dyDescent="0.3">
      <c r="A69" s="340" t="s">
        <v>289</v>
      </c>
      <c r="B69" s="341">
        <v>2</v>
      </c>
      <c r="C69" s="309">
        <v>46145</v>
      </c>
      <c r="D69" s="310" t="s">
        <v>468</v>
      </c>
      <c r="E69" s="533">
        <v>192.97</v>
      </c>
      <c r="F69" s="533"/>
      <c r="G69" s="344">
        <f t="shared" si="1"/>
        <v>7537.1799999999857</v>
      </c>
      <c r="H69" s="345"/>
      <c r="I69" s="346">
        <v>1</v>
      </c>
      <c r="J69" s="347"/>
      <c r="K69" s="312"/>
      <c r="L69" s="347"/>
      <c r="M69" s="312"/>
      <c r="N69" s="347"/>
      <c r="O69" s="312"/>
      <c r="P69" s="347"/>
      <c r="Q69" s="312"/>
      <c r="R69" s="347"/>
      <c r="S69" s="312"/>
      <c r="T69" s="347"/>
    </row>
    <row r="70" spans="1:20" ht="12" customHeight="1" x14ac:dyDescent="0.3">
      <c r="A70" s="340" t="s">
        <v>289</v>
      </c>
      <c r="B70" s="341">
        <v>3</v>
      </c>
      <c r="C70" s="309">
        <v>46145</v>
      </c>
      <c r="D70" s="310" t="s">
        <v>352</v>
      </c>
      <c r="E70" s="533">
        <v>9.35</v>
      </c>
      <c r="F70" s="533"/>
      <c r="G70" s="344">
        <f t="shared" si="1"/>
        <v>7730.149999999986</v>
      </c>
      <c r="H70" s="345"/>
      <c r="I70" s="346">
        <v>1</v>
      </c>
      <c r="J70" s="347"/>
      <c r="K70" s="312"/>
      <c r="L70" s="347"/>
      <c r="M70" s="312"/>
      <c r="N70" s="347"/>
      <c r="O70" s="312"/>
      <c r="P70" s="347"/>
      <c r="Q70" s="312"/>
      <c r="R70" s="347"/>
      <c r="S70" s="312"/>
      <c r="T70" s="347"/>
    </row>
    <row r="71" spans="1:20" ht="12" customHeight="1" x14ac:dyDescent="0.3">
      <c r="A71" s="340" t="s">
        <v>289</v>
      </c>
      <c r="B71" s="341">
        <v>4</v>
      </c>
      <c r="C71" s="309">
        <v>46144</v>
      </c>
      <c r="D71" s="310" t="s">
        <v>311</v>
      </c>
      <c r="E71" s="533">
        <v>57.69</v>
      </c>
      <c r="F71" s="533"/>
      <c r="G71" s="344">
        <f t="shared" si="1"/>
        <v>7739.4999999999864</v>
      </c>
      <c r="H71" s="345"/>
      <c r="I71" s="346">
        <v>1</v>
      </c>
      <c r="J71" s="347"/>
      <c r="K71" s="312"/>
      <c r="L71" s="347"/>
      <c r="M71" s="312"/>
      <c r="N71" s="347"/>
      <c r="O71" s="312"/>
      <c r="P71" s="347"/>
      <c r="Q71" s="312"/>
      <c r="R71" s="347"/>
      <c r="S71" s="312"/>
      <c r="T71" s="347"/>
    </row>
    <row r="72" spans="1:20" ht="12" customHeight="1" x14ac:dyDescent="0.3">
      <c r="A72" s="340" t="s">
        <v>289</v>
      </c>
      <c r="B72" s="341">
        <v>8</v>
      </c>
      <c r="C72" s="309">
        <v>46144</v>
      </c>
      <c r="D72" s="310" t="s">
        <v>311</v>
      </c>
      <c r="E72" s="533">
        <v>6.37</v>
      </c>
      <c r="F72" s="533"/>
      <c r="G72" s="344">
        <f t="shared" si="1"/>
        <v>7797.189999999986</v>
      </c>
      <c r="H72" s="345"/>
      <c r="I72" s="346">
        <v>1</v>
      </c>
      <c r="J72" s="347"/>
      <c r="K72" s="312"/>
      <c r="L72" s="347"/>
      <c r="M72" s="312"/>
      <c r="N72" s="347"/>
      <c r="O72" s="312"/>
      <c r="P72" s="347"/>
      <c r="Q72" s="312"/>
      <c r="R72" s="347"/>
      <c r="S72" s="312"/>
      <c r="T72" s="347"/>
    </row>
    <row r="73" spans="1:20" ht="12" customHeight="1" x14ac:dyDescent="0.3">
      <c r="A73" s="340" t="s">
        <v>294</v>
      </c>
      <c r="B73" s="341">
        <v>22</v>
      </c>
      <c r="C73" s="309">
        <v>46144</v>
      </c>
      <c r="D73" s="310" t="s">
        <v>379</v>
      </c>
      <c r="E73" s="533">
        <v>6.37</v>
      </c>
      <c r="F73" s="533"/>
      <c r="G73" s="344">
        <f t="shared" si="1"/>
        <v>7803.5599999999858</v>
      </c>
      <c r="H73" s="345"/>
      <c r="I73" s="346">
        <v>1</v>
      </c>
      <c r="J73" s="347"/>
      <c r="K73" s="312"/>
      <c r="L73" s="347"/>
      <c r="M73" s="312"/>
      <c r="N73" s="347"/>
      <c r="O73" s="312"/>
      <c r="P73" s="347"/>
      <c r="Q73" s="312"/>
      <c r="R73" s="347"/>
      <c r="S73" s="312"/>
      <c r="T73" s="347"/>
    </row>
    <row r="74" spans="1:20" ht="12" customHeight="1" x14ac:dyDescent="0.3">
      <c r="A74" s="340" t="s">
        <v>289</v>
      </c>
      <c r="B74" s="341">
        <v>6</v>
      </c>
      <c r="C74" s="309">
        <v>46144</v>
      </c>
      <c r="D74" s="310" t="s">
        <v>300</v>
      </c>
      <c r="E74" s="533">
        <v>41.51</v>
      </c>
      <c r="F74" s="533"/>
      <c r="G74" s="344">
        <f t="shared" si="1"/>
        <v>7809.9299999999857</v>
      </c>
      <c r="H74" s="345"/>
      <c r="I74" s="346">
        <v>1</v>
      </c>
      <c r="J74" s="347"/>
      <c r="K74" s="312"/>
      <c r="L74" s="347"/>
      <c r="M74" s="312"/>
      <c r="N74" s="347"/>
      <c r="O74" s="312"/>
      <c r="P74" s="347"/>
      <c r="Q74" s="312"/>
      <c r="R74" s="347"/>
      <c r="S74" s="312"/>
      <c r="T74" s="347"/>
    </row>
    <row r="75" spans="1:20" ht="12" customHeight="1" x14ac:dyDescent="0.3">
      <c r="A75" s="340" t="s">
        <v>289</v>
      </c>
      <c r="B75" s="341">
        <v>7</v>
      </c>
      <c r="C75" s="309">
        <v>46144</v>
      </c>
      <c r="D75" s="310" t="s">
        <v>849</v>
      </c>
      <c r="E75" s="533">
        <v>74.53</v>
      </c>
      <c r="F75" s="533"/>
      <c r="G75" s="344">
        <f t="shared" si="1"/>
        <v>7851.439999999986</v>
      </c>
      <c r="H75" s="345"/>
      <c r="I75" s="346">
        <v>2</v>
      </c>
      <c r="J75" s="347"/>
      <c r="K75" s="312"/>
      <c r="L75" s="347"/>
      <c r="M75" s="312"/>
      <c r="N75" s="347"/>
      <c r="O75" s="312"/>
      <c r="P75" s="347"/>
      <c r="Q75" s="312"/>
      <c r="R75" s="347"/>
      <c r="S75" s="312"/>
      <c r="T75" s="347"/>
    </row>
    <row r="76" spans="1:20" ht="12" customHeight="1" x14ac:dyDescent="0.3">
      <c r="A76" s="340" t="s">
        <v>289</v>
      </c>
      <c r="B76" s="341">
        <v>1</v>
      </c>
      <c r="C76" s="309">
        <v>46144</v>
      </c>
      <c r="D76" s="310" t="s">
        <v>307</v>
      </c>
      <c r="E76" s="533">
        <v>72.73</v>
      </c>
      <c r="F76" s="533"/>
      <c r="G76" s="344">
        <f t="shared" si="1"/>
        <v>7925.9699999999857</v>
      </c>
      <c r="H76" s="345"/>
      <c r="I76" s="346">
        <v>2</v>
      </c>
      <c r="J76" s="347"/>
      <c r="K76" s="312"/>
      <c r="L76" s="347"/>
      <c r="M76" s="312"/>
      <c r="N76" s="347"/>
      <c r="O76" s="312"/>
      <c r="P76" s="347"/>
      <c r="Q76" s="312"/>
      <c r="R76" s="347"/>
      <c r="S76" s="312"/>
      <c r="T76" s="347"/>
    </row>
    <row r="77" spans="1:20" ht="12" customHeight="1" x14ac:dyDescent="0.3">
      <c r="A77" s="340" t="s">
        <v>289</v>
      </c>
      <c r="B77" s="341">
        <v>3</v>
      </c>
      <c r="C77" s="309">
        <v>46144</v>
      </c>
      <c r="D77" s="310" t="s">
        <v>352</v>
      </c>
      <c r="E77" s="533">
        <v>25</v>
      </c>
      <c r="F77" s="533"/>
      <c r="G77" s="344">
        <f t="shared" si="1"/>
        <v>7998.6999999999853</v>
      </c>
      <c r="H77" s="345"/>
      <c r="I77" s="346">
        <v>2</v>
      </c>
      <c r="J77" s="347"/>
      <c r="K77" s="312"/>
      <c r="L77" s="347"/>
      <c r="M77" s="312"/>
      <c r="N77" s="347"/>
      <c r="O77" s="312"/>
      <c r="P77" s="347"/>
      <c r="Q77" s="312"/>
      <c r="R77" s="347"/>
      <c r="S77" s="312"/>
      <c r="T77" s="347"/>
    </row>
    <row r="78" spans="1:20" ht="12" customHeight="1" x14ac:dyDescent="0.3">
      <c r="A78" s="340"/>
      <c r="B78" s="341"/>
      <c r="C78" s="309">
        <v>46144</v>
      </c>
      <c r="D78" s="310" t="s">
        <v>500</v>
      </c>
      <c r="E78" s="533">
        <v>121.4</v>
      </c>
      <c r="F78" s="533"/>
      <c r="G78" s="344">
        <f t="shared" si="1"/>
        <v>8023.6999999999853</v>
      </c>
      <c r="H78" s="345"/>
      <c r="I78" s="346">
        <v>1</v>
      </c>
      <c r="J78" s="347"/>
      <c r="K78" s="312"/>
      <c r="L78" s="347"/>
      <c r="M78" s="312"/>
      <c r="N78" s="347"/>
      <c r="O78" s="312"/>
      <c r="P78" s="347"/>
      <c r="Q78" s="312"/>
      <c r="R78" s="347"/>
      <c r="S78" s="312"/>
      <c r="T78" s="347"/>
    </row>
    <row r="79" spans="1:20" ht="12" customHeight="1" x14ac:dyDescent="0.3">
      <c r="A79" s="340" t="s">
        <v>289</v>
      </c>
      <c r="B79" s="341">
        <v>3</v>
      </c>
      <c r="C79" s="309">
        <v>46144</v>
      </c>
      <c r="D79" s="310" t="s">
        <v>352</v>
      </c>
      <c r="E79" s="533">
        <v>9.73</v>
      </c>
      <c r="F79" s="533"/>
      <c r="G79" s="344">
        <f t="shared" si="1"/>
        <v>8145.0999999999849</v>
      </c>
      <c r="H79" s="345"/>
      <c r="I79" s="346">
        <v>1</v>
      </c>
      <c r="J79" s="347"/>
      <c r="K79" s="312"/>
      <c r="L79" s="347"/>
      <c r="M79" s="312"/>
      <c r="N79" s="347"/>
      <c r="O79" s="312"/>
      <c r="P79" s="347"/>
      <c r="Q79" s="312"/>
      <c r="R79" s="347"/>
      <c r="S79" s="312"/>
      <c r="T79" s="347"/>
    </row>
    <row r="80" spans="1:20" ht="12" customHeight="1" x14ac:dyDescent="0.3">
      <c r="A80" s="340" t="s">
        <v>289</v>
      </c>
      <c r="B80" s="341">
        <v>2</v>
      </c>
      <c r="C80" s="309">
        <v>46143</v>
      </c>
      <c r="D80" s="310" t="s">
        <v>362</v>
      </c>
      <c r="E80" s="533">
        <v>8.9700000000000006</v>
      </c>
      <c r="F80" s="533"/>
      <c r="G80" s="344">
        <f t="shared" si="1"/>
        <v>8154.8299999999845</v>
      </c>
      <c r="H80" s="345"/>
      <c r="I80" s="346">
        <v>1</v>
      </c>
      <c r="J80" s="347"/>
      <c r="K80" s="312"/>
      <c r="L80" s="347"/>
      <c r="M80" s="312"/>
      <c r="N80" s="347"/>
      <c r="O80" s="312"/>
      <c r="P80" s="347"/>
      <c r="Q80" s="312"/>
      <c r="R80" s="347"/>
      <c r="S80" s="312"/>
      <c r="T80" s="347"/>
    </row>
    <row r="81" spans="1:20" s="580" customFormat="1" ht="12" customHeight="1" x14ac:dyDescent="0.3">
      <c r="A81" s="570" t="s">
        <v>284</v>
      </c>
      <c r="B81" s="571">
        <v>37</v>
      </c>
      <c r="C81" s="572">
        <v>46142</v>
      </c>
      <c r="D81" s="573" t="s">
        <v>285</v>
      </c>
      <c r="E81" s="574">
        <v>5616.82</v>
      </c>
      <c r="F81" s="574">
        <v>5616.82</v>
      </c>
      <c r="G81" s="575">
        <f t="shared" si="1"/>
        <v>8163.7999999999847</v>
      </c>
      <c r="H81" s="576"/>
      <c r="I81" s="577"/>
      <c r="J81" s="578"/>
      <c r="K81" s="579"/>
      <c r="L81" s="578"/>
      <c r="M81" s="579"/>
      <c r="N81" s="578"/>
      <c r="O81" s="579"/>
      <c r="P81" s="578"/>
      <c r="Q81" s="579"/>
      <c r="R81" s="578"/>
      <c r="S81" s="579"/>
      <c r="T81" s="578"/>
    </row>
    <row r="82" spans="1:20" ht="12" customHeight="1" x14ac:dyDescent="0.3">
      <c r="A82" s="340" t="s">
        <v>286</v>
      </c>
      <c r="B82" s="341">
        <v>25</v>
      </c>
      <c r="C82" s="309">
        <v>46142</v>
      </c>
      <c r="D82" s="309" t="s">
        <v>204</v>
      </c>
      <c r="E82" s="342">
        <v>350</v>
      </c>
      <c r="F82" s="342"/>
      <c r="G82" s="344">
        <f t="shared" ref="G82:G83" si="2">G83-E82+F82</f>
        <v>8163.7999999999847</v>
      </c>
      <c r="H82" s="345"/>
      <c r="I82" s="346"/>
      <c r="J82" s="347"/>
      <c r="K82" s="312"/>
      <c r="L82" s="347"/>
      <c r="M82" s="312"/>
      <c r="N82" s="347"/>
      <c r="O82" s="312"/>
      <c r="P82" s="347"/>
      <c r="Q82" s="312"/>
      <c r="R82" s="347"/>
      <c r="S82" s="312"/>
      <c r="T82" s="347"/>
    </row>
    <row r="83" spans="1:20" ht="12" customHeight="1" x14ac:dyDescent="0.3">
      <c r="A83" s="340" t="s">
        <v>286</v>
      </c>
      <c r="B83" s="341">
        <v>26</v>
      </c>
      <c r="C83" s="309">
        <v>46142</v>
      </c>
      <c r="D83" s="309" t="s">
        <v>205</v>
      </c>
      <c r="E83" s="342">
        <v>320</v>
      </c>
      <c r="F83" s="342"/>
      <c r="G83" s="344">
        <f t="shared" si="2"/>
        <v>8513.7999999999847</v>
      </c>
      <c r="H83" s="345"/>
      <c r="I83" s="346"/>
      <c r="J83" s="347"/>
      <c r="K83" s="312"/>
      <c r="L83" s="347"/>
      <c r="M83" s="312"/>
      <c r="N83" s="347"/>
      <c r="O83" s="312"/>
      <c r="P83" s="347"/>
      <c r="Q83" s="312"/>
      <c r="R83" s="347"/>
      <c r="S83" s="312"/>
      <c r="T83" s="347"/>
    </row>
    <row r="84" spans="1:20" ht="12" customHeight="1" x14ac:dyDescent="0.3">
      <c r="A84" s="340" t="s">
        <v>286</v>
      </c>
      <c r="B84" s="341">
        <v>27</v>
      </c>
      <c r="C84" s="309">
        <v>46142</v>
      </c>
      <c r="D84" s="309" t="s">
        <v>206</v>
      </c>
      <c r="E84" s="342">
        <v>25</v>
      </c>
      <c r="F84" s="342"/>
      <c r="G84" s="344">
        <f t="shared" ref="G84:G335" si="3">G85-E84+F84</f>
        <v>8833.7999999999847</v>
      </c>
      <c r="H84" s="345"/>
      <c r="I84" s="346"/>
      <c r="J84" s="347"/>
      <c r="K84" s="312"/>
      <c r="L84" s="347"/>
      <c r="M84" s="312"/>
      <c r="N84" s="347"/>
      <c r="O84" s="312"/>
      <c r="P84" s="347"/>
      <c r="Q84" s="312"/>
      <c r="R84" s="347"/>
      <c r="S84" s="312"/>
      <c r="T84" s="347"/>
    </row>
    <row r="85" spans="1:20" ht="12" customHeight="1" x14ac:dyDescent="0.3">
      <c r="A85" s="340" t="s">
        <v>286</v>
      </c>
      <c r="B85" s="341">
        <v>28</v>
      </c>
      <c r="C85" s="309">
        <v>46142</v>
      </c>
      <c r="D85" s="309" t="s">
        <v>207</v>
      </c>
      <c r="E85" s="342">
        <v>25</v>
      </c>
      <c r="F85" s="342"/>
      <c r="G85" s="344">
        <f t="shared" si="3"/>
        <v>8858.7999999999847</v>
      </c>
      <c r="H85" s="345"/>
      <c r="I85" s="346"/>
      <c r="J85" s="347"/>
      <c r="K85" s="312"/>
      <c r="L85" s="347"/>
      <c r="M85" s="312"/>
      <c r="N85" s="347"/>
      <c r="O85" s="312"/>
      <c r="P85" s="347"/>
      <c r="Q85" s="312"/>
      <c r="R85" s="347"/>
      <c r="S85" s="312"/>
      <c r="T85" s="347"/>
    </row>
    <row r="86" spans="1:20" ht="12" customHeight="1" x14ac:dyDescent="0.3">
      <c r="A86" s="340" t="s">
        <v>286</v>
      </c>
      <c r="B86" s="341">
        <v>29</v>
      </c>
      <c r="C86" s="309">
        <v>46142</v>
      </c>
      <c r="D86" s="309" t="s">
        <v>208</v>
      </c>
      <c r="E86" s="342">
        <v>45</v>
      </c>
      <c r="F86" s="342"/>
      <c r="G86" s="344">
        <f t="shared" si="3"/>
        <v>8883.7999999999847</v>
      </c>
      <c r="H86" s="345"/>
      <c r="I86" s="346"/>
      <c r="J86" s="347"/>
      <c r="K86" s="312"/>
      <c r="L86" s="347"/>
      <c r="M86" s="312"/>
      <c r="N86" s="347"/>
      <c r="O86" s="312"/>
      <c r="P86" s="347"/>
      <c r="Q86" s="312"/>
      <c r="R86" s="347"/>
      <c r="S86" s="312"/>
      <c r="T86" s="347"/>
    </row>
    <row r="87" spans="1:20" ht="12" customHeight="1" x14ac:dyDescent="0.3">
      <c r="A87" s="340" t="s">
        <v>286</v>
      </c>
      <c r="B87" s="341">
        <v>30</v>
      </c>
      <c r="C87" s="309">
        <v>46142</v>
      </c>
      <c r="D87" s="309" t="s">
        <v>209</v>
      </c>
      <c r="E87" s="342">
        <v>400</v>
      </c>
      <c r="F87" s="342"/>
      <c r="G87" s="344">
        <f t="shared" si="3"/>
        <v>8928.7999999999847</v>
      </c>
      <c r="H87" s="345"/>
      <c r="I87" s="346"/>
      <c r="J87" s="347"/>
      <c r="K87" s="312"/>
      <c r="L87" s="347"/>
      <c r="M87" s="312"/>
      <c r="N87" s="347"/>
      <c r="O87" s="312"/>
      <c r="P87" s="347"/>
      <c r="Q87" s="312"/>
      <c r="R87" s="347"/>
      <c r="S87" s="312"/>
      <c r="T87" s="347"/>
    </row>
    <row r="88" spans="1:20" ht="12" customHeight="1" x14ac:dyDescent="0.3">
      <c r="A88" s="340" t="s">
        <v>286</v>
      </c>
      <c r="B88" s="341">
        <v>31</v>
      </c>
      <c r="C88" s="309">
        <v>46142</v>
      </c>
      <c r="D88" s="309" t="s">
        <v>210</v>
      </c>
      <c r="E88" s="342">
        <v>375</v>
      </c>
      <c r="F88" s="342"/>
      <c r="G88" s="344">
        <f t="shared" si="3"/>
        <v>9328.7999999999847</v>
      </c>
      <c r="H88" s="345"/>
      <c r="I88" s="346"/>
      <c r="J88" s="347"/>
      <c r="K88" s="312"/>
      <c r="L88" s="347"/>
      <c r="M88" s="312"/>
      <c r="N88" s="347"/>
      <c r="O88" s="312"/>
      <c r="P88" s="347"/>
      <c r="Q88" s="312"/>
      <c r="R88" s="347"/>
      <c r="S88" s="312"/>
      <c r="T88" s="347"/>
    </row>
    <row r="89" spans="1:20" ht="12" customHeight="1" x14ac:dyDescent="0.3">
      <c r="A89" s="340" t="s">
        <v>286</v>
      </c>
      <c r="B89" s="341">
        <v>32</v>
      </c>
      <c r="C89" s="309">
        <v>46142</v>
      </c>
      <c r="D89" s="309" t="s">
        <v>211</v>
      </c>
      <c r="E89" s="342">
        <v>100</v>
      </c>
      <c r="F89" s="342"/>
      <c r="G89" s="344">
        <f t="shared" si="3"/>
        <v>9703.7999999999847</v>
      </c>
      <c r="H89" s="345"/>
      <c r="I89" s="346"/>
      <c r="J89" s="347"/>
      <c r="K89" s="312"/>
      <c r="L89" s="347"/>
      <c r="M89" s="312"/>
      <c r="N89" s="347"/>
      <c r="O89" s="312"/>
      <c r="P89" s="347"/>
      <c r="Q89" s="312"/>
      <c r="R89" s="347"/>
      <c r="S89" s="312"/>
      <c r="T89" s="347"/>
    </row>
    <row r="90" spans="1:20" ht="12" customHeight="1" x14ac:dyDescent="0.3">
      <c r="A90" s="340" t="s">
        <v>286</v>
      </c>
      <c r="B90" s="341">
        <v>33</v>
      </c>
      <c r="C90" s="309">
        <v>46142</v>
      </c>
      <c r="D90" s="309" t="s">
        <v>212</v>
      </c>
      <c r="E90" s="342">
        <v>85</v>
      </c>
      <c r="F90" s="342"/>
      <c r="G90" s="344">
        <f t="shared" si="3"/>
        <v>9803.7999999999847</v>
      </c>
      <c r="H90" s="345"/>
      <c r="I90" s="346"/>
      <c r="J90" s="347"/>
      <c r="K90" s="312"/>
      <c r="L90" s="347"/>
      <c r="M90" s="312"/>
      <c r="N90" s="347"/>
      <c r="O90" s="312"/>
      <c r="P90" s="347"/>
      <c r="Q90" s="312"/>
      <c r="R90" s="347"/>
      <c r="S90" s="312"/>
      <c r="T90" s="347"/>
    </row>
    <row r="91" spans="1:20" ht="12" customHeight="1" x14ac:dyDescent="0.3">
      <c r="A91" s="340" t="s">
        <v>286</v>
      </c>
      <c r="B91" s="341">
        <v>34</v>
      </c>
      <c r="C91" s="309">
        <v>46142</v>
      </c>
      <c r="D91" s="309" t="s">
        <v>213</v>
      </c>
      <c r="E91" s="342">
        <v>230</v>
      </c>
      <c r="F91" s="342"/>
      <c r="G91" s="344">
        <f t="shared" si="3"/>
        <v>9888.7999999999847</v>
      </c>
      <c r="H91" s="345"/>
      <c r="I91" s="346"/>
      <c r="J91" s="347"/>
      <c r="K91" s="312"/>
      <c r="L91" s="347"/>
      <c r="M91" s="312"/>
      <c r="N91" s="347"/>
      <c r="O91" s="312"/>
      <c r="P91" s="347"/>
      <c r="Q91" s="312"/>
      <c r="R91" s="347"/>
      <c r="S91" s="312"/>
      <c r="T91" s="347"/>
    </row>
    <row r="92" spans="1:20" ht="12" customHeight="1" x14ac:dyDescent="0.3">
      <c r="A92" s="340" t="s">
        <v>286</v>
      </c>
      <c r="B92" s="341">
        <v>35</v>
      </c>
      <c r="C92" s="309">
        <v>46142</v>
      </c>
      <c r="D92" s="309" t="s">
        <v>214</v>
      </c>
      <c r="E92" s="342">
        <v>45</v>
      </c>
      <c r="F92" s="342"/>
      <c r="G92" s="344">
        <f t="shared" si="3"/>
        <v>10118.799999999985</v>
      </c>
      <c r="H92" s="345"/>
      <c r="I92" s="346"/>
      <c r="J92" s="347"/>
      <c r="K92" s="312"/>
      <c r="L92" s="347"/>
      <c r="M92" s="312"/>
      <c r="N92" s="347"/>
      <c r="O92" s="312"/>
      <c r="P92" s="347"/>
      <c r="Q92" s="312"/>
      <c r="R92" s="347"/>
      <c r="S92" s="312"/>
      <c r="T92" s="347"/>
    </row>
    <row r="93" spans="1:20" ht="12" customHeight="1" x14ac:dyDescent="0.3">
      <c r="A93" s="340" t="s">
        <v>287</v>
      </c>
      <c r="B93" s="341" t="s">
        <v>287</v>
      </c>
      <c r="C93" s="309">
        <v>46142</v>
      </c>
      <c r="D93" s="310" t="s">
        <v>288</v>
      </c>
      <c r="E93" s="342">
        <v>185.64</v>
      </c>
      <c r="F93" s="342">
        <v>185.64</v>
      </c>
      <c r="G93" s="344">
        <f t="shared" si="3"/>
        <v>10163.799999999985</v>
      </c>
      <c r="H93" s="345"/>
      <c r="I93" s="346"/>
      <c r="J93" s="347"/>
      <c r="K93" s="312"/>
      <c r="L93" s="347"/>
      <c r="M93" s="312"/>
      <c r="N93" s="347"/>
      <c r="O93" s="312"/>
      <c r="P93" s="347"/>
      <c r="Q93" s="312"/>
      <c r="R93" s="347"/>
      <c r="S93" s="312"/>
      <c r="T93" s="347"/>
    </row>
    <row r="94" spans="1:20" ht="12" customHeight="1" x14ac:dyDescent="0.3">
      <c r="A94" s="340" t="s">
        <v>289</v>
      </c>
      <c r="B94" s="341">
        <v>6</v>
      </c>
      <c r="C94" s="309">
        <v>46142</v>
      </c>
      <c r="D94" s="310" t="s">
        <v>290</v>
      </c>
      <c r="E94" s="342">
        <v>30</v>
      </c>
      <c r="F94" s="342"/>
      <c r="G94" s="344">
        <f t="shared" si="3"/>
        <v>10163.799999999985</v>
      </c>
      <c r="H94" s="345"/>
      <c r="I94" s="346"/>
      <c r="J94" s="347"/>
      <c r="K94" s="312"/>
      <c r="L94" s="347"/>
      <c r="M94" s="312"/>
      <c r="N94" s="347"/>
      <c r="O94" s="312"/>
      <c r="P94" s="347"/>
      <c r="Q94" s="312"/>
      <c r="R94" s="347"/>
      <c r="S94" s="312"/>
      <c r="T94" s="347"/>
    </row>
    <row r="95" spans="1:20" ht="12" customHeight="1" x14ac:dyDescent="0.3">
      <c r="A95" s="340" t="s">
        <v>291</v>
      </c>
      <c r="B95" s="341">
        <v>39</v>
      </c>
      <c r="C95" s="309">
        <v>46142</v>
      </c>
      <c r="D95" s="310" t="s">
        <v>292</v>
      </c>
      <c r="E95" s="342"/>
      <c r="F95" s="342">
        <v>2763.78</v>
      </c>
      <c r="G95" s="344">
        <f t="shared" si="3"/>
        <v>10193.799999999985</v>
      </c>
      <c r="H95" s="345"/>
      <c r="I95" s="346"/>
      <c r="J95" s="347"/>
      <c r="K95" s="312"/>
      <c r="L95" s="347"/>
      <c r="M95" s="312"/>
      <c r="N95" s="347"/>
      <c r="O95" s="312"/>
      <c r="P95" s="347"/>
      <c r="Q95" s="312"/>
      <c r="R95" s="347"/>
      <c r="S95" s="312"/>
      <c r="T95" s="347"/>
    </row>
    <row r="96" spans="1:20" ht="12" customHeight="1" x14ac:dyDescent="0.3">
      <c r="A96" s="340" t="s">
        <v>291</v>
      </c>
      <c r="B96" s="341">
        <v>38</v>
      </c>
      <c r="C96" s="309">
        <v>46142</v>
      </c>
      <c r="D96" s="310" t="s">
        <v>293</v>
      </c>
      <c r="E96" s="342"/>
      <c r="F96" s="342">
        <v>4597.82</v>
      </c>
      <c r="G96" s="344">
        <f t="shared" si="3"/>
        <v>7430.019999999985</v>
      </c>
      <c r="H96" s="345"/>
      <c r="I96" s="346"/>
      <c r="J96" s="347"/>
      <c r="K96" s="312"/>
      <c r="L96" s="347"/>
      <c r="M96" s="312"/>
      <c r="N96" s="347"/>
      <c r="O96" s="312"/>
      <c r="P96" s="347"/>
      <c r="Q96" s="312"/>
      <c r="R96" s="347"/>
      <c r="S96" s="312"/>
      <c r="T96" s="347"/>
    </row>
    <row r="97" spans="1:20" ht="12" customHeight="1" x14ac:dyDescent="0.3">
      <c r="A97" s="340" t="s">
        <v>294</v>
      </c>
      <c r="B97" s="341">
        <v>42</v>
      </c>
      <c r="C97" s="309">
        <v>46142</v>
      </c>
      <c r="D97" s="310" t="s">
        <v>200</v>
      </c>
      <c r="E97" s="342">
        <v>50.92</v>
      </c>
      <c r="F97" s="342"/>
      <c r="G97" s="344">
        <f t="shared" si="3"/>
        <v>2832.1999999999853</v>
      </c>
      <c r="H97" s="345"/>
      <c r="I97" s="346"/>
      <c r="J97" s="347"/>
      <c r="K97" s="312"/>
      <c r="L97" s="347"/>
      <c r="M97" s="312"/>
      <c r="N97" s="347"/>
      <c r="O97" s="312"/>
      <c r="P97" s="347"/>
      <c r="Q97" s="312"/>
      <c r="R97" s="347"/>
      <c r="S97" s="312"/>
      <c r="T97" s="347"/>
    </row>
    <row r="98" spans="1:20" ht="12" customHeight="1" x14ac:dyDescent="0.3">
      <c r="A98" s="340" t="s">
        <v>294</v>
      </c>
      <c r="B98" s="341">
        <v>43</v>
      </c>
      <c r="C98" s="309">
        <v>46142</v>
      </c>
      <c r="D98" s="310" t="s">
        <v>201</v>
      </c>
      <c r="E98" s="342">
        <v>50.92</v>
      </c>
      <c r="F98" s="342"/>
      <c r="G98" s="344">
        <f t="shared" si="3"/>
        <v>2883.1199999999853</v>
      </c>
      <c r="H98" s="345"/>
      <c r="I98" s="346"/>
      <c r="J98" s="347"/>
      <c r="K98" s="312"/>
      <c r="L98" s="347"/>
      <c r="M98" s="312"/>
      <c r="N98" s="347"/>
      <c r="O98" s="312"/>
      <c r="P98" s="347"/>
      <c r="Q98" s="312"/>
      <c r="R98" s="347"/>
      <c r="S98" s="312"/>
      <c r="T98" s="347"/>
    </row>
    <row r="99" spans="1:20" ht="12" customHeight="1" x14ac:dyDescent="0.3">
      <c r="A99" s="340" t="s">
        <v>289</v>
      </c>
      <c r="B99" s="341">
        <v>4</v>
      </c>
      <c r="C99" s="309">
        <v>46142</v>
      </c>
      <c r="D99" s="310" t="s">
        <v>295</v>
      </c>
      <c r="E99" s="342">
        <v>35.799999999999997</v>
      </c>
      <c r="F99" s="342"/>
      <c r="G99" s="344">
        <f t="shared" si="3"/>
        <v>2934.0399999999854</v>
      </c>
      <c r="H99" s="345"/>
      <c r="I99" s="346"/>
      <c r="J99" s="347"/>
      <c r="K99" s="312"/>
      <c r="L99" s="347"/>
      <c r="M99" s="312"/>
      <c r="N99" s="347"/>
      <c r="O99" s="312"/>
      <c r="P99" s="347"/>
      <c r="Q99" s="312"/>
      <c r="R99" s="347"/>
      <c r="S99" s="312"/>
      <c r="T99" s="347"/>
    </row>
    <row r="100" spans="1:20" ht="12" customHeight="1" x14ac:dyDescent="0.3">
      <c r="A100" s="340" t="s">
        <v>294</v>
      </c>
      <c r="B100" s="341">
        <v>10</v>
      </c>
      <c r="C100" s="309">
        <v>46142</v>
      </c>
      <c r="D100" s="310" t="s">
        <v>176</v>
      </c>
      <c r="E100" s="342">
        <v>17.899999999999999</v>
      </c>
      <c r="F100" s="342"/>
      <c r="G100" s="344">
        <f t="shared" si="3"/>
        <v>2969.8399999999856</v>
      </c>
      <c r="H100" s="345"/>
      <c r="I100" s="346"/>
      <c r="J100" s="347"/>
      <c r="K100" s="312"/>
      <c r="L100" s="347"/>
      <c r="M100" s="312"/>
      <c r="N100" s="347"/>
      <c r="O100" s="312"/>
      <c r="P100" s="347"/>
      <c r="Q100" s="312"/>
      <c r="R100" s="347"/>
      <c r="S100" s="312"/>
      <c r="T100" s="347"/>
    </row>
    <row r="101" spans="1:20" ht="12" customHeight="1" x14ac:dyDescent="0.3">
      <c r="A101" s="340" t="s">
        <v>289</v>
      </c>
      <c r="B101" s="341">
        <v>2</v>
      </c>
      <c r="C101" s="309">
        <v>46142</v>
      </c>
      <c r="D101" s="310" t="s">
        <v>296</v>
      </c>
      <c r="E101" s="342">
        <v>8.7200000000000006</v>
      </c>
      <c r="F101" s="342"/>
      <c r="G101" s="344">
        <f t="shared" si="3"/>
        <v>2987.7399999999857</v>
      </c>
      <c r="H101" s="345"/>
      <c r="I101" s="346"/>
      <c r="J101" s="347"/>
      <c r="K101" s="312"/>
      <c r="L101" s="347"/>
      <c r="M101" s="312"/>
      <c r="N101" s="347"/>
      <c r="O101" s="312"/>
      <c r="P101" s="347"/>
      <c r="Q101" s="312"/>
      <c r="R101" s="347"/>
      <c r="S101" s="312"/>
      <c r="T101" s="347"/>
    </row>
    <row r="102" spans="1:20" ht="12" customHeight="1" x14ac:dyDescent="0.3">
      <c r="A102" s="340" t="s">
        <v>289</v>
      </c>
      <c r="B102" s="341">
        <v>2</v>
      </c>
      <c r="C102" s="309">
        <v>46142</v>
      </c>
      <c r="D102" s="310" t="s">
        <v>297</v>
      </c>
      <c r="E102" s="342">
        <v>100</v>
      </c>
      <c r="F102" s="342"/>
      <c r="G102" s="344">
        <f t="shared" si="3"/>
        <v>2996.4599999999855</v>
      </c>
      <c r="H102" s="345" t="s">
        <v>298</v>
      </c>
      <c r="I102" s="346"/>
      <c r="J102" s="347"/>
      <c r="K102" s="312"/>
      <c r="L102" s="347"/>
      <c r="M102" s="312"/>
      <c r="N102" s="347"/>
      <c r="O102" s="312"/>
      <c r="P102" s="347"/>
      <c r="Q102" s="312"/>
      <c r="R102" s="347"/>
      <c r="S102" s="312"/>
      <c r="T102" s="347"/>
    </row>
    <row r="103" spans="1:20" ht="12" customHeight="1" x14ac:dyDescent="0.3">
      <c r="A103" s="340" t="s">
        <v>289</v>
      </c>
      <c r="B103" s="341">
        <v>5</v>
      </c>
      <c r="C103" s="309">
        <v>46142</v>
      </c>
      <c r="D103" s="310" t="s">
        <v>297</v>
      </c>
      <c r="E103" s="342">
        <v>100</v>
      </c>
      <c r="F103" s="342"/>
      <c r="G103" s="344">
        <f t="shared" si="3"/>
        <v>3096.4599999999855</v>
      </c>
      <c r="H103" s="345" t="s">
        <v>298</v>
      </c>
      <c r="I103" s="346"/>
      <c r="J103" s="347"/>
      <c r="K103" s="312"/>
      <c r="L103" s="347"/>
      <c r="M103" s="312"/>
      <c r="N103" s="347"/>
      <c r="O103" s="312"/>
      <c r="P103" s="347"/>
      <c r="Q103" s="312"/>
      <c r="R103" s="347"/>
      <c r="S103" s="312"/>
      <c r="T103" s="347"/>
    </row>
    <row r="104" spans="1:20" ht="12" customHeight="1" x14ac:dyDescent="0.3">
      <c r="A104" s="340" t="s">
        <v>289</v>
      </c>
      <c r="B104" s="341">
        <v>6</v>
      </c>
      <c r="C104" s="309">
        <v>46142</v>
      </c>
      <c r="D104" s="310" t="s">
        <v>297</v>
      </c>
      <c r="E104" s="342">
        <v>100</v>
      </c>
      <c r="F104" s="342"/>
      <c r="G104" s="344">
        <f t="shared" si="3"/>
        <v>3196.4599999999855</v>
      </c>
      <c r="H104" s="345" t="s">
        <v>298</v>
      </c>
      <c r="I104" s="346"/>
      <c r="J104" s="347"/>
      <c r="K104" s="312"/>
      <c r="L104" s="347"/>
      <c r="M104" s="312"/>
      <c r="N104" s="347"/>
      <c r="O104" s="312"/>
      <c r="P104" s="347"/>
      <c r="Q104" s="312"/>
      <c r="R104" s="347"/>
      <c r="S104" s="312"/>
      <c r="T104" s="347"/>
    </row>
    <row r="105" spans="1:20" ht="12" customHeight="1" x14ac:dyDescent="0.3">
      <c r="A105" s="340" t="s">
        <v>289</v>
      </c>
      <c r="B105" s="341">
        <v>8</v>
      </c>
      <c r="C105" s="309">
        <v>46142</v>
      </c>
      <c r="D105" s="310" t="s">
        <v>297</v>
      </c>
      <c r="E105" s="342">
        <v>100</v>
      </c>
      <c r="F105" s="342"/>
      <c r="G105" s="344">
        <f t="shared" si="3"/>
        <v>3296.4599999999855</v>
      </c>
      <c r="H105" s="345" t="s">
        <v>298</v>
      </c>
      <c r="I105" s="346"/>
      <c r="J105" s="347"/>
      <c r="K105" s="312"/>
      <c r="L105" s="347"/>
      <c r="M105" s="312"/>
      <c r="N105" s="347"/>
      <c r="O105" s="312"/>
      <c r="P105" s="347"/>
      <c r="Q105" s="312"/>
      <c r="R105" s="347"/>
      <c r="S105" s="312"/>
      <c r="T105" s="347"/>
    </row>
    <row r="106" spans="1:20" ht="12" customHeight="1" x14ac:dyDescent="0.3">
      <c r="A106" s="340" t="s">
        <v>291</v>
      </c>
      <c r="B106" s="341">
        <v>41</v>
      </c>
      <c r="C106" s="309">
        <v>46142</v>
      </c>
      <c r="D106" s="310" t="s">
        <v>299</v>
      </c>
      <c r="E106" s="342"/>
      <c r="F106" s="342">
        <v>250</v>
      </c>
      <c r="G106" s="344">
        <f t="shared" si="3"/>
        <v>3396.4599999999855</v>
      </c>
      <c r="H106" s="345"/>
      <c r="I106" s="346"/>
      <c r="J106" s="347"/>
      <c r="K106" s="312"/>
      <c r="L106" s="347"/>
      <c r="M106" s="312"/>
      <c r="N106" s="347"/>
      <c r="O106" s="312"/>
      <c r="P106" s="347"/>
      <c r="Q106" s="312"/>
      <c r="R106" s="347"/>
      <c r="S106" s="312"/>
      <c r="T106" s="347"/>
    </row>
    <row r="107" spans="1:20" ht="12" customHeight="1" x14ac:dyDescent="0.3">
      <c r="A107" s="340" t="s">
        <v>289</v>
      </c>
      <c r="B107" s="341">
        <v>6</v>
      </c>
      <c r="C107" s="309">
        <v>46142</v>
      </c>
      <c r="D107" s="310" t="s">
        <v>300</v>
      </c>
      <c r="E107" s="342">
        <v>42.44</v>
      </c>
      <c r="F107" s="342"/>
      <c r="G107" s="344">
        <f t="shared" si="3"/>
        <v>3146.4599999999855</v>
      </c>
      <c r="H107" s="345"/>
      <c r="I107" s="346"/>
      <c r="J107" s="347"/>
      <c r="K107" s="312"/>
      <c r="L107" s="347"/>
      <c r="M107" s="312"/>
      <c r="N107" s="347"/>
      <c r="O107" s="312"/>
      <c r="P107" s="347"/>
      <c r="Q107" s="312"/>
      <c r="R107" s="347"/>
      <c r="S107" s="312"/>
      <c r="T107" s="347"/>
    </row>
    <row r="108" spans="1:20" ht="12" customHeight="1" x14ac:dyDescent="0.3">
      <c r="A108" s="340" t="s">
        <v>289</v>
      </c>
      <c r="B108" s="341">
        <v>6</v>
      </c>
      <c r="C108" s="309">
        <v>46142</v>
      </c>
      <c r="D108" s="310" t="s">
        <v>300</v>
      </c>
      <c r="E108" s="342">
        <v>24.05</v>
      </c>
      <c r="F108" s="342"/>
      <c r="G108" s="344">
        <f t="shared" si="3"/>
        <v>3188.8999999999855</v>
      </c>
      <c r="H108" s="345"/>
      <c r="I108" s="346"/>
      <c r="J108" s="347"/>
      <c r="K108" s="312"/>
      <c r="L108" s="347"/>
      <c r="M108" s="312"/>
      <c r="N108" s="347"/>
      <c r="O108" s="312"/>
      <c r="P108" s="347"/>
      <c r="Q108" s="312"/>
      <c r="R108" s="347"/>
      <c r="S108" s="312"/>
      <c r="T108" s="347"/>
    </row>
    <row r="109" spans="1:20" ht="12" customHeight="1" x14ac:dyDescent="0.3">
      <c r="A109" s="340" t="s">
        <v>289</v>
      </c>
      <c r="B109" s="341">
        <v>2</v>
      </c>
      <c r="C109" s="309">
        <v>46141</v>
      </c>
      <c r="D109" s="310" t="s">
        <v>301</v>
      </c>
      <c r="E109" s="342">
        <v>31.8</v>
      </c>
      <c r="F109" s="342"/>
      <c r="G109" s="344">
        <f t="shared" si="3"/>
        <v>3212.9499999999857</v>
      </c>
      <c r="H109" s="345"/>
      <c r="I109" s="346"/>
      <c r="J109" s="347"/>
      <c r="K109" s="312"/>
      <c r="L109" s="347"/>
      <c r="M109" s="312"/>
      <c r="N109" s="347"/>
      <c r="O109" s="312"/>
      <c r="P109" s="347"/>
      <c r="Q109" s="312"/>
      <c r="R109" s="347"/>
      <c r="S109" s="312"/>
      <c r="T109" s="347"/>
    </row>
    <row r="110" spans="1:20" ht="12" customHeight="1" x14ac:dyDescent="0.3">
      <c r="A110" s="340" t="s">
        <v>289</v>
      </c>
      <c r="B110" s="341">
        <v>6</v>
      </c>
      <c r="C110" s="309">
        <v>46141</v>
      </c>
      <c r="D110" s="310" t="s">
        <v>302</v>
      </c>
      <c r="E110" s="342">
        <v>100</v>
      </c>
      <c r="F110" s="342"/>
      <c r="G110" s="344">
        <f t="shared" si="3"/>
        <v>3244.7499999999859</v>
      </c>
      <c r="H110" s="345"/>
      <c r="I110" s="346"/>
      <c r="J110" s="347"/>
      <c r="K110" s="312"/>
      <c r="L110" s="347"/>
      <c r="M110" s="312"/>
      <c r="N110" s="347"/>
      <c r="O110" s="312"/>
      <c r="P110" s="347"/>
      <c r="Q110" s="312"/>
      <c r="R110" s="347"/>
      <c r="S110" s="312"/>
      <c r="T110" s="347"/>
    </row>
    <row r="111" spans="1:20" ht="12" customHeight="1" x14ac:dyDescent="0.3">
      <c r="A111" s="340" t="s">
        <v>289</v>
      </c>
      <c r="B111" s="341">
        <v>6</v>
      </c>
      <c r="C111" s="309">
        <v>46141</v>
      </c>
      <c r="D111" s="310" t="s">
        <v>303</v>
      </c>
      <c r="E111" s="342">
        <v>75</v>
      </c>
      <c r="F111" s="342"/>
      <c r="G111" s="344">
        <f t="shared" si="3"/>
        <v>3344.7499999999859</v>
      </c>
      <c r="H111" s="345"/>
      <c r="I111" s="346"/>
      <c r="J111" s="347"/>
      <c r="K111" s="312"/>
      <c r="L111" s="347"/>
      <c r="M111" s="312"/>
      <c r="N111" s="347"/>
      <c r="O111" s="312"/>
      <c r="P111" s="347"/>
      <c r="Q111" s="312"/>
      <c r="R111" s="347"/>
      <c r="S111" s="312"/>
      <c r="T111" s="347"/>
    </row>
    <row r="112" spans="1:20" ht="12" customHeight="1" x14ac:dyDescent="0.3">
      <c r="A112" s="340" t="s">
        <v>289</v>
      </c>
      <c r="B112" s="341">
        <v>1</v>
      </c>
      <c r="C112" s="309">
        <v>46141</v>
      </c>
      <c r="D112" s="310" t="s">
        <v>304</v>
      </c>
      <c r="E112" s="342">
        <v>52.5</v>
      </c>
      <c r="F112" s="342"/>
      <c r="G112" s="344">
        <f t="shared" si="3"/>
        <v>3419.7499999999859</v>
      </c>
      <c r="H112" s="345"/>
      <c r="I112" s="346"/>
      <c r="J112" s="347"/>
      <c r="K112" s="312"/>
      <c r="L112" s="347"/>
      <c r="M112" s="312"/>
      <c r="N112" s="347"/>
      <c r="O112" s="312"/>
      <c r="P112" s="347"/>
      <c r="Q112" s="312"/>
      <c r="R112" s="347"/>
      <c r="S112" s="312"/>
      <c r="T112" s="347"/>
    </row>
    <row r="113" spans="1:20" ht="12" customHeight="1" x14ac:dyDescent="0.3">
      <c r="A113" s="340" t="s">
        <v>289</v>
      </c>
      <c r="B113" s="341">
        <v>6</v>
      </c>
      <c r="C113" s="309">
        <v>46141</v>
      </c>
      <c r="D113" s="310" t="s">
        <v>305</v>
      </c>
      <c r="E113" s="342">
        <v>-256</v>
      </c>
      <c r="F113" s="342"/>
      <c r="G113" s="344">
        <f t="shared" si="3"/>
        <v>3472.2499999999859</v>
      </c>
      <c r="H113" s="345"/>
      <c r="I113" s="346"/>
      <c r="J113" s="347"/>
      <c r="K113" s="312"/>
      <c r="L113" s="347"/>
      <c r="M113" s="312"/>
      <c r="N113" s="347"/>
      <c r="O113" s="312"/>
      <c r="P113" s="347"/>
      <c r="Q113" s="312"/>
      <c r="R113" s="347"/>
      <c r="S113" s="312"/>
      <c r="T113" s="347"/>
    </row>
    <row r="114" spans="1:20" ht="12" customHeight="1" x14ac:dyDescent="0.3">
      <c r="A114" s="340" t="s">
        <v>289</v>
      </c>
      <c r="B114" s="341">
        <v>6</v>
      </c>
      <c r="C114" s="309">
        <v>46140</v>
      </c>
      <c r="D114" s="310" t="s">
        <v>306</v>
      </c>
      <c r="E114" s="342">
        <v>20.38</v>
      </c>
      <c r="F114" s="342"/>
      <c r="G114" s="344">
        <f t="shared" si="3"/>
        <v>3216.2499999999859</v>
      </c>
      <c r="H114" s="345"/>
      <c r="I114" s="346"/>
      <c r="J114" s="347"/>
      <c r="K114" s="312"/>
      <c r="L114" s="347"/>
      <c r="M114" s="312"/>
      <c r="N114" s="347"/>
      <c r="O114" s="312"/>
      <c r="P114" s="347"/>
      <c r="Q114" s="312"/>
      <c r="R114" s="347"/>
      <c r="S114" s="312"/>
      <c r="T114" s="347"/>
    </row>
    <row r="115" spans="1:20" ht="12" customHeight="1" x14ac:dyDescent="0.3">
      <c r="A115" s="340" t="s">
        <v>289</v>
      </c>
      <c r="B115" s="341">
        <v>2</v>
      </c>
      <c r="C115" s="309">
        <v>46140</v>
      </c>
      <c r="D115" s="310" t="s">
        <v>296</v>
      </c>
      <c r="E115" s="342">
        <v>15.41</v>
      </c>
      <c r="F115" s="342"/>
      <c r="G115" s="344">
        <f t="shared" si="3"/>
        <v>3236.629999999986</v>
      </c>
      <c r="H115" s="345"/>
      <c r="I115" s="346"/>
      <c r="J115" s="347"/>
      <c r="K115" s="312"/>
      <c r="L115" s="347"/>
      <c r="M115" s="312"/>
      <c r="N115" s="347"/>
      <c r="O115" s="312"/>
      <c r="P115" s="347"/>
      <c r="Q115" s="312"/>
      <c r="R115" s="347"/>
      <c r="S115" s="312"/>
      <c r="T115" s="347"/>
    </row>
    <row r="116" spans="1:20" ht="12" customHeight="1" x14ac:dyDescent="0.3">
      <c r="A116" s="340" t="s">
        <v>289</v>
      </c>
      <c r="B116" s="341">
        <v>4</v>
      </c>
      <c r="C116" s="309">
        <v>46140</v>
      </c>
      <c r="D116" s="310" t="s">
        <v>296</v>
      </c>
      <c r="E116" s="342">
        <v>33.840000000000003</v>
      </c>
      <c r="F116" s="342"/>
      <c r="G116" s="344">
        <f t="shared" si="3"/>
        <v>3252.0399999999859</v>
      </c>
      <c r="H116" s="345"/>
      <c r="I116" s="346"/>
      <c r="J116" s="347"/>
      <c r="K116" s="312"/>
      <c r="L116" s="347"/>
      <c r="M116" s="312"/>
      <c r="N116" s="347"/>
      <c r="O116" s="312"/>
      <c r="P116" s="347"/>
      <c r="Q116" s="312"/>
      <c r="R116" s="347"/>
      <c r="S116" s="312"/>
      <c r="T116" s="347"/>
    </row>
    <row r="117" spans="1:20" ht="12" customHeight="1" x14ac:dyDescent="0.3">
      <c r="A117" s="340" t="s">
        <v>289</v>
      </c>
      <c r="B117" s="341">
        <v>1</v>
      </c>
      <c r="C117" s="309">
        <v>46140</v>
      </c>
      <c r="D117" s="310" t="s">
        <v>307</v>
      </c>
      <c r="E117" s="342">
        <v>5.3</v>
      </c>
      <c r="F117" s="342"/>
      <c r="G117" s="344">
        <f t="shared" si="3"/>
        <v>3285.879999999986</v>
      </c>
      <c r="H117" s="345"/>
      <c r="I117" s="346"/>
      <c r="J117" s="347"/>
      <c r="K117" s="312"/>
      <c r="L117" s="347"/>
      <c r="M117" s="312"/>
      <c r="N117" s="347"/>
      <c r="O117" s="312"/>
      <c r="P117" s="347"/>
      <c r="Q117" s="312"/>
      <c r="R117" s="347"/>
      <c r="S117" s="312"/>
      <c r="T117" s="347"/>
    </row>
    <row r="118" spans="1:20" ht="12" customHeight="1" x14ac:dyDescent="0.3">
      <c r="A118" s="340" t="s">
        <v>289</v>
      </c>
      <c r="B118" s="341">
        <v>5</v>
      </c>
      <c r="C118" s="309">
        <v>46140</v>
      </c>
      <c r="D118" s="310" t="s">
        <v>308</v>
      </c>
      <c r="E118" s="342">
        <v>500</v>
      </c>
      <c r="F118" s="342"/>
      <c r="G118" s="344">
        <f t="shared" si="3"/>
        <v>3291.1799999999862</v>
      </c>
      <c r="H118" s="345"/>
      <c r="I118" s="346"/>
      <c r="J118" s="347"/>
      <c r="K118" s="312"/>
      <c r="L118" s="347"/>
      <c r="M118" s="312"/>
      <c r="N118" s="347"/>
      <c r="O118" s="312"/>
      <c r="P118" s="347"/>
      <c r="Q118" s="312"/>
      <c r="R118" s="347"/>
      <c r="S118" s="312"/>
      <c r="T118" s="347"/>
    </row>
    <row r="119" spans="1:20" ht="12" customHeight="1" x14ac:dyDescent="0.3">
      <c r="A119" s="340" t="s">
        <v>289</v>
      </c>
      <c r="B119" s="341">
        <v>8</v>
      </c>
      <c r="C119" s="309">
        <v>46140</v>
      </c>
      <c r="D119" s="310" t="s">
        <v>309</v>
      </c>
      <c r="E119" s="342">
        <v>47.99</v>
      </c>
      <c r="F119" s="342"/>
      <c r="G119" s="344">
        <f t="shared" si="3"/>
        <v>3791.1799999999862</v>
      </c>
      <c r="H119" s="345"/>
      <c r="I119" s="346"/>
      <c r="J119" s="347"/>
      <c r="K119" s="312"/>
      <c r="L119" s="347"/>
      <c r="M119" s="312"/>
      <c r="N119" s="347"/>
      <c r="O119" s="312"/>
      <c r="P119" s="347"/>
      <c r="Q119" s="312"/>
      <c r="R119" s="347"/>
      <c r="S119" s="312"/>
      <c r="T119" s="347"/>
    </row>
    <row r="120" spans="1:20" ht="12" customHeight="1" x14ac:dyDescent="0.3">
      <c r="A120" s="340" t="s">
        <v>289</v>
      </c>
      <c r="B120" s="341">
        <v>3</v>
      </c>
      <c r="C120" s="309">
        <v>46139</v>
      </c>
      <c r="D120" s="310" t="s">
        <v>310</v>
      </c>
      <c r="E120" s="342">
        <v>13.11</v>
      </c>
      <c r="F120" s="342"/>
      <c r="G120" s="344">
        <f t="shared" si="3"/>
        <v>3839.169999999986</v>
      </c>
      <c r="H120" s="345"/>
      <c r="I120" s="346"/>
      <c r="J120" s="347"/>
      <c r="K120" s="312"/>
      <c r="L120" s="347"/>
      <c r="M120" s="312"/>
      <c r="N120" s="347"/>
      <c r="O120" s="312"/>
      <c r="P120" s="347"/>
      <c r="Q120" s="312"/>
      <c r="R120" s="347"/>
      <c r="S120" s="312"/>
      <c r="T120" s="347"/>
    </row>
    <row r="121" spans="1:20" ht="12" customHeight="1" x14ac:dyDescent="0.3">
      <c r="A121" s="340" t="s">
        <v>289</v>
      </c>
      <c r="B121" s="341">
        <v>4</v>
      </c>
      <c r="C121" s="309">
        <v>46139</v>
      </c>
      <c r="D121" s="310" t="s">
        <v>311</v>
      </c>
      <c r="E121" s="342">
        <v>30.54</v>
      </c>
      <c r="F121" s="342"/>
      <c r="G121" s="344">
        <f t="shared" si="3"/>
        <v>3852.2799999999861</v>
      </c>
      <c r="H121" s="345"/>
      <c r="I121" s="346"/>
      <c r="J121" s="347"/>
      <c r="K121" s="312"/>
      <c r="L121" s="347"/>
      <c r="M121" s="312"/>
      <c r="N121" s="347"/>
      <c r="O121" s="312"/>
      <c r="P121" s="347"/>
      <c r="Q121" s="312"/>
      <c r="R121" s="347"/>
      <c r="S121" s="312"/>
      <c r="T121" s="347"/>
    </row>
    <row r="122" spans="1:20" ht="12" customHeight="1" x14ac:dyDescent="0.3">
      <c r="A122" s="340" t="s">
        <v>289</v>
      </c>
      <c r="B122" s="341">
        <v>1</v>
      </c>
      <c r="C122" s="309">
        <v>46139</v>
      </c>
      <c r="D122" s="310" t="s">
        <v>312</v>
      </c>
      <c r="E122" s="342">
        <v>163.01</v>
      </c>
      <c r="F122" s="342"/>
      <c r="G122" s="344">
        <f t="shared" si="3"/>
        <v>3882.8199999999861</v>
      </c>
      <c r="H122" s="345"/>
      <c r="I122" s="346"/>
      <c r="J122" s="347"/>
      <c r="K122" s="312"/>
      <c r="L122" s="347"/>
      <c r="M122" s="312"/>
      <c r="N122" s="347"/>
      <c r="O122" s="312"/>
      <c r="P122" s="347"/>
      <c r="Q122" s="312"/>
      <c r="R122" s="347"/>
      <c r="S122" s="312"/>
      <c r="T122" s="347"/>
    </row>
    <row r="123" spans="1:20" ht="12" customHeight="1" x14ac:dyDescent="0.3">
      <c r="A123" s="340" t="s">
        <v>289</v>
      </c>
      <c r="B123" s="341">
        <v>6</v>
      </c>
      <c r="C123" s="309">
        <v>46139</v>
      </c>
      <c r="D123" s="310" t="s">
        <v>313</v>
      </c>
      <c r="E123" s="342">
        <v>54.97</v>
      </c>
      <c r="F123" s="342"/>
      <c r="G123" s="344">
        <f t="shared" si="3"/>
        <v>4045.8299999999858</v>
      </c>
      <c r="H123" s="345"/>
      <c r="I123" s="346"/>
      <c r="J123" s="347"/>
      <c r="K123" s="312"/>
      <c r="L123" s="347"/>
      <c r="M123" s="312"/>
      <c r="N123" s="347"/>
      <c r="O123" s="312"/>
      <c r="P123" s="347"/>
      <c r="Q123" s="312"/>
      <c r="R123" s="347"/>
      <c r="S123" s="312"/>
      <c r="T123" s="347"/>
    </row>
    <row r="124" spans="1:20" ht="12" customHeight="1" x14ac:dyDescent="0.3">
      <c r="A124" s="340" t="s">
        <v>289</v>
      </c>
      <c r="B124" s="341">
        <v>1</v>
      </c>
      <c r="C124" s="309">
        <v>46139</v>
      </c>
      <c r="D124" s="310" t="s">
        <v>307</v>
      </c>
      <c r="E124" s="342">
        <v>51.28</v>
      </c>
      <c r="F124" s="342"/>
      <c r="G124" s="344">
        <f t="shared" si="3"/>
        <v>4100.7999999999856</v>
      </c>
      <c r="H124" s="345"/>
      <c r="I124" s="346"/>
      <c r="J124" s="347"/>
      <c r="K124" s="312"/>
      <c r="L124" s="347"/>
      <c r="M124" s="312"/>
      <c r="N124" s="347"/>
      <c r="O124" s="312"/>
      <c r="P124" s="347"/>
      <c r="Q124" s="312"/>
      <c r="R124" s="347"/>
      <c r="S124" s="312"/>
      <c r="T124" s="347"/>
    </row>
    <row r="125" spans="1:20" ht="12" customHeight="1" x14ac:dyDescent="0.3">
      <c r="A125" s="340" t="s">
        <v>289</v>
      </c>
      <c r="B125" s="341">
        <v>6</v>
      </c>
      <c r="C125" s="309">
        <v>46138</v>
      </c>
      <c r="D125" s="310" t="s">
        <v>313</v>
      </c>
      <c r="E125" s="342">
        <v>38.979999999999997</v>
      </c>
      <c r="F125" s="342"/>
      <c r="G125" s="344">
        <f t="shared" si="3"/>
        <v>4152.0799999999854</v>
      </c>
      <c r="H125" s="345"/>
      <c r="I125" s="346"/>
      <c r="J125" s="347"/>
      <c r="K125" s="312"/>
      <c r="L125" s="347"/>
      <c r="M125" s="312"/>
      <c r="N125" s="347"/>
      <c r="O125" s="312"/>
      <c r="P125" s="347"/>
      <c r="Q125" s="312"/>
      <c r="R125" s="347"/>
      <c r="S125" s="312"/>
      <c r="T125" s="347"/>
    </row>
    <row r="126" spans="1:20" ht="12" customHeight="1" x14ac:dyDescent="0.3">
      <c r="A126" s="340" t="s">
        <v>289</v>
      </c>
      <c r="B126" s="341">
        <v>2</v>
      </c>
      <c r="C126" s="309">
        <v>46138</v>
      </c>
      <c r="D126" s="310" t="s">
        <v>314</v>
      </c>
      <c r="E126" s="342">
        <v>39.83</v>
      </c>
      <c r="F126" s="342"/>
      <c r="G126" s="344">
        <f t="shared" si="3"/>
        <v>4191.0599999999849</v>
      </c>
      <c r="H126" s="345"/>
      <c r="I126" s="346"/>
      <c r="J126" s="347"/>
      <c r="K126" s="312"/>
      <c r="L126" s="347"/>
      <c r="M126" s="312"/>
      <c r="N126" s="347"/>
      <c r="O126" s="312"/>
      <c r="P126" s="347"/>
      <c r="Q126" s="312"/>
      <c r="R126" s="347"/>
      <c r="S126" s="312"/>
      <c r="T126" s="347"/>
    </row>
    <row r="127" spans="1:20" ht="12" customHeight="1" x14ac:dyDescent="0.3">
      <c r="A127" s="340" t="s">
        <v>289</v>
      </c>
      <c r="B127" s="341">
        <v>8</v>
      </c>
      <c r="C127" s="309">
        <v>46138</v>
      </c>
      <c r="D127" s="310" t="s">
        <v>314</v>
      </c>
      <c r="E127" s="342">
        <v>51.24</v>
      </c>
      <c r="F127" s="342"/>
      <c r="G127" s="344">
        <f t="shared" si="3"/>
        <v>4230.8899999999849</v>
      </c>
      <c r="H127" s="345"/>
      <c r="I127" s="346"/>
      <c r="J127" s="347"/>
      <c r="K127" s="312"/>
      <c r="L127" s="347"/>
      <c r="M127" s="312"/>
      <c r="N127" s="347"/>
      <c r="O127" s="312"/>
      <c r="P127" s="347"/>
      <c r="Q127" s="312"/>
      <c r="R127" s="347"/>
      <c r="S127" s="312"/>
      <c r="T127" s="347"/>
    </row>
    <row r="128" spans="1:20" ht="12" customHeight="1" x14ac:dyDescent="0.3">
      <c r="A128" s="340" t="s">
        <v>294</v>
      </c>
      <c r="B128" s="341">
        <v>12</v>
      </c>
      <c r="C128" s="309">
        <v>46137</v>
      </c>
      <c r="D128" s="310" t="s">
        <v>315</v>
      </c>
      <c r="E128" s="342">
        <v>214.74</v>
      </c>
      <c r="F128" s="342"/>
      <c r="G128" s="344">
        <f t="shared" si="3"/>
        <v>4282.1299999999846</v>
      </c>
      <c r="H128" s="345"/>
      <c r="I128" s="346"/>
      <c r="J128" s="347"/>
      <c r="K128" s="312"/>
      <c r="L128" s="347"/>
      <c r="M128" s="312"/>
      <c r="N128" s="347"/>
      <c r="O128" s="312"/>
      <c r="P128" s="347"/>
      <c r="Q128" s="312"/>
      <c r="R128" s="347"/>
      <c r="S128" s="312"/>
      <c r="T128" s="347"/>
    </row>
    <row r="129" spans="1:20" ht="12" customHeight="1" x14ac:dyDescent="0.3">
      <c r="A129" s="340" t="s">
        <v>287</v>
      </c>
      <c r="B129" s="341" t="s">
        <v>287</v>
      </c>
      <c r="C129" s="309">
        <v>46136</v>
      </c>
      <c r="D129" s="310" t="s">
        <v>316</v>
      </c>
      <c r="E129" s="342">
        <v>127.68</v>
      </c>
      <c r="F129" s="342">
        <v>127.68</v>
      </c>
      <c r="G129" s="344">
        <f t="shared" si="3"/>
        <v>4496.8699999999844</v>
      </c>
      <c r="H129" s="345"/>
      <c r="I129" s="346"/>
      <c r="J129" s="347"/>
      <c r="K129" s="312"/>
      <c r="L129" s="347"/>
      <c r="M129" s="312"/>
      <c r="N129" s="347"/>
      <c r="O129" s="312"/>
      <c r="P129" s="347"/>
      <c r="Q129" s="312"/>
      <c r="R129" s="347"/>
      <c r="S129" s="312"/>
      <c r="T129" s="347"/>
    </row>
    <row r="130" spans="1:20" ht="12" customHeight="1" x14ac:dyDescent="0.3">
      <c r="A130" s="340" t="s">
        <v>289</v>
      </c>
      <c r="B130" s="341">
        <v>8</v>
      </c>
      <c r="C130" s="309">
        <v>46135</v>
      </c>
      <c r="D130" s="310" t="s">
        <v>317</v>
      </c>
      <c r="E130" s="342">
        <v>65</v>
      </c>
      <c r="F130" s="342"/>
      <c r="G130" s="344">
        <f t="shared" si="3"/>
        <v>4496.8699999999844</v>
      </c>
      <c r="H130" s="345"/>
      <c r="I130" s="346"/>
      <c r="J130" s="347"/>
      <c r="K130" s="312"/>
      <c r="L130" s="347"/>
      <c r="M130" s="312"/>
      <c r="N130" s="347"/>
      <c r="O130" s="312"/>
      <c r="P130" s="347"/>
      <c r="Q130" s="312"/>
      <c r="R130" s="347"/>
      <c r="S130" s="312"/>
      <c r="T130" s="347"/>
    </row>
    <row r="131" spans="1:20" ht="12" customHeight="1" x14ac:dyDescent="0.3">
      <c r="A131" s="340" t="s">
        <v>291</v>
      </c>
      <c r="B131" s="341">
        <v>40</v>
      </c>
      <c r="C131" s="309">
        <v>46134</v>
      </c>
      <c r="D131" s="310" t="s">
        <v>318</v>
      </c>
      <c r="E131" s="342"/>
      <c r="F131" s="342">
        <v>838.69</v>
      </c>
      <c r="G131" s="344">
        <f t="shared" si="3"/>
        <v>4561.8699999999844</v>
      </c>
      <c r="H131" s="345"/>
      <c r="I131" s="346"/>
      <c r="J131" s="347"/>
      <c r="K131" s="312"/>
      <c r="L131" s="347"/>
      <c r="M131" s="312"/>
      <c r="N131" s="347"/>
      <c r="O131" s="312"/>
      <c r="P131" s="347"/>
      <c r="Q131" s="312"/>
      <c r="R131" s="347"/>
      <c r="S131" s="312"/>
      <c r="T131" s="347"/>
    </row>
    <row r="132" spans="1:20" ht="12" customHeight="1" x14ac:dyDescent="0.3">
      <c r="A132" s="340" t="s">
        <v>289</v>
      </c>
      <c r="B132" s="341">
        <v>2</v>
      </c>
      <c r="C132" s="309">
        <v>46134</v>
      </c>
      <c r="D132" s="310" t="s">
        <v>319</v>
      </c>
      <c r="E132" s="342">
        <v>17.03</v>
      </c>
      <c r="F132" s="342"/>
      <c r="G132" s="344">
        <f t="shared" si="3"/>
        <v>3723.1799999999848</v>
      </c>
      <c r="H132" s="345"/>
      <c r="I132" s="346"/>
      <c r="J132" s="347"/>
      <c r="K132" s="312"/>
      <c r="L132" s="347"/>
      <c r="M132" s="312"/>
      <c r="N132" s="347"/>
      <c r="O132" s="312"/>
      <c r="P132" s="347"/>
      <c r="Q132" s="312"/>
      <c r="R132" s="347"/>
      <c r="S132" s="312"/>
      <c r="T132" s="347"/>
    </row>
    <row r="133" spans="1:20" ht="12" customHeight="1" x14ac:dyDescent="0.3">
      <c r="A133" s="340" t="s">
        <v>289</v>
      </c>
      <c r="B133" s="341">
        <v>6</v>
      </c>
      <c r="C133" s="309">
        <v>46134</v>
      </c>
      <c r="D133" s="310" t="s">
        <v>313</v>
      </c>
      <c r="E133" s="342">
        <v>51.94</v>
      </c>
      <c r="F133" s="342"/>
      <c r="G133" s="344">
        <f t="shared" si="3"/>
        <v>3740.209999999985</v>
      </c>
      <c r="H133" s="345"/>
      <c r="I133" s="346"/>
      <c r="J133" s="347"/>
      <c r="K133" s="312"/>
      <c r="L133" s="347"/>
      <c r="M133" s="312"/>
      <c r="N133" s="347"/>
      <c r="O133" s="312"/>
      <c r="P133" s="347"/>
      <c r="Q133" s="312"/>
      <c r="R133" s="347"/>
      <c r="S133" s="312"/>
      <c r="T133" s="347"/>
    </row>
    <row r="134" spans="1:20" ht="12" customHeight="1" x14ac:dyDescent="0.3">
      <c r="A134" s="340" t="s">
        <v>289</v>
      </c>
      <c r="B134" s="341">
        <v>1</v>
      </c>
      <c r="C134" s="309">
        <v>46134</v>
      </c>
      <c r="D134" s="310" t="s">
        <v>307</v>
      </c>
      <c r="E134" s="342">
        <v>226.7</v>
      </c>
      <c r="F134" s="342"/>
      <c r="G134" s="344">
        <f t="shared" si="3"/>
        <v>3792.1499999999851</v>
      </c>
      <c r="H134" s="345"/>
      <c r="I134" s="346"/>
      <c r="J134" s="347"/>
      <c r="K134" s="312"/>
      <c r="L134" s="347"/>
      <c r="M134" s="312"/>
      <c r="N134" s="347"/>
      <c r="O134" s="312"/>
      <c r="P134" s="347"/>
      <c r="Q134" s="312"/>
      <c r="R134" s="347"/>
      <c r="S134" s="312"/>
      <c r="T134" s="347"/>
    </row>
    <row r="135" spans="1:20" ht="12" customHeight="1" x14ac:dyDescent="0.3">
      <c r="A135" s="340" t="s">
        <v>289</v>
      </c>
      <c r="B135" s="341">
        <v>2</v>
      </c>
      <c r="C135" s="309">
        <v>46133</v>
      </c>
      <c r="D135" s="310" t="s">
        <v>320</v>
      </c>
      <c r="E135" s="342">
        <v>70</v>
      </c>
      <c r="F135" s="342"/>
      <c r="G135" s="344">
        <f t="shared" si="3"/>
        <v>4018.8499999999849</v>
      </c>
      <c r="H135" s="345"/>
      <c r="I135" s="346"/>
      <c r="J135" s="347"/>
      <c r="K135" s="312"/>
      <c r="L135" s="347"/>
      <c r="M135" s="312"/>
      <c r="N135" s="347"/>
      <c r="O135" s="312"/>
      <c r="P135" s="347"/>
      <c r="Q135" s="312"/>
      <c r="R135" s="347"/>
      <c r="S135" s="312"/>
      <c r="T135" s="347"/>
    </row>
    <row r="136" spans="1:20" ht="12" customHeight="1" x14ac:dyDescent="0.3">
      <c r="A136" s="340" t="s">
        <v>289</v>
      </c>
      <c r="B136" s="341">
        <v>8</v>
      </c>
      <c r="C136" s="309">
        <v>46133</v>
      </c>
      <c r="D136" s="310" t="s">
        <v>321</v>
      </c>
      <c r="E136" s="342">
        <v>14.26</v>
      </c>
      <c r="F136" s="342"/>
      <c r="G136" s="344">
        <f t="shared" si="3"/>
        <v>4088.8499999999849</v>
      </c>
      <c r="H136" s="345"/>
      <c r="I136" s="346"/>
      <c r="J136" s="347"/>
      <c r="K136" s="312"/>
      <c r="L136" s="347"/>
      <c r="M136" s="312"/>
      <c r="N136" s="347"/>
      <c r="O136" s="312"/>
      <c r="P136" s="347"/>
      <c r="Q136" s="312"/>
      <c r="R136" s="347"/>
      <c r="S136" s="312"/>
      <c r="T136" s="347"/>
    </row>
    <row r="137" spans="1:20" ht="12" customHeight="1" x14ac:dyDescent="0.3">
      <c r="A137" s="340" t="s">
        <v>289</v>
      </c>
      <c r="B137" s="341">
        <v>1</v>
      </c>
      <c r="C137" s="309">
        <v>46133</v>
      </c>
      <c r="D137" s="310" t="s">
        <v>322</v>
      </c>
      <c r="E137" s="342">
        <v>8.51</v>
      </c>
      <c r="F137" s="342"/>
      <c r="G137" s="344">
        <f t="shared" si="3"/>
        <v>4103.1099999999851</v>
      </c>
      <c r="H137" s="345"/>
      <c r="I137" s="346"/>
      <c r="J137" s="347"/>
      <c r="K137" s="312"/>
      <c r="L137" s="347"/>
      <c r="M137" s="312"/>
      <c r="N137" s="347"/>
      <c r="O137" s="312"/>
      <c r="P137" s="347"/>
      <c r="Q137" s="312"/>
      <c r="R137" s="347"/>
      <c r="S137" s="312"/>
      <c r="T137" s="347"/>
    </row>
    <row r="138" spans="1:20" ht="12" customHeight="1" x14ac:dyDescent="0.3">
      <c r="A138" s="340" t="s">
        <v>289</v>
      </c>
      <c r="B138" s="341">
        <v>5</v>
      </c>
      <c r="C138" s="309">
        <v>46133</v>
      </c>
      <c r="D138" s="310" t="s">
        <v>323</v>
      </c>
      <c r="E138" s="342">
        <v>20</v>
      </c>
      <c r="F138" s="342"/>
      <c r="G138" s="344">
        <f t="shared" si="3"/>
        <v>4111.6199999999853</v>
      </c>
      <c r="H138" s="345"/>
      <c r="I138" s="346"/>
      <c r="J138" s="347"/>
      <c r="K138" s="312"/>
      <c r="L138" s="347"/>
      <c r="M138" s="312"/>
      <c r="N138" s="347"/>
      <c r="O138" s="312"/>
      <c r="P138" s="347"/>
      <c r="Q138" s="312"/>
      <c r="R138" s="347"/>
      <c r="S138" s="312"/>
      <c r="T138" s="347"/>
    </row>
    <row r="139" spans="1:20" ht="12" customHeight="1" x14ac:dyDescent="0.3">
      <c r="A139" s="340" t="s">
        <v>294</v>
      </c>
      <c r="B139" s="341">
        <v>23</v>
      </c>
      <c r="C139" s="309">
        <v>46133</v>
      </c>
      <c r="D139" s="310" t="s">
        <v>67</v>
      </c>
      <c r="E139" s="342">
        <v>650.88</v>
      </c>
      <c r="F139" s="342"/>
      <c r="G139" s="344">
        <f t="shared" si="3"/>
        <v>4131.6199999999853</v>
      </c>
      <c r="H139" s="345"/>
      <c r="I139" s="346"/>
      <c r="J139" s="347"/>
      <c r="K139" s="312"/>
      <c r="L139" s="347"/>
      <c r="M139" s="312"/>
      <c r="N139" s="347"/>
      <c r="O139" s="312"/>
      <c r="P139" s="347"/>
      <c r="Q139" s="312"/>
      <c r="R139" s="347"/>
      <c r="S139" s="312"/>
      <c r="T139" s="347"/>
    </row>
    <row r="140" spans="1:20" ht="12" customHeight="1" x14ac:dyDescent="0.3">
      <c r="A140" s="340" t="s">
        <v>289</v>
      </c>
      <c r="B140" s="341">
        <v>6</v>
      </c>
      <c r="C140" s="309">
        <v>46133</v>
      </c>
      <c r="D140" s="310" t="s">
        <v>324</v>
      </c>
      <c r="E140" s="342">
        <v>15</v>
      </c>
      <c r="F140" s="342"/>
      <c r="G140" s="344">
        <f t="shared" si="3"/>
        <v>4782.4999999999854</v>
      </c>
      <c r="H140" s="345"/>
      <c r="I140" s="346"/>
      <c r="J140" s="347"/>
      <c r="K140" s="312"/>
      <c r="L140" s="347"/>
      <c r="M140" s="312"/>
      <c r="N140" s="347"/>
      <c r="O140" s="312"/>
      <c r="P140" s="347"/>
      <c r="Q140" s="312"/>
      <c r="R140" s="347"/>
      <c r="S140" s="312"/>
      <c r="T140" s="347"/>
    </row>
    <row r="141" spans="1:20" ht="12" customHeight="1" x14ac:dyDescent="0.3">
      <c r="A141" s="340" t="s">
        <v>289</v>
      </c>
      <c r="B141" s="341">
        <v>5</v>
      </c>
      <c r="C141" s="309">
        <v>46133</v>
      </c>
      <c r="D141" s="310" t="s">
        <v>324</v>
      </c>
      <c r="E141" s="342">
        <v>250</v>
      </c>
      <c r="F141" s="342"/>
      <c r="G141" s="344">
        <f t="shared" si="3"/>
        <v>4797.4999999999854</v>
      </c>
      <c r="H141" s="345"/>
      <c r="I141" s="346"/>
      <c r="J141" s="347"/>
      <c r="K141" s="312"/>
      <c r="L141" s="347"/>
      <c r="M141" s="312"/>
      <c r="N141" s="347"/>
      <c r="O141" s="312"/>
      <c r="P141" s="347"/>
      <c r="Q141" s="312"/>
      <c r="R141" s="347"/>
      <c r="S141" s="312"/>
      <c r="T141" s="347"/>
    </row>
    <row r="142" spans="1:20" ht="12" customHeight="1" x14ac:dyDescent="0.3">
      <c r="A142" s="340" t="s">
        <v>294</v>
      </c>
      <c r="B142" s="341">
        <v>22</v>
      </c>
      <c r="C142" s="309">
        <v>46132</v>
      </c>
      <c r="D142" s="310" t="s">
        <v>325</v>
      </c>
      <c r="E142" s="342">
        <v>20.22</v>
      </c>
      <c r="F142" s="342"/>
      <c r="G142" s="344">
        <f t="shared" si="3"/>
        <v>5047.4999999999854</v>
      </c>
      <c r="H142" s="345"/>
      <c r="I142" s="346"/>
      <c r="J142" s="347"/>
      <c r="K142" s="312"/>
      <c r="L142" s="347"/>
      <c r="M142" s="312"/>
      <c r="N142" s="347"/>
      <c r="O142" s="312"/>
      <c r="P142" s="347"/>
      <c r="Q142" s="312"/>
      <c r="R142" s="347"/>
      <c r="S142" s="312"/>
      <c r="T142" s="347"/>
    </row>
    <row r="143" spans="1:20" ht="12" customHeight="1" x14ac:dyDescent="0.3">
      <c r="A143" s="340" t="s">
        <v>289</v>
      </c>
      <c r="B143" s="341">
        <v>6</v>
      </c>
      <c r="C143" s="309">
        <v>46132</v>
      </c>
      <c r="D143" s="310" t="s">
        <v>326</v>
      </c>
      <c r="E143" s="342">
        <v>44</v>
      </c>
      <c r="F143" s="342"/>
      <c r="G143" s="344">
        <f t="shared" si="3"/>
        <v>5067.7199999999857</v>
      </c>
      <c r="H143" s="345"/>
      <c r="I143" s="346"/>
      <c r="J143" s="347"/>
      <c r="K143" s="312"/>
      <c r="L143" s="347"/>
      <c r="M143" s="312"/>
      <c r="N143" s="347"/>
      <c r="O143" s="312"/>
      <c r="P143" s="347"/>
      <c r="Q143" s="312"/>
      <c r="R143" s="347"/>
      <c r="S143" s="312"/>
      <c r="T143" s="347"/>
    </row>
    <row r="144" spans="1:20" ht="12" customHeight="1" x14ac:dyDescent="0.3">
      <c r="A144" s="340" t="s">
        <v>289</v>
      </c>
      <c r="B144" s="341">
        <v>2</v>
      </c>
      <c r="C144" s="309">
        <v>46132</v>
      </c>
      <c r="D144" s="310" t="s">
        <v>327</v>
      </c>
      <c r="E144" s="342">
        <v>12.01</v>
      </c>
      <c r="F144" s="342"/>
      <c r="G144" s="344">
        <f t="shared" si="3"/>
        <v>5111.7199999999857</v>
      </c>
      <c r="H144" s="345"/>
      <c r="I144" s="346"/>
      <c r="J144" s="347"/>
      <c r="K144" s="312"/>
      <c r="L144" s="347"/>
      <c r="M144" s="312"/>
      <c r="N144" s="347"/>
      <c r="O144" s="312"/>
      <c r="P144" s="347"/>
      <c r="Q144" s="312"/>
      <c r="R144" s="347"/>
      <c r="S144" s="312"/>
      <c r="T144" s="347"/>
    </row>
    <row r="145" spans="1:20" ht="12" customHeight="1" x14ac:dyDescent="0.3">
      <c r="A145" s="340" t="s">
        <v>289</v>
      </c>
      <c r="B145" s="341">
        <v>2</v>
      </c>
      <c r="C145" s="309">
        <v>46132</v>
      </c>
      <c r="D145" s="310" t="s">
        <v>296</v>
      </c>
      <c r="E145" s="342">
        <v>12.21</v>
      </c>
      <c r="F145" s="342"/>
      <c r="G145" s="344">
        <f t="shared" si="3"/>
        <v>5123.7299999999859</v>
      </c>
      <c r="H145" s="345"/>
      <c r="I145" s="346"/>
      <c r="J145" s="347"/>
      <c r="K145" s="312"/>
      <c r="L145" s="347"/>
      <c r="M145" s="312"/>
      <c r="N145" s="347"/>
      <c r="O145" s="312"/>
      <c r="P145" s="347"/>
      <c r="Q145" s="312"/>
      <c r="R145" s="347"/>
      <c r="S145" s="312"/>
      <c r="T145" s="347"/>
    </row>
    <row r="146" spans="1:20" ht="12" customHeight="1" x14ac:dyDescent="0.3">
      <c r="A146" s="340" t="s">
        <v>289</v>
      </c>
      <c r="B146" s="341">
        <v>2</v>
      </c>
      <c r="C146" s="309">
        <v>46132</v>
      </c>
      <c r="D146" s="310" t="s">
        <v>328</v>
      </c>
      <c r="E146" s="342">
        <v>46.4</v>
      </c>
      <c r="F146" s="342"/>
      <c r="G146" s="344">
        <f t="shared" si="3"/>
        <v>5135.939999999986</v>
      </c>
      <c r="H146" s="345"/>
      <c r="I146" s="346"/>
      <c r="J146" s="347"/>
      <c r="K146" s="312"/>
      <c r="L146" s="347"/>
      <c r="M146" s="312"/>
      <c r="N146" s="347"/>
      <c r="O146" s="312"/>
      <c r="P146" s="347"/>
      <c r="Q146" s="312"/>
      <c r="R146" s="347"/>
      <c r="S146" s="312"/>
      <c r="T146" s="347"/>
    </row>
    <row r="147" spans="1:20" ht="12" customHeight="1" x14ac:dyDescent="0.3">
      <c r="A147" s="340" t="s">
        <v>289</v>
      </c>
      <c r="B147" s="341">
        <v>2</v>
      </c>
      <c r="C147" s="309">
        <v>46131</v>
      </c>
      <c r="D147" s="310" t="s">
        <v>329</v>
      </c>
      <c r="E147" s="342">
        <v>31.7</v>
      </c>
      <c r="F147" s="342"/>
      <c r="G147" s="344">
        <f t="shared" si="3"/>
        <v>5182.3399999999856</v>
      </c>
      <c r="H147" s="345"/>
      <c r="I147" s="346"/>
      <c r="J147" s="347"/>
      <c r="K147" s="312"/>
      <c r="L147" s="347"/>
      <c r="M147" s="312"/>
      <c r="N147" s="347"/>
      <c r="O147" s="312"/>
      <c r="P147" s="347"/>
      <c r="Q147" s="312"/>
      <c r="R147" s="347"/>
      <c r="S147" s="312"/>
      <c r="T147" s="347"/>
    </row>
    <row r="148" spans="1:20" ht="12" customHeight="1" x14ac:dyDescent="0.3">
      <c r="A148" s="340" t="s">
        <v>289</v>
      </c>
      <c r="B148" s="341">
        <v>8</v>
      </c>
      <c r="C148" s="309">
        <v>46131</v>
      </c>
      <c r="D148" s="310" t="s">
        <v>330</v>
      </c>
      <c r="E148" s="342">
        <v>11.11</v>
      </c>
      <c r="F148" s="342"/>
      <c r="G148" s="344">
        <f t="shared" si="3"/>
        <v>5214.0399999999854</v>
      </c>
      <c r="H148" s="345"/>
      <c r="I148" s="346"/>
      <c r="J148" s="347"/>
      <c r="K148" s="312"/>
      <c r="L148" s="347"/>
      <c r="M148" s="312"/>
      <c r="N148" s="347"/>
      <c r="O148" s="312"/>
      <c r="P148" s="347"/>
      <c r="Q148" s="312"/>
      <c r="R148" s="347"/>
      <c r="S148" s="312"/>
      <c r="T148" s="347"/>
    </row>
    <row r="149" spans="1:20" ht="12" customHeight="1" x14ac:dyDescent="0.3">
      <c r="A149" s="340" t="s">
        <v>289</v>
      </c>
      <c r="B149" s="341">
        <v>1</v>
      </c>
      <c r="C149" s="309">
        <v>46131</v>
      </c>
      <c r="D149" s="310" t="s">
        <v>307</v>
      </c>
      <c r="E149" s="342">
        <v>79.16</v>
      </c>
      <c r="F149" s="342"/>
      <c r="G149" s="344">
        <f t="shared" si="3"/>
        <v>5225.1499999999851</v>
      </c>
      <c r="H149" s="345"/>
      <c r="I149" s="346"/>
      <c r="J149" s="347"/>
      <c r="K149" s="312"/>
      <c r="L149" s="347"/>
      <c r="M149" s="312"/>
      <c r="N149" s="347"/>
      <c r="O149" s="312"/>
      <c r="P149" s="347"/>
      <c r="Q149" s="312"/>
      <c r="R149" s="347"/>
      <c r="S149" s="312"/>
      <c r="T149" s="347"/>
    </row>
    <row r="150" spans="1:20" ht="12" customHeight="1" x14ac:dyDescent="0.3">
      <c r="A150" s="340" t="s">
        <v>294</v>
      </c>
      <c r="B150" s="341">
        <v>22</v>
      </c>
      <c r="C150" s="309">
        <v>46131</v>
      </c>
      <c r="D150" s="310" t="s">
        <v>331</v>
      </c>
      <c r="E150" s="342">
        <v>7.46</v>
      </c>
      <c r="F150" s="342"/>
      <c r="G150" s="344">
        <f t="shared" si="3"/>
        <v>5304.3099999999849</v>
      </c>
      <c r="H150" s="345"/>
      <c r="I150" s="346"/>
      <c r="J150" s="347"/>
      <c r="K150" s="312"/>
      <c r="L150" s="347"/>
      <c r="M150" s="312"/>
      <c r="N150" s="347"/>
      <c r="O150" s="312"/>
      <c r="P150" s="347"/>
      <c r="Q150" s="312"/>
      <c r="R150" s="347"/>
      <c r="S150" s="312"/>
      <c r="T150" s="347"/>
    </row>
    <row r="151" spans="1:20" ht="12" customHeight="1" x14ac:dyDescent="0.3">
      <c r="A151" s="340" t="s">
        <v>289</v>
      </c>
      <c r="B151" s="341">
        <v>6</v>
      </c>
      <c r="C151" s="309">
        <v>46131</v>
      </c>
      <c r="D151" s="310" t="s">
        <v>300</v>
      </c>
      <c r="E151" s="342">
        <v>13.83</v>
      </c>
      <c r="F151" s="342"/>
      <c r="G151" s="344">
        <f t="shared" si="3"/>
        <v>5311.769999999985</v>
      </c>
      <c r="H151" s="345"/>
      <c r="I151" s="346"/>
      <c r="J151" s="347"/>
      <c r="K151" s="312"/>
      <c r="L151" s="347"/>
      <c r="M151" s="312"/>
      <c r="N151" s="347"/>
      <c r="O151" s="312"/>
      <c r="P151" s="347"/>
      <c r="Q151" s="312"/>
      <c r="R151" s="347"/>
      <c r="S151" s="312"/>
      <c r="T151" s="347"/>
    </row>
    <row r="152" spans="1:20" ht="12" customHeight="1" x14ac:dyDescent="0.3">
      <c r="A152" s="340" t="s">
        <v>289</v>
      </c>
      <c r="B152" s="341">
        <v>6</v>
      </c>
      <c r="C152" s="309">
        <v>46131</v>
      </c>
      <c r="D152" s="310" t="s">
        <v>300</v>
      </c>
      <c r="E152" s="342">
        <v>30</v>
      </c>
      <c r="F152" s="342"/>
      <c r="G152" s="344">
        <f t="shared" si="3"/>
        <v>5325.5999999999849</v>
      </c>
      <c r="H152" s="345"/>
      <c r="I152" s="346"/>
      <c r="J152" s="347"/>
      <c r="K152" s="312"/>
      <c r="L152" s="347"/>
      <c r="M152" s="312"/>
      <c r="N152" s="347"/>
      <c r="O152" s="312"/>
      <c r="P152" s="347"/>
      <c r="Q152" s="312"/>
      <c r="R152" s="347"/>
      <c r="S152" s="312"/>
      <c r="T152" s="347"/>
    </row>
    <row r="153" spans="1:20" ht="12" customHeight="1" x14ac:dyDescent="0.3">
      <c r="A153" s="340" t="s">
        <v>289</v>
      </c>
      <c r="B153" s="341">
        <v>6</v>
      </c>
      <c r="C153" s="309">
        <v>46131</v>
      </c>
      <c r="D153" s="310" t="s">
        <v>300</v>
      </c>
      <c r="E153" s="342">
        <v>15.17</v>
      </c>
      <c r="F153" s="342"/>
      <c r="G153" s="344">
        <f t="shared" si="3"/>
        <v>5355.5999999999849</v>
      </c>
      <c r="H153" s="345"/>
      <c r="I153" s="346"/>
      <c r="J153" s="347"/>
      <c r="K153" s="312"/>
      <c r="L153" s="347"/>
      <c r="M153" s="312"/>
      <c r="N153" s="347"/>
      <c r="O153" s="312"/>
      <c r="P153" s="347"/>
      <c r="Q153" s="312"/>
      <c r="R153" s="347"/>
      <c r="S153" s="312"/>
      <c r="T153" s="347"/>
    </row>
    <row r="154" spans="1:20" ht="12" customHeight="1" x14ac:dyDescent="0.3">
      <c r="A154" s="340" t="s">
        <v>289</v>
      </c>
      <c r="B154" s="341">
        <v>1</v>
      </c>
      <c r="C154" s="309">
        <v>46130</v>
      </c>
      <c r="D154" s="310" t="s">
        <v>332</v>
      </c>
      <c r="E154" s="342">
        <v>75.55</v>
      </c>
      <c r="F154" s="342"/>
      <c r="G154" s="344">
        <f t="shared" si="3"/>
        <v>5370.769999999985</v>
      </c>
      <c r="H154" s="345"/>
      <c r="I154" s="346"/>
      <c r="J154" s="347"/>
      <c r="K154" s="312"/>
      <c r="L154" s="347"/>
      <c r="M154" s="312"/>
      <c r="N154" s="347"/>
      <c r="O154" s="312"/>
      <c r="P154" s="347"/>
      <c r="Q154" s="312"/>
      <c r="R154" s="347"/>
      <c r="S154" s="312"/>
      <c r="T154" s="347"/>
    </row>
    <row r="155" spans="1:20" ht="12" customHeight="1" x14ac:dyDescent="0.3">
      <c r="A155" s="340" t="s">
        <v>289</v>
      </c>
      <c r="B155" s="341">
        <v>2</v>
      </c>
      <c r="C155" s="309">
        <v>46130</v>
      </c>
      <c r="D155" s="310" t="s">
        <v>333</v>
      </c>
      <c r="E155" s="342">
        <v>26</v>
      </c>
      <c r="F155" s="342"/>
      <c r="G155" s="344">
        <f t="shared" si="3"/>
        <v>5446.3199999999852</v>
      </c>
      <c r="H155" s="345"/>
      <c r="I155" s="346"/>
      <c r="J155" s="347"/>
      <c r="K155" s="312"/>
      <c r="L155" s="347"/>
      <c r="M155" s="312"/>
      <c r="N155" s="347"/>
      <c r="O155" s="312"/>
      <c r="P155" s="347"/>
      <c r="Q155" s="312"/>
      <c r="R155" s="347"/>
      <c r="S155" s="312"/>
      <c r="T155" s="347"/>
    </row>
    <row r="156" spans="1:20" ht="12" customHeight="1" x14ac:dyDescent="0.3">
      <c r="A156" s="340" t="s">
        <v>289</v>
      </c>
      <c r="B156" s="341">
        <v>1</v>
      </c>
      <c r="C156" s="309">
        <v>46130</v>
      </c>
      <c r="D156" s="310" t="s">
        <v>312</v>
      </c>
      <c r="E156" s="342">
        <v>25.28</v>
      </c>
      <c r="F156" s="342"/>
      <c r="G156" s="344">
        <f t="shared" si="3"/>
        <v>5472.3199999999852</v>
      </c>
      <c r="H156" s="345"/>
      <c r="I156" s="346"/>
      <c r="J156" s="347"/>
      <c r="K156" s="312"/>
      <c r="L156" s="347"/>
      <c r="M156" s="312"/>
      <c r="N156" s="347"/>
      <c r="O156" s="312"/>
      <c r="P156" s="347"/>
      <c r="Q156" s="312"/>
      <c r="R156" s="347"/>
      <c r="S156" s="312"/>
      <c r="T156" s="347"/>
    </row>
    <row r="157" spans="1:20" ht="12" customHeight="1" x14ac:dyDescent="0.3">
      <c r="A157" s="340" t="s">
        <v>289</v>
      </c>
      <c r="B157" s="341">
        <v>3</v>
      </c>
      <c r="C157" s="309">
        <v>46130</v>
      </c>
      <c r="D157" s="310" t="s">
        <v>296</v>
      </c>
      <c r="E157" s="342">
        <v>7.76</v>
      </c>
      <c r="F157" s="342"/>
      <c r="G157" s="344">
        <f t="shared" si="3"/>
        <v>5497.5999999999849</v>
      </c>
      <c r="H157" s="345"/>
      <c r="I157" s="346"/>
      <c r="J157" s="347"/>
      <c r="K157" s="312"/>
      <c r="L157" s="347"/>
      <c r="M157" s="312"/>
      <c r="N157" s="347"/>
      <c r="O157" s="312"/>
      <c r="P157" s="347"/>
      <c r="Q157" s="312"/>
      <c r="R157" s="347"/>
      <c r="S157" s="312"/>
      <c r="T157" s="347"/>
    </row>
    <row r="158" spans="1:20" ht="12" customHeight="1" x14ac:dyDescent="0.3">
      <c r="A158" s="340" t="s">
        <v>294</v>
      </c>
      <c r="B158" s="341">
        <v>22</v>
      </c>
      <c r="C158" s="309">
        <v>46130</v>
      </c>
      <c r="D158" s="310" t="s">
        <v>334</v>
      </c>
      <c r="E158" s="342">
        <v>13.84</v>
      </c>
      <c r="F158" s="342"/>
      <c r="G158" s="344">
        <f t="shared" si="3"/>
        <v>5505.3599999999851</v>
      </c>
      <c r="H158" s="345"/>
      <c r="I158" s="346"/>
      <c r="J158" s="347"/>
      <c r="K158" s="312"/>
      <c r="L158" s="347"/>
      <c r="M158" s="312"/>
      <c r="N158" s="347"/>
      <c r="O158" s="312"/>
      <c r="P158" s="347"/>
      <c r="Q158" s="312"/>
      <c r="R158" s="347"/>
      <c r="S158" s="312"/>
      <c r="T158" s="347"/>
    </row>
    <row r="159" spans="1:20" ht="12" customHeight="1" x14ac:dyDescent="0.3">
      <c r="A159" s="340" t="s">
        <v>287</v>
      </c>
      <c r="B159" s="341" t="s">
        <v>287</v>
      </c>
      <c r="C159" s="309">
        <v>46130</v>
      </c>
      <c r="D159" s="310" t="s">
        <v>335</v>
      </c>
      <c r="E159" s="342">
        <v>578.57000000000005</v>
      </c>
      <c r="F159" s="342">
        <v>578.57000000000005</v>
      </c>
      <c r="G159" s="344">
        <f t="shared" si="3"/>
        <v>5519.1999999999853</v>
      </c>
      <c r="H159" s="345"/>
      <c r="I159" s="346"/>
      <c r="J159" s="347"/>
      <c r="K159" s="312"/>
      <c r="L159" s="347"/>
      <c r="M159" s="312"/>
      <c r="N159" s="347"/>
      <c r="O159" s="312"/>
      <c r="P159" s="347"/>
      <c r="Q159" s="312"/>
      <c r="R159" s="347"/>
      <c r="S159" s="312"/>
      <c r="T159" s="347"/>
    </row>
    <row r="160" spans="1:20" ht="12" customHeight="1" x14ac:dyDescent="0.3">
      <c r="A160" s="340" t="s">
        <v>289</v>
      </c>
      <c r="B160" s="341">
        <v>2</v>
      </c>
      <c r="C160" s="309">
        <v>46129</v>
      </c>
      <c r="D160" s="310" t="s">
        <v>327</v>
      </c>
      <c r="E160" s="342">
        <v>12.84</v>
      </c>
      <c r="F160" s="342"/>
      <c r="G160" s="344">
        <f t="shared" si="3"/>
        <v>5519.1999999999853</v>
      </c>
      <c r="H160" s="345"/>
      <c r="I160" s="346"/>
      <c r="J160" s="347"/>
      <c r="K160" s="312"/>
      <c r="L160" s="347"/>
      <c r="M160" s="312"/>
      <c r="N160" s="347"/>
      <c r="O160" s="312"/>
      <c r="P160" s="347"/>
      <c r="Q160" s="312"/>
      <c r="R160" s="347"/>
      <c r="S160" s="312"/>
      <c r="T160" s="347"/>
    </row>
    <row r="161" spans="1:20" ht="12" customHeight="1" x14ac:dyDescent="0.3">
      <c r="A161" s="340" t="s">
        <v>289</v>
      </c>
      <c r="B161" s="341">
        <v>2</v>
      </c>
      <c r="C161" s="309">
        <v>46129</v>
      </c>
      <c r="D161" s="310" t="s">
        <v>336</v>
      </c>
      <c r="E161" s="342">
        <v>59.71</v>
      </c>
      <c r="F161" s="342"/>
      <c r="G161" s="344">
        <f t="shared" si="3"/>
        <v>5532.0399999999854</v>
      </c>
      <c r="H161" s="345"/>
      <c r="I161" s="346"/>
      <c r="J161" s="347"/>
      <c r="K161" s="312"/>
      <c r="L161" s="347"/>
      <c r="M161" s="312"/>
      <c r="N161" s="347"/>
      <c r="O161" s="312"/>
      <c r="P161" s="347"/>
      <c r="Q161" s="312"/>
      <c r="R161" s="347"/>
      <c r="S161" s="312"/>
      <c r="T161" s="347"/>
    </row>
    <row r="162" spans="1:20" ht="12" customHeight="1" x14ac:dyDescent="0.3">
      <c r="A162" s="340" t="s">
        <v>294</v>
      </c>
      <c r="B162" s="341">
        <v>21</v>
      </c>
      <c r="C162" s="309">
        <v>46129</v>
      </c>
      <c r="D162" s="310" t="s">
        <v>194</v>
      </c>
      <c r="E162" s="342">
        <v>75.599999999999994</v>
      </c>
      <c r="F162" s="342"/>
      <c r="G162" s="344">
        <f t="shared" si="3"/>
        <v>5591.7499999999854</v>
      </c>
      <c r="H162" s="345"/>
      <c r="I162" s="346"/>
      <c r="J162" s="347"/>
      <c r="K162" s="312"/>
      <c r="L162" s="347"/>
      <c r="M162" s="312"/>
      <c r="N162" s="347"/>
      <c r="O162" s="312"/>
      <c r="P162" s="347"/>
      <c r="Q162" s="312"/>
      <c r="R162" s="347"/>
      <c r="S162" s="312"/>
      <c r="T162" s="347"/>
    </row>
    <row r="163" spans="1:20" ht="12" customHeight="1" x14ac:dyDescent="0.3">
      <c r="A163" s="340" t="s">
        <v>294</v>
      </c>
      <c r="B163" s="341">
        <v>43</v>
      </c>
      <c r="C163" s="309">
        <v>46129</v>
      </c>
      <c r="D163" s="310" t="s">
        <v>337</v>
      </c>
      <c r="E163" s="342">
        <v>22.35</v>
      </c>
      <c r="F163" s="342"/>
      <c r="G163" s="344">
        <f t="shared" si="3"/>
        <v>5667.3499999999858</v>
      </c>
      <c r="H163" s="345"/>
      <c r="I163" s="346"/>
      <c r="J163" s="347"/>
      <c r="K163" s="312"/>
      <c r="L163" s="347"/>
      <c r="M163" s="312"/>
      <c r="N163" s="347"/>
      <c r="O163" s="312"/>
      <c r="P163" s="347"/>
      <c r="Q163" s="312"/>
      <c r="R163" s="347"/>
      <c r="S163" s="312"/>
      <c r="T163" s="347"/>
    </row>
    <row r="164" spans="1:20" ht="12" customHeight="1" x14ac:dyDescent="0.3">
      <c r="A164" s="340" t="s">
        <v>294</v>
      </c>
      <c r="B164" s="341">
        <v>42</v>
      </c>
      <c r="C164" s="309">
        <v>46129</v>
      </c>
      <c r="D164" s="310" t="s">
        <v>337</v>
      </c>
      <c r="E164" s="342">
        <v>37.25</v>
      </c>
      <c r="F164" s="342"/>
      <c r="G164" s="344">
        <f t="shared" si="3"/>
        <v>5689.6999999999862</v>
      </c>
      <c r="H164" s="345"/>
      <c r="I164" s="346"/>
      <c r="J164" s="347"/>
      <c r="K164" s="312"/>
      <c r="L164" s="347"/>
      <c r="M164" s="312"/>
      <c r="N164" s="347"/>
      <c r="O164" s="312"/>
      <c r="P164" s="347"/>
      <c r="Q164" s="312"/>
      <c r="R164" s="347"/>
      <c r="S164" s="312"/>
      <c r="T164" s="347"/>
    </row>
    <row r="165" spans="1:20" ht="12" customHeight="1" x14ac:dyDescent="0.3">
      <c r="A165" s="340" t="s">
        <v>289</v>
      </c>
      <c r="B165" s="341">
        <v>8</v>
      </c>
      <c r="C165" s="309">
        <v>46129</v>
      </c>
      <c r="D165" s="310" t="s">
        <v>321</v>
      </c>
      <c r="E165" s="342">
        <v>35.119999999999997</v>
      </c>
      <c r="F165" s="342"/>
      <c r="G165" s="344">
        <f t="shared" si="3"/>
        <v>5726.9499999999862</v>
      </c>
      <c r="H165" s="345"/>
      <c r="I165" s="346"/>
      <c r="J165" s="347"/>
      <c r="K165" s="312"/>
      <c r="L165" s="347"/>
      <c r="M165" s="312"/>
      <c r="N165" s="347"/>
      <c r="O165" s="312"/>
      <c r="P165" s="347"/>
      <c r="Q165" s="312"/>
      <c r="R165" s="347"/>
      <c r="S165" s="312"/>
      <c r="T165" s="347"/>
    </row>
    <row r="166" spans="1:20" ht="12" customHeight="1" x14ac:dyDescent="0.3">
      <c r="A166" s="340" t="s">
        <v>289</v>
      </c>
      <c r="B166" s="341">
        <v>3</v>
      </c>
      <c r="C166" s="309">
        <v>46129</v>
      </c>
      <c r="D166" s="310" t="s">
        <v>296</v>
      </c>
      <c r="E166" s="342">
        <v>8.7200000000000006</v>
      </c>
      <c r="F166" s="342"/>
      <c r="G166" s="344">
        <f t="shared" si="3"/>
        <v>5762.0699999999861</v>
      </c>
      <c r="H166" s="345"/>
      <c r="I166" s="346"/>
      <c r="J166" s="347"/>
      <c r="K166" s="312"/>
      <c r="L166" s="347"/>
      <c r="M166" s="312"/>
      <c r="N166" s="347"/>
      <c r="O166" s="312"/>
      <c r="P166" s="347"/>
      <c r="Q166" s="312"/>
      <c r="R166" s="347"/>
      <c r="S166" s="312"/>
      <c r="T166" s="347"/>
    </row>
    <row r="167" spans="1:20" ht="12" customHeight="1" x14ac:dyDescent="0.3">
      <c r="A167" s="340" t="s">
        <v>289</v>
      </c>
      <c r="B167" s="341">
        <v>2</v>
      </c>
      <c r="C167" s="309">
        <v>46129</v>
      </c>
      <c r="D167" s="310" t="s">
        <v>338</v>
      </c>
      <c r="E167" s="342">
        <v>13.21</v>
      </c>
      <c r="F167" s="342"/>
      <c r="G167" s="344">
        <f t="shared" si="3"/>
        <v>5770.7899999999863</v>
      </c>
      <c r="H167" s="345"/>
      <c r="I167" s="346"/>
      <c r="J167" s="347"/>
      <c r="K167" s="312"/>
      <c r="L167" s="347"/>
      <c r="M167" s="312"/>
      <c r="N167" s="347"/>
      <c r="O167" s="312"/>
      <c r="P167" s="347"/>
      <c r="Q167" s="312"/>
      <c r="R167" s="347"/>
      <c r="S167" s="312"/>
      <c r="T167" s="347"/>
    </row>
    <row r="168" spans="1:20" ht="12" customHeight="1" x14ac:dyDescent="0.3">
      <c r="A168" s="340" t="s">
        <v>294</v>
      </c>
      <c r="B168" s="341">
        <v>17</v>
      </c>
      <c r="C168" s="309">
        <v>46129</v>
      </c>
      <c r="D168" s="310" t="s">
        <v>188</v>
      </c>
      <c r="E168" s="342">
        <v>42.65</v>
      </c>
      <c r="F168" s="342"/>
      <c r="G168" s="344">
        <f t="shared" si="3"/>
        <v>5783.9999999999864</v>
      </c>
      <c r="H168" s="345"/>
      <c r="I168" s="346"/>
      <c r="J168" s="347"/>
      <c r="K168" s="312"/>
      <c r="L168" s="347"/>
      <c r="M168" s="312"/>
      <c r="N168" s="347"/>
      <c r="O168" s="312"/>
      <c r="P168" s="347"/>
      <c r="Q168" s="312"/>
      <c r="R168" s="347"/>
      <c r="S168" s="312"/>
      <c r="T168" s="347"/>
    </row>
    <row r="169" spans="1:20" ht="12" customHeight="1" x14ac:dyDescent="0.3">
      <c r="A169" s="340" t="s">
        <v>339</v>
      </c>
      <c r="B169" s="341" t="s">
        <v>339</v>
      </c>
      <c r="C169" s="309">
        <v>46129</v>
      </c>
      <c r="D169" s="310" t="s">
        <v>340</v>
      </c>
      <c r="E169" s="342">
        <v>130.31</v>
      </c>
      <c r="F169" s="342"/>
      <c r="G169" s="344">
        <f t="shared" si="3"/>
        <v>5826.649999999986</v>
      </c>
      <c r="H169" s="345"/>
      <c r="I169" s="346"/>
      <c r="J169" s="347"/>
      <c r="K169" s="312"/>
      <c r="L169" s="347"/>
      <c r="M169" s="312"/>
      <c r="N169" s="347"/>
      <c r="O169" s="312"/>
      <c r="P169" s="347"/>
      <c r="Q169" s="312"/>
      <c r="R169" s="347"/>
      <c r="S169" s="312"/>
      <c r="T169" s="347"/>
    </row>
    <row r="170" spans="1:20" ht="12" customHeight="1" x14ac:dyDescent="0.3">
      <c r="A170" s="340" t="s">
        <v>294</v>
      </c>
      <c r="B170" s="341">
        <v>15</v>
      </c>
      <c r="C170" s="309">
        <v>46129</v>
      </c>
      <c r="D170" s="310" t="s">
        <v>185</v>
      </c>
      <c r="E170" s="342">
        <v>131.22999999999999</v>
      </c>
      <c r="F170" s="342"/>
      <c r="G170" s="344">
        <f t="shared" si="3"/>
        <v>5956.9599999999864</v>
      </c>
      <c r="H170" s="345"/>
      <c r="I170" s="346"/>
      <c r="J170" s="347"/>
      <c r="K170" s="312"/>
      <c r="L170" s="347"/>
      <c r="M170" s="312"/>
      <c r="N170" s="347"/>
      <c r="O170" s="312"/>
      <c r="P170" s="347"/>
      <c r="Q170" s="312"/>
      <c r="R170" s="347"/>
      <c r="S170" s="312"/>
      <c r="T170" s="347"/>
    </row>
    <row r="171" spans="1:20" ht="12" customHeight="1" x14ac:dyDescent="0.3">
      <c r="A171" s="340" t="s">
        <v>289</v>
      </c>
      <c r="B171" s="341">
        <v>6</v>
      </c>
      <c r="C171" s="309">
        <v>46129</v>
      </c>
      <c r="D171" s="310" t="s">
        <v>341</v>
      </c>
      <c r="E171" s="342">
        <v>210</v>
      </c>
      <c r="F171" s="342"/>
      <c r="G171" s="344">
        <f t="shared" si="3"/>
        <v>6088.189999999986</v>
      </c>
      <c r="H171" s="345"/>
      <c r="I171" s="346"/>
      <c r="J171" s="347"/>
      <c r="K171" s="312"/>
      <c r="L171" s="347"/>
      <c r="M171" s="312"/>
      <c r="N171" s="347"/>
      <c r="O171" s="312"/>
      <c r="P171" s="347"/>
      <c r="Q171" s="312"/>
      <c r="R171" s="347"/>
      <c r="S171" s="312"/>
      <c r="T171" s="347"/>
    </row>
    <row r="172" spans="1:20" ht="12" customHeight="1" x14ac:dyDescent="0.3">
      <c r="A172" s="340" t="s">
        <v>294</v>
      </c>
      <c r="B172" s="341">
        <v>23</v>
      </c>
      <c r="C172" s="309">
        <v>46129</v>
      </c>
      <c r="D172" s="310" t="s">
        <v>63</v>
      </c>
      <c r="E172" s="342">
        <v>529.46</v>
      </c>
      <c r="F172" s="342"/>
      <c r="G172" s="344">
        <f t="shared" si="3"/>
        <v>6298.189999999986</v>
      </c>
      <c r="H172" s="345"/>
      <c r="I172" s="346"/>
      <c r="J172" s="347"/>
      <c r="K172" s="312"/>
      <c r="L172" s="347"/>
      <c r="M172" s="312"/>
      <c r="N172" s="347"/>
      <c r="O172" s="312"/>
      <c r="P172" s="347"/>
      <c r="Q172" s="312"/>
      <c r="R172" s="347"/>
      <c r="S172" s="312"/>
      <c r="T172" s="347"/>
    </row>
    <row r="173" spans="1:20" ht="12" customHeight="1" x14ac:dyDescent="0.3">
      <c r="A173" s="340" t="s">
        <v>289</v>
      </c>
      <c r="B173" s="341">
        <v>7</v>
      </c>
      <c r="C173" s="309">
        <v>46129</v>
      </c>
      <c r="D173" s="310" t="s">
        <v>342</v>
      </c>
      <c r="E173" s="342">
        <v>32.78</v>
      </c>
      <c r="F173" s="342"/>
      <c r="G173" s="344">
        <f t="shared" si="3"/>
        <v>6827.649999999986</v>
      </c>
      <c r="H173" s="345"/>
      <c r="I173" s="346"/>
      <c r="J173" s="347"/>
      <c r="K173" s="312"/>
      <c r="L173" s="347"/>
      <c r="M173" s="312"/>
      <c r="N173" s="347"/>
      <c r="O173" s="312"/>
      <c r="P173" s="347"/>
      <c r="Q173" s="312"/>
      <c r="R173" s="347"/>
      <c r="S173" s="312"/>
      <c r="T173" s="347"/>
    </row>
    <row r="174" spans="1:20" ht="12" customHeight="1" x14ac:dyDescent="0.3">
      <c r="A174" s="340" t="s">
        <v>289</v>
      </c>
      <c r="B174" s="341">
        <v>4</v>
      </c>
      <c r="C174" s="309">
        <v>46128</v>
      </c>
      <c r="D174" s="310" t="s">
        <v>311</v>
      </c>
      <c r="E174" s="342">
        <v>44.41</v>
      </c>
      <c r="F174" s="342"/>
      <c r="G174" s="344">
        <f t="shared" si="3"/>
        <v>6860.4299999999857</v>
      </c>
      <c r="H174" s="345"/>
      <c r="I174" s="346"/>
      <c r="J174" s="347"/>
      <c r="K174" s="312"/>
      <c r="L174" s="347"/>
      <c r="M174" s="312"/>
      <c r="N174" s="347"/>
      <c r="O174" s="312"/>
      <c r="P174" s="347"/>
      <c r="Q174" s="312"/>
      <c r="R174" s="347"/>
      <c r="S174" s="312"/>
      <c r="T174" s="347"/>
    </row>
    <row r="175" spans="1:20" ht="12" customHeight="1" x14ac:dyDescent="0.3">
      <c r="A175" s="340" t="s">
        <v>294</v>
      </c>
      <c r="B175" s="341">
        <v>16</v>
      </c>
      <c r="C175" s="309">
        <v>46128</v>
      </c>
      <c r="D175" s="310" t="s">
        <v>343</v>
      </c>
      <c r="E175" s="342">
        <v>15</v>
      </c>
      <c r="F175" s="342"/>
      <c r="G175" s="344">
        <f t="shared" si="3"/>
        <v>6904.8399999999856</v>
      </c>
      <c r="H175" s="345"/>
      <c r="I175" s="346"/>
      <c r="J175" s="347"/>
      <c r="K175" s="312"/>
      <c r="L175" s="347"/>
      <c r="M175" s="312"/>
      <c r="N175" s="347"/>
      <c r="O175" s="312"/>
      <c r="P175" s="347"/>
      <c r="Q175" s="312"/>
      <c r="R175" s="347"/>
      <c r="S175" s="312"/>
      <c r="T175" s="347"/>
    </row>
    <row r="176" spans="1:20" ht="12" customHeight="1" x14ac:dyDescent="0.3">
      <c r="A176" s="340" t="s">
        <v>289</v>
      </c>
      <c r="B176" s="341">
        <v>2</v>
      </c>
      <c r="C176" s="309">
        <v>46128</v>
      </c>
      <c r="D176" s="310" t="s">
        <v>301</v>
      </c>
      <c r="E176" s="342">
        <v>41.95</v>
      </c>
      <c r="F176" s="342"/>
      <c r="G176" s="344">
        <f t="shared" si="3"/>
        <v>6919.8399999999856</v>
      </c>
      <c r="H176" s="345"/>
      <c r="I176" s="346"/>
      <c r="J176" s="347"/>
      <c r="K176" s="312"/>
      <c r="L176" s="347"/>
      <c r="M176" s="312"/>
      <c r="N176" s="347"/>
      <c r="O176" s="312"/>
      <c r="P176" s="347"/>
      <c r="Q176" s="312"/>
      <c r="R176" s="347"/>
      <c r="S176" s="312"/>
      <c r="T176" s="347"/>
    </row>
    <row r="177" spans="1:20" ht="12" customHeight="1" x14ac:dyDescent="0.3">
      <c r="A177" s="340" t="s">
        <v>289</v>
      </c>
      <c r="B177" s="341">
        <v>5</v>
      </c>
      <c r="C177" s="309">
        <v>46128</v>
      </c>
      <c r="D177" s="310" t="s">
        <v>344</v>
      </c>
      <c r="E177" s="342">
        <v>21.3</v>
      </c>
      <c r="F177" s="342"/>
      <c r="G177" s="344">
        <f t="shared" si="3"/>
        <v>6961.7899999999854</v>
      </c>
      <c r="H177" s="345"/>
      <c r="I177" s="346"/>
      <c r="J177" s="347"/>
      <c r="K177" s="312"/>
      <c r="L177" s="347"/>
      <c r="M177" s="312"/>
      <c r="N177" s="347"/>
      <c r="O177" s="312"/>
      <c r="P177" s="347"/>
      <c r="Q177" s="312"/>
      <c r="R177" s="347"/>
      <c r="S177" s="312"/>
      <c r="T177" s="347"/>
    </row>
    <row r="178" spans="1:20" ht="12" customHeight="1" x14ac:dyDescent="0.3">
      <c r="A178" s="340" t="s">
        <v>289</v>
      </c>
      <c r="B178" s="341">
        <v>4</v>
      </c>
      <c r="C178" s="309">
        <v>46128</v>
      </c>
      <c r="D178" s="310" t="s">
        <v>296</v>
      </c>
      <c r="E178" s="342">
        <v>70.03</v>
      </c>
      <c r="F178" s="342"/>
      <c r="G178" s="344">
        <f t="shared" si="3"/>
        <v>6983.0899999999856</v>
      </c>
      <c r="H178" s="345"/>
      <c r="I178" s="346"/>
      <c r="J178" s="347"/>
      <c r="K178" s="312"/>
      <c r="L178" s="347"/>
      <c r="M178" s="312"/>
      <c r="N178" s="347"/>
      <c r="O178" s="312"/>
      <c r="P178" s="347"/>
      <c r="Q178" s="312"/>
      <c r="R178" s="347"/>
      <c r="S178" s="312"/>
      <c r="T178" s="347"/>
    </row>
    <row r="179" spans="1:20" ht="12" customHeight="1" x14ac:dyDescent="0.3">
      <c r="A179" s="340" t="s">
        <v>289</v>
      </c>
      <c r="B179" s="341">
        <v>2</v>
      </c>
      <c r="C179" s="309">
        <v>46128</v>
      </c>
      <c r="D179" s="310" t="s">
        <v>296</v>
      </c>
      <c r="E179" s="342">
        <v>11.48</v>
      </c>
      <c r="F179" s="342"/>
      <c r="G179" s="344">
        <f t="shared" si="3"/>
        <v>7053.1199999999853</v>
      </c>
      <c r="H179" s="345"/>
      <c r="I179" s="346"/>
      <c r="J179" s="347"/>
      <c r="K179" s="312"/>
      <c r="L179" s="347"/>
      <c r="M179" s="312"/>
      <c r="N179" s="347"/>
      <c r="O179" s="312"/>
      <c r="P179" s="347"/>
      <c r="Q179" s="312"/>
      <c r="R179" s="347"/>
      <c r="S179" s="312"/>
      <c r="T179" s="347"/>
    </row>
    <row r="180" spans="1:20" ht="12" customHeight="1" x14ac:dyDescent="0.3">
      <c r="A180" s="340" t="s">
        <v>289</v>
      </c>
      <c r="B180" s="341">
        <v>6</v>
      </c>
      <c r="C180" s="309">
        <v>46128</v>
      </c>
      <c r="D180" s="310" t="s">
        <v>345</v>
      </c>
      <c r="E180" s="342">
        <v>26.61</v>
      </c>
      <c r="F180" s="342"/>
      <c r="G180" s="344">
        <f t="shared" si="3"/>
        <v>7064.5999999999849</v>
      </c>
      <c r="H180" s="345"/>
      <c r="I180" s="346"/>
      <c r="J180" s="347"/>
      <c r="K180" s="312"/>
      <c r="L180" s="347"/>
      <c r="M180" s="312"/>
      <c r="N180" s="347"/>
      <c r="O180" s="312"/>
      <c r="P180" s="347"/>
      <c r="Q180" s="312"/>
      <c r="R180" s="347"/>
      <c r="S180" s="312"/>
      <c r="T180" s="347"/>
    </row>
    <row r="181" spans="1:20" ht="12" customHeight="1" x14ac:dyDescent="0.3">
      <c r="A181" s="340" t="s">
        <v>289</v>
      </c>
      <c r="B181" s="341">
        <v>6</v>
      </c>
      <c r="C181" s="309">
        <v>46128</v>
      </c>
      <c r="D181" s="310" t="s">
        <v>346</v>
      </c>
      <c r="E181" s="342">
        <v>42.59</v>
      </c>
      <c r="F181" s="342"/>
      <c r="G181" s="344">
        <f t="shared" si="3"/>
        <v>7091.2099999999846</v>
      </c>
      <c r="H181" s="345"/>
      <c r="I181" s="346"/>
      <c r="J181" s="347"/>
      <c r="K181" s="312"/>
      <c r="L181" s="347"/>
      <c r="M181" s="312"/>
      <c r="N181" s="347"/>
      <c r="O181" s="312"/>
      <c r="P181" s="347"/>
      <c r="Q181" s="312"/>
      <c r="R181" s="347"/>
      <c r="S181" s="312"/>
      <c r="T181" s="347"/>
    </row>
    <row r="182" spans="1:20" ht="12" customHeight="1" x14ac:dyDescent="0.3">
      <c r="A182" s="340" t="s">
        <v>289</v>
      </c>
      <c r="B182" s="341">
        <v>6</v>
      </c>
      <c r="C182" s="309">
        <v>46128</v>
      </c>
      <c r="D182" s="310" t="s">
        <v>300</v>
      </c>
      <c r="E182" s="342">
        <v>20.58</v>
      </c>
      <c r="F182" s="342"/>
      <c r="G182" s="344">
        <f t="shared" si="3"/>
        <v>7133.7999999999847</v>
      </c>
      <c r="H182" s="345"/>
      <c r="I182" s="346"/>
      <c r="J182" s="347"/>
      <c r="K182" s="312"/>
      <c r="L182" s="347"/>
      <c r="M182" s="312"/>
      <c r="N182" s="347"/>
      <c r="O182" s="312"/>
      <c r="P182" s="347"/>
      <c r="Q182" s="312"/>
      <c r="R182" s="347"/>
      <c r="S182" s="312"/>
      <c r="T182" s="347"/>
    </row>
    <row r="183" spans="1:20" ht="12" customHeight="1" x14ac:dyDescent="0.3">
      <c r="A183" s="340" t="s">
        <v>294</v>
      </c>
      <c r="B183" s="341">
        <v>11</v>
      </c>
      <c r="C183" s="309">
        <v>46128</v>
      </c>
      <c r="D183" s="310" t="s">
        <v>178</v>
      </c>
      <c r="E183" s="342">
        <v>267.91000000000003</v>
      </c>
      <c r="F183" s="342"/>
      <c r="G183" s="344">
        <f t="shared" si="3"/>
        <v>7154.3799999999846</v>
      </c>
      <c r="H183" s="345"/>
      <c r="I183" s="346"/>
      <c r="J183" s="347"/>
      <c r="K183" s="312"/>
      <c r="L183" s="347"/>
      <c r="M183" s="312"/>
      <c r="N183" s="347"/>
      <c r="O183" s="312"/>
      <c r="P183" s="347"/>
      <c r="Q183" s="312"/>
      <c r="R183" s="347"/>
      <c r="S183" s="312"/>
      <c r="T183" s="347"/>
    </row>
    <row r="184" spans="1:20" ht="12" customHeight="1" x14ac:dyDescent="0.3">
      <c r="A184" s="340" t="s">
        <v>291</v>
      </c>
      <c r="B184" s="341">
        <v>41</v>
      </c>
      <c r="C184" s="309">
        <v>46128</v>
      </c>
      <c r="D184" s="310" t="s">
        <v>299</v>
      </c>
      <c r="E184" s="342"/>
      <c r="F184" s="342">
        <v>300</v>
      </c>
      <c r="G184" s="344">
        <f t="shared" si="3"/>
        <v>7422.2899999999845</v>
      </c>
      <c r="H184" s="345"/>
      <c r="I184" s="346"/>
      <c r="J184" s="347"/>
      <c r="K184" s="312"/>
      <c r="L184" s="347"/>
      <c r="M184" s="312"/>
      <c r="N184" s="347"/>
      <c r="O184" s="312"/>
      <c r="P184" s="347"/>
      <c r="Q184" s="312"/>
      <c r="R184" s="347"/>
      <c r="S184" s="312"/>
      <c r="T184" s="347"/>
    </row>
    <row r="185" spans="1:20" ht="12" customHeight="1" x14ac:dyDescent="0.3">
      <c r="A185" s="340" t="s">
        <v>291</v>
      </c>
      <c r="B185" s="341">
        <v>39</v>
      </c>
      <c r="C185" s="309">
        <v>46128</v>
      </c>
      <c r="D185" s="310" t="s">
        <v>292</v>
      </c>
      <c r="E185" s="342"/>
      <c r="F185" s="342">
        <v>2763.78</v>
      </c>
      <c r="G185" s="344">
        <f t="shared" si="3"/>
        <v>7122.2899999999845</v>
      </c>
      <c r="H185" s="345"/>
      <c r="I185" s="346"/>
      <c r="J185" s="347"/>
      <c r="K185" s="312"/>
      <c r="L185" s="347"/>
      <c r="M185" s="312"/>
      <c r="N185" s="347"/>
      <c r="O185" s="312"/>
      <c r="P185" s="347"/>
      <c r="Q185" s="312"/>
      <c r="R185" s="347"/>
      <c r="S185" s="312"/>
      <c r="T185" s="347"/>
    </row>
    <row r="186" spans="1:20" ht="12" customHeight="1" x14ac:dyDescent="0.3">
      <c r="A186" s="340" t="s">
        <v>287</v>
      </c>
      <c r="B186" s="341" t="s">
        <v>287</v>
      </c>
      <c r="C186" s="309">
        <v>46127</v>
      </c>
      <c r="D186" s="310" t="s">
        <v>347</v>
      </c>
      <c r="E186" s="342">
        <v>93.71</v>
      </c>
      <c r="F186" s="342">
        <v>93.71</v>
      </c>
      <c r="G186" s="344">
        <f t="shared" si="3"/>
        <v>4358.5099999999848</v>
      </c>
      <c r="H186" s="345"/>
      <c r="I186" s="346"/>
      <c r="J186" s="347"/>
      <c r="K186" s="312"/>
      <c r="L186" s="347"/>
      <c r="M186" s="312"/>
      <c r="N186" s="347"/>
      <c r="O186" s="312"/>
      <c r="P186" s="347"/>
      <c r="Q186" s="312"/>
      <c r="R186" s="347"/>
      <c r="S186" s="312"/>
      <c r="T186" s="347"/>
    </row>
    <row r="187" spans="1:20" ht="12" customHeight="1" x14ac:dyDescent="0.3">
      <c r="A187" s="340" t="s">
        <v>289</v>
      </c>
      <c r="B187" s="341">
        <v>6</v>
      </c>
      <c r="C187" s="309">
        <v>46127</v>
      </c>
      <c r="D187" s="310" t="s">
        <v>348</v>
      </c>
      <c r="E187" s="342">
        <v>27</v>
      </c>
      <c r="F187" s="342"/>
      <c r="G187" s="344">
        <f t="shared" si="3"/>
        <v>4358.5099999999848</v>
      </c>
      <c r="H187" s="345"/>
      <c r="I187" s="346"/>
      <c r="J187" s="347"/>
      <c r="K187" s="312"/>
      <c r="L187" s="347"/>
      <c r="M187" s="312"/>
      <c r="N187" s="347"/>
      <c r="O187" s="312"/>
      <c r="P187" s="347"/>
      <c r="Q187" s="312"/>
      <c r="R187" s="347"/>
      <c r="S187" s="312"/>
      <c r="T187" s="347"/>
    </row>
    <row r="188" spans="1:20" ht="12" customHeight="1" x14ac:dyDescent="0.3">
      <c r="A188" s="340" t="s">
        <v>291</v>
      </c>
      <c r="B188" s="341">
        <v>38</v>
      </c>
      <c r="C188" s="309">
        <v>46127</v>
      </c>
      <c r="D188" s="310" t="s">
        <v>293</v>
      </c>
      <c r="E188" s="342"/>
      <c r="F188" s="342">
        <v>4597.82</v>
      </c>
      <c r="G188" s="344">
        <f t="shared" si="3"/>
        <v>4385.5099999999848</v>
      </c>
      <c r="H188" s="345"/>
      <c r="I188" s="346"/>
      <c r="J188" s="347"/>
      <c r="K188" s="312"/>
      <c r="L188" s="347"/>
      <c r="M188" s="312"/>
      <c r="N188" s="347"/>
      <c r="O188" s="312"/>
      <c r="P188" s="347"/>
      <c r="Q188" s="312"/>
      <c r="R188" s="347"/>
      <c r="S188" s="312"/>
      <c r="T188" s="347"/>
    </row>
    <row r="189" spans="1:20" ht="12" customHeight="1" x14ac:dyDescent="0.3">
      <c r="A189" s="340" t="s">
        <v>289</v>
      </c>
      <c r="B189" s="341">
        <v>2</v>
      </c>
      <c r="C189" s="309">
        <v>46127</v>
      </c>
      <c r="D189" s="310" t="s">
        <v>296</v>
      </c>
      <c r="E189" s="342">
        <v>14.67</v>
      </c>
      <c r="F189" s="342"/>
      <c r="G189" s="344">
        <f t="shared" si="3"/>
        <v>-212.31000000001481</v>
      </c>
      <c r="H189" s="345"/>
      <c r="I189" s="346"/>
      <c r="J189" s="347"/>
      <c r="K189" s="312"/>
      <c r="L189" s="347"/>
      <c r="M189" s="312"/>
      <c r="N189" s="347"/>
      <c r="O189" s="312"/>
      <c r="P189" s="347"/>
      <c r="Q189" s="312"/>
      <c r="R189" s="347"/>
      <c r="S189" s="312"/>
      <c r="T189" s="347"/>
    </row>
    <row r="190" spans="1:20" ht="12" customHeight="1" x14ac:dyDescent="0.3">
      <c r="A190" s="340" t="s">
        <v>289</v>
      </c>
      <c r="B190" s="341">
        <v>2</v>
      </c>
      <c r="C190" s="309">
        <v>46127</v>
      </c>
      <c r="D190" s="310" t="s">
        <v>349</v>
      </c>
      <c r="E190" s="342">
        <v>102.2</v>
      </c>
      <c r="F190" s="342"/>
      <c r="G190" s="344">
        <f t="shared" si="3"/>
        <v>-197.64000000001482</v>
      </c>
      <c r="H190" s="345"/>
      <c r="I190" s="346"/>
      <c r="J190" s="347"/>
      <c r="K190" s="312"/>
      <c r="L190" s="347"/>
      <c r="M190" s="312"/>
      <c r="N190" s="347"/>
      <c r="O190" s="312"/>
      <c r="P190" s="347"/>
      <c r="Q190" s="312"/>
      <c r="R190" s="347"/>
      <c r="S190" s="312"/>
      <c r="T190" s="347"/>
    </row>
    <row r="191" spans="1:20" ht="12" customHeight="1" x14ac:dyDescent="0.3">
      <c r="A191" s="340" t="s">
        <v>289</v>
      </c>
      <c r="B191" s="341">
        <v>8</v>
      </c>
      <c r="C191" s="309">
        <v>46126</v>
      </c>
      <c r="D191" s="310" t="s">
        <v>321</v>
      </c>
      <c r="E191" s="342">
        <v>15.53</v>
      </c>
      <c r="F191" s="342"/>
      <c r="G191" s="344">
        <f t="shared" si="3"/>
        <v>-95.440000000014805</v>
      </c>
      <c r="H191" s="345"/>
      <c r="I191" s="346"/>
      <c r="J191" s="347"/>
      <c r="K191" s="312"/>
      <c r="L191" s="347"/>
      <c r="M191" s="312"/>
      <c r="N191" s="347"/>
      <c r="O191" s="312"/>
      <c r="P191" s="347"/>
      <c r="Q191" s="312"/>
      <c r="R191" s="347"/>
      <c r="S191" s="312"/>
      <c r="T191" s="347"/>
    </row>
    <row r="192" spans="1:20" ht="12" customHeight="1" x14ac:dyDescent="0.3">
      <c r="A192" s="340" t="s">
        <v>294</v>
      </c>
      <c r="B192" s="341">
        <v>24</v>
      </c>
      <c r="C192" s="309">
        <v>46126</v>
      </c>
      <c r="D192" s="310" t="s">
        <v>199</v>
      </c>
      <c r="E192" s="342">
        <v>105.33</v>
      </c>
      <c r="F192" s="342"/>
      <c r="G192" s="344">
        <f t="shared" si="3"/>
        <v>-79.910000000014804</v>
      </c>
      <c r="H192" s="345"/>
      <c r="I192" s="346"/>
      <c r="J192" s="347"/>
      <c r="K192" s="312"/>
      <c r="L192" s="347"/>
      <c r="M192" s="312"/>
      <c r="N192" s="347"/>
      <c r="O192" s="312"/>
      <c r="P192" s="347"/>
      <c r="Q192" s="312"/>
      <c r="R192" s="347"/>
      <c r="S192" s="312"/>
      <c r="T192" s="347"/>
    </row>
    <row r="193" spans="1:20" ht="12" customHeight="1" x14ac:dyDescent="0.3">
      <c r="A193" s="340" t="s">
        <v>289</v>
      </c>
      <c r="B193" s="341">
        <v>2</v>
      </c>
      <c r="C193" s="309">
        <v>46125</v>
      </c>
      <c r="D193" s="310" t="s">
        <v>350</v>
      </c>
      <c r="E193" s="342">
        <v>11.64</v>
      </c>
      <c r="F193" s="342"/>
      <c r="G193" s="344">
        <f t="shared" si="3"/>
        <v>25.419999999985201</v>
      </c>
      <c r="H193" s="345"/>
      <c r="I193" s="346"/>
      <c r="J193" s="347"/>
      <c r="K193" s="312"/>
      <c r="L193" s="347"/>
      <c r="M193" s="312"/>
      <c r="N193" s="347"/>
      <c r="O193" s="312"/>
      <c r="P193" s="347"/>
      <c r="Q193" s="312"/>
      <c r="R193" s="347"/>
      <c r="S193" s="312"/>
      <c r="T193" s="347"/>
    </row>
    <row r="194" spans="1:20" ht="12" customHeight="1" x14ac:dyDescent="0.3">
      <c r="A194" s="340" t="s">
        <v>289</v>
      </c>
      <c r="B194" s="341">
        <v>1</v>
      </c>
      <c r="C194" s="309">
        <v>46125</v>
      </c>
      <c r="D194" s="310" t="s">
        <v>307</v>
      </c>
      <c r="E194" s="342">
        <v>50.71</v>
      </c>
      <c r="F194" s="342"/>
      <c r="G194" s="344">
        <f t="shared" si="3"/>
        <v>37.059999999985202</v>
      </c>
      <c r="H194" s="345"/>
      <c r="I194" s="346"/>
      <c r="J194" s="347"/>
      <c r="K194" s="312"/>
      <c r="L194" s="347"/>
      <c r="M194" s="312"/>
      <c r="N194" s="347"/>
      <c r="O194" s="312"/>
      <c r="P194" s="347"/>
      <c r="Q194" s="312"/>
      <c r="R194" s="347"/>
      <c r="S194" s="312"/>
      <c r="T194" s="347"/>
    </row>
    <row r="195" spans="1:20" ht="12" customHeight="1" x14ac:dyDescent="0.3">
      <c r="A195" s="340" t="s">
        <v>289</v>
      </c>
      <c r="B195" s="341">
        <v>2</v>
      </c>
      <c r="C195" s="309">
        <v>46125</v>
      </c>
      <c r="D195" s="310" t="s">
        <v>338</v>
      </c>
      <c r="E195" s="342">
        <v>11.06</v>
      </c>
      <c r="F195" s="342"/>
      <c r="G195" s="344">
        <f t="shared" si="3"/>
        <v>87.769999999985203</v>
      </c>
      <c r="H195" s="345"/>
      <c r="I195" s="346"/>
      <c r="J195" s="347"/>
      <c r="K195" s="312"/>
      <c r="L195" s="347"/>
      <c r="M195" s="312"/>
      <c r="N195" s="347"/>
      <c r="O195" s="312"/>
      <c r="P195" s="347"/>
      <c r="Q195" s="312"/>
      <c r="R195" s="347"/>
      <c r="S195" s="312"/>
      <c r="T195" s="347"/>
    </row>
    <row r="196" spans="1:20" ht="12" customHeight="1" x14ac:dyDescent="0.3">
      <c r="A196" s="340" t="s">
        <v>289</v>
      </c>
      <c r="B196" s="341">
        <v>4</v>
      </c>
      <c r="C196" s="309">
        <v>46125</v>
      </c>
      <c r="D196" s="310" t="s">
        <v>295</v>
      </c>
      <c r="E196" s="342">
        <v>35.979999999999997</v>
      </c>
      <c r="F196" s="342"/>
      <c r="G196" s="344">
        <f t="shared" si="3"/>
        <v>98.829999999985205</v>
      </c>
      <c r="H196" s="345"/>
      <c r="I196" s="346"/>
      <c r="J196" s="347"/>
      <c r="K196" s="312"/>
      <c r="L196" s="347"/>
      <c r="M196" s="312"/>
      <c r="N196" s="347"/>
      <c r="O196" s="312"/>
      <c r="P196" s="347"/>
      <c r="Q196" s="312"/>
      <c r="R196" s="347"/>
      <c r="S196" s="312"/>
      <c r="T196" s="347"/>
    </row>
    <row r="197" spans="1:20" ht="12" customHeight="1" x14ac:dyDescent="0.3">
      <c r="A197" s="340" t="s">
        <v>289</v>
      </c>
      <c r="B197" s="341">
        <v>8</v>
      </c>
      <c r="C197" s="309">
        <v>46125</v>
      </c>
      <c r="D197" s="310" t="s">
        <v>351</v>
      </c>
      <c r="E197" s="342">
        <v>7.83</v>
      </c>
      <c r="F197" s="342"/>
      <c r="G197" s="344">
        <f t="shared" si="3"/>
        <v>134.80999999998519</v>
      </c>
      <c r="H197" s="345"/>
      <c r="I197" s="346"/>
      <c r="J197" s="347"/>
      <c r="K197" s="312"/>
      <c r="L197" s="347"/>
      <c r="M197" s="312"/>
      <c r="N197" s="347"/>
      <c r="O197" s="312"/>
      <c r="P197" s="347"/>
      <c r="Q197" s="312"/>
      <c r="R197" s="347"/>
      <c r="S197" s="312"/>
      <c r="T197" s="347"/>
    </row>
    <row r="198" spans="1:20" ht="12" customHeight="1" x14ac:dyDescent="0.3">
      <c r="A198" s="340" t="s">
        <v>289</v>
      </c>
      <c r="B198" s="341">
        <v>3</v>
      </c>
      <c r="C198" s="309">
        <v>46125</v>
      </c>
      <c r="D198" s="310" t="s">
        <v>352</v>
      </c>
      <c r="E198" s="342">
        <v>4.1900000000000004</v>
      </c>
      <c r="F198" s="342"/>
      <c r="G198" s="344">
        <f t="shared" si="3"/>
        <v>142.63999999998521</v>
      </c>
      <c r="H198" s="345"/>
      <c r="I198" s="346"/>
      <c r="J198" s="347"/>
      <c r="K198" s="312"/>
      <c r="L198" s="347"/>
      <c r="M198" s="312"/>
      <c r="N198" s="347"/>
      <c r="O198" s="312"/>
      <c r="P198" s="347"/>
      <c r="Q198" s="312"/>
      <c r="R198" s="347"/>
      <c r="S198" s="312"/>
      <c r="T198" s="347"/>
    </row>
    <row r="199" spans="1:20" ht="12" customHeight="1" x14ac:dyDescent="0.3">
      <c r="A199" s="340" t="s">
        <v>289</v>
      </c>
      <c r="B199" s="341">
        <v>8</v>
      </c>
      <c r="C199" s="309">
        <v>46125</v>
      </c>
      <c r="D199" s="310" t="s">
        <v>353</v>
      </c>
      <c r="E199" s="342">
        <v>39.25</v>
      </c>
      <c r="F199" s="342"/>
      <c r="G199" s="344">
        <f t="shared" si="3"/>
        <v>146.8299999999852</v>
      </c>
      <c r="H199" s="345"/>
      <c r="I199" s="346"/>
      <c r="J199" s="347"/>
      <c r="K199" s="312"/>
      <c r="L199" s="347"/>
      <c r="M199" s="312"/>
      <c r="N199" s="347"/>
      <c r="O199" s="312"/>
      <c r="P199" s="347"/>
      <c r="Q199" s="312"/>
      <c r="R199" s="347"/>
      <c r="S199" s="312"/>
      <c r="T199" s="347"/>
    </row>
    <row r="200" spans="1:20" ht="12" customHeight="1" x14ac:dyDescent="0.3">
      <c r="A200" s="340" t="s">
        <v>287</v>
      </c>
      <c r="B200" s="341" t="s">
        <v>287</v>
      </c>
      <c r="C200" s="309">
        <v>46125</v>
      </c>
      <c r="D200" s="310" t="s">
        <v>354</v>
      </c>
      <c r="E200" s="342">
        <v>318.36</v>
      </c>
      <c r="F200" s="342">
        <v>318.36</v>
      </c>
      <c r="G200" s="344">
        <f t="shared" si="3"/>
        <v>186.0799999999852</v>
      </c>
      <c r="H200" s="345"/>
      <c r="I200" s="346"/>
      <c r="J200" s="347"/>
      <c r="K200" s="312"/>
      <c r="L200" s="347"/>
      <c r="M200" s="312"/>
      <c r="N200" s="347"/>
      <c r="O200" s="312"/>
      <c r="P200" s="347"/>
      <c r="Q200" s="312"/>
      <c r="R200" s="347"/>
      <c r="S200" s="312"/>
      <c r="T200" s="347"/>
    </row>
    <row r="201" spans="1:20" ht="12" customHeight="1" x14ac:dyDescent="0.3">
      <c r="A201" s="340" t="s">
        <v>294</v>
      </c>
      <c r="B201" s="341">
        <v>19</v>
      </c>
      <c r="C201" s="309">
        <v>46125</v>
      </c>
      <c r="D201" s="310" t="s">
        <v>191</v>
      </c>
      <c r="E201" s="342">
        <v>200</v>
      </c>
      <c r="F201" s="342"/>
      <c r="G201" s="344">
        <f t="shared" si="3"/>
        <v>186.0799999999852</v>
      </c>
      <c r="H201" s="345"/>
      <c r="I201" s="346"/>
      <c r="J201" s="347"/>
      <c r="K201" s="312"/>
      <c r="L201" s="347"/>
      <c r="M201" s="312"/>
      <c r="N201" s="347"/>
      <c r="O201" s="312"/>
      <c r="P201" s="347"/>
      <c r="Q201" s="312"/>
      <c r="R201" s="347"/>
      <c r="S201" s="312"/>
      <c r="T201" s="347"/>
    </row>
    <row r="202" spans="1:20" ht="12" customHeight="1" x14ac:dyDescent="0.3">
      <c r="A202" s="340" t="s">
        <v>289</v>
      </c>
      <c r="B202" s="341">
        <v>1</v>
      </c>
      <c r="C202" s="309">
        <v>46124</v>
      </c>
      <c r="D202" s="310" t="s">
        <v>304</v>
      </c>
      <c r="E202" s="342">
        <v>136.05000000000001</v>
      </c>
      <c r="F202" s="342"/>
      <c r="G202" s="344">
        <f t="shared" si="3"/>
        <v>386.0799999999852</v>
      </c>
      <c r="H202" s="345"/>
      <c r="I202" s="346"/>
      <c r="J202" s="347"/>
      <c r="K202" s="312"/>
      <c r="L202" s="347"/>
      <c r="M202" s="312"/>
      <c r="N202" s="347"/>
      <c r="O202" s="312"/>
      <c r="P202" s="347"/>
      <c r="Q202" s="312"/>
      <c r="R202" s="347"/>
      <c r="S202" s="312"/>
      <c r="T202" s="347"/>
    </row>
    <row r="203" spans="1:20" ht="12" customHeight="1" x14ac:dyDescent="0.3">
      <c r="A203" s="340" t="s">
        <v>289</v>
      </c>
      <c r="B203" s="341">
        <v>3</v>
      </c>
      <c r="C203" s="309">
        <v>46124</v>
      </c>
      <c r="D203" s="310" t="s">
        <v>352</v>
      </c>
      <c r="E203" s="342">
        <v>13.09</v>
      </c>
      <c r="F203" s="342"/>
      <c r="G203" s="344">
        <f t="shared" si="3"/>
        <v>522.12999999998522</v>
      </c>
      <c r="H203" s="345"/>
      <c r="I203" s="346"/>
      <c r="J203" s="347"/>
      <c r="K203" s="312"/>
      <c r="L203" s="347"/>
      <c r="M203" s="312"/>
      <c r="N203" s="347"/>
      <c r="O203" s="312"/>
      <c r="P203" s="347"/>
      <c r="Q203" s="312"/>
      <c r="R203" s="347"/>
      <c r="S203" s="312"/>
      <c r="T203" s="347"/>
    </row>
    <row r="204" spans="1:20" ht="12" customHeight="1" x14ac:dyDescent="0.3">
      <c r="A204" s="340" t="s">
        <v>289</v>
      </c>
      <c r="B204" s="341">
        <v>8</v>
      </c>
      <c r="C204" s="309">
        <v>46124</v>
      </c>
      <c r="D204" s="310" t="s">
        <v>321</v>
      </c>
      <c r="E204" s="342">
        <v>24.47</v>
      </c>
      <c r="F204" s="342"/>
      <c r="G204" s="344">
        <f t="shared" si="3"/>
        <v>535.21999999998525</v>
      </c>
      <c r="H204" s="345"/>
      <c r="I204" s="346"/>
      <c r="J204" s="347"/>
      <c r="K204" s="312"/>
      <c r="L204" s="347"/>
      <c r="M204" s="312"/>
      <c r="N204" s="347"/>
      <c r="O204" s="312"/>
      <c r="P204" s="347"/>
      <c r="Q204" s="312"/>
      <c r="R204" s="347"/>
      <c r="S204" s="312"/>
      <c r="T204" s="347"/>
    </row>
    <row r="205" spans="1:20" ht="12" customHeight="1" x14ac:dyDescent="0.3">
      <c r="A205" s="340" t="s">
        <v>289</v>
      </c>
      <c r="B205" s="341">
        <v>8</v>
      </c>
      <c r="C205" s="309">
        <v>46124</v>
      </c>
      <c r="D205" s="310" t="s">
        <v>321</v>
      </c>
      <c r="E205" s="342">
        <v>14.29</v>
      </c>
      <c r="F205" s="342"/>
      <c r="G205" s="344">
        <f t="shared" si="3"/>
        <v>559.68999999998528</v>
      </c>
      <c r="H205" s="345"/>
      <c r="I205" s="346"/>
      <c r="J205" s="347"/>
      <c r="K205" s="312"/>
      <c r="L205" s="347"/>
      <c r="M205" s="312"/>
      <c r="N205" s="347"/>
      <c r="O205" s="312"/>
      <c r="P205" s="347"/>
      <c r="Q205" s="312"/>
      <c r="R205" s="347"/>
      <c r="S205" s="312"/>
      <c r="T205" s="347"/>
    </row>
    <row r="206" spans="1:20" ht="12" customHeight="1" x14ac:dyDescent="0.3">
      <c r="A206" s="340" t="s">
        <v>294</v>
      </c>
      <c r="B206" s="341">
        <v>22</v>
      </c>
      <c r="C206" s="309">
        <v>46124</v>
      </c>
      <c r="D206" s="310" t="s">
        <v>306</v>
      </c>
      <c r="E206" s="342">
        <v>9.57</v>
      </c>
      <c r="F206" s="342"/>
      <c r="G206" s="344">
        <f t="shared" si="3"/>
        <v>573.97999999998524</v>
      </c>
      <c r="H206" s="345"/>
      <c r="I206" s="346"/>
      <c r="J206" s="347"/>
      <c r="K206" s="312"/>
      <c r="L206" s="347"/>
      <c r="M206" s="312"/>
      <c r="N206" s="347"/>
      <c r="O206" s="312"/>
      <c r="P206" s="347"/>
      <c r="Q206" s="312"/>
      <c r="R206" s="347"/>
      <c r="S206" s="312"/>
      <c r="T206" s="347"/>
    </row>
    <row r="207" spans="1:20" ht="12" customHeight="1" x14ac:dyDescent="0.3">
      <c r="A207" s="340" t="s">
        <v>289</v>
      </c>
      <c r="B207" s="341">
        <v>3</v>
      </c>
      <c r="C207" s="309">
        <v>46124</v>
      </c>
      <c r="D207" s="310" t="s">
        <v>355</v>
      </c>
      <c r="E207" s="342">
        <v>25</v>
      </c>
      <c r="F207" s="342"/>
      <c r="G207" s="344">
        <f t="shared" si="3"/>
        <v>583.54999999998529</v>
      </c>
      <c r="H207" s="345"/>
      <c r="I207" s="346"/>
      <c r="J207" s="347"/>
      <c r="K207" s="312"/>
      <c r="L207" s="347"/>
      <c r="M207" s="312"/>
      <c r="N207" s="347"/>
      <c r="O207" s="312"/>
      <c r="P207" s="347"/>
      <c r="Q207" s="312"/>
      <c r="R207" s="347"/>
      <c r="S207" s="312"/>
      <c r="T207" s="347"/>
    </row>
    <row r="208" spans="1:20" ht="12" customHeight="1" x14ac:dyDescent="0.3">
      <c r="A208" s="340" t="s">
        <v>294</v>
      </c>
      <c r="B208" s="341">
        <v>22</v>
      </c>
      <c r="C208" s="309">
        <v>46123</v>
      </c>
      <c r="D208" s="310" t="s">
        <v>356</v>
      </c>
      <c r="E208" s="342">
        <v>19.16</v>
      </c>
      <c r="F208" s="342"/>
      <c r="G208" s="344">
        <f t="shared" si="3"/>
        <v>608.54999999998529</v>
      </c>
      <c r="H208" s="345"/>
      <c r="I208" s="346"/>
      <c r="J208" s="347"/>
      <c r="K208" s="312"/>
      <c r="L208" s="347"/>
      <c r="M208" s="312"/>
      <c r="N208" s="347"/>
      <c r="O208" s="312"/>
      <c r="P208" s="347"/>
      <c r="Q208" s="312"/>
      <c r="R208" s="347"/>
      <c r="S208" s="312"/>
      <c r="T208" s="347"/>
    </row>
    <row r="209" spans="1:20" ht="12" customHeight="1" x14ac:dyDescent="0.3">
      <c r="A209" s="340" t="s">
        <v>289</v>
      </c>
      <c r="B209" s="341">
        <v>2</v>
      </c>
      <c r="C209" s="309">
        <v>46123</v>
      </c>
      <c r="D209" s="310" t="s">
        <v>301</v>
      </c>
      <c r="E209" s="342">
        <v>20.91</v>
      </c>
      <c r="F209" s="342"/>
      <c r="G209" s="344">
        <f t="shared" si="3"/>
        <v>627.70999999998526</v>
      </c>
      <c r="H209" s="345"/>
      <c r="I209" s="346"/>
      <c r="J209" s="347"/>
      <c r="K209" s="312"/>
      <c r="L209" s="347"/>
      <c r="M209" s="312"/>
      <c r="N209" s="347"/>
      <c r="O209" s="312"/>
      <c r="P209" s="347"/>
      <c r="Q209" s="312"/>
      <c r="R209" s="347"/>
      <c r="S209" s="312"/>
      <c r="T209" s="347"/>
    </row>
    <row r="210" spans="1:20" ht="12" customHeight="1" x14ac:dyDescent="0.3">
      <c r="A210" s="340" t="s">
        <v>289</v>
      </c>
      <c r="B210" s="341">
        <v>2</v>
      </c>
      <c r="C210" s="309">
        <v>46123</v>
      </c>
      <c r="D210" s="310" t="s">
        <v>296</v>
      </c>
      <c r="E210" s="342">
        <v>12.44</v>
      </c>
      <c r="F210" s="342"/>
      <c r="G210" s="344">
        <f t="shared" si="3"/>
        <v>648.61999999998523</v>
      </c>
      <c r="H210" s="345"/>
      <c r="I210" s="346"/>
      <c r="J210" s="347"/>
      <c r="K210" s="312"/>
      <c r="L210" s="347"/>
      <c r="M210" s="312"/>
      <c r="N210" s="347"/>
      <c r="O210" s="312"/>
      <c r="P210" s="347"/>
      <c r="Q210" s="312"/>
      <c r="R210" s="347"/>
      <c r="S210" s="312"/>
      <c r="T210" s="347"/>
    </row>
    <row r="211" spans="1:20" ht="12" customHeight="1" x14ac:dyDescent="0.3">
      <c r="A211" s="340" t="s">
        <v>289</v>
      </c>
      <c r="B211" s="341">
        <v>2</v>
      </c>
      <c r="C211" s="309">
        <v>46123</v>
      </c>
      <c r="D211" s="310" t="s">
        <v>357</v>
      </c>
      <c r="E211" s="342">
        <v>41.34</v>
      </c>
      <c r="F211" s="342"/>
      <c r="G211" s="344">
        <f t="shared" si="3"/>
        <v>661.05999999998528</v>
      </c>
      <c r="H211" s="345"/>
      <c r="I211" s="346"/>
      <c r="J211" s="347"/>
      <c r="K211" s="312"/>
      <c r="L211" s="347"/>
      <c r="M211" s="312"/>
      <c r="N211" s="347"/>
      <c r="O211" s="312"/>
      <c r="P211" s="347"/>
      <c r="Q211" s="312"/>
      <c r="R211" s="347"/>
      <c r="S211" s="312"/>
      <c r="T211" s="347"/>
    </row>
    <row r="212" spans="1:20" ht="12" customHeight="1" x14ac:dyDescent="0.3">
      <c r="A212" s="340" t="s">
        <v>289</v>
      </c>
      <c r="B212" s="341">
        <v>6</v>
      </c>
      <c r="C212" s="309">
        <v>46122</v>
      </c>
      <c r="D212" s="310" t="s">
        <v>455</v>
      </c>
      <c r="E212" s="342">
        <v>-0.04</v>
      </c>
      <c r="F212" s="342"/>
      <c r="G212" s="344">
        <f t="shared" si="3"/>
        <v>702.39999999998531</v>
      </c>
      <c r="H212" s="345"/>
      <c r="I212" s="346"/>
      <c r="J212" s="347"/>
      <c r="K212" s="312"/>
      <c r="L212" s="347"/>
      <c r="M212" s="312"/>
      <c r="N212" s="347"/>
      <c r="O212" s="312"/>
      <c r="P212" s="347"/>
      <c r="Q212" s="312"/>
      <c r="R212" s="347"/>
      <c r="S212" s="312"/>
      <c r="T212" s="347"/>
    </row>
    <row r="213" spans="1:20" ht="12" customHeight="1" x14ac:dyDescent="0.3">
      <c r="A213" s="340" t="s">
        <v>289</v>
      </c>
      <c r="B213" s="341">
        <v>5</v>
      </c>
      <c r="C213" s="309">
        <v>46122</v>
      </c>
      <c r="D213" s="310" t="s">
        <v>358</v>
      </c>
      <c r="E213" s="342">
        <v>372</v>
      </c>
      <c r="F213" s="342"/>
      <c r="G213" s="344">
        <f t="shared" si="3"/>
        <v>702.35999999998535</v>
      </c>
      <c r="H213" s="345" t="s">
        <v>298</v>
      </c>
      <c r="I213" s="346"/>
      <c r="J213" s="347"/>
      <c r="K213" s="312"/>
      <c r="L213" s="347"/>
      <c r="M213" s="312"/>
      <c r="N213" s="347"/>
      <c r="O213" s="312"/>
      <c r="P213" s="347"/>
      <c r="Q213" s="312"/>
      <c r="R213" s="347"/>
      <c r="S213" s="312"/>
      <c r="T213" s="347"/>
    </row>
    <row r="214" spans="1:20" ht="12" customHeight="1" x14ac:dyDescent="0.3">
      <c r="A214" s="340" t="s">
        <v>289</v>
      </c>
      <c r="B214" s="341">
        <v>2</v>
      </c>
      <c r="C214" s="309">
        <v>46122</v>
      </c>
      <c r="D214" s="310" t="s">
        <v>359</v>
      </c>
      <c r="E214" s="342">
        <v>15.22</v>
      </c>
      <c r="F214" s="342"/>
      <c r="G214" s="344">
        <f t="shared" si="3"/>
        <v>1074.3599999999853</v>
      </c>
      <c r="H214" s="345"/>
      <c r="I214" s="346"/>
      <c r="J214" s="347"/>
      <c r="K214" s="312"/>
      <c r="L214" s="347"/>
      <c r="M214" s="312"/>
      <c r="N214" s="347"/>
      <c r="O214" s="312"/>
      <c r="P214" s="347"/>
      <c r="Q214" s="312"/>
      <c r="R214" s="347"/>
      <c r="S214" s="312"/>
      <c r="T214" s="347"/>
    </row>
    <row r="215" spans="1:20" ht="12" customHeight="1" x14ac:dyDescent="0.3">
      <c r="A215" s="340" t="s">
        <v>289</v>
      </c>
      <c r="B215" s="341">
        <v>3</v>
      </c>
      <c r="C215" s="309">
        <v>46122</v>
      </c>
      <c r="D215" s="310" t="s">
        <v>296</v>
      </c>
      <c r="E215" s="342">
        <v>9.5500000000000007</v>
      </c>
      <c r="F215" s="342"/>
      <c r="G215" s="344">
        <f t="shared" si="3"/>
        <v>1089.5799999999854</v>
      </c>
      <c r="H215" s="345"/>
      <c r="I215" s="346"/>
      <c r="J215" s="347"/>
      <c r="K215" s="312"/>
      <c r="L215" s="347"/>
      <c r="M215" s="312"/>
      <c r="N215" s="347"/>
      <c r="O215" s="312"/>
      <c r="P215" s="347"/>
      <c r="Q215" s="312"/>
      <c r="R215" s="347"/>
      <c r="S215" s="312"/>
      <c r="T215" s="347"/>
    </row>
    <row r="216" spans="1:20" ht="12" customHeight="1" x14ac:dyDescent="0.3">
      <c r="A216" s="340" t="s">
        <v>289</v>
      </c>
      <c r="B216" s="341">
        <v>8</v>
      </c>
      <c r="C216" s="309">
        <v>46122</v>
      </c>
      <c r="D216" s="310" t="s">
        <v>360</v>
      </c>
      <c r="E216" s="342">
        <v>52.65</v>
      </c>
      <c r="F216" s="342"/>
      <c r="G216" s="344">
        <f t="shared" si="3"/>
        <v>1099.1299999999853</v>
      </c>
      <c r="H216" s="345"/>
      <c r="I216" s="346"/>
      <c r="J216" s="347"/>
      <c r="K216" s="312"/>
      <c r="L216" s="347"/>
      <c r="M216" s="312"/>
      <c r="N216" s="347"/>
      <c r="O216" s="312"/>
      <c r="P216" s="347"/>
      <c r="Q216" s="312"/>
      <c r="R216" s="347"/>
      <c r="S216" s="312"/>
      <c r="T216" s="347"/>
    </row>
    <row r="217" spans="1:20" ht="12" customHeight="1" x14ac:dyDescent="0.3">
      <c r="A217" s="340" t="s">
        <v>289</v>
      </c>
      <c r="B217" s="341">
        <v>1</v>
      </c>
      <c r="C217" s="309">
        <v>46122</v>
      </c>
      <c r="D217" s="310" t="s">
        <v>312</v>
      </c>
      <c r="E217" s="342">
        <v>68.989999999999995</v>
      </c>
      <c r="F217" s="342"/>
      <c r="G217" s="344">
        <f t="shared" si="3"/>
        <v>1151.7799999999854</v>
      </c>
      <c r="H217" s="345"/>
      <c r="I217" s="346"/>
      <c r="J217" s="347"/>
      <c r="K217" s="312"/>
      <c r="L217" s="347"/>
      <c r="M217" s="312"/>
      <c r="N217" s="347"/>
      <c r="O217" s="312"/>
      <c r="P217" s="347"/>
      <c r="Q217" s="312"/>
      <c r="R217" s="347"/>
      <c r="S217" s="312"/>
      <c r="T217" s="347"/>
    </row>
    <row r="218" spans="1:20" ht="12" customHeight="1" x14ac:dyDescent="0.3">
      <c r="A218" s="340" t="s">
        <v>289</v>
      </c>
      <c r="B218" s="341">
        <v>2</v>
      </c>
      <c r="C218" s="309">
        <v>46122</v>
      </c>
      <c r="D218" s="310" t="s">
        <v>327</v>
      </c>
      <c r="E218" s="342">
        <v>17.37</v>
      </c>
      <c r="F218" s="342"/>
      <c r="G218" s="344">
        <f t="shared" si="3"/>
        <v>1220.7699999999854</v>
      </c>
      <c r="H218" s="345"/>
      <c r="I218" s="346"/>
      <c r="J218" s="347"/>
      <c r="K218" s="312"/>
      <c r="L218" s="347"/>
      <c r="M218" s="312"/>
      <c r="N218" s="347"/>
      <c r="O218" s="312"/>
      <c r="P218" s="347"/>
      <c r="Q218" s="312"/>
      <c r="R218" s="347"/>
      <c r="S218" s="312"/>
      <c r="T218" s="347"/>
    </row>
    <row r="219" spans="1:20" ht="12" customHeight="1" x14ac:dyDescent="0.3">
      <c r="A219" s="340" t="s">
        <v>289</v>
      </c>
      <c r="B219" s="341">
        <v>8</v>
      </c>
      <c r="C219" s="309">
        <v>46121</v>
      </c>
      <c r="D219" s="310" t="s">
        <v>361</v>
      </c>
      <c r="E219" s="342">
        <v>64.42</v>
      </c>
      <c r="F219" s="342"/>
      <c r="G219" s="344">
        <f t="shared" si="3"/>
        <v>1238.1399999999853</v>
      </c>
      <c r="H219" s="345"/>
      <c r="I219" s="346"/>
      <c r="J219" s="347"/>
      <c r="K219" s="312"/>
      <c r="L219" s="347"/>
      <c r="M219" s="312"/>
      <c r="N219" s="347"/>
      <c r="O219" s="312"/>
      <c r="P219" s="347"/>
      <c r="Q219" s="312"/>
      <c r="R219" s="347"/>
      <c r="S219" s="312"/>
      <c r="T219" s="347"/>
    </row>
    <row r="220" spans="1:20" ht="12" customHeight="1" x14ac:dyDescent="0.3">
      <c r="A220" s="340" t="s">
        <v>289</v>
      </c>
      <c r="B220" s="341">
        <v>2</v>
      </c>
      <c r="C220" s="309">
        <v>46121</v>
      </c>
      <c r="D220" s="310" t="s">
        <v>362</v>
      </c>
      <c r="E220" s="342">
        <v>9.4700000000000006</v>
      </c>
      <c r="F220" s="342"/>
      <c r="G220" s="344">
        <f t="shared" si="3"/>
        <v>1302.5599999999854</v>
      </c>
      <c r="H220" s="345"/>
      <c r="I220" s="346"/>
      <c r="J220" s="347"/>
      <c r="K220" s="312"/>
      <c r="L220" s="347"/>
      <c r="M220" s="312"/>
      <c r="N220" s="347"/>
      <c r="O220" s="312"/>
      <c r="P220" s="347"/>
      <c r="Q220" s="312"/>
      <c r="R220" s="347"/>
      <c r="S220" s="312"/>
      <c r="T220" s="347"/>
    </row>
    <row r="221" spans="1:20" ht="12" customHeight="1" x14ac:dyDescent="0.3">
      <c r="A221" s="340" t="s">
        <v>289</v>
      </c>
      <c r="B221" s="341">
        <v>5</v>
      </c>
      <c r="C221" s="309">
        <v>46121</v>
      </c>
      <c r="D221" s="310" t="s">
        <v>871</v>
      </c>
      <c r="E221" s="342">
        <v>10.68</v>
      </c>
      <c r="F221" s="342"/>
      <c r="G221" s="344">
        <f t="shared" si="3"/>
        <v>1312.0299999999854</v>
      </c>
      <c r="H221" s="345"/>
      <c r="I221" s="346"/>
      <c r="J221" s="347"/>
      <c r="K221" s="312"/>
      <c r="L221" s="347"/>
      <c r="M221" s="312"/>
      <c r="N221" s="347"/>
      <c r="O221" s="312"/>
      <c r="P221" s="347"/>
      <c r="Q221" s="312"/>
      <c r="R221" s="347"/>
      <c r="S221" s="312"/>
      <c r="T221" s="347"/>
    </row>
    <row r="222" spans="1:20" ht="12" customHeight="1" x14ac:dyDescent="0.3">
      <c r="A222" s="340" t="s">
        <v>289</v>
      </c>
      <c r="B222" s="341">
        <v>7</v>
      </c>
      <c r="C222" s="309">
        <v>46121</v>
      </c>
      <c r="D222" s="310" t="s">
        <v>363</v>
      </c>
      <c r="E222" s="342">
        <v>68.010000000000005</v>
      </c>
      <c r="F222" s="342"/>
      <c r="G222" s="344">
        <f t="shared" si="3"/>
        <v>1322.7099999999855</v>
      </c>
      <c r="H222" s="345"/>
      <c r="I222" s="346"/>
      <c r="J222" s="347"/>
      <c r="K222" s="312"/>
      <c r="L222" s="347"/>
      <c r="M222" s="312"/>
      <c r="N222" s="347"/>
      <c r="O222" s="312"/>
      <c r="P222" s="347"/>
      <c r="Q222" s="312"/>
      <c r="R222" s="347"/>
      <c r="S222" s="312"/>
      <c r="T222" s="347"/>
    </row>
    <row r="223" spans="1:20" ht="12" customHeight="1" x14ac:dyDescent="0.3">
      <c r="A223" s="340" t="s">
        <v>289</v>
      </c>
      <c r="B223" s="341">
        <v>4</v>
      </c>
      <c r="C223" s="309">
        <v>46121</v>
      </c>
      <c r="D223" s="310" t="s">
        <v>311</v>
      </c>
      <c r="E223" s="342">
        <v>40.85</v>
      </c>
      <c r="F223" s="342"/>
      <c r="G223" s="344">
        <f t="shared" si="3"/>
        <v>1390.7199999999855</v>
      </c>
      <c r="H223" s="345"/>
      <c r="I223" s="346"/>
      <c r="J223" s="347"/>
      <c r="K223" s="312"/>
      <c r="L223" s="347"/>
      <c r="M223" s="312"/>
      <c r="N223" s="347"/>
      <c r="O223" s="312"/>
      <c r="P223" s="347"/>
      <c r="Q223" s="312"/>
      <c r="R223" s="347"/>
      <c r="S223" s="312"/>
      <c r="T223" s="347"/>
    </row>
    <row r="224" spans="1:20" ht="12" customHeight="1" x14ac:dyDescent="0.3">
      <c r="A224" s="340" t="s">
        <v>289</v>
      </c>
      <c r="B224" s="341">
        <v>6</v>
      </c>
      <c r="C224" s="309">
        <v>46121</v>
      </c>
      <c r="D224" s="310" t="s">
        <v>364</v>
      </c>
      <c r="E224" s="342">
        <v>25</v>
      </c>
      <c r="F224" s="342"/>
      <c r="G224" s="344">
        <f t="shared" si="3"/>
        <v>1431.5699999999854</v>
      </c>
      <c r="H224" s="345"/>
      <c r="I224" s="346"/>
      <c r="J224" s="347"/>
      <c r="K224" s="312"/>
      <c r="L224" s="347"/>
      <c r="M224" s="312"/>
      <c r="N224" s="347"/>
      <c r="O224" s="312"/>
      <c r="P224" s="347"/>
      <c r="Q224" s="312"/>
      <c r="R224" s="347"/>
      <c r="S224" s="312"/>
      <c r="T224" s="347"/>
    </row>
    <row r="225" spans="1:20" ht="12" customHeight="1" x14ac:dyDescent="0.3">
      <c r="A225" s="340" t="s">
        <v>294</v>
      </c>
      <c r="B225" s="341">
        <v>18</v>
      </c>
      <c r="C225" s="309">
        <v>46120</v>
      </c>
      <c r="D225" s="310" t="s">
        <v>365</v>
      </c>
      <c r="E225" s="342">
        <v>400</v>
      </c>
      <c r="F225" s="342"/>
      <c r="G225" s="344">
        <f t="shared" si="3"/>
        <v>1456.5699999999854</v>
      </c>
      <c r="H225" s="345"/>
      <c r="I225" s="346"/>
      <c r="J225" s="347"/>
      <c r="K225" s="312"/>
      <c r="L225" s="347"/>
      <c r="M225" s="312"/>
      <c r="N225" s="347"/>
      <c r="O225" s="312"/>
      <c r="P225" s="347"/>
      <c r="Q225" s="312"/>
      <c r="R225" s="347"/>
      <c r="S225" s="312"/>
      <c r="T225" s="347"/>
    </row>
    <row r="226" spans="1:20" ht="12" customHeight="1" x14ac:dyDescent="0.3">
      <c r="A226" s="340" t="s">
        <v>339</v>
      </c>
      <c r="B226" s="341" t="s">
        <v>339</v>
      </c>
      <c r="C226" s="309">
        <v>46120</v>
      </c>
      <c r="D226" s="310" t="s">
        <v>182</v>
      </c>
      <c r="E226" s="342">
        <v>44.96</v>
      </c>
      <c r="F226" s="342"/>
      <c r="G226" s="344">
        <f t="shared" si="3"/>
        <v>1856.5699999999854</v>
      </c>
      <c r="H226" s="345"/>
      <c r="I226" s="346"/>
      <c r="J226" s="347"/>
      <c r="K226" s="312"/>
      <c r="L226" s="347"/>
      <c r="M226" s="312"/>
      <c r="N226" s="347"/>
      <c r="O226" s="312"/>
      <c r="P226" s="347"/>
      <c r="Q226" s="312"/>
      <c r="R226" s="347"/>
      <c r="S226" s="312"/>
      <c r="T226" s="347"/>
    </row>
    <row r="227" spans="1:20" ht="12" customHeight="1" x14ac:dyDescent="0.3">
      <c r="A227" s="340" t="s">
        <v>294</v>
      </c>
      <c r="B227" s="341">
        <v>13</v>
      </c>
      <c r="C227" s="309">
        <v>46120</v>
      </c>
      <c r="D227" s="310" t="s">
        <v>182</v>
      </c>
      <c r="E227" s="342">
        <v>104.98</v>
      </c>
      <c r="F227" s="342"/>
      <c r="G227" s="344">
        <f t="shared" si="3"/>
        <v>1901.5299999999854</v>
      </c>
      <c r="H227" s="345"/>
      <c r="I227" s="346"/>
      <c r="J227" s="347"/>
      <c r="K227" s="312"/>
      <c r="L227" s="347"/>
      <c r="M227" s="312"/>
      <c r="N227" s="347"/>
      <c r="O227" s="312"/>
      <c r="P227" s="347"/>
      <c r="Q227" s="312"/>
      <c r="R227" s="347"/>
      <c r="S227" s="312"/>
      <c r="T227" s="347"/>
    </row>
    <row r="228" spans="1:20" ht="12" customHeight="1" x14ac:dyDescent="0.3">
      <c r="A228" s="340" t="s">
        <v>289</v>
      </c>
      <c r="B228" s="341">
        <v>2</v>
      </c>
      <c r="C228" s="309">
        <v>46120</v>
      </c>
      <c r="D228" s="310" t="s">
        <v>296</v>
      </c>
      <c r="E228" s="342">
        <v>13.8</v>
      </c>
      <c r="F228" s="342"/>
      <c r="G228" s="344">
        <f t="shared" si="3"/>
        <v>2006.5099999999854</v>
      </c>
      <c r="H228" s="345"/>
      <c r="I228" s="346"/>
      <c r="J228" s="347"/>
      <c r="K228" s="312"/>
      <c r="L228" s="347"/>
      <c r="M228" s="312"/>
      <c r="N228" s="347"/>
      <c r="O228" s="312"/>
      <c r="P228" s="347"/>
      <c r="Q228" s="312"/>
      <c r="R228" s="347"/>
      <c r="S228" s="312"/>
      <c r="T228" s="347"/>
    </row>
    <row r="229" spans="1:20" ht="12" customHeight="1" x14ac:dyDescent="0.3">
      <c r="A229" s="340" t="s">
        <v>289</v>
      </c>
      <c r="B229" s="341">
        <v>4</v>
      </c>
      <c r="C229" s="309">
        <v>46120</v>
      </c>
      <c r="D229" s="310" t="s">
        <v>295</v>
      </c>
      <c r="E229" s="342">
        <v>37.92</v>
      </c>
      <c r="F229" s="342"/>
      <c r="G229" s="344">
        <f t="shared" si="3"/>
        <v>2020.3099999999854</v>
      </c>
      <c r="H229" s="345"/>
      <c r="I229" s="346"/>
      <c r="J229" s="347"/>
      <c r="K229" s="312"/>
      <c r="L229" s="347"/>
      <c r="M229" s="312"/>
      <c r="N229" s="347"/>
      <c r="O229" s="312"/>
      <c r="P229" s="347"/>
      <c r="Q229" s="312"/>
      <c r="R229" s="347"/>
      <c r="S229" s="312"/>
      <c r="T229" s="347"/>
    </row>
    <row r="230" spans="1:20" ht="12" customHeight="1" x14ac:dyDescent="0.3">
      <c r="A230" s="340" t="s">
        <v>289</v>
      </c>
      <c r="B230" s="341">
        <v>6</v>
      </c>
      <c r="C230" s="309">
        <v>46120</v>
      </c>
      <c r="D230" s="310" t="s">
        <v>300</v>
      </c>
      <c r="E230" s="342">
        <v>56.68</v>
      </c>
      <c r="F230" s="342"/>
      <c r="G230" s="344">
        <f t="shared" si="3"/>
        <v>2058.2299999999855</v>
      </c>
      <c r="H230" s="345"/>
      <c r="I230" s="346"/>
      <c r="J230" s="347"/>
      <c r="K230" s="312"/>
      <c r="L230" s="347"/>
      <c r="M230" s="312"/>
      <c r="N230" s="347"/>
      <c r="O230" s="312"/>
      <c r="P230" s="347"/>
      <c r="Q230" s="312"/>
      <c r="R230" s="347"/>
      <c r="S230" s="312"/>
      <c r="T230" s="347"/>
    </row>
    <row r="231" spans="1:20" ht="12" customHeight="1" x14ac:dyDescent="0.3">
      <c r="A231" s="340" t="s">
        <v>289</v>
      </c>
      <c r="B231" s="341">
        <v>6</v>
      </c>
      <c r="C231" s="309">
        <v>46120</v>
      </c>
      <c r="D231" s="310" t="s">
        <v>366</v>
      </c>
      <c r="E231" s="342">
        <v>29.26</v>
      </c>
      <c r="F231" s="342"/>
      <c r="G231" s="344">
        <f t="shared" si="3"/>
        <v>2114.9099999999853</v>
      </c>
      <c r="H231" s="345"/>
      <c r="I231" s="346"/>
      <c r="J231" s="347"/>
      <c r="K231" s="312"/>
      <c r="L231" s="347"/>
      <c r="M231" s="312"/>
      <c r="N231" s="347"/>
      <c r="O231" s="312"/>
      <c r="P231" s="347"/>
      <c r="Q231" s="312"/>
      <c r="R231" s="347"/>
      <c r="S231" s="312"/>
      <c r="T231" s="347"/>
    </row>
    <row r="232" spans="1:20" ht="12" customHeight="1" x14ac:dyDescent="0.3">
      <c r="A232" s="340" t="s">
        <v>294</v>
      </c>
      <c r="B232" s="341">
        <v>9</v>
      </c>
      <c r="C232" s="309">
        <v>46119</v>
      </c>
      <c r="D232" s="310" t="s">
        <v>58</v>
      </c>
      <c r="E232" s="342">
        <v>1281.53</v>
      </c>
      <c r="F232" s="342"/>
      <c r="G232" s="344">
        <f t="shared" si="3"/>
        <v>2144.1699999999855</v>
      </c>
      <c r="H232" s="345"/>
      <c r="I232" s="346"/>
      <c r="J232" s="347"/>
      <c r="K232" s="312"/>
      <c r="L232" s="347"/>
      <c r="M232" s="312"/>
      <c r="N232" s="347"/>
      <c r="O232" s="312"/>
      <c r="P232" s="347"/>
      <c r="Q232" s="312"/>
      <c r="R232" s="347"/>
      <c r="S232" s="312"/>
      <c r="T232" s="347"/>
    </row>
    <row r="233" spans="1:20" ht="12" customHeight="1" x14ac:dyDescent="0.3">
      <c r="A233" s="340" t="s">
        <v>289</v>
      </c>
      <c r="B233" s="341">
        <v>4</v>
      </c>
      <c r="C233" s="309">
        <v>46119</v>
      </c>
      <c r="D233" s="310" t="s">
        <v>367</v>
      </c>
      <c r="E233" s="342">
        <v>25.84</v>
      </c>
      <c r="F233" s="342"/>
      <c r="G233" s="344">
        <f t="shared" si="3"/>
        <v>3425.6999999999853</v>
      </c>
      <c r="H233" s="345"/>
      <c r="I233" s="346"/>
      <c r="J233" s="347"/>
      <c r="K233" s="312"/>
      <c r="L233" s="347"/>
      <c r="M233" s="312"/>
      <c r="N233" s="347"/>
      <c r="O233" s="312"/>
      <c r="P233" s="347"/>
      <c r="Q233" s="312"/>
      <c r="R233" s="347"/>
      <c r="S233" s="312"/>
      <c r="T233" s="347"/>
    </row>
    <row r="234" spans="1:20" ht="12" customHeight="1" x14ac:dyDescent="0.3">
      <c r="A234" s="340" t="s">
        <v>289</v>
      </c>
      <c r="B234" s="341">
        <v>8</v>
      </c>
      <c r="C234" s="309">
        <v>46119</v>
      </c>
      <c r="D234" s="310" t="s">
        <v>321</v>
      </c>
      <c r="E234" s="342">
        <v>12.05</v>
      </c>
      <c r="F234" s="342"/>
      <c r="G234" s="344">
        <f t="shared" si="3"/>
        <v>3451.5399999999854</v>
      </c>
      <c r="H234" s="345"/>
      <c r="I234" s="346"/>
      <c r="J234" s="347"/>
      <c r="K234" s="312"/>
      <c r="L234" s="347"/>
      <c r="M234" s="312"/>
      <c r="N234" s="347"/>
      <c r="O234" s="312"/>
      <c r="P234" s="347"/>
      <c r="Q234" s="312"/>
      <c r="R234" s="347"/>
      <c r="S234" s="312"/>
      <c r="T234" s="347"/>
    </row>
    <row r="235" spans="1:20" ht="12" customHeight="1" x14ac:dyDescent="0.3">
      <c r="A235" s="340" t="s">
        <v>289</v>
      </c>
      <c r="B235" s="341">
        <v>4</v>
      </c>
      <c r="C235" s="309">
        <v>46119</v>
      </c>
      <c r="D235" s="310" t="s">
        <v>338</v>
      </c>
      <c r="E235" s="342">
        <v>82.04</v>
      </c>
      <c r="F235" s="342"/>
      <c r="G235" s="344">
        <f t="shared" si="3"/>
        <v>3463.5899999999856</v>
      </c>
      <c r="H235" s="345"/>
      <c r="I235" s="346"/>
      <c r="J235" s="347"/>
      <c r="K235" s="312"/>
      <c r="L235" s="347"/>
      <c r="M235" s="312"/>
      <c r="N235" s="347"/>
      <c r="O235" s="312"/>
      <c r="P235" s="347"/>
      <c r="Q235" s="312"/>
      <c r="R235" s="347"/>
      <c r="S235" s="312"/>
      <c r="T235" s="347"/>
    </row>
    <row r="236" spans="1:20" ht="12" customHeight="1" x14ac:dyDescent="0.3">
      <c r="A236" s="340" t="s">
        <v>289</v>
      </c>
      <c r="B236" s="341">
        <v>2</v>
      </c>
      <c r="C236" s="309">
        <v>46119</v>
      </c>
      <c r="D236" s="310" t="s">
        <v>368</v>
      </c>
      <c r="E236" s="342">
        <v>22.92</v>
      </c>
      <c r="F236" s="342"/>
      <c r="G236" s="344">
        <f t="shared" si="3"/>
        <v>3545.6299999999856</v>
      </c>
      <c r="H236" s="345"/>
      <c r="I236" s="346"/>
      <c r="J236" s="347"/>
      <c r="K236" s="312"/>
      <c r="L236" s="347"/>
      <c r="M236" s="312"/>
      <c r="N236" s="347"/>
      <c r="O236" s="312"/>
      <c r="P236" s="347"/>
      <c r="Q236" s="312"/>
      <c r="R236" s="347"/>
      <c r="S236" s="312"/>
      <c r="T236" s="347"/>
    </row>
    <row r="237" spans="1:20" ht="12" customHeight="1" x14ac:dyDescent="0.3">
      <c r="A237" s="340" t="s">
        <v>289</v>
      </c>
      <c r="B237" s="341">
        <v>5</v>
      </c>
      <c r="C237" s="309">
        <v>46118</v>
      </c>
      <c r="D237" s="310" t="s">
        <v>369</v>
      </c>
      <c r="E237" s="342">
        <v>400</v>
      </c>
      <c r="F237" s="342"/>
      <c r="G237" s="344">
        <f t="shared" si="3"/>
        <v>3568.5499999999856</v>
      </c>
      <c r="H237" s="345"/>
      <c r="I237" s="346"/>
      <c r="J237" s="347"/>
      <c r="K237" s="312"/>
      <c r="L237" s="347"/>
      <c r="M237" s="312"/>
      <c r="N237" s="347"/>
      <c r="O237" s="312"/>
      <c r="P237" s="347"/>
      <c r="Q237" s="312"/>
      <c r="R237" s="347"/>
      <c r="S237" s="312"/>
      <c r="T237" s="347"/>
    </row>
    <row r="238" spans="1:20" ht="12" customHeight="1" x14ac:dyDescent="0.3">
      <c r="A238" s="340" t="s">
        <v>294</v>
      </c>
      <c r="B238" s="341">
        <v>14</v>
      </c>
      <c r="C238" s="309">
        <v>46118</v>
      </c>
      <c r="D238" s="310" t="s">
        <v>370</v>
      </c>
      <c r="E238" s="342">
        <v>66.67</v>
      </c>
      <c r="F238" s="342"/>
      <c r="G238" s="344">
        <f t="shared" si="3"/>
        <v>3968.5499999999856</v>
      </c>
      <c r="H238" s="345"/>
      <c r="I238" s="346"/>
      <c r="J238" s="347"/>
      <c r="K238" s="312"/>
      <c r="L238" s="347"/>
      <c r="M238" s="312"/>
      <c r="N238" s="347"/>
      <c r="O238" s="312"/>
      <c r="P238" s="347"/>
      <c r="Q238" s="312"/>
      <c r="R238" s="347"/>
      <c r="S238" s="312"/>
      <c r="T238" s="347"/>
    </row>
    <row r="239" spans="1:20" ht="12" customHeight="1" x14ac:dyDescent="0.3">
      <c r="A239" s="340" t="s">
        <v>294</v>
      </c>
      <c r="B239" s="341">
        <v>14</v>
      </c>
      <c r="C239" s="309">
        <v>46118</v>
      </c>
      <c r="D239" s="310" t="s">
        <v>371</v>
      </c>
      <c r="E239" s="342">
        <v>70.25</v>
      </c>
      <c r="F239" s="342"/>
      <c r="G239" s="344">
        <f t="shared" si="3"/>
        <v>4035.2199999999857</v>
      </c>
      <c r="H239" s="345"/>
      <c r="I239" s="346"/>
      <c r="J239" s="347"/>
      <c r="K239" s="312"/>
      <c r="L239" s="347"/>
      <c r="M239" s="312"/>
      <c r="N239" s="347"/>
      <c r="O239" s="312"/>
      <c r="P239" s="347"/>
      <c r="Q239" s="312"/>
      <c r="R239" s="347"/>
      <c r="S239" s="312"/>
      <c r="T239" s="347"/>
    </row>
    <row r="240" spans="1:20" ht="12" customHeight="1" x14ac:dyDescent="0.3">
      <c r="A240" s="340" t="s">
        <v>289</v>
      </c>
      <c r="B240" s="341">
        <v>1</v>
      </c>
      <c r="C240" s="309">
        <v>46117</v>
      </c>
      <c r="D240" s="310" t="s">
        <v>372</v>
      </c>
      <c r="E240" s="342">
        <v>25.6</v>
      </c>
      <c r="F240" s="342"/>
      <c r="G240" s="344">
        <f t="shared" si="3"/>
        <v>4105.4699999999857</v>
      </c>
      <c r="H240" s="345"/>
      <c r="I240" s="346"/>
      <c r="J240" s="347"/>
      <c r="K240" s="312"/>
      <c r="L240" s="347"/>
      <c r="M240" s="312"/>
      <c r="N240" s="347"/>
      <c r="O240" s="312"/>
      <c r="P240" s="347"/>
      <c r="Q240" s="312"/>
      <c r="R240" s="347"/>
      <c r="S240" s="312"/>
      <c r="T240" s="347"/>
    </row>
    <row r="241" spans="1:20" ht="12" customHeight="1" x14ac:dyDescent="0.3">
      <c r="A241" s="340" t="s">
        <v>289</v>
      </c>
      <c r="B241" s="341">
        <v>8</v>
      </c>
      <c r="C241" s="309">
        <v>46117</v>
      </c>
      <c r="D241" s="310" t="s">
        <v>321</v>
      </c>
      <c r="E241" s="342">
        <v>8.56</v>
      </c>
      <c r="F241" s="342"/>
      <c r="G241" s="344">
        <f t="shared" si="3"/>
        <v>4131.0699999999861</v>
      </c>
      <c r="H241" s="345"/>
      <c r="I241" s="346"/>
      <c r="J241" s="347"/>
      <c r="K241" s="312"/>
      <c r="L241" s="347"/>
      <c r="M241" s="312"/>
      <c r="N241" s="347"/>
      <c r="O241" s="312"/>
      <c r="P241" s="347"/>
      <c r="Q241" s="312"/>
      <c r="R241" s="347"/>
      <c r="S241" s="312"/>
      <c r="T241" s="347"/>
    </row>
    <row r="242" spans="1:20" ht="12" customHeight="1" x14ac:dyDescent="0.3">
      <c r="A242" s="340" t="s">
        <v>289</v>
      </c>
      <c r="B242" s="341">
        <v>6</v>
      </c>
      <c r="C242" s="309">
        <v>46117</v>
      </c>
      <c r="D242" s="310" t="s">
        <v>373</v>
      </c>
      <c r="E242" s="342">
        <v>301.67</v>
      </c>
      <c r="F242" s="342"/>
      <c r="G242" s="344">
        <f t="shared" si="3"/>
        <v>4139.6299999999865</v>
      </c>
      <c r="H242" s="345"/>
      <c r="I242" s="346"/>
      <c r="J242" s="347"/>
      <c r="K242" s="312"/>
      <c r="L242" s="347"/>
      <c r="M242" s="312"/>
      <c r="N242" s="347"/>
      <c r="O242" s="312"/>
      <c r="P242" s="347"/>
      <c r="Q242" s="312"/>
      <c r="R242" s="347"/>
      <c r="S242" s="312"/>
      <c r="T242" s="347"/>
    </row>
    <row r="243" spans="1:20" ht="12" customHeight="1" x14ac:dyDescent="0.3">
      <c r="A243" s="340" t="s">
        <v>289</v>
      </c>
      <c r="B243" s="341">
        <v>1</v>
      </c>
      <c r="C243" s="309">
        <v>46116</v>
      </c>
      <c r="D243" s="310" t="s">
        <v>307</v>
      </c>
      <c r="E243" s="342">
        <v>176.85</v>
      </c>
      <c r="F243" s="342"/>
      <c r="G243" s="344">
        <f t="shared" si="3"/>
        <v>4441.2999999999865</v>
      </c>
      <c r="H243" s="345"/>
      <c r="I243" s="346"/>
      <c r="J243" s="347"/>
      <c r="K243" s="312"/>
      <c r="L243" s="347"/>
      <c r="M243" s="312"/>
      <c r="N243" s="347"/>
      <c r="O243" s="312"/>
      <c r="P243" s="347"/>
      <c r="Q243" s="312"/>
      <c r="R243" s="347"/>
      <c r="S243" s="312"/>
      <c r="T243" s="347"/>
    </row>
    <row r="244" spans="1:20" ht="12" customHeight="1" x14ac:dyDescent="0.3">
      <c r="A244" s="340" t="s">
        <v>289</v>
      </c>
      <c r="B244" s="341">
        <v>1</v>
      </c>
      <c r="C244" s="309">
        <v>46116</v>
      </c>
      <c r="D244" s="310" t="s">
        <v>312</v>
      </c>
      <c r="E244" s="342">
        <v>139.34</v>
      </c>
      <c r="F244" s="342"/>
      <c r="G244" s="344">
        <f t="shared" si="3"/>
        <v>4618.1499999999869</v>
      </c>
      <c r="H244" s="345"/>
      <c r="I244" s="346"/>
      <c r="J244" s="347"/>
      <c r="K244" s="312"/>
      <c r="L244" s="347"/>
      <c r="M244" s="312"/>
      <c r="N244" s="347"/>
      <c r="O244" s="312"/>
      <c r="P244" s="347"/>
      <c r="Q244" s="312"/>
      <c r="R244" s="347"/>
      <c r="S244" s="312"/>
      <c r="T244" s="347"/>
    </row>
    <row r="245" spans="1:20" ht="12" customHeight="1" x14ac:dyDescent="0.3">
      <c r="A245" s="340" t="s">
        <v>294</v>
      </c>
      <c r="B245" s="341">
        <v>17</v>
      </c>
      <c r="C245" s="309">
        <v>46116</v>
      </c>
      <c r="D245" s="310" t="s">
        <v>374</v>
      </c>
      <c r="E245" s="342">
        <v>99</v>
      </c>
      <c r="F245" s="342"/>
      <c r="G245" s="344">
        <f t="shared" si="3"/>
        <v>4757.489999999987</v>
      </c>
      <c r="H245" s="345"/>
      <c r="I245" s="346"/>
      <c r="J245" s="347"/>
      <c r="K245" s="312"/>
      <c r="L245" s="347"/>
      <c r="M245" s="312"/>
      <c r="N245" s="347"/>
      <c r="O245" s="312"/>
      <c r="P245" s="347"/>
      <c r="Q245" s="312"/>
      <c r="R245" s="347"/>
      <c r="S245" s="312"/>
      <c r="T245" s="347"/>
    </row>
    <row r="246" spans="1:20" ht="12" customHeight="1" x14ac:dyDescent="0.3">
      <c r="A246" s="340" t="s">
        <v>289</v>
      </c>
      <c r="B246" s="341">
        <v>2</v>
      </c>
      <c r="C246" s="309">
        <v>46116</v>
      </c>
      <c r="D246" s="310" t="s">
        <v>375</v>
      </c>
      <c r="E246" s="342">
        <v>34</v>
      </c>
      <c r="F246" s="342"/>
      <c r="G246" s="344">
        <f t="shared" si="3"/>
        <v>4856.489999999987</v>
      </c>
      <c r="H246" s="345"/>
      <c r="I246" s="346"/>
      <c r="J246" s="347"/>
      <c r="K246" s="312"/>
      <c r="L246" s="347"/>
      <c r="M246" s="312"/>
      <c r="N246" s="347"/>
      <c r="O246" s="312"/>
      <c r="P246" s="347"/>
      <c r="Q246" s="312"/>
      <c r="R246" s="347"/>
      <c r="S246" s="312"/>
      <c r="T246" s="347"/>
    </row>
    <row r="247" spans="1:20" ht="12" customHeight="1" x14ac:dyDescent="0.3">
      <c r="A247" s="340" t="s">
        <v>289</v>
      </c>
      <c r="B247" s="341">
        <v>3</v>
      </c>
      <c r="C247" s="309">
        <v>46116</v>
      </c>
      <c r="D247" s="310" t="s">
        <v>352</v>
      </c>
      <c r="E247" s="342">
        <v>10.24</v>
      </c>
      <c r="F247" s="342"/>
      <c r="G247" s="344">
        <f t="shared" si="3"/>
        <v>4890.489999999987</v>
      </c>
      <c r="H247" s="345"/>
      <c r="I247" s="346"/>
      <c r="J247" s="347"/>
      <c r="K247" s="312"/>
      <c r="L247" s="347"/>
      <c r="M247" s="312"/>
      <c r="N247" s="347"/>
      <c r="O247" s="312"/>
      <c r="P247" s="347"/>
      <c r="Q247" s="312"/>
      <c r="R247" s="347"/>
      <c r="S247" s="312"/>
      <c r="T247" s="347"/>
    </row>
    <row r="248" spans="1:20" ht="12" customHeight="1" x14ac:dyDescent="0.3">
      <c r="A248" s="340" t="s">
        <v>289</v>
      </c>
      <c r="B248" s="341">
        <v>7</v>
      </c>
      <c r="C248" s="309">
        <v>46115</v>
      </c>
      <c r="D248" s="310" t="s">
        <v>376</v>
      </c>
      <c r="E248" s="342">
        <v>100</v>
      </c>
      <c r="F248" s="342"/>
      <c r="G248" s="344">
        <f t="shared" si="3"/>
        <v>4900.7299999999868</v>
      </c>
      <c r="H248" s="345"/>
      <c r="I248" s="346"/>
      <c r="J248" s="347"/>
      <c r="K248" s="312"/>
      <c r="L248" s="347"/>
      <c r="M248" s="312"/>
      <c r="N248" s="347"/>
      <c r="O248" s="312"/>
      <c r="P248" s="347"/>
      <c r="Q248" s="312"/>
      <c r="R248" s="347"/>
      <c r="S248" s="312"/>
      <c r="T248" s="347"/>
    </row>
    <row r="249" spans="1:20" ht="12" customHeight="1" x14ac:dyDescent="0.3">
      <c r="A249" s="340" t="s">
        <v>289</v>
      </c>
      <c r="B249" s="341">
        <v>6</v>
      </c>
      <c r="C249" s="309">
        <v>46115</v>
      </c>
      <c r="D249" s="310" t="s">
        <v>300</v>
      </c>
      <c r="E249" s="342">
        <v>7.68</v>
      </c>
      <c r="F249" s="342"/>
      <c r="G249" s="344">
        <f t="shared" si="3"/>
        <v>5000.7299999999868</v>
      </c>
      <c r="H249" s="345"/>
      <c r="I249" s="346"/>
      <c r="J249" s="347"/>
      <c r="K249" s="312"/>
      <c r="L249" s="347"/>
      <c r="M249" s="312"/>
      <c r="N249" s="347"/>
      <c r="O249" s="312"/>
      <c r="P249" s="347"/>
      <c r="Q249" s="312"/>
      <c r="R249" s="347"/>
      <c r="S249" s="312"/>
      <c r="T249" s="347"/>
    </row>
    <row r="250" spans="1:20" ht="12" customHeight="1" x14ac:dyDescent="0.3">
      <c r="A250" s="340" t="s">
        <v>289</v>
      </c>
      <c r="B250" s="341">
        <v>2</v>
      </c>
      <c r="C250" s="309">
        <v>46115</v>
      </c>
      <c r="D250" s="310" t="s">
        <v>296</v>
      </c>
      <c r="E250" s="342">
        <v>8.7200000000000006</v>
      </c>
      <c r="F250" s="342"/>
      <c r="G250" s="344">
        <f t="shared" si="3"/>
        <v>5008.4099999999871</v>
      </c>
      <c r="H250" s="345"/>
      <c r="I250" s="346"/>
      <c r="J250" s="347"/>
      <c r="K250" s="312"/>
      <c r="L250" s="347"/>
      <c r="M250" s="312"/>
      <c r="N250" s="347"/>
      <c r="O250" s="312"/>
      <c r="P250" s="347"/>
      <c r="Q250" s="312"/>
      <c r="R250" s="347"/>
      <c r="S250" s="312"/>
      <c r="T250" s="347"/>
    </row>
    <row r="251" spans="1:20" ht="12" customHeight="1" x14ac:dyDescent="0.3">
      <c r="A251" s="340" t="s">
        <v>289</v>
      </c>
      <c r="B251" s="341">
        <v>8</v>
      </c>
      <c r="C251" s="309">
        <v>46114</v>
      </c>
      <c r="D251" s="310" t="s">
        <v>377</v>
      </c>
      <c r="E251" s="342">
        <v>81.739999999999995</v>
      </c>
      <c r="F251" s="342"/>
      <c r="G251" s="344">
        <f t="shared" si="3"/>
        <v>5017.1299999999874</v>
      </c>
      <c r="H251" s="345"/>
      <c r="I251" s="346"/>
      <c r="J251" s="347"/>
      <c r="K251" s="312"/>
      <c r="L251" s="347"/>
      <c r="M251" s="312"/>
      <c r="N251" s="347"/>
      <c r="O251" s="312"/>
      <c r="P251" s="347"/>
      <c r="Q251" s="312"/>
      <c r="R251" s="347"/>
      <c r="S251" s="312"/>
      <c r="T251" s="347"/>
    </row>
    <row r="252" spans="1:20" ht="12" customHeight="1" x14ac:dyDescent="0.3">
      <c r="A252" s="340" t="s">
        <v>284</v>
      </c>
      <c r="B252" s="341">
        <v>36</v>
      </c>
      <c r="C252" s="309">
        <v>46114</v>
      </c>
      <c r="D252" s="310" t="s">
        <v>378</v>
      </c>
      <c r="E252" s="342">
        <v>50</v>
      </c>
      <c r="F252" s="342"/>
      <c r="G252" s="344">
        <f t="shared" si="3"/>
        <v>5098.8699999999872</v>
      </c>
      <c r="H252" s="345"/>
      <c r="I252" s="346"/>
      <c r="J252" s="347"/>
      <c r="K252" s="312"/>
      <c r="L252" s="347"/>
      <c r="M252" s="312"/>
      <c r="N252" s="347"/>
      <c r="O252" s="312"/>
      <c r="P252" s="347"/>
      <c r="Q252" s="312"/>
      <c r="R252" s="347"/>
      <c r="S252" s="312"/>
      <c r="T252" s="347"/>
    </row>
    <row r="253" spans="1:20" ht="12" customHeight="1" x14ac:dyDescent="0.3">
      <c r="A253" s="340" t="s">
        <v>294</v>
      </c>
      <c r="B253" s="341">
        <v>22</v>
      </c>
      <c r="C253" s="309">
        <v>46114</v>
      </c>
      <c r="D253" s="310" t="s">
        <v>379</v>
      </c>
      <c r="E253" s="342">
        <v>6.37</v>
      </c>
      <c r="F253" s="342"/>
      <c r="G253" s="344">
        <f t="shared" si="3"/>
        <v>5148.8699999999872</v>
      </c>
      <c r="H253" s="345"/>
      <c r="I253" s="346"/>
      <c r="J253" s="347"/>
      <c r="K253" s="312"/>
      <c r="L253" s="347"/>
      <c r="M253" s="312"/>
      <c r="N253" s="347"/>
      <c r="O253" s="312"/>
      <c r="P253" s="347"/>
      <c r="Q253" s="312"/>
      <c r="R253" s="347"/>
      <c r="S253" s="312"/>
      <c r="T253" s="347"/>
    </row>
    <row r="254" spans="1:20" ht="12" customHeight="1" x14ac:dyDescent="0.3">
      <c r="A254" s="340" t="s">
        <v>289</v>
      </c>
      <c r="B254" s="341">
        <v>2</v>
      </c>
      <c r="C254" s="309">
        <v>46114</v>
      </c>
      <c r="D254" s="310" t="s">
        <v>329</v>
      </c>
      <c r="E254" s="342">
        <v>55.22</v>
      </c>
      <c r="F254" s="342"/>
      <c r="G254" s="344">
        <f t="shared" si="3"/>
        <v>5155.239999999987</v>
      </c>
      <c r="H254" s="345"/>
      <c r="I254" s="346"/>
      <c r="J254" s="347"/>
      <c r="K254" s="312"/>
      <c r="L254" s="347"/>
      <c r="M254" s="312"/>
      <c r="N254" s="347"/>
      <c r="O254" s="312"/>
      <c r="P254" s="347"/>
      <c r="Q254" s="312"/>
      <c r="R254" s="347"/>
      <c r="S254" s="312"/>
      <c r="T254" s="347"/>
    </row>
    <row r="255" spans="1:20" ht="12" customHeight="1" x14ac:dyDescent="0.3">
      <c r="A255" s="340" t="s">
        <v>289</v>
      </c>
      <c r="B255" s="341">
        <v>8</v>
      </c>
      <c r="C255" s="309">
        <v>46114</v>
      </c>
      <c r="D255" s="310" t="s">
        <v>321</v>
      </c>
      <c r="E255" s="342">
        <v>8.5</v>
      </c>
      <c r="F255" s="342"/>
      <c r="G255" s="344">
        <f t="shared" si="3"/>
        <v>5210.4599999999873</v>
      </c>
      <c r="H255" s="345"/>
      <c r="I255" s="346"/>
      <c r="J255" s="347"/>
      <c r="K255" s="312"/>
      <c r="L255" s="347"/>
      <c r="M255" s="312"/>
      <c r="N255" s="347"/>
      <c r="O255" s="312"/>
      <c r="P255" s="347"/>
      <c r="Q255" s="312"/>
      <c r="R255" s="347"/>
      <c r="S255" s="312"/>
      <c r="T255" s="347"/>
    </row>
    <row r="256" spans="1:20" ht="12" customHeight="1" x14ac:dyDescent="0.3">
      <c r="A256" s="340" t="s">
        <v>289</v>
      </c>
      <c r="B256" s="341">
        <v>4</v>
      </c>
      <c r="C256" s="309">
        <v>46114</v>
      </c>
      <c r="D256" s="310" t="s">
        <v>338</v>
      </c>
      <c r="E256" s="342">
        <v>38.99</v>
      </c>
      <c r="F256" s="342"/>
      <c r="G256" s="344">
        <f t="shared" si="3"/>
        <v>5218.9599999999873</v>
      </c>
      <c r="H256" s="345"/>
      <c r="I256" s="346"/>
      <c r="J256" s="347"/>
      <c r="K256" s="312"/>
      <c r="L256" s="347"/>
      <c r="M256" s="312"/>
      <c r="N256" s="347"/>
      <c r="O256" s="312"/>
      <c r="P256" s="347"/>
      <c r="Q256" s="312"/>
      <c r="R256" s="347"/>
      <c r="S256" s="312"/>
      <c r="T256" s="347"/>
    </row>
    <row r="257" spans="1:20" ht="12" customHeight="1" x14ac:dyDescent="0.3">
      <c r="A257" s="340" t="s">
        <v>291</v>
      </c>
      <c r="B257" s="341">
        <v>39</v>
      </c>
      <c r="C257" s="309">
        <v>46113</v>
      </c>
      <c r="D257" s="310" t="s">
        <v>292</v>
      </c>
      <c r="E257" s="342"/>
      <c r="F257" s="342">
        <v>2763.78</v>
      </c>
      <c r="G257" s="344">
        <f t="shared" si="3"/>
        <v>5257.9499999999871</v>
      </c>
      <c r="H257" s="345"/>
      <c r="I257" s="346"/>
      <c r="J257" s="347"/>
      <c r="K257" s="312"/>
      <c r="L257" s="347"/>
      <c r="M257" s="312"/>
      <c r="N257" s="347"/>
      <c r="O257" s="312"/>
      <c r="P257" s="347"/>
      <c r="Q257" s="312"/>
      <c r="R257" s="347"/>
      <c r="S257" s="312"/>
      <c r="T257" s="347"/>
    </row>
    <row r="258" spans="1:20" ht="12" customHeight="1" x14ac:dyDescent="0.3">
      <c r="A258" s="340" t="s">
        <v>289</v>
      </c>
      <c r="B258" s="341">
        <v>4</v>
      </c>
      <c r="C258" s="309">
        <v>46113</v>
      </c>
      <c r="D258" s="310" t="s">
        <v>296</v>
      </c>
      <c r="E258" s="342">
        <v>36.090000000000003</v>
      </c>
      <c r="F258" s="342"/>
      <c r="G258" s="344">
        <f t="shared" si="3"/>
        <v>2494.1699999999869</v>
      </c>
      <c r="H258" s="345"/>
      <c r="I258" s="346"/>
      <c r="J258" s="347"/>
      <c r="K258" s="312"/>
      <c r="L258" s="347"/>
      <c r="M258" s="312"/>
      <c r="N258" s="347"/>
      <c r="O258" s="312"/>
      <c r="P258" s="347"/>
      <c r="Q258" s="312"/>
      <c r="R258" s="347"/>
      <c r="S258" s="312"/>
      <c r="T258" s="347"/>
    </row>
    <row r="259" spans="1:20" ht="12" customHeight="1" x14ac:dyDescent="0.3">
      <c r="A259" s="340" t="s">
        <v>289</v>
      </c>
      <c r="B259" s="341">
        <v>4</v>
      </c>
      <c r="C259" s="309">
        <v>46113</v>
      </c>
      <c r="D259" s="310" t="s">
        <v>311</v>
      </c>
      <c r="E259" s="342">
        <v>80</v>
      </c>
      <c r="F259" s="342"/>
      <c r="G259" s="344">
        <f t="shared" si="3"/>
        <v>2530.259999999987</v>
      </c>
      <c r="H259" s="345"/>
      <c r="I259" s="346"/>
      <c r="J259" s="347"/>
      <c r="K259" s="312"/>
      <c r="L259" s="347"/>
      <c r="M259" s="312"/>
      <c r="N259" s="347"/>
      <c r="O259" s="312"/>
      <c r="P259" s="347"/>
      <c r="Q259" s="312"/>
      <c r="R259" s="347"/>
      <c r="S259" s="312"/>
      <c r="T259" s="347"/>
    </row>
    <row r="260" spans="1:20" ht="12" customHeight="1" x14ac:dyDescent="0.3">
      <c r="A260" s="340" t="s">
        <v>289</v>
      </c>
      <c r="B260" s="341">
        <v>7</v>
      </c>
      <c r="C260" s="309">
        <v>46113</v>
      </c>
      <c r="D260" s="310" t="s">
        <v>322</v>
      </c>
      <c r="E260" s="342">
        <v>47.84</v>
      </c>
      <c r="F260" s="342"/>
      <c r="G260" s="344">
        <f t="shared" si="3"/>
        <v>2610.259999999987</v>
      </c>
      <c r="H260" s="345"/>
      <c r="I260" s="346"/>
      <c r="J260" s="347"/>
      <c r="K260" s="312"/>
      <c r="L260" s="347"/>
      <c r="M260" s="312"/>
      <c r="N260" s="347"/>
      <c r="O260" s="312"/>
      <c r="P260" s="347"/>
      <c r="Q260" s="312"/>
      <c r="R260" s="347"/>
      <c r="S260" s="312"/>
      <c r="T260" s="347"/>
    </row>
    <row r="261" spans="1:20" ht="12" customHeight="1" x14ac:dyDescent="0.3">
      <c r="A261" s="340" t="s">
        <v>289</v>
      </c>
      <c r="B261" s="341">
        <v>7</v>
      </c>
      <c r="C261" s="309">
        <v>46113</v>
      </c>
      <c r="D261" s="310" t="s">
        <v>322</v>
      </c>
      <c r="E261" s="342">
        <v>21.25</v>
      </c>
      <c r="F261" s="342"/>
      <c r="G261" s="344">
        <f t="shared" si="3"/>
        <v>2658.0999999999872</v>
      </c>
      <c r="H261" s="345"/>
      <c r="I261" s="346"/>
      <c r="J261" s="347"/>
      <c r="K261" s="312"/>
      <c r="L261" s="347"/>
      <c r="M261" s="312"/>
      <c r="N261" s="347"/>
      <c r="O261" s="312"/>
      <c r="P261" s="347"/>
      <c r="Q261" s="312"/>
      <c r="R261" s="347"/>
      <c r="S261" s="312"/>
      <c r="T261" s="347"/>
    </row>
    <row r="262" spans="1:20" ht="12" customHeight="1" x14ac:dyDescent="0.3">
      <c r="A262" s="340" t="s">
        <v>289</v>
      </c>
      <c r="B262" s="341">
        <v>2</v>
      </c>
      <c r="C262" s="309">
        <v>46113</v>
      </c>
      <c r="D262" s="310" t="s">
        <v>380</v>
      </c>
      <c r="E262" s="342">
        <v>42.9</v>
      </c>
      <c r="F262" s="342"/>
      <c r="G262" s="344">
        <f t="shared" si="3"/>
        <v>2679.3499999999872</v>
      </c>
      <c r="H262" s="345"/>
      <c r="I262" s="346"/>
      <c r="J262" s="347"/>
      <c r="K262" s="312"/>
      <c r="L262" s="347"/>
      <c r="M262" s="312"/>
      <c r="N262" s="347"/>
      <c r="O262" s="312"/>
      <c r="P262" s="347"/>
      <c r="Q262" s="312"/>
      <c r="R262" s="347"/>
      <c r="S262" s="312"/>
      <c r="T262" s="347"/>
    </row>
    <row r="263" spans="1:20" ht="12" customHeight="1" x14ac:dyDescent="0.3">
      <c r="A263" s="340" t="s">
        <v>284</v>
      </c>
      <c r="B263" s="341">
        <v>37</v>
      </c>
      <c r="C263" s="309">
        <v>46112</v>
      </c>
      <c r="D263" s="310" t="s">
        <v>381</v>
      </c>
      <c r="E263" s="342">
        <v>4309.58</v>
      </c>
      <c r="F263" s="342"/>
      <c r="G263" s="344">
        <f t="shared" si="3"/>
        <v>2722.2499999999873</v>
      </c>
      <c r="H263" s="345"/>
      <c r="I263" s="346"/>
      <c r="J263" s="347"/>
      <c r="K263" s="312"/>
      <c r="L263" s="347"/>
      <c r="M263" s="312"/>
      <c r="N263" s="347"/>
      <c r="O263" s="312"/>
      <c r="P263" s="347"/>
      <c r="Q263" s="312"/>
      <c r="R263" s="347"/>
      <c r="S263" s="312"/>
      <c r="T263" s="347"/>
    </row>
    <row r="264" spans="1:20" ht="12" customHeight="1" x14ac:dyDescent="0.3">
      <c r="A264" s="340" t="s">
        <v>286</v>
      </c>
      <c r="B264" s="341">
        <v>25</v>
      </c>
      <c r="C264" s="309">
        <v>46112</v>
      </c>
      <c r="D264" s="309" t="s">
        <v>204</v>
      </c>
      <c r="E264" s="342">
        <v>350</v>
      </c>
      <c r="F264" s="342"/>
      <c r="G264" s="344">
        <f t="shared" si="3"/>
        <v>7031.8299999999872</v>
      </c>
      <c r="H264" s="345"/>
      <c r="I264" s="346"/>
      <c r="J264" s="347"/>
      <c r="K264" s="312"/>
      <c r="L264" s="347"/>
      <c r="M264" s="312"/>
      <c r="N264" s="347"/>
      <c r="O264" s="312"/>
      <c r="P264" s="347"/>
      <c r="Q264" s="312"/>
      <c r="R264" s="347"/>
      <c r="S264" s="312"/>
      <c r="T264" s="347"/>
    </row>
    <row r="265" spans="1:20" ht="12" customHeight="1" x14ac:dyDescent="0.3">
      <c r="A265" s="340" t="s">
        <v>286</v>
      </c>
      <c r="B265" s="341">
        <v>26</v>
      </c>
      <c r="C265" s="309">
        <v>46112</v>
      </c>
      <c r="D265" s="309" t="s">
        <v>205</v>
      </c>
      <c r="E265" s="342">
        <v>320</v>
      </c>
      <c r="F265" s="342"/>
      <c r="G265" s="344">
        <f t="shared" si="3"/>
        <v>7381.8299999999872</v>
      </c>
      <c r="H265" s="345"/>
      <c r="I265" s="346"/>
      <c r="J265" s="347"/>
      <c r="K265" s="312"/>
      <c r="L265" s="347"/>
      <c r="M265" s="312"/>
      <c r="N265" s="347"/>
      <c r="O265" s="312"/>
      <c r="P265" s="347"/>
      <c r="Q265" s="312"/>
      <c r="R265" s="347"/>
      <c r="S265" s="312"/>
      <c r="T265" s="347"/>
    </row>
    <row r="266" spans="1:20" ht="12" customHeight="1" x14ac:dyDescent="0.3">
      <c r="A266" s="340" t="s">
        <v>286</v>
      </c>
      <c r="B266" s="341">
        <v>27</v>
      </c>
      <c r="C266" s="309">
        <v>46112</v>
      </c>
      <c r="D266" s="309" t="s">
        <v>206</v>
      </c>
      <c r="E266" s="342">
        <v>25</v>
      </c>
      <c r="F266" s="342"/>
      <c r="G266" s="344">
        <f t="shared" si="3"/>
        <v>7701.8299999999872</v>
      </c>
      <c r="H266" s="345"/>
      <c r="I266" s="346"/>
      <c r="J266" s="347"/>
      <c r="K266" s="312"/>
      <c r="L266" s="347"/>
      <c r="M266" s="312"/>
      <c r="N266" s="347"/>
      <c r="O266" s="312"/>
      <c r="P266" s="347"/>
      <c r="Q266" s="312"/>
      <c r="R266" s="347"/>
      <c r="S266" s="312"/>
      <c r="T266" s="347"/>
    </row>
    <row r="267" spans="1:20" ht="12" customHeight="1" x14ac:dyDescent="0.3">
      <c r="A267" s="340" t="s">
        <v>286</v>
      </c>
      <c r="B267" s="341">
        <v>28</v>
      </c>
      <c r="C267" s="309">
        <v>46112</v>
      </c>
      <c r="D267" s="309" t="s">
        <v>207</v>
      </c>
      <c r="E267" s="342">
        <v>25</v>
      </c>
      <c r="F267" s="342"/>
      <c r="G267" s="344">
        <f t="shared" si="3"/>
        <v>7726.8299999999872</v>
      </c>
      <c r="H267" s="345"/>
      <c r="I267" s="346"/>
      <c r="J267" s="347"/>
      <c r="K267" s="312"/>
      <c r="L267" s="347"/>
      <c r="M267" s="312"/>
      <c r="N267" s="347"/>
      <c r="O267" s="312"/>
      <c r="P267" s="347"/>
      <c r="Q267" s="312"/>
      <c r="R267" s="347"/>
      <c r="S267" s="312"/>
      <c r="T267" s="347"/>
    </row>
    <row r="268" spans="1:20" ht="12" customHeight="1" x14ac:dyDescent="0.3">
      <c r="A268" s="340" t="s">
        <v>286</v>
      </c>
      <c r="B268" s="341">
        <v>29</v>
      </c>
      <c r="C268" s="309">
        <v>46112</v>
      </c>
      <c r="D268" s="309" t="s">
        <v>208</v>
      </c>
      <c r="E268" s="342">
        <v>45</v>
      </c>
      <c r="F268" s="342"/>
      <c r="G268" s="344">
        <f t="shared" si="3"/>
        <v>7751.8299999999872</v>
      </c>
      <c r="H268" s="345"/>
      <c r="I268" s="346"/>
      <c r="J268" s="347"/>
      <c r="K268" s="312"/>
      <c r="L268" s="347"/>
      <c r="M268" s="312"/>
      <c r="N268" s="347"/>
      <c r="O268" s="312"/>
      <c r="P268" s="347"/>
      <c r="Q268" s="312"/>
      <c r="R268" s="347"/>
      <c r="S268" s="312"/>
      <c r="T268" s="347"/>
    </row>
    <row r="269" spans="1:20" ht="12" customHeight="1" x14ac:dyDescent="0.3">
      <c r="A269" s="340" t="s">
        <v>286</v>
      </c>
      <c r="B269" s="341">
        <v>30</v>
      </c>
      <c r="C269" s="309">
        <v>46112</v>
      </c>
      <c r="D269" s="309" t="s">
        <v>209</v>
      </c>
      <c r="E269" s="342">
        <v>400</v>
      </c>
      <c r="F269" s="342"/>
      <c r="G269" s="344">
        <f t="shared" si="3"/>
        <v>7796.8299999999872</v>
      </c>
      <c r="H269" s="345"/>
      <c r="I269" s="346"/>
      <c r="J269" s="347"/>
      <c r="K269" s="312"/>
      <c r="L269" s="347"/>
      <c r="M269" s="312"/>
      <c r="N269" s="347"/>
      <c r="O269" s="312"/>
      <c r="P269" s="347"/>
      <c r="Q269" s="312"/>
      <c r="R269" s="347"/>
      <c r="S269" s="312"/>
      <c r="T269" s="347"/>
    </row>
    <row r="270" spans="1:20" ht="12" customHeight="1" x14ac:dyDescent="0.3">
      <c r="A270" s="340" t="s">
        <v>286</v>
      </c>
      <c r="B270" s="341">
        <v>31</v>
      </c>
      <c r="C270" s="309">
        <v>46112</v>
      </c>
      <c r="D270" s="309" t="s">
        <v>210</v>
      </c>
      <c r="E270" s="342">
        <v>375</v>
      </c>
      <c r="F270" s="342"/>
      <c r="G270" s="344">
        <f t="shared" si="3"/>
        <v>8196.8299999999872</v>
      </c>
      <c r="H270" s="345"/>
      <c r="I270" s="346"/>
      <c r="J270" s="347"/>
      <c r="K270" s="312"/>
      <c r="L270" s="347"/>
      <c r="M270" s="312"/>
      <c r="N270" s="347"/>
      <c r="O270" s="312"/>
      <c r="P270" s="347"/>
      <c r="Q270" s="312"/>
      <c r="R270" s="347"/>
      <c r="S270" s="312"/>
      <c r="T270" s="347"/>
    </row>
    <row r="271" spans="1:20" ht="12" customHeight="1" x14ac:dyDescent="0.3">
      <c r="A271" s="340" t="s">
        <v>286</v>
      </c>
      <c r="B271" s="341">
        <v>32</v>
      </c>
      <c r="C271" s="309">
        <v>46112</v>
      </c>
      <c r="D271" s="309" t="s">
        <v>211</v>
      </c>
      <c r="E271" s="342">
        <v>100</v>
      </c>
      <c r="F271" s="342"/>
      <c r="G271" s="344">
        <f t="shared" si="3"/>
        <v>8571.8299999999872</v>
      </c>
      <c r="H271" s="345"/>
      <c r="I271" s="346"/>
      <c r="J271" s="347"/>
      <c r="K271" s="312"/>
      <c r="L271" s="347"/>
      <c r="M271" s="312"/>
      <c r="N271" s="347"/>
      <c r="O271" s="312"/>
      <c r="P271" s="347"/>
      <c r="Q271" s="312"/>
      <c r="R271" s="347"/>
      <c r="S271" s="312"/>
      <c r="T271" s="347"/>
    </row>
    <row r="272" spans="1:20" ht="12" customHeight="1" x14ac:dyDescent="0.3">
      <c r="A272" s="340" t="s">
        <v>286</v>
      </c>
      <c r="B272" s="341">
        <v>33</v>
      </c>
      <c r="C272" s="309">
        <v>46112</v>
      </c>
      <c r="D272" s="309" t="s">
        <v>212</v>
      </c>
      <c r="E272" s="342">
        <v>85</v>
      </c>
      <c r="F272" s="342"/>
      <c r="G272" s="344">
        <f t="shared" si="3"/>
        <v>8671.8299999999872</v>
      </c>
      <c r="H272" s="345"/>
      <c r="I272" s="346"/>
      <c r="J272" s="347"/>
      <c r="K272" s="312"/>
      <c r="L272" s="347"/>
      <c r="M272" s="312"/>
      <c r="N272" s="347"/>
      <c r="O272" s="312"/>
      <c r="P272" s="347"/>
      <c r="Q272" s="312"/>
      <c r="R272" s="347"/>
      <c r="S272" s="312"/>
      <c r="T272" s="347"/>
    </row>
    <row r="273" spans="1:20" ht="12" customHeight="1" x14ac:dyDescent="0.3">
      <c r="A273" s="340" t="s">
        <v>286</v>
      </c>
      <c r="B273" s="341">
        <v>34</v>
      </c>
      <c r="C273" s="309">
        <v>46112</v>
      </c>
      <c r="D273" s="309" t="s">
        <v>213</v>
      </c>
      <c r="E273" s="342">
        <v>230</v>
      </c>
      <c r="F273" s="342"/>
      <c r="G273" s="344">
        <f t="shared" si="3"/>
        <v>8756.8299999999872</v>
      </c>
      <c r="H273" s="345"/>
      <c r="I273" s="346"/>
      <c r="J273" s="347"/>
      <c r="K273" s="312"/>
      <c r="L273" s="347"/>
      <c r="M273" s="312"/>
      <c r="N273" s="347"/>
      <c r="O273" s="312"/>
      <c r="P273" s="347"/>
      <c r="Q273" s="312"/>
      <c r="R273" s="347"/>
      <c r="S273" s="312"/>
      <c r="T273" s="347"/>
    </row>
    <row r="274" spans="1:20" ht="12" customHeight="1" x14ac:dyDescent="0.3">
      <c r="A274" s="340" t="s">
        <v>286</v>
      </c>
      <c r="B274" s="341">
        <v>35</v>
      </c>
      <c r="C274" s="309">
        <v>46112</v>
      </c>
      <c r="D274" s="309" t="s">
        <v>214</v>
      </c>
      <c r="E274" s="342">
        <v>45</v>
      </c>
      <c r="F274" s="342"/>
      <c r="G274" s="344">
        <f t="shared" si="3"/>
        <v>8986.8299999999872</v>
      </c>
      <c r="H274" s="345"/>
      <c r="I274" s="346"/>
      <c r="J274" s="347"/>
      <c r="K274" s="312"/>
      <c r="L274" s="347"/>
      <c r="M274" s="312"/>
      <c r="N274" s="347"/>
      <c r="O274" s="312"/>
      <c r="P274" s="347"/>
      <c r="Q274" s="312"/>
      <c r="R274" s="347"/>
      <c r="S274" s="312"/>
      <c r="T274" s="347"/>
    </row>
    <row r="275" spans="1:20" ht="12" customHeight="1" x14ac:dyDescent="0.3">
      <c r="A275" s="340" t="s">
        <v>289</v>
      </c>
      <c r="B275" s="341">
        <v>6</v>
      </c>
      <c r="C275" s="309">
        <v>46112</v>
      </c>
      <c r="D275" s="309" t="s">
        <v>382</v>
      </c>
      <c r="E275" s="342">
        <v>40</v>
      </c>
      <c r="F275" s="342"/>
      <c r="G275" s="344">
        <f t="shared" si="3"/>
        <v>9031.8299999999872</v>
      </c>
      <c r="H275" s="345"/>
      <c r="I275" s="346"/>
      <c r="J275" s="347"/>
      <c r="K275" s="312"/>
      <c r="L275" s="347"/>
      <c r="M275" s="312"/>
      <c r="N275" s="347"/>
      <c r="O275" s="312"/>
      <c r="P275" s="347"/>
      <c r="Q275" s="312"/>
      <c r="R275" s="347"/>
      <c r="S275" s="312"/>
      <c r="T275" s="347"/>
    </row>
    <row r="276" spans="1:20" ht="12" customHeight="1" x14ac:dyDescent="0.3">
      <c r="A276" s="340" t="s">
        <v>294</v>
      </c>
      <c r="B276" s="341">
        <v>42</v>
      </c>
      <c r="C276" s="309">
        <v>46112</v>
      </c>
      <c r="D276" s="309" t="s">
        <v>200</v>
      </c>
      <c r="E276" s="342">
        <v>59</v>
      </c>
      <c r="F276" s="342"/>
      <c r="G276" s="344">
        <f t="shared" si="3"/>
        <v>9071.8299999999872</v>
      </c>
      <c r="H276" s="345"/>
      <c r="I276" s="346"/>
      <c r="J276" s="347"/>
      <c r="K276" s="312"/>
      <c r="L276" s="347"/>
      <c r="M276" s="312"/>
      <c r="N276" s="347"/>
      <c r="O276" s="312"/>
      <c r="P276" s="347"/>
      <c r="Q276" s="312"/>
      <c r="R276" s="347"/>
      <c r="S276" s="312"/>
      <c r="T276" s="347"/>
    </row>
    <row r="277" spans="1:20" ht="12" customHeight="1" x14ac:dyDescent="0.3">
      <c r="A277" s="340" t="s">
        <v>294</v>
      </c>
      <c r="B277" s="341">
        <v>43</v>
      </c>
      <c r="C277" s="309">
        <v>46112</v>
      </c>
      <c r="D277" s="309" t="s">
        <v>201</v>
      </c>
      <c r="E277" s="342">
        <v>42.84</v>
      </c>
      <c r="F277" s="342"/>
      <c r="G277" s="344">
        <f t="shared" si="3"/>
        <v>9130.8299999999872</v>
      </c>
      <c r="H277" s="345"/>
      <c r="I277" s="346"/>
      <c r="J277" s="347"/>
      <c r="K277" s="312"/>
      <c r="L277" s="347"/>
      <c r="M277" s="312"/>
      <c r="N277" s="347"/>
      <c r="O277" s="312"/>
      <c r="P277" s="347"/>
      <c r="Q277" s="312"/>
      <c r="R277" s="347"/>
      <c r="S277" s="312"/>
      <c r="T277" s="347"/>
    </row>
    <row r="278" spans="1:20" ht="12" customHeight="1" x14ac:dyDescent="0.3">
      <c r="A278" s="340" t="s">
        <v>289</v>
      </c>
      <c r="B278" s="341">
        <v>6</v>
      </c>
      <c r="C278" s="309">
        <v>46112</v>
      </c>
      <c r="D278" s="309" t="s">
        <v>300</v>
      </c>
      <c r="E278" s="342">
        <v>57.21</v>
      </c>
      <c r="F278" s="342"/>
      <c r="G278" s="344">
        <f t="shared" si="3"/>
        <v>9173.6699999999873</v>
      </c>
      <c r="H278" s="345"/>
      <c r="I278" s="346"/>
      <c r="J278" s="347"/>
      <c r="K278" s="312"/>
      <c r="L278" s="347"/>
      <c r="M278" s="312"/>
      <c r="N278" s="347"/>
      <c r="O278" s="312"/>
      <c r="P278" s="347"/>
      <c r="Q278" s="312"/>
      <c r="R278" s="347"/>
      <c r="S278" s="312"/>
      <c r="T278" s="347"/>
    </row>
    <row r="279" spans="1:20" ht="12" customHeight="1" x14ac:dyDescent="0.3">
      <c r="A279" s="340" t="s">
        <v>289</v>
      </c>
      <c r="B279" s="341">
        <v>8</v>
      </c>
      <c r="C279" s="309">
        <v>46112</v>
      </c>
      <c r="D279" s="309" t="s">
        <v>296</v>
      </c>
      <c r="E279" s="342">
        <v>11.18</v>
      </c>
      <c r="F279" s="342"/>
      <c r="G279" s="344">
        <f t="shared" si="3"/>
        <v>9230.8799999999865</v>
      </c>
      <c r="H279" s="345"/>
      <c r="I279" s="346"/>
      <c r="J279" s="347"/>
      <c r="K279" s="312"/>
      <c r="L279" s="347"/>
      <c r="M279" s="312"/>
      <c r="N279" s="347"/>
      <c r="O279" s="312"/>
      <c r="P279" s="347"/>
      <c r="Q279" s="312"/>
      <c r="R279" s="347"/>
      <c r="S279" s="312"/>
      <c r="T279" s="347"/>
    </row>
    <row r="280" spans="1:20" ht="12" customHeight="1" x14ac:dyDescent="0.3">
      <c r="A280" s="340" t="s">
        <v>294</v>
      </c>
      <c r="B280" s="341">
        <v>10</v>
      </c>
      <c r="C280" s="309">
        <v>46112</v>
      </c>
      <c r="D280" s="309" t="s">
        <v>176</v>
      </c>
      <c r="E280" s="342">
        <v>17.899999999999999</v>
      </c>
      <c r="F280" s="342"/>
      <c r="G280" s="344">
        <f t="shared" si="3"/>
        <v>9242.0599999999868</v>
      </c>
      <c r="H280" s="345"/>
      <c r="I280" s="346"/>
      <c r="J280" s="347"/>
      <c r="K280" s="312"/>
      <c r="L280" s="347"/>
      <c r="M280" s="312"/>
      <c r="N280" s="347"/>
      <c r="O280" s="312"/>
      <c r="P280" s="347"/>
      <c r="Q280" s="312"/>
      <c r="R280" s="347"/>
      <c r="S280" s="312"/>
      <c r="T280" s="347"/>
    </row>
    <row r="281" spans="1:20" ht="12" customHeight="1" x14ac:dyDescent="0.3">
      <c r="A281" s="340" t="s">
        <v>289</v>
      </c>
      <c r="B281" s="341">
        <v>2</v>
      </c>
      <c r="C281" s="309">
        <v>46111</v>
      </c>
      <c r="D281" s="309" t="s">
        <v>338</v>
      </c>
      <c r="E281" s="342">
        <v>23.83</v>
      </c>
      <c r="F281" s="342"/>
      <c r="G281" s="344">
        <f t="shared" si="3"/>
        <v>9259.9599999999864</v>
      </c>
      <c r="H281" s="345"/>
      <c r="I281" s="346"/>
      <c r="J281" s="347"/>
      <c r="K281" s="312"/>
      <c r="L281" s="347"/>
      <c r="M281" s="312"/>
      <c r="N281" s="347"/>
      <c r="O281" s="312"/>
      <c r="P281" s="347"/>
      <c r="Q281" s="312"/>
      <c r="R281" s="347"/>
      <c r="S281" s="312"/>
      <c r="T281" s="347"/>
    </row>
    <row r="282" spans="1:20" ht="12" customHeight="1" x14ac:dyDescent="0.3">
      <c r="A282" s="340" t="s">
        <v>291</v>
      </c>
      <c r="B282" s="341">
        <v>38</v>
      </c>
      <c r="C282" s="309">
        <v>46111</v>
      </c>
      <c r="D282" s="310" t="s">
        <v>293</v>
      </c>
      <c r="E282" s="342"/>
      <c r="F282" s="342">
        <v>4278.1400000000003</v>
      </c>
      <c r="G282" s="344">
        <f t="shared" si="3"/>
        <v>9283.7899999999863</v>
      </c>
      <c r="H282" s="345"/>
      <c r="I282" s="346"/>
      <c r="J282" s="347"/>
      <c r="K282" s="312"/>
      <c r="L282" s="347"/>
      <c r="M282" s="312"/>
      <c r="N282" s="347"/>
      <c r="O282" s="312"/>
      <c r="P282" s="347"/>
      <c r="Q282" s="312"/>
      <c r="R282" s="347"/>
      <c r="S282" s="312"/>
      <c r="T282" s="347"/>
    </row>
    <row r="283" spans="1:20" ht="12" customHeight="1" x14ac:dyDescent="0.3">
      <c r="A283" s="340" t="s">
        <v>289</v>
      </c>
      <c r="B283" s="341">
        <v>3</v>
      </c>
      <c r="C283" s="309">
        <v>46111</v>
      </c>
      <c r="D283" s="310" t="s">
        <v>355</v>
      </c>
      <c r="E283" s="342">
        <v>30</v>
      </c>
      <c r="F283" s="342"/>
      <c r="G283" s="344">
        <f t="shared" si="3"/>
        <v>5005.649999999986</v>
      </c>
      <c r="H283" s="345"/>
      <c r="I283" s="346"/>
      <c r="J283" s="347"/>
      <c r="K283" s="312"/>
      <c r="L283" s="347"/>
      <c r="M283" s="312"/>
      <c r="N283" s="347"/>
      <c r="O283" s="312"/>
      <c r="P283" s="347"/>
      <c r="Q283" s="312"/>
      <c r="R283" s="347"/>
      <c r="S283" s="312"/>
      <c r="T283" s="347"/>
    </row>
    <row r="284" spans="1:20" ht="12" customHeight="1" x14ac:dyDescent="0.3">
      <c r="A284" s="340" t="s">
        <v>289</v>
      </c>
      <c r="B284" s="341">
        <v>6</v>
      </c>
      <c r="C284" s="309">
        <v>46111</v>
      </c>
      <c r="D284" s="310" t="s">
        <v>300</v>
      </c>
      <c r="E284" s="342">
        <v>15.96</v>
      </c>
      <c r="F284" s="342"/>
      <c r="G284" s="344">
        <f t="shared" si="3"/>
        <v>5035.649999999986</v>
      </c>
      <c r="H284" s="345"/>
      <c r="I284" s="346"/>
      <c r="J284" s="347"/>
      <c r="K284" s="312"/>
      <c r="L284" s="347"/>
      <c r="M284" s="312"/>
      <c r="N284" s="347"/>
      <c r="O284" s="312"/>
      <c r="P284" s="347"/>
      <c r="Q284" s="312"/>
      <c r="R284" s="347"/>
      <c r="S284" s="312"/>
      <c r="T284" s="347"/>
    </row>
    <row r="285" spans="1:20" ht="12" customHeight="1" x14ac:dyDescent="0.3">
      <c r="A285" s="340" t="s">
        <v>289</v>
      </c>
      <c r="B285" s="341">
        <v>3</v>
      </c>
      <c r="C285" s="309">
        <v>46111</v>
      </c>
      <c r="D285" s="310" t="s">
        <v>383</v>
      </c>
      <c r="E285" s="342">
        <v>18.96</v>
      </c>
      <c r="F285" s="342"/>
      <c r="G285" s="344">
        <f t="shared" si="3"/>
        <v>5051.609999999986</v>
      </c>
      <c r="H285" s="345"/>
      <c r="I285" s="346"/>
      <c r="J285" s="347"/>
      <c r="K285" s="312"/>
      <c r="L285" s="347"/>
      <c r="M285" s="312"/>
      <c r="N285" s="347"/>
      <c r="O285" s="312"/>
      <c r="P285" s="347"/>
      <c r="Q285" s="312"/>
      <c r="R285" s="347"/>
      <c r="S285" s="312"/>
      <c r="T285" s="347"/>
    </row>
    <row r="286" spans="1:20" ht="12" customHeight="1" x14ac:dyDescent="0.3">
      <c r="A286" s="340" t="s">
        <v>289</v>
      </c>
      <c r="B286" s="341">
        <v>1</v>
      </c>
      <c r="C286" s="309">
        <v>46110</v>
      </c>
      <c r="D286" s="310" t="s">
        <v>312</v>
      </c>
      <c r="E286" s="342">
        <v>144.22</v>
      </c>
      <c r="F286" s="342"/>
      <c r="G286" s="344">
        <f t="shared" si="3"/>
        <v>5070.5699999999861</v>
      </c>
      <c r="H286" s="345"/>
      <c r="I286" s="346"/>
      <c r="J286" s="347"/>
      <c r="K286" s="312"/>
      <c r="L286" s="347"/>
      <c r="M286" s="312"/>
      <c r="N286" s="347"/>
      <c r="O286" s="312"/>
      <c r="P286" s="347"/>
      <c r="Q286" s="312"/>
      <c r="R286" s="347"/>
      <c r="S286" s="312"/>
      <c r="T286" s="347"/>
    </row>
    <row r="287" spans="1:20" ht="12" customHeight="1" x14ac:dyDescent="0.3">
      <c r="A287" s="340" t="s">
        <v>289</v>
      </c>
      <c r="B287" s="341">
        <v>7</v>
      </c>
      <c r="C287" s="309">
        <v>46110</v>
      </c>
      <c r="D287" s="310" t="s">
        <v>384</v>
      </c>
      <c r="E287" s="342">
        <v>181.04</v>
      </c>
      <c r="F287" s="342"/>
      <c r="G287" s="344">
        <f t="shared" si="3"/>
        <v>5214.7899999999863</v>
      </c>
      <c r="H287" s="345"/>
      <c r="I287" s="346"/>
      <c r="J287" s="347"/>
      <c r="K287" s="312"/>
      <c r="L287" s="347"/>
      <c r="M287" s="312"/>
      <c r="N287" s="347"/>
      <c r="O287" s="312"/>
      <c r="P287" s="347"/>
      <c r="Q287" s="312"/>
      <c r="R287" s="347"/>
      <c r="S287" s="312"/>
      <c r="T287" s="347"/>
    </row>
    <row r="288" spans="1:20" ht="12" customHeight="1" x14ac:dyDescent="0.3">
      <c r="A288" s="340" t="s">
        <v>289</v>
      </c>
      <c r="B288" s="341">
        <v>6</v>
      </c>
      <c r="C288" s="309">
        <v>46110</v>
      </c>
      <c r="D288" s="310" t="s">
        <v>385</v>
      </c>
      <c r="E288" s="342">
        <v>196.9</v>
      </c>
      <c r="F288" s="342"/>
      <c r="G288" s="344">
        <f t="shared" si="3"/>
        <v>5395.8299999999863</v>
      </c>
      <c r="H288" s="345"/>
      <c r="I288" s="346"/>
      <c r="J288" s="347"/>
      <c r="K288" s="312"/>
      <c r="L288" s="347"/>
      <c r="M288" s="312"/>
      <c r="N288" s="347"/>
      <c r="O288" s="312"/>
      <c r="P288" s="347"/>
      <c r="Q288" s="312"/>
      <c r="R288" s="347"/>
      <c r="S288" s="312"/>
      <c r="T288" s="347"/>
    </row>
    <row r="289" spans="1:20" ht="12" customHeight="1" x14ac:dyDescent="0.3">
      <c r="A289" s="340" t="s">
        <v>289</v>
      </c>
      <c r="B289" s="341">
        <v>3</v>
      </c>
      <c r="C289" s="309">
        <v>46110</v>
      </c>
      <c r="D289" s="310" t="s">
        <v>386</v>
      </c>
      <c r="E289" s="342">
        <v>7.5</v>
      </c>
      <c r="F289" s="342"/>
      <c r="G289" s="344">
        <f t="shared" si="3"/>
        <v>5592.7299999999859</v>
      </c>
      <c r="H289" s="345"/>
      <c r="I289" s="346"/>
      <c r="J289" s="347"/>
      <c r="K289" s="312"/>
      <c r="L289" s="347"/>
      <c r="M289" s="312"/>
      <c r="N289" s="347"/>
      <c r="O289" s="312"/>
      <c r="P289" s="347"/>
      <c r="Q289" s="312"/>
      <c r="R289" s="347"/>
      <c r="S289" s="312"/>
      <c r="T289" s="347"/>
    </row>
    <row r="290" spans="1:20" ht="12" customHeight="1" x14ac:dyDescent="0.3">
      <c r="A290" s="340" t="s">
        <v>289</v>
      </c>
      <c r="B290" s="341">
        <v>8</v>
      </c>
      <c r="C290" s="309">
        <v>46109</v>
      </c>
      <c r="D290" s="310" t="s">
        <v>321</v>
      </c>
      <c r="E290" s="342">
        <v>11.7</v>
      </c>
      <c r="F290" s="342"/>
      <c r="G290" s="344">
        <f t="shared" si="3"/>
        <v>5600.2299999999859</v>
      </c>
      <c r="H290" s="345"/>
      <c r="I290" s="346"/>
      <c r="J290" s="347"/>
      <c r="K290" s="312"/>
      <c r="L290" s="347"/>
      <c r="M290" s="312"/>
      <c r="N290" s="347"/>
      <c r="O290" s="312"/>
      <c r="P290" s="347"/>
      <c r="Q290" s="312"/>
      <c r="R290" s="347"/>
      <c r="S290" s="312"/>
      <c r="T290" s="347"/>
    </row>
    <row r="291" spans="1:20" ht="12" customHeight="1" x14ac:dyDescent="0.3">
      <c r="A291" s="340" t="s">
        <v>289</v>
      </c>
      <c r="B291" s="341">
        <v>2</v>
      </c>
      <c r="C291" s="309">
        <v>46109</v>
      </c>
      <c r="D291" s="310" t="s">
        <v>309</v>
      </c>
      <c r="E291" s="342">
        <v>210.76</v>
      </c>
      <c r="F291" s="342"/>
      <c r="G291" s="344">
        <f t="shared" si="3"/>
        <v>5611.9299999999857</v>
      </c>
      <c r="H291" s="345"/>
      <c r="I291" s="346"/>
      <c r="J291" s="347"/>
      <c r="K291" s="312"/>
      <c r="L291" s="347"/>
      <c r="M291" s="312"/>
      <c r="N291" s="347"/>
      <c r="O291" s="312"/>
      <c r="P291" s="347"/>
      <c r="Q291" s="312"/>
      <c r="R291" s="347"/>
      <c r="S291" s="312"/>
      <c r="T291" s="347"/>
    </row>
    <row r="292" spans="1:20" ht="12" customHeight="1" x14ac:dyDescent="0.3">
      <c r="A292" s="340" t="s">
        <v>289</v>
      </c>
      <c r="B292" s="341">
        <v>4</v>
      </c>
      <c r="C292" s="309">
        <v>46109</v>
      </c>
      <c r="D292" s="310" t="s">
        <v>311</v>
      </c>
      <c r="E292" s="342">
        <v>46.9</v>
      </c>
      <c r="F292" s="342"/>
      <c r="G292" s="344">
        <f t="shared" si="3"/>
        <v>5822.689999999986</v>
      </c>
      <c r="H292" s="345"/>
      <c r="I292" s="346"/>
      <c r="J292" s="347"/>
      <c r="K292" s="312"/>
      <c r="L292" s="347"/>
      <c r="M292" s="312"/>
      <c r="N292" s="347"/>
      <c r="O292" s="312"/>
      <c r="P292" s="347"/>
      <c r="Q292" s="312"/>
      <c r="R292" s="347"/>
      <c r="S292" s="312"/>
      <c r="T292" s="347"/>
    </row>
    <row r="293" spans="1:20" ht="12" customHeight="1" x14ac:dyDescent="0.3">
      <c r="A293" s="340" t="s">
        <v>289</v>
      </c>
      <c r="B293" s="341">
        <v>1</v>
      </c>
      <c r="C293" s="309">
        <v>46109</v>
      </c>
      <c r="D293" s="310" t="s">
        <v>332</v>
      </c>
      <c r="E293" s="342">
        <v>179.1</v>
      </c>
      <c r="F293" s="342"/>
      <c r="G293" s="344">
        <f t="shared" si="3"/>
        <v>5869.5899999999856</v>
      </c>
      <c r="H293" s="345"/>
      <c r="I293" s="346"/>
      <c r="J293" s="347"/>
      <c r="K293" s="312"/>
      <c r="L293" s="347"/>
      <c r="M293" s="312"/>
      <c r="N293" s="347"/>
      <c r="O293" s="312"/>
      <c r="P293" s="347"/>
      <c r="Q293" s="312"/>
      <c r="R293" s="347"/>
      <c r="S293" s="312"/>
      <c r="T293" s="347"/>
    </row>
    <row r="294" spans="1:20" ht="12" customHeight="1" x14ac:dyDescent="0.3">
      <c r="A294" s="340" t="s">
        <v>289</v>
      </c>
      <c r="B294" s="341">
        <v>8</v>
      </c>
      <c r="C294" s="309">
        <v>46109</v>
      </c>
      <c r="D294" s="310" t="s">
        <v>309</v>
      </c>
      <c r="E294" s="342">
        <v>31.97</v>
      </c>
      <c r="F294" s="342"/>
      <c r="G294" s="344">
        <f t="shared" si="3"/>
        <v>6048.689999999986</v>
      </c>
      <c r="H294" s="345"/>
      <c r="I294" s="346"/>
      <c r="J294" s="347"/>
      <c r="K294" s="312"/>
      <c r="L294" s="347"/>
      <c r="M294" s="312"/>
      <c r="N294" s="347"/>
      <c r="O294" s="312"/>
      <c r="P294" s="347"/>
      <c r="Q294" s="312"/>
      <c r="R294" s="347"/>
      <c r="S294" s="312"/>
      <c r="T294" s="347"/>
    </row>
    <row r="295" spans="1:20" ht="12" customHeight="1" x14ac:dyDescent="0.3">
      <c r="A295" s="340" t="s">
        <v>289</v>
      </c>
      <c r="B295" s="341">
        <v>8</v>
      </c>
      <c r="C295" s="309">
        <v>46109</v>
      </c>
      <c r="D295" s="310" t="s">
        <v>309</v>
      </c>
      <c r="E295" s="342">
        <v>12.19</v>
      </c>
      <c r="F295" s="342"/>
      <c r="G295" s="344">
        <f t="shared" si="3"/>
        <v>6080.6599999999862</v>
      </c>
      <c r="H295" s="345"/>
      <c r="I295" s="346"/>
      <c r="J295" s="347"/>
      <c r="K295" s="312"/>
      <c r="L295" s="347"/>
      <c r="M295" s="312"/>
      <c r="N295" s="347"/>
      <c r="O295" s="312"/>
      <c r="P295" s="347"/>
      <c r="Q295" s="312"/>
      <c r="R295" s="347"/>
      <c r="S295" s="312"/>
      <c r="T295" s="347"/>
    </row>
    <row r="296" spans="1:20" ht="12" customHeight="1" x14ac:dyDescent="0.3">
      <c r="A296" s="340" t="s">
        <v>291</v>
      </c>
      <c r="B296" s="341">
        <v>41</v>
      </c>
      <c r="C296" s="309">
        <v>46108</v>
      </c>
      <c r="D296" s="310" t="s">
        <v>387</v>
      </c>
      <c r="E296" s="342"/>
      <c r="F296" s="342">
        <v>400</v>
      </c>
      <c r="G296" s="344">
        <f t="shared" si="3"/>
        <v>6092.8499999999858</v>
      </c>
      <c r="H296" s="345"/>
      <c r="I296" s="346"/>
      <c r="J296" s="347"/>
      <c r="K296" s="312"/>
      <c r="L296" s="347"/>
      <c r="M296" s="312"/>
      <c r="N296" s="347"/>
      <c r="O296" s="312"/>
      <c r="P296" s="347"/>
      <c r="Q296" s="312"/>
      <c r="R296" s="347"/>
      <c r="S296" s="312"/>
      <c r="T296" s="347"/>
    </row>
    <row r="297" spans="1:20" ht="12" customHeight="1" x14ac:dyDescent="0.3">
      <c r="A297" s="340" t="s">
        <v>289</v>
      </c>
      <c r="B297" s="341">
        <v>2</v>
      </c>
      <c r="C297" s="309">
        <v>46108</v>
      </c>
      <c r="D297" s="310" t="s">
        <v>301</v>
      </c>
      <c r="E297" s="342">
        <v>19.5</v>
      </c>
      <c r="F297" s="342"/>
      <c r="G297" s="344">
        <f t="shared" si="3"/>
        <v>5692.8499999999858</v>
      </c>
      <c r="H297" s="345"/>
      <c r="I297" s="346"/>
      <c r="J297" s="347"/>
      <c r="K297" s="312"/>
      <c r="L297" s="347"/>
      <c r="M297" s="312"/>
      <c r="N297" s="347"/>
      <c r="O297" s="312"/>
      <c r="P297" s="347"/>
      <c r="Q297" s="312"/>
      <c r="R297" s="347"/>
      <c r="S297" s="312"/>
      <c r="T297" s="347"/>
    </row>
    <row r="298" spans="1:20" ht="12" customHeight="1" x14ac:dyDescent="0.3">
      <c r="A298" s="340" t="s">
        <v>289</v>
      </c>
      <c r="B298" s="341">
        <v>2</v>
      </c>
      <c r="C298" s="309">
        <v>46108</v>
      </c>
      <c r="D298" s="310" t="s">
        <v>296</v>
      </c>
      <c r="E298" s="342">
        <v>11.48</v>
      </c>
      <c r="F298" s="342"/>
      <c r="G298" s="344">
        <f t="shared" si="3"/>
        <v>5712.3499999999858</v>
      </c>
      <c r="H298" s="345"/>
      <c r="I298" s="346"/>
      <c r="J298" s="347"/>
      <c r="K298" s="312"/>
      <c r="L298" s="347"/>
      <c r="M298" s="312"/>
      <c r="N298" s="347"/>
      <c r="O298" s="312"/>
      <c r="P298" s="347"/>
      <c r="Q298" s="312"/>
      <c r="R298" s="347"/>
      <c r="S298" s="312"/>
      <c r="T298" s="347"/>
    </row>
    <row r="299" spans="1:20" ht="12" customHeight="1" x14ac:dyDescent="0.3">
      <c r="A299" s="340" t="s">
        <v>289</v>
      </c>
      <c r="B299" s="341">
        <v>8</v>
      </c>
      <c r="C299" s="309">
        <v>46108</v>
      </c>
      <c r="D299" s="310" t="s">
        <v>338</v>
      </c>
      <c r="E299" s="342">
        <v>11.46</v>
      </c>
      <c r="F299" s="342"/>
      <c r="G299" s="344">
        <f t="shared" si="3"/>
        <v>5723.8299999999854</v>
      </c>
      <c r="H299" s="345"/>
      <c r="I299" s="346"/>
      <c r="J299" s="347"/>
      <c r="K299" s="312"/>
      <c r="L299" s="347"/>
      <c r="M299" s="312"/>
      <c r="N299" s="347"/>
      <c r="O299" s="312"/>
      <c r="P299" s="347"/>
      <c r="Q299" s="312"/>
      <c r="R299" s="347"/>
      <c r="S299" s="312"/>
      <c r="T299" s="347"/>
    </row>
    <row r="300" spans="1:20" ht="12" customHeight="1" x14ac:dyDescent="0.3">
      <c r="A300" s="340" t="s">
        <v>289</v>
      </c>
      <c r="B300" s="341">
        <v>4</v>
      </c>
      <c r="C300" s="309">
        <v>46108</v>
      </c>
      <c r="D300" s="310" t="s">
        <v>338</v>
      </c>
      <c r="E300" s="342">
        <v>38.21</v>
      </c>
      <c r="F300" s="342"/>
      <c r="G300" s="344">
        <f t="shared" si="3"/>
        <v>5735.2899999999854</v>
      </c>
      <c r="H300" s="345"/>
      <c r="I300" s="346"/>
      <c r="J300" s="347"/>
      <c r="K300" s="312"/>
      <c r="L300" s="347"/>
      <c r="M300" s="312"/>
      <c r="N300" s="347"/>
      <c r="O300" s="312"/>
      <c r="P300" s="347"/>
      <c r="Q300" s="312"/>
      <c r="R300" s="347"/>
      <c r="S300" s="312"/>
      <c r="T300" s="347"/>
    </row>
    <row r="301" spans="1:20" ht="12" customHeight="1" x14ac:dyDescent="0.3">
      <c r="A301" s="340" t="s">
        <v>289</v>
      </c>
      <c r="B301" s="341">
        <v>2</v>
      </c>
      <c r="C301" s="309">
        <v>46108</v>
      </c>
      <c r="D301" s="310" t="s">
        <v>388</v>
      </c>
      <c r="E301" s="342">
        <v>69.95</v>
      </c>
      <c r="F301" s="342"/>
      <c r="G301" s="344">
        <f t="shared" si="3"/>
        <v>5773.4999999999854</v>
      </c>
      <c r="H301" s="345"/>
      <c r="I301" s="346"/>
      <c r="J301" s="347"/>
      <c r="K301" s="312"/>
      <c r="L301" s="347"/>
      <c r="M301" s="312"/>
      <c r="N301" s="347"/>
      <c r="O301" s="312"/>
      <c r="P301" s="347"/>
      <c r="Q301" s="312"/>
      <c r="R301" s="347"/>
      <c r="S301" s="312"/>
      <c r="T301" s="347"/>
    </row>
    <row r="302" spans="1:20" ht="12" customHeight="1" x14ac:dyDescent="0.3">
      <c r="A302" s="340" t="s">
        <v>289</v>
      </c>
      <c r="B302" s="341">
        <v>3</v>
      </c>
      <c r="C302" s="309">
        <v>46108</v>
      </c>
      <c r="D302" s="310" t="s">
        <v>352</v>
      </c>
      <c r="E302" s="342">
        <v>10.78</v>
      </c>
      <c r="F302" s="342"/>
      <c r="G302" s="344">
        <f t="shared" si="3"/>
        <v>5843.4499999999853</v>
      </c>
      <c r="H302" s="345"/>
      <c r="I302" s="346"/>
      <c r="J302" s="347"/>
      <c r="K302" s="312"/>
      <c r="L302" s="347"/>
      <c r="M302" s="312"/>
      <c r="N302" s="347"/>
      <c r="O302" s="312"/>
      <c r="P302" s="347"/>
      <c r="Q302" s="312"/>
      <c r="R302" s="347"/>
      <c r="S302" s="312"/>
      <c r="T302" s="347"/>
    </row>
    <row r="303" spans="1:20" ht="12" customHeight="1" x14ac:dyDescent="0.3">
      <c r="A303" s="340" t="s">
        <v>289</v>
      </c>
      <c r="B303" s="341">
        <v>6</v>
      </c>
      <c r="C303" s="309">
        <v>46108</v>
      </c>
      <c r="D303" s="310" t="s">
        <v>300</v>
      </c>
      <c r="E303" s="342">
        <v>15.84</v>
      </c>
      <c r="F303" s="342"/>
      <c r="G303" s="344">
        <f t="shared" si="3"/>
        <v>5854.229999999985</v>
      </c>
      <c r="H303" s="345"/>
      <c r="I303" s="346"/>
      <c r="J303" s="347"/>
      <c r="K303" s="312"/>
      <c r="L303" s="347"/>
      <c r="M303" s="312"/>
      <c r="N303" s="347"/>
      <c r="O303" s="312"/>
      <c r="P303" s="347"/>
      <c r="Q303" s="312"/>
      <c r="R303" s="347"/>
      <c r="S303" s="312"/>
      <c r="T303" s="347"/>
    </row>
    <row r="304" spans="1:20" ht="12" customHeight="1" x14ac:dyDescent="0.3">
      <c r="A304" s="340" t="s">
        <v>289</v>
      </c>
      <c r="B304" s="341">
        <v>8</v>
      </c>
      <c r="C304" s="309">
        <v>46108</v>
      </c>
      <c r="D304" s="310" t="s">
        <v>389</v>
      </c>
      <c r="E304" s="342">
        <v>22.48</v>
      </c>
      <c r="F304" s="342"/>
      <c r="G304" s="344">
        <f t="shared" si="3"/>
        <v>5870.0699999999852</v>
      </c>
      <c r="H304" s="345"/>
      <c r="I304" s="346"/>
      <c r="J304" s="347"/>
      <c r="K304" s="312"/>
      <c r="L304" s="347"/>
      <c r="M304" s="312"/>
      <c r="N304" s="347"/>
      <c r="O304" s="312"/>
      <c r="P304" s="347"/>
      <c r="Q304" s="312"/>
      <c r="R304" s="347"/>
      <c r="S304" s="312"/>
      <c r="T304" s="347"/>
    </row>
    <row r="305" spans="1:20" ht="12" customHeight="1" x14ac:dyDescent="0.3">
      <c r="A305" s="340" t="s">
        <v>289</v>
      </c>
      <c r="B305" s="341">
        <v>2</v>
      </c>
      <c r="C305" s="309">
        <v>46107</v>
      </c>
      <c r="D305" s="310" t="s">
        <v>362</v>
      </c>
      <c r="E305" s="342">
        <v>11.17</v>
      </c>
      <c r="F305" s="342"/>
      <c r="G305" s="344">
        <f t="shared" si="3"/>
        <v>5892.5499999999847</v>
      </c>
      <c r="H305" s="345"/>
      <c r="I305" s="346"/>
      <c r="J305" s="347"/>
      <c r="K305" s="312"/>
      <c r="L305" s="347"/>
      <c r="M305" s="312"/>
      <c r="N305" s="347"/>
      <c r="O305" s="312"/>
      <c r="P305" s="347"/>
      <c r="Q305" s="312"/>
      <c r="R305" s="347"/>
      <c r="S305" s="312"/>
      <c r="T305" s="347"/>
    </row>
    <row r="306" spans="1:20" ht="12" customHeight="1" x14ac:dyDescent="0.3">
      <c r="A306" s="340" t="s">
        <v>289</v>
      </c>
      <c r="B306" s="341">
        <v>2</v>
      </c>
      <c r="C306" s="309">
        <v>46107</v>
      </c>
      <c r="D306" s="310" t="s">
        <v>390</v>
      </c>
      <c r="E306" s="342">
        <v>14.38</v>
      </c>
      <c r="F306" s="342"/>
      <c r="G306" s="344">
        <f t="shared" si="3"/>
        <v>5903.7199999999848</v>
      </c>
      <c r="H306" s="345"/>
      <c r="I306" s="346"/>
      <c r="J306" s="347"/>
      <c r="K306" s="312"/>
      <c r="L306" s="347"/>
      <c r="M306" s="312"/>
      <c r="N306" s="347"/>
      <c r="O306" s="312"/>
      <c r="P306" s="347"/>
      <c r="Q306" s="312"/>
      <c r="R306" s="347"/>
      <c r="S306" s="312"/>
      <c r="T306" s="347"/>
    </row>
    <row r="307" spans="1:20" ht="12" customHeight="1" x14ac:dyDescent="0.3">
      <c r="A307" s="340" t="s">
        <v>289</v>
      </c>
      <c r="B307" s="341">
        <v>8</v>
      </c>
      <c r="C307" s="309">
        <v>46107</v>
      </c>
      <c r="D307" s="310" t="s">
        <v>391</v>
      </c>
      <c r="E307" s="342">
        <v>45</v>
      </c>
      <c r="F307" s="342"/>
      <c r="G307" s="344">
        <f t="shared" si="3"/>
        <v>5918.0999999999849</v>
      </c>
      <c r="H307" s="345"/>
      <c r="I307" s="346"/>
      <c r="J307" s="347"/>
      <c r="K307" s="312"/>
      <c r="L307" s="347"/>
      <c r="M307" s="312"/>
      <c r="N307" s="347"/>
      <c r="O307" s="312"/>
      <c r="P307" s="347"/>
      <c r="Q307" s="312"/>
      <c r="R307" s="347"/>
      <c r="S307" s="312"/>
      <c r="T307" s="347"/>
    </row>
    <row r="308" spans="1:20" ht="12" customHeight="1" x14ac:dyDescent="0.3">
      <c r="A308" s="340" t="s">
        <v>289</v>
      </c>
      <c r="B308" s="341">
        <v>2</v>
      </c>
      <c r="C308" s="309">
        <v>46107</v>
      </c>
      <c r="D308" s="310" t="s">
        <v>327</v>
      </c>
      <c r="E308" s="342">
        <v>9.0299999999999994</v>
      </c>
      <c r="F308" s="342"/>
      <c r="G308" s="344">
        <f t="shared" si="3"/>
        <v>5963.0999999999849</v>
      </c>
      <c r="H308" s="345"/>
      <c r="I308" s="346"/>
      <c r="J308" s="347"/>
      <c r="K308" s="312"/>
      <c r="L308" s="347"/>
      <c r="M308" s="312"/>
      <c r="N308" s="347"/>
      <c r="O308" s="312"/>
      <c r="P308" s="347"/>
      <c r="Q308" s="312"/>
      <c r="R308" s="347"/>
      <c r="S308" s="312"/>
      <c r="T308" s="347"/>
    </row>
    <row r="309" spans="1:20" ht="12" customHeight="1" x14ac:dyDescent="0.3">
      <c r="A309" s="340" t="s">
        <v>289</v>
      </c>
      <c r="B309" s="341">
        <v>2</v>
      </c>
      <c r="C309" s="309">
        <v>46107</v>
      </c>
      <c r="D309" s="310" t="s">
        <v>301</v>
      </c>
      <c r="E309" s="342">
        <v>30</v>
      </c>
      <c r="F309" s="342"/>
      <c r="G309" s="344">
        <f t="shared" si="3"/>
        <v>5972.1299999999846</v>
      </c>
      <c r="H309" s="345"/>
      <c r="I309" s="346"/>
      <c r="J309" s="347"/>
      <c r="K309" s="312"/>
      <c r="L309" s="347"/>
      <c r="M309" s="312"/>
      <c r="N309" s="347"/>
      <c r="O309" s="312"/>
      <c r="P309" s="347"/>
      <c r="Q309" s="312"/>
      <c r="R309" s="347"/>
      <c r="S309" s="312"/>
      <c r="T309" s="347"/>
    </row>
    <row r="310" spans="1:20" ht="12" customHeight="1" x14ac:dyDescent="0.3">
      <c r="A310" s="340" t="s">
        <v>289</v>
      </c>
      <c r="B310" s="341">
        <v>6</v>
      </c>
      <c r="C310" s="309">
        <v>46106</v>
      </c>
      <c r="D310" s="310" t="s">
        <v>392</v>
      </c>
      <c r="E310" s="342">
        <v>12</v>
      </c>
      <c r="F310" s="342"/>
      <c r="G310" s="344">
        <f t="shared" si="3"/>
        <v>6002.1299999999846</v>
      </c>
      <c r="H310" s="345"/>
      <c r="I310" s="346"/>
      <c r="J310" s="347"/>
      <c r="K310" s="312"/>
      <c r="L310" s="347"/>
      <c r="M310" s="312"/>
      <c r="N310" s="347"/>
      <c r="O310" s="312"/>
      <c r="P310" s="347"/>
      <c r="Q310" s="312"/>
      <c r="R310" s="347"/>
      <c r="S310" s="312"/>
      <c r="T310" s="347"/>
    </row>
    <row r="311" spans="1:20" ht="12" customHeight="1" x14ac:dyDescent="0.3">
      <c r="A311" s="340" t="s">
        <v>289</v>
      </c>
      <c r="B311" s="341">
        <v>6</v>
      </c>
      <c r="C311" s="309">
        <v>46106</v>
      </c>
      <c r="D311" s="310" t="s">
        <v>393</v>
      </c>
      <c r="E311" s="342">
        <v>20</v>
      </c>
      <c r="F311" s="342"/>
      <c r="G311" s="344">
        <f t="shared" si="3"/>
        <v>6014.1299999999846</v>
      </c>
      <c r="H311" s="345"/>
      <c r="I311" s="346"/>
      <c r="J311" s="347"/>
      <c r="K311" s="312"/>
      <c r="L311" s="347"/>
      <c r="M311" s="312"/>
      <c r="N311" s="347"/>
      <c r="O311" s="312"/>
      <c r="P311" s="347"/>
      <c r="Q311" s="312"/>
      <c r="R311" s="347"/>
      <c r="S311" s="312"/>
      <c r="T311" s="347"/>
    </row>
    <row r="312" spans="1:20" ht="12" customHeight="1" x14ac:dyDescent="0.3">
      <c r="A312" s="340" t="s">
        <v>289</v>
      </c>
      <c r="B312" s="341">
        <v>2</v>
      </c>
      <c r="C312" s="309">
        <v>46106</v>
      </c>
      <c r="D312" s="310" t="s">
        <v>296</v>
      </c>
      <c r="E312" s="342">
        <v>21.05</v>
      </c>
      <c r="F312" s="342"/>
      <c r="G312" s="344">
        <f t="shared" si="3"/>
        <v>6034.1299999999846</v>
      </c>
      <c r="H312" s="345"/>
      <c r="I312" s="346"/>
      <c r="J312" s="347"/>
      <c r="K312" s="312"/>
      <c r="L312" s="347"/>
      <c r="M312" s="312"/>
      <c r="N312" s="347"/>
      <c r="O312" s="312"/>
      <c r="P312" s="347"/>
      <c r="Q312" s="312"/>
      <c r="R312" s="347"/>
      <c r="S312" s="312"/>
      <c r="T312" s="347"/>
    </row>
    <row r="313" spans="1:20" ht="12" customHeight="1" x14ac:dyDescent="0.3">
      <c r="A313" s="340" t="s">
        <v>289</v>
      </c>
      <c r="B313" s="341">
        <v>4</v>
      </c>
      <c r="C313" s="309">
        <v>46106</v>
      </c>
      <c r="D313" s="310" t="s">
        <v>296</v>
      </c>
      <c r="E313" s="342">
        <v>38.58</v>
      </c>
      <c r="F313" s="342"/>
      <c r="G313" s="344">
        <f t="shared" si="3"/>
        <v>6055.1799999999848</v>
      </c>
      <c r="H313" s="345"/>
      <c r="I313" s="346"/>
      <c r="J313" s="347"/>
      <c r="K313" s="312"/>
      <c r="L313" s="347"/>
      <c r="M313" s="312"/>
      <c r="N313" s="347"/>
      <c r="O313" s="312"/>
      <c r="P313" s="347"/>
      <c r="Q313" s="312"/>
      <c r="R313" s="347"/>
      <c r="S313" s="312"/>
      <c r="T313" s="347"/>
    </row>
    <row r="314" spans="1:20" ht="12" customHeight="1" x14ac:dyDescent="0.3">
      <c r="A314" s="340" t="s">
        <v>294</v>
      </c>
      <c r="B314" s="341">
        <v>12</v>
      </c>
      <c r="C314" s="309">
        <v>46106</v>
      </c>
      <c r="D314" s="310" t="s">
        <v>315</v>
      </c>
      <c r="E314" s="342">
        <v>204.47</v>
      </c>
      <c r="F314" s="342"/>
      <c r="G314" s="344">
        <f t="shared" si="3"/>
        <v>6093.7599999999848</v>
      </c>
      <c r="H314" s="345"/>
      <c r="I314" s="346"/>
      <c r="J314" s="347"/>
      <c r="K314" s="312"/>
      <c r="L314" s="347"/>
      <c r="M314" s="312"/>
      <c r="N314" s="347"/>
      <c r="O314" s="312"/>
      <c r="P314" s="347"/>
      <c r="Q314" s="312"/>
      <c r="R314" s="347"/>
      <c r="S314" s="312"/>
      <c r="T314" s="347"/>
    </row>
    <row r="315" spans="1:20" ht="12" customHeight="1" x14ac:dyDescent="0.3">
      <c r="A315" s="340" t="s">
        <v>294</v>
      </c>
      <c r="B315" s="341">
        <v>24</v>
      </c>
      <c r="C315" s="309">
        <v>46105</v>
      </c>
      <c r="D315" s="310" t="s">
        <v>199</v>
      </c>
      <c r="E315" s="342">
        <v>86.58</v>
      </c>
      <c r="F315" s="342"/>
      <c r="G315" s="344">
        <f t="shared" si="3"/>
        <v>6298.229999999985</v>
      </c>
      <c r="H315" s="345"/>
      <c r="I315" s="346"/>
      <c r="J315" s="347"/>
      <c r="K315" s="312"/>
      <c r="L315" s="347"/>
      <c r="M315" s="312"/>
      <c r="N315" s="347"/>
      <c r="O315" s="312"/>
      <c r="P315" s="347"/>
      <c r="Q315" s="312"/>
      <c r="R315" s="347"/>
      <c r="S315" s="312"/>
      <c r="T315" s="347"/>
    </row>
    <row r="316" spans="1:20" ht="12" customHeight="1" x14ac:dyDescent="0.3">
      <c r="A316" s="340" t="s">
        <v>289</v>
      </c>
      <c r="B316" s="341">
        <v>6</v>
      </c>
      <c r="C316" s="309">
        <v>46105</v>
      </c>
      <c r="D316" s="310" t="s">
        <v>393</v>
      </c>
      <c r="E316" s="342">
        <v>20</v>
      </c>
      <c r="F316" s="342"/>
      <c r="G316" s="344">
        <f t="shared" si="3"/>
        <v>6384.8099999999849</v>
      </c>
      <c r="H316" s="345"/>
      <c r="I316" s="346"/>
      <c r="J316" s="347"/>
      <c r="K316" s="312"/>
      <c r="L316" s="347"/>
      <c r="M316" s="312"/>
      <c r="N316" s="347"/>
      <c r="O316" s="312"/>
      <c r="P316" s="347"/>
      <c r="Q316" s="312"/>
      <c r="R316" s="347"/>
      <c r="S316" s="312"/>
      <c r="T316" s="347"/>
    </row>
    <row r="317" spans="1:20" ht="12" customHeight="1" x14ac:dyDescent="0.3">
      <c r="A317" s="340" t="s">
        <v>289</v>
      </c>
      <c r="B317" s="341">
        <v>2</v>
      </c>
      <c r="C317" s="309">
        <v>46105</v>
      </c>
      <c r="D317" s="310" t="s">
        <v>394</v>
      </c>
      <c r="E317" s="342">
        <v>15.29</v>
      </c>
      <c r="F317" s="342"/>
      <c r="G317" s="344">
        <f t="shared" si="3"/>
        <v>6404.8099999999849</v>
      </c>
      <c r="H317" s="345"/>
      <c r="I317" s="346"/>
      <c r="J317" s="347"/>
      <c r="K317" s="312"/>
      <c r="L317" s="347"/>
      <c r="M317" s="312"/>
      <c r="N317" s="347"/>
      <c r="O317" s="312"/>
      <c r="P317" s="347"/>
      <c r="Q317" s="312"/>
      <c r="R317" s="347"/>
      <c r="S317" s="312"/>
      <c r="T317" s="347"/>
    </row>
    <row r="318" spans="1:20" ht="12" customHeight="1" x14ac:dyDescent="0.3">
      <c r="A318" s="340" t="s">
        <v>289</v>
      </c>
      <c r="B318" s="341">
        <v>8</v>
      </c>
      <c r="C318" s="309">
        <v>46105</v>
      </c>
      <c r="D318" s="310" t="s">
        <v>309</v>
      </c>
      <c r="E318" s="342">
        <v>47.99</v>
      </c>
      <c r="F318" s="342"/>
      <c r="G318" s="344">
        <f t="shared" si="3"/>
        <v>6420.0999999999849</v>
      </c>
      <c r="H318" s="345"/>
      <c r="I318" s="346"/>
      <c r="J318" s="347"/>
      <c r="K318" s="312"/>
      <c r="L318" s="347"/>
      <c r="M318" s="312"/>
      <c r="N318" s="347"/>
      <c r="O318" s="312"/>
      <c r="P318" s="347"/>
      <c r="Q318" s="312"/>
      <c r="R318" s="347"/>
      <c r="S318" s="312"/>
      <c r="T318" s="347"/>
    </row>
    <row r="319" spans="1:20" ht="12" customHeight="1" x14ac:dyDescent="0.3">
      <c r="A319" s="340" t="s">
        <v>294</v>
      </c>
      <c r="B319" s="341">
        <v>23</v>
      </c>
      <c r="C319" s="309">
        <v>46104</v>
      </c>
      <c r="D319" s="310" t="s">
        <v>67</v>
      </c>
      <c r="E319" s="342">
        <v>650.88</v>
      </c>
      <c r="F319" s="342"/>
      <c r="G319" s="344">
        <f t="shared" si="3"/>
        <v>6468.0899999999847</v>
      </c>
      <c r="H319" s="345"/>
      <c r="I319" s="346"/>
      <c r="J319" s="347"/>
      <c r="K319" s="312"/>
      <c r="L319" s="347"/>
      <c r="M319" s="312"/>
      <c r="N319" s="347"/>
      <c r="O319" s="312"/>
      <c r="P319" s="347"/>
      <c r="Q319" s="312"/>
      <c r="R319" s="347"/>
      <c r="S319" s="312"/>
      <c r="T319" s="347"/>
    </row>
    <row r="320" spans="1:20" ht="12" customHeight="1" x14ac:dyDescent="0.3">
      <c r="A320" s="340" t="s">
        <v>289</v>
      </c>
      <c r="B320" s="341">
        <v>2</v>
      </c>
      <c r="C320" s="309">
        <v>46104</v>
      </c>
      <c r="D320" s="310" t="s">
        <v>395</v>
      </c>
      <c r="E320" s="342">
        <v>46</v>
      </c>
      <c r="F320" s="342"/>
      <c r="G320" s="344">
        <f t="shared" si="3"/>
        <v>7118.9699999999848</v>
      </c>
      <c r="H320" s="345"/>
      <c r="I320" s="346"/>
      <c r="J320" s="347"/>
      <c r="K320" s="312"/>
      <c r="L320" s="347"/>
      <c r="M320" s="312"/>
      <c r="N320" s="347"/>
      <c r="O320" s="312"/>
      <c r="P320" s="347"/>
      <c r="Q320" s="312"/>
      <c r="R320" s="347"/>
      <c r="S320" s="312"/>
      <c r="T320" s="347"/>
    </row>
    <row r="321" spans="1:20" ht="12" customHeight="1" x14ac:dyDescent="0.3">
      <c r="A321" s="340" t="s">
        <v>289</v>
      </c>
      <c r="B321" s="341">
        <v>2</v>
      </c>
      <c r="C321" s="309">
        <v>46103</v>
      </c>
      <c r="D321" s="310" t="s">
        <v>396</v>
      </c>
      <c r="E321" s="342">
        <v>24.81</v>
      </c>
      <c r="F321" s="342"/>
      <c r="G321" s="344">
        <f t="shared" si="3"/>
        <v>7164.9699999999848</v>
      </c>
      <c r="H321" s="345"/>
      <c r="I321" s="346"/>
      <c r="J321" s="347"/>
      <c r="K321" s="312"/>
      <c r="L321" s="347"/>
      <c r="M321" s="312"/>
      <c r="N321" s="347"/>
      <c r="O321" s="312"/>
      <c r="P321" s="347"/>
      <c r="Q321" s="312"/>
      <c r="R321" s="347"/>
      <c r="S321" s="312"/>
      <c r="T321" s="347"/>
    </row>
    <row r="322" spans="1:20" ht="12" customHeight="1" x14ac:dyDescent="0.3">
      <c r="A322" s="340" t="s">
        <v>289</v>
      </c>
      <c r="B322" s="341">
        <v>4</v>
      </c>
      <c r="C322" s="309">
        <v>46103</v>
      </c>
      <c r="D322" s="310" t="s">
        <v>296</v>
      </c>
      <c r="E322" s="342">
        <v>28.77</v>
      </c>
      <c r="F322" s="342"/>
      <c r="G322" s="344">
        <f t="shared" si="3"/>
        <v>7189.7799999999852</v>
      </c>
      <c r="H322" s="345"/>
      <c r="I322" s="346"/>
      <c r="J322" s="347"/>
      <c r="K322" s="312"/>
      <c r="L322" s="347"/>
      <c r="M322" s="312"/>
      <c r="N322" s="347"/>
      <c r="O322" s="312"/>
      <c r="P322" s="347"/>
      <c r="Q322" s="312"/>
      <c r="R322" s="347"/>
      <c r="S322" s="312"/>
      <c r="T322" s="347"/>
    </row>
    <row r="323" spans="1:20" ht="12" customHeight="1" x14ac:dyDescent="0.3">
      <c r="A323" s="340" t="s">
        <v>289</v>
      </c>
      <c r="B323" s="341">
        <v>8</v>
      </c>
      <c r="C323" s="309">
        <v>46103</v>
      </c>
      <c r="D323" s="310" t="s">
        <v>296</v>
      </c>
      <c r="E323" s="342">
        <v>11.9</v>
      </c>
      <c r="F323" s="342"/>
      <c r="G323" s="344">
        <f t="shared" si="3"/>
        <v>7218.5499999999856</v>
      </c>
      <c r="H323" s="345"/>
      <c r="I323" s="346"/>
      <c r="J323" s="347"/>
      <c r="K323" s="312"/>
      <c r="L323" s="347"/>
      <c r="M323" s="312"/>
      <c r="N323" s="347"/>
      <c r="O323" s="312"/>
      <c r="P323" s="347"/>
      <c r="Q323" s="312"/>
      <c r="R323" s="347"/>
      <c r="S323" s="312"/>
      <c r="T323" s="347"/>
    </row>
    <row r="324" spans="1:20" ht="12" customHeight="1" x14ac:dyDescent="0.3">
      <c r="A324" s="340" t="s">
        <v>289</v>
      </c>
      <c r="B324" s="341">
        <v>1</v>
      </c>
      <c r="C324" s="309">
        <v>46103</v>
      </c>
      <c r="D324" s="310" t="s">
        <v>306</v>
      </c>
      <c r="E324" s="342">
        <v>42.59</v>
      </c>
      <c r="F324" s="342"/>
      <c r="G324" s="344">
        <f t="shared" si="3"/>
        <v>7230.4499999999853</v>
      </c>
      <c r="H324" s="345"/>
      <c r="I324" s="346"/>
      <c r="J324" s="347"/>
      <c r="K324" s="312"/>
      <c r="L324" s="347"/>
      <c r="M324" s="312"/>
      <c r="N324" s="347"/>
      <c r="O324" s="312"/>
      <c r="P324" s="347"/>
      <c r="Q324" s="312"/>
      <c r="R324" s="347"/>
      <c r="S324" s="312"/>
      <c r="T324" s="347"/>
    </row>
    <row r="325" spans="1:20" ht="12" customHeight="1" x14ac:dyDescent="0.3">
      <c r="A325" s="340" t="s">
        <v>289</v>
      </c>
      <c r="B325" s="341">
        <v>6</v>
      </c>
      <c r="C325" s="309">
        <v>46103</v>
      </c>
      <c r="D325" s="310" t="s">
        <v>306</v>
      </c>
      <c r="E325" s="342">
        <v>17.579999999999998</v>
      </c>
      <c r="F325" s="342"/>
      <c r="G325" s="344">
        <f t="shared" si="3"/>
        <v>7273.0399999999854</v>
      </c>
      <c r="H325" s="345"/>
      <c r="I325" s="346"/>
      <c r="J325" s="347"/>
      <c r="K325" s="312"/>
      <c r="L325" s="347"/>
      <c r="M325" s="312"/>
      <c r="N325" s="347"/>
      <c r="O325" s="312"/>
      <c r="P325" s="347"/>
      <c r="Q325" s="312"/>
      <c r="R325" s="347"/>
      <c r="S325" s="312"/>
      <c r="T325" s="347"/>
    </row>
    <row r="326" spans="1:20" ht="12" customHeight="1" x14ac:dyDescent="0.3">
      <c r="A326" s="340" t="s">
        <v>289</v>
      </c>
      <c r="B326" s="341">
        <v>6</v>
      </c>
      <c r="C326" s="309">
        <v>46103</v>
      </c>
      <c r="D326" s="310" t="s">
        <v>306</v>
      </c>
      <c r="E326" s="342">
        <v>11.99</v>
      </c>
      <c r="F326" s="342"/>
      <c r="G326" s="344">
        <f t="shared" si="3"/>
        <v>7290.6199999999853</v>
      </c>
      <c r="H326" s="345"/>
      <c r="I326" s="346"/>
      <c r="J326" s="347"/>
      <c r="K326" s="312"/>
      <c r="L326" s="347"/>
      <c r="M326" s="312"/>
      <c r="N326" s="347"/>
      <c r="O326" s="312"/>
      <c r="P326" s="347"/>
      <c r="Q326" s="312"/>
      <c r="R326" s="347"/>
      <c r="S326" s="312"/>
      <c r="T326" s="347"/>
    </row>
    <row r="327" spans="1:20" ht="12" customHeight="1" x14ac:dyDescent="0.3">
      <c r="A327" s="340" t="s">
        <v>289</v>
      </c>
      <c r="B327" s="341">
        <v>1</v>
      </c>
      <c r="C327" s="309">
        <v>46103</v>
      </c>
      <c r="D327" s="310" t="s">
        <v>312</v>
      </c>
      <c r="E327" s="342">
        <v>81.31</v>
      </c>
      <c r="F327" s="342"/>
      <c r="G327" s="344">
        <f t="shared" si="3"/>
        <v>7302.6099999999851</v>
      </c>
      <c r="H327" s="345"/>
      <c r="I327" s="346"/>
      <c r="J327" s="347"/>
      <c r="K327" s="312"/>
      <c r="L327" s="347"/>
      <c r="M327" s="312"/>
      <c r="N327" s="347"/>
      <c r="O327" s="312"/>
      <c r="P327" s="347"/>
      <c r="Q327" s="312"/>
      <c r="R327" s="347"/>
      <c r="S327" s="312"/>
      <c r="T327" s="347"/>
    </row>
    <row r="328" spans="1:20" ht="12" customHeight="1" x14ac:dyDescent="0.3">
      <c r="A328" s="340" t="s">
        <v>289</v>
      </c>
      <c r="B328" s="341">
        <v>1</v>
      </c>
      <c r="C328" s="309">
        <v>46103</v>
      </c>
      <c r="D328" s="310" t="s">
        <v>397</v>
      </c>
      <c r="E328" s="342">
        <v>38.44</v>
      </c>
      <c r="F328" s="342"/>
      <c r="G328" s="344">
        <f t="shared" si="3"/>
        <v>7383.9199999999855</v>
      </c>
      <c r="H328" s="345"/>
      <c r="I328" s="346"/>
      <c r="J328" s="347"/>
      <c r="K328" s="312"/>
      <c r="L328" s="347"/>
      <c r="M328" s="312"/>
      <c r="N328" s="347"/>
      <c r="O328" s="312"/>
      <c r="P328" s="347"/>
      <c r="Q328" s="312"/>
      <c r="R328" s="347"/>
      <c r="S328" s="312"/>
      <c r="T328" s="347"/>
    </row>
    <row r="329" spans="1:20" ht="12" customHeight="1" x14ac:dyDescent="0.3">
      <c r="A329" s="340" t="s">
        <v>289</v>
      </c>
      <c r="B329" s="341">
        <v>2</v>
      </c>
      <c r="C329" s="309">
        <v>46103</v>
      </c>
      <c r="D329" s="310" t="s">
        <v>398</v>
      </c>
      <c r="E329" s="342">
        <v>35.700000000000003</v>
      </c>
      <c r="F329" s="342"/>
      <c r="G329" s="344">
        <f t="shared" si="3"/>
        <v>7422.3599999999851</v>
      </c>
      <c r="H329" s="345"/>
      <c r="I329" s="346"/>
      <c r="J329" s="347"/>
      <c r="K329" s="312"/>
      <c r="L329" s="347"/>
      <c r="M329" s="312"/>
      <c r="N329" s="347"/>
      <c r="O329" s="312"/>
      <c r="P329" s="347"/>
      <c r="Q329" s="312"/>
      <c r="R329" s="347"/>
      <c r="S329" s="312"/>
      <c r="T329" s="347"/>
    </row>
    <row r="330" spans="1:20" ht="12" customHeight="1" x14ac:dyDescent="0.3">
      <c r="A330" s="340" t="s">
        <v>289</v>
      </c>
      <c r="B330" s="341">
        <v>6</v>
      </c>
      <c r="C330" s="309">
        <v>46102</v>
      </c>
      <c r="D330" s="310" t="s">
        <v>306</v>
      </c>
      <c r="E330" s="342">
        <v>10.64</v>
      </c>
      <c r="F330" s="342"/>
      <c r="G330" s="344">
        <f t="shared" si="3"/>
        <v>7458.0599999999849</v>
      </c>
      <c r="H330" s="345"/>
      <c r="I330" s="346"/>
      <c r="J330" s="347"/>
      <c r="K330" s="312"/>
      <c r="L330" s="347"/>
      <c r="M330" s="312"/>
      <c r="N330" s="347"/>
      <c r="O330" s="312"/>
      <c r="P330" s="347"/>
      <c r="Q330" s="312"/>
      <c r="R330" s="347"/>
      <c r="S330" s="312"/>
      <c r="T330" s="347"/>
    </row>
    <row r="331" spans="1:20" ht="12" customHeight="1" x14ac:dyDescent="0.3">
      <c r="A331" s="340" t="s">
        <v>289</v>
      </c>
      <c r="B331" s="341">
        <v>6</v>
      </c>
      <c r="C331" s="309">
        <v>46102</v>
      </c>
      <c r="D331" s="310" t="s">
        <v>306</v>
      </c>
      <c r="E331" s="342">
        <v>28.69</v>
      </c>
      <c r="F331" s="342"/>
      <c r="G331" s="344">
        <f t="shared" si="3"/>
        <v>7468.6999999999853</v>
      </c>
      <c r="H331" s="345"/>
      <c r="I331" s="346"/>
      <c r="J331" s="347"/>
      <c r="K331" s="312"/>
      <c r="L331" s="347"/>
      <c r="M331" s="312"/>
      <c r="N331" s="347"/>
      <c r="O331" s="312"/>
      <c r="P331" s="347"/>
      <c r="Q331" s="312"/>
      <c r="R331" s="347"/>
      <c r="S331" s="312"/>
      <c r="T331" s="347"/>
    </row>
    <row r="332" spans="1:20" ht="12" customHeight="1" x14ac:dyDescent="0.3">
      <c r="A332" s="340" t="s">
        <v>289</v>
      </c>
      <c r="B332" s="341">
        <v>3</v>
      </c>
      <c r="C332" s="309">
        <v>46102</v>
      </c>
      <c r="D332" s="310" t="s">
        <v>352</v>
      </c>
      <c r="E332" s="342">
        <v>11.59</v>
      </c>
      <c r="F332" s="342"/>
      <c r="G332" s="344">
        <f t="shared" si="3"/>
        <v>7497.3899999999849</v>
      </c>
      <c r="H332" s="345"/>
      <c r="I332" s="346"/>
      <c r="J332" s="347"/>
      <c r="K332" s="312"/>
      <c r="L332" s="347"/>
      <c r="M332" s="312"/>
      <c r="N332" s="347"/>
      <c r="O332" s="312"/>
      <c r="P332" s="347"/>
      <c r="Q332" s="312"/>
      <c r="R332" s="347"/>
      <c r="S332" s="312"/>
      <c r="T332" s="347"/>
    </row>
    <row r="333" spans="1:20" ht="12" customHeight="1" x14ac:dyDescent="0.3">
      <c r="A333" s="340" t="s">
        <v>291</v>
      </c>
      <c r="B333" s="341">
        <v>41</v>
      </c>
      <c r="C333" s="309">
        <v>46102</v>
      </c>
      <c r="D333" s="310" t="s">
        <v>387</v>
      </c>
      <c r="E333" s="342"/>
      <c r="F333" s="342">
        <v>400</v>
      </c>
      <c r="G333" s="344">
        <f t="shared" si="3"/>
        <v>7508.979999999985</v>
      </c>
      <c r="H333" s="345"/>
      <c r="I333" s="346"/>
      <c r="J333" s="347"/>
      <c r="K333" s="312"/>
      <c r="L333" s="347"/>
      <c r="M333" s="312"/>
      <c r="N333" s="347"/>
      <c r="O333" s="312"/>
      <c r="P333" s="347"/>
      <c r="Q333" s="312"/>
      <c r="R333" s="347"/>
      <c r="S333" s="312"/>
      <c r="T333" s="347"/>
    </row>
    <row r="334" spans="1:20" ht="12" customHeight="1" x14ac:dyDescent="0.3">
      <c r="A334" s="340" t="s">
        <v>289</v>
      </c>
      <c r="B334" s="341">
        <v>5</v>
      </c>
      <c r="C334" s="309">
        <v>46102</v>
      </c>
      <c r="D334" s="310" t="s">
        <v>399</v>
      </c>
      <c r="E334" s="342">
        <v>170</v>
      </c>
      <c r="F334" s="342"/>
      <c r="G334" s="344">
        <f t="shared" si="3"/>
        <v>7108.979999999985</v>
      </c>
      <c r="H334" s="345" t="s">
        <v>298</v>
      </c>
      <c r="I334" s="346"/>
      <c r="J334" s="347"/>
      <c r="K334" s="312"/>
      <c r="L334" s="347"/>
      <c r="M334" s="312"/>
      <c r="N334" s="347"/>
      <c r="O334" s="312"/>
      <c r="P334" s="347"/>
      <c r="Q334" s="312"/>
      <c r="R334" s="347"/>
      <c r="S334" s="312"/>
      <c r="T334" s="347"/>
    </row>
    <row r="335" spans="1:20" ht="12" customHeight="1" x14ac:dyDescent="0.3">
      <c r="A335" s="340" t="s">
        <v>289</v>
      </c>
      <c r="B335" s="341">
        <v>5</v>
      </c>
      <c r="C335" s="309">
        <v>46102</v>
      </c>
      <c r="D335" s="310" t="s">
        <v>358</v>
      </c>
      <c r="E335" s="342">
        <v>70</v>
      </c>
      <c r="F335" s="342"/>
      <c r="G335" s="344">
        <f t="shared" si="3"/>
        <v>7278.979999999985</v>
      </c>
      <c r="H335" s="345" t="s">
        <v>298</v>
      </c>
      <c r="I335" s="346"/>
      <c r="J335" s="347"/>
      <c r="K335" s="312"/>
      <c r="L335" s="347"/>
      <c r="M335" s="312"/>
      <c r="N335" s="347"/>
      <c r="O335" s="312"/>
      <c r="P335" s="347"/>
      <c r="Q335" s="312"/>
      <c r="R335" s="347"/>
      <c r="S335" s="312"/>
      <c r="T335" s="347"/>
    </row>
    <row r="336" spans="1:20" ht="12" customHeight="1" x14ac:dyDescent="0.3">
      <c r="A336" s="340" t="s">
        <v>289</v>
      </c>
      <c r="B336" s="341">
        <v>5</v>
      </c>
      <c r="C336" s="309">
        <v>46102</v>
      </c>
      <c r="D336" s="310" t="s">
        <v>400</v>
      </c>
      <c r="E336" s="342">
        <v>40</v>
      </c>
      <c r="F336" s="342"/>
      <c r="G336" s="344">
        <f t="shared" ref="G336:G590" si="4">G337-E336+F336</f>
        <v>7348.979999999985</v>
      </c>
      <c r="H336" s="345" t="s">
        <v>298</v>
      </c>
      <c r="I336" s="346"/>
      <c r="J336" s="347"/>
      <c r="K336" s="312"/>
      <c r="L336" s="347"/>
      <c r="M336" s="312"/>
      <c r="N336" s="347"/>
      <c r="O336" s="312"/>
      <c r="P336" s="347"/>
      <c r="Q336" s="312"/>
      <c r="R336" s="347"/>
      <c r="S336" s="312"/>
      <c r="T336" s="347"/>
    </row>
    <row r="337" spans="1:20" ht="12" customHeight="1" x14ac:dyDescent="0.3">
      <c r="A337" s="340" t="s">
        <v>289</v>
      </c>
      <c r="B337" s="341">
        <v>3</v>
      </c>
      <c r="C337" s="309">
        <v>46102</v>
      </c>
      <c r="D337" s="310" t="s">
        <v>352</v>
      </c>
      <c r="E337" s="342">
        <v>25</v>
      </c>
      <c r="F337" s="342"/>
      <c r="G337" s="344">
        <f t="shared" si="4"/>
        <v>7388.979999999985</v>
      </c>
      <c r="H337" s="345"/>
      <c r="I337" s="346"/>
      <c r="J337" s="347"/>
      <c r="K337" s="312"/>
      <c r="L337" s="347"/>
      <c r="M337" s="312"/>
      <c r="N337" s="347"/>
      <c r="O337" s="312"/>
      <c r="P337" s="347"/>
      <c r="Q337" s="312"/>
      <c r="R337" s="347"/>
      <c r="S337" s="312"/>
      <c r="T337" s="347"/>
    </row>
    <row r="338" spans="1:20" ht="12" customHeight="1" x14ac:dyDescent="0.3">
      <c r="A338" s="340" t="s">
        <v>289</v>
      </c>
      <c r="B338" s="341">
        <v>1</v>
      </c>
      <c r="C338" s="309">
        <v>46102</v>
      </c>
      <c r="D338" s="310" t="s">
        <v>304</v>
      </c>
      <c r="E338" s="342">
        <v>65.19</v>
      </c>
      <c r="F338" s="342"/>
      <c r="G338" s="344">
        <f t="shared" si="4"/>
        <v>7413.979999999985</v>
      </c>
      <c r="H338" s="345"/>
      <c r="I338" s="346"/>
      <c r="J338" s="347"/>
      <c r="K338" s="312"/>
      <c r="L338" s="347"/>
      <c r="M338" s="312"/>
      <c r="N338" s="347"/>
      <c r="O338" s="312"/>
      <c r="P338" s="347"/>
      <c r="Q338" s="312"/>
      <c r="R338" s="347"/>
      <c r="S338" s="312"/>
      <c r="T338" s="347"/>
    </row>
    <row r="339" spans="1:20" ht="12" customHeight="1" x14ac:dyDescent="0.3">
      <c r="A339" s="340" t="s">
        <v>289</v>
      </c>
      <c r="B339" s="341">
        <v>4</v>
      </c>
      <c r="C339" s="309">
        <v>46102</v>
      </c>
      <c r="D339" s="310" t="s">
        <v>311</v>
      </c>
      <c r="E339" s="342">
        <v>37.450000000000003</v>
      </c>
      <c r="F339" s="342"/>
      <c r="G339" s="344">
        <f t="shared" si="4"/>
        <v>7479.1699999999846</v>
      </c>
      <c r="H339" s="345"/>
      <c r="I339" s="346"/>
      <c r="J339" s="347"/>
      <c r="K339" s="312"/>
      <c r="L339" s="347"/>
      <c r="M339" s="312"/>
      <c r="N339" s="347"/>
      <c r="O339" s="312"/>
      <c r="P339" s="347"/>
      <c r="Q339" s="312"/>
      <c r="R339" s="347"/>
      <c r="S339" s="312"/>
      <c r="T339" s="347"/>
    </row>
    <row r="340" spans="1:20" ht="12" customHeight="1" x14ac:dyDescent="0.3">
      <c r="A340" s="340" t="s">
        <v>289</v>
      </c>
      <c r="B340" s="341">
        <v>8</v>
      </c>
      <c r="C340" s="309">
        <v>46101</v>
      </c>
      <c r="D340" s="310" t="s">
        <v>360</v>
      </c>
      <c r="E340" s="342">
        <v>65.099999999999994</v>
      </c>
      <c r="F340" s="342"/>
      <c r="G340" s="344">
        <f t="shared" si="4"/>
        <v>7516.6199999999844</v>
      </c>
      <c r="H340" s="345"/>
      <c r="I340" s="346"/>
      <c r="J340" s="347"/>
      <c r="K340" s="312"/>
      <c r="L340" s="347"/>
      <c r="M340" s="312"/>
      <c r="N340" s="347"/>
      <c r="O340" s="312"/>
      <c r="P340" s="347"/>
      <c r="Q340" s="312"/>
      <c r="R340" s="347"/>
      <c r="S340" s="312"/>
      <c r="T340" s="347"/>
    </row>
    <row r="341" spans="1:20" ht="12" customHeight="1" x14ac:dyDescent="0.3">
      <c r="A341" s="340" t="s">
        <v>294</v>
      </c>
      <c r="B341" s="341">
        <v>22</v>
      </c>
      <c r="C341" s="309">
        <v>46101</v>
      </c>
      <c r="D341" s="310" t="s">
        <v>325</v>
      </c>
      <c r="E341" s="342">
        <v>20.22</v>
      </c>
      <c r="F341" s="342"/>
      <c r="G341" s="344">
        <f t="shared" si="4"/>
        <v>7581.7199999999848</v>
      </c>
      <c r="H341" s="345"/>
      <c r="I341" s="346"/>
      <c r="J341" s="347"/>
      <c r="K341" s="312"/>
      <c r="L341" s="347"/>
      <c r="M341" s="312"/>
      <c r="N341" s="347"/>
      <c r="O341" s="312"/>
      <c r="P341" s="347"/>
      <c r="Q341" s="312"/>
      <c r="R341" s="347"/>
      <c r="S341" s="312"/>
      <c r="T341" s="347"/>
    </row>
    <row r="342" spans="1:20" ht="12" customHeight="1" x14ac:dyDescent="0.3">
      <c r="A342" s="340" t="s">
        <v>289</v>
      </c>
      <c r="B342" s="341">
        <v>6</v>
      </c>
      <c r="C342" s="309">
        <v>46101</v>
      </c>
      <c r="D342" s="310" t="s">
        <v>401</v>
      </c>
      <c r="E342" s="342">
        <v>-73</v>
      </c>
      <c r="F342" s="342"/>
      <c r="G342" s="344">
        <f t="shared" si="4"/>
        <v>7601.939999999985</v>
      </c>
      <c r="H342" s="345"/>
      <c r="I342" s="346"/>
      <c r="J342" s="347"/>
      <c r="K342" s="312"/>
      <c r="L342" s="347"/>
      <c r="M342" s="312"/>
      <c r="N342" s="347"/>
      <c r="O342" s="312"/>
      <c r="P342" s="347"/>
      <c r="Q342" s="312"/>
      <c r="R342" s="347"/>
      <c r="S342" s="312"/>
      <c r="T342" s="347"/>
    </row>
    <row r="343" spans="1:20" ht="12" customHeight="1" x14ac:dyDescent="0.3">
      <c r="A343" s="340" t="s">
        <v>289</v>
      </c>
      <c r="B343" s="341">
        <v>6</v>
      </c>
      <c r="C343" s="309">
        <v>46101</v>
      </c>
      <c r="D343" s="310" t="s">
        <v>300</v>
      </c>
      <c r="E343" s="342">
        <v>34.68</v>
      </c>
      <c r="F343" s="342"/>
      <c r="G343" s="344">
        <f t="shared" si="4"/>
        <v>7528.939999999985</v>
      </c>
      <c r="H343" s="345"/>
      <c r="I343" s="346"/>
      <c r="J343" s="347"/>
      <c r="K343" s="312"/>
      <c r="L343" s="347"/>
      <c r="M343" s="312"/>
      <c r="N343" s="347"/>
      <c r="O343" s="312"/>
      <c r="P343" s="347"/>
      <c r="Q343" s="312"/>
      <c r="R343" s="347"/>
      <c r="S343" s="312"/>
      <c r="T343" s="347"/>
    </row>
    <row r="344" spans="1:20" ht="12" customHeight="1" x14ac:dyDescent="0.3">
      <c r="A344" s="340" t="s">
        <v>289</v>
      </c>
      <c r="B344" s="341">
        <v>6</v>
      </c>
      <c r="C344" s="309">
        <v>46101</v>
      </c>
      <c r="D344" s="310" t="s">
        <v>402</v>
      </c>
      <c r="E344" s="342">
        <v>10.63</v>
      </c>
      <c r="F344" s="342"/>
      <c r="G344" s="344">
        <f t="shared" si="4"/>
        <v>7563.6199999999853</v>
      </c>
      <c r="H344" s="345"/>
      <c r="I344" s="346"/>
      <c r="J344" s="347"/>
      <c r="K344" s="312"/>
      <c r="L344" s="347"/>
      <c r="M344" s="312"/>
      <c r="N344" s="347"/>
      <c r="O344" s="312"/>
      <c r="P344" s="347"/>
      <c r="Q344" s="312"/>
      <c r="R344" s="347"/>
      <c r="S344" s="312"/>
      <c r="T344" s="347"/>
    </row>
    <row r="345" spans="1:20" ht="12" customHeight="1" x14ac:dyDescent="0.3">
      <c r="A345" s="340" t="s">
        <v>289</v>
      </c>
      <c r="B345" s="341">
        <v>5</v>
      </c>
      <c r="C345" s="309">
        <v>46101</v>
      </c>
      <c r="D345" s="310" t="s">
        <v>403</v>
      </c>
      <c r="E345" s="342">
        <v>106.49</v>
      </c>
      <c r="F345" s="342"/>
      <c r="G345" s="344">
        <f t="shared" si="4"/>
        <v>7574.2499999999854</v>
      </c>
      <c r="H345" s="345"/>
      <c r="I345" s="346"/>
      <c r="J345" s="347"/>
      <c r="K345" s="312"/>
      <c r="L345" s="347"/>
      <c r="M345" s="312"/>
      <c r="N345" s="347"/>
      <c r="O345" s="312"/>
      <c r="P345" s="347"/>
      <c r="Q345" s="312"/>
      <c r="R345" s="347"/>
      <c r="S345" s="312"/>
      <c r="T345" s="347"/>
    </row>
    <row r="346" spans="1:20" ht="12" customHeight="1" x14ac:dyDescent="0.3">
      <c r="A346" s="340" t="s">
        <v>289</v>
      </c>
      <c r="B346" s="341">
        <v>8</v>
      </c>
      <c r="C346" s="309">
        <v>46100</v>
      </c>
      <c r="D346" s="310" t="s">
        <v>361</v>
      </c>
      <c r="E346" s="342">
        <v>16.739999999999998</v>
      </c>
      <c r="F346" s="342"/>
      <c r="G346" s="344">
        <f t="shared" si="4"/>
        <v>7680.7399999999852</v>
      </c>
      <c r="H346" s="345"/>
      <c r="I346" s="346"/>
      <c r="J346" s="347"/>
      <c r="K346" s="312"/>
      <c r="L346" s="347"/>
      <c r="M346" s="312"/>
      <c r="N346" s="347"/>
      <c r="O346" s="312"/>
      <c r="P346" s="347"/>
      <c r="Q346" s="312"/>
      <c r="R346" s="347"/>
      <c r="S346" s="312"/>
      <c r="T346" s="347"/>
    </row>
    <row r="347" spans="1:20" ht="12" customHeight="1" x14ac:dyDescent="0.3">
      <c r="A347" s="340" t="s">
        <v>289</v>
      </c>
      <c r="B347" s="341">
        <v>8</v>
      </c>
      <c r="C347" s="309">
        <v>46100</v>
      </c>
      <c r="D347" s="310" t="s">
        <v>404</v>
      </c>
      <c r="E347" s="342">
        <v>108.54</v>
      </c>
      <c r="F347" s="342"/>
      <c r="G347" s="344">
        <f t="shared" si="4"/>
        <v>7697.479999999985</v>
      </c>
      <c r="H347" s="345"/>
      <c r="I347" s="346"/>
      <c r="J347" s="347"/>
      <c r="K347" s="312"/>
      <c r="L347" s="347"/>
      <c r="M347" s="312"/>
      <c r="N347" s="347"/>
      <c r="O347" s="312"/>
      <c r="P347" s="347"/>
      <c r="Q347" s="312"/>
      <c r="R347" s="347"/>
      <c r="S347" s="312"/>
      <c r="T347" s="347"/>
    </row>
    <row r="348" spans="1:20" ht="12" customHeight="1" x14ac:dyDescent="0.3">
      <c r="A348" s="340" t="s">
        <v>294</v>
      </c>
      <c r="B348" s="341">
        <v>22</v>
      </c>
      <c r="C348" s="309">
        <v>46100</v>
      </c>
      <c r="D348" s="310" t="s">
        <v>405</v>
      </c>
      <c r="E348" s="342">
        <v>12.77</v>
      </c>
      <c r="F348" s="342"/>
      <c r="G348" s="344">
        <f t="shared" si="4"/>
        <v>7806.019999999985</v>
      </c>
      <c r="H348" s="345"/>
      <c r="I348" s="346"/>
      <c r="J348" s="347"/>
      <c r="K348" s="312"/>
      <c r="L348" s="347"/>
      <c r="M348" s="312"/>
      <c r="N348" s="347"/>
      <c r="O348" s="312"/>
      <c r="P348" s="347"/>
      <c r="Q348" s="312"/>
      <c r="R348" s="347"/>
      <c r="S348" s="312"/>
      <c r="T348" s="347"/>
    </row>
    <row r="349" spans="1:20" ht="12" customHeight="1" x14ac:dyDescent="0.3">
      <c r="A349" s="340" t="s">
        <v>289</v>
      </c>
      <c r="B349" s="341">
        <v>8</v>
      </c>
      <c r="C349" s="309">
        <v>46100</v>
      </c>
      <c r="D349" s="310" t="s">
        <v>338</v>
      </c>
      <c r="E349" s="342">
        <v>28.33</v>
      </c>
      <c r="F349" s="342"/>
      <c r="G349" s="344">
        <f t="shared" si="4"/>
        <v>7818.7899999999854</v>
      </c>
      <c r="H349" s="345"/>
      <c r="I349" s="346"/>
      <c r="J349" s="347"/>
      <c r="K349" s="312"/>
      <c r="L349" s="347"/>
      <c r="M349" s="312"/>
      <c r="N349" s="347"/>
      <c r="O349" s="312"/>
      <c r="P349" s="347"/>
      <c r="Q349" s="312"/>
      <c r="R349" s="347"/>
      <c r="S349" s="312"/>
      <c r="T349" s="347"/>
    </row>
    <row r="350" spans="1:20" ht="12" customHeight="1" x14ac:dyDescent="0.3">
      <c r="A350" s="340" t="s">
        <v>289</v>
      </c>
      <c r="B350" s="341">
        <v>2</v>
      </c>
      <c r="C350" s="309">
        <v>46100</v>
      </c>
      <c r="D350" s="310" t="s">
        <v>362</v>
      </c>
      <c r="E350" s="342">
        <v>17.45</v>
      </c>
      <c r="F350" s="342"/>
      <c r="G350" s="344">
        <f t="shared" si="4"/>
        <v>7847.1199999999853</v>
      </c>
      <c r="H350" s="345"/>
      <c r="I350" s="346"/>
      <c r="J350" s="347"/>
      <c r="K350" s="312"/>
      <c r="L350" s="347"/>
      <c r="M350" s="312"/>
      <c r="N350" s="347"/>
      <c r="O350" s="312"/>
      <c r="P350" s="347"/>
      <c r="Q350" s="312"/>
      <c r="R350" s="347"/>
      <c r="S350" s="312"/>
      <c r="T350" s="347"/>
    </row>
    <row r="351" spans="1:20" ht="12" customHeight="1" x14ac:dyDescent="0.3">
      <c r="A351" s="340" t="s">
        <v>294</v>
      </c>
      <c r="B351" s="341">
        <v>22</v>
      </c>
      <c r="C351" s="309">
        <v>46100</v>
      </c>
      <c r="D351" s="310" t="s">
        <v>406</v>
      </c>
      <c r="E351" s="342">
        <v>7.46</v>
      </c>
      <c r="F351" s="342"/>
      <c r="G351" s="344">
        <f t="shared" si="4"/>
        <v>7864.5699999999852</v>
      </c>
      <c r="H351" s="345"/>
      <c r="I351" s="346"/>
      <c r="J351" s="347"/>
      <c r="K351" s="312"/>
      <c r="L351" s="347"/>
      <c r="M351" s="312"/>
      <c r="N351" s="347"/>
      <c r="O351" s="312"/>
      <c r="P351" s="347"/>
      <c r="Q351" s="312"/>
      <c r="R351" s="347"/>
      <c r="S351" s="312"/>
      <c r="T351" s="347"/>
    </row>
    <row r="352" spans="1:20" ht="12" customHeight="1" x14ac:dyDescent="0.3">
      <c r="A352" s="340" t="s">
        <v>339</v>
      </c>
      <c r="B352" s="341" t="s">
        <v>339</v>
      </c>
      <c r="C352" s="309">
        <v>46100</v>
      </c>
      <c r="D352" s="310" t="s">
        <v>185</v>
      </c>
      <c r="E352" s="342">
        <v>172.29</v>
      </c>
      <c r="F352" s="342"/>
      <c r="G352" s="344">
        <f t="shared" si="4"/>
        <v>7872.0299999999852</v>
      </c>
      <c r="H352" s="345"/>
      <c r="I352" s="346"/>
      <c r="J352" s="347"/>
      <c r="K352" s="312"/>
      <c r="L352" s="347"/>
      <c r="M352" s="312"/>
      <c r="N352" s="347"/>
      <c r="O352" s="312"/>
      <c r="P352" s="347"/>
      <c r="Q352" s="312"/>
      <c r="R352" s="347"/>
      <c r="S352" s="312"/>
      <c r="T352" s="347"/>
    </row>
    <row r="353" spans="1:20" ht="12" customHeight="1" x14ac:dyDescent="0.3">
      <c r="A353" s="340" t="s">
        <v>294</v>
      </c>
      <c r="B353" s="341">
        <v>15</v>
      </c>
      <c r="C353" s="309">
        <v>46100</v>
      </c>
      <c r="D353" s="310" t="s">
        <v>185</v>
      </c>
      <c r="E353" s="342">
        <v>175.09</v>
      </c>
      <c r="F353" s="342"/>
      <c r="G353" s="344">
        <f t="shared" si="4"/>
        <v>8044.3199999999852</v>
      </c>
      <c r="H353" s="345"/>
      <c r="I353" s="346"/>
      <c r="J353" s="347"/>
      <c r="K353" s="312"/>
      <c r="L353" s="347"/>
      <c r="M353" s="312"/>
      <c r="N353" s="347"/>
      <c r="O353" s="312"/>
      <c r="P353" s="347"/>
      <c r="Q353" s="312"/>
      <c r="R353" s="347"/>
      <c r="S353" s="312"/>
      <c r="T353" s="347"/>
    </row>
    <row r="354" spans="1:20" ht="12" customHeight="1" x14ac:dyDescent="0.3">
      <c r="A354" s="340" t="s">
        <v>291</v>
      </c>
      <c r="B354" s="341">
        <v>39</v>
      </c>
      <c r="C354" s="309">
        <v>46100</v>
      </c>
      <c r="D354" s="310" t="s">
        <v>292</v>
      </c>
      <c r="E354" s="342"/>
      <c r="F354" s="342">
        <v>2763.78</v>
      </c>
      <c r="G354" s="344">
        <f t="shared" si="4"/>
        <v>8219.4099999999853</v>
      </c>
      <c r="H354" s="345"/>
      <c r="I354" s="346"/>
      <c r="J354" s="347"/>
      <c r="K354" s="312"/>
      <c r="L354" s="347"/>
      <c r="M354" s="312"/>
      <c r="N354" s="347"/>
      <c r="O354" s="312"/>
      <c r="P354" s="347"/>
      <c r="Q354" s="312"/>
      <c r="R354" s="347"/>
      <c r="S354" s="312"/>
      <c r="T354" s="347"/>
    </row>
    <row r="355" spans="1:20" ht="12" customHeight="1" x14ac:dyDescent="0.3">
      <c r="A355" s="340" t="s">
        <v>289</v>
      </c>
      <c r="B355" s="341">
        <v>2</v>
      </c>
      <c r="C355" s="309">
        <v>46099</v>
      </c>
      <c r="D355" s="310" t="s">
        <v>407</v>
      </c>
      <c r="E355" s="342">
        <v>47.46</v>
      </c>
      <c r="F355" s="342"/>
      <c r="G355" s="344">
        <f t="shared" si="4"/>
        <v>5455.6299999999856</v>
      </c>
      <c r="H355" s="345"/>
      <c r="I355" s="346"/>
      <c r="J355" s="347"/>
      <c r="K355" s="312"/>
      <c r="L355" s="347"/>
      <c r="M355" s="312"/>
      <c r="N355" s="347"/>
      <c r="O355" s="312"/>
      <c r="P355" s="347"/>
      <c r="Q355" s="312"/>
      <c r="R355" s="347"/>
      <c r="S355" s="312"/>
      <c r="T355" s="347"/>
    </row>
    <row r="356" spans="1:20" ht="12" customHeight="1" x14ac:dyDescent="0.3">
      <c r="A356" s="340" t="s">
        <v>289</v>
      </c>
      <c r="B356" s="341">
        <v>8</v>
      </c>
      <c r="C356" s="309">
        <v>46099</v>
      </c>
      <c r="D356" s="310" t="s">
        <v>407</v>
      </c>
      <c r="E356" s="342">
        <v>15.01</v>
      </c>
      <c r="F356" s="342"/>
      <c r="G356" s="344">
        <f t="shared" si="4"/>
        <v>5503.0899999999856</v>
      </c>
      <c r="H356" s="345"/>
      <c r="I356" s="346"/>
      <c r="J356" s="347"/>
      <c r="K356" s="312"/>
      <c r="L356" s="347"/>
      <c r="M356" s="312"/>
      <c r="N356" s="347"/>
      <c r="O356" s="312"/>
      <c r="P356" s="347"/>
      <c r="Q356" s="312"/>
      <c r="R356" s="347"/>
      <c r="S356" s="312"/>
      <c r="T356" s="347"/>
    </row>
    <row r="357" spans="1:20" ht="12" customHeight="1" x14ac:dyDescent="0.3">
      <c r="A357" s="340" t="s">
        <v>291</v>
      </c>
      <c r="B357" s="341">
        <v>40</v>
      </c>
      <c r="C357" s="309">
        <v>46099</v>
      </c>
      <c r="D357" s="310" t="s">
        <v>318</v>
      </c>
      <c r="E357" s="342"/>
      <c r="F357" s="342">
        <v>838.67</v>
      </c>
      <c r="G357" s="344">
        <f t="shared" si="4"/>
        <v>5518.0999999999858</v>
      </c>
      <c r="H357" s="345"/>
      <c r="I357" s="346"/>
      <c r="J357" s="347"/>
      <c r="K357" s="312"/>
      <c r="L357" s="347"/>
      <c r="M357" s="312"/>
      <c r="N357" s="347"/>
      <c r="O357" s="312"/>
      <c r="P357" s="347"/>
      <c r="Q357" s="312"/>
      <c r="R357" s="347"/>
      <c r="S357" s="312"/>
      <c r="T357" s="347"/>
    </row>
    <row r="358" spans="1:20" ht="12" customHeight="1" x14ac:dyDescent="0.3">
      <c r="A358" s="340" t="s">
        <v>289</v>
      </c>
      <c r="B358" s="341">
        <v>2</v>
      </c>
      <c r="C358" s="309">
        <v>46099</v>
      </c>
      <c r="D358" s="310" t="s">
        <v>296</v>
      </c>
      <c r="E358" s="342">
        <v>14.67</v>
      </c>
      <c r="F358" s="342"/>
      <c r="G358" s="344">
        <f t="shared" si="4"/>
        <v>4679.4299999999857</v>
      </c>
      <c r="H358" s="345"/>
      <c r="I358" s="346"/>
      <c r="J358" s="347"/>
      <c r="K358" s="312"/>
      <c r="L358" s="347"/>
      <c r="M358" s="312"/>
      <c r="N358" s="347"/>
      <c r="O358" s="312"/>
      <c r="P358" s="347"/>
      <c r="Q358" s="312"/>
      <c r="R358" s="347"/>
      <c r="S358" s="312"/>
      <c r="T358" s="347"/>
    </row>
    <row r="359" spans="1:20" ht="12" customHeight="1" x14ac:dyDescent="0.3">
      <c r="A359" s="340" t="s">
        <v>289</v>
      </c>
      <c r="B359" s="341">
        <v>4</v>
      </c>
      <c r="C359" s="309">
        <v>46099</v>
      </c>
      <c r="D359" s="310" t="s">
        <v>296</v>
      </c>
      <c r="E359" s="342">
        <v>40.22</v>
      </c>
      <c r="F359" s="342"/>
      <c r="G359" s="344">
        <f t="shared" si="4"/>
        <v>4694.0999999999858</v>
      </c>
      <c r="H359" s="345"/>
      <c r="I359" s="346"/>
      <c r="J359" s="347"/>
      <c r="K359" s="312"/>
      <c r="L359" s="347"/>
      <c r="M359" s="312"/>
      <c r="N359" s="347"/>
      <c r="O359" s="312"/>
      <c r="P359" s="347"/>
      <c r="Q359" s="312"/>
      <c r="R359" s="347"/>
      <c r="S359" s="312"/>
      <c r="T359" s="347"/>
    </row>
    <row r="360" spans="1:20" ht="12" customHeight="1" x14ac:dyDescent="0.3">
      <c r="A360" s="340" t="s">
        <v>289</v>
      </c>
      <c r="B360" s="341">
        <v>8</v>
      </c>
      <c r="C360" s="309">
        <v>46099</v>
      </c>
      <c r="D360" s="310" t="s">
        <v>295</v>
      </c>
      <c r="E360" s="342">
        <v>3.49</v>
      </c>
      <c r="F360" s="342"/>
      <c r="G360" s="344">
        <f t="shared" si="4"/>
        <v>4734.3199999999861</v>
      </c>
      <c r="H360" s="345"/>
      <c r="I360" s="346"/>
      <c r="J360" s="347"/>
      <c r="K360" s="312"/>
      <c r="L360" s="347"/>
      <c r="M360" s="312"/>
      <c r="N360" s="347"/>
      <c r="O360" s="312"/>
      <c r="P360" s="347"/>
      <c r="Q360" s="312"/>
      <c r="R360" s="347"/>
      <c r="S360" s="312"/>
      <c r="T360" s="347"/>
    </row>
    <row r="361" spans="1:20" ht="12" customHeight="1" x14ac:dyDescent="0.3">
      <c r="A361" s="340" t="s">
        <v>294</v>
      </c>
      <c r="B361" s="341">
        <v>22</v>
      </c>
      <c r="C361" s="309">
        <v>46099</v>
      </c>
      <c r="D361" s="310" t="s">
        <v>408</v>
      </c>
      <c r="E361" s="342">
        <v>13.84</v>
      </c>
      <c r="F361" s="342"/>
      <c r="G361" s="344">
        <f t="shared" si="4"/>
        <v>4737.8099999999858</v>
      </c>
      <c r="H361" s="345"/>
      <c r="I361" s="346"/>
      <c r="J361" s="347"/>
      <c r="K361" s="312"/>
      <c r="L361" s="347"/>
      <c r="M361" s="312"/>
      <c r="N361" s="347"/>
      <c r="O361" s="312"/>
      <c r="P361" s="347"/>
      <c r="Q361" s="312"/>
      <c r="R361" s="347"/>
      <c r="S361" s="312"/>
      <c r="T361" s="347"/>
    </row>
    <row r="362" spans="1:20" ht="12" customHeight="1" x14ac:dyDescent="0.3">
      <c r="A362" s="340" t="s">
        <v>294</v>
      </c>
      <c r="B362" s="341">
        <v>17</v>
      </c>
      <c r="C362" s="309">
        <v>46098</v>
      </c>
      <c r="D362" s="310" t="s">
        <v>188</v>
      </c>
      <c r="E362" s="342">
        <v>42.65</v>
      </c>
      <c r="F362" s="342"/>
      <c r="G362" s="344">
        <f t="shared" si="4"/>
        <v>4751.649999999986</v>
      </c>
      <c r="H362" s="345"/>
      <c r="I362" s="346"/>
      <c r="J362" s="347"/>
      <c r="K362" s="312"/>
      <c r="L362" s="347"/>
      <c r="M362" s="312"/>
      <c r="N362" s="347"/>
      <c r="O362" s="312"/>
      <c r="P362" s="347"/>
      <c r="Q362" s="312"/>
      <c r="R362" s="347"/>
      <c r="S362" s="312"/>
      <c r="T362" s="347"/>
    </row>
    <row r="363" spans="1:20" ht="12" customHeight="1" x14ac:dyDescent="0.3">
      <c r="A363" s="340" t="s">
        <v>294</v>
      </c>
      <c r="B363" s="341">
        <v>23</v>
      </c>
      <c r="C363" s="309">
        <v>46098</v>
      </c>
      <c r="D363" s="310" t="s">
        <v>409</v>
      </c>
      <c r="E363" s="342">
        <v>529.46</v>
      </c>
      <c r="F363" s="342"/>
      <c r="G363" s="344">
        <f t="shared" si="4"/>
        <v>4794.2999999999856</v>
      </c>
      <c r="H363" s="345"/>
      <c r="I363" s="346"/>
      <c r="J363" s="347"/>
      <c r="K363" s="312"/>
      <c r="L363" s="347"/>
      <c r="M363" s="312"/>
      <c r="N363" s="347"/>
      <c r="O363" s="312"/>
      <c r="P363" s="347"/>
      <c r="Q363" s="312"/>
      <c r="R363" s="347"/>
      <c r="S363" s="312"/>
      <c r="T363" s="347"/>
    </row>
    <row r="364" spans="1:20" ht="12" customHeight="1" x14ac:dyDescent="0.3">
      <c r="A364" s="340" t="s">
        <v>294</v>
      </c>
      <c r="B364" s="341">
        <v>43</v>
      </c>
      <c r="C364" s="309">
        <v>46098</v>
      </c>
      <c r="D364" s="310" t="s">
        <v>337</v>
      </c>
      <c r="E364" s="342">
        <v>22.35</v>
      </c>
      <c r="F364" s="342"/>
      <c r="G364" s="344">
        <f t="shared" si="4"/>
        <v>5323.7599999999857</v>
      </c>
      <c r="H364" s="345"/>
      <c r="I364" s="346"/>
      <c r="J364" s="347"/>
      <c r="K364" s="312"/>
      <c r="L364" s="347"/>
      <c r="M364" s="312"/>
      <c r="N364" s="347"/>
      <c r="O364" s="312"/>
      <c r="P364" s="347"/>
      <c r="Q364" s="312"/>
      <c r="R364" s="347"/>
      <c r="S364" s="312"/>
      <c r="T364" s="347"/>
    </row>
    <row r="365" spans="1:20" ht="12" customHeight="1" x14ac:dyDescent="0.3">
      <c r="A365" s="340" t="s">
        <v>294</v>
      </c>
      <c r="B365" s="341">
        <v>42</v>
      </c>
      <c r="C365" s="309">
        <v>46098</v>
      </c>
      <c r="D365" s="310" t="s">
        <v>337</v>
      </c>
      <c r="E365" s="342">
        <v>37.25</v>
      </c>
      <c r="F365" s="342"/>
      <c r="G365" s="344">
        <f t="shared" si="4"/>
        <v>5346.109999999986</v>
      </c>
      <c r="H365" s="345"/>
      <c r="I365" s="346"/>
      <c r="J365" s="347"/>
      <c r="K365" s="312"/>
      <c r="L365" s="347"/>
      <c r="M365" s="312"/>
      <c r="N365" s="347"/>
      <c r="O365" s="312"/>
      <c r="P365" s="347"/>
      <c r="Q365" s="312"/>
      <c r="R365" s="347"/>
      <c r="S365" s="312"/>
      <c r="T365" s="347"/>
    </row>
    <row r="366" spans="1:20" ht="12" customHeight="1" x14ac:dyDescent="0.3">
      <c r="A366" s="340" t="s">
        <v>289</v>
      </c>
      <c r="B366" s="341">
        <v>8</v>
      </c>
      <c r="C366" s="309">
        <v>46098</v>
      </c>
      <c r="D366" s="310" t="s">
        <v>321</v>
      </c>
      <c r="E366" s="342">
        <v>3.99</v>
      </c>
      <c r="F366" s="342"/>
      <c r="G366" s="344">
        <f t="shared" si="4"/>
        <v>5383.359999999986</v>
      </c>
      <c r="H366" s="345"/>
      <c r="I366" s="346"/>
      <c r="J366" s="347"/>
      <c r="K366" s="312"/>
      <c r="L366" s="347"/>
      <c r="M366" s="312"/>
      <c r="N366" s="347"/>
      <c r="O366" s="312"/>
      <c r="P366" s="347"/>
      <c r="Q366" s="312"/>
      <c r="R366" s="347"/>
      <c r="S366" s="312"/>
      <c r="T366" s="347"/>
    </row>
    <row r="367" spans="1:20" ht="12" customHeight="1" x14ac:dyDescent="0.3">
      <c r="A367" s="340" t="s">
        <v>289</v>
      </c>
      <c r="B367" s="341">
        <v>8</v>
      </c>
      <c r="C367" s="309">
        <v>46098</v>
      </c>
      <c r="D367" s="310" t="s">
        <v>321</v>
      </c>
      <c r="E367" s="342">
        <v>24.47</v>
      </c>
      <c r="F367" s="342"/>
      <c r="G367" s="344">
        <f t="shared" si="4"/>
        <v>5387.3499999999858</v>
      </c>
      <c r="H367" s="345"/>
      <c r="I367" s="346"/>
      <c r="J367" s="347"/>
      <c r="K367" s="312"/>
      <c r="L367" s="347"/>
      <c r="M367" s="312"/>
      <c r="N367" s="347"/>
      <c r="O367" s="312"/>
      <c r="P367" s="347"/>
      <c r="Q367" s="312"/>
      <c r="R367" s="347"/>
      <c r="S367" s="312"/>
      <c r="T367" s="347"/>
    </row>
    <row r="368" spans="1:20" ht="12" customHeight="1" x14ac:dyDescent="0.3">
      <c r="A368" s="340" t="s">
        <v>294</v>
      </c>
      <c r="B368" s="341">
        <v>21</v>
      </c>
      <c r="C368" s="309">
        <v>46098</v>
      </c>
      <c r="D368" s="310" t="s">
        <v>194</v>
      </c>
      <c r="E368" s="342">
        <v>75.599999999999994</v>
      </c>
      <c r="F368" s="342"/>
      <c r="G368" s="344">
        <f t="shared" si="4"/>
        <v>5411.8199999999861</v>
      </c>
      <c r="H368" s="345"/>
      <c r="I368" s="346"/>
      <c r="J368" s="347"/>
      <c r="K368" s="312"/>
      <c r="L368" s="347"/>
      <c r="M368" s="312"/>
      <c r="N368" s="347"/>
      <c r="O368" s="312"/>
      <c r="P368" s="347"/>
      <c r="Q368" s="312"/>
      <c r="R368" s="347"/>
      <c r="S368" s="312"/>
      <c r="T368" s="347"/>
    </row>
    <row r="369" spans="1:20" ht="12" customHeight="1" x14ac:dyDescent="0.3">
      <c r="A369" s="340" t="s">
        <v>289</v>
      </c>
      <c r="B369" s="341">
        <v>5</v>
      </c>
      <c r="C369" s="309">
        <v>46097</v>
      </c>
      <c r="D369" s="310" t="s">
        <v>344</v>
      </c>
      <c r="E369" s="342">
        <v>21.3</v>
      </c>
      <c r="F369" s="342"/>
      <c r="G369" s="344">
        <f t="shared" si="4"/>
        <v>5487.4199999999864</v>
      </c>
      <c r="H369" s="345"/>
      <c r="I369" s="346"/>
      <c r="J369" s="347"/>
      <c r="K369" s="312"/>
      <c r="L369" s="347"/>
      <c r="M369" s="312"/>
      <c r="N369" s="347"/>
      <c r="O369" s="312"/>
      <c r="P369" s="347"/>
      <c r="Q369" s="312"/>
      <c r="R369" s="347"/>
      <c r="S369" s="312"/>
      <c r="T369" s="347"/>
    </row>
    <row r="370" spans="1:20" ht="12" customHeight="1" x14ac:dyDescent="0.3">
      <c r="A370" s="340" t="s">
        <v>294</v>
      </c>
      <c r="B370" s="341">
        <v>11</v>
      </c>
      <c r="C370" s="309">
        <v>46097</v>
      </c>
      <c r="D370" s="310" t="s">
        <v>178</v>
      </c>
      <c r="E370" s="342">
        <v>267.91000000000003</v>
      </c>
      <c r="F370" s="342"/>
      <c r="G370" s="344">
        <f t="shared" si="4"/>
        <v>5508.7199999999866</v>
      </c>
      <c r="H370" s="345"/>
      <c r="I370" s="346"/>
      <c r="J370" s="347"/>
      <c r="K370" s="312"/>
      <c r="L370" s="347"/>
      <c r="M370" s="312"/>
      <c r="N370" s="347"/>
      <c r="O370" s="312"/>
      <c r="P370" s="347"/>
      <c r="Q370" s="312"/>
      <c r="R370" s="347"/>
      <c r="S370" s="312"/>
      <c r="T370" s="347"/>
    </row>
    <row r="371" spans="1:20" ht="12" customHeight="1" x14ac:dyDescent="0.3">
      <c r="A371" s="340" t="s">
        <v>287</v>
      </c>
      <c r="B371" s="341" t="s">
        <v>287</v>
      </c>
      <c r="C371" s="309">
        <v>46097</v>
      </c>
      <c r="D371" s="310" t="s">
        <v>410</v>
      </c>
      <c r="E371" s="342"/>
      <c r="F371" s="342">
        <v>80</v>
      </c>
      <c r="G371" s="344">
        <f t="shared" si="4"/>
        <v>5776.6299999999865</v>
      </c>
      <c r="H371" s="345" t="s">
        <v>298</v>
      </c>
      <c r="I371" s="346"/>
      <c r="J371" s="347"/>
      <c r="K371" s="312"/>
      <c r="L371" s="347"/>
      <c r="M371" s="312"/>
      <c r="N371" s="347"/>
      <c r="O371" s="312"/>
      <c r="P371" s="347"/>
      <c r="Q371" s="312"/>
      <c r="R371" s="347"/>
      <c r="S371" s="312"/>
      <c r="T371" s="347"/>
    </row>
    <row r="372" spans="1:20" ht="12" customHeight="1" x14ac:dyDescent="0.3">
      <c r="A372" s="340" t="s">
        <v>287</v>
      </c>
      <c r="B372" s="341" t="s">
        <v>287</v>
      </c>
      <c r="C372" s="309">
        <v>46097</v>
      </c>
      <c r="D372" s="310" t="s">
        <v>302</v>
      </c>
      <c r="E372" s="342">
        <v>80</v>
      </c>
      <c r="F372" s="342"/>
      <c r="G372" s="344">
        <f t="shared" si="4"/>
        <v>5696.6299999999865</v>
      </c>
      <c r="H372" s="345"/>
      <c r="I372" s="346"/>
      <c r="J372" s="347"/>
      <c r="K372" s="312"/>
      <c r="L372" s="347"/>
      <c r="M372" s="312"/>
      <c r="N372" s="347"/>
      <c r="O372" s="312"/>
      <c r="P372" s="347"/>
      <c r="Q372" s="312"/>
      <c r="R372" s="347"/>
      <c r="S372" s="312"/>
      <c r="T372" s="347"/>
    </row>
    <row r="373" spans="1:20" ht="12" customHeight="1" x14ac:dyDescent="0.3">
      <c r="A373" s="340" t="s">
        <v>289</v>
      </c>
      <c r="B373" s="341">
        <v>4</v>
      </c>
      <c r="C373" s="309">
        <v>46097</v>
      </c>
      <c r="D373" s="310" t="s">
        <v>311</v>
      </c>
      <c r="E373" s="342">
        <v>42.47</v>
      </c>
      <c r="F373" s="342"/>
      <c r="G373" s="344">
        <f t="shared" si="4"/>
        <v>5776.6299999999865</v>
      </c>
      <c r="H373" s="345"/>
      <c r="I373" s="346"/>
      <c r="J373" s="347"/>
      <c r="K373" s="312"/>
      <c r="L373" s="347"/>
      <c r="M373" s="312"/>
      <c r="N373" s="347"/>
      <c r="O373" s="312"/>
      <c r="P373" s="347"/>
      <c r="Q373" s="312"/>
      <c r="R373" s="347"/>
      <c r="S373" s="312"/>
      <c r="T373" s="347"/>
    </row>
    <row r="374" spans="1:20" ht="12" customHeight="1" x14ac:dyDescent="0.3">
      <c r="A374" s="340" t="s">
        <v>289</v>
      </c>
      <c r="B374" s="341">
        <v>2</v>
      </c>
      <c r="C374" s="309">
        <v>46097</v>
      </c>
      <c r="D374" s="310" t="s">
        <v>296</v>
      </c>
      <c r="E374" s="342">
        <v>11.18</v>
      </c>
      <c r="F374" s="342"/>
      <c r="G374" s="344">
        <f t="shared" si="4"/>
        <v>5819.0999999999867</v>
      </c>
      <c r="H374" s="345"/>
      <c r="I374" s="346"/>
      <c r="J374" s="347"/>
      <c r="K374" s="312"/>
      <c r="L374" s="347"/>
      <c r="M374" s="312"/>
      <c r="N374" s="347"/>
      <c r="O374" s="312"/>
      <c r="P374" s="347"/>
      <c r="Q374" s="312"/>
      <c r="R374" s="347"/>
      <c r="S374" s="312"/>
      <c r="T374" s="347"/>
    </row>
    <row r="375" spans="1:20" ht="12" customHeight="1" x14ac:dyDescent="0.3">
      <c r="A375" s="340" t="s">
        <v>289</v>
      </c>
      <c r="B375" s="341">
        <v>2</v>
      </c>
      <c r="C375" s="309">
        <v>46096</v>
      </c>
      <c r="D375" s="310" t="s">
        <v>411</v>
      </c>
      <c r="E375" s="342">
        <v>38.67</v>
      </c>
      <c r="F375" s="342"/>
      <c r="G375" s="344">
        <f t="shared" si="4"/>
        <v>5830.279999999987</v>
      </c>
      <c r="H375" s="345"/>
      <c r="I375" s="346"/>
      <c r="J375" s="347"/>
      <c r="K375" s="312"/>
      <c r="L375" s="347"/>
      <c r="M375" s="312"/>
      <c r="N375" s="347"/>
      <c r="O375" s="312"/>
      <c r="P375" s="347"/>
      <c r="Q375" s="312"/>
      <c r="R375" s="347"/>
      <c r="S375" s="312"/>
      <c r="T375" s="347"/>
    </row>
    <row r="376" spans="1:20" ht="12" customHeight="1" x14ac:dyDescent="0.3">
      <c r="A376" s="340" t="s">
        <v>289</v>
      </c>
      <c r="B376" s="341">
        <v>3</v>
      </c>
      <c r="C376" s="309">
        <v>46096</v>
      </c>
      <c r="D376" s="310" t="s">
        <v>352</v>
      </c>
      <c r="E376" s="342">
        <v>7.11</v>
      </c>
      <c r="F376" s="342"/>
      <c r="G376" s="344">
        <f t="shared" si="4"/>
        <v>5868.9499999999871</v>
      </c>
      <c r="H376" s="345"/>
      <c r="I376" s="346"/>
      <c r="J376" s="347"/>
      <c r="K376" s="312"/>
      <c r="L376" s="347"/>
      <c r="M376" s="312"/>
      <c r="N376" s="347"/>
      <c r="O376" s="312"/>
      <c r="P376" s="347"/>
      <c r="Q376" s="312"/>
      <c r="R376" s="347"/>
      <c r="S376" s="312"/>
      <c r="T376" s="347"/>
    </row>
    <row r="377" spans="1:20" ht="12" customHeight="1" x14ac:dyDescent="0.3">
      <c r="A377" s="340" t="s">
        <v>289</v>
      </c>
      <c r="B377" s="341">
        <v>1</v>
      </c>
      <c r="C377" s="309">
        <v>46096</v>
      </c>
      <c r="D377" s="310" t="s">
        <v>304</v>
      </c>
      <c r="E377" s="342">
        <v>126.64</v>
      </c>
      <c r="F377" s="342"/>
      <c r="G377" s="344">
        <f t="shared" si="4"/>
        <v>5876.0599999999868</v>
      </c>
      <c r="H377" s="345"/>
      <c r="I377" s="346"/>
      <c r="J377" s="347"/>
      <c r="K377" s="312"/>
      <c r="L377" s="347"/>
      <c r="M377" s="312"/>
      <c r="N377" s="347"/>
      <c r="O377" s="312"/>
      <c r="P377" s="347"/>
      <c r="Q377" s="312"/>
      <c r="R377" s="347"/>
      <c r="S377" s="312"/>
      <c r="T377" s="347"/>
    </row>
    <row r="378" spans="1:20" ht="12" customHeight="1" x14ac:dyDescent="0.3">
      <c r="A378" s="340" t="s">
        <v>289</v>
      </c>
      <c r="B378" s="341">
        <v>1</v>
      </c>
      <c r="C378" s="309">
        <v>46096</v>
      </c>
      <c r="D378" s="310" t="s">
        <v>312</v>
      </c>
      <c r="E378" s="342">
        <v>125.2</v>
      </c>
      <c r="F378" s="342"/>
      <c r="G378" s="344">
        <f t="shared" si="4"/>
        <v>6002.6999999999871</v>
      </c>
      <c r="H378" s="345"/>
      <c r="I378" s="346"/>
      <c r="J378" s="347"/>
      <c r="K378" s="312"/>
      <c r="L378" s="347"/>
      <c r="M378" s="312"/>
      <c r="N378" s="347"/>
      <c r="O378" s="312"/>
      <c r="P378" s="347"/>
      <c r="Q378" s="312"/>
      <c r="R378" s="347"/>
      <c r="S378" s="312"/>
      <c r="T378" s="347"/>
    </row>
    <row r="379" spans="1:20" ht="12" customHeight="1" x14ac:dyDescent="0.3">
      <c r="A379" s="340" t="s">
        <v>289</v>
      </c>
      <c r="B379" s="341">
        <v>1</v>
      </c>
      <c r="C379" s="309">
        <v>46096</v>
      </c>
      <c r="D379" s="310" t="s">
        <v>307</v>
      </c>
      <c r="E379" s="342">
        <v>37.159999999999997</v>
      </c>
      <c r="F379" s="342"/>
      <c r="G379" s="344">
        <f t="shared" si="4"/>
        <v>6127.8999999999869</v>
      </c>
      <c r="H379" s="345"/>
      <c r="I379" s="346"/>
      <c r="J379" s="347"/>
      <c r="K379" s="312"/>
      <c r="L379" s="347"/>
      <c r="M379" s="312"/>
      <c r="N379" s="347"/>
      <c r="O379" s="312"/>
      <c r="P379" s="347"/>
      <c r="Q379" s="312"/>
      <c r="R379" s="347"/>
      <c r="S379" s="312"/>
      <c r="T379" s="347"/>
    </row>
    <row r="380" spans="1:20" ht="12" customHeight="1" x14ac:dyDescent="0.3">
      <c r="A380" s="340" t="s">
        <v>294</v>
      </c>
      <c r="B380" s="341">
        <v>16</v>
      </c>
      <c r="C380" s="309">
        <v>46096</v>
      </c>
      <c r="D380" s="310" t="s">
        <v>412</v>
      </c>
      <c r="E380" s="342">
        <v>713.06</v>
      </c>
      <c r="F380" s="342"/>
      <c r="G380" s="344">
        <f t="shared" si="4"/>
        <v>6165.0599999999868</v>
      </c>
      <c r="H380" s="345"/>
      <c r="I380" s="346"/>
      <c r="J380" s="347"/>
      <c r="K380" s="312"/>
      <c r="L380" s="347"/>
      <c r="M380" s="312"/>
      <c r="N380" s="347"/>
      <c r="O380" s="312"/>
      <c r="P380" s="347"/>
      <c r="Q380" s="312"/>
      <c r="R380" s="347"/>
      <c r="S380" s="312"/>
      <c r="T380" s="347"/>
    </row>
    <row r="381" spans="1:20" ht="12" customHeight="1" x14ac:dyDescent="0.3">
      <c r="A381" s="340" t="s">
        <v>289</v>
      </c>
      <c r="B381" s="341">
        <v>5</v>
      </c>
      <c r="C381" s="309">
        <v>46095</v>
      </c>
      <c r="D381" s="310" t="s">
        <v>413</v>
      </c>
      <c r="E381" s="342">
        <v>24</v>
      </c>
      <c r="F381" s="342"/>
      <c r="G381" s="344">
        <f t="shared" si="4"/>
        <v>6878.1199999999862</v>
      </c>
      <c r="H381" s="345"/>
      <c r="I381" s="346"/>
      <c r="J381" s="347"/>
      <c r="K381" s="312"/>
      <c r="L381" s="347"/>
      <c r="M381" s="312"/>
      <c r="N381" s="347"/>
      <c r="O381" s="312"/>
      <c r="P381" s="347"/>
      <c r="Q381" s="312"/>
      <c r="R381" s="347"/>
      <c r="S381" s="312"/>
      <c r="T381" s="347"/>
    </row>
    <row r="382" spans="1:20" ht="12" customHeight="1" x14ac:dyDescent="0.3">
      <c r="A382" s="340" t="s">
        <v>289</v>
      </c>
      <c r="B382" s="341">
        <v>3</v>
      </c>
      <c r="C382" s="309">
        <v>46095</v>
      </c>
      <c r="D382" s="310" t="s">
        <v>352</v>
      </c>
      <c r="E382" s="342">
        <v>14.58</v>
      </c>
      <c r="F382" s="342"/>
      <c r="G382" s="344">
        <f t="shared" si="4"/>
        <v>6902.1199999999862</v>
      </c>
      <c r="H382" s="345"/>
      <c r="I382" s="346"/>
      <c r="J382" s="347"/>
      <c r="K382" s="312"/>
      <c r="L382" s="347"/>
      <c r="M382" s="312"/>
      <c r="N382" s="347"/>
      <c r="O382" s="312"/>
      <c r="P382" s="347"/>
      <c r="Q382" s="312"/>
      <c r="R382" s="347"/>
      <c r="S382" s="312"/>
      <c r="T382" s="347"/>
    </row>
    <row r="383" spans="1:20" ht="12" customHeight="1" x14ac:dyDescent="0.3">
      <c r="A383" s="340" t="s">
        <v>291</v>
      </c>
      <c r="B383" s="341">
        <v>41</v>
      </c>
      <c r="C383" s="309">
        <v>46094</v>
      </c>
      <c r="D383" s="310" t="s">
        <v>414</v>
      </c>
      <c r="E383" s="342"/>
      <c r="F383" s="342">
        <v>300</v>
      </c>
      <c r="G383" s="344">
        <f t="shared" si="4"/>
        <v>6916.6999999999862</v>
      </c>
      <c r="H383" s="345"/>
      <c r="I383" s="346"/>
      <c r="J383" s="347"/>
      <c r="K383" s="312"/>
      <c r="L383" s="347"/>
      <c r="M383" s="312"/>
      <c r="N383" s="347"/>
      <c r="O383" s="312"/>
      <c r="P383" s="347"/>
      <c r="Q383" s="312"/>
      <c r="R383" s="347"/>
      <c r="S383" s="312"/>
      <c r="T383" s="347"/>
    </row>
    <row r="384" spans="1:20" ht="12" customHeight="1" x14ac:dyDescent="0.3">
      <c r="A384" s="340" t="s">
        <v>289</v>
      </c>
      <c r="B384" s="341">
        <v>1</v>
      </c>
      <c r="C384" s="309">
        <v>46094</v>
      </c>
      <c r="D384" s="310" t="s">
        <v>312</v>
      </c>
      <c r="E384" s="342">
        <v>17.71</v>
      </c>
      <c r="F384" s="342"/>
      <c r="G384" s="344">
        <f t="shared" si="4"/>
        <v>6616.6999999999862</v>
      </c>
      <c r="H384" s="345"/>
      <c r="I384" s="346"/>
      <c r="J384" s="347"/>
      <c r="K384" s="312"/>
      <c r="L384" s="347"/>
      <c r="M384" s="312"/>
      <c r="N384" s="347"/>
      <c r="O384" s="312"/>
      <c r="P384" s="347"/>
      <c r="Q384" s="312"/>
      <c r="R384" s="347"/>
      <c r="S384" s="312"/>
      <c r="T384" s="347"/>
    </row>
    <row r="385" spans="1:20" ht="12" customHeight="1" x14ac:dyDescent="0.3">
      <c r="A385" s="340" t="s">
        <v>289</v>
      </c>
      <c r="B385" s="341">
        <v>4</v>
      </c>
      <c r="C385" s="309">
        <v>46094</v>
      </c>
      <c r="D385" s="310" t="s">
        <v>296</v>
      </c>
      <c r="E385" s="342">
        <v>31.56</v>
      </c>
      <c r="F385" s="342"/>
      <c r="G385" s="344">
        <f t="shared" si="4"/>
        <v>6634.4099999999862</v>
      </c>
      <c r="H385" s="345"/>
      <c r="I385" s="346"/>
      <c r="J385" s="347"/>
      <c r="K385" s="312"/>
      <c r="L385" s="347"/>
      <c r="M385" s="312"/>
      <c r="N385" s="347"/>
      <c r="O385" s="312"/>
      <c r="P385" s="347"/>
      <c r="Q385" s="312"/>
      <c r="R385" s="347"/>
      <c r="S385" s="312"/>
      <c r="T385" s="347"/>
    </row>
    <row r="386" spans="1:20" ht="12" customHeight="1" x14ac:dyDescent="0.3">
      <c r="A386" s="340" t="s">
        <v>289</v>
      </c>
      <c r="B386" s="341">
        <v>2</v>
      </c>
      <c r="C386" s="309">
        <v>46094</v>
      </c>
      <c r="D386" s="310" t="s">
        <v>296</v>
      </c>
      <c r="E386" s="342">
        <v>34.79</v>
      </c>
      <c r="F386" s="342"/>
      <c r="G386" s="344">
        <f t="shared" si="4"/>
        <v>6665.9699999999866</v>
      </c>
      <c r="H386" s="345"/>
      <c r="I386" s="346"/>
      <c r="J386" s="347"/>
      <c r="K386" s="312"/>
      <c r="L386" s="347"/>
      <c r="M386" s="312"/>
      <c r="N386" s="347"/>
      <c r="O386" s="312"/>
      <c r="P386" s="347"/>
      <c r="Q386" s="312"/>
      <c r="R386" s="347"/>
      <c r="S386" s="312"/>
      <c r="T386" s="347"/>
    </row>
    <row r="387" spans="1:20" ht="12" customHeight="1" x14ac:dyDescent="0.3">
      <c r="A387" s="340" t="s">
        <v>289</v>
      </c>
      <c r="B387" s="341">
        <v>2</v>
      </c>
      <c r="C387" s="309">
        <v>46094</v>
      </c>
      <c r="D387" s="310" t="s">
        <v>415</v>
      </c>
      <c r="E387" s="342">
        <v>23.9</v>
      </c>
      <c r="F387" s="342"/>
      <c r="G387" s="344">
        <f t="shared" si="4"/>
        <v>6700.7599999999866</v>
      </c>
      <c r="H387" s="345"/>
      <c r="I387" s="346"/>
      <c r="J387" s="347"/>
      <c r="K387" s="312"/>
      <c r="L387" s="347"/>
      <c r="M387" s="312"/>
      <c r="N387" s="347"/>
      <c r="O387" s="312"/>
      <c r="P387" s="347"/>
      <c r="Q387" s="312"/>
      <c r="R387" s="347"/>
      <c r="S387" s="312"/>
      <c r="T387" s="347"/>
    </row>
    <row r="388" spans="1:20" ht="12" customHeight="1" x14ac:dyDescent="0.3">
      <c r="A388" s="340" t="s">
        <v>289</v>
      </c>
      <c r="B388" s="341">
        <v>3</v>
      </c>
      <c r="C388" s="309">
        <v>46094</v>
      </c>
      <c r="D388" s="310" t="s">
        <v>352</v>
      </c>
      <c r="E388" s="342">
        <v>7.26</v>
      </c>
      <c r="F388" s="342"/>
      <c r="G388" s="344">
        <f t="shared" si="4"/>
        <v>6724.6599999999862</v>
      </c>
      <c r="H388" s="345"/>
      <c r="I388" s="346"/>
      <c r="J388" s="347"/>
      <c r="K388" s="312"/>
      <c r="L388" s="347"/>
      <c r="M388" s="312"/>
      <c r="N388" s="347"/>
      <c r="O388" s="312"/>
      <c r="P388" s="347"/>
      <c r="Q388" s="312"/>
      <c r="R388" s="347"/>
      <c r="S388" s="312"/>
      <c r="T388" s="347"/>
    </row>
    <row r="389" spans="1:20" ht="12" customHeight="1" x14ac:dyDescent="0.3">
      <c r="A389" s="340" t="s">
        <v>289</v>
      </c>
      <c r="B389" s="341">
        <v>5</v>
      </c>
      <c r="C389" s="309">
        <v>46094</v>
      </c>
      <c r="D389" s="310" t="s">
        <v>358</v>
      </c>
      <c r="E389" s="342">
        <v>85</v>
      </c>
      <c r="F389" s="342"/>
      <c r="G389" s="344">
        <f t="shared" si="4"/>
        <v>6731.9199999999864</v>
      </c>
      <c r="H389" s="345" t="s">
        <v>298</v>
      </c>
      <c r="I389" s="346"/>
      <c r="J389" s="347"/>
      <c r="K389" s="312"/>
      <c r="L389" s="347"/>
      <c r="M389" s="312"/>
      <c r="N389" s="347"/>
      <c r="O389" s="312"/>
      <c r="P389" s="347"/>
      <c r="Q389" s="312"/>
      <c r="R389" s="347"/>
      <c r="S389" s="312"/>
      <c r="T389" s="347"/>
    </row>
    <row r="390" spans="1:20" ht="12" customHeight="1" x14ac:dyDescent="0.3">
      <c r="A390" s="340" t="s">
        <v>289</v>
      </c>
      <c r="B390" s="341">
        <v>8</v>
      </c>
      <c r="C390" s="309">
        <v>46093</v>
      </c>
      <c r="D390" s="310" t="s">
        <v>416</v>
      </c>
      <c r="E390" s="342">
        <v>51.22</v>
      </c>
      <c r="F390" s="342"/>
      <c r="G390" s="344">
        <f t="shared" si="4"/>
        <v>6816.9199999999864</v>
      </c>
      <c r="H390" s="345"/>
      <c r="I390" s="346"/>
      <c r="J390" s="347"/>
      <c r="K390" s="312"/>
      <c r="L390" s="347"/>
      <c r="M390" s="312"/>
      <c r="N390" s="347"/>
      <c r="O390" s="312"/>
      <c r="P390" s="347"/>
      <c r="Q390" s="312"/>
      <c r="R390" s="347"/>
      <c r="S390" s="312"/>
      <c r="T390" s="347"/>
    </row>
    <row r="391" spans="1:20" ht="12" customHeight="1" x14ac:dyDescent="0.3">
      <c r="A391" s="340" t="s">
        <v>289</v>
      </c>
      <c r="B391" s="341">
        <v>2</v>
      </c>
      <c r="C391" s="309">
        <v>46093</v>
      </c>
      <c r="D391" s="310" t="s">
        <v>417</v>
      </c>
      <c r="E391" s="342">
        <v>57.43</v>
      </c>
      <c r="F391" s="342"/>
      <c r="G391" s="344">
        <f t="shared" si="4"/>
        <v>6868.1399999999867</v>
      </c>
      <c r="H391" s="345"/>
      <c r="I391" s="346"/>
      <c r="J391" s="347"/>
      <c r="K391" s="312"/>
      <c r="L391" s="347"/>
      <c r="M391" s="312"/>
      <c r="N391" s="347"/>
      <c r="O391" s="312"/>
      <c r="P391" s="347"/>
      <c r="Q391" s="312"/>
      <c r="R391" s="347"/>
      <c r="S391" s="312"/>
      <c r="T391" s="347"/>
    </row>
    <row r="392" spans="1:20" ht="12" customHeight="1" x14ac:dyDescent="0.3">
      <c r="A392" s="340" t="s">
        <v>289</v>
      </c>
      <c r="B392" s="341">
        <v>2</v>
      </c>
      <c r="C392" s="309">
        <v>46093</v>
      </c>
      <c r="D392" s="310" t="s">
        <v>362</v>
      </c>
      <c r="E392" s="342">
        <v>17.45</v>
      </c>
      <c r="F392" s="342"/>
      <c r="G392" s="344">
        <f t="shared" si="4"/>
        <v>6925.569999999987</v>
      </c>
      <c r="H392" s="345"/>
      <c r="I392" s="346"/>
      <c r="J392" s="347"/>
      <c r="K392" s="312"/>
      <c r="L392" s="347"/>
      <c r="M392" s="312"/>
      <c r="N392" s="347"/>
      <c r="O392" s="312"/>
      <c r="P392" s="347"/>
      <c r="Q392" s="312"/>
      <c r="R392" s="347"/>
      <c r="S392" s="312"/>
      <c r="T392" s="347"/>
    </row>
    <row r="393" spans="1:20" ht="12" customHeight="1" x14ac:dyDescent="0.3">
      <c r="A393" s="340" t="s">
        <v>289</v>
      </c>
      <c r="B393" s="341">
        <v>8</v>
      </c>
      <c r="C393" s="309">
        <v>46093</v>
      </c>
      <c r="D393" s="310" t="s">
        <v>321</v>
      </c>
      <c r="E393" s="342">
        <v>7.92</v>
      </c>
      <c r="F393" s="342"/>
      <c r="G393" s="344">
        <f t="shared" si="4"/>
        <v>6943.0199999999868</v>
      </c>
      <c r="H393" s="345"/>
      <c r="I393" s="346"/>
      <c r="J393" s="347"/>
      <c r="K393" s="312"/>
      <c r="L393" s="347"/>
      <c r="M393" s="312"/>
      <c r="N393" s="347"/>
      <c r="O393" s="312"/>
      <c r="P393" s="347"/>
      <c r="Q393" s="312"/>
      <c r="R393" s="347"/>
      <c r="S393" s="312"/>
      <c r="T393" s="347"/>
    </row>
    <row r="394" spans="1:20" ht="12" customHeight="1" x14ac:dyDescent="0.3">
      <c r="A394" s="340" t="s">
        <v>291</v>
      </c>
      <c r="B394" s="341">
        <v>38</v>
      </c>
      <c r="C394" s="309">
        <v>46093</v>
      </c>
      <c r="D394" s="310" t="s">
        <v>293</v>
      </c>
      <c r="E394" s="342"/>
      <c r="F394" s="342">
        <v>4726.92</v>
      </c>
      <c r="G394" s="344">
        <f t="shared" si="4"/>
        <v>6950.9399999999869</v>
      </c>
      <c r="H394" s="345"/>
      <c r="I394" s="346"/>
      <c r="J394" s="347"/>
      <c r="K394" s="312"/>
      <c r="L394" s="347"/>
      <c r="M394" s="312"/>
      <c r="N394" s="347"/>
      <c r="O394" s="312"/>
      <c r="P394" s="347"/>
      <c r="Q394" s="312"/>
      <c r="R394" s="347"/>
      <c r="S394" s="312"/>
      <c r="T394" s="347"/>
    </row>
    <row r="395" spans="1:20" ht="12" customHeight="1" x14ac:dyDescent="0.3">
      <c r="A395" s="340" t="s">
        <v>289</v>
      </c>
      <c r="B395" s="341">
        <v>2</v>
      </c>
      <c r="C395" s="309">
        <v>46093</v>
      </c>
      <c r="D395" s="310" t="s">
        <v>390</v>
      </c>
      <c r="E395" s="342">
        <v>15</v>
      </c>
      <c r="F395" s="342"/>
      <c r="G395" s="344">
        <f t="shared" si="4"/>
        <v>2224.0199999999868</v>
      </c>
      <c r="H395" s="345"/>
      <c r="I395" s="346"/>
      <c r="J395" s="347"/>
      <c r="K395" s="312"/>
      <c r="L395" s="347"/>
      <c r="M395" s="312"/>
      <c r="N395" s="347"/>
      <c r="O395" s="312"/>
      <c r="P395" s="347"/>
      <c r="Q395" s="312"/>
      <c r="R395" s="347"/>
      <c r="S395" s="312"/>
      <c r="T395" s="347"/>
    </row>
    <row r="396" spans="1:20" ht="12" customHeight="1" x14ac:dyDescent="0.3">
      <c r="A396" s="340" t="s">
        <v>289</v>
      </c>
      <c r="B396" s="341">
        <v>6</v>
      </c>
      <c r="C396" s="309">
        <v>46093</v>
      </c>
      <c r="D396" s="310" t="s">
        <v>418</v>
      </c>
      <c r="E396" s="342">
        <v>12</v>
      </c>
      <c r="F396" s="342"/>
      <c r="G396" s="344">
        <f t="shared" si="4"/>
        <v>2239.0199999999868</v>
      </c>
      <c r="H396" s="345"/>
      <c r="I396" s="346"/>
      <c r="J396" s="347"/>
      <c r="K396" s="312"/>
      <c r="L396" s="347"/>
      <c r="M396" s="312"/>
      <c r="N396" s="347"/>
      <c r="O396" s="312"/>
      <c r="P396" s="347"/>
      <c r="Q396" s="312"/>
      <c r="R396" s="347"/>
      <c r="S396" s="312"/>
      <c r="T396" s="347"/>
    </row>
    <row r="397" spans="1:20" ht="12" customHeight="1" x14ac:dyDescent="0.3">
      <c r="A397" s="340" t="s">
        <v>294</v>
      </c>
      <c r="B397" s="341">
        <v>19</v>
      </c>
      <c r="C397" s="309">
        <v>46093</v>
      </c>
      <c r="D397" s="310" t="s">
        <v>191</v>
      </c>
      <c r="E397" s="342">
        <v>200</v>
      </c>
      <c r="F397" s="342"/>
      <c r="G397" s="344">
        <f t="shared" si="4"/>
        <v>2251.0199999999868</v>
      </c>
      <c r="H397" s="345"/>
      <c r="I397" s="346"/>
      <c r="J397" s="347"/>
      <c r="K397" s="312"/>
      <c r="L397" s="347"/>
      <c r="M397" s="312"/>
      <c r="N397" s="347"/>
      <c r="O397" s="312"/>
      <c r="P397" s="347"/>
      <c r="Q397" s="312"/>
      <c r="R397" s="347"/>
      <c r="S397" s="312"/>
      <c r="T397" s="347"/>
    </row>
    <row r="398" spans="1:20" ht="12" customHeight="1" x14ac:dyDescent="0.3">
      <c r="A398" s="340" t="s">
        <v>289</v>
      </c>
      <c r="B398" s="341">
        <v>6</v>
      </c>
      <c r="C398" s="309">
        <v>46092</v>
      </c>
      <c r="D398" s="310" t="s">
        <v>419</v>
      </c>
      <c r="E398" s="342">
        <v>-10.050000000000001</v>
      </c>
      <c r="F398" s="342"/>
      <c r="G398" s="344">
        <f t="shared" si="4"/>
        <v>2451.0199999999868</v>
      </c>
      <c r="H398" s="345"/>
      <c r="I398" s="346"/>
      <c r="J398" s="347"/>
      <c r="K398" s="312"/>
      <c r="L398" s="347"/>
      <c r="M398" s="312"/>
      <c r="N398" s="347"/>
      <c r="O398" s="312"/>
      <c r="P398" s="347"/>
      <c r="Q398" s="312"/>
      <c r="R398" s="347"/>
      <c r="S398" s="312"/>
      <c r="T398" s="347"/>
    </row>
    <row r="399" spans="1:20" ht="12" customHeight="1" x14ac:dyDescent="0.3">
      <c r="A399" s="340" t="s">
        <v>289</v>
      </c>
      <c r="B399" s="341">
        <v>6</v>
      </c>
      <c r="C399" s="309">
        <v>46092</v>
      </c>
      <c r="D399" s="310" t="s">
        <v>420</v>
      </c>
      <c r="E399" s="342">
        <v>25</v>
      </c>
      <c r="F399" s="342"/>
      <c r="G399" s="344">
        <f t="shared" si="4"/>
        <v>2440.9699999999866</v>
      </c>
      <c r="H399" s="345"/>
      <c r="I399" s="346"/>
      <c r="J399" s="347"/>
      <c r="K399" s="312"/>
      <c r="L399" s="347"/>
      <c r="M399" s="312"/>
      <c r="N399" s="347"/>
      <c r="O399" s="312"/>
      <c r="P399" s="347"/>
      <c r="Q399" s="312"/>
      <c r="R399" s="347"/>
      <c r="S399" s="312"/>
      <c r="T399" s="347"/>
    </row>
    <row r="400" spans="1:20" ht="12" customHeight="1" x14ac:dyDescent="0.3">
      <c r="A400" s="340" t="s">
        <v>289</v>
      </c>
      <c r="B400" s="341">
        <v>2</v>
      </c>
      <c r="C400" s="309">
        <v>46092</v>
      </c>
      <c r="D400" s="310" t="s">
        <v>301</v>
      </c>
      <c r="E400" s="342">
        <v>-9</v>
      </c>
      <c r="F400" s="342"/>
      <c r="G400" s="344">
        <f t="shared" si="4"/>
        <v>2465.9699999999866</v>
      </c>
      <c r="H400" s="345"/>
      <c r="I400" s="346"/>
      <c r="J400" s="347"/>
      <c r="K400" s="312"/>
      <c r="L400" s="347"/>
      <c r="M400" s="312"/>
      <c r="N400" s="347"/>
      <c r="O400" s="312"/>
      <c r="P400" s="347"/>
      <c r="Q400" s="312"/>
      <c r="R400" s="347"/>
      <c r="S400" s="312"/>
      <c r="T400" s="347"/>
    </row>
    <row r="401" spans="1:20" ht="12" customHeight="1" x14ac:dyDescent="0.3">
      <c r="A401" s="340" t="s">
        <v>291</v>
      </c>
      <c r="B401" s="341">
        <v>41</v>
      </c>
      <c r="C401" s="309">
        <v>46092</v>
      </c>
      <c r="D401" s="310" t="s">
        <v>414</v>
      </c>
      <c r="E401" s="342"/>
      <c r="F401" s="342">
        <v>500</v>
      </c>
      <c r="G401" s="344">
        <f t="shared" si="4"/>
        <v>2456.9699999999866</v>
      </c>
      <c r="H401" s="345"/>
      <c r="I401" s="346"/>
      <c r="J401" s="347"/>
      <c r="K401" s="312"/>
      <c r="L401" s="347"/>
      <c r="M401" s="312"/>
      <c r="N401" s="347"/>
      <c r="O401" s="312"/>
      <c r="P401" s="347"/>
      <c r="Q401" s="312"/>
      <c r="R401" s="347"/>
      <c r="S401" s="312"/>
      <c r="T401" s="347"/>
    </row>
    <row r="402" spans="1:20" ht="12" customHeight="1" x14ac:dyDescent="0.3">
      <c r="A402" s="340" t="s">
        <v>289</v>
      </c>
      <c r="B402" s="341">
        <v>2</v>
      </c>
      <c r="C402" s="309">
        <v>46092</v>
      </c>
      <c r="D402" s="310" t="s">
        <v>296</v>
      </c>
      <c r="E402" s="342">
        <v>16.170000000000002</v>
      </c>
      <c r="F402" s="342"/>
      <c r="G402" s="344">
        <f t="shared" si="4"/>
        <v>1956.9699999999864</v>
      </c>
      <c r="H402" s="345"/>
      <c r="I402" s="346"/>
      <c r="J402" s="347"/>
      <c r="K402" s="312"/>
      <c r="L402" s="347"/>
      <c r="M402" s="312"/>
      <c r="N402" s="347"/>
      <c r="O402" s="312"/>
      <c r="P402" s="347"/>
      <c r="Q402" s="312"/>
      <c r="R402" s="347"/>
      <c r="S402" s="312"/>
      <c r="T402" s="347"/>
    </row>
    <row r="403" spans="1:20" ht="12" customHeight="1" x14ac:dyDescent="0.3">
      <c r="A403" s="340" t="s">
        <v>294</v>
      </c>
      <c r="B403" s="341">
        <v>22</v>
      </c>
      <c r="C403" s="309">
        <v>46092</v>
      </c>
      <c r="D403" s="310" t="s">
        <v>356</v>
      </c>
      <c r="E403" s="342">
        <v>19.16</v>
      </c>
      <c r="F403" s="342"/>
      <c r="G403" s="344">
        <f t="shared" si="4"/>
        <v>1973.1399999999865</v>
      </c>
      <c r="H403" s="345"/>
      <c r="I403" s="346"/>
      <c r="J403" s="347"/>
      <c r="K403" s="312"/>
      <c r="L403" s="347"/>
      <c r="M403" s="312"/>
      <c r="N403" s="347"/>
      <c r="O403" s="312"/>
      <c r="P403" s="347"/>
      <c r="Q403" s="312"/>
      <c r="R403" s="347"/>
      <c r="S403" s="312"/>
      <c r="T403" s="347"/>
    </row>
    <row r="404" spans="1:20" ht="12" customHeight="1" x14ac:dyDescent="0.3">
      <c r="A404" s="340" t="s">
        <v>339</v>
      </c>
      <c r="B404" s="341" t="s">
        <v>339</v>
      </c>
      <c r="C404" s="309">
        <v>46091</v>
      </c>
      <c r="D404" s="310" t="s">
        <v>182</v>
      </c>
      <c r="E404" s="342">
        <v>47.28</v>
      </c>
      <c r="F404" s="342"/>
      <c r="G404" s="344">
        <f t="shared" si="4"/>
        <v>1992.2999999999865</v>
      </c>
      <c r="H404" s="345"/>
      <c r="I404" s="346"/>
      <c r="J404" s="347"/>
      <c r="K404" s="312"/>
      <c r="L404" s="347"/>
      <c r="M404" s="312"/>
      <c r="N404" s="347"/>
      <c r="O404" s="312"/>
      <c r="P404" s="347"/>
      <c r="Q404" s="312"/>
      <c r="R404" s="347"/>
      <c r="S404" s="312"/>
      <c r="T404" s="347"/>
    </row>
    <row r="405" spans="1:20" ht="12" customHeight="1" x14ac:dyDescent="0.3">
      <c r="A405" s="340" t="s">
        <v>294</v>
      </c>
      <c r="B405" s="341">
        <v>13</v>
      </c>
      <c r="C405" s="309">
        <v>46091</v>
      </c>
      <c r="D405" s="310" t="s">
        <v>182</v>
      </c>
      <c r="E405" s="342">
        <v>134.93</v>
      </c>
      <c r="F405" s="342"/>
      <c r="G405" s="344">
        <f t="shared" si="4"/>
        <v>2039.5799999999865</v>
      </c>
      <c r="H405" s="345"/>
      <c r="I405" s="346"/>
      <c r="J405" s="347"/>
      <c r="K405" s="312"/>
      <c r="L405" s="347"/>
      <c r="M405" s="312"/>
      <c r="N405" s="347"/>
      <c r="O405" s="312"/>
      <c r="P405" s="347"/>
      <c r="Q405" s="312"/>
      <c r="R405" s="347"/>
      <c r="S405" s="312"/>
      <c r="T405" s="347"/>
    </row>
    <row r="406" spans="1:20" ht="12" customHeight="1" x14ac:dyDescent="0.3">
      <c r="A406" s="340" t="s">
        <v>289</v>
      </c>
      <c r="B406" s="341">
        <v>8</v>
      </c>
      <c r="C406" s="309">
        <v>46091</v>
      </c>
      <c r="D406" s="310" t="s">
        <v>295</v>
      </c>
      <c r="E406" s="342">
        <v>7.44</v>
      </c>
      <c r="F406" s="342"/>
      <c r="G406" s="344">
        <f t="shared" si="4"/>
        <v>2174.5099999999866</v>
      </c>
      <c r="H406" s="345"/>
      <c r="I406" s="346"/>
      <c r="J406" s="347"/>
      <c r="K406" s="312"/>
      <c r="L406" s="347"/>
      <c r="M406" s="312"/>
      <c r="N406" s="347"/>
      <c r="O406" s="312"/>
      <c r="P406" s="347"/>
      <c r="Q406" s="312"/>
      <c r="R406" s="347"/>
      <c r="S406" s="312"/>
      <c r="T406" s="347"/>
    </row>
    <row r="407" spans="1:20" ht="12" customHeight="1" x14ac:dyDescent="0.3">
      <c r="A407" s="340" t="s">
        <v>289</v>
      </c>
      <c r="B407" s="341">
        <v>4</v>
      </c>
      <c r="C407" s="309">
        <v>46091</v>
      </c>
      <c r="D407" s="310" t="s">
        <v>295</v>
      </c>
      <c r="E407" s="342">
        <v>29.53</v>
      </c>
      <c r="F407" s="342"/>
      <c r="G407" s="344">
        <f t="shared" si="4"/>
        <v>2181.9499999999866</v>
      </c>
      <c r="H407" s="345"/>
      <c r="I407" s="346"/>
      <c r="J407" s="347"/>
      <c r="K407" s="312"/>
      <c r="L407" s="347"/>
      <c r="M407" s="312"/>
      <c r="N407" s="347"/>
      <c r="O407" s="312"/>
      <c r="P407" s="347"/>
      <c r="Q407" s="312"/>
      <c r="R407" s="347"/>
      <c r="S407" s="312"/>
      <c r="T407" s="347"/>
    </row>
    <row r="408" spans="1:20" ht="12" customHeight="1" x14ac:dyDescent="0.3">
      <c r="A408" s="340" t="s">
        <v>289</v>
      </c>
      <c r="B408" s="341">
        <v>4</v>
      </c>
      <c r="C408" s="309">
        <v>46091</v>
      </c>
      <c r="D408" s="310" t="s">
        <v>311</v>
      </c>
      <c r="E408" s="342">
        <v>34.119999999999997</v>
      </c>
      <c r="F408" s="342"/>
      <c r="G408" s="344">
        <f t="shared" si="4"/>
        <v>2211.4799999999868</v>
      </c>
      <c r="H408" s="345"/>
      <c r="I408" s="346"/>
      <c r="J408" s="347"/>
      <c r="K408" s="312"/>
      <c r="L408" s="347"/>
      <c r="M408" s="312"/>
      <c r="N408" s="347"/>
      <c r="O408" s="312"/>
      <c r="P408" s="347"/>
      <c r="Q408" s="312"/>
      <c r="R408" s="347"/>
      <c r="S408" s="312"/>
      <c r="T408" s="347"/>
    </row>
    <row r="409" spans="1:20" ht="12" customHeight="1" x14ac:dyDescent="0.3">
      <c r="A409" s="340" t="s">
        <v>289</v>
      </c>
      <c r="B409" s="341">
        <v>2</v>
      </c>
      <c r="C409" s="309">
        <v>46091</v>
      </c>
      <c r="D409" s="310" t="s">
        <v>421</v>
      </c>
      <c r="E409" s="342">
        <v>18.57</v>
      </c>
      <c r="F409" s="342"/>
      <c r="G409" s="344">
        <f t="shared" si="4"/>
        <v>2245.5999999999867</v>
      </c>
      <c r="H409" s="345"/>
      <c r="I409" s="346"/>
      <c r="J409" s="347"/>
      <c r="K409" s="312"/>
      <c r="L409" s="347"/>
      <c r="M409" s="312"/>
      <c r="N409" s="347"/>
      <c r="O409" s="312"/>
      <c r="P409" s="347"/>
      <c r="Q409" s="312"/>
      <c r="R409" s="347"/>
      <c r="S409" s="312"/>
      <c r="T409" s="347"/>
    </row>
    <row r="410" spans="1:20" ht="12" customHeight="1" x14ac:dyDescent="0.3">
      <c r="A410" s="340" t="s">
        <v>294</v>
      </c>
      <c r="B410" s="341">
        <v>16</v>
      </c>
      <c r="C410" s="309">
        <v>46091</v>
      </c>
      <c r="D410" s="310" t="s">
        <v>422</v>
      </c>
      <c r="E410" s="342">
        <v>107</v>
      </c>
      <c r="F410" s="342"/>
      <c r="G410" s="344">
        <f t="shared" si="4"/>
        <v>2264.1699999999869</v>
      </c>
      <c r="H410" s="345"/>
      <c r="I410" s="346"/>
      <c r="J410" s="347"/>
      <c r="K410" s="312"/>
      <c r="L410" s="347"/>
      <c r="M410" s="312"/>
      <c r="N410" s="347"/>
      <c r="O410" s="312"/>
      <c r="P410" s="347"/>
      <c r="Q410" s="312"/>
      <c r="R410" s="347"/>
      <c r="S410" s="312"/>
      <c r="T410" s="347"/>
    </row>
    <row r="411" spans="1:20" ht="12" customHeight="1" x14ac:dyDescent="0.3">
      <c r="A411" s="340" t="s">
        <v>294</v>
      </c>
      <c r="B411" s="341">
        <v>18</v>
      </c>
      <c r="C411" s="309">
        <v>46090</v>
      </c>
      <c r="D411" s="310" t="s">
        <v>365</v>
      </c>
      <c r="E411" s="342">
        <v>400</v>
      </c>
      <c r="F411" s="342"/>
      <c r="G411" s="344">
        <f t="shared" si="4"/>
        <v>2371.1699999999869</v>
      </c>
      <c r="H411" s="345"/>
      <c r="I411" s="346"/>
      <c r="J411" s="347"/>
      <c r="K411" s="312"/>
      <c r="L411" s="347"/>
      <c r="M411" s="312"/>
      <c r="N411" s="347"/>
      <c r="O411" s="312"/>
      <c r="P411" s="347"/>
      <c r="Q411" s="312"/>
      <c r="R411" s="347"/>
      <c r="S411" s="312"/>
      <c r="T411" s="347"/>
    </row>
    <row r="412" spans="1:20" ht="12" customHeight="1" x14ac:dyDescent="0.3">
      <c r="A412" s="340" t="s">
        <v>289</v>
      </c>
      <c r="B412" s="341">
        <v>4</v>
      </c>
      <c r="C412" s="309">
        <v>46090</v>
      </c>
      <c r="D412" s="310" t="s">
        <v>296</v>
      </c>
      <c r="E412" s="342">
        <v>24.69</v>
      </c>
      <c r="F412" s="342"/>
      <c r="G412" s="344">
        <f t="shared" si="4"/>
        <v>2771.1699999999869</v>
      </c>
      <c r="H412" s="345"/>
      <c r="I412" s="346"/>
      <c r="J412" s="347"/>
      <c r="K412" s="312"/>
      <c r="L412" s="347"/>
      <c r="M412" s="312"/>
      <c r="N412" s="347"/>
      <c r="O412" s="312"/>
      <c r="P412" s="347"/>
      <c r="Q412" s="312"/>
      <c r="R412" s="347"/>
      <c r="S412" s="312"/>
      <c r="T412" s="347"/>
    </row>
    <row r="413" spans="1:20" ht="12" customHeight="1" x14ac:dyDescent="0.3">
      <c r="A413" s="340" t="s">
        <v>289</v>
      </c>
      <c r="B413" s="341">
        <v>3</v>
      </c>
      <c r="C413" s="309">
        <v>46090</v>
      </c>
      <c r="D413" s="310" t="s">
        <v>423</v>
      </c>
      <c r="E413" s="342">
        <v>4.59</v>
      </c>
      <c r="F413" s="342"/>
      <c r="G413" s="344">
        <f t="shared" si="4"/>
        <v>2795.8599999999869</v>
      </c>
      <c r="H413" s="345"/>
      <c r="I413" s="346"/>
      <c r="J413" s="347"/>
      <c r="K413" s="312"/>
      <c r="L413" s="347"/>
      <c r="M413" s="312"/>
      <c r="N413" s="347"/>
      <c r="O413" s="312"/>
      <c r="P413" s="347"/>
      <c r="Q413" s="312"/>
      <c r="R413" s="347"/>
      <c r="S413" s="312"/>
      <c r="T413" s="347"/>
    </row>
    <row r="414" spans="1:20" ht="12" customHeight="1" x14ac:dyDescent="0.3">
      <c r="A414" s="340" t="s">
        <v>294</v>
      </c>
      <c r="B414" s="341">
        <v>9</v>
      </c>
      <c r="C414" s="309">
        <v>46090</v>
      </c>
      <c r="D414" s="310" t="s">
        <v>58</v>
      </c>
      <c r="E414" s="342">
        <v>1281.53</v>
      </c>
      <c r="F414" s="342"/>
      <c r="G414" s="344">
        <f t="shared" si="4"/>
        <v>2800.4499999999871</v>
      </c>
      <c r="H414" s="345"/>
      <c r="I414" s="346"/>
      <c r="J414" s="347"/>
      <c r="K414" s="312"/>
      <c r="L414" s="347"/>
      <c r="M414" s="312"/>
      <c r="N414" s="347"/>
      <c r="O414" s="312"/>
      <c r="P414" s="347"/>
      <c r="Q414" s="312"/>
      <c r="R414" s="347"/>
      <c r="S414" s="312"/>
      <c r="T414" s="347"/>
    </row>
    <row r="415" spans="1:20" ht="12" customHeight="1" x14ac:dyDescent="0.3">
      <c r="A415" s="340" t="s">
        <v>289</v>
      </c>
      <c r="B415" s="341">
        <v>7</v>
      </c>
      <c r="C415" s="309">
        <v>46090</v>
      </c>
      <c r="D415" s="310" t="s">
        <v>342</v>
      </c>
      <c r="E415" s="342">
        <v>40.61</v>
      </c>
      <c r="F415" s="342"/>
      <c r="G415" s="344">
        <f t="shared" si="4"/>
        <v>4081.9799999999873</v>
      </c>
      <c r="H415" s="345"/>
      <c r="I415" s="346"/>
      <c r="J415" s="347"/>
      <c r="K415" s="312"/>
      <c r="L415" s="347"/>
      <c r="M415" s="312"/>
      <c r="N415" s="347"/>
      <c r="O415" s="312"/>
      <c r="P415" s="347"/>
      <c r="Q415" s="312"/>
      <c r="R415" s="347"/>
      <c r="S415" s="312"/>
      <c r="T415" s="347"/>
    </row>
    <row r="416" spans="1:20" ht="12" customHeight="1" x14ac:dyDescent="0.3">
      <c r="A416" s="340" t="s">
        <v>287</v>
      </c>
      <c r="B416" s="341" t="s">
        <v>287</v>
      </c>
      <c r="C416" s="309">
        <v>46090</v>
      </c>
      <c r="D416" s="310" t="s">
        <v>424</v>
      </c>
      <c r="E416" s="342">
        <v>380</v>
      </c>
      <c r="F416" s="342">
        <v>380</v>
      </c>
      <c r="G416" s="344">
        <f t="shared" si="4"/>
        <v>4122.5899999999874</v>
      </c>
      <c r="H416" s="345"/>
      <c r="I416" s="346"/>
      <c r="J416" s="347"/>
      <c r="K416" s="312"/>
      <c r="L416" s="347"/>
      <c r="M416" s="312"/>
      <c r="N416" s="347"/>
      <c r="O416" s="312"/>
      <c r="P416" s="347"/>
      <c r="Q416" s="312"/>
      <c r="R416" s="347"/>
      <c r="S416" s="312"/>
      <c r="T416" s="347"/>
    </row>
    <row r="417" spans="1:20" ht="12" customHeight="1" x14ac:dyDescent="0.3">
      <c r="A417" s="340" t="s">
        <v>289</v>
      </c>
      <c r="B417" s="341">
        <v>2</v>
      </c>
      <c r="C417" s="309">
        <v>46090</v>
      </c>
      <c r="D417" s="310" t="s">
        <v>425</v>
      </c>
      <c r="E417" s="342">
        <v>15</v>
      </c>
      <c r="F417" s="342"/>
      <c r="G417" s="344">
        <f t="shared" si="4"/>
        <v>4122.5899999999874</v>
      </c>
      <c r="H417" s="345"/>
      <c r="I417" s="346"/>
      <c r="J417" s="347"/>
      <c r="K417" s="312"/>
      <c r="L417" s="347"/>
      <c r="M417" s="312"/>
      <c r="N417" s="347"/>
      <c r="O417" s="312"/>
      <c r="P417" s="347"/>
      <c r="Q417" s="312"/>
      <c r="R417" s="347"/>
      <c r="S417" s="312"/>
      <c r="T417" s="347"/>
    </row>
    <row r="418" spans="1:20" ht="12" customHeight="1" x14ac:dyDescent="0.3">
      <c r="A418" s="340" t="s">
        <v>289</v>
      </c>
      <c r="B418" s="341">
        <v>2</v>
      </c>
      <c r="C418" s="309">
        <v>46090</v>
      </c>
      <c r="D418" s="310" t="s">
        <v>390</v>
      </c>
      <c r="E418" s="342">
        <v>15</v>
      </c>
      <c r="F418" s="342"/>
      <c r="G418" s="344">
        <f t="shared" si="4"/>
        <v>4137.5899999999874</v>
      </c>
      <c r="H418" s="345"/>
      <c r="I418" s="346"/>
      <c r="J418" s="347"/>
      <c r="K418" s="312"/>
      <c r="L418" s="347"/>
      <c r="M418" s="312"/>
      <c r="N418" s="347"/>
      <c r="O418" s="312"/>
      <c r="P418" s="347"/>
      <c r="Q418" s="312"/>
      <c r="R418" s="347"/>
      <c r="S418" s="312"/>
      <c r="T418" s="347"/>
    </row>
    <row r="419" spans="1:20" ht="12" customHeight="1" x14ac:dyDescent="0.3">
      <c r="A419" s="340" t="s">
        <v>289</v>
      </c>
      <c r="B419" s="341">
        <v>6</v>
      </c>
      <c r="C419" s="309">
        <v>46090</v>
      </c>
      <c r="D419" s="310" t="s">
        <v>300</v>
      </c>
      <c r="E419" s="342">
        <v>70.66</v>
      </c>
      <c r="F419" s="342"/>
      <c r="G419" s="344">
        <f t="shared" si="4"/>
        <v>4152.5899999999874</v>
      </c>
      <c r="H419" s="345"/>
      <c r="I419" s="346"/>
      <c r="J419" s="347"/>
      <c r="K419" s="312"/>
      <c r="L419" s="347"/>
      <c r="M419" s="312"/>
      <c r="N419" s="347"/>
      <c r="O419" s="312"/>
      <c r="P419" s="347"/>
      <c r="Q419" s="312"/>
      <c r="R419" s="347"/>
      <c r="S419" s="312"/>
      <c r="T419" s="347"/>
    </row>
    <row r="420" spans="1:20" ht="12" customHeight="1" x14ac:dyDescent="0.3">
      <c r="A420" s="340" t="s">
        <v>289</v>
      </c>
      <c r="B420" s="341">
        <v>1</v>
      </c>
      <c r="C420" s="309">
        <v>46089</v>
      </c>
      <c r="D420" s="310" t="s">
        <v>312</v>
      </c>
      <c r="E420" s="342">
        <v>109.77</v>
      </c>
      <c r="F420" s="342"/>
      <c r="G420" s="344">
        <f t="shared" si="4"/>
        <v>4223.2499999999873</v>
      </c>
      <c r="H420" s="345"/>
      <c r="I420" s="346"/>
      <c r="J420" s="347"/>
      <c r="K420" s="312"/>
      <c r="L420" s="347"/>
      <c r="M420" s="312"/>
      <c r="N420" s="347"/>
      <c r="O420" s="312"/>
      <c r="P420" s="347"/>
      <c r="Q420" s="312"/>
      <c r="R420" s="347"/>
      <c r="S420" s="312"/>
      <c r="T420" s="347"/>
    </row>
    <row r="421" spans="1:20" ht="12" customHeight="1" x14ac:dyDescent="0.3">
      <c r="A421" s="340" t="s">
        <v>289</v>
      </c>
      <c r="B421" s="341">
        <v>6</v>
      </c>
      <c r="C421" s="309">
        <v>46089</v>
      </c>
      <c r="D421" s="310" t="s">
        <v>307</v>
      </c>
      <c r="E421" s="342">
        <v>9.3800000000000008</v>
      </c>
      <c r="F421" s="342"/>
      <c r="G421" s="344">
        <f t="shared" si="4"/>
        <v>4333.0199999999877</v>
      </c>
      <c r="H421" s="345"/>
      <c r="I421" s="346"/>
      <c r="J421" s="347"/>
      <c r="K421" s="312"/>
      <c r="L421" s="347"/>
      <c r="M421" s="312"/>
      <c r="N421" s="347"/>
      <c r="O421" s="312"/>
      <c r="P421" s="347"/>
      <c r="Q421" s="312"/>
      <c r="R421" s="347"/>
      <c r="S421" s="312"/>
      <c r="T421" s="347"/>
    </row>
    <row r="422" spans="1:20" ht="12" customHeight="1" x14ac:dyDescent="0.3">
      <c r="A422" s="340" t="s">
        <v>289</v>
      </c>
      <c r="B422" s="341">
        <v>3</v>
      </c>
      <c r="C422" s="309">
        <v>46089</v>
      </c>
      <c r="D422" s="310" t="s">
        <v>426</v>
      </c>
      <c r="E422" s="342">
        <v>3.85</v>
      </c>
      <c r="F422" s="342"/>
      <c r="G422" s="344">
        <f t="shared" si="4"/>
        <v>4342.3999999999878</v>
      </c>
      <c r="H422" s="345"/>
      <c r="I422" s="346"/>
      <c r="J422" s="347"/>
      <c r="K422" s="312"/>
      <c r="L422" s="347"/>
      <c r="M422" s="312"/>
      <c r="N422" s="347"/>
      <c r="O422" s="312"/>
      <c r="P422" s="347"/>
      <c r="Q422" s="312"/>
      <c r="R422" s="347"/>
      <c r="S422" s="312"/>
      <c r="T422" s="347"/>
    </row>
    <row r="423" spans="1:20" ht="12" customHeight="1" x14ac:dyDescent="0.3">
      <c r="A423" s="340" t="s">
        <v>289</v>
      </c>
      <c r="B423" s="341">
        <v>2</v>
      </c>
      <c r="C423" s="309">
        <v>46089</v>
      </c>
      <c r="D423" s="310" t="s">
        <v>411</v>
      </c>
      <c r="E423" s="342">
        <v>88.54</v>
      </c>
      <c r="F423" s="342"/>
      <c r="G423" s="344">
        <f t="shared" si="4"/>
        <v>4346.2499999999882</v>
      </c>
      <c r="H423" s="345"/>
      <c r="I423" s="346"/>
      <c r="J423" s="347"/>
      <c r="K423" s="312"/>
      <c r="L423" s="347"/>
      <c r="M423" s="312"/>
      <c r="N423" s="347"/>
      <c r="O423" s="312"/>
      <c r="P423" s="347"/>
      <c r="Q423" s="312"/>
      <c r="R423" s="347"/>
      <c r="S423" s="312"/>
      <c r="T423" s="347"/>
    </row>
    <row r="424" spans="1:20" ht="12" customHeight="1" x14ac:dyDescent="0.3">
      <c r="A424" s="340" t="s">
        <v>289</v>
      </c>
      <c r="B424" s="341">
        <v>2</v>
      </c>
      <c r="C424" s="309">
        <v>46089</v>
      </c>
      <c r="D424" s="310" t="s">
        <v>362</v>
      </c>
      <c r="E424" s="342">
        <v>8.3800000000000008</v>
      </c>
      <c r="F424" s="342"/>
      <c r="G424" s="344">
        <f t="shared" si="4"/>
        <v>4434.7899999999881</v>
      </c>
      <c r="H424" s="345"/>
      <c r="I424" s="346"/>
      <c r="J424" s="347"/>
      <c r="K424" s="312"/>
      <c r="L424" s="347"/>
      <c r="M424" s="312"/>
      <c r="N424" s="347"/>
      <c r="O424" s="312"/>
      <c r="P424" s="347"/>
      <c r="Q424" s="312"/>
      <c r="R424" s="347"/>
      <c r="S424" s="312"/>
      <c r="T424" s="347"/>
    </row>
    <row r="425" spans="1:20" ht="12" customHeight="1" x14ac:dyDescent="0.3">
      <c r="A425" s="340" t="s">
        <v>289</v>
      </c>
      <c r="B425" s="341">
        <v>2</v>
      </c>
      <c r="C425" s="309">
        <v>46089</v>
      </c>
      <c r="D425" s="310" t="s">
        <v>301</v>
      </c>
      <c r="E425" s="342">
        <v>39.549999999999997</v>
      </c>
      <c r="F425" s="342"/>
      <c r="G425" s="344">
        <f t="shared" si="4"/>
        <v>4443.1699999999882</v>
      </c>
      <c r="H425" s="345"/>
      <c r="I425" s="346"/>
      <c r="J425" s="347"/>
      <c r="K425" s="312"/>
      <c r="L425" s="347"/>
      <c r="M425" s="312"/>
      <c r="N425" s="347"/>
      <c r="O425" s="312"/>
      <c r="P425" s="347"/>
      <c r="Q425" s="312"/>
      <c r="R425" s="347"/>
      <c r="S425" s="312"/>
      <c r="T425" s="347"/>
    </row>
    <row r="426" spans="1:20" ht="12" customHeight="1" x14ac:dyDescent="0.3">
      <c r="A426" s="340" t="s">
        <v>289</v>
      </c>
      <c r="B426" s="341">
        <v>4</v>
      </c>
      <c r="C426" s="309">
        <v>46089</v>
      </c>
      <c r="D426" s="310" t="s">
        <v>427</v>
      </c>
      <c r="E426" s="342">
        <v>31.68</v>
      </c>
      <c r="F426" s="342"/>
      <c r="G426" s="344">
        <f t="shared" si="4"/>
        <v>4482.7199999999884</v>
      </c>
      <c r="H426" s="345"/>
      <c r="I426" s="346"/>
      <c r="J426" s="347"/>
      <c r="K426" s="312"/>
      <c r="L426" s="347"/>
      <c r="M426" s="312"/>
      <c r="N426" s="347"/>
      <c r="O426" s="312"/>
      <c r="P426" s="347"/>
      <c r="Q426" s="312"/>
      <c r="R426" s="347"/>
      <c r="S426" s="312"/>
      <c r="T426" s="347"/>
    </row>
    <row r="427" spans="1:20" ht="12" customHeight="1" x14ac:dyDescent="0.3">
      <c r="A427" s="340" t="s">
        <v>289</v>
      </c>
      <c r="B427" s="341">
        <v>8</v>
      </c>
      <c r="C427" s="309">
        <v>46088</v>
      </c>
      <c r="D427" s="310" t="s">
        <v>309</v>
      </c>
      <c r="E427" s="342">
        <v>24.65</v>
      </c>
      <c r="F427" s="342"/>
      <c r="G427" s="344">
        <f t="shared" si="4"/>
        <v>4514.3999999999887</v>
      </c>
      <c r="H427" s="345"/>
      <c r="I427" s="346"/>
      <c r="J427" s="347"/>
      <c r="K427" s="312"/>
      <c r="L427" s="347"/>
      <c r="M427" s="312"/>
      <c r="N427" s="347"/>
      <c r="O427" s="312"/>
      <c r="P427" s="347"/>
      <c r="Q427" s="312"/>
      <c r="R427" s="347"/>
      <c r="S427" s="312"/>
      <c r="T427" s="347"/>
    </row>
    <row r="428" spans="1:20" ht="12" customHeight="1" x14ac:dyDescent="0.3">
      <c r="A428" s="340" t="s">
        <v>289</v>
      </c>
      <c r="B428" s="341">
        <v>2</v>
      </c>
      <c r="C428" s="309">
        <v>46088</v>
      </c>
      <c r="D428" s="310" t="s">
        <v>350</v>
      </c>
      <c r="E428" s="342">
        <v>11.04</v>
      </c>
      <c r="F428" s="342"/>
      <c r="G428" s="344">
        <f t="shared" si="4"/>
        <v>4539.0499999999884</v>
      </c>
      <c r="H428" s="345"/>
      <c r="I428" s="346"/>
      <c r="J428" s="347"/>
      <c r="K428" s="312"/>
      <c r="L428" s="347"/>
      <c r="M428" s="312"/>
      <c r="N428" s="347"/>
      <c r="O428" s="312"/>
      <c r="P428" s="347"/>
      <c r="Q428" s="312"/>
      <c r="R428" s="347"/>
      <c r="S428" s="312"/>
      <c r="T428" s="347"/>
    </row>
    <row r="429" spans="1:20" ht="12" customHeight="1" x14ac:dyDescent="0.3">
      <c r="A429" s="340" t="s">
        <v>289</v>
      </c>
      <c r="B429" s="341">
        <v>8</v>
      </c>
      <c r="C429" s="309">
        <v>46088</v>
      </c>
      <c r="D429" s="310" t="s">
        <v>321</v>
      </c>
      <c r="E429" s="342">
        <v>11.5</v>
      </c>
      <c r="F429" s="342"/>
      <c r="G429" s="344">
        <f t="shared" si="4"/>
        <v>4550.0899999999883</v>
      </c>
      <c r="H429" s="345"/>
      <c r="I429" s="346"/>
      <c r="J429" s="347"/>
      <c r="K429" s="312"/>
      <c r="L429" s="347"/>
      <c r="M429" s="312"/>
      <c r="N429" s="347"/>
      <c r="O429" s="312"/>
      <c r="P429" s="347"/>
      <c r="Q429" s="312"/>
      <c r="R429" s="347"/>
      <c r="S429" s="312"/>
      <c r="T429" s="347"/>
    </row>
    <row r="430" spans="1:20" ht="12" customHeight="1" x14ac:dyDescent="0.3">
      <c r="A430" s="340" t="s">
        <v>289</v>
      </c>
      <c r="B430" s="341">
        <v>8</v>
      </c>
      <c r="C430" s="309">
        <v>46088</v>
      </c>
      <c r="D430" s="310" t="s">
        <v>296</v>
      </c>
      <c r="E430" s="342">
        <v>12.44</v>
      </c>
      <c r="F430" s="342"/>
      <c r="G430" s="344">
        <f t="shared" si="4"/>
        <v>4561.5899999999883</v>
      </c>
      <c r="H430" s="345"/>
      <c r="I430" s="346"/>
      <c r="J430" s="347"/>
      <c r="K430" s="312"/>
      <c r="L430" s="347"/>
      <c r="M430" s="312"/>
      <c r="N430" s="347"/>
      <c r="O430" s="312"/>
      <c r="P430" s="347"/>
      <c r="Q430" s="312"/>
      <c r="R430" s="347"/>
      <c r="S430" s="312"/>
      <c r="T430" s="347"/>
    </row>
    <row r="431" spans="1:20" ht="12" customHeight="1" x14ac:dyDescent="0.3">
      <c r="A431" s="340" t="s">
        <v>289</v>
      </c>
      <c r="B431" s="341">
        <v>4</v>
      </c>
      <c r="C431" s="309">
        <v>46088</v>
      </c>
      <c r="D431" s="310" t="s">
        <v>296</v>
      </c>
      <c r="E431" s="342">
        <v>23.62</v>
      </c>
      <c r="F431" s="342"/>
      <c r="G431" s="344">
        <f t="shared" si="4"/>
        <v>4574.0299999999879</v>
      </c>
      <c r="H431" s="345"/>
      <c r="I431" s="346"/>
      <c r="J431" s="347"/>
      <c r="K431" s="312"/>
      <c r="L431" s="347"/>
      <c r="M431" s="312"/>
      <c r="N431" s="347"/>
      <c r="O431" s="312"/>
      <c r="P431" s="347"/>
      <c r="Q431" s="312"/>
      <c r="R431" s="347"/>
      <c r="S431" s="312"/>
      <c r="T431" s="347"/>
    </row>
    <row r="432" spans="1:20" ht="12" customHeight="1" x14ac:dyDescent="0.3">
      <c r="A432" s="340" t="s">
        <v>289</v>
      </c>
      <c r="B432" s="341">
        <v>2</v>
      </c>
      <c r="C432" s="309">
        <v>46088</v>
      </c>
      <c r="D432" s="310" t="s">
        <v>301</v>
      </c>
      <c r="E432" s="342">
        <v>36.049999999999997</v>
      </c>
      <c r="F432" s="342"/>
      <c r="G432" s="344">
        <f t="shared" si="4"/>
        <v>4597.6499999999878</v>
      </c>
      <c r="H432" s="345"/>
      <c r="I432" s="346"/>
      <c r="J432" s="347"/>
      <c r="K432" s="312"/>
      <c r="L432" s="347"/>
      <c r="M432" s="312"/>
      <c r="N432" s="347"/>
      <c r="O432" s="312"/>
      <c r="P432" s="347"/>
      <c r="Q432" s="312"/>
      <c r="R432" s="347"/>
      <c r="S432" s="312"/>
      <c r="T432" s="347"/>
    </row>
    <row r="433" spans="1:20" ht="12" customHeight="1" x14ac:dyDescent="0.3">
      <c r="A433" s="340" t="s">
        <v>294</v>
      </c>
      <c r="B433" s="341">
        <v>14</v>
      </c>
      <c r="C433" s="309">
        <v>46087</v>
      </c>
      <c r="D433" s="310" t="s">
        <v>370</v>
      </c>
      <c r="E433" s="342">
        <v>66.67</v>
      </c>
      <c r="F433" s="342"/>
      <c r="G433" s="344">
        <f t="shared" si="4"/>
        <v>4633.699999999988</v>
      </c>
      <c r="H433" s="345"/>
      <c r="I433" s="346"/>
      <c r="J433" s="347"/>
      <c r="K433" s="312"/>
      <c r="L433" s="347"/>
      <c r="M433" s="312"/>
      <c r="N433" s="347"/>
      <c r="O433" s="312"/>
      <c r="P433" s="347"/>
      <c r="Q433" s="312"/>
      <c r="R433" s="347"/>
      <c r="S433" s="312"/>
      <c r="T433" s="347"/>
    </row>
    <row r="434" spans="1:20" ht="12" customHeight="1" x14ac:dyDescent="0.3">
      <c r="A434" s="340" t="s">
        <v>289</v>
      </c>
      <c r="B434" s="341">
        <v>2</v>
      </c>
      <c r="C434" s="309">
        <v>46087</v>
      </c>
      <c r="D434" s="310" t="s">
        <v>296</v>
      </c>
      <c r="E434" s="342">
        <v>17.850000000000001</v>
      </c>
      <c r="F434" s="342"/>
      <c r="G434" s="344">
        <f t="shared" si="4"/>
        <v>4700.3699999999881</v>
      </c>
      <c r="H434" s="345"/>
      <c r="I434" s="346"/>
      <c r="J434" s="347"/>
      <c r="K434" s="312"/>
      <c r="L434" s="347"/>
      <c r="M434" s="312"/>
      <c r="N434" s="347"/>
      <c r="O434" s="312"/>
      <c r="P434" s="347"/>
      <c r="Q434" s="312"/>
      <c r="R434" s="347"/>
      <c r="S434" s="312"/>
      <c r="T434" s="347"/>
    </row>
    <row r="435" spans="1:20" ht="12" customHeight="1" x14ac:dyDescent="0.3">
      <c r="A435" s="340" t="s">
        <v>289</v>
      </c>
      <c r="B435" s="341">
        <v>1</v>
      </c>
      <c r="C435" s="309">
        <v>46087</v>
      </c>
      <c r="D435" s="310" t="s">
        <v>304</v>
      </c>
      <c r="E435" s="342">
        <v>112.13</v>
      </c>
      <c r="F435" s="342"/>
      <c r="G435" s="344">
        <f t="shared" si="4"/>
        <v>4718.2199999999884</v>
      </c>
      <c r="H435" s="345"/>
      <c r="I435" s="346"/>
      <c r="J435" s="347"/>
      <c r="K435" s="312"/>
      <c r="L435" s="347"/>
      <c r="M435" s="312"/>
      <c r="N435" s="347"/>
      <c r="O435" s="312"/>
      <c r="P435" s="347"/>
      <c r="Q435" s="312"/>
      <c r="R435" s="347"/>
      <c r="S435" s="312"/>
      <c r="T435" s="347"/>
    </row>
    <row r="436" spans="1:20" ht="12" customHeight="1" x14ac:dyDescent="0.3">
      <c r="A436" s="340" t="s">
        <v>289</v>
      </c>
      <c r="B436" s="341">
        <v>3</v>
      </c>
      <c r="C436" s="309">
        <v>46087</v>
      </c>
      <c r="D436" s="310" t="s">
        <v>327</v>
      </c>
      <c r="E436" s="342">
        <v>7.31</v>
      </c>
      <c r="F436" s="342"/>
      <c r="G436" s="344">
        <f t="shared" si="4"/>
        <v>4830.3499999999885</v>
      </c>
      <c r="H436" s="345"/>
      <c r="I436" s="346"/>
      <c r="J436" s="347"/>
      <c r="K436" s="312"/>
      <c r="L436" s="347"/>
      <c r="M436" s="312"/>
      <c r="N436" s="347"/>
      <c r="O436" s="312"/>
      <c r="P436" s="347"/>
      <c r="Q436" s="312"/>
      <c r="R436" s="347"/>
      <c r="S436" s="312"/>
      <c r="T436" s="347"/>
    </row>
    <row r="437" spans="1:20" ht="12" customHeight="1" x14ac:dyDescent="0.3">
      <c r="A437" s="340" t="s">
        <v>291</v>
      </c>
      <c r="B437" s="341">
        <v>39</v>
      </c>
      <c r="C437" s="309">
        <v>46086</v>
      </c>
      <c r="D437" s="310" t="s">
        <v>292</v>
      </c>
      <c r="E437" s="342"/>
      <c r="F437" s="342">
        <v>2763.78</v>
      </c>
      <c r="G437" s="344">
        <f t="shared" si="4"/>
        <v>4837.6599999999889</v>
      </c>
      <c r="H437" s="345"/>
      <c r="I437" s="346"/>
      <c r="J437" s="347"/>
      <c r="K437" s="312"/>
      <c r="L437" s="347"/>
      <c r="M437" s="312"/>
      <c r="N437" s="347"/>
      <c r="O437" s="312"/>
      <c r="P437" s="347"/>
      <c r="Q437" s="312"/>
      <c r="R437" s="347"/>
      <c r="S437" s="312"/>
      <c r="T437" s="347"/>
    </row>
    <row r="438" spans="1:20" ht="12" customHeight="1" x14ac:dyDescent="0.3">
      <c r="A438" s="340" t="s">
        <v>289</v>
      </c>
      <c r="B438" s="341">
        <v>4</v>
      </c>
      <c r="C438" s="309">
        <v>46086</v>
      </c>
      <c r="D438" s="310" t="s">
        <v>295</v>
      </c>
      <c r="E438" s="342">
        <v>31.52</v>
      </c>
      <c r="F438" s="342"/>
      <c r="G438" s="344">
        <f t="shared" si="4"/>
        <v>2073.8799999999892</v>
      </c>
      <c r="H438" s="345"/>
      <c r="I438" s="346"/>
      <c r="J438" s="347"/>
      <c r="K438" s="312"/>
      <c r="L438" s="347"/>
      <c r="M438" s="312"/>
      <c r="N438" s="347"/>
      <c r="O438" s="312"/>
      <c r="P438" s="347"/>
      <c r="Q438" s="312"/>
      <c r="R438" s="347"/>
      <c r="S438" s="312"/>
      <c r="T438" s="347"/>
    </row>
    <row r="439" spans="1:20" ht="12" customHeight="1" x14ac:dyDescent="0.3">
      <c r="A439" s="340" t="s">
        <v>289</v>
      </c>
      <c r="B439" s="341">
        <v>2</v>
      </c>
      <c r="C439" s="309">
        <v>46086</v>
      </c>
      <c r="D439" s="310" t="s">
        <v>362</v>
      </c>
      <c r="E439" s="342">
        <v>14.86</v>
      </c>
      <c r="F439" s="342"/>
      <c r="G439" s="344">
        <f t="shared" si="4"/>
        <v>2105.3999999999892</v>
      </c>
      <c r="H439" s="345"/>
      <c r="I439" s="346"/>
      <c r="J439" s="347"/>
      <c r="K439" s="312"/>
      <c r="L439" s="347"/>
      <c r="M439" s="312"/>
      <c r="N439" s="347"/>
      <c r="O439" s="312"/>
      <c r="P439" s="347"/>
      <c r="Q439" s="312"/>
      <c r="R439" s="347"/>
      <c r="S439" s="312"/>
      <c r="T439" s="347"/>
    </row>
    <row r="440" spans="1:20" ht="12" customHeight="1" x14ac:dyDescent="0.3">
      <c r="A440" s="340" t="s">
        <v>289</v>
      </c>
      <c r="B440" s="341">
        <v>8</v>
      </c>
      <c r="C440" s="309">
        <v>46086</v>
      </c>
      <c r="D440" s="310" t="s">
        <v>416</v>
      </c>
      <c r="E440" s="342">
        <v>44.99</v>
      </c>
      <c r="F440" s="342"/>
      <c r="G440" s="344">
        <f t="shared" si="4"/>
        <v>2120.2599999999893</v>
      </c>
      <c r="H440" s="345"/>
      <c r="I440" s="346"/>
      <c r="J440" s="347"/>
      <c r="K440" s="312"/>
      <c r="L440" s="347"/>
      <c r="M440" s="312"/>
      <c r="N440" s="347"/>
      <c r="O440" s="312"/>
      <c r="P440" s="347"/>
      <c r="Q440" s="312"/>
      <c r="R440" s="347"/>
      <c r="S440" s="312"/>
      <c r="T440" s="347"/>
    </row>
    <row r="441" spans="1:20" ht="12" customHeight="1" x14ac:dyDescent="0.3">
      <c r="A441" s="340" t="s">
        <v>289</v>
      </c>
      <c r="B441" s="341">
        <v>2</v>
      </c>
      <c r="C441" s="309">
        <v>46085</v>
      </c>
      <c r="D441" s="310" t="s">
        <v>428</v>
      </c>
      <c r="E441" s="342">
        <v>15</v>
      </c>
      <c r="F441" s="342"/>
      <c r="G441" s="344">
        <f t="shared" si="4"/>
        <v>2165.2499999999891</v>
      </c>
      <c r="H441" s="345"/>
      <c r="I441" s="346"/>
      <c r="J441" s="347"/>
      <c r="K441" s="312"/>
      <c r="L441" s="347"/>
      <c r="M441" s="312"/>
      <c r="N441" s="347"/>
      <c r="O441" s="312"/>
      <c r="P441" s="347"/>
      <c r="Q441" s="312"/>
      <c r="R441" s="347"/>
      <c r="S441" s="312"/>
      <c r="T441" s="347"/>
    </row>
    <row r="442" spans="1:20" ht="12" customHeight="1" x14ac:dyDescent="0.3">
      <c r="A442" s="340" t="s">
        <v>289</v>
      </c>
      <c r="B442" s="341">
        <v>2</v>
      </c>
      <c r="C442" s="309">
        <v>46085</v>
      </c>
      <c r="D442" s="310" t="s">
        <v>296</v>
      </c>
      <c r="E442" s="342">
        <v>10.84</v>
      </c>
      <c r="F442" s="342"/>
      <c r="G442" s="344">
        <f t="shared" si="4"/>
        <v>2180.2499999999891</v>
      </c>
      <c r="H442" s="345"/>
      <c r="I442" s="346"/>
      <c r="J442" s="347"/>
      <c r="K442" s="312"/>
      <c r="L442" s="347"/>
      <c r="M442" s="312"/>
      <c r="N442" s="347"/>
      <c r="O442" s="312"/>
      <c r="P442" s="347"/>
      <c r="Q442" s="312"/>
      <c r="R442" s="347"/>
      <c r="S442" s="312"/>
      <c r="T442" s="347"/>
    </row>
    <row r="443" spans="1:20" ht="12" customHeight="1" x14ac:dyDescent="0.3">
      <c r="A443" s="340" t="s">
        <v>294</v>
      </c>
      <c r="B443" s="341">
        <v>14</v>
      </c>
      <c r="C443" s="309">
        <v>46085</v>
      </c>
      <c r="D443" s="310" t="s">
        <v>371</v>
      </c>
      <c r="E443" s="342">
        <v>68.739999999999995</v>
      </c>
      <c r="F443" s="342"/>
      <c r="G443" s="344">
        <f t="shared" si="4"/>
        <v>2191.0899999999892</v>
      </c>
      <c r="H443" s="345"/>
      <c r="I443" s="346"/>
      <c r="J443" s="347"/>
      <c r="K443" s="312"/>
      <c r="L443" s="347"/>
      <c r="M443" s="312"/>
      <c r="N443" s="347"/>
      <c r="O443" s="312"/>
      <c r="P443" s="347"/>
      <c r="Q443" s="312"/>
      <c r="R443" s="347"/>
      <c r="S443" s="312"/>
      <c r="T443" s="347"/>
    </row>
    <row r="444" spans="1:20" ht="12" customHeight="1" x14ac:dyDescent="0.3">
      <c r="A444" s="340" t="s">
        <v>289</v>
      </c>
      <c r="B444" s="341">
        <v>4</v>
      </c>
      <c r="C444" s="309">
        <v>46085</v>
      </c>
      <c r="D444" s="310" t="s">
        <v>311</v>
      </c>
      <c r="E444" s="342">
        <v>30.67</v>
      </c>
      <c r="F444" s="342"/>
      <c r="G444" s="344">
        <f t="shared" si="4"/>
        <v>2259.829999999989</v>
      </c>
      <c r="H444" s="345"/>
      <c r="I444" s="346"/>
      <c r="J444" s="347"/>
      <c r="K444" s="312"/>
      <c r="L444" s="347"/>
      <c r="M444" s="312"/>
      <c r="N444" s="347"/>
      <c r="O444" s="312"/>
      <c r="P444" s="347"/>
      <c r="Q444" s="312"/>
      <c r="R444" s="347"/>
      <c r="S444" s="312"/>
      <c r="T444" s="347"/>
    </row>
    <row r="445" spans="1:20" ht="12" customHeight="1" x14ac:dyDescent="0.3">
      <c r="A445" s="340" t="s">
        <v>294</v>
      </c>
      <c r="B445" s="341">
        <v>17</v>
      </c>
      <c r="C445" s="309">
        <v>46085</v>
      </c>
      <c r="D445" s="310" t="s">
        <v>374</v>
      </c>
      <c r="E445" s="342">
        <v>99</v>
      </c>
      <c r="F445" s="342"/>
      <c r="G445" s="344">
        <f t="shared" si="4"/>
        <v>2290.4999999999891</v>
      </c>
      <c r="H445" s="345"/>
      <c r="I445" s="346"/>
      <c r="J445" s="347"/>
      <c r="K445" s="312"/>
      <c r="L445" s="347"/>
      <c r="M445" s="312"/>
      <c r="N445" s="347"/>
      <c r="O445" s="312"/>
      <c r="P445" s="347"/>
      <c r="Q445" s="312"/>
      <c r="R445" s="347"/>
      <c r="S445" s="312"/>
      <c r="T445" s="347"/>
    </row>
    <row r="446" spans="1:20" ht="12" customHeight="1" x14ac:dyDescent="0.3">
      <c r="A446" s="340" t="s">
        <v>294</v>
      </c>
      <c r="B446" s="341">
        <v>21</v>
      </c>
      <c r="C446" s="309">
        <v>46084</v>
      </c>
      <c r="D446" s="310" t="s">
        <v>194</v>
      </c>
      <c r="E446" s="342">
        <v>40.72</v>
      </c>
      <c r="F446" s="342"/>
      <c r="G446" s="344">
        <f t="shared" si="4"/>
        <v>2389.4999999999891</v>
      </c>
      <c r="H446" s="345"/>
      <c r="I446" s="346"/>
      <c r="J446" s="347"/>
      <c r="K446" s="312"/>
      <c r="L446" s="347"/>
      <c r="M446" s="312"/>
      <c r="N446" s="347"/>
      <c r="O446" s="312"/>
      <c r="P446" s="347"/>
      <c r="Q446" s="312"/>
      <c r="R446" s="347"/>
      <c r="S446" s="312"/>
      <c r="T446" s="347"/>
    </row>
    <row r="447" spans="1:20" ht="12" customHeight="1" x14ac:dyDescent="0.3">
      <c r="A447" s="340" t="s">
        <v>284</v>
      </c>
      <c r="B447" s="341">
        <v>36</v>
      </c>
      <c r="C447" s="309">
        <v>46084</v>
      </c>
      <c r="D447" s="310" t="s">
        <v>378</v>
      </c>
      <c r="E447" s="342">
        <v>50</v>
      </c>
      <c r="F447" s="342"/>
      <c r="G447" s="344">
        <f t="shared" si="4"/>
        <v>2430.2199999999889</v>
      </c>
      <c r="H447" s="345"/>
      <c r="I447" s="346"/>
      <c r="J447" s="347"/>
      <c r="K447" s="312"/>
      <c r="L447" s="347"/>
      <c r="M447" s="312"/>
      <c r="N447" s="347"/>
      <c r="O447" s="312"/>
      <c r="P447" s="347"/>
      <c r="Q447" s="312"/>
      <c r="R447" s="347"/>
      <c r="S447" s="312"/>
      <c r="T447" s="347"/>
    </row>
    <row r="448" spans="1:20" ht="12" customHeight="1" x14ac:dyDescent="0.3">
      <c r="A448" s="340" t="s">
        <v>289</v>
      </c>
      <c r="B448" s="341">
        <v>2</v>
      </c>
      <c r="C448" s="309">
        <v>46084</v>
      </c>
      <c r="D448" s="310" t="s">
        <v>296</v>
      </c>
      <c r="E448" s="342">
        <v>14.67</v>
      </c>
      <c r="F448" s="342"/>
      <c r="G448" s="344">
        <f t="shared" si="4"/>
        <v>2480.2199999999889</v>
      </c>
      <c r="H448" s="345"/>
      <c r="I448" s="346"/>
      <c r="J448" s="347"/>
      <c r="K448" s="312"/>
      <c r="L448" s="347"/>
      <c r="M448" s="312"/>
      <c r="N448" s="347"/>
      <c r="O448" s="312"/>
      <c r="P448" s="347"/>
      <c r="Q448" s="312"/>
      <c r="R448" s="347"/>
      <c r="S448" s="312"/>
      <c r="T448" s="347"/>
    </row>
    <row r="449" spans="1:20" ht="12" customHeight="1" x14ac:dyDescent="0.3">
      <c r="A449" s="340" t="s">
        <v>289</v>
      </c>
      <c r="B449" s="341">
        <v>4</v>
      </c>
      <c r="C449" s="309">
        <v>46084</v>
      </c>
      <c r="D449" s="310" t="s">
        <v>296</v>
      </c>
      <c r="E449" s="342">
        <v>27.42</v>
      </c>
      <c r="F449" s="342"/>
      <c r="G449" s="344">
        <f t="shared" si="4"/>
        <v>2494.889999999989</v>
      </c>
      <c r="H449" s="345"/>
      <c r="I449" s="346"/>
      <c r="J449" s="347"/>
      <c r="K449" s="312"/>
      <c r="L449" s="347"/>
      <c r="M449" s="312"/>
      <c r="N449" s="347"/>
      <c r="O449" s="312"/>
      <c r="P449" s="347"/>
      <c r="Q449" s="312"/>
      <c r="R449" s="347"/>
      <c r="S449" s="312"/>
      <c r="T449" s="347"/>
    </row>
    <row r="450" spans="1:20" ht="12" customHeight="1" x14ac:dyDescent="0.3">
      <c r="A450" s="340" t="s">
        <v>289</v>
      </c>
      <c r="B450" s="341">
        <v>6</v>
      </c>
      <c r="C450" s="309">
        <v>46084</v>
      </c>
      <c r="D450" s="310" t="s">
        <v>429</v>
      </c>
      <c r="E450" s="342">
        <v>106.27</v>
      </c>
      <c r="F450" s="342"/>
      <c r="G450" s="344">
        <f t="shared" si="4"/>
        <v>2522.309999999989</v>
      </c>
      <c r="H450" s="345"/>
      <c r="I450" s="346"/>
      <c r="J450" s="347"/>
      <c r="K450" s="312"/>
      <c r="L450" s="347"/>
      <c r="M450" s="312"/>
      <c r="N450" s="347"/>
      <c r="O450" s="312"/>
      <c r="P450" s="347"/>
      <c r="Q450" s="312"/>
      <c r="R450" s="347"/>
      <c r="S450" s="312"/>
      <c r="T450" s="347"/>
    </row>
    <row r="451" spans="1:20" ht="12" customHeight="1" x14ac:dyDescent="0.3">
      <c r="A451" s="340" t="s">
        <v>289</v>
      </c>
      <c r="B451" s="341">
        <v>6</v>
      </c>
      <c r="C451" s="309">
        <v>46084</v>
      </c>
      <c r="D451" s="310" t="s">
        <v>429</v>
      </c>
      <c r="E451" s="342">
        <v>-107</v>
      </c>
      <c r="F451" s="342"/>
      <c r="G451" s="344">
        <f t="shared" si="4"/>
        <v>2628.579999999989</v>
      </c>
      <c r="H451" s="345" t="s">
        <v>298</v>
      </c>
      <c r="I451" s="346"/>
      <c r="J451" s="347"/>
      <c r="K451" s="312"/>
      <c r="L451" s="347"/>
      <c r="M451" s="312"/>
      <c r="N451" s="347"/>
      <c r="O451" s="312"/>
      <c r="P451" s="347"/>
      <c r="Q451" s="312"/>
      <c r="R451" s="347"/>
      <c r="S451" s="312"/>
      <c r="T451" s="347"/>
    </row>
    <row r="452" spans="1:20" ht="12" customHeight="1" x14ac:dyDescent="0.3">
      <c r="A452" s="340" t="s">
        <v>289</v>
      </c>
      <c r="B452" s="341">
        <v>2</v>
      </c>
      <c r="C452" s="309">
        <v>46083</v>
      </c>
      <c r="D452" s="310" t="s">
        <v>301</v>
      </c>
      <c r="E452" s="342">
        <v>20</v>
      </c>
      <c r="F452" s="342"/>
      <c r="G452" s="344">
        <f t="shared" si="4"/>
        <v>2521.579999999989</v>
      </c>
      <c r="H452" s="345"/>
      <c r="I452" s="346"/>
      <c r="J452" s="347"/>
      <c r="K452" s="312"/>
      <c r="L452" s="347"/>
      <c r="M452" s="312"/>
      <c r="N452" s="347"/>
      <c r="O452" s="312"/>
      <c r="P452" s="347"/>
      <c r="Q452" s="312"/>
      <c r="R452" s="347"/>
      <c r="S452" s="312"/>
      <c r="T452" s="347"/>
    </row>
    <row r="453" spans="1:20" ht="12" customHeight="1" x14ac:dyDescent="0.3">
      <c r="A453" s="340" t="s">
        <v>287</v>
      </c>
      <c r="B453" s="341" t="s">
        <v>287</v>
      </c>
      <c r="C453" s="309">
        <v>46083</v>
      </c>
      <c r="D453" s="310" t="s">
        <v>430</v>
      </c>
      <c r="E453" s="342">
        <v>185.64</v>
      </c>
      <c r="F453" s="342">
        <v>185.64</v>
      </c>
      <c r="G453" s="344">
        <f t="shared" si="4"/>
        <v>2541.579999999989</v>
      </c>
      <c r="H453" s="345"/>
      <c r="I453" s="346"/>
      <c r="J453" s="347"/>
      <c r="K453" s="312"/>
      <c r="L453" s="347"/>
      <c r="M453" s="312"/>
      <c r="N453" s="347"/>
      <c r="O453" s="312"/>
      <c r="P453" s="347"/>
      <c r="Q453" s="312"/>
      <c r="R453" s="347"/>
      <c r="S453" s="312"/>
      <c r="T453" s="347"/>
    </row>
    <row r="454" spans="1:20" ht="12" customHeight="1" x14ac:dyDescent="0.3">
      <c r="A454" s="340" t="s">
        <v>289</v>
      </c>
      <c r="B454" s="341">
        <v>2</v>
      </c>
      <c r="C454" s="309">
        <v>46083</v>
      </c>
      <c r="D454" s="310" t="s">
        <v>431</v>
      </c>
      <c r="E454" s="342">
        <v>70.12</v>
      </c>
      <c r="F454" s="342"/>
      <c r="G454" s="344">
        <f t="shared" si="4"/>
        <v>2541.579999999989</v>
      </c>
      <c r="H454" s="345"/>
      <c r="I454" s="346"/>
      <c r="J454" s="347"/>
      <c r="K454" s="312"/>
      <c r="L454" s="347"/>
      <c r="M454" s="312"/>
      <c r="N454" s="347"/>
      <c r="O454" s="312"/>
      <c r="P454" s="347"/>
      <c r="Q454" s="312"/>
      <c r="R454" s="347"/>
      <c r="S454" s="312"/>
      <c r="T454" s="347"/>
    </row>
    <row r="455" spans="1:20" ht="12" customHeight="1" x14ac:dyDescent="0.3">
      <c r="A455" s="340" t="s">
        <v>294</v>
      </c>
      <c r="B455" s="341">
        <v>17</v>
      </c>
      <c r="C455" s="309">
        <v>46083</v>
      </c>
      <c r="D455" s="310" t="s">
        <v>188</v>
      </c>
      <c r="E455" s="342">
        <v>41.44</v>
      </c>
      <c r="F455" s="342"/>
      <c r="G455" s="344">
        <f t="shared" si="4"/>
        <v>2611.6999999999889</v>
      </c>
      <c r="H455" s="345"/>
      <c r="I455" s="346"/>
      <c r="J455" s="347"/>
      <c r="K455" s="312"/>
      <c r="L455" s="347"/>
      <c r="M455" s="312"/>
      <c r="N455" s="347"/>
      <c r="O455" s="312"/>
      <c r="P455" s="347"/>
      <c r="Q455" s="312"/>
      <c r="R455" s="347"/>
      <c r="S455" s="312"/>
      <c r="T455" s="347"/>
    </row>
    <row r="456" spans="1:20" ht="12" customHeight="1" x14ac:dyDescent="0.3">
      <c r="A456" s="340" t="s">
        <v>289</v>
      </c>
      <c r="B456" s="341">
        <v>8</v>
      </c>
      <c r="C456" s="309">
        <v>46083</v>
      </c>
      <c r="D456" s="310" t="s">
        <v>296</v>
      </c>
      <c r="E456" s="342">
        <v>8.7200000000000006</v>
      </c>
      <c r="F456" s="342"/>
      <c r="G456" s="344">
        <f t="shared" si="4"/>
        <v>2653.139999999989</v>
      </c>
      <c r="H456" s="345"/>
      <c r="I456" s="346"/>
      <c r="J456" s="347"/>
      <c r="K456" s="312"/>
      <c r="L456" s="347"/>
      <c r="M456" s="312"/>
      <c r="N456" s="347"/>
      <c r="O456" s="312"/>
      <c r="P456" s="347"/>
      <c r="Q456" s="312"/>
      <c r="R456" s="347"/>
      <c r="S456" s="312"/>
      <c r="T456" s="347"/>
    </row>
    <row r="457" spans="1:20" ht="12" customHeight="1" x14ac:dyDescent="0.3">
      <c r="A457" s="340" t="s">
        <v>294</v>
      </c>
      <c r="B457" s="341">
        <v>22</v>
      </c>
      <c r="C457" s="309">
        <v>46082</v>
      </c>
      <c r="D457" s="310" t="s">
        <v>379</v>
      </c>
      <c r="E457" s="342">
        <v>6.37</v>
      </c>
      <c r="F457" s="342"/>
      <c r="G457" s="344">
        <f t="shared" si="4"/>
        <v>2661.8599999999888</v>
      </c>
      <c r="H457" s="345"/>
      <c r="I457" s="346"/>
      <c r="J457" s="347"/>
      <c r="K457" s="312"/>
      <c r="L457" s="347"/>
      <c r="M457" s="312"/>
      <c r="N457" s="347"/>
      <c r="O457" s="312"/>
      <c r="P457" s="347"/>
      <c r="Q457" s="312"/>
      <c r="R457" s="347"/>
      <c r="S457" s="312"/>
      <c r="T457" s="347"/>
    </row>
    <row r="458" spans="1:20" ht="12" customHeight="1" x14ac:dyDescent="0.3">
      <c r="A458" s="340" t="s">
        <v>289</v>
      </c>
      <c r="B458" s="341">
        <v>2</v>
      </c>
      <c r="C458" s="309">
        <v>46082</v>
      </c>
      <c r="D458" s="310" t="s">
        <v>296</v>
      </c>
      <c r="E458" s="342">
        <v>9.8699999999999992</v>
      </c>
      <c r="F458" s="342"/>
      <c r="G458" s="344">
        <f t="shared" si="4"/>
        <v>2668.2299999999886</v>
      </c>
      <c r="H458" s="345"/>
      <c r="I458" s="346"/>
      <c r="J458" s="347"/>
      <c r="K458" s="312"/>
      <c r="L458" s="347"/>
      <c r="M458" s="312"/>
      <c r="N458" s="347"/>
      <c r="O458" s="312"/>
      <c r="P458" s="347"/>
      <c r="Q458" s="312"/>
      <c r="R458" s="347"/>
      <c r="S458" s="312"/>
      <c r="T458" s="347"/>
    </row>
    <row r="459" spans="1:20" ht="12" customHeight="1" x14ac:dyDescent="0.3">
      <c r="A459" s="340" t="s">
        <v>289</v>
      </c>
      <c r="B459" s="341">
        <v>1</v>
      </c>
      <c r="C459" s="309">
        <v>46082</v>
      </c>
      <c r="D459" s="310" t="s">
        <v>312</v>
      </c>
      <c r="E459" s="342">
        <v>119.55</v>
      </c>
      <c r="F459" s="342"/>
      <c r="G459" s="344">
        <f t="shared" si="4"/>
        <v>2678.0999999999885</v>
      </c>
      <c r="H459" s="345"/>
      <c r="I459" s="346"/>
      <c r="J459" s="347"/>
      <c r="K459" s="312"/>
      <c r="L459" s="347"/>
      <c r="M459" s="312"/>
      <c r="N459" s="347"/>
      <c r="O459" s="312"/>
      <c r="P459" s="347"/>
      <c r="Q459" s="312"/>
      <c r="R459" s="347"/>
      <c r="S459" s="312"/>
      <c r="T459" s="347"/>
    </row>
    <row r="460" spans="1:20" ht="12" customHeight="1" x14ac:dyDescent="0.3">
      <c r="A460" s="340" t="s">
        <v>289</v>
      </c>
      <c r="B460" s="341">
        <v>3</v>
      </c>
      <c r="C460" s="309">
        <v>46082</v>
      </c>
      <c r="D460" s="310" t="s">
        <v>352</v>
      </c>
      <c r="E460" s="342">
        <v>25</v>
      </c>
      <c r="F460" s="342"/>
      <c r="G460" s="344">
        <f t="shared" si="4"/>
        <v>2797.6499999999887</v>
      </c>
      <c r="H460" s="345"/>
      <c r="I460" s="346"/>
      <c r="J460" s="347"/>
      <c r="K460" s="312"/>
      <c r="L460" s="347"/>
      <c r="M460" s="312"/>
      <c r="N460" s="347"/>
      <c r="O460" s="312"/>
      <c r="P460" s="347"/>
      <c r="Q460" s="312"/>
      <c r="R460" s="347"/>
      <c r="S460" s="312"/>
      <c r="T460" s="347"/>
    </row>
    <row r="461" spans="1:20" ht="12" customHeight="1" x14ac:dyDescent="0.3">
      <c r="A461" s="340" t="s">
        <v>289</v>
      </c>
      <c r="B461" s="341">
        <v>1</v>
      </c>
      <c r="C461" s="309">
        <v>46082</v>
      </c>
      <c r="D461" s="310" t="s">
        <v>304</v>
      </c>
      <c r="E461" s="342">
        <v>119.17</v>
      </c>
      <c r="F461" s="342"/>
      <c r="G461" s="344">
        <f t="shared" si="4"/>
        <v>2822.6499999999887</v>
      </c>
      <c r="H461" s="345"/>
      <c r="I461" s="346"/>
      <c r="J461" s="347"/>
      <c r="K461" s="312"/>
      <c r="L461" s="347"/>
      <c r="M461" s="312"/>
      <c r="N461" s="347"/>
      <c r="O461" s="312"/>
      <c r="P461" s="347"/>
      <c r="Q461" s="312"/>
      <c r="R461" s="347"/>
      <c r="S461" s="312"/>
      <c r="T461" s="347"/>
    </row>
    <row r="462" spans="1:20" ht="12" customHeight="1" x14ac:dyDescent="0.3">
      <c r="A462" s="340" t="s">
        <v>284</v>
      </c>
      <c r="B462" s="341">
        <v>37</v>
      </c>
      <c r="C462" s="309">
        <v>46081</v>
      </c>
      <c r="D462" s="310" t="s">
        <v>432</v>
      </c>
      <c r="E462" s="342">
        <v>3764.91</v>
      </c>
      <c r="F462" s="342"/>
      <c r="G462" s="344">
        <f t="shared" si="4"/>
        <v>2941.8199999999888</v>
      </c>
      <c r="H462" s="345"/>
      <c r="I462" s="346"/>
      <c r="J462" s="347"/>
      <c r="K462" s="312"/>
      <c r="L462" s="347"/>
      <c r="M462" s="312"/>
      <c r="N462" s="347"/>
      <c r="O462" s="312"/>
      <c r="P462" s="347"/>
      <c r="Q462" s="312"/>
      <c r="R462" s="347"/>
      <c r="S462" s="312"/>
      <c r="T462" s="347"/>
    </row>
    <row r="463" spans="1:20" ht="12" customHeight="1" x14ac:dyDescent="0.3">
      <c r="A463" s="340" t="s">
        <v>286</v>
      </c>
      <c r="B463" s="341">
        <v>25</v>
      </c>
      <c r="C463" s="309">
        <v>46081</v>
      </c>
      <c r="D463" s="309" t="s">
        <v>204</v>
      </c>
      <c r="E463" s="342">
        <v>350</v>
      </c>
      <c r="F463" s="342"/>
      <c r="G463" s="344">
        <f t="shared" si="4"/>
        <v>6706.7299999999886</v>
      </c>
      <c r="H463" s="345"/>
      <c r="I463" s="346"/>
      <c r="J463" s="347"/>
      <c r="K463" s="312"/>
      <c r="L463" s="347"/>
      <c r="M463" s="312"/>
      <c r="N463" s="347"/>
      <c r="O463" s="312"/>
      <c r="P463" s="347"/>
      <c r="Q463" s="312"/>
      <c r="R463" s="347"/>
      <c r="S463" s="312"/>
      <c r="T463" s="347"/>
    </row>
    <row r="464" spans="1:20" ht="12" customHeight="1" x14ac:dyDescent="0.3">
      <c r="A464" s="340" t="s">
        <v>286</v>
      </c>
      <c r="B464" s="341">
        <v>26</v>
      </c>
      <c r="C464" s="309">
        <v>46081</v>
      </c>
      <c r="D464" s="309" t="s">
        <v>205</v>
      </c>
      <c r="E464" s="342">
        <v>320</v>
      </c>
      <c r="F464" s="342"/>
      <c r="G464" s="344">
        <f t="shared" si="4"/>
        <v>7056.7299999999886</v>
      </c>
      <c r="H464" s="345"/>
      <c r="I464" s="346"/>
      <c r="J464" s="347"/>
      <c r="K464" s="312"/>
      <c r="L464" s="347"/>
      <c r="M464" s="312"/>
      <c r="N464" s="347"/>
      <c r="O464" s="312"/>
      <c r="P464" s="347"/>
      <c r="Q464" s="312"/>
      <c r="R464" s="347"/>
      <c r="S464" s="312"/>
      <c r="T464" s="347"/>
    </row>
    <row r="465" spans="1:20" ht="12" customHeight="1" x14ac:dyDescent="0.3">
      <c r="A465" s="340" t="s">
        <v>286</v>
      </c>
      <c r="B465" s="341">
        <v>27</v>
      </c>
      <c r="C465" s="309">
        <v>46081</v>
      </c>
      <c r="D465" s="309" t="s">
        <v>206</v>
      </c>
      <c r="E465" s="342">
        <v>25</v>
      </c>
      <c r="F465" s="342"/>
      <c r="G465" s="344">
        <f t="shared" si="4"/>
        <v>7376.7299999999886</v>
      </c>
      <c r="H465" s="345"/>
      <c r="I465" s="346"/>
      <c r="J465" s="347"/>
      <c r="K465" s="312"/>
      <c r="L465" s="347"/>
      <c r="M465" s="312"/>
      <c r="N465" s="347"/>
      <c r="O465" s="312"/>
      <c r="P465" s="347"/>
      <c r="Q465" s="312"/>
      <c r="R465" s="347"/>
      <c r="S465" s="312"/>
      <c r="T465" s="347"/>
    </row>
    <row r="466" spans="1:20" ht="12" customHeight="1" x14ac:dyDescent="0.3">
      <c r="A466" s="340" t="s">
        <v>286</v>
      </c>
      <c r="B466" s="341">
        <v>28</v>
      </c>
      <c r="C466" s="309">
        <v>46081</v>
      </c>
      <c r="D466" s="309" t="s">
        <v>207</v>
      </c>
      <c r="E466" s="342">
        <v>25</v>
      </c>
      <c r="F466" s="342"/>
      <c r="G466" s="344">
        <f t="shared" si="4"/>
        <v>7401.7299999999886</v>
      </c>
      <c r="H466" s="345"/>
      <c r="I466" s="346"/>
      <c r="J466" s="347"/>
      <c r="K466" s="312"/>
      <c r="L466" s="347"/>
      <c r="M466" s="312"/>
      <c r="N466" s="347"/>
      <c r="O466" s="312"/>
      <c r="P466" s="347"/>
      <c r="Q466" s="312"/>
      <c r="R466" s="347"/>
      <c r="S466" s="312"/>
      <c r="T466" s="347"/>
    </row>
    <row r="467" spans="1:20" ht="12" customHeight="1" x14ac:dyDescent="0.3">
      <c r="A467" s="340" t="s">
        <v>286</v>
      </c>
      <c r="B467" s="341">
        <v>29</v>
      </c>
      <c r="C467" s="309">
        <v>46081</v>
      </c>
      <c r="D467" s="309" t="s">
        <v>208</v>
      </c>
      <c r="E467" s="342">
        <v>45</v>
      </c>
      <c r="F467" s="342"/>
      <c r="G467" s="344">
        <f t="shared" si="4"/>
        <v>7426.7299999999886</v>
      </c>
      <c r="H467" s="345"/>
      <c r="I467" s="346"/>
      <c r="J467" s="347"/>
      <c r="K467" s="312"/>
      <c r="L467" s="347"/>
      <c r="M467" s="312"/>
      <c r="N467" s="347"/>
      <c r="O467" s="312"/>
      <c r="P467" s="347"/>
      <c r="Q467" s="312"/>
      <c r="R467" s="347"/>
      <c r="S467" s="312"/>
      <c r="T467" s="347"/>
    </row>
    <row r="468" spans="1:20" ht="12" customHeight="1" x14ac:dyDescent="0.3">
      <c r="A468" s="340" t="s">
        <v>286</v>
      </c>
      <c r="B468" s="341">
        <v>30</v>
      </c>
      <c r="C468" s="309">
        <v>46081</v>
      </c>
      <c r="D468" s="309" t="s">
        <v>209</v>
      </c>
      <c r="E468" s="342">
        <v>400</v>
      </c>
      <c r="F468" s="342"/>
      <c r="G468" s="344">
        <f t="shared" si="4"/>
        <v>7471.7299999999886</v>
      </c>
      <c r="H468" s="345"/>
      <c r="I468" s="346"/>
      <c r="J468" s="347"/>
      <c r="K468" s="312"/>
      <c r="L468" s="347"/>
      <c r="M468" s="312"/>
      <c r="N468" s="347"/>
      <c r="O468" s="312"/>
      <c r="P468" s="347"/>
      <c r="Q468" s="312"/>
      <c r="R468" s="347"/>
      <c r="S468" s="312"/>
      <c r="T468" s="347"/>
    </row>
    <row r="469" spans="1:20" ht="12" customHeight="1" x14ac:dyDescent="0.3">
      <c r="A469" s="340" t="s">
        <v>286</v>
      </c>
      <c r="B469" s="341">
        <v>31</v>
      </c>
      <c r="C469" s="309">
        <v>46081</v>
      </c>
      <c r="D469" s="309" t="s">
        <v>210</v>
      </c>
      <c r="E469" s="342">
        <v>375</v>
      </c>
      <c r="F469" s="342"/>
      <c r="G469" s="344">
        <f t="shared" si="4"/>
        <v>7871.7299999999886</v>
      </c>
      <c r="H469" s="345"/>
      <c r="I469" s="346"/>
      <c r="J469" s="347"/>
      <c r="K469" s="312"/>
      <c r="L469" s="347"/>
      <c r="M469" s="312"/>
      <c r="N469" s="347"/>
      <c r="O469" s="312"/>
      <c r="P469" s="347"/>
      <c r="Q469" s="312"/>
      <c r="R469" s="347"/>
      <c r="S469" s="312"/>
      <c r="T469" s="347"/>
    </row>
    <row r="470" spans="1:20" ht="12" customHeight="1" x14ac:dyDescent="0.3">
      <c r="A470" s="340" t="s">
        <v>286</v>
      </c>
      <c r="B470" s="341">
        <v>32</v>
      </c>
      <c r="C470" s="309">
        <v>46081</v>
      </c>
      <c r="D470" s="309" t="s">
        <v>211</v>
      </c>
      <c r="E470" s="342">
        <v>100</v>
      </c>
      <c r="F470" s="342"/>
      <c r="G470" s="344">
        <f t="shared" si="4"/>
        <v>8246.7299999999886</v>
      </c>
      <c r="H470" s="345"/>
      <c r="I470" s="346"/>
      <c r="J470" s="347"/>
      <c r="K470" s="312"/>
      <c r="L470" s="347"/>
      <c r="M470" s="312"/>
      <c r="N470" s="347"/>
      <c r="O470" s="312"/>
      <c r="P470" s="347"/>
      <c r="Q470" s="312"/>
      <c r="R470" s="347"/>
      <c r="S470" s="312"/>
      <c r="T470" s="347"/>
    </row>
    <row r="471" spans="1:20" ht="12" customHeight="1" x14ac:dyDescent="0.3">
      <c r="A471" s="340" t="s">
        <v>286</v>
      </c>
      <c r="B471" s="341">
        <v>33</v>
      </c>
      <c r="C471" s="309">
        <v>46081</v>
      </c>
      <c r="D471" s="309" t="s">
        <v>212</v>
      </c>
      <c r="E471" s="342">
        <v>85</v>
      </c>
      <c r="F471" s="342"/>
      <c r="G471" s="344">
        <f t="shared" si="4"/>
        <v>8346.7299999999886</v>
      </c>
      <c r="H471" s="345"/>
      <c r="I471" s="346"/>
      <c r="J471" s="347"/>
      <c r="K471" s="312"/>
      <c r="L471" s="347"/>
      <c r="M471" s="312"/>
      <c r="N471" s="347"/>
      <c r="O471" s="312"/>
      <c r="P471" s="347"/>
      <c r="Q471" s="312"/>
      <c r="R471" s="347"/>
      <c r="S471" s="312"/>
      <c r="T471" s="347"/>
    </row>
    <row r="472" spans="1:20" ht="12" customHeight="1" x14ac:dyDescent="0.3">
      <c r="A472" s="340" t="s">
        <v>286</v>
      </c>
      <c r="B472" s="341">
        <v>34</v>
      </c>
      <c r="C472" s="309">
        <v>46081</v>
      </c>
      <c r="D472" s="309" t="s">
        <v>213</v>
      </c>
      <c r="E472" s="342">
        <v>230</v>
      </c>
      <c r="F472" s="342"/>
      <c r="G472" s="344">
        <f t="shared" si="4"/>
        <v>8431.7299999999886</v>
      </c>
      <c r="H472" s="345"/>
      <c r="I472" s="346"/>
      <c r="J472" s="347"/>
      <c r="K472" s="312"/>
      <c r="L472" s="347"/>
      <c r="M472" s="312"/>
      <c r="N472" s="347"/>
      <c r="O472" s="312"/>
      <c r="P472" s="347"/>
      <c r="Q472" s="312"/>
      <c r="R472" s="347"/>
      <c r="S472" s="312"/>
      <c r="T472" s="347"/>
    </row>
    <row r="473" spans="1:20" ht="12" customHeight="1" x14ac:dyDescent="0.3">
      <c r="A473" s="340" t="s">
        <v>286</v>
      </c>
      <c r="B473" s="341">
        <v>35</v>
      </c>
      <c r="C473" s="309">
        <v>46081</v>
      </c>
      <c r="D473" s="309" t="s">
        <v>214</v>
      </c>
      <c r="E473" s="342">
        <v>45</v>
      </c>
      <c r="F473" s="342"/>
      <c r="G473" s="344">
        <f t="shared" si="4"/>
        <v>8661.7299999999886</v>
      </c>
      <c r="H473" s="345"/>
      <c r="I473" s="346"/>
      <c r="J473" s="347"/>
      <c r="K473" s="312"/>
      <c r="L473" s="347"/>
      <c r="M473" s="312"/>
      <c r="N473" s="347"/>
      <c r="O473" s="312"/>
      <c r="P473" s="347"/>
      <c r="Q473" s="312"/>
      <c r="R473" s="347"/>
      <c r="S473" s="312"/>
      <c r="T473" s="347"/>
    </row>
    <row r="474" spans="1:20" ht="12" customHeight="1" x14ac:dyDescent="0.3">
      <c r="A474" s="340" t="s">
        <v>294</v>
      </c>
      <c r="B474" s="341">
        <v>42</v>
      </c>
      <c r="C474" s="309">
        <v>46081</v>
      </c>
      <c r="D474" s="309" t="s">
        <v>200</v>
      </c>
      <c r="E474" s="342">
        <v>51.19</v>
      </c>
      <c r="F474" s="342"/>
      <c r="G474" s="344">
        <f t="shared" si="4"/>
        <v>8706.7299999999886</v>
      </c>
      <c r="H474" s="345"/>
      <c r="I474" s="346"/>
      <c r="J474" s="347"/>
      <c r="K474" s="312"/>
      <c r="L474" s="347"/>
      <c r="M474" s="312"/>
      <c r="N474" s="347"/>
      <c r="O474" s="312"/>
      <c r="P474" s="347"/>
      <c r="Q474" s="312"/>
      <c r="R474" s="347"/>
      <c r="S474" s="312"/>
      <c r="T474" s="347"/>
    </row>
    <row r="475" spans="1:20" ht="12" customHeight="1" x14ac:dyDescent="0.3">
      <c r="A475" s="340" t="s">
        <v>294</v>
      </c>
      <c r="B475" s="341">
        <v>43</v>
      </c>
      <c r="C475" s="309">
        <v>46081</v>
      </c>
      <c r="D475" s="309" t="s">
        <v>201</v>
      </c>
      <c r="E475" s="342">
        <v>37.17</v>
      </c>
      <c r="F475" s="342"/>
      <c r="G475" s="344">
        <f t="shared" si="4"/>
        <v>8757.9199999999892</v>
      </c>
      <c r="H475" s="345"/>
      <c r="I475" s="346"/>
      <c r="J475" s="347"/>
      <c r="K475" s="312"/>
      <c r="L475" s="347"/>
      <c r="M475" s="312"/>
      <c r="N475" s="347"/>
      <c r="O475" s="312"/>
      <c r="P475" s="347"/>
      <c r="Q475" s="312"/>
      <c r="R475" s="347"/>
      <c r="S475" s="312"/>
      <c r="T475" s="347"/>
    </row>
    <row r="476" spans="1:20" ht="12" customHeight="1" x14ac:dyDescent="0.3">
      <c r="A476" s="340" t="s">
        <v>294</v>
      </c>
      <c r="B476" s="341">
        <v>10</v>
      </c>
      <c r="C476" s="309">
        <v>46081</v>
      </c>
      <c r="D476" s="309" t="s">
        <v>176</v>
      </c>
      <c r="E476" s="342">
        <v>17.899999999999999</v>
      </c>
      <c r="F476" s="342"/>
      <c r="G476" s="344">
        <f t="shared" si="4"/>
        <v>8795.0899999999892</v>
      </c>
      <c r="H476" s="345"/>
      <c r="I476" s="346"/>
      <c r="J476" s="347"/>
      <c r="K476" s="312"/>
      <c r="L476" s="347"/>
      <c r="M476" s="312"/>
      <c r="N476" s="347"/>
      <c r="O476" s="312"/>
      <c r="P476" s="347"/>
      <c r="Q476" s="312"/>
      <c r="R476" s="347"/>
      <c r="S476" s="312"/>
      <c r="T476" s="347"/>
    </row>
    <row r="477" spans="1:20" ht="12" customHeight="1" x14ac:dyDescent="0.3">
      <c r="A477" s="340" t="s">
        <v>289</v>
      </c>
      <c r="B477" s="341">
        <v>2</v>
      </c>
      <c r="C477" s="309">
        <v>46080</v>
      </c>
      <c r="D477" s="309" t="s">
        <v>362</v>
      </c>
      <c r="E477" s="342">
        <v>11.17</v>
      </c>
      <c r="F477" s="342"/>
      <c r="G477" s="344">
        <f t="shared" si="4"/>
        <v>8812.9899999999889</v>
      </c>
      <c r="H477" s="345"/>
      <c r="I477" s="346"/>
      <c r="J477" s="347"/>
      <c r="K477" s="312"/>
      <c r="L477" s="347"/>
      <c r="M477" s="312"/>
      <c r="N477" s="347"/>
      <c r="O477" s="312"/>
      <c r="P477" s="347"/>
      <c r="Q477" s="312"/>
      <c r="R477" s="347"/>
      <c r="S477" s="312"/>
      <c r="T477" s="347"/>
    </row>
    <row r="478" spans="1:20" ht="12" customHeight="1" x14ac:dyDescent="0.3">
      <c r="A478" s="340" t="s">
        <v>289</v>
      </c>
      <c r="B478" s="341">
        <v>2</v>
      </c>
      <c r="C478" s="309">
        <v>46080</v>
      </c>
      <c r="D478" s="310" t="s">
        <v>433</v>
      </c>
      <c r="E478" s="342">
        <v>25</v>
      </c>
      <c r="F478" s="342"/>
      <c r="G478" s="344">
        <f t="shared" si="4"/>
        <v>8824.1599999999889</v>
      </c>
      <c r="H478" s="345"/>
      <c r="I478" s="346"/>
      <c r="J478" s="347"/>
      <c r="K478" s="312"/>
      <c r="L478" s="347"/>
      <c r="M478" s="312"/>
      <c r="N478" s="347"/>
      <c r="O478" s="312"/>
      <c r="P478" s="347"/>
      <c r="Q478" s="312"/>
      <c r="R478" s="347"/>
      <c r="S478" s="312"/>
      <c r="T478" s="347"/>
    </row>
    <row r="479" spans="1:20" ht="12" customHeight="1" x14ac:dyDescent="0.3">
      <c r="A479" s="340" t="s">
        <v>289</v>
      </c>
      <c r="B479" s="341">
        <v>2</v>
      </c>
      <c r="C479" s="309">
        <v>46080</v>
      </c>
      <c r="D479" s="310" t="s">
        <v>362</v>
      </c>
      <c r="E479" s="342">
        <v>22.84</v>
      </c>
      <c r="F479" s="342"/>
      <c r="G479" s="344">
        <f t="shared" si="4"/>
        <v>8849.1599999999889</v>
      </c>
      <c r="H479" s="345"/>
      <c r="I479" s="346"/>
      <c r="J479" s="347"/>
      <c r="K479" s="312"/>
      <c r="L479" s="347"/>
      <c r="M479" s="312"/>
      <c r="N479" s="347"/>
      <c r="O479" s="312"/>
      <c r="P479" s="347"/>
      <c r="Q479" s="312"/>
      <c r="R479" s="347"/>
      <c r="S479" s="312"/>
      <c r="T479" s="347"/>
    </row>
    <row r="480" spans="1:20" ht="12" customHeight="1" x14ac:dyDescent="0.3">
      <c r="A480" s="340" t="s">
        <v>289</v>
      </c>
      <c r="B480" s="341">
        <v>6</v>
      </c>
      <c r="C480" s="309">
        <v>46080</v>
      </c>
      <c r="D480" s="310" t="s">
        <v>434</v>
      </c>
      <c r="E480" s="342">
        <v>-88</v>
      </c>
      <c r="F480" s="342"/>
      <c r="G480" s="344">
        <f t="shared" si="4"/>
        <v>8871.9999999999891</v>
      </c>
      <c r="H480" s="345"/>
      <c r="I480" s="346"/>
      <c r="J480" s="347"/>
      <c r="K480" s="312"/>
      <c r="L480" s="347"/>
      <c r="M480" s="312"/>
      <c r="N480" s="347"/>
      <c r="O480" s="312"/>
      <c r="P480" s="347"/>
      <c r="Q480" s="312"/>
      <c r="R480" s="347"/>
      <c r="S480" s="312"/>
      <c r="T480" s="347"/>
    </row>
    <row r="481" spans="1:20" ht="12" customHeight="1" x14ac:dyDescent="0.3">
      <c r="A481" s="340" t="s">
        <v>291</v>
      </c>
      <c r="B481" s="341">
        <v>38</v>
      </c>
      <c r="C481" s="309">
        <v>46080</v>
      </c>
      <c r="D481" s="310" t="s">
        <v>293</v>
      </c>
      <c r="E481" s="342"/>
      <c r="F481" s="342">
        <v>4278.1499999999996</v>
      </c>
      <c r="G481" s="344">
        <f t="shared" si="4"/>
        <v>8783.9999999999891</v>
      </c>
      <c r="H481" s="345"/>
      <c r="I481" s="346"/>
      <c r="J481" s="347"/>
      <c r="K481" s="312"/>
      <c r="L481" s="347"/>
      <c r="M481" s="312"/>
      <c r="N481" s="347"/>
      <c r="O481" s="312"/>
      <c r="P481" s="347"/>
      <c r="Q481" s="312"/>
      <c r="R481" s="347"/>
      <c r="S481" s="312"/>
      <c r="T481" s="347"/>
    </row>
    <row r="482" spans="1:20" ht="12" customHeight="1" x14ac:dyDescent="0.3">
      <c r="A482" s="340" t="s">
        <v>289</v>
      </c>
      <c r="B482" s="341">
        <v>6</v>
      </c>
      <c r="C482" s="309">
        <v>46080</v>
      </c>
      <c r="D482" s="310" t="s">
        <v>435</v>
      </c>
      <c r="E482" s="342">
        <v>25.93</v>
      </c>
      <c r="F482" s="342"/>
      <c r="G482" s="344">
        <f t="shared" si="4"/>
        <v>4505.8499999999904</v>
      </c>
      <c r="H482" s="345"/>
      <c r="I482" s="346"/>
      <c r="J482" s="347"/>
      <c r="K482" s="312"/>
      <c r="L482" s="347"/>
      <c r="M482" s="312"/>
      <c r="N482" s="347"/>
      <c r="O482" s="312"/>
      <c r="P482" s="347"/>
      <c r="Q482" s="312"/>
      <c r="R482" s="347"/>
      <c r="S482" s="312"/>
      <c r="T482" s="347"/>
    </row>
    <row r="483" spans="1:20" ht="12" customHeight="1" x14ac:dyDescent="0.3">
      <c r="A483" s="340" t="s">
        <v>289</v>
      </c>
      <c r="B483" s="341">
        <v>4</v>
      </c>
      <c r="C483" s="309">
        <v>46079</v>
      </c>
      <c r="D483" s="310" t="s">
        <v>311</v>
      </c>
      <c r="E483" s="342">
        <v>29.84</v>
      </c>
      <c r="F483" s="342"/>
      <c r="G483" s="344">
        <f t="shared" si="4"/>
        <v>4531.7799999999907</v>
      </c>
      <c r="H483" s="345"/>
      <c r="I483" s="346"/>
      <c r="J483" s="347"/>
      <c r="K483" s="312"/>
      <c r="L483" s="347"/>
      <c r="M483" s="312"/>
      <c r="N483" s="347"/>
      <c r="O483" s="312"/>
      <c r="P483" s="347"/>
      <c r="Q483" s="312"/>
      <c r="R483" s="347"/>
      <c r="S483" s="312"/>
      <c r="T483" s="347"/>
    </row>
    <row r="484" spans="1:20" ht="12" customHeight="1" x14ac:dyDescent="0.3">
      <c r="A484" s="340" t="s">
        <v>289</v>
      </c>
      <c r="B484" s="341">
        <v>5</v>
      </c>
      <c r="C484" s="309">
        <v>46079</v>
      </c>
      <c r="D484" s="310" t="s">
        <v>436</v>
      </c>
      <c r="E484" s="342">
        <v>103.25</v>
      </c>
      <c r="F484" s="342"/>
      <c r="G484" s="344">
        <f t="shared" si="4"/>
        <v>4561.6199999999908</v>
      </c>
      <c r="H484" s="345"/>
      <c r="I484" s="346"/>
      <c r="J484" s="347"/>
      <c r="K484" s="312"/>
      <c r="L484" s="347"/>
      <c r="M484" s="312"/>
      <c r="N484" s="347"/>
      <c r="O484" s="312"/>
      <c r="P484" s="347"/>
      <c r="Q484" s="312"/>
      <c r="R484" s="347"/>
      <c r="S484" s="312"/>
      <c r="T484" s="347"/>
    </row>
    <row r="485" spans="1:20" ht="12" customHeight="1" x14ac:dyDescent="0.3">
      <c r="A485" s="340" t="s">
        <v>289</v>
      </c>
      <c r="B485" s="341">
        <v>8</v>
      </c>
      <c r="C485" s="309">
        <v>46079</v>
      </c>
      <c r="D485" s="310" t="s">
        <v>361</v>
      </c>
      <c r="E485" s="342">
        <v>26.02</v>
      </c>
      <c r="F485" s="342"/>
      <c r="G485" s="344">
        <f t="shared" si="4"/>
        <v>4664.8699999999908</v>
      </c>
      <c r="H485" s="345"/>
      <c r="I485" s="346"/>
      <c r="J485" s="347"/>
      <c r="K485" s="312"/>
      <c r="L485" s="347"/>
      <c r="M485" s="312"/>
      <c r="N485" s="347"/>
      <c r="O485" s="312"/>
      <c r="P485" s="347"/>
      <c r="Q485" s="312"/>
      <c r="R485" s="347"/>
      <c r="S485" s="312"/>
      <c r="T485" s="347"/>
    </row>
    <row r="486" spans="1:20" ht="12" customHeight="1" x14ac:dyDescent="0.3">
      <c r="A486" s="340" t="s">
        <v>294</v>
      </c>
      <c r="B486" s="341">
        <v>24</v>
      </c>
      <c r="C486" s="309">
        <v>46079</v>
      </c>
      <c r="D486" s="310" t="s">
        <v>437</v>
      </c>
      <c r="E486" s="342">
        <v>84.83</v>
      </c>
      <c r="F486" s="342"/>
      <c r="G486" s="344">
        <f t="shared" si="4"/>
        <v>4690.8899999999912</v>
      </c>
      <c r="H486" s="345"/>
      <c r="I486" s="346"/>
      <c r="J486" s="347"/>
      <c r="K486" s="312"/>
      <c r="L486" s="347"/>
      <c r="M486" s="312"/>
      <c r="N486" s="347"/>
      <c r="O486" s="312"/>
      <c r="P486" s="347"/>
      <c r="Q486" s="312"/>
      <c r="R486" s="347"/>
      <c r="S486" s="312"/>
      <c r="T486" s="347"/>
    </row>
    <row r="487" spans="1:20" ht="12" customHeight="1" x14ac:dyDescent="0.3">
      <c r="A487" s="340" t="s">
        <v>289</v>
      </c>
      <c r="B487" s="341">
        <v>2</v>
      </c>
      <c r="C487" s="309">
        <v>46079</v>
      </c>
      <c r="D487" s="310" t="s">
        <v>296</v>
      </c>
      <c r="E487" s="342">
        <v>17.87</v>
      </c>
      <c r="F487" s="342"/>
      <c r="G487" s="344">
        <f t="shared" si="4"/>
        <v>4775.7199999999912</v>
      </c>
      <c r="H487" s="345"/>
      <c r="I487" s="346"/>
      <c r="J487" s="347"/>
      <c r="K487" s="312"/>
      <c r="L487" s="347"/>
      <c r="M487" s="312"/>
      <c r="N487" s="347"/>
      <c r="O487" s="312"/>
      <c r="P487" s="347"/>
      <c r="Q487" s="312"/>
      <c r="R487" s="347"/>
      <c r="S487" s="312"/>
      <c r="T487" s="347"/>
    </row>
    <row r="488" spans="1:20" ht="12" customHeight="1" x14ac:dyDescent="0.3">
      <c r="A488" s="340" t="s">
        <v>289</v>
      </c>
      <c r="B488" s="341">
        <v>5</v>
      </c>
      <c r="C488" s="309">
        <v>46079</v>
      </c>
      <c r="D488" s="310" t="s">
        <v>438</v>
      </c>
      <c r="E488" s="342">
        <v>123.64</v>
      </c>
      <c r="F488" s="342"/>
      <c r="G488" s="344">
        <f t="shared" si="4"/>
        <v>4793.5899999999911</v>
      </c>
      <c r="H488" s="345"/>
      <c r="I488" s="346"/>
      <c r="J488" s="347"/>
      <c r="K488" s="312"/>
      <c r="L488" s="347"/>
      <c r="M488" s="312"/>
      <c r="N488" s="347"/>
      <c r="O488" s="312"/>
      <c r="P488" s="347"/>
      <c r="Q488" s="312"/>
      <c r="R488" s="347"/>
      <c r="S488" s="312"/>
      <c r="T488" s="347"/>
    </row>
    <row r="489" spans="1:20" ht="12" customHeight="1" x14ac:dyDescent="0.3">
      <c r="A489" s="340" t="s">
        <v>289</v>
      </c>
      <c r="B489" s="341">
        <v>8</v>
      </c>
      <c r="C489" s="309">
        <v>46078</v>
      </c>
      <c r="D489" s="310" t="s">
        <v>321</v>
      </c>
      <c r="E489" s="342">
        <v>18.5</v>
      </c>
      <c r="F489" s="342"/>
      <c r="G489" s="344">
        <f t="shared" si="4"/>
        <v>4917.2299999999914</v>
      </c>
      <c r="H489" s="345"/>
      <c r="I489" s="346"/>
      <c r="J489" s="347"/>
      <c r="K489" s="312"/>
      <c r="L489" s="347"/>
      <c r="M489" s="312"/>
      <c r="N489" s="347"/>
      <c r="O489" s="312"/>
      <c r="P489" s="347"/>
      <c r="Q489" s="312"/>
      <c r="R489" s="347"/>
      <c r="S489" s="312"/>
      <c r="T489" s="347"/>
    </row>
    <row r="490" spans="1:20" ht="12" customHeight="1" x14ac:dyDescent="0.3">
      <c r="A490" s="340" t="s">
        <v>289</v>
      </c>
      <c r="B490" s="341">
        <v>4</v>
      </c>
      <c r="C490" s="309">
        <v>46078</v>
      </c>
      <c r="D490" s="310" t="s">
        <v>296</v>
      </c>
      <c r="E490" s="342">
        <v>50.96</v>
      </c>
      <c r="F490" s="342"/>
      <c r="G490" s="344">
        <f t="shared" si="4"/>
        <v>4935.7299999999914</v>
      </c>
      <c r="H490" s="345"/>
      <c r="I490" s="346"/>
      <c r="J490" s="347"/>
      <c r="K490" s="312"/>
      <c r="L490" s="347"/>
      <c r="M490" s="312"/>
      <c r="N490" s="347"/>
      <c r="O490" s="312"/>
      <c r="P490" s="347"/>
      <c r="Q490" s="312"/>
      <c r="R490" s="347"/>
      <c r="S490" s="312"/>
      <c r="T490" s="347"/>
    </row>
    <row r="491" spans="1:20" ht="12" customHeight="1" x14ac:dyDescent="0.3">
      <c r="A491" s="340" t="s">
        <v>289</v>
      </c>
      <c r="B491" s="341">
        <v>8</v>
      </c>
      <c r="C491" s="309">
        <v>46078</v>
      </c>
      <c r="D491" s="310" t="s">
        <v>296</v>
      </c>
      <c r="E491" s="342">
        <v>11.28</v>
      </c>
      <c r="F491" s="342"/>
      <c r="G491" s="344">
        <f t="shared" si="4"/>
        <v>4986.6899999999914</v>
      </c>
      <c r="H491" s="345"/>
      <c r="I491" s="346"/>
      <c r="J491" s="347"/>
      <c r="K491" s="312"/>
      <c r="L491" s="347"/>
      <c r="M491" s="312"/>
      <c r="N491" s="347"/>
      <c r="O491" s="312"/>
      <c r="P491" s="347"/>
      <c r="Q491" s="312"/>
      <c r="R491" s="347"/>
      <c r="S491" s="312"/>
      <c r="T491" s="347"/>
    </row>
    <row r="492" spans="1:20" ht="12" customHeight="1" x14ac:dyDescent="0.3">
      <c r="A492" s="340" t="s">
        <v>294</v>
      </c>
      <c r="B492" s="341">
        <v>12</v>
      </c>
      <c r="C492" s="309">
        <v>46078</v>
      </c>
      <c r="D492" s="310" t="s">
        <v>315</v>
      </c>
      <c r="E492" s="342">
        <v>204.47</v>
      </c>
      <c r="F492" s="342"/>
      <c r="G492" s="344">
        <f t="shared" si="4"/>
        <v>4997.9699999999912</v>
      </c>
      <c r="H492" s="345"/>
      <c r="I492" s="346"/>
      <c r="J492" s="347"/>
      <c r="K492" s="312"/>
      <c r="L492" s="347"/>
      <c r="M492" s="312"/>
      <c r="N492" s="347"/>
      <c r="O492" s="312"/>
      <c r="P492" s="347"/>
      <c r="Q492" s="312"/>
      <c r="R492" s="347"/>
      <c r="S492" s="312"/>
      <c r="T492" s="347"/>
    </row>
    <row r="493" spans="1:20" ht="12" customHeight="1" x14ac:dyDescent="0.3">
      <c r="A493" s="340" t="s">
        <v>289</v>
      </c>
      <c r="B493" s="341">
        <v>8</v>
      </c>
      <c r="C493" s="309">
        <v>46078</v>
      </c>
      <c r="D493" s="310" t="s">
        <v>309</v>
      </c>
      <c r="E493" s="342">
        <v>47.99</v>
      </c>
      <c r="F493" s="342"/>
      <c r="G493" s="344">
        <f t="shared" si="4"/>
        <v>5202.4399999999914</v>
      </c>
      <c r="H493" s="345"/>
      <c r="I493" s="346"/>
      <c r="J493" s="347"/>
      <c r="K493" s="312"/>
      <c r="L493" s="347"/>
      <c r="M493" s="312"/>
      <c r="N493" s="347"/>
      <c r="O493" s="312"/>
      <c r="P493" s="347"/>
      <c r="Q493" s="312"/>
      <c r="R493" s="347"/>
      <c r="S493" s="312"/>
      <c r="T493" s="347"/>
    </row>
    <row r="494" spans="1:20" ht="12" customHeight="1" x14ac:dyDescent="0.3">
      <c r="A494" s="340" t="s">
        <v>289</v>
      </c>
      <c r="B494" s="341">
        <v>1</v>
      </c>
      <c r="C494" s="309">
        <v>46078</v>
      </c>
      <c r="D494" s="310" t="s">
        <v>304</v>
      </c>
      <c r="E494" s="342">
        <v>19.09</v>
      </c>
      <c r="F494" s="342"/>
      <c r="G494" s="344">
        <f t="shared" si="4"/>
        <v>5250.4299999999912</v>
      </c>
      <c r="H494" s="345"/>
      <c r="I494" s="346"/>
      <c r="J494" s="347"/>
      <c r="K494" s="312"/>
      <c r="L494" s="347"/>
      <c r="M494" s="312"/>
      <c r="N494" s="347"/>
      <c r="O494" s="312"/>
      <c r="P494" s="347"/>
      <c r="Q494" s="312"/>
      <c r="R494" s="347"/>
      <c r="S494" s="312"/>
      <c r="T494" s="347"/>
    </row>
    <row r="495" spans="1:20" ht="12" customHeight="1" x14ac:dyDescent="0.3">
      <c r="A495" s="340" t="s">
        <v>294</v>
      </c>
      <c r="B495" s="341">
        <v>23</v>
      </c>
      <c r="C495" s="309">
        <v>46076</v>
      </c>
      <c r="D495" s="310" t="s">
        <v>67</v>
      </c>
      <c r="E495" s="342">
        <v>650.88</v>
      </c>
      <c r="F495" s="342"/>
      <c r="G495" s="344">
        <f t="shared" si="4"/>
        <v>5269.5199999999913</v>
      </c>
      <c r="H495" s="345"/>
      <c r="I495" s="346"/>
      <c r="J495" s="347"/>
      <c r="K495" s="312"/>
      <c r="L495" s="347"/>
      <c r="M495" s="312"/>
      <c r="N495" s="347"/>
      <c r="O495" s="312"/>
      <c r="P495" s="347"/>
      <c r="Q495" s="312"/>
      <c r="R495" s="347"/>
      <c r="S495" s="312"/>
      <c r="T495" s="347"/>
    </row>
    <row r="496" spans="1:20" ht="12" customHeight="1" x14ac:dyDescent="0.3">
      <c r="A496" s="340" t="s">
        <v>289</v>
      </c>
      <c r="B496" s="341">
        <v>6</v>
      </c>
      <c r="C496" s="309">
        <v>46076</v>
      </c>
      <c r="D496" s="310" t="s">
        <v>355</v>
      </c>
      <c r="E496" s="342">
        <v>35</v>
      </c>
      <c r="F496" s="342"/>
      <c r="G496" s="344">
        <f t="shared" si="4"/>
        <v>5920.3999999999915</v>
      </c>
      <c r="H496" s="345"/>
      <c r="I496" s="346"/>
      <c r="J496" s="347"/>
      <c r="K496" s="312"/>
      <c r="L496" s="347"/>
      <c r="M496" s="312"/>
      <c r="N496" s="347"/>
      <c r="O496" s="312"/>
      <c r="P496" s="347"/>
      <c r="Q496" s="312"/>
      <c r="R496" s="347"/>
      <c r="S496" s="312"/>
      <c r="T496" s="347"/>
    </row>
    <row r="497" spans="1:20" ht="12" customHeight="1" x14ac:dyDescent="0.3">
      <c r="A497" s="340" t="s">
        <v>289</v>
      </c>
      <c r="B497" s="341">
        <v>1</v>
      </c>
      <c r="C497" s="309">
        <v>46076</v>
      </c>
      <c r="D497" s="310" t="s">
        <v>307</v>
      </c>
      <c r="E497" s="342">
        <v>128.97999999999999</v>
      </c>
      <c r="F497" s="342"/>
      <c r="G497" s="344">
        <f t="shared" si="4"/>
        <v>5955.3999999999915</v>
      </c>
      <c r="H497" s="345"/>
      <c r="I497" s="346"/>
      <c r="J497" s="347"/>
      <c r="K497" s="312"/>
      <c r="L497" s="347"/>
      <c r="M497" s="312"/>
      <c r="N497" s="347"/>
      <c r="O497" s="312"/>
      <c r="P497" s="347"/>
      <c r="Q497" s="312"/>
      <c r="R497" s="347"/>
      <c r="S497" s="312"/>
      <c r="T497" s="347"/>
    </row>
    <row r="498" spans="1:20" ht="12" customHeight="1" x14ac:dyDescent="0.3">
      <c r="A498" s="340" t="s">
        <v>289</v>
      </c>
      <c r="B498" s="341">
        <v>1</v>
      </c>
      <c r="C498" s="309">
        <v>46076</v>
      </c>
      <c r="D498" s="310" t="s">
        <v>322</v>
      </c>
      <c r="E498" s="342">
        <v>52.55</v>
      </c>
      <c r="F498" s="342"/>
      <c r="G498" s="344">
        <f t="shared" si="4"/>
        <v>6084.379999999991</v>
      </c>
      <c r="H498" s="345"/>
      <c r="I498" s="346"/>
      <c r="J498" s="347"/>
      <c r="K498" s="312"/>
      <c r="L498" s="347"/>
      <c r="M498" s="312"/>
      <c r="N498" s="347"/>
      <c r="O498" s="312"/>
      <c r="P498" s="347"/>
      <c r="Q498" s="312"/>
      <c r="R498" s="347"/>
      <c r="S498" s="312"/>
      <c r="T498" s="347"/>
    </row>
    <row r="499" spans="1:20" ht="12" customHeight="1" x14ac:dyDescent="0.3">
      <c r="A499" s="340" t="s">
        <v>289</v>
      </c>
      <c r="B499" s="341">
        <v>3</v>
      </c>
      <c r="C499" s="309">
        <v>46075</v>
      </c>
      <c r="D499" s="310" t="s">
        <v>352</v>
      </c>
      <c r="E499" s="342">
        <v>13.76</v>
      </c>
      <c r="F499" s="342"/>
      <c r="G499" s="344">
        <f t="shared" si="4"/>
        <v>6136.9299999999912</v>
      </c>
      <c r="H499" s="345"/>
      <c r="I499" s="346"/>
      <c r="J499" s="347"/>
      <c r="K499" s="312"/>
      <c r="L499" s="347"/>
      <c r="M499" s="312"/>
      <c r="N499" s="347"/>
      <c r="O499" s="312"/>
      <c r="P499" s="347"/>
      <c r="Q499" s="312"/>
      <c r="R499" s="347"/>
      <c r="S499" s="312"/>
      <c r="T499" s="347"/>
    </row>
    <row r="500" spans="1:20" ht="12" customHeight="1" x14ac:dyDescent="0.3">
      <c r="A500" s="340" t="s">
        <v>289</v>
      </c>
      <c r="B500" s="341">
        <v>1</v>
      </c>
      <c r="C500" s="309">
        <v>46075</v>
      </c>
      <c r="D500" s="310" t="s">
        <v>312</v>
      </c>
      <c r="E500" s="342">
        <v>187.64</v>
      </c>
      <c r="F500" s="342"/>
      <c r="G500" s="344">
        <f t="shared" si="4"/>
        <v>6150.6899999999914</v>
      </c>
      <c r="H500" s="345"/>
      <c r="I500" s="346"/>
      <c r="J500" s="347"/>
      <c r="K500" s="312"/>
      <c r="L500" s="347"/>
      <c r="M500" s="312"/>
      <c r="N500" s="347"/>
      <c r="O500" s="312"/>
      <c r="P500" s="347"/>
      <c r="Q500" s="312"/>
      <c r="R500" s="347"/>
      <c r="S500" s="312"/>
      <c r="T500" s="347"/>
    </row>
    <row r="501" spans="1:20" ht="12" customHeight="1" x14ac:dyDescent="0.3">
      <c r="A501" s="340" t="s">
        <v>289</v>
      </c>
      <c r="B501" s="341">
        <v>1</v>
      </c>
      <c r="C501" s="309">
        <v>46074</v>
      </c>
      <c r="D501" s="310" t="s">
        <v>397</v>
      </c>
      <c r="E501" s="342">
        <v>75.78</v>
      </c>
      <c r="F501" s="342"/>
      <c r="G501" s="344">
        <f t="shared" si="4"/>
        <v>6338.3299999999917</v>
      </c>
      <c r="H501" s="345"/>
      <c r="I501" s="346"/>
      <c r="J501" s="347"/>
      <c r="K501" s="312"/>
      <c r="L501" s="347"/>
      <c r="M501" s="312"/>
      <c r="N501" s="347"/>
      <c r="O501" s="312"/>
      <c r="P501" s="347"/>
      <c r="Q501" s="312"/>
      <c r="R501" s="347"/>
      <c r="S501" s="312"/>
      <c r="T501" s="347"/>
    </row>
    <row r="502" spans="1:20" ht="12" customHeight="1" x14ac:dyDescent="0.3">
      <c r="A502" s="340" t="s">
        <v>289</v>
      </c>
      <c r="B502" s="341">
        <v>2</v>
      </c>
      <c r="C502" s="309">
        <v>46074</v>
      </c>
      <c r="D502" s="310" t="s">
        <v>396</v>
      </c>
      <c r="E502" s="342">
        <v>27.41</v>
      </c>
      <c r="F502" s="342"/>
      <c r="G502" s="344">
        <f t="shared" si="4"/>
        <v>6414.1099999999915</v>
      </c>
      <c r="H502" s="345"/>
      <c r="I502" s="346"/>
      <c r="J502" s="347"/>
      <c r="K502" s="312"/>
      <c r="L502" s="347"/>
      <c r="M502" s="312"/>
      <c r="N502" s="347"/>
      <c r="O502" s="312"/>
      <c r="P502" s="347"/>
      <c r="Q502" s="312"/>
      <c r="R502" s="347"/>
      <c r="S502" s="312"/>
      <c r="T502" s="347"/>
    </row>
    <row r="503" spans="1:20" ht="12" customHeight="1" x14ac:dyDescent="0.3">
      <c r="A503" s="340" t="s">
        <v>289</v>
      </c>
      <c r="B503" s="341">
        <v>4</v>
      </c>
      <c r="C503" s="309">
        <v>46074</v>
      </c>
      <c r="D503" s="310" t="s">
        <v>439</v>
      </c>
      <c r="E503" s="342">
        <v>32.049999999999997</v>
      </c>
      <c r="F503" s="342"/>
      <c r="G503" s="344">
        <f t="shared" si="4"/>
        <v>6441.5199999999913</v>
      </c>
      <c r="H503" s="345"/>
      <c r="I503" s="346"/>
      <c r="J503" s="347"/>
      <c r="K503" s="312"/>
      <c r="L503" s="347"/>
      <c r="M503" s="312"/>
      <c r="N503" s="347"/>
      <c r="O503" s="312"/>
      <c r="P503" s="347"/>
      <c r="Q503" s="312"/>
      <c r="R503" s="347"/>
      <c r="S503" s="312"/>
      <c r="T503" s="347"/>
    </row>
    <row r="504" spans="1:20" ht="12" customHeight="1" x14ac:dyDescent="0.3">
      <c r="A504" s="340" t="s">
        <v>289</v>
      </c>
      <c r="B504" s="341">
        <v>2</v>
      </c>
      <c r="C504" s="309">
        <v>46074</v>
      </c>
      <c r="D504" s="310" t="s">
        <v>362</v>
      </c>
      <c r="E504" s="342">
        <v>9.4700000000000006</v>
      </c>
      <c r="F504" s="342"/>
      <c r="G504" s="344">
        <f t="shared" si="4"/>
        <v>6473.5699999999915</v>
      </c>
      <c r="H504" s="345"/>
      <c r="I504" s="346"/>
      <c r="J504" s="347"/>
      <c r="K504" s="312"/>
      <c r="L504" s="347"/>
      <c r="M504" s="312"/>
      <c r="N504" s="347"/>
      <c r="O504" s="312"/>
      <c r="P504" s="347"/>
      <c r="Q504" s="312"/>
      <c r="R504" s="347"/>
      <c r="S504" s="312"/>
      <c r="T504" s="347"/>
    </row>
    <row r="505" spans="1:20" ht="12" customHeight="1" x14ac:dyDescent="0.3">
      <c r="A505" s="340" t="s">
        <v>289</v>
      </c>
      <c r="B505" s="341">
        <v>2</v>
      </c>
      <c r="C505" s="309">
        <v>46073</v>
      </c>
      <c r="D505" s="310" t="s">
        <v>296</v>
      </c>
      <c r="E505" s="342">
        <v>14.47</v>
      </c>
      <c r="F505" s="342"/>
      <c r="G505" s="344">
        <f t="shared" si="4"/>
        <v>6483.0399999999918</v>
      </c>
      <c r="H505" s="345"/>
      <c r="I505" s="346"/>
      <c r="J505" s="347"/>
      <c r="K505" s="312"/>
      <c r="L505" s="347"/>
      <c r="M505" s="312"/>
      <c r="N505" s="347"/>
      <c r="O505" s="312"/>
      <c r="P505" s="347"/>
      <c r="Q505" s="312"/>
      <c r="R505" s="347"/>
      <c r="S505" s="312"/>
      <c r="T505" s="347"/>
    </row>
    <row r="506" spans="1:20" ht="12" customHeight="1" x14ac:dyDescent="0.3">
      <c r="A506" s="340" t="s">
        <v>289</v>
      </c>
      <c r="B506" s="341">
        <v>3</v>
      </c>
      <c r="C506" s="309">
        <v>46073</v>
      </c>
      <c r="D506" s="310" t="s">
        <v>359</v>
      </c>
      <c r="E506" s="342">
        <v>11.97</v>
      </c>
      <c r="F506" s="342"/>
      <c r="G506" s="344">
        <f t="shared" si="4"/>
        <v>6497.509999999992</v>
      </c>
      <c r="H506" s="345"/>
      <c r="I506" s="346"/>
      <c r="J506" s="347"/>
      <c r="K506" s="312"/>
      <c r="L506" s="347"/>
      <c r="M506" s="312"/>
      <c r="N506" s="347"/>
      <c r="O506" s="312"/>
      <c r="P506" s="347"/>
      <c r="Q506" s="312"/>
      <c r="R506" s="347"/>
      <c r="S506" s="312"/>
      <c r="T506" s="347"/>
    </row>
    <row r="507" spans="1:20" ht="12" customHeight="1" x14ac:dyDescent="0.3">
      <c r="A507" s="340" t="s">
        <v>289</v>
      </c>
      <c r="B507" s="341">
        <v>4</v>
      </c>
      <c r="C507" s="309">
        <v>46073</v>
      </c>
      <c r="D507" s="310" t="s">
        <v>359</v>
      </c>
      <c r="E507" s="342">
        <v>59.88</v>
      </c>
      <c r="F507" s="342"/>
      <c r="G507" s="344">
        <f t="shared" si="4"/>
        <v>6509.4799999999923</v>
      </c>
      <c r="H507" s="345"/>
      <c r="I507" s="346"/>
      <c r="J507" s="347"/>
      <c r="K507" s="312"/>
      <c r="L507" s="347"/>
      <c r="M507" s="312"/>
      <c r="N507" s="347"/>
      <c r="O507" s="312"/>
      <c r="P507" s="347"/>
      <c r="Q507" s="312"/>
      <c r="R507" s="347"/>
      <c r="S507" s="312"/>
      <c r="T507" s="347"/>
    </row>
    <row r="508" spans="1:20" ht="12" customHeight="1" x14ac:dyDescent="0.3">
      <c r="A508" s="340" t="s">
        <v>289</v>
      </c>
      <c r="B508" s="341">
        <v>2</v>
      </c>
      <c r="C508" s="309">
        <v>46073</v>
      </c>
      <c r="D508" s="310" t="s">
        <v>425</v>
      </c>
      <c r="E508" s="342">
        <v>19.57</v>
      </c>
      <c r="F508" s="342"/>
      <c r="G508" s="344">
        <f t="shared" si="4"/>
        <v>6569.3599999999924</v>
      </c>
      <c r="H508" s="345"/>
      <c r="I508" s="346"/>
      <c r="J508" s="347"/>
      <c r="K508" s="312"/>
      <c r="L508" s="347"/>
      <c r="M508" s="312"/>
      <c r="N508" s="347"/>
      <c r="O508" s="312"/>
      <c r="P508" s="347"/>
      <c r="Q508" s="312"/>
      <c r="R508" s="347"/>
      <c r="S508" s="312"/>
      <c r="T508" s="347"/>
    </row>
    <row r="509" spans="1:20" ht="12" customHeight="1" x14ac:dyDescent="0.3">
      <c r="A509" s="340" t="s">
        <v>294</v>
      </c>
      <c r="B509" s="341">
        <v>22</v>
      </c>
      <c r="C509" s="309">
        <v>46073</v>
      </c>
      <c r="D509" s="310" t="s">
        <v>325</v>
      </c>
      <c r="E509" s="342">
        <v>20.22</v>
      </c>
      <c r="F509" s="342"/>
      <c r="G509" s="344">
        <f t="shared" si="4"/>
        <v>6588.9299999999921</v>
      </c>
      <c r="H509" s="345"/>
      <c r="I509" s="346"/>
      <c r="J509" s="347"/>
      <c r="K509" s="312"/>
      <c r="L509" s="347"/>
      <c r="M509" s="312"/>
      <c r="N509" s="347"/>
      <c r="O509" s="312"/>
      <c r="P509" s="347"/>
      <c r="Q509" s="312"/>
      <c r="R509" s="347"/>
      <c r="S509" s="312"/>
      <c r="T509" s="347"/>
    </row>
    <row r="510" spans="1:20" ht="12" customHeight="1" x14ac:dyDescent="0.3">
      <c r="A510" s="340" t="s">
        <v>289</v>
      </c>
      <c r="B510" s="341">
        <v>2</v>
      </c>
      <c r="C510" s="309">
        <v>46073</v>
      </c>
      <c r="D510" s="310" t="s">
        <v>362</v>
      </c>
      <c r="E510" s="342">
        <v>5.3</v>
      </c>
      <c r="F510" s="342"/>
      <c r="G510" s="344">
        <f t="shared" si="4"/>
        <v>6609.1499999999924</v>
      </c>
      <c r="H510" s="345"/>
      <c r="I510" s="346"/>
      <c r="J510" s="347"/>
      <c r="K510" s="312"/>
      <c r="L510" s="347"/>
      <c r="M510" s="312"/>
      <c r="N510" s="347"/>
      <c r="O510" s="312"/>
      <c r="P510" s="347"/>
      <c r="Q510" s="312"/>
      <c r="R510" s="347"/>
      <c r="S510" s="312"/>
      <c r="T510" s="347"/>
    </row>
    <row r="511" spans="1:20" ht="12" customHeight="1" x14ac:dyDescent="0.3">
      <c r="A511" s="340" t="s">
        <v>289</v>
      </c>
      <c r="B511" s="341">
        <v>3</v>
      </c>
      <c r="C511" s="309">
        <v>46073</v>
      </c>
      <c r="D511" s="310" t="s">
        <v>327</v>
      </c>
      <c r="E511" s="342">
        <v>8.1300000000000008</v>
      </c>
      <c r="F511" s="342"/>
      <c r="G511" s="344">
        <f t="shared" si="4"/>
        <v>6614.4499999999925</v>
      </c>
      <c r="H511" s="345"/>
      <c r="I511" s="346"/>
      <c r="J511" s="347"/>
      <c r="K511" s="312"/>
      <c r="L511" s="347"/>
      <c r="M511" s="312"/>
      <c r="N511" s="347"/>
      <c r="O511" s="312"/>
      <c r="P511" s="347"/>
      <c r="Q511" s="312"/>
      <c r="R511" s="347"/>
      <c r="S511" s="312"/>
      <c r="T511" s="347"/>
    </row>
    <row r="512" spans="1:20" ht="12" customHeight="1" x14ac:dyDescent="0.3">
      <c r="A512" s="340" t="s">
        <v>289</v>
      </c>
      <c r="B512" s="341">
        <v>4</v>
      </c>
      <c r="C512" s="309">
        <v>46073</v>
      </c>
      <c r="D512" s="310" t="s">
        <v>311</v>
      </c>
      <c r="E512" s="342">
        <v>32.43</v>
      </c>
      <c r="F512" s="342"/>
      <c r="G512" s="344">
        <f t="shared" si="4"/>
        <v>6622.5799999999927</v>
      </c>
      <c r="H512" s="345"/>
      <c r="I512" s="346"/>
      <c r="J512" s="347"/>
      <c r="K512" s="312"/>
      <c r="L512" s="347"/>
      <c r="M512" s="312"/>
      <c r="N512" s="347"/>
      <c r="O512" s="312"/>
      <c r="P512" s="347"/>
      <c r="Q512" s="312"/>
      <c r="R512" s="347"/>
      <c r="S512" s="312"/>
      <c r="T512" s="347"/>
    </row>
    <row r="513" spans="1:20" ht="12" customHeight="1" x14ac:dyDescent="0.3">
      <c r="A513" s="340" t="s">
        <v>289</v>
      </c>
      <c r="B513" s="341">
        <v>8</v>
      </c>
      <c r="C513" s="309">
        <v>46073</v>
      </c>
      <c r="D513" s="310" t="s">
        <v>440</v>
      </c>
      <c r="E513" s="342">
        <v>98.65</v>
      </c>
      <c r="F513" s="342"/>
      <c r="G513" s="344">
        <f t="shared" si="4"/>
        <v>6655.0099999999929</v>
      </c>
      <c r="H513" s="345"/>
      <c r="I513" s="346"/>
      <c r="J513" s="347"/>
      <c r="K513" s="312"/>
      <c r="L513" s="347"/>
      <c r="M513" s="312"/>
      <c r="N513" s="347"/>
      <c r="O513" s="312"/>
      <c r="P513" s="347"/>
      <c r="Q513" s="312"/>
      <c r="R513" s="347"/>
      <c r="S513" s="312"/>
      <c r="T513" s="347"/>
    </row>
    <row r="514" spans="1:20" ht="12" customHeight="1" x14ac:dyDescent="0.3">
      <c r="A514" s="340" t="s">
        <v>289</v>
      </c>
      <c r="B514" s="341">
        <v>6</v>
      </c>
      <c r="C514" s="309">
        <v>46072</v>
      </c>
      <c r="D514" s="310" t="s">
        <v>300</v>
      </c>
      <c r="E514" s="342">
        <v>30.87</v>
      </c>
      <c r="F514" s="342"/>
      <c r="G514" s="344">
        <f t="shared" si="4"/>
        <v>6753.6599999999926</v>
      </c>
      <c r="H514" s="345"/>
      <c r="I514" s="346"/>
      <c r="J514" s="347"/>
      <c r="K514" s="312"/>
      <c r="L514" s="347"/>
      <c r="M514" s="312"/>
      <c r="N514" s="347"/>
      <c r="O514" s="312"/>
      <c r="P514" s="347"/>
      <c r="Q514" s="312"/>
      <c r="R514" s="347"/>
      <c r="S514" s="312"/>
      <c r="T514" s="347"/>
    </row>
    <row r="515" spans="1:20" ht="12" customHeight="1" x14ac:dyDescent="0.3">
      <c r="A515" s="340" t="s">
        <v>289</v>
      </c>
      <c r="B515" s="341">
        <v>6</v>
      </c>
      <c r="C515" s="309">
        <v>46072</v>
      </c>
      <c r="D515" s="310" t="s">
        <v>300</v>
      </c>
      <c r="E515" s="342">
        <v>15.96</v>
      </c>
      <c r="F515" s="342"/>
      <c r="G515" s="344">
        <f t="shared" si="4"/>
        <v>6784.5299999999925</v>
      </c>
      <c r="H515" s="345"/>
      <c r="I515" s="346"/>
      <c r="J515" s="347"/>
      <c r="K515" s="312"/>
      <c r="L515" s="347"/>
      <c r="M515" s="312"/>
      <c r="N515" s="347"/>
      <c r="O515" s="312"/>
      <c r="P515" s="347"/>
      <c r="Q515" s="312"/>
      <c r="R515" s="347"/>
      <c r="S515" s="312"/>
      <c r="T515" s="347"/>
    </row>
    <row r="516" spans="1:20" ht="12" customHeight="1" x14ac:dyDescent="0.3">
      <c r="A516" s="340" t="s">
        <v>289</v>
      </c>
      <c r="B516" s="341">
        <v>2</v>
      </c>
      <c r="C516" s="309">
        <v>46072</v>
      </c>
      <c r="D516" s="310" t="s">
        <v>296</v>
      </c>
      <c r="E516" s="342">
        <v>17.36</v>
      </c>
      <c r="F516" s="342"/>
      <c r="G516" s="344">
        <f t="shared" si="4"/>
        <v>6800.4899999999925</v>
      </c>
      <c r="H516" s="345"/>
      <c r="I516" s="346"/>
      <c r="J516" s="347"/>
      <c r="K516" s="312"/>
      <c r="L516" s="347"/>
      <c r="M516" s="312"/>
      <c r="N516" s="347"/>
      <c r="O516" s="312"/>
      <c r="P516" s="347"/>
      <c r="Q516" s="312"/>
      <c r="R516" s="347"/>
      <c r="S516" s="312"/>
      <c r="T516" s="347"/>
    </row>
    <row r="517" spans="1:20" ht="12" customHeight="1" x14ac:dyDescent="0.3">
      <c r="A517" s="340" t="s">
        <v>294</v>
      </c>
      <c r="B517" s="341">
        <v>22</v>
      </c>
      <c r="C517" s="309">
        <v>46072</v>
      </c>
      <c r="D517" s="310" t="s">
        <v>406</v>
      </c>
      <c r="E517" s="342">
        <v>7.46</v>
      </c>
      <c r="F517" s="342"/>
      <c r="G517" s="344">
        <f t="shared" si="4"/>
        <v>6817.8499999999922</v>
      </c>
      <c r="H517" s="345"/>
      <c r="I517" s="346"/>
      <c r="J517" s="347"/>
      <c r="K517" s="312"/>
      <c r="L517" s="347"/>
      <c r="M517" s="312"/>
      <c r="N517" s="347"/>
      <c r="O517" s="312"/>
      <c r="P517" s="347"/>
      <c r="Q517" s="312"/>
      <c r="R517" s="347"/>
      <c r="S517" s="312"/>
      <c r="T517" s="347"/>
    </row>
    <row r="518" spans="1:20" ht="12" customHeight="1" x14ac:dyDescent="0.3">
      <c r="A518" s="340" t="s">
        <v>291</v>
      </c>
      <c r="B518" s="341">
        <v>39</v>
      </c>
      <c r="C518" s="309">
        <v>46072</v>
      </c>
      <c r="D518" s="310" t="s">
        <v>292</v>
      </c>
      <c r="E518" s="342"/>
      <c r="F518" s="342">
        <v>2763.77</v>
      </c>
      <c r="G518" s="344">
        <f t="shared" si="4"/>
        <v>6825.3099999999922</v>
      </c>
      <c r="H518" s="345"/>
      <c r="I518" s="346"/>
      <c r="J518" s="347"/>
      <c r="K518" s="312"/>
      <c r="L518" s="347"/>
      <c r="M518" s="312"/>
      <c r="N518" s="347"/>
      <c r="O518" s="312"/>
      <c r="P518" s="347"/>
      <c r="Q518" s="312"/>
      <c r="R518" s="347"/>
      <c r="S518" s="312"/>
      <c r="T518" s="347"/>
    </row>
    <row r="519" spans="1:20" ht="12" customHeight="1" x14ac:dyDescent="0.3">
      <c r="A519" s="340" t="s">
        <v>339</v>
      </c>
      <c r="B519" s="341" t="s">
        <v>339</v>
      </c>
      <c r="C519" s="309">
        <v>46071</v>
      </c>
      <c r="D519" s="310" t="s">
        <v>340</v>
      </c>
      <c r="E519" s="342">
        <v>182.55</v>
      </c>
      <c r="F519" s="342"/>
      <c r="G519" s="344">
        <f t="shared" si="4"/>
        <v>4061.5399999999927</v>
      </c>
      <c r="H519" s="345"/>
      <c r="I519" s="346"/>
      <c r="J519" s="347"/>
      <c r="K519" s="312"/>
      <c r="L519" s="347"/>
      <c r="M519" s="312"/>
      <c r="N519" s="347"/>
      <c r="O519" s="312"/>
      <c r="P519" s="347"/>
      <c r="Q519" s="312"/>
      <c r="R519" s="347"/>
      <c r="S519" s="312"/>
      <c r="T519" s="347"/>
    </row>
    <row r="520" spans="1:20" ht="12" customHeight="1" x14ac:dyDescent="0.3">
      <c r="A520" s="340" t="s">
        <v>294</v>
      </c>
      <c r="B520" s="341">
        <v>15</v>
      </c>
      <c r="C520" s="309">
        <v>46071</v>
      </c>
      <c r="D520" s="310" t="s">
        <v>185</v>
      </c>
      <c r="E520" s="342">
        <v>188.16</v>
      </c>
      <c r="F520" s="342"/>
      <c r="G520" s="344">
        <f t="shared" si="4"/>
        <v>4244.0899999999929</v>
      </c>
      <c r="H520" s="345"/>
      <c r="I520" s="346"/>
      <c r="J520" s="347"/>
      <c r="K520" s="312"/>
      <c r="L520" s="347"/>
      <c r="M520" s="312"/>
      <c r="N520" s="347"/>
      <c r="O520" s="312"/>
      <c r="P520" s="347"/>
      <c r="Q520" s="312"/>
      <c r="R520" s="347"/>
      <c r="S520" s="312"/>
      <c r="T520" s="347"/>
    </row>
    <row r="521" spans="1:20" ht="12" customHeight="1" x14ac:dyDescent="0.3">
      <c r="A521" s="340" t="s">
        <v>291</v>
      </c>
      <c r="B521" s="341">
        <v>40</v>
      </c>
      <c r="C521" s="309">
        <v>46071</v>
      </c>
      <c r="D521" s="310" t="s">
        <v>318</v>
      </c>
      <c r="E521" s="342"/>
      <c r="F521" s="342">
        <v>1281.58</v>
      </c>
      <c r="G521" s="344">
        <f t="shared" si="4"/>
        <v>4432.2499999999927</v>
      </c>
      <c r="H521" s="345"/>
      <c r="I521" s="346"/>
      <c r="J521" s="347"/>
      <c r="K521" s="312"/>
      <c r="L521" s="347"/>
      <c r="M521" s="312"/>
      <c r="N521" s="347"/>
      <c r="O521" s="312"/>
      <c r="P521" s="347"/>
      <c r="Q521" s="312"/>
      <c r="R521" s="347"/>
      <c r="S521" s="312"/>
      <c r="T521" s="347"/>
    </row>
    <row r="522" spans="1:20" ht="12" customHeight="1" x14ac:dyDescent="0.3">
      <c r="A522" s="340" t="s">
        <v>289</v>
      </c>
      <c r="B522" s="341">
        <v>6</v>
      </c>
      <c r="C522" s="309">
        <v>46071</v>
      </c>
      <c r="D522" s="310" t="s">
        <v>441</v>
      </c>
      <c r="E522" s="342">
        <v>-146</v>
      </c>
      <c r="F522" s="342"/>
      <c r="G522" s="344">
        <f t="shared" si="4"/>
        <v>3150.6699999999933</v>
      </c>
      <c r="H522" s="345"/>
      <c r="I522" s="346"/>
      <c r="J522" s="347"/>
      <c r="K522" s="312"/>
      <c r="L522" s="347"/>
      <c r="M522" s="312"/>
      <c r="N522" s="347"/>
      <c r="O522" s="312"/>
      <c r="P522" s="347"/>
      <c r="Q522" s="312"/>
      <c r="R522" s="347"/>
      <c r="S522" s="312"/>
      <c r="T522" s="347"/>
    </row>
    <row r="523" spans="1:20" ht="12" customHeight="1" x14ac:dyDescent="0.3">
      <c r="A523" s="340" t="s">
        <v>289</v>
      </c>
      <c r="B523" s="341">
        <v>2</v>
      </c>
      <c r="C523" s="309">
        <v>46071</v>
      </c>
      <c r="D523" s="310" t="s">
        <v>442</v>
      </c>
      <c r="E523" s="342">
        <v>-13</v>
      </c>
      <c r="F523" s="342"/>
      <c r="G523" s="344">
        <f t="shared" si="4"/>
        <v>3004.6699999999933</v>
      </c>
      <c r="H523" s="345"/>
      <c r="I523" s="346"/>
      <c r="J523" s="347"/>
      <c r="K523" s="312"/>
      <c r="L523" s="347"/>
      <c r="M523" s="312"/>
      <c r="N523" s="347"/>
      <c r="O523" s="312"/>
      <c r="P523" s="347"/>
      <c r="Q523" s="312"/>
      <c r="R523" s="347"/>
      <c r="S523" s="312"/>
      <c r="T523" s="347"/>
    </row>
    <row r="524" spans="1:20" ht="12" customHeight="1" x14ac:dyDescent="0.3">
      <c r="A524" s="340" t="s">
        <v>339</v>
      </c>
      <c r="B524" s="341" t="s">
        <v>339</v>
      </c>
      <c r="C524" s="309">
        <v>46071</v>
      </c>
      <c r="D524" s="310" t="s">
        <v>443</v>
      </c>
      <c r="E524" s="342"/>
      <c r="F524" s="342">
        <v>191</v>
      </c>
      <c r="G524" s="344">
        <f t="shared" si="4"/>
        <v>2991.6699999999933</v>
      </c>
      <c r="H524" s="345"/>
      <c r="I524" s="346"/>
      <c r="J524" s="347"/>
      <c r="K524" s="312"/>
      <c r="L524" s="347"/>
      <c r="M524" s="312"/>
      <c r="N524" s="347"/>
      <c r="O524" s="312"/>
      <c r="P524" s="347"/>
      <c r="Q524" s="312"/>
      <c r="R524" s="347"/>
      <c r="S524" s="312"/>
      <c r="T524" s="347"/>
    </row>
    <row r="525" spans="1:20" ht="12" customHeight="1" x14ac:dyDescent="0.3">
      <c r="A525" s="340" t="s">
        <v>289</v>
      </c>
      <c r="B525" s="341">
        <v>6</v>
      </c>
      <c r="C525" s="309">
        <v>46071</v>
      </c>
      <c r="D525" s="310" t="s">
        <v>300</v>
      </c>
      <c r="E525" s="342">
        <v>43.63</v>
      </c>
      <c r="F525" s="342"/>
      <c r="G525" s="344">
        <f t="shared" si="4"/>
        <v>2800.6699999999933</v>
      </c>
      <c r="H525" s="345"/>
      <c r="I525" s="346"/>
      <c r="J525" s="347"/>
      <c r="K525" s="312"/>
      <c r="L525" s="347"/>
      <c r="M525" s="312"/>
      <c r="N525" s="347"/>
      <c r="O525" s="312"/>
      <c r="P525" s="347"/>
      <c r="Q525" s="312"/>
      <c r="R525" s="347"/>
      <c r="S525" s="312"/>
      <c r="T525" s="347"/>
    </row>
    <row r="526" spans="1:20" ht="12" customHeight="1" x14ac:dyDescent="0.3">
      <c r="A526" s="340" t="s">
        <v>289</v>
      </c>
      <c r="B526" s="341">
        <v>6</v>
      </c>
      <c r="C526" s="309">
        <v>46071</v>
      </c>
      <c r="D526" s="310" t="s">
        <v>300</v>
      </c>
      <c r="E526" s="342">
        <v>10.64</v>
      </c>
      <c r="F526" s="342"/>
      <c r="G526" s="344">
        <f t="shared" si="4"/>
        <v>2844.2999999999934</v>
      </c>
      <c r="H526" s="345"/>
      <c r="I526" s="346"/>
      <c r="J526" s="347"/>
      <c r="K526" s="312"/>
      <c r="L526" s="347"/>
      <c r="M526" s="312"/>
      <c r="N526" s="347"/>
      <c r="O526" s="312"/>
      <c r="P526" s="347"/>
      <c r="Q526" s="312"/>
      <c r="R526" s="347"/>
      <c r="S526" s="312"/>
      <c r="T526" s="347"/>
    </row>
    <row r="527" spans="1:20" ht="12" customHeight="1" x14ac:dyDescent="0.3">
      <c r="A527" s="340" t="s">
        <v>289</v>
      </c>
      <c r="B527" s="341">
        <v>8</v>
      </c>
      <c r="C527" s="309">
        <v>46071</v>
      </c>
      <c r="D527" s="310" t="s">
        <v>296</v>
      </c>
      <c r="E527" s="342">
        <v>14.87</v>
      </c>
      <c r="F527" s="342"/>
      <c r="G527" s="344">
        <f t="shared" si="4"/>
        <v>2854.9399999999932</v>
      </c>
      <c r="H527" s="345"/>
      <c r="I527" s="346"/>
      <c r="J527" s="347"/>
      <c r="K527" s="312"/>
      <c r="L527" s="347"/>
      <c r="M527" s="312"/>
      <c r="N527" s="347"/>
      <c r="O527" s="312"/>
      <c r="P527" s="347"/>
      <c r="Q527" s="312"/>
      <c r="R527" s="347"/>
      <c r="S527" s="312"/>
      <c r="T527" s="347"/>
    </row>
    <row r="528" spans="1:20" ht="12" customHeight="1" x14ac:dyDescent="0.3">
      <c r="A528" s="340" t="s">
        <v>289</v>
      </c>
      <c r="B528" s="341">
        <v>2</v>
      </c>
      <c r="C528" s="309">
        <v>46071</v>
      </c>
      <c r="D528" s="310" t="s">
        <v>295</v>
      </c>
      <c r="E528" s="342">
        <v>12.99</v>
      </c>
      <c r="F528" s="342"/>
      <c r="G528" s="344">
        <f t="shared" si="4"/>
        <v>2869.8099999999931</v>
      </c>
      <c r="H528" s="345"/>
      <c r="I528" s="346"/>
      <c r="J528" s="347"/>
      <c r="K528" s="312"/>
      <c r="L528" s="347"/>
      <c r="M528" s="312"/>
      <c r="N528" s="347"/>
      <c r="O528" s="312"/>
      <c r="P528" s="347"/>
      <c r="Q528" s="312"/>
      <c r="R528" s="347"/>
      <c r="S528" s="312"/>
      <c r="T528" s="347"/>
    </row>
    <row r="529" spans="1:20" ht="12" customHeight="1" x14ac:dyDescent="0.3">
      <c r="A529" s="340" t="s">
        <v>289</v>
      </c>
      <c r="B529" s="341">
        <v>4</v>
      </c>
      <c r="C529" s="309">
        <v>46071</v>
      </c>
      <c r="D529" s="310" t="s">
        <v>295</v>
      </c>
      <c r="E529" s="342">
        <v>29.47</v>
      </c>
      <c r="F529" s="342"/>
      <c r="G529" s="344">
        <f t="shared" si="4"/>
        <v>2882.7999999999929</v>
      </c>
      <c r="H529" s="345"/>
      <c r="I529" s="346"/>
      <c r="J529" s="347"/>
      <c r="K529" s="312"/>
      <c r="L529" s="347"/>
      <c r="M529" s="312"/>
      <c r="N529" s="347"/>
      <c r="O529" s="312"/>
      <c r="P529" s="347"/>
      <c r="Q529" s="312"/>
      <c r="R529" s="347"/>
      <c r="S529" s="312"/>
      <c r="T529" s="347"/>
    </row>
    <row r="530" spans="1:20" ht="12" customHeight="1" x14ac:dyDescent="0.3">
      <c r="A530" s="340" t="s">
        <v>294</v>
      </c>
      <c r="B530" s="341">
        <v>22</v>
      </c>
      <c r="C530" s="309">
        <v>46071</v>
      </c>
      <c r="D530" s="310" t="s">
        <v>408</v>
      </c>
      <c r="E530" s="342">
        <v>13.84</v>
      </c>
      <c r="F530" s="342"/>
      <c r="G530" s="344">
        <f t="shared" si="4"/>
        <v>2912.2699999999927</v>
      </c>
      <c r="H530" s="345"/>
      <c r="I530" s="346"/>
      <c r="J530" s="347"/>
      <c r="K530" s="312"/>
      <c r="L530" s="347"/>
      <c r="M530" s="312"/>
      <c r="N530" s="347"/>
      <c r="O530" s="312"/>
      <c r="P530" s="347"/>
      <c r="Q530" s="312"/>
      <c r="R530" s="347"/>
      <c r="S530" s="312"/>
      <c r="T530" s="347"/>
    </row>
    <row r="531" spans="1:20" ht="12" customHeight="1" x14ac:dyDescent="0.3">
      <c r="A531" s="340" t="s">
        <v>289</v>
      </c>
      <c r="B531" s="341">
        <v>2</v>
      </c>
      <c r="C531" s="309">
        <v>46071</v>
      </c>
      <c r="D531" s="310" t="s">
        <v>444</v>
      </c>
      <c r="E531" s="342">
        <v>64.569999999999993</v>
      </c>
      <c r="F531" s="342"/>
      <c r="G531" s="344">
        <f t="shared" si="4"/>
        <v>2926.1099999999929</v>
      </c>
      <c r="H531" s="345"/>
      <c r="I531" s="346"/>
      <c r="J531" s="347"/>
      <c r="K531" s="312"/>
      <c r="L531" s="347"/>
      <c r="M531" s="312"/>
      <c r="N531" s="347"/>
      <c r="O531" s="312"/>
      <c r="P531" s="347"/>
      <c r="Q531" s="312"/>
      <c r="R531" s="347"/>
      <c r="S531" s="312"/>
      <c r="T531" s="347"/>
    </row>
    <row r="532" spans="1:20" ht="12" customHeight="1" x14ac:dyDescent="0.3">
      <c r="A532" s="340" t="s">
        <v>294</v>
      </c>
      <c r="B532" s="341">
        <v>21</v>
      </c>
      <c r="C532" s="309">
        <v>46070</v>
      </c>
      <c r="D532" s="310" t="s">
        <v>194</v>
      </c>
      <c r="E532" s="342">
        <v>81</v>
      </c>
      <c r="F532" s="342"/>
      <c r="G532" s="344">
        <f t="shared" si="4"/>
        <v>2990.679999999993</v>
      </c>
      <c r="H532" s="345"/>
      <c r="I532" s="346"/>
      <c r="J532" s="347"/>
      <c r="K532" s="312"/>
      <c r="L532" s="347"/>
      <c r="M532" s="312"/>
      <c r="N532" s="347"/>
      <c r="O532" s="312"/>
      <c r="P532" s="347"/>
      <c r="Q532" s="312"/>
      <c r="R532" s="347"/>
      <c r="S532" s="312"/>
      <c r="T532" s="347"/>
    </row>
    <row r="533" spans="1:20" ht="12" customHeight="1" x14ac:dyDescent="0.3">
      <c r="A533" s="340" t="s">
        <v>289</v>
      </c>
      <c r="B533" s="341">
        <v>2</v>
      </c>
      <c r="C533" s="309">
        <v>46070</v>
      </c>
      <c r="D533" s="310" t="s">
        <v>388</v>
      </c>
      <c r="E533" s="342">
        <v>81.41</v>
      </c>
      <c r="F533" s="342"/>
      <c r="G533" s="344">
        <f t="shared" si="4"/>
        <v>3071.679999999993</v>
      </c>
      <c r="H533" s="345"/>
      <c r="I533" s="346"/>
      <c r="J533" s="347"/>
      <c r="K533" s="312"/>
      <c r="L533" s="347"/>
      <c r="M533" s="312"/>
      <c r="N533" s="347"/>
      <c r="O533" s="312"/>
      <c r="P533" s="347"/>
      <c r="Q533" s="312"/>
      <c r="R533" s="347"/>
      <c r="S533" s="312"/>
      <c r="T533" s="347"/>
    </row>
    <row r="534" spans="1:20" ht="12" customHeight="1" x14ac:dyDescent="0.3">
      <c r="A534" s="340" t="s">
        <v>289</v>
      </c>
      <c r="B534" s="341">
        <v>6</v>
      </c>
      <c r="C534" s="309">
        <v>46070</v>
      </c>
      <c r="D534" s="310" t="s">
        <v>300</v>
      </c>
      <c r="E534" s="342">
        <v>113.74</v>
      </c>
      <c r="F534" s="342"/>
      <c r="G534" s="344">
        <f t="shared" si="4"/>
        <v>3153.0899999999929</v>
      </c>
      <c r="H534" s="345"/>
      <c r="I534" s="346"/>
      <c r="J534" s="347"/>
      <c r="K534" s="312"/>
      <c r="L534" s="347"/>
      <c r="M534" s="312"/>
      <c r="N534" s="347"/>
      <c r="O534" s="312"/>
      <c r="P534" s="347"/>
      <c r="Q534" s="312"/>
      <c r="R534" s="347"/>
      <c r="S534" s="312"/>
      <c r="T534" s="347"/>
    </row>
    <row r="535" spans="1:20" ht="12" customHeight="1" x14ac:dyDescent="0.3">
      <c r="A535" s="340" t="s">
        <v>294</v>
      </c>
      <c r="B535" s="341">
        <v>43</v>
      </c>
      <c r="C535" s="309">
        <v>46070</v>
      </c>
      <c r="D535" s="310" t="s">
        <v>337</v>
      </c>
      <c r="E535" s="342">
        <v>29.8</v>
      </c>
      <c r="F535" s="342"/>
      <c r="G535" s="344">
        <f t="shared" si="4"/>
        <v>3266.8299999999927</v>
      </c>
      <c r="H535" s="345"/>
      <c r="I535" s="346"/>
      <c r="J535" s="347"/>
      <c r="K535" s="312"/>
      <c r="L535" s="347"/>
      <c r="M535" s="312"/>
      <c r="N535" s="347"/>
      <c r="O535" s="312"/>
      <c r="P535" s="347"/>
      <c r="Q535" s="312"/>
      <c r="R535" s="347"/>
      <c r="S535" s="312"/>
      <c r="T535" s="347"/>
    </row>
    <row r="536" spans="1:20" ht="12" customHeight="1" x14ac:dyDescent="0.3">
      <c r="A536" s="340" t="s">
        <v>294</v>
      </c>
      <c r="B536" s="341">
        <v>42</v>
      </c>
      <c r="C536" s="309">
        <v>46070</v>
      </c>
      <c r="D536" s="310" t="s">
        <v>337</v>
      </c>
      <c r="E536" s="342">
        <v>37.25</v>
      </c>
      <c r="F536" s="342"/>
      <c r="G536" s="344">
        <f t="shared" si="4"/>
        <v>3296.6299999999928</v>
      </c>
      <c r="H536" s="345"/>
      <c r="I536" s="346"/>
      <c r="J536" s="347"/>
      <c r="K536" s="312"/>
      <c r="L536" s="347"/>
      <c r="M536" s="312"/>
      <c r="N536" s="347"/>
      <c r="O536" s="312"/>
      <c r="P536" s="347"/>
      <c r="Q536" s="312"/>
      <c r="R536" s="347"/>
      <c r="S536" s="312"/>
      <c r="T536" s="347"/>
    </row>
    <row r="537" spans="1:20" ht="12" customHeight="1" x14ac:dyDescent="0.3">
      <c r="A537" s="340" t="s">
        <v>289</v>
      </c>
      <c r="B537" s="341">
        <v>2</v>
      </c>
      <c r="C537" s="309">
        <v>46070</v>
      </c>
      <c r="D537" s="310" t="s">
        <v>431</v>
      </c>
      <c r="E537" s="342">
        <v>7.97</v>
      </c>
      <c r="F537" s="342"/>
      <c r="G537" s="344">
        <f t="shared" si="4"/>
        <v>3333.8799999999928</v>
      </c>
      <c r="H537" s="345"/>
      <c r="I537" s="346"/>
      <c r="J537" s="347"/>
      <c r="K537" s="312"/>
      <c r="L537" s="347"/>
      <c r="M537" s="312"/>
      <c r="N537" s="347"/>
      <c r="O537" s="312"/>
      <c r="P537" s="347"/>
      <c r="Q537" s="312"/>
      <c r="R537" s="347"/>
      <c r="S537" s="312"/>
      <c r="T537" s="347"/>
    </row>
    <row r="538" spans="1:20" ht="12" customHeight="1" x14ac:dyDescent="0.3">
      <c r="A538" s="340" t="s">
        <v>294</v>
      </c>
      <c r="B538" s="341">
        <v>17</v>
      </c>
      <c r="C538" s="309">
        <v>46070</v>
      </c>
      <c r="D538" s="310" t="s">
        <v>188</v>
      </c>
      <c r="E538" s="342">
        <v>42.65</v>
      </c>
      <c r="F538" s="342"/>
      <c r="G538" s="344">
        <f t="shared" si="4"/>
        <v>3341.8499999999926</v>
      </c>
      <c r="H538" s="345"/>
      <c r="I538" s="346"/>
      <c r="J538" s="347"/>
      <c r="K538" s="312"/>
      <c r="L538" s="347"/>
      <c r="M538" s="312"/>
      <c r="N538" s="347"/>
      <c r="O538" s="312"/>
      <c r="P538" s="347"/>
      <c r="Q538" s="312"/>
      <c r="R538" s="347"/>
      <c r="S538" s="312"/>
      <c r="T538" s="347"/>
    </row>
    <row r="539" spans="1:20" ht="12" customHeight="1" x14ac:dyDescent="0.3">
      <c r="A539" s="340" t="s">
        <v>289</v>
      </c>
      <c r="B539" s="341">
        <v>6</v>
      </c>
      <c r="C539" s="309">
        <v>46070</v>
      </c>
      <c r="D539" s="310" t="s">
        <v>445</v>
      </c>
      <c r="E539" s="342">
        <v>40</v>
      </c>
      <c r="F539" s="342"/>
      <c r="G539" s="344">
        <f t="shared" si="4"/>
        <v>3384.4999999999927</v>
      </c>
      <c r="H539" s="345"/>
      <c r="I539" s="346"/>
      <c r="J539" s="347"/>
      <c r="K539" s="312"/>
      <c r="L539" s="347"/>
      <c r="M539" s="312"/>
      <c r="N539" s="347"/>
      <c r="O539" s="312"/>
      <c r="P539" s="347"/>
      <c r="Q539" s="312"/>
      <c r="R539" s="347"/>
      <c r="S539" s="312"/>
      <c r="T539" s="347"/>
    </row>
    <row r="540" spans="1:20" ht="12" customHeight="1" x14ac:dyDescent="0.3">
      <c r="A540" s="340" t="s">
        <v>294</v>
      </c>
      <c r="B540" s="341">
        <v>11</v>
      </c>
      <c r="C540" s="309">
        <v>46070</v>
      </c>
      <c r="D540" s="310" t="s">
        <v>178</v>
      </c>
      <c r="E540" s="342">
        <v>480.91</v>
      </c>
      <c r="F540" s="342"/>
      <c r="G540" s="344">
        <f t="shared" si="4"/>
        <v>3424.4999999999927</v>
      </c>
      <c r="H540" s="345"/>
      <c r="I540" s="346"/>
      <c r="J540" s="347"/>
      <c r="K540" s="312"/>
      <c r="L540" s="347"/>
      <c r="M540" s="312"/>
      <c r="N540" s="347"/>
      <c r="O540" s="312"/>
      <c r="P540" s="347"/>
      <c r="Q540" s="312"/>
      <c r="R540" s="347"/>
      <c r="S540" s="312"/>
      <c r="T540" s="347"/>
    </row>
    <row r="541" spans="1:20" ht="12" customHeight="1" x14ac:dyDescent="0.3">
      <c r="A541" s="340" t="s">
        <v>294</v>
      </c>
      <c r="B541" s="341">
        <v>23</v>
      </c>
      <c r="C541" s="309">
        <v>46070</v>
      </c>
      <c r="D541" s="310" t="s">
        <v>63</v>
      </c>
      <c r="E541" s="342">
        <v>529.46</v>
      </c>
      <c r="F541" s="342"/>
      <c r="G541" s="344">
        <f t="shared" si="4"/>
        <v>3905.4099999999926</v>
      </c>
      <c r="H541" s="345"/>
      <c r="I541" s="346"/>
      <c r="J541" s="347"/>
      <c r="K541" s="312"/>
      <c r="L541" s="347"/>
      <c r="M541" s="312"/>
      <c r="N541" s="347"/>
      <c r="O541" s="312"/>
      <c r="P541" s="347"/>
      <c r="Q541" s="312"/>
      <c r="R541" s="347"/>
      <c r="S541" s="312"/>
      <c r="T541" s="347"/>
    </row>
    <row r="542" spans="1:20" ht="12" customHeight="1" x14ac:dyDescent="0.3">
      <c r="A542" s="340" t="s">
        <v>289</v>
      </c>
      <c r="B542" s="341">
        <v>2</v>
      </c>
      <c r="C542" s="309">
        <v>46069</v>
      </c>
      <c r="D542" s="310" t="s">
        <v>327</v>
      </c>
      <c r="E542" s="342">
        <v>16.079999999999998</v>
      </c>
      <c r="F542" s="342"/>
      <c r="G542" s="344">
        <f t="shared" si="4"/>
        <v>4434.8699999999926</v>
      </c>
      <c r="H542" s="345"/>
      <c r="I542" s="346"/>
      <c r="J542" s="347"/>
      <c r="K542" s="312"/>
      <c r="L542" s="347"/>
      <c r="M542" s="312"/>
      <c r="N542" s="347"/>
      <c r="O542" s="312"/>
      <c r="P542" s="347"/>
      <c r="Q542" s="312"/>
      <c r="R542" s="347"/>
      <c r="S542" s="312"/>
      <c r="T542" s="347"/>
    </row>
    <row r="543" spans="1:20" ht="12" customHeight="1" x14ac:dyDescent="0.3">
      <c r="A543" s="340" t="s">
        <v>289</v>
      </c>
      <c r="B543" s="341">
        <v>6</v>
      </c>
      <c r="C543" s="309">
        <v>46069</v>
      </c>
      <c r="D543" s="310" t="s">
        <v>300</v>
      </c>
      <c r="E543" s="342">
        <v>21.17</v>
      </c>
      <c r="F543" s="342"/>
      <c r="G543" s="344">
        <f t="shared" si="4"/>
        <v>4450.9499999999925</v>
      </c>
      <c r="H543" s="345"/>
      <c r="I543" s="346"/>
      <c r="J543" s="347"/>
      <c r="K543" s="312"/>
      <c r="L543" s="347"/>
      <c r="M543" s="312"/>
      <c r="N543" s="347"/>
      <c r="O543" s="312"/>
      <c r="P543" s="347"/>
      <c r="Q543" s="312"/>
      <c r="R543" s="347"/>
      <c r="S543" s="312"/>
      <c r="T543" s="347"/>
    </row>
    <row r="544" spans="1:20" ht="12" customHeight="1" x14ac:dyDescent="0.3">
      <c r="A544" s="340" t="s">
        <v>289</v>
      </c>
      <c r="B544" s="341">
        <v>6</v>
      </c>
      <c r="C544" s="309">
        <v>46069</v>
      </c>
      <c r="D544" s="310" t="s">
        <v>300</v>
      </c>
      <c r="E544" s="342">
        <v>17.03</v>
      </c>
      <c r="F544" s="342"/>
      <c r="G544" s="344">
        <f t="shared" si="4"/>
        <v>4472.1199999999926</v>
      </c>
      <c r="H544" s="345"/>
      <c r="I544" s="346"/>
      <c r="J544" s="347"/>
      <c r="K544" s="312"/>
      <c r="L544" s="347"/>
      <c r="M544" s="312"/>
      <c r="N544" s="347"/>
      <c r="O544" s="312"/>
      <c r="P544" s="347"/>
      <c r="Q544" s="312"/>
      <c r="R544" s="347"/>
      <c r="S544" s="312"/>
      <c r="T544" s="347"/>
    </row>
    <row r="545" spans="1:20" ht="12" customHeight="1" x14ac:dyDescent="0.3">
      <c r="A545" s="340" t="s">
        <v>289</v>
      </c>
      <c r="B545" s="341">
        <v>2</v>
      </c>
      <c r="C545" s="309">
        <v>46069</v>
      </c>
      <c r="D545" s="310" t="s">
        <v>296</v>
      </c>
      <c r="E545" s="342">
        <v>18.309999999999999</v>
      </c>
      <c r="F545" s="342"/>
      <c r="G545" s="344">
        <f t="shared" si="4"/>
        <v>4489.1499999999924</v>
      </c>
      <c r="H545" s="345"/>
      <c r="I545" s="346"/>
      <c r="J545" s="347"/>
      <c r="K545" s="312"/>
      <c r="L545" s="347"/>
      <c r="M545" s="312"/>
      <c r="N545" s="347"/>
      <c r="O545" s="312"/>
      <c r="P545" s="347"/>
      <c r="Q545" s="312"/>
      <c r="R545" s="347"/>
      <c r="S545" s="312"/>
      <c r="T545" s="347"/>
    </row>
    <row r="546" spans="1:20" ht="12" customHeight="1" x14ac:dyDescent="0.3">
      <c r="A546" s="340" t="s">
        <v>289</v>
      </c>
      <c r="B546" s="341">
        <v>2</v>
      </c>
      <c r="C546" s="309">
        <v>46069</v>
      </c>
      <c r="D546" s="310" t="s">
        <v>301</v>
      </c>
      <c r="E546" s="342">
        <v>19.3</v>
      </c>
      <c r="F546" s="342"/>
      <c r="G546" s="344">
        <f t="shared" si="4"/>
        <v>4507.4599999999928</v>
      </c>
      <c r="H546" s="345"/>
      <c r="I546" s="346"/>
      <c r="J546" s="347"/>
      <c r="K546" s="312"/>
      <c r="L546" s="347"/>
      <c r="M546" s="312"/>
      <c r="N546" s="347"/>
      <c r="O546" s="312"/>
      <c r="P546" s="347"/>
      <c r="Q546" s="312"/>
      <c r="R546" s="347"/>
      <c r="S546" s="312"/>
      <c r="T546" s="347"/>
    </row>
    <row r="547" spans="1:20" ht="12" customHeight="1" x14ac:dyDescent="0.3">
      <c r="A547" s="340" t="s">
        <v>289</v>
      </c>
      <c r="B547" s="341">
        <v>6</v>
      </c>
      <c r="C547" s="309">
        <v>46069</v>
      </c>
      <c r="D547" s="310" t="s">
        <v>402</v>
      </c>
      <c r="E547" s="342">
        <v>24.67</v>
      </c>
      <c r="F547" s="342"/>
      <c r="G547" s="344">
        <f t="shared" si="4"/>
        <v>4526.7599999999929</v>
      </c>
      <c r="H547" s="345"/>
      <c r="I547" s="346"/>
      <c r="J547" s="347"/>
      <c r="K547" s="312"/>
      <c r="L547" s="347"/>
      <c r="M547" s="312"/>
      <c r="N547" s="347"/>
      <c r="O547" s="312"/>
      <c r="P547" s="347"/>
      <c r="Q547" s="312"/>
      <c r="R547" s="347"/>
      <c r="S547" s="312"/>
      <c r="T547" s="347"/>
    </row>
    <row r="548" spans="1:20" ht="12" customHeight="1" x14ac:dyDescent="0.3">
      <c r="A548" s="340" t="s">
        <v>287</v>
      </c>
      <c r="B548" s="341" t="s">
        <v>287</v>
      </c>
      <c r="C548" s="309">
        <v>46069</v>
      </c>
      <c r="D548" s="310" t="s">
        <v>402</v>
      </c>
      <c r="E548" s="342">
        <v>152.41999999999999</v>
      </c>
      <c r="F548" s="342">
        <v>152.41999999999999</v>
      </c>
      <c r="G548" s="344">
        <f t="shared" si="4"/>
        <v>4551.429999999993</v>
      </c>
      <c r="H548" s="345"/>
      <c r="I548" s="346"/>
      <c r="J548" s="347"/>
      <c r="K548" s="312"/>
      <c r="L548" s="347"/>
      <c r="M548" s="312"/>
      <c r="N548" s="347"/>
      <c r="O548" s="312"/>
      <c r="P548" s="347"/>
      <c r="Q548" s="312"/>
      <c r="R548" s="347"/>
      <c r="S548" s="312"/>
      <c r="T548" s="347"/>
    </row>
    <row r="549" spans="1:20" ht="12" customHeight="1" x14ac:dyDescent="0.3">
      <c r="A549" s="340" t="s">
        <v>289</v>
      </c>
      <c r="B549" s="341">
        <v>6</v>
      </c>
      <c r="C549" s="309">
        <v>46068</v>
      </c>
      <c r="D549" s="310" t="s">
        <v>446</v>
      </c>
      <c r="E549" s="342">
        <v>233.83</v>
      </c>
      <c r="F549" s="342"/>
      <c r="G549" s="344">
        <f t="shared" si="4"/>
        <v>4551.429999999993</v>
      </c>
      <c r="H549" s="345"/>
      <c r="I549" s="346"/>
      <c r="J549" s="347"/>
      <c r="K549" s="312"/>
      <c r="L549" s="347"/>
      <c r="M549" s="312"/>
      <c r="N549" s="347"/>
      <c r="O549" s="312"/>
      <c r="P549" s="347"/>
      <c r="Q549" s="312"/>
      <c r="R549" s="347"/>
      <c r="S549" s="312"/>
      <c r="T549" s="347"/>
    </row>
    <row r="550" spans="1:20" ht="12" customHeight="1" x14ac:dyDescent="0.3">
      <c r="A550" s="340" t="s">
        <v>289</v>
      </c>
      <c r="B550" s="341">
        <v>2</v>
      </c>
      <c r="C550" s="309">
        <v>46068</v>
      </c>
      <c r="D550" s="310" t="s">
        <v>329</v>
      </c>
      <c r="E550" s="342">
        <v>50.87</v>
      </c>
      <c r="F550" s="342"/>
      <c r="G550" s="344">
        <f t="shared" si="4"/>
        <v>4785.2599999999929</v>
      </c>
      <c r="H550" s="345"/>
      <c r="I550" s="346"/>
      <c r="J550" s="347"/>
      <c r="K550" s="312"/>
      <c r="L550" s="347"/>
      <c r="M550" s="312"/>
      <c r="N550" s="347"/>
      <c r="O550" s="312"/>
      <c r="P550" s="347"/>
      <c r="Q550" s="312"/>
      <c r="R550" s="347"/>
      <c r="S550" s="312"/>
      <c r="T550" s="347"/>
    </row>
    <row r="551" spans="1:20" ht="12" customHeight="1" x14ac:dyDescent="0.3">
      <c r="A551" s="340" t="s">
        <v>289</v>
      </c>
      <c r="B551" s="341">
        <v>2</v>
      </c>
      <c r="C551" s="309">
        <v>46068</v>
      </c>
      <c r="D551" s="310" t="s">
        <v>447</v>
      </c>
      <c r="E551" s="342">
        <v>16</v>
      </c>
      <c r="F551" s="342"/>
      <c r="G551" s="344">
        <f t="shared" si="4"/>
        <v>4836.1299999999928</v>
      </c>
      <c r="H551" s="345"/>
      <c r="I551" s="346"/>
      <c r="J551" s="347"/>
      <c r="K551" s="312"/>
      <c r="L551" s="347"/>
      <c r="M551" s="312"/>
      <c r="N551" s="347"/>
      <c r="O551" s="312"/>
      <c r="P551" s="347"/>
      <c r="Q551" s="312"/>
      <c r="R551" s="347"/>
      <c r="S551" s="312"/>
      <c r="T551" s="347"/>
    </row>
    <row r="552" spans="1:20" ht="12" customHeight="1" x14ac:dyDescent="0.3">
      <c r="A552" s="340" t="s">
        <v>289</v>
      </c>
      <c r="B552" s="341">
        <v>2</v>
      </c>
      <c r="C552" s="309">
        <v>46068</v>
      </c>
      <c r="D552" s="310" t="s">
        <v>357</v>
      </c>
      <c r="E552" s="342">
        <v>30</v>
      </c>
      <c r="F552" s="342"/>
      <c r="G552" s="344">
        <f t="shared" si="4"/>
        <v>4852.1299999999928</v>
      </c>
      <c r="H552" s="345"/>
      <c r="I552" s="346"/>
      <c r="J552" s="347"/>
      <c r="K552" s="312"/>
      <c r="L552" s="347"/>
      <c r="M552" s="312"/>
      <c r="N552" s="347"/>
      <c r="O552" s="312"/>
      <c r="P552" s="347"/>
      <c r="Q552" s="312"/>
      <c r="R552" s="347"/>
      <c r="S552" s="312"/>
      <c r="T552" s="347"/>
    </row>
    <row r="553" spans="1:20" ht="12" customHeight="1" x14ac:dyDescent="0.3">
      <c r="A553" s="340" t="s">
        <v>289</v>
      </c>
      <c r="B553" s="341">
        <v>6</v>
      </c>
      <c r="C553" s="309">
        <v>46068</v>
      </c>
      <c r="D553" s="310" t="s">
        <v>307</v>
      </c>
      <c r="E553" s="342">
        <v>76</v>
      </c>
      <c r="F553" s="342"/>
      <c r="G553" s="344">
        <f t="shared" si="4"/>
        <v>4882.1299999999928</v>
      </c>
      <c r="H553" s="345"/>
      <c r="I553" s="346"/>
      <c r="J553" s="347"/>
      <c r="K553" s="312"/>
      <c r="L553" s="347"/>
      <c r="M553" s="312"/>
      <c r="N553" s="347"/>
      <c r="O553" s="312"/>
      <c r="P553" s="347"/>
      <c r="Q553" s="312"/>
      <c r="R553" s="347"/>
      <c r="S553" s="312"/>
      <c r="T553" s="347"/>
    </row>
    <row r="554" spans="1:20" ht="12" customHeight="1" x14ac:dyDescent="0.3">
      <c r="A554" s="340" t="s">
        <v>289</v>
      </c>
      <c r="B554" s="341">
        <v>3</v>
      </c>
      <c r="C554" s="309">
        <v>46068</v>
      </c>
      <c r="D554" s="310" t="s">
        <v>352</v>
      </c>
      <c r="E554" s="342">
        <v>3.59</v>
      </c>
      <c r="F554" s="342"/>
      <c r="G554" s="344">
        <f t="shared" si="4"/>
        <v>4958.1299999999928</v>
      </c>
      <c r="H554" s="345"/>
      <c r="I554" s="346"/>
      <c r="J554" s="347"/>
      <c r="K554" s="312"/>
      <c r="L554" s="347"/>
      <c r="M554" s="312"/>
      <c r="N554" s="347"/>
      <c r="O554" s="312"/>
      <c r="P554" s="347"/>
      <c r="Q554" s="312"/>
      <c r="R554" s="347"/>
      <c r="S554" s="312"/>
      <c r="T554" s="347"/>
    </row>
    <row r="555" spans="1:20" ht="12" customHeight="1" x14ac:dyDescent="0.3">
      <c r="A555" s="340" t="s">
        <v>289</v>
      </c>
      <c r="B555" s="341">
        <v>6</v>
      </c>
      <c r="C555" s="309">
        <v>46068</v>
      </c>
      <c r="D555" s="310" t="s">
        <v>448</v>
      </c>
      <c r="E555" s="342">
        <v>70</v>
      </c>
      <c r="F555" s="342"/>
      <c r="G555" s="344">
        <f t="shared" si="4"/>
        <v>4961.719999999993</v>
      </c>
      <c r="H555" s="345"/>
      <c r="I555" s="346"/>
      <c r="J555" s="347"/>
      <c r="K555" s="312"/>
      <c r="L555" s="347"/>
      <c r="M555" s="312"/>
      <c r="N555" s="347"/>
      <c r="O555" s="312"/>
      <c r="P555" s="347"/>
      <c r="Q555" s="312"/>
      <c r="R555" s="347"/>
      <c r="S555" s="312"/>
      <c r="T555" s="347"/>
    </row>
    <row r="556" spans="1:20" ht="12" customHeight="1" x14ac:dyDescent="0.3">
      <c r="A556" s="340" t="s">
        <v>289</v>
      </c>
      <c r="B556" s="341">
        <v>8</v>
      </c>
      <c r="C556" s="309">
        <v>46068</v>
      </c>
      <c r="D556" s="310" t="s">
        <v>449</v>
      </c>
      <c r="E556" s="342">
        <v>175</v>
      </c>
      <c r="F556" s="342"/>
      <c r="G556" s="344">
        <f t="shared" si="4"/>
        <v>5031.719999999993</v>
      </c>
      <c r="H556" s="345" t="s">
        <v>298</v>
      </c>
      <c r="I556" s="346"/>
      <c r="J556" s="347"/>
      <c r="K556" s="312"/>
      <c r="L556" s="347"/>
      <c r="M556" s="312"/>
      <c r="N556" s="347"/>
      <c r="O556" s="312"/>
      <c r="P556" s="347"/>
      <c r="Q556" s="312"/>
      <c r="R556" s="347"/>
      <c r="S556" s="312"/>
      <c r="T556" s="347"/>
    </row>
    <row r="557" spans="1:20" ht="12" customHeight="1" x14ac:dyDescent="0.3">
      <c r="A557" s="340" t="s">
        <v>289</v>
      </c>
      <c r="B557" s="341">
        <v>8</v>
      </c>
      <c r="C557" s="309">
        <v>46067</v>
      </c>
      <c r="D557" s="310" t="s">
        <v>321</v>
      </c>
      <c r="E557" s="342">
        <v>13.09</v>
      </c>
      <c r="F557" s="342"/>
      <c r="G557" s="344">
        <f t="shared" si="4"/>
        <v>5206.719999999993</v>
      </c>
      <c r="H557" s="345"/>
      <c r="I557" s="346"/>
      <c r="J557" s="347"/>
      <c r="K557" s="312"/>
      <c r="L557" s="347"/>
      <c r="M557" s="312"/>
      <c r="N557" s="347"/>
      <c r="O557" s="312"/>
      <c r="P557" s="347"/>
      <c r="Q557" s="312"/>
      <c r="R557" s="347"/>
      <c r="S557" s="312"/>
      <c r="T557" s="347"/>
    </row>
    <row r="558" spans="1:20" ht="12" customHeight="1" x14ac:dyDescent="0.3">
      <c r="A558" s="340" t="s">
        <v>289</v>
      </c>
      <c r="B558" s="341">
        <v>3</v>
      </c>
      <c r="C558" s="309">
        <v>46067</v>
      </c>
      <c r="D558" s="310" t="s">
        <v>296</v>
      </c>
      <c r="E558" s="342">
        <v>7.56</v>
      </c>
      <c r="F558" s="342"/>
      <c r="G558" s="344">
        <f t="shared" si="4"/>
        <v>5219.8099999999931</v>
      </c>
      <c r="H558" s="345"/>
      <c r="I558" s="346"/>
      <c r="J558" s="347"/>
      <c r="K558" s="312"/>
      <c r="L558" s="347"/>
      <c r="M558" s="312"/>
      <c r="N558" s="347"/>
      <c r="O558" s="312"/>
      <c r="P558" s="347"/>
      <c r="Q558" s="312"/>
      <c r="R558" s="347"/>
      <c r="S558" s="312"/>
      <c r="T558" s="347"/>
    </row>
    <row r="559" spans="1:20" ht="12" customHeight="1" x14ac:dyDescent="0.3">
      <c r="A559" s="340" t="s">
        <v>289</v>
      </c>
      <c r="B559" s="341">
        <v>4</v>
      </c>
      <c r="C559" s="309">
        <v>46067</v>
      </c>
      <c r="D559" s="310" t="s">
        <v>296</v>
      </c>
      <c r="E559" s="342">
        <v>32.409999999999997</v>
      </c>
      <c r="F559" s="342"/>
      <c r="G559" s="344">
        <f t="shared" si="4"/>
        <v>5227.3699999999935</v>
      </c>
      <c r="H559" s="345"/>
      <c r="I559" s="346"/>
      <c r="J559" s="347"/>
      <c r="K559" s="312"/>
      <c r="L559" s="347"/>
      <c r="M559" s="312"/>
      <c r="N559" s="347"/>
      <c r="O559" s="312"/>
      <c r="P559" s="347"/>
      <c r="Q559" s="312"/>
      <c r="R559" s="347"/>
      <c r="S559" s="312"/>
      <c r="T559" s="347"/>
    </row>
    <row r="560" spans="1:20" ht="12" customHeight="1" x14ac:dyDescent="0.3">
      <c r="A560" s="340" t="s">
        <v>289</v>
      </c>
      <c r="B560" s="341">
        <v>5</v>
      </c>
      <c r="C560" s="309">
        <v>46067</v>
      </c>
      <c r="D560" s="310" t="s">
        <v>450</v>
      </c>
      <c r="E560" s="342">
        <v>400</v>
      </c>
      <c r="F560" s="342"/>
      <c r="G560" s="344">
        <f t="shared" si="4"/>
        <v>5259.7799999999934</v>
      </c>
      <c r="H560" s="345"/>
      <c r="I560" s="346"/>
      <c r="J560" s="347"/>
      <c r="K560" s="312"/>
      <c r="L560" s="347"/>
      <c r="M560" s="312"/>
      <c r="N560" s="347"/>
      <c r="O560" s="312"/>
      <c r="P560" s="347"/>
      <c r="Q560" s="312"/>
      <c r="R560" s="347"/>
      <c r="S560" s="312"/>
      <c r="T560" s="347"/>
    </row>
    <row r="561" spans="1:20" ht="12" customHeight="1" x14ac:dyDescent="0.3">
      <c r="A561" s="340" t="s">
        <v>289</v>
      </c>
      <c r="B561" s="341">
        <v>8</v>
      </c>
      <c r="C561" s="309">
        <v>46066</v>
      </c>
      <c r="D561" s="310" t="s">
        <v>321</v>
      </c>
      <c r="E561" s="342">
        <v>41.51</v>
      </c>
      <c r="F561" s="342"/>
      <c r="G561" s="344">
        <f t="shared" si="4"/>
        <v>5659.7799999999934</v>
      </c>
      <c r="H561" s="345"/>
      <c r="I561" s="346"/>
      <c r="J561" s="347"/>
      <c r="K561" s="312"/>
      <c r="L561" s="347"/>
      <c r="M561" s="312"/>
      <c r="N561" s="347"/>
      <c r="O561" s="312"/>
      <c r="P561" s="347"/>
      <c r="Q561" s="312"/>
      <c r="R561" s="347"/>
      <c r="S561" s="312"/>
      <c r="T561" s="347"/>
    </row>
    <row r="562" spans="1:20" ht="12" customHeight="1" x14ac:dyDescent="0.3">
      <c r="A562" s="340" t="s">
        <v>289</v>
      </c>
      <c r="B562" s="341">
        <v>4</v>
      </c>
      <c r="C562" s="309">
        <v>46066</v>
      </c>
      <c r="D562" s="310" t="s">
        <v>296</v>
      </c>
      <c r="E562" s="342">
        <v>21.55</v>
      </c>
      <c r="F562" s="342"/>
      <c r="G562" s="344">
        <f t="shared" si="4"/>
        <v>5701.2899999999936</v>
      </c>
      <c r="H562" s="345"/>
      <c r="I562" s="346"/>
      <c r="J562" s="347"/>
      <c r="K562" s="312"/>
      <c r="L562" s="347"/>
      <c r="M562" s="312"/>
      <c r="N562" s="347"/>
      <c r="O562" s="312"/>
      <c r="P562" s="347"/>
      <c r="Q562" s="312"/>
      <c r="R562" s="347"/>
      <c r="S562" s="312"/>
      <c r="T562" s="347"/>
    </row>
    <row r="563" spans="1:20" ht="12" customHeight="1" x14ac:dyDescent="0.3">
      <c r="A563" s="340" t="s">
        <v>289</v>
      </c>
      <c r="B563" s="341">
        <v>2</v>
      </c>
      <c r="C563" s="309">
        <v>46066</v>
      </c>
      <c r="D563" s="310" t="s">
        <v>362</v>
      </c>
      <c r="E563" s="342">
        <v>12.45</v>
      </c>
      <c r="F563" s="342"/>
      <c r="G563" s="344">
        <f t="shared" si="4"/>
        <v>5722.8399999999938</v>
      </c>
      <c r="H563" s="345"/>
      <c r="I563" s="346"/>
      <c r="J563" s="347"/>
      <c r="K563" s="312"/>
      <c r="L563" s="347"/>
      <c r="M563" s="312"/>
      <c r="N563" s="347"/>
      <c r="O563" s="312"/>
      <c r="P563" s="347"/>
      <c r="Q563" s="312"/>
      <c r="R563" s="347"/>
      <c r="S563" s="312"/>
      <c r="T563" s="347"/>
    </row>
    <row r="564" spans="1:20" ht="12" customHeight="1" x14ac:dyDescent="0.3">
      <c r="A564" s="340" t="s">
        <v>287</v>
      </c>
      <c r="B564" s="341" t="s">
        <v>287</v>
      </c>
      <c r="C564" s="309">
        <v>46066</v>
      </c>
      <c r="D564" s="310" t="s">
        <v>402</v>
      </c>
      <c r="E564" s="342">
        <v>91.38</v>
      </c>
      <c r="F564" s="342">
        <v>91.38</v>
      </c>
      <c r="G564" s="344">
        <f t="shared" si="4"/>
        <v>5735.2899999999936</v>
      </c>
      <c r="H564" s="345"/>
      <c r="I564" s="346"/>
      <c r="J564" s="347"/>
      <c r="K564" s="312"/>
      <c r="L564" s="347"/>
      <c r="M564" s="312"/>
      <c r="N564" s="347"/>
      <c r="O564" s="312"/>
      <c r="P564" s="347"/>
      <c r="Q564" s="312"/>
      <c r="R564" s="347"/>
      <c r="S564" s="312"/>
      <c r="T564" s="347"/>
    </row>
    <row r="565" spans="1:20" ht="12" customHeight="1" x14ac:dyDescent="0.3">
      <c r="A565" s="340" t="s">
        <v>289</v>
      </c>
      <c r="B565" s="341">
        <v>1</v>
      </c>
      <c r="C565" s="309">
        <v>46066</v>
      </c>
      <c r="D565" s="310" t="s">
        <v>312</v>
      </c>
      <c r="E565" s="342">
        <v>16.48</v>
      </c>
      <c r="F565" s="342"/>
      <c r="G565" s="344">
        <f t="shared" si="4"/>
        <v>5735.2899999999936</v>
      </c>
      <c r="H565" s="345"/>
      <c r="I565" s="346"/>
      <c r="J565" s="347"/>
      <c r="K565" s="312"/>
      <c r="L565" s="347"/>
      <c r="M565" s="312"/>
      <c r="N565" s="347"/>
      <c r="O565" s="312"/>
      <c r="P565" s="347"/>
      <c r="Q565" s="312"/>
      <c r="R565" s="347"/>
      <c r="S565" s="312"/>
      <c r="T565" s="347"/>
    </row>
    <row r="566" spans="1:20" ht="12" customHeight="1" x14ac:dyDescent="0.3">
      <c r="A566" s="340" t="s">
        <v>289</v>
      </c>
      <c r="B566" s="341">
        <v>1</v>
      </c>
      <c r="C566" s="309">
        <v>46066</v>
      </c>
      <c r="D566" s="310" t="s">
        <v>435</v>
      </c>
      <c r="E566" s="342">
        <v>12.76</v>
      </c>
      <c r="F566" s="342"/>
      <c r="G566" s="344">
        <f t="shared" si="4"/>
        <v>5751.7699999999932</v>
      </c>
      <c r="H566" s="345"/>
      <c r="I566" s="346"/>
      <c r="J566" s="347"/>
      <c r="K566" s="312"/>
      <c r="L566" s="347"/>
      <c r="M566" s="312"/>
      <c r="N566" s="347"/>
      <c r="O566" s="312"/>
      <c r="P566" s="347"/>
      <c r="Q566" s="312"/>
      <c r="R566" s="347"/>
      <c r="S566" s="312"/>
      <c r="T566" s="347"/>
    </row>
    <row r="567" spans="1:20" ht="12" customHeight="1" x14ac:dyDescent="0.3">
      <c r="A567" s="340" t="s">
        <v>289</v>
      </c>
      <c r="B567" s="341">
        <v>4</v>
      </c>
      <c r="C567" s="309">
        <v>46066</v>
      </c>
      <c r="D567" s="310" t="s">
        <v>332</v>
      </c>
      <c r="E567" s="342">
        <v>37.9</v>
      </c>
      <c r="F567" s="342"/>
      <c r="G567" s="344">
        <f t="shared" si="4"/>
        <v>5764.5299999999934</v>
      </c>
      <c r="H567" s="345"/>
      <c r="I567" s="346"/>
      <c r="J567" s="347"/>
      <c r="K567" s="312"/>
      <c r="L567" s="347"/>
      <c r="M567" s="312"/>
      <c r="N567" s="347"/>
      <c r="O567" s="312"/>
      <c r="P567" s="347"/>
      <c r="Q567" s="312"/>
      <c r="R567" s="347"/>
      <c r="S567" s="312"/>
      <c r="T567" s="347"/>
    </row>
    <row r="568" spans="1:20" ht="12" customHeight="1" x14ac:dyDescent="0.3">
      <c r="A568" s="340" t="s">
        <v>291</v>
      </c>
      <c r="B568" s="341">
        <v>40</v>
      </c>
      <c r="C568" s="309">
        <v>46066</v>
      </c>
      <c r="D568" s="310" t="s">
        <v>318</v>
      </c>
      <c r="E568" s="342"/>
      <c r="F568" s="342">
        <v>427.18</v>
      </c>
      <c r="G568" s="344">
        <f t="shared" si="4"/>
        <v>5802.429999999993</v>
      </c>
      <c r="H568" s="345"/>
      <c r="I568" s="346"/>
      <c r="J568" s="347"/>
      <c r="K568" s="312"/>
      <c r="L568" s="347"/>
      <c r="M568" s="312"/>
      <c r="N568" s="347"/>
      <c r="O568" s="312"/>
      <c r="P568" s="347"/>
      <c r="Q568" s="312"/>
      <c r="R568" s="347"/>
      <c r="S568" s="312"/>
      <c r="T568" s="347"/>
    </row>
    <row r="569" spans="1:20" ht="12" customHeight="1" x14ac:dyDescent="0.3">
      <c r="A569" s="340" t="s">
        <v>291</v>
      </c>
      <c r="B569" s="341">
        <v>38</v>
      </c>
      <c r="C569" s="309">
        <v>46066</v>
      </c>
      <c r="D569" s="310" t="s">
        <v>293</v>
      </c>
      <c r="E569" s="342"/>
      <c r="F569" s="342">
        <v>4278.16</v>
      </c>
      <c r="G569" s="344">
        <f t="shared" si="4"/>
        <v>5375.2499999999927</v>
      </c>
      <c r="H569" s="345"/>
      <c r="I569" s="346"/>
      <c r="J569" s="347"/>
      <c r="K569" s="312"/>
      <c r="L569" s="347"/>
      <c r="M569" s="312"/>
      <c r="N569" s="347"/>
      <c r="O569" s="312"/>
      <c r="P569" s="347"/>
      <c r="Q569" s="312"/>
      <c r="R569" s="347"/>
      <c r="S569" s="312"/>
      <c r="T569" s="347"/>
    </row>
    <row r="570" spans="1:20" ht="12" customHeight="1" x14ac:dyDescent="0.3">
      <c r="A570" s="340" t="s">
        <v>289</v>
      </c>
      <c r="B570" s="341">
        <v>8</v>
      </c>
      <c r="C570" s="309">
        <v>46065</v>
      </c>
      <c r="D570" s="310" t="s">
        <v>361</v>
      </c>
      <c r="E570" s="342">
        <v>111.36</v>
      </c>
      <c r="F570" s="342"/>
      <c r="G570" s="344">
        <f t="shared" si="4"/>
        <v>1097.0899999999931</v>
      </c>
      <c r="H570" s="345"/>
      <c r="I570" s="346"/>
      <c r="J570" s="347"/>
      <c r="K570" s="312"/>
      <c r="L570" s="347"/>
      <c r="M570" s="312"/>
      <c r="N570" s="347"/>
      <c r="O570" s="312"/>
      <c r="P570" s="347"/>
      <c r="Q570" s="312"/>
      <c r="R570" s="347"/>
      <c r="S570" s="312"/>
      <c r="T570" s="347"/>
    </row>
    <row r="571" spans="1:20" ht="12" customHeight="1" x14ac:dyDescent="0.3">
      <c r="A571" s="340" t="s">
        <v>289</v>
      </c>
      <c r="B571" s="341">
        <v>6</v>
      </c>
      <c r="C571" s="309">
        <v>46065</v>
      </c>
      <c r="D571" s="310" t="s">
        <v>451</v>
      </c>
      <c r="E571" s="342">
        <v>16</v>
      </c>
      <c r="F571" s="342"/>
      <c r="G571" s="344">
        <f t="shared" si="4"/>
        <v>1208.449999999993</v>
      </c>
      <c r="H571" s="345"/>
      <c r="I571" s="346"/>
      <c r="J571" s="347"/>
      <c r="K571" s="312"/>
      <c r="L571" s="347"/>
      <c r="M571" s="312"/>
      <c r="N571" s="347"/>
      <c r="O571" s="312"/>
      <c r="P571" s="347"/>
      <c r="Q571" s="312"/>
      <c r="R571" s="347"/>
      <c r="S571" s="312"/>
      <c r="T571" s="347"/>
    </row>
    <row r="572" spans="1:20" ht="12" customHeight="1" x14ac:dyDescent="0.3">
      <c r="A572" s="340" t="s">
        <v>289</v>
      </c>
      <c r="B572" s="341">
        <v>6</v>
      </c>
      <c r="C572" s="309">
        <v>46065</v>
      </c>
      <c r="D572" s="310" t="s">
        <v>300</v>
      </c>
      <c r="E572" s="342">
        <v>29.81</v>
      </c>
      <c r="F572" s="342"/>
      <c r="G572" s="344">
        <f t="shared" si="4"/>
        <v>1224.449999999993</v>
      </c>
      <c r="H572" s="345"/>
      <c r="I572" s="346"/>
      <c r="J572" s="347"/>
      <c r="K572" s="312"/>
      <c r="L572" s="347"/>
      <c r="M572" s="312"/>
      <c r="N572" s="347"/>
      <c r="O572" s="312"/>
      <c r="P572" s="347"/>
      <c r="Q572" s="312"/>
      <c r="R572" s="347"/>
      <c r="S572" s="312"/>
      <c r="T572" s="347"/>
    </row>
    <row r="573" spans="1:20" ht="12" customHeight="1" x14ac:dyDescent="0.3">
      <c r="A573" s="340" t="s">
        <v>294</v>
      </c>
      <c r="B573" s="341">
        <v>19</v>
      </c>
      <c r="C573" s="309">
        <v>46065</v>
      </c>
      <c r="D573" s="310" t="s">
        <v>191</v>
      </c>
      <c r="E573" s="342">
        <v>200</v>
      </c>
      <c r="F573" s="342"/>
      <c r="G573" s="344">
        <f t="shared" si="4"/>
        <v>1254.2599999999929</v>
      </c>
      <c r="H573" s="345"/>
      <c r="I573" s="346"/>
      <c r="J573" s="347"/>
      <c r="K573" s="312"/>
      <c r="L573" s="347"/>
      <c r="M573" s="312"/>
      <c r="N573" s="347"/>
      <c r="O573" s="312"/>
      <c r="P573" s="347"/>
      <c r="Q573" s="312"/>
      <c r="R573" s="347"/>
      <c r="S573" s="312"/>
      <c r="T573" s="347"/>
    </row>
    <row r="574" spans="1:20" ht="12" customHeight="1" x14ac:dyDescent="0.3">
      <c r="A574" s="340" t="s">
        <v>289</v>
      </c>
      <c r="B574" s="341">
        <v>2</v>
      </c>
      <c r="C574" s="309">
        <v>46065</v>
      </c>
      <c r="D574" s="310" t="s">
        <v>296</v>
      </c>
      <c r="E574" s="342">
        <v>7.56</v>
      </c>
      <c r="F574" s="342"/>
      <c r="G574" s="344">
        <f t="shared" si="4"/>
        <v>1454.2599999999929</v>
      </c>
      <c r="H574" s="345"/>
      <c r="I574" s="346"/>
      <c r="J574" s="347"/>
      <c r="K574" s="312"/>
      <c r="L574" s="347"/>
      <c r="M574" s="312"/>
      <c r="N574" s="347"/>
      <c r="O574" s="312"/>
      <c r="P574" s="347"/>
      <c r="Q574" s="312"/>
      <c r="R574" s="347"/>
      <c r="S574" s="312"/>
      <c r="T574" s="347"/>
    </row>
    <row r="575" spans="1:20" ht="12" customHeight="1" x14ac:dyDescent="0.3">
      <c r="A575" s="340" t="s">
        <v>289</v>
      </c>
      <c r="B575" s="341">
        <v>4</v>
      </c>
      <c r="C575" s="309">
        <v>46065</v>
      </c>
      <c r="D575" s="310" t="s">
        <v>296</v>
      </c>
      <c r="E575" s="342">
        <v>65.78</v>
      </c>
      <c r="F575" s="342"/>
      <c r="G575" s="344">
        <f t="shared" si="4"/>
        <v>1461.8199999999929</v>
      </c>
      <c r="H575" s="345"/>
      <c r="I575" s="346"/>
      <c r="J575" s="347"/>
      <c r="K575" s="312"/>
      <c r="L575" s="347"/>
      <c r="M575" s="312"/>
      <c r="N575" s="347"/>
      <c r="O575" s="312"/>
      <c r="P575" s="347"/>
      <c r="Q575" s="312"/>
      <c r="R575" s="347"/>
      <c r="S575" s="312"/>
      <c r="T575" s="347"/>
    </row>
    <row r="576" spans="1:20" ht="12" customHeight="1" x14ac:dyDescent="0.3">
      <c r="A576" s="340" t="s">
        <v>289</v>
      </c>
      <c r="B576" s="341">
        <v>3</v>
      </c>
      <c r="C576" s="309">
        <v>46065</v>
      </c>
      <c r="D576" s="310" t="s">
        <v>296</v>
      </c>
      <c r="E576" s="342">
        <v>3.93</v>
      </c>
      <c r="F576" s="342"/>
      <c r="G576" s="344">
        <f t="shared" si="4"/>
        <v>1527.5999999999929</v>
      </c>
      <c r="H576" s="345"/>
      <c r="I576" s="346"/>
      <c r="J576" s="347"/>
      <c r="K576" s="312"/>
      <c r="L576" s="347"/>
      <c r="M576" s="312"/>
      <c r="N576" s="347"/>
      <c r="O576" s="312"/>
      <c r="P576" s="347"/>
      <c r="Q576" s="312"/>
      <c r="R576" s="347"/>
      <c r="S576" s="312"/>
      <c r="T576" s="347"/>
    </row>
    <row r="577" spans="1:20" ht="12" customHeight="1" x14ac:dyDescent="0.3">
      <c r="A577" s="340" t="s">
        <v>289</v>
      </c>
      <c r="B577" s="341">
        <v>7</v>
      </c>
      <c r="C577" s="309">
        <v>46065</v>
      </c>
      <c r="D577" s="310" t="s">
        <v>452</v>
      </c>
      <c r="E577" s="342">
        <v>564.83000000000004</v>
      </c>
      <c r="F577" s="342"/>
      <c r="G577" s="344">
        <f t="shared" si="4"/>
        <v>1531.5299999999929</v>
      </c>
      <c r="H577" s="345"/>
      <c r="I577" s="346"/>
      <c r="J577" s="347"/>
      <c r="K577" s="312"/>
      <c r="L577" s="347"/>
      <c r="M577" s="312"/>
      <c r="N577" s="347"/>
      <c r="O577" s="312"/>
      <c r="P577" s="347"/>
      <c r="Q577" s="312"/>
      <c r="R577" s="347"/>
      <c r="S577" s="312"/>
      <c r="T577" s="347"/>
    </row>
    <row r="578" spans="1:20" ht="12" customHeight="1" x14ac:dyDescent="0.3">
      <c r="A578" s="340" t="s">
        <v>289</v>
      </c>
      <c r="B578" s="341">
        <v>7</v>
      </c>
      <c r="C578" s="309">
        <v>46065</v>
      </c>
      <c r="D578" s="310" t="s">
        <v>453</v>
      </c>
      <c r="E578" s="342">
        <v>70.180000000000007</v>
      </c>
      <c r="F578" s="342"/>
      <c r="G578" s="344">
        <f t="shared" si="4"/>
        <v>2096.3599999999929</v>
      </c>
      <c r="H578" s="345"/>
      <c r="I578" s="346"/>
      <c r="J578" s="347"/>
      <c r="K578" s="312"/>
      <c r="L578" s="347"/>
      <c r="M578" s="312"/>
      <c r="N578" s="347"/>
      <c r="O578" s="312"/>
      <c r="P578" s="347"/>
      <c r="Q578" s="312"/>
      <c r="R578" s="347"/>
      <c r="S578" s="312"/>
      <c r="T578" s="347"/>
    </row>
    <row r="579" spans="1:20" ht="12" customHeight="1" x14ac:dyDescent="0.3">
      <c r="A579" s="340" t="s">
        <v>289</v>
      </c>
      <c r="B579" s="341">
        <v>6</v>
      </c>
      <c r="C579" s="309">
        <v>46065</v>
      </c>
      <c r="D579" s="310" t="s">
        <v>454</v>
      </c>
      <c r="E579" s="342">
        <v>2.66</v>
      </c>
      <c r="F579" s="342"/>
      <c r="G579" s="344">
        <f t="shared" si="4"/>
        <v>2166.5399999999927</v>
      </c>
      <c r="H579" s="345"/>
      <c r="I579" s="346"/>
      <c r="J579" s="347"/>
      <c r="K579" s="312"/>
      <c r="L579" s="347"/>
      <c r="M579" s="312"/>
      <c r="N579" s="347"/>
      <c r="O579" s="312"/>
      <c r="P579" s="347"/>
      <c r="Q579" s="312"/>
      <c r="R579" s="347"/>
      <c r="S579" s="312"/>
      <c r="T579" s="347"/>
    </row>
    <row r="580" spans="1:20" ht="12" customHeight="1" x14ac:dyDescent="0.3">
      <c r="A580" s="340" t="s">
        <v>289</v>
      </c>
      <c r="B580" s="341">
        <v>5</v>
      </c>
      <c r="C580" s="309">
        <v>46064</v>
      </c>
      <c r="D580" s="310" t="s">
        <v>436</v>
      </c>
      <c r="E580" s="342">
        <v>103.25</v>
      </c>
      <c r="F580" s="342"/>
      <c r="G580" s="344">
        <f t="shared" si="4"/>
        <v>2169.1999999999925</v>
      </c>
      <c r="H580" s="345"/>
      <c r="I580" s="346"/>
      <c r="J580" s="347"/>
      <c r="K580" s="312"/>
      <c r="L580" s="347"/>
      <c r="M580" s="312"/>
      <c r="N580" s="347"/>
      <c r="O580" s="312"/>
      <c r="P580" s="347"/>
      <c r="Q580" s="312"/>
      <c r="R580" s="347"/>
      <c r="S580" s="312"/>
      <c r="T580" s="347"/>
    </row>
    <row r="581" spans="1:20" ht="12" customHeight="1" x14ac:dyDescent="0.3">
      <c r="A581" s="340" t="s">
        <v>289</v>
      </c>
      <c r="B581" s="341">
        <v>4</v>
      </c>
      <c r="C581" s="309">
        <v>46064</v>
      </c>
      <c r="D581" s="310" t="s">
        <v>367</v>
      </c>
      <c r="E581" s="342">
        <v>30.39</v>
      </c>
      <c r="F581" s="342"/>
      <c r="G581" s="344">
        <f t="shared" si="4"/>
        <v>2272.4499999999925</v>
      </c>
      <c r="H581" s="345"/>
      <c r="I581" s="346"/>
      <c r="J581" s="347"/>
      <c r="K581" s="312"/>
      <c r="L581" s="347"/>
      <c r="M581" s="312"/>
      <c r="N581" s="347"/>
      <c r="O581" s="312"/>
      <c r="P581" s="347"/>
      <c r="Q581" s="312"/>
      <c r="R581" s="347"/>
      <c r="S581" s="312"/>
      <c r="T581" s="347"/>
    </row>
    <row r="582" spans="1:20" ht="12" customHeight="1" x14ac:dyDescent="0.3">
      <c r="A582" s="340" t="s">
        <v>289</v>
      </c>
      <c r="B582" s="341">
        <v>2</v>
      </c>
      <c r="C582" s="309">
        <v>46064</v>
      </c>
      <c r="D582" s="310" t="s">
        <v>296</v>
      </c>
      <c r="E582" s="342">
        <v>9.92</v>
      </c>
      <c r="F582" s="342"/>
      <c r="G582" s="344">
        <f t="shared" si="4"/>
        <v>2302.8399999999924</v>
      </c>
      <c r="H582" s="345"/>
      <c r="I582" s="346"/>
      <c r="J582" s="347"/>
      <c r="K582" s="312"/>
      <c r="L582" s="347"/>
      <c r="M582" s="312"/>
      <c r="N582" s="347"/>
      <c r="O582" s="312"/>
      <c r="P582" s="347"/>
      <c r="Q582" s="312"/>
      <c r="R582" s="347"/>
      <c r="S582" s="312"/>
      <c r="T582" s="347"/>
    </row>
    <row r="583" spans="1:20" ht="12" customHeight="1" x14ac:dyDescent="0.3">
      <c r="A583" s="340" t="s">
        <v>289</v>
      </c>
      <c r="B583" s="341">
        <v>3</v>
      </c>
      <c r="C583" s="309">
        <v>46064</v>
      </c>
      <c r="D583" s="310" t="s">
        <v>295</v>
      </c>
      <c r="E583" s="342">
        <v>3.49</v>
      </c>
      <c r="F583" s="342"/>
      <c r="G583" s="344">
        <f t="shared" si="4"/>
        <v>2312.7599999999925</v>
      </c>
      <c r="H583" s="345"/>
      <c r="I583" s="346"/>
      <c r="J583" s="347"/>
      <c r="K583" s="312"/>
      <c r="L583" s="347"/>
      <c r="M583" s="312"/>
      <c r="N583" s="347"/>
      <c r="O583" s="312"/>
      <c r="P583" s="347"/>
      <c r="Q583" s="312"/>
      <c r="R583" s="347"/>
      <c r="S583" s="312"/>
      <c r="T583" s="347"/>
    </row>
    <row r="584" spans="1:20" ht="12" customHeight="1" x14ac:dyDescent="0.3">
      <c r="A584" s="340" t="s">
        <v>294</v>
      </c>
      <c r="B584" s="341">
        <v>22</v>
      </c>
      <c r="C584" s="309">
        <v>46064</v>
      </c>
      <c r="D584" s="310" t="s">
        <v>356</v>
      </c>
      <c r="E584" s="342">
        <v>19.16</v>
      </c>
      <c r="F584" s="342"/>
      <c r="G584" s="344">
        <f t="shared" si="4"/>
        <v>2316.2499999999923</v>
      </c>
      <c r="H584" s="345"/>
      <c r="I584" s="346"/>
      <c r="J584" s="347"/>
      <c r="K584" s="312"/>
      <c r="L584" s="347"/>
      <c r="M584" s="312"/>
      <c r="N584" s="347"/>
      <c r="O584" s="312"/>
      <c r="P584" s="347"/>
      <c r="Q584" s="312"/>
      <c r="R584" s="347"/>
      <c r="S584" s="312"/>
      <c r="T584" s="347"/>
    </row>
    <row r="585" spans="1:20" ht="12" customHeight="1" x14ac:dyDescent="0.3">
      <c r="A585" s="340" t="s">
        <v>289</v>
      </c>
      <c r="B585" s="341">
        <v>6</v>
      </c>
      <c r="C585" s="309">
        <v>46063</v>
      </c>
      <c r="D585" s="310" t="s">
        <v>419</v>
      </c>
      <c r="E585" s="342">
        <v>-8</v>
      </c>
      <c r="F585" s="342"/>
      <c r="G585" s="344">
        <f t="shared" si="4"/>
        <v>2335.4099999999921</v>
      </c>
      <c r="H585" s="345"/>
      <c r="I585" s="346"/>
      <c r="J585" s="347"/>
      <c r="K585" s="312"/>
      <c r="L585" s="347"/>
      <c r="M585" s="312"/>
      <c r="N585" s="347"/>
      <c r="O585" s="312"/>
      <c r="P585" s="347"/>
      <c r="Q585" s="312"/>
      <c r="R585" s="347"/>
      <c r="S585" s="312"/>
      <c r="T585" s="347"/>
    </row>
    <row r="586" spans="1:20" ht="12" customHeight="1" x14ac:dyDescent="0.3">
      <c r="A586" s="340" t="s">
        <v>289</v>
      </c>
      <c r="B586" s="341">
        <v>6</v>
      </c>
      <c r="C586" s="309">
        <v>46063</v>
      </c>
      <c r="D586" s="310" t="s">
        <v>455</v>
      </c>
      <c r="E586" s="342">
        <v>-0.04</v>
      </c>
      <c r="F586" s="342"/>
      <c r="G586" s="344">
        <f t="shared" si="4"/>
        <v>2327.4099999999921</v>
      </c>
      <c r="H586" s="345"/>
      <c r="I586" s="346"/>
      <c r="J586" s="347"/>
      <c r="K586" s="312"/>
      <c r="L586" s="347"/>
      <c r="M586" s="312"/>
      <c r="N586" s="347"/>
      <c r="O586" s="312"/>
      <c r="P586" s="347"/>
      <c r="Q586" s="312"/>
      <c r="R586" s="347"/>
      <c r="S586" s="312"/>
      <c r="T586" s="347"/>
    </row>
    <row r="587" spans="1:20" ht="12" customHeight="1" x14ac:dyDescent="0.3">
      <c r="A587" s="340" t="s">
        <v>339</v>
      </c>
      <c r="B587" s="341" t="s">
        <v>339</v>
      </c>
      <c r="C587" s="309">
        <v>46063</v>
      </c>
      <c r="D587" s="310" t="s">
        <v>456</v>
      </c>
      <c r="E587" s="342">
        <v>65.78</v>
      </c>
      <c r="F587" s="342"/>
      <c r="G587" s="344">
        <f t="shared" si="4"/>
        <v>2327.3699999999922</v>
      </c>
      <c r="H587" s="345"/>
      <c r="I587" s="346"/>
      <c r="J587" s="347"/>
      <c r="K587" s="312"/>
      <c r="L587" s="347"/>
      <c r="M587" s="312"/>
      <c r="N587" s="347"/>
      <c r="O587" s="312"/>
      <c r="P587" s="347"/>
      <c r="Q587" s="312"/>
      <c r="R587" s="347"/>
      <c r="S587" s="312"/>
      <c r="T587" s="347"/>
    </row>
    <row r="588" spans="1:20" ht="12" customHeight="1" x14ac:dyDescent="0.3">
      <c r="A588" s="340" t="s">
        <v>294</v>
      </c>
      <c r="B588" s="341">
        <v>13</v>
      </c>
      <c r="C588" s="309">
        <v>46063</v>
      </c>
      <c r="D588" s="310" t="s">
        <v>457</v>
      </c>
      <c r="E588" s="342">
        <v>159.35</v>
      </c>
      <c r="F588" s="342"/>
      <c r="G588" s="344">
        <f t="shared" si="4"/>
        <v>2393.1499999999924</v>
      </c>
      <c r="H588" s="345"/>
      <c r="I588" s="346"/>
      <c r="J588" s="347"/>
      <c r="K588" s="312"/>
      <c r="L588" s="347"/>
      <c r="M588" s="312"/>
      <c r="N588" s="347"/>
      <c r="O588" s="312"/>
      <c r="P588" s="347"/>
      <c r="Q588" s="312"/>
      <c r="R588" s="347"/>
      <c r="S588" s="312"/>
      <c r="T588" s="347"/>
    </row>
    <row r="589" spans="1:20" ht="12" customHeight="1" x14ac:dyDescent="0.3">
      <c r="A589" s="340" t="s">
        <v>289</v>
      </c>
      <c r="B589" s="341">
        <v>2</v>
      </c>
      <c r="C589" s="309">
        <v>46063</v>
      </c>
      <c r="D589" s="310" t="s">
        <v>296</v>
      </c>
      <c r="E589" s="342">
        <v>16.29</v>
      </c>
      <c r="F589" s="342"/>
      <c r="G589" s="344">
        <f t="shared" si="4"/>
        <v>2552.4999999999923</v>
      </c>
      <c r="H589" s="345"/>
      <c r="I589" s="346"/>
      <c r="J589" s="347"/>
      <c r="K589" s="312"/>
      <c r="L589" s="347"/>
      <c r="M589" s="312"/>
      <c r="N589" s="347"/>
      <c r="O589" s="312"/>
      <c r="P589" s="347"/>
      <c r="Q589" s="312"/>
      <c r="R589" s="347"/>
      <c r="S589" s="312"/>
      <c r="T589" s="347"/>
    </row>
    <row r="590" spans="1:20" ht="12" customHeight="1" x14ac:dyDescent="0.3">
      <c r="A590" s="340" t="s">
        <v>289</v>
      </c>
      <c r="B590" s="341">
        <v>1</v>
      </c>
      <c r="C590" s="309">
        <v>46063</v>
      </c>
      <c r="D590" s="310" t="s">
        <v>312</v>
      </c>
      <c r="E590" s="342">
        <v>19.329999999999998</v>
      </c>
      <c r="F590" s="342"/>
      <c r="G590" s="344">
        <f t="shared" si="4"/>
        <v>2568.7899999999922</v>
      </c>
      <c r="H590" s="345"/>
      <c r="I590" s="346"/>
      <c r="J590" s="347"/>
      <c r="K590" s="312"/>
      <c r="L590" s="347"/>
      <c r="M590" s="312"/>
      <c r="N590" s="347"/>
      <c r="O590" s="312"/>
      <c r="P590" s="347"/>
      <c r="Q590" s="312"/>
      <c r="R590" s="347"/>
      <c r="S590" s="312"/>
      <c r="T590" s="347"/>
    </row>
    <row r="591" spans="1:20" ht="12" customHeight="1" x14ac:dyDescent="0.3">
      <c r="A591" s="340" t="s">
        <v>289</v>
      </c>
      <c r="B591" s="341">
        <v>3</v>
      </c>
      <c r="C591" s="309">
        <v>46062</v>
      </c>
      <c r="D591" s="310" t="s">
        <v>458</v>
      </c>
      <c r="E591" s="342">
        <v>8.61</v>
      </c>
      <c r="F591" s="342"/>
      <c r="G591" s="344">
        <f t="shared" ref="G591:G836" si="5">G592-E591+F591</f>
        <v>2588.1199999999922</v>
      </c>
      <c r="H591" s="345"/>
      <c r="I591" s="346"/>
      <c r="J591" s="347"/>
      <c r="K591" s="312"/>
      <c r="L591" s="347"/>
      <c r="M591" s="312"/>
      <c r="N591" s="347"/>
      <c r="O591" s="312"/>
      <c r="P591" s="347"/>
      <c r="Q591" s="312"/>
      <c r="R591" s="347"/>
      <c r="S591" s="312"/>
      <c r="T591" s="347"/>
    </row>
    <row r="592" spans="1:20" ht="12" customHeight="1" x14ac:dyDescent="0.3">
      <c r="A592" s="340" t="s">
        <v>289</v>
      </c>
      <c r="B592" s="341">
        <v>2</v>
      </c>
      <c r="C592" s="309">
        <v>46062</v>
      </c>
      <c r="D592" s="310" t="s">
        <v>296</v>
      </c>
      <c r="E592" s="342">
        <v>13.41</v>
      </c>
      <c r="F592" s="342"/>
      <c r="G592" s="344">
        <f t="shared" si="5"/>
        <v>2596.7299999999923</v>
      </c>
      <c r="H592" s="345"/>
      <c r="I592" s="346"/>
      <c r="J592" s="347"/>
      <c r="K592" s="312"/>
      <c r="L592" s="347"/>
      <c r="M592" s="312"/>
      <c r="N592" s="347"/>
      <c r="O592" s="312"/>
      <c r="P592" s="347"/>
      <c r="Q592" s="312"/>
      <c r="R592" s="347"/>
      <c r="S592" s="312"/>
      <c r="T592" s="347"/>
    </row>
    <row r="593" spans="1:20" ht="12" customHeight="1" x14ac:dyDescent="0.3">
      <c r="A593" s="340" t="s">
        <v>294</v>
      </c>
      <c r="B593" s="341">
        <v>18</v>
      </c>
      <c r="C593" s="309">
        <v>46062</v>
      </c>
      <c r="D593" s="310" t="s">
        <v>365</v>
      </c>
      <c r="E593" s="342">
        <v>400</v>
      </c>
      <c r="F593" s="342"/>
      <c r="G593" s="344">
        <f t="shared" si="5"/>
        <v>2610.1399999999921</v>
      </c>
      <c r="H593" s="345"/>
      <c r="I593" s="346"/>
      <c r="J593" s="347"/>
      <c r="K593" s="312"/>
      <c r="L593" s="347"/>
      <c r="M593" s="312"/>
      <c r="N593" s="347"/>
      <c r="O593" s="312"/>
      <c r="P593" s="347"/>
      <c r="Q593" s="312"/>
      <c r="R593" s="347"/>
      <c r="S593" s="312"/>
      <c r="T593" s="347"/>
    </row>
    <row r="594" spans="1:20" ht="12" customHeight="1" x14ac:dyDescent="0.3">
      <c r="A594" s="340" t="s">
        <v>294</v>
      </c>
      <c r="B594" s="341">
        <v>9</v>
      </c>
      <c r="C594" s="309">
        <v>46062</v>
      </c>
      <c r="D594" s="310" t="s">
        <v>58</v>
      </c>
      <c r="E594" s="342">
        <v>1281.53</v>
      </c>
      <c r="F594" s="342"/>
      <c r="G594" s="344">
        <f t="shared" si="5"/>
        <v>3010.1399999999921</v>
      </c>
      <c r="H594" s="345"/>
      <c r="I594" s="346"/>
      <c r="J594" s="347"/>
      <c r="K594" s="312"/>
      <c r="L594" s="347"/>
      <c r="M594" s="312"/>
      <c r="N594" s="347"/>
      <c r="O594" s="312"/>
      <c r="P594" s="347"/>
      <c r="Q594" s="312"/>
      <c r="R594" s="347"/>
      <c r="S594" s="312"/>
      <c r="T594" s="347"/>
    </row>
    <row r="595" spans="1:20" ht="12" customHeight="1" x14ac:dyDescent="0.3">
      <c r="A595" s="340" t="s">
        <v>289</v>
      </c>
      <c r="B595" s="341">
        <v>5</v>
      </c>
      <c r="C595" s="309">
        <v>46062</v>
      </c>
      <c r="D595" s="310" t="s">
        <v>459</v>
      </c>
      <c r="E595" s="342">
        <v>50</v>
      </c>
      <c r="F595" s="342"/>
      <c r="G595" s="344">
        <f t="shared" si="5"/>
        <v>4291.6699999999919</v>
      </c>
      <c r="H595" s="345"/>
      <c r="I595" s="346"/>
      <c r="J595" s="347"/>
      <c r="K595" s="312"/>
      <c r="L595" s="347"/>
      <c r="M595" s="312"/>
      <c r="N595" s="347"/>
      <c r="O595" s="312"/>
      <c r="P595" s="347"/>
      <c r="Q595" s="312"/>
      <c r="R595" s="347"/>
      <c r="S595" s="312"/>
      <c r="T595" s="347"/>
    </row>
    <row r="596" spans="1:20" ht="12" customHeight="1" x14ac:dyDescent="0.3">
      <c r="A596" s="340" t="s">
        <v>289</v>
      </c>
      <c r="B596" s="341">
        <v>2</v>
      </c>
      <c r="C596" s="309">
        <v>46062</v>
      </c>
      <c r="D596" s="310" t="s">
        <v>460</v>
      </c>
      <c r="E596" s="342">
        <v>12.1</v>
      </c>
      <c r="F596" s="342"/>
      <c r="G596" s="344">
        <f t="shared" si="5"/>
        <v>4341.6699999999919</v>
      </c>
      <c r="H596" s="345"/>
      <c r="I596" s="346"/>
      <c r="J596" s="347"/>
      <c r="K596" s="312"/>
      <c r="L596" s="347"/>
      <c r="M596" s="312"/>
      <c r="N596" s="347"/>
      <c r="O596" s="312"/>
      <c r="P596" s="347"/>
      <c r="Q596" s="312"/>
      <c r="R596" s="347"/>
      <c r="S596" s="312"/>
      <c r="T596" s="347"/>
    </row>
    <row r="597" spans="1:20" ht="12" customHeight="1" x14ac:dyDescent="0.3">
      <c r="A597" s="340" t="s">
        <v>289</v>
      </c>
      <c r="B597" s="341">
        <v>1</v>
      </c>
      <c r="C597" s="309">
        <v>46061</v>
      </c>
      <c r="D597" s="310" t="s">
        <v>307</v>
      </c>
      <c r="E597" s="342">
        <v>72.099999999999994</v>
      </c>
      <c r="F597" s="342"/>
      <c r="G597" s="344">
        <f t="shared" si="5"/>
        <v>4353.7699999999923</v>
      </c>
      <c r="H597" s="345"/>
      <c r="I597" s="346"/>
      <c r="J597" s="347"/>
      <c r="K597" s="312"/>
      <c r="L597" s="347"/>
      <c r="M597" s="312"/>
      <c r="N597" s="347"/>
      <c r="O597" s="312"/>
      <c r="P597" s="347"/>
      <c r="Q597" s="312"/>
      <c r="R597" s="347"/>
      <c r="S597" s="312"/>
      <c r="T597" s="347"/>
    </row>
    <row r="598" spans="1:20" ht="12" customHeight="1" x14ac:dyDescent="0.3">
      <c r="A598" s="340" t="s">
        <v>289</v>
      </c>
      <c r="B598" s="341">
        <v>8</v>
      </c>
      <c r="C598" s="309">
        <v>46061</v>
      </c>
      <c r="D598" s="310" t="s">
        <v>321</v>
      </c>
      <c r="E598" s="342">
        <v>30.25</v>
      </c>
      <c r="F598" s="342"/>
      <c r="G598" s="344">
        <f t="shared" si="5"/>
        <v>4425.8699999999926</v>
      </c>
      <c r="H598" s="345"/>
      <c r="I598" s="346"/>
      <c r="J598" s="347"/>
      <c r="K598" s="312"/>
      <c r="L598" s="347"/>
      <c r="M598" s="312"/>
      <c r="N598" s="347"/>
      <c r="O598" s="312"/>
      <c r="P598" s="347"/>
      <c r="Q598" s="312"/>
      <c r="R598" s="347"/>
      <c r="S598" s="312"/>
      <c r="T598" s="347"/>
    </row>
    <row r="599" spans="1:20" ht="12" customHeight="1" x14ac:dyDescent="0.3">
      <c r="A599" s="340" t="s">
        <v>289</v>
      </c>
      <c r="B599" s="341">
        <v>3</v>
      </c>
      <c r="C599" s="309">
        <v>46061</v>
      </c>
      <c r="D599" s="310" t="s">
        <v>296</v>
      </c>
      <c r="E599" s="342">
        <v>3.72</v>
      </c>
      <c r="F599" s="342"/>
      <c r="G599" s="344">
        <f t="shared" si="5"/>
        <v>4456.1199999999926</v>
      </c>
      <c r="H599" s="345"/>
      <c r="I599" s="346"/>
      <c r="J599" s="347"/>
      <c r="K599" s="312"/>
      <c r="L599" s="347"/>
      <c r="M599" s="312"/>
      <c r="N599" s="347"/>
      <c r="O599" s="312"/>
      <c r="P599" s="347"/>
      <c r="Q599" s="312"/>
      <c r="R599" s="347"/>
      <c r="S599" s="312"/>
      <c r="T599" s="347"/>
    </row>
    <row r="600" spans="1:20" ht="12" customHeight="1" x14ac:dyDescent="0.3">
      <c r="A600" s="340" t="s">
        <v>289</v>
      </c>
      <c r="B600" s="341">
        <v>4</v>
      </c>
      <c r="C600" s="309">
        <v>46061</v>
      </c>
      <c r="D600" s="310" t="s">
        <v>296</v>
      </c>
      <c r="E600" s="342">
        <v>41.6</v>
      </c>
      <c r="F600" s="342"/>
      <c r="G600" s="344">
        <f t="shared" si="5"/>
        <v>4459.8399999999929</v>
      </c>
      <c r="H600" s="345"/>
      <c r="I600" s="346"/>
      <c r="J600" s="347"/>
      <c r="K600" s="312"/>
      <c r="L600" s="347"/>
      <c r="M600" s="312"/>
      <c r="N600" s="347"/>
      <c r="O600" s="312"/>
      <c r="P600" s="347"/>
      <c r="Q600" s="312"/>
      <c r="R600" s="347"/>
      <c r="S600" s="312"/>
      <c r="T600" s="347"/>
    </row>
    <row r="601" spans="1:20" ht="12" customHeight="1" x14ac:dyDescent="0.3">
      <c r="A601" s="340" t="s">
        <v>289</v>
      </c>
      <c r="B601" s="341">
        <v>3</v>
      </c>
      <c r="C601" s="309">
        <v>46061</v>
      </c>
      <c r="D601" s="310" t="s">
        <v>461</v>
      </c>
      <c r="E601" s="342">
        <v>1</v>
      </c>
      <c r="F601" s="342"/>
      <c r="G601" s="344">
        <f t="shared" si="5"/>
        <v>4501.4399999999932</v>
      </c>
      <c r="H601" s="345"/>
      <c r="I601" s="346"/>
      <c r="J601" s="347"/>
      <c r="K601" s="312"/>
      <c r="L601" s="347"/>
      <c r="M601" s="312"/>
      <c r="N601" s="347"/>
      <c r="O601" s="312"/>
      <c r="P601" s="347"/>
      <c r="Q601" s="312"/>
      <c r="R601" s="347"/>
      <c r="S601" s="312"/>
      <c r="T601" s="347"/>
    </row>
    <row r="602" spans="1:20" ht="12" customHeight="1" x14ac:dyDescent="0.3">
      <c r="A602" s="340" t="s">
        <v>289</v>
      </c>
      <c r="B602" s="341">
        <v>2</v>
      </c>
      <c r="C602" s="309">
        <v>46061</v>
      </c>
      <c r="D602" s="310" t="s">
        <v>362</v>
      </c>
      <c r="E602" s="342">
        <v>10.17</v>
      </c>
      <c r="F602" s="342"/>
      <c r="G602" s="344">
        <f t="shared" si="5"/>
        <v>4502.4399999999932</v>
      </c>
      <c r="H602" s="345"/>
      <c r="I602" s="346"/>
      <c r="J602" s="347"/>
      <c r="K602" s="312"/>
      <c r="L602" s="347"/>
      <c r="M602" s="312"/>
      <c r="N602" s="347"/>
      <c r="O602" s="312"/>
      <c r="P602" s="347"/>
      <c r="Q602" s="312"/>
      <c r="R602" s="347"/>
      <c r="S602" s="312"/>
      <c r="T602" s="347"/>
    </row>
    <row r="603" spans="1:20" ht="12" customHeight="1" x14ac:dyDescent="0.3">
      <c r="A603" s="340" t="s">
        <v>287</v>
      </c>
      <c r="B603" s="341" t="s">
        <v>287</v>
      </c>
      <c r="C603" s="309">
        <v>46060</v>
      </c>
      <c r="D603" s="310" t="s">
        <v>462</v>
      </c>
      <c r="E603" s="342">
        <v>367.77</v>
      </c>
      <c r="F603" s="342">
        <v>367.77</v>
      </c>
      <c r="G603" s="344">
        <f t="shared" si="5"/>
        <v>4512.6099999999933</v>
      </c>
      <c r="H603" s="345"/>
      <c r="I603" s="346"/>
      <c r="J603" s="347"/>
      <c r="K603" s="312"/>
      <c r="L603" s="347"/>
      <c r="M603" s="312"/>
      <c r="N603" s="347"/>
      <c r="O603" s="312"/>
      <c r="P603" s="347"/>
      <c r="Q603" s="312"/>
      <c r="R603" s="347"/>
      <c r="S603" s="312"/>
      <c r="T603" s="347"/>
    </row>
    <row r="604" spans="1:20" ht="12" customHeight="1" x14ac:dyDescent="0.3">
      <c r="A604" s="340" t="s">
        <v>289</v>
      </c>
      <c r="B604" s="341">
        <v>4</v>
      </c>
      <c r="C604" s="309">
        <v>46060</v>
      </c>
      <c r="D604" s="310" t="s">
        <v>311</v>
      </c>
      <c r="E604" s="342">
        <v>32.36</v>
      </c>
      <c r="F604" s="342"/>
      <c r="G604" s="344">
        <f t="shared" si="5"/>
        <v>4512.6099999999933</v>
      </c>
      <c r="H604" s="345"/>
      <c r="I604" s="346"/>
      <c r="J604" s="347"/>
      <c r="K604" s="312"/>
      <c r="L604" s="347"/>
      <c r="M604" s="312"/>
      <c r="N604" s="347"/>
      <c r="O604" s="312"/>
      <c r="P604" s="347"/>
      <c r="Q604" s="312"/>
      <c r="R604" s="347"/>
      <c r="S604" s="312"/>
      <c r="T604" s="347"/>
    </row>
    <row r="605" spans="1:20" ht="12" customHeight="1" x14ac:dyDescent="0.3">
      <c r="A605" s="340" t="s">
        <v>289</v>
      </c>
      <c r="B605" s="341">
        <v>6</v>
      </c>
      <c r="C605" s="309">
        <v>46060</v>
      </c>
      <c r="D605" s="310" t="s">
        <v>463</v>
      </c>
      <c r="E605" s="342">
        <v>41.39</v>
      </c>
      <c r="F605" s="342"/>
      <c r="G605" s="344">
        <f t="shared" si="5"/>
        <v>4544.969999999993</v>
      </c>
      <c r="H605" s="345"/>
      <c r="I605" s="346"/>
      <c r="J605" s="347"/>
      <c r="K605" s="312"/>
      <c r="L605" s="347"/>
      <c r="M605" s="312"/>
      <c r="N605" s="347"/>
      <c r="O605" s="312"/>
      <c r="P605" s="347"/>
      <c r="Q605" s="312"/>
      <c r="R605" s="347"/>
      <c r="S605" s="312"/>
      <c r="T605" s="347"/>
    </row>
    <row r="606" spans="1:20" ht="12" customHeight="1" x14ac:dyDescent="0.3">
      <c r="A606" s="340" t="s">
        <v>289</v>
      </c>
      <c r="B606" s="341">
        <v>1</v>
      </c>
      <c r="C606" s="309">
        <v>46060</v>
      </c>
      <c r="D606" s="310" t="s">
        <v>454</v>
      </c>
      <c r="E606" s="342">
        <v>35.770000000000003</v>
      </c>
      <c r="F606" s="342"/>
      <c r="G606" s="344">
        <f t="shared" si="5"/>
        <v>4586.3599999999933</v>
      </c>
      <c r="H606" s="345"/>
      <c r="I606" s="346"/>
      <c r="J606" s="347"/>
      <c r="K606" s="312"/>
      <c r="L606" s="347"/>
      <c r="M606" s="312"/>
      <c r="N606" s="347"/>
      <c r="O606" s="312"/>
      <c r="P606" s="347"/>
      <c r="Q606" s="312"/>
      <c r="R606" s="347"/>
      <c r="S606" s="312"/>
      <c r="T606" s="347"/>
    </row>
    <row r="607" spans="1:20" ht="12" customHeight="1" x14ac:dyDescent="0.3">
      <c r="A607" s="340" t="s">
        <v>289</v>
      </c>
      <c r="B607" s="341">
        <v>3</v>
      </c>
      <c r="C607" s="309">
        <v>46060</v>
      </c>
      <c r="D607" s="310" t="s">
        <v>352</v>
      </c>
      <c r="E607" s="342">
        <v>25</v>
      </c>
      <c r="F607" s="342"/>
      <c r="G607" s="344">
        <f t="shared" si="5"/>
        <v>4622.1299999999937</v>
      </c>
      <c r="H607" s="345"/>
      <c r="I607" s="346"/>
      <c r="J607" s="347"/>
      <c r="K607" s="312"/>
      <c r="L607" s="347"/>
      <c r="M607" s="312"/>
      <c r="N607" s="347"/>
      <c r="O607" s="312"/>
      <c r="P607" s="347"/>
      <c r="Q607" s="312"/>
      <c r="R607" s="347"/>
      <c r="S607" s="312"/>
      <c r="T607" s="347"/>
    </row>
    <row r="608" spans="1:20" ht="12" customHeight="1" x14ac:dyDescent="0.3">
      <c r="A608" s="340" t="s">
        <v>289</v>
      </c>
      <c r="B608" s="341">
        <v>8</v>
      </c>
      <c r="C608" s="309">
        <v>46060</v>
      </c>
      <c r="D608" s="310" t="s">
        <v>296</v>
      </c>
      <c r="E608" s="342">
        <v>6.69</v>
      </c>
      <c r="F608" s="342"/>
      <c r="G608" s="344">
        <f t="shared" si="5"/>
        <v>4647.1299999999937</v>
      </c>
      <c r="H608" s="345"/>
      <c r="I608" s="346"/>
      <c r="J608" s="347"/>
      <c r="K608" s="312"/>
      <c r="L608" s="347"/>
      <c r="M608" s="312"/>
      <c r="N608" s="347"/>
      <c r="O608" s="312"/>
      <c r="P608" s="347"/>
      <c r="Q608" s="312"/>
      <c r="R608" s="347"/>
      <c r="S608" s="312"/>
      <c r="T608" s="347"/>
    </row>
    <row r="609" spans="1:20" ht="12" customHeight="1" x14ac:dyDescent="0.3">
      <c r="A609" s="340" t="s">
        <v>289</v>
      </c>
      <c r="B609" s="341">
        <v>4</v>
      </c>
      <c r="C609" s="309">
        <v>46060</v>
      </c>
      <c r="D609" s="310" t="s">
        <v>296</v>
      </c>
      <c r="E609" s="342">
        <v>47.85</v>
      </c>
      <c r="F609" s="342"/>
      <c r="G609" s="344">
        <f t="shared" si="5"/>
        <v>4653.8199999999933</v>
      </c>
      <c r="H609" s="345"/>
      <c r="I609" s="346"/>
      <c r="J609" s="347"/>
      <c r="K609" s="312"/>
      <c r="L609" s="347"/>
      <c r="M609" s="312"/>
      <c r="N609" s="347"/>
      <c r="O609" s="312"/>
      <c r="P609" s="347"/>
      <c r="Q609" s="312"/>
      <c r="R609" s="347"/>
      <c r="S609" s="312"/>
      <c r="T609" s="347"/>
    </row>
    <row r="610" spans="1:20" ht="12" customHeight="1" x14ac:dyDescent="0.3">
      <c r="A610" s="340" t="s">
        <v>289</v>
      </c>
      <c r="B610" s="341">
        <v>2</v>
      </c>
      <c r="C610" s="309">
        <v>46059</v>
      </c>
      <c r="D610" s="310" t="s">
        <v>301</v>
      </c>
      <c r="E610" s="342">
        <v>20</v>
      </c>
      <c r="F610" s="342"/>
      <c r="G610" s="344">
        <f t="shared" si="5"/>
        <v>4701.6699999999937</v>
      </c>
      <c r="H610" s="345"/>
      <c r="I610" s="346"/>
      <c r="J610" s="347"/>
      <c r="K610" s="312"/>
      <c r="L610" s="347"/>
      <c r="M610" s="312"/>
      <c r="N610" s="347"/>
      <c r="O610" s="312"/>
      <c r="P610" s="347"/>
      <c r="Q610" s="312"/>
      <c r="R610" s="347"/>
      <c r="S610" s="312"/>
      <c r="T610" s="347"/>
    </row>
    <row r="611" spans="1:20" ht="12" customHeight="1" x14ac:dyDescent="0.3">
      <c r="A611" s="340" t="s">
        <v>291</v>
      </c>
      <c r="B611" s="341">
        <v>40</v>
      </c>
      <c r="C611" s="309">
        <v>46059</v>
      </c>
      <c r="D611" s="310" t="s">
        <v>318</v>
      </c>
      <c r="E611" s="342"/>
      <c r="F611" s="342">
        <v>822.99</v>
      </c>
      <c r="G611" s="344">
        <f t="shared" si="5"/>
        <v>4721.6699999999937</v>
      </c>
      <c r="H611" s="345"/>
      <c r="I611" s="346"/>
      <c r="J611" s="347"/>
      <c r="K611" s="312"/>
      <c r="L611" s="347"/>
      <c r="M611" s="312"/>
      <c r="N611" s="347"/>
      <c r="O611" s="312"/>
      <c r="P611" s="347"/>
      <c r="Q611" s="312"/>
      <c r="R611" s="347"/>
      <c r="S611" s="312"/>
      <c r="T611" s="347"/>
    </row>
    <row r="612" spans="1:20" ht="12" customHeight="1" x14ac:dyDescent="0.3">
      <c r="A612" s="340" t="s">
        <v>294</v>
      </c>
      <c r="B612" s="341">
        <v>14</v>
      </c>
      <c r="C612" s="309">
        <v>46059</v>
      </c>
      <c r="D612" s="310" t="s">
        <v>370</v>
      </c>
      <c r="E612" s="342">
        <v>66.67</v>
      </c>
      <c r="F612" s="342"/>
      <c r="G612" s="344">
        <f t="shared" si="5"/>
        <v>3898.6799999999935</v>
      </c>
      <c r="H612" s="345"/>
      <c r="I612" s="346"/>
      <c r="J612" s="347"/>
      <c r="K612" s="312"/>
      <c r="L612" s="347"/>
      <c r="M612" s="312"/>
      <c r="N612" s="347"/>
      <c r="O612" s="312"/>
      <c r="P612" s="347"/>
      <c r="Q612" s="312"/>
      <c r="R612" s="347"/>
      <c r="S612" s="312"/>
      <c r="T612" s="347"/>
    </row>
    <row r="613" spans="1:20" ht="12" customHeight="1" x14ac:dyDescent="0.3">
      <c r="A613" s="340" t="s">
        <v>289</v>
      </c>
      <c r="B613" s="341">
        <v>2</v>
      </c>
      <c r="C613" s="309">
        <v>46059</v>
      </c>
      <c r="D613" s="310" t="s">
        <v>296</v>
      </c>
      <c r="E613" s="342">
        <v>9.35</v>
      </c>
      <c r="F613" s="342"/>
      <c r="G613" s="344">
        <f t="shared" si="5"/>
        <v>3965.3499999999935</v>
      </c>
      <c r="H613" s="345"/>
      <c r="I613" s="346"/>
      <c r="J613" s="347"/>
      <c r="K613" s="312"/>
      <c r="L613" s="347"/>
      <c r="M613" s="312"/>
      <c r="N613" s="347"/>
      <c r="O613" s="312"/>
      <c r="P613" s="347"/>
      <c r="Q613" s="312"/>
      <c r="R613" s="347"/>
      <c r="S613" s="312"/>
      <c r="T613" s="347"/>
    </row>
    <row r="614" spans="1:20" ht="12" customHeight="1" x14ac:dyDescent="0.3">
      <c r="A614" s="340" t="s">
        <v>289</v>
      </c>
      <c r="B614" s="341">
        <v>4</v>
      </c>
      <c r="C614" s="309">
        <v>46059</v>
      </c>
      <c r="D614" s="310" t="s">
        <v>296</v>
      </c>
      <c r="E614" s="342">
        <v>45.81</v>
      </c>
      <c r="F614" s="342"/>
      <c r="G614" s="344">
        <f t="shared" si="5"/>
        <v>3974.6999999999935</v>
      </c>
      <c r="H614" s="345"/>
      <c r="I614" s="346"/>
      <c r="J614" s="347"/>
      <c r="K614" s="312"/>
      <c r="L614" s="347"/>
      <c r="M614" s="312"/>
      <c r="N614" s="347"/>
      <c r="O614" s="312"/>
      <c r="P614" s="347"/>
      <c r="Q614" s="312"/>
      <c r="R614" s="347"/>
      <c r="S614" s="312"/>
      <c r="T614" s="347"/>
    </row>
    <row r="615" spans="1:20" ht="12" customHeight="1" x14ac:dyDescent="0.3">
      <c r="A615" s="340" t="s">
        <v>289</v>
      </c>
      <c r="B615" s="341">
        <v>2</v>
      </c>
      <c r="C615" s="309">
        <v>46059</v>
      </c>
      <c r="D615" s="310" t="s">
        <v>357</v>
      </c>
      <c r="E615" s="342">
        <v>22.98</v>
      </c>
      <c r="F615" s="342"/>
      <c r="G615" s="344">
        <f t="shared" si="5"/>
        <v>4020.5099999999934</v>
      </c>
      <c r="H615" s="345"/>
      <c r="I615" s="346"/>
      <c r="J615" s="347"/>
      <c r="K615" s="312"/>
      <c r="L615" s="347"/>
      <c r="M615" s="312"/>
      <c r="N615" s="347"/>
      <c r="O615" s="312"/>
      <c r="P615" s="347"/>
      <c r="Q615" s="312"/>
      <c r="R615" s="347"/>
      <c r="S615" s="312"/>
      <c r="T615" s="347"/>
    </row>
    <row r="616" spans="1:20" ht="12" customHeight="1" x14ac:dyDescent="0.3">
      <c r="A616" s="340" t="s">
        <v>289</v>
      </c>
      <c r="B616" s="341">
        <v>2</v>
      </c>
      <c r="C616" s="309">
        <v>46059</v>
      </c>
      <c r="D616" s="310" t="s">
        <v>301</v>
      </c>
      <c r="E616" s="342">
        <v>46.5</v>
      </c>
      <c r="F616" s="342"/>
      <c r="G616" s="344">
        <f t="shared" si="5"/>
        <v>4043.4899999999934</v>
      </c>
      <c r="H616" s="345"/>
      <c r="I616" s="346"/>
      <c r="J616" s="347"/>
      <c r="K616" s="312"/>
      <c r="L616" s="347"/>
      <c r="M616" s="312"/>
      <c r="N616" s="347"/>
      <c r="O616" s="312"/>
      <c r="P616" s="347"/>
      <c r="Q616" s="312"/>
      <c r="R616" s="347"/>
      <c r="S616" s="312"/>
      <c r="T616" s="347"/>
    </row>
    <row r="617" spans="1:20" ht="12" customHeight="1" x14ac:dyDescent="0.3">
      <c r="A617" s="340" t="s">
        <v>289</v>
      </c>
      <c r="B617" s="341">
        <v>2</v>
      </c>
      <c r="C617" s="309">
        <v>46059</v>
      </c>
      <c r="D617" s="310" t="s">
        <v>362</v>
      </c>
      <c r="E617" s="342">
        <v>10.17</v>
      </c>
      <c r="F617" s="342"/>
      <c r="G617" s="344">
        <f t="shared" si="5"/>
        <v>4089.9899999999934</v>
      </c>
      <c r="H617" s="345"/>
      <c r="I617" s="346"/>
      <c r="J617" s="347"/>
      <c r="K617" s="312"/>
      <c r="L617" s="347"/>
      <c r="M617" s="312"/>
      <c r="N617" s="347"/>
      <c r="O617" s="312"/>
      <c r="P617" s="347"/>
      <c r="Q617" s="312"/>
      <c r="R617" s="347"/>
      <c r="S617" s="312"/>
      <c r="T617" s="347"/>
    </row>
    <row r="618" spans="1:20" ht="12" customHeight="1" x14ac:dyDescent="0.3">
      <c r="A618" s="340" t="s">
        <v>289</v>
      </c>
      <c r="B618" s="341">
        <v>8</v>
      </c>
      <c r="C618" s="309">
        <v>46059</v>
      </c>
      <c r="D618" s="310" t="s">
        <v>444</v>
      </c>
      <c r="E618" s="342">
        <v>81.2</v>
      </c>
      <c r="F618" s="342"/>
      <c r="G618" s="344">
        <f t="shared" si="5"/>
        <v>4100.1599999999935</v>
      </c>
      <c r="H618" s="345"/>
      <c r="I618" s="346"/>
      <c r="J618" s="347"/>
      <c r="K618" s="312"/>
      <c r="L618" s="347"/>
      <c r="M618" s="312"/>
      <c r="N618" s="347"/>
      <c r="O618" s="312"/>
      <c r="P618" s="347"/>
      <c r="Q618" s="312"/>
      <c r="R618" s="347"/>
      <c r="S618" s="312"/>
      <c r="T618" s="347"/>
    </row>
    <row r="619" spans="1:20" ht="12" customHeight="1" x14ac:dyDescent="0.3">
      <c r="A619" s="340" t="s">
        <v>289</v>
      </c>
      <c r="B619" s="341">
        <v>2</v>
      </c>
      <c r="C619" s="309">
        <v>46058</v>
      </c>
      <c r="D619" s="310" t="s">
        <v>301</v>
      </c>
      <c r="E619" s="342">
        <v>21</v>
      </c>
      <c r="F619" s="342"/>
      <c r="G619" s="344">
        <f t="shared" si="5"/>
        <v>4181.3599999999933</v>
      </c>
      <c r="H619" s="345"/>
      <c r="I619" s="346"/>
      <c r="J619" s="347"/>
      <c r="K619" s="312"/>
      <c r="L619" s="347"/>
      <c r="M619" s="312"/>
      <c r="N619" s="347"/>
      <c r="O619" s="312"/>
      <c r="P619" s="347"/>
      <c r="Q619" s="312"/>
      <c r="R619" s="347"/>
      <c r="S619" s="312"/>
      <c r="T619" s="347"/>
    </row>
    <row r="620" spans="1:20" ht="12" customHeight="1" x14ac:dyDescent="0.3">
      <c r="A620" s="340" t="s">
        <v>291</v>
      </c>
      <c r="B620" s="341">
        <v>39</v>
      </c>
      <c r="C620" s="309">
        <v>46058</v>
      </c>
      <c r="D620" s="310" t="s">
        <v>292</v>
      </c>
      <c r="E620" s="342"/>
      <c r="F620" s="342">
        <v>2763.79</v>
      </c>
      <c r="G620" s="344">
        <f t="shared" si="5"/>
        <v>4202.3599999999933</v>
      </c>
      <c r="H620" s="345"/>
      <c r="I620" s="346"/>
      <c r="J620" s="347"/>
      <c r="K620" s="312"/>
      <c r="L620" s="347"/>
      <c r="M620" s="312"/>
      <c r="N620" s="347"/>
      <c r="O620" s="312"/>
      <c r="P620" s="347"/>
      <c r="Q620" s="312"/>
      <c r="R620" s="347"/>
      <c r="S620" s="312"/>
      <c r="T620" s="347"/>
    </row>
    <row r="621" spans="1:20" ht="12" customHeight="1" x14ac:dyDescent="0.3">
      <c r="A621" s="340" t="s">
        <v>289</v>
      </c>
      <c r="B621" s="341">
        <v>8</v>
      </c>
      <c r="C621" s="309">
        <v>46058</v>
      </c>
      <c r="D621" s="310" t="s">
        <v>361</v>
      </c>
      <c r="E621" s="342">
        <v>95.35</v>
      </c>
      <c r="F621" s="342"/>
      <c r="G621" s="344">
        <f t="shared" si="5"/>
        <v>1438.5699999999933</v>
      </c>
      <c r="H621" s="345"/>
      <c r="I621" s="346"/>
      <c r="J621" s="347"/>
      <c r="K621" s="312"/>
      <c r="L621" s="347"/>
      <c r="M621" s="312"/>
      <c r="N621" s="347"/>
      <c r="O621" s="312"/>
      <c r="P621" s="347"/>
      <c r="Q621" s="312"/>
      <c r="R621" s="347"/>
      <c r="S621" s="312"/>
      <c r="T621" s="347"/>
    </row>
    <row r="622" spans="1:20" ht="12" customHeight="1" x14ac:dyDescent="0.3">
      <c r="A622" s="340" t="s">
        <v>289</v>
      </c>
      <c r="B622" s="341">
        <v>2</v>
      </c>
      <c r="C622" s="309">
        <v>46058</v>
      </c>
      <c r="D622" s="310" t="s">
        <v>357</v>
      </c>
      <c r="E622" s="342">
        <v>14.99</v>
      </c>
      <c r="F622" s="342"/>
      <c r="G622" s="344">
        <f t="shared" si="5"/>
        <v>1533.9199999999933</v>
      </c>
      <c r="H622" s="345"/>
      <c r="I622" s="346"/>
      <c r="J622" s="347"/>
      <c r="K622" s="312"/>
      <c r="L622" s="347"/>
      <c r="M622" s="312"/>
      <c r="N622" s="347"/>
      <c r="O622" s="312"/>
      <c r="P622" s="347"/>
      <c r="Q622" s="312"/>
      <c r="R622" s="347"/>
      <c r="S622" s="312"/>
      <c r="T622" s="347"/>
    </row>
    <row r="623" spans="1:20" ht="12" customHeight="1" x14ac:dyDescent="0.3">
      <c r="A623" s="340" t="s">
        <v>287</v>
      </c>
      <c r="B623" s="341" t="s">
        <v>287</v>
      </c>
      <c r="C623" s="309">
        <v>46058</v>
      </c>
      <c r="D623" s="310" t="s">
        <v>462</v>
      </c>
      <c r="E623" s="342">
        <v>77.569999999999993</v>
      </c>
      <c r="F623" s="342">
        <v>77.569999999999993</v>
      </c>
      <c r="G623" s="344">
        <f t="shared" si="5"/>
        <v>1548.9099999999933</v>
      </c>
      <c r="H623" s="345"/>
      <c r="I623" s="346"/>
      <c r="J623" s="347"/>
      <c r="K623" s="312"/>
      <c r="L623" s="347"/>
      <c r="M623" s="312"/>
      <c r="N623" s="347"/>
      <c r="O623" s="312"/>
      <c r="P623" s="347"/>
      <c r="Q623" s="312"/>
      <c r="R623" s="347"/>
      <c r="S623" s="312"/>
      <c r="T623" s="347"/>
    </row>
    <row r="624" spans="1:20" ht="12" customHeight="1" x14ac:dyDescent="0.3">
      <c r="A624" s="340" t="s">
        <v>289</v>
      </c>
      <c r="B624" s="341">
        <v>6</v>
      </c>
      <c r="C624" s="309">
        <v>46057</v>
      </c>
      <c r="D624" s="310" t="s">
        <v>348</v>
      </c>
      <c r="E624" s="342">
        <v>50</v>
      </c>
      <c r="F624" s="342"/>
      <c r="G624" s="344">
        <f t="shared" si="5"/>
        <v>1548.9099999999933</v>
      </c>
      <c r="H624" s="345"/>
      <c r="I624" s="346"/>
      <c r="J624" s="347"/>
      <c r="K624" s="312"/>
      <c r="L624" s="347"/>
      <c r="M624" s="312"/>
      <c r="N624" s="347"/>
      <c r="O624" s="312"/>
      <c r="P624" s="347"/>
      <c r="Q624" s="312"/>
      <c r="R624" s="347"/>
      <c r="S624" s="312"/>
      <c r="T624" s="347"/>
    </row>
    <row r="625" spans="1:20" ht="12" customHeight="1" x14ac:dyDescent="0.3">
      <c r="A625" s="340" t="s">
        <v>289</v>
      </c>
      <c r="B625" s="341">
        <v>1</v>
      </c>
      <c r="C625" s="309">
        <v>46057</v>
      </c>
      <c r="D625" s="310" t="s">
        <v>307</v>
      </c>
      <c r="E625" s="342">
        <v>62.03</v>
      </c>
      <c r="F625" s="342"/>
      <c r="G625" s="344">
        <f t="shared" si="5"/>
        <v>1598.9099999999933</v>
      </c>
      <c r="H625" s="345"/>
      <c r="I625" s="346"/>
      <c r="J625" s="347"/>
      <c r="K625" s="312"/>
      <c r="L625" s="347"/>
      <c r="M625" s="312"/>
      <c r="N625" s="347"/>
      <c r="O625" s="312"/>
      <c r="P625" s="347"/>
      <c r="Q625" s="312"/>
      <c r="R625" s="347"/>
      <c r="S625" s="312"/>
      <c r="T625" s="347"/>
    </row>
    <row r="626" spans="1:20" ht="12" customHeight="1" x14ac:dyDescent="0.3">
      <c r="A626" s="340" t="s">
        <v>289</v>
      </c>
      <c r="B626" s="341">
        <v>2</v>
      </c>
      <c r="C626" s="309">
        <v>46057</v>
      </c>
      <c r="D626" s="310" t="s">
        <v>296</v>
      </c>
      <c r="E626" s="342">
        <v>14.91</v>
      </c>
      <c r="F626" s="342"/>
      <c r="G626" s="344">
        <f t="shared" si="5"/>
        <v>1660.9399999999932</v>
      </c>
      <c r="H626" s="345"/>
      <c r="I626" s="346"/>
      <c r="J626" s="347"/>
      <c r="K626" s="312"/>
      <c r="L626" s="347"/>
      <c r="M626" s="312"/>
      <c r="N626" s="347"/>
      <c r="O626" s="312"/>
      <c r="P626" s="347"/>
      <c r="Q626" s="312"/>
      <c r="R626" s="347"/>
      <c r="S626" s="312"/>
      <c r="T626" s="347"/>
    </row>
    <row r="627" spans="1:20" ht="12" customHeight="1" x14ac:dyDescent="0.3">
      <c r="A627" s="340" t="s">
        <v>289</v>
      </c>
      <c r="B627" s="341">
        <v>4</v>
      </c>
      <c r="C627" s="309">
        <v>46057</v>
      </c>
      <c r="D627" s="310" t="s">
        <v>311</v>
      </c>
      <c r="E627" s="342">
        <v>63.38</v>
      </c>
      <c r="F627" s="342"/>
      <c r="G627" s="344">
        <f t="shared" si="5"/>
        <v>1675.8499999999933</v>
      </c>
      <c r="H627" s="345"/>
      <c r="I627" s="346"/>
      <c r="J627" s="347"/>
      <c r="K627" s="312"/>
      <c r="L627" s="347"/>
      <c r="M627" s="312"/>
      <c r="N627" s="347"/>
      <c r="O627" s="312"/>
      <c r="P627" s="347"/>
      <c r="Q627" s="312"/>
      <c r="R627" s="347"/>
      <c r="S627" s="312"/>
      <c r="T627" s="347"/>
    </row>
    <row r="628" spans="1:20" ht="12" customHeight="1" x14ac:dyDescent="0.3">
      <c r="A628" s="340" t="s">
        <v>287</v>
      </c>
      <c r="B628" s="341" t="s">
        <v>287</v>
      </c>
      <c r="C628" s="309">
        <v>46057</v>
      </c>
      <c r="D628" s="310" t="s">
        <v>464</v>
      </c>
      <c r="E628" s="342">
        <v>192.78</v>
      </c>
      <c r="F628" s="342">
        <v>192.78</v>
      </c>
      <c r="G628" s="344">
        <f t="shared" si="5"/>
        <v>1739.2299999999934</v>
      </c>
      <c r="H628" s="345"/>
      <c r="I628" s="346"/>
      <c r="J628" s="347"/>
      <c r="K628" s="312"/>
      <c r="L628" s="347"/>
      <c r="M628" s="312"/>
      <c r="N628" s="347"/>
      <c r="O628" s="312"/>
      <c r="P628" s="347"/>
      <c r="Q628" s="312"/>
      <c r="R628" s="347"/>
      <c r="S628" s="312"/>
      <c r="T628" s="347"/>
    </row>
    <row r="629" spans="1:20" ht="12" customHeight="1" x14ac:dyDescent="0.3">
      <c r="A629" s="340" t="s">
        <v>294</v>
      </c>
      <c r="B629" s="341">
        <v>14</v>
      </c>
      <c r="C629" s="309">
        <v>46057</v>
      </c>
      <c r="D629" s="310" t="s">
        <v>371</v>
      </c>
      <c r="E629" s="342">
        <v>68.739999999999995</v>
      </c>
      <c r="F629" s="342"/>
      <c r="G629" s="344">
        <f t="shared" si="5"/>
        <v>1739.2299999999934</v>
      </c>
      <c r="H629" s="345"/>
      <c r="I629" s="346"/>
      <c r="J629" s="347"/>
      <c r="K629" s="312"/>
      <c r="L629" s="347"/>
      <c r="M629" s="312"/>
      <c r="N629" s="347"/>
      <c r="O629" s="312"/>
      <c r="P629" s="347"/>
      <c r="Q629" s="312"/>
      <c r="R629" s="347"/>
      <c r="S629" s="312"/>
      <c r="T629" s="347"/>
    </row>
    <row r="630" spans="1:20" ht="12" customHeight="1" x14ac:dyDescent="0.3">
      <c r="A630" s="340" t="s">
        <v>289</v>
      </c>
      <c r="B630" s="341">
        <v>6</v>
      </c>
      <c r="C630" s="309">
        <v>46057</v>
      </c>
      <c r="D630" s="310" t="s">
        <v>300</v>
      </c>
      <c r="E630" s="342">
        <v>-42.58</v>
      </c>
      <c r="F630" s="342"/>
      <c r="G630" s="344">
        <f t="shared" si="5"/>
        <v>1807.9699999999934</v>
      </c>
      <c r="H630" s="345"/>
      <c r="I630" s="346"/>
      <c r="J630" s="347"/>
      <c r="K630" s="312"/>
      <c r="L630" s="347"/>
      <c r="M630" s="312"/>
      <c r="N630" s="347"/>
      <c r="O630" s="312"/>
      <c r="P630" s="347"/>
      <c r="Q630" s="312"/>
      <c r="R630" s="347"/>
      <c r="S630" s="312"/>
      <c r="T630" s="347"/>
    </row>
    <row r="631" spans="1:20" ht="12" customHeight="1" x14ac:dyDescent="0.3">
      <c r="A631" s="340" t="s">
        <v>289</v>
      </c>
      <c r="B631" s="341">
        <v>1</v>
      </c>
      <c r="C631" s="309">
        <v>46057</v>
      </c>
      <c r="D631" s="310" t="s">
        <v>375</v>
      </c>
      <c r="E631" s="342">
        <v>31.36</v>
      </c>
      <c r="F631" s="342"/>
      <c r="G631" s="344">
        <f t="shared" si="5"/>
        <v>1765.3899999999935</v>
      </c>
      <c r="H631" s="345"/>
      <c r="I631" s="346"/>
      <c r="J631" s="347"/>
      <c r="K631" s="312"/>
      <c r="L631" s="347"/>
      <c r="M631" s="312"/>
      <c r="N631" s="347"/>
      <c r="O631" s="312"/>
      <c r="P631" s="347"/>
      <c r="Q631" s="312"/>
      <c r="R631" s="347"/>
      <c r="S631" s="312"/>
      <c r="T631" s="347"/>
    </row>
    <row r="632" spans="1:20" ht="12" customHeight="1" x14ac:dyDescent="0.3">
      <c r="A632" s="340" t="s">
        <v>294</v>
      </c>
      <c r="B632" s="341">
        <v>17</v>
      </c>
      <c r="C632" s="309">
        <v>46057</v>
      </c>
      <c r="D632" s="310" t="s">
        <v>374</v>
      </c>
      <c r="E632" s="342">
        <v>99</v>
      </c>
      <c r="F632" s="342"/>
      <c r="G632" s="344">
        <f t="shared" si="5"/>
        <v>1796.7499999999934</v>
      </c>
      <c r="H632" s="345"/>
      <c r="I632" s="346"/>
      <c r="J632" s="347"/>
      <c r="K632" s="312"/>
      <c r="L632" s="347"/>
      <c r="M632" s="312"/>
      <c r="N632" s="347"/>
      <c r="O632" s="312"/>
      <c r="P632" s="347"/>
      <c r="Q632" s="312"/>
      <c r="R632" s="347"/>
      <c r="S632" s="312"/>
      <c r="T632" s="347"/>
    </row>
    <row r="633" spans="1:20" ht="12" customHeight="1" x14ac:dyDescent="0.3">
      <c r="A633" s="340" t="s">
        <v>284</v>
      </c>
      <c r="B633" s="341">
        <v>36</v>
      </c>
      <c r="C633" s="309">
        <v>46056</v>
      </c>
      <c r="D633" s="310" t="s">
        <v>378</v>
      </c>
      <c r="E633" s="342">
        <v>50</v>
      </c>
      <c r="F633" s="342"/>
      <c r="G633" s="344">
        <f t="shared" si="5"/>
        <v>1895.7499999999934</v>
      </c>
      <c r="H633" s="345"/>
      <c r="I633" s="346"/>
      <c r="J633" s="347"/>
      <c r="K633" s="312"/>
      <c r="L633" s="347"/>
      <c r="M633" s="312"/>
      <c r="N633" s="347"/>
      <c r="O633" s="312"/>
      <c r="P633" s="347"/>
      <c r="Q633" s="312"/>
      <c r="R633" s="347"/>
      <c r="S633" s="312"/>
      <c r="T633" s="347"/>
    </row>
    <row r="634" spans="1:20" ht="12" customHeight="1" x14ac:dyDescent="0.3">
      <c r="A634" s="340" t="s">
        <v>289</v>
      </c>
      <c r="B634" s="341">
        <v>8</v>
      </c>
      <c r="C634" s="309">
        <v>46056</v>
      </c>
      <c r="D634" s="310" t="s">
        <v>321</v>
      </c>
      <c r="E634" s="342">
        <v>7.92</v>
      </c>
      <c r="F634" s="342"/>
      <c r="G634" s="344">
        <f t="shared" si="5"/>
        <v>1945.7499999999934</v>
      </c>
      <c r="H634" s="345"/>
      <c r="I634" s="346"/>
      <c r="J634" s="347"/>
      <c r="K634" s="312"/>
      <c r="L634" s="347"/>
      <c r="M634" s="312"/>
      <c r="N634" s="347"/>
      <c r="O634" s="312"/>
      <c r="P634" s="347"/>
      <c r="Q634" s="312"/>
      <c r="R634" s="347"/>
      <c r="S634" s="312"/>
      <c r="T634" s="347"/>
    </row>
    <row r="635" spans="1:20" ht="12" customHeight="1" x14ac:dyDescent="0.3">
      <c r="A635" s="340" t="s">
        <v>294</v>
      </c>
      <c r="B635" s="341">
        <v>24</v>
      </c>
      <c r="C635" s="309">
        <v>46056</v>
      </c>
      <c r="D635" s="310" t="s">
        <v>437</v>
      </c>
      <c r="E635" s="342">
        <v>83.58</v>
      </c>
      <c r="F635" s="342"/>
      <c r="G635" s="344">
        <f t="shared" si="5"/>
        <v>1953.6699999999935</v>
      </c>
      <c r="H635" s="345"/>
      <c r="I635" s="346"/>
      <c r="J635" s="347"/>
      <c r="K635" s="312"/>
      <c r="L635" s="347"/>
      <c r="M635" s="312"/>
      <c r="N635" s="347"/>
      <c r="O635" s="312"/>
      <c r="P635" s="347"/>
      <c r="Q635" s="312"/>
      <c r="R635" s="347"/>
      <c r="S635" s="312"/>
      <c r="T635" s="347"/>
    </row>
    <row r="636" spans="1:20" ht="12" customHeight="1" x14ac:dyDescent="0.3">
      <c r="A636" s="340" t="s">
        <v>289</v>
      </c>
      <c r="B636" s="341">
        <v>4</v>
      </c>
      <c r="C636" s="309">
        <v>46056</v>
      </c>
      <c r="D636" s="310" t="s">
        <v>465</v>
      </c>
      <c r="E636" s="342">
        <v>28.64</v>
      </c>
      <c r="F636" s="342"/>
      <c r="G636" s="344">
        <f t="shared" si="5"/>
        <v>2037.2499999999934</v>
      </c>
      <c r="H636" s="345"/>
      <c r="I636" s="346"/>
      <c r="J636" s="347"/>
      <c r="K636" s="312"/>
      <c r="L636" s="347"/>
      <c r="M636" s="312"/>
      <c r="N636" s="347"/>
      <c r="O636" s="312"/>
      <c r="P636" s="347"/>
      <c r="Q636" s="312"/>
      <c r="R636" s="347"/>
      <c r="S636" s="312"/>
      <c r="T636" s="347"/>
    </row>
    <row r="637" spans="1:20" ht="12" customHeight="1" x14ac:dyDescent="0.3">
      <c r="A637" s="340" t="s">
        <v>289</v>
      </c>
      <c r="B637" s="341">
        <v>2</v>
      </c>
      <c r="C637" s="309">
        <v>46056</v>
      </c>
      <c r="D637" s="310" t="s">
        <v>362</v>
      </c>
      <c r="E637" s="342">
        <v>9.4700000000000006</v>
      </c>
      <c r="F637" s="342"/>
      <c r="G637" s="344">
        <f t="shared" si="5"/>
        <v>2065.8899999999935</v>
      </c>
      <c r="H637" s="345"/>
      <c r="I637" s="346"/>
      <c r="J637" s="347"/>
      <c r="K637" s="312"/>
      <c r="L637" s="347"/>
      <c r="M637" s="312"/>
      <c r="N637" s="347"/>
      <c r="O637" s="312"/>
      <c r="P637" s="347"/>
      <c r="Q637" s="312"/>
      <c r="R637" s="347"/>
      <c r="S637" s="312"/>
      <c r="T637" s="347"/>
    </row>
    <row r="638" spans="1:20" ht="12" customHeight="1" x14ac:dyDescent="0.3">
      <c r="A638" s="340" t="s">
        <v>289</v>
      </c>
      <c r="B638" s="341">
        <v>6</v>
      </c>
      <c r="C638" s="309">
        <v>46055</v>
      </c>
      <c r="D638" s="310" t="s">
        <v>466</v>
      </c>
      <c r="E638" s="342">
        <v>20</v>
      </c>
      <c r="F638" s="342"/>
      <c r="G638" s="344">
        <f t="shared" si="5"/>
        <v>2075.3599999999933</v>
      </c>
      <c r="H638" s="345"/>
      <c r="I638" s="346"/>
      <c r="J638" s="347"/>
      <c r="K638" s="312"/>
      <c r="L638" s="347"/>
      <c r="M638" s="312"/>
      <c r="N638" s="347"/>
      <c r="O638" s="312"/>
      <c r="P638" s="347"/>
      <c r="Q638" s="312"/>
      <c r="R638" s="347"/>
      <c r="S638" s="312"/>
      <c r="T638" s="347"/>
    </row>
    <row r="639" spans="1:20" ht="12" customHeight="1" x14ac:dyDescent="0.3">
      <c r="A639" s="340" t="s">
        <v>294</v>
      </c>
      <c r="B639" s="341">
        <v>17</v>
      </c>
      <c r="C639" s="309">
        <v>46055</v>
      </c>
      <c r="D639" s="310" t="s">
        <v>188</v>
      </c>
      <c r="E639" s="342">
        <v>41.54</v>
      </c>
      <c r="F639" s="342"/>
      <c r="G639" s="344">
        <f t="shared" si="5"/>
        <v>2095.3599999999933</v>
      </c>
      <c r="H639" s="345"/>
      <c r="I639" s="346"/>
      <c r="J639" s="347"/>
      <c r="K639" s="312"/>
      <c r="L639" s="347"/>
      <c r="M639" s="312"/>
      <c r="N639" s="347"/>
      <c r="O639" s="312"/>
      <c r="P639" s="347"/>
      <c r="Q639" s="312"/>
      <c r="R639" s="347"/>
      <c r="S639" s="312"/>
      <c r="T639" s="347"/>
    </row>
    <row r="640" spans="1:20" ht="12" customHeight="1" x14ac:dyDescent="0.3">
      <c r="A640" s="340" t="s">
        <v>289</v>
      </c>
      <c r="B640" s="341">
        <v>2</v>
      </c>
      <c r="C640" s="309">
        <v>46055</v>
      </c>
      <c r="D640" s="310" t="s">
        <v>296</v>
      </c>
      <c r="E640" s="342">
        <v>9.92</v>
      </c>
      <c r="F640" s="342"/>
      <c r="G640" s="344">
        <f t="shared" si="5"/>
        <v>2136.8999999999933</v>
      </c>
      <c r="H640" s="345"/>
      <c r="I640" s="346"/>
      <c r="J640" s="347"/>
      <c r="K640" s="312"/>
      <c r="L640" s="347"/>
      <c r="M640" s="312"/>
      <c r="N640" s="347"/>
      <c r="O640" s="312"/>
      <c r="P640" s="347"/>
      <c r="Q640" s="312"/>
      <c r="R640" s="347"/>
      <c r="S640" s="312"/>
      <c r="T640" s="347"/>
    </row>
    <row r="641" spans="1:20" ht="12" customHeight="1" x14ac:dyDescent="0.3">
      <c r="A641" s="340" t="s">
        <v>289</v>
      </c>
      <c r="B641" s="341">
        <v>8</v>
      </c>
      <c r="C641" s="309">
        <v>46055</v>
      </c>
      <c r="D641" s="310" t="s">
        <v>467</v>
      </c>
      <c r="E641" s="342">
        <v>155.38</v>
      </c>
      <c r="F641" s="342"/>
      <c r="G641" s="344">
        <f t="shared" si="5"/>
        <v>2146.8199999999933</v>
      </c>
      <c r="H641" s="345"/>
      <c r="I641" s="346"/>
      <c r="J641" s="347"/>
      <c r="K641" s="312"/>
      <c r="L641" s="347"/>
      <c r="M641" s="312"/>
      <c r="N641" s="347"/>
      <c r="O641" s="312"/>
      <c r="P641" s="347"/>
      <c r="Q641" s="312"/>
      <c r="R641" s="347"/>
      <c r="S641" s="312"/>
      <c r="T641" s="347"/>
    </row>
    <row r="642" spans="1:20" ht="12" customHeight="1" x14ac:dyDescent="0.3">
      <c r="A642" s="340" t="s">
        <v>294</v>
      </c>
      <c r="B642" s="341">
        <v>21</v>
      </c>
      <c r="C642" s="309">
        <v>46055</v>
      </c>
      <c r="D642" s="310" t="s">
        <v>194</v>
      </c>
      <c r="E642" s="342">
        <v>27.35</v>
      </c>
      <c r="F642" s="342"/>
      <c r="G642" s="344">
        <f t="shared" si="5"/>
        <v>2302.1999999999935</v>
      </c>
      <c r="H642" s="345"/>
      <c r="I642" s="346"/>
      <c r="J642" s="347"/>
      <c r="K642" s="312"/>
      <c r="L642" s="347"/>
      <c r="M642" s="312"/>
      <c r="N642" s="347"/>
      <c r="O642" s="312"/>
      <c r="P642" s="347"/>
      <c r="Q642" s="312"/>
      <c r="R642" s="347"/>
      <c r="S642" s="312"/>
      <c r="T642" s="347"/>
    </row>
    <row r="643" spans="1:20" ht="12" customHeight="1" x14ac:dyDescent="0.3">
      <c r="A643" s="340" t="s">
        <v>289</v>
      </c>
      <c r="B643" s="341">
        <v>6</v>
      </c>
      <c r="C643" s="309">
        <v>46054</v>
      </c>
      <c r="D643" s="310" t="s">
        <v>300</v>
      </c>
      <c r="E643" s="342">
        <v>59.37</v>
      </c>
      <c r="F643" s="342"/>
      <c r="G643" s="344">
        <f t="shared" si="5"/>
        <v>2329.5499999999934</v>
      </c>
      <c r="H643" s="345"/>
      <c r="I643" s="346"/>
      <c r="J643" s="347"/>
      <c r="K643" s="312"/>
      <c r="L643" s="347"/>
      <c r="M643" s="312"/>
      <c r="N643" s="347"/>
      <c r="O643" s="312"/>
      <c r="P643" s="347"/>
      <c r="Q643" s="312"/>
      <c r="R643" s="347"/>
      <c r="S643" s="312"/>
      <c r="T643" s="347"/>
    </row>
    <row r="644" spans="1:20" ht="12" customHeight="1" x14ac:dyDescent="0.3">
      <c r="A644" s="340" t="s">
        <v>294</v>
      </c>
      <c r="B644" s="341">
        <v>22</v>
      </c>
      <c r="C644" s="309">
        <v>46054</v>
      </c>
      <c r="D644" s="310" t="s">
        <v>379</v>
      </c>
      <c r="E644" s="342">
        <v>6.37</v>
      </c>
      <c r="F644" s="342"/>
      <c r="G644" s="344">
        <f t="shared" si="5"/>
        <v>2388.9199999999933</v>
      </c>
      <c r="H644" s="345"/>
      <c r="I644" s="346"/>
      <c r="J644" s="347"/>
      <c r="K644" s="312"/>
      <c r="L644" s="347"/>
      <c r="M644" s="312"/>
      <c r="N644" s="347"/>
      <c r="O644" s="312"/>
      <c r="P644" s="347"/>
      <c r="Q644" s="312"/>
      <c r="R644" s="347"/>
      <c r="S644" s="312"/>
      <c r="T644" s="347"/>
    </row>
    <row r="645" spans="1:20" ht="12" customHeight="1" x14ac:dyDescent="0.3">
      <c r="A645" s="340" t="s">
        <v>289</v>
      </c>
      <c r="B645" s="341">
        <v>8</v>
      </c>
      <c r="C645" s="309">
        <v>46054</v>
      </c>
      <c r="D645" s="310" t="s">
        <v>468</v>
      </c>
      <c r="E645" s="342">
        <v>44.65</v>
      </c>
      <c r="F645" s="342"/>
      <c r="G645" s="344">
        <f t="shared" si="5"/>
        <v>2395.2899999999931</v>
      </c>
      <c r="H645" s="345"/>
      <c r="I645" s="346"/>
      <c r="J645" s="347"/>
      <c r="K645" s="312"/>
      <c r="L645" s="347"/>
      <c r="M645" s="312"/>
      <c r="N645" s="347"/>
      <c r="O645" s="312"/>
      <c r="P645" s="347"/>
      <c r="Q645" s="312"/>
      <c r="R645" s="347"/>
      <c r="S645" s="312"/>
      <c r="T645" s="347"/>
    </row>
    <row r="646" spans="1:20" ht="12" customHeight="1" x14ac:dyDescent="0.3">
      <c r="A646" s="340" t="s">
        <v>289</v>
      </c>
      <c r="B646" s="341">
        <v>7</v>
      </c>
      <c r="C646" s="309">
        <v>46054</v>
      </c>
      <c r="D646" s="310" t="s">
        <v>342</v>
      </c>
      <c r="E646" s="342">
        <v>35.17</v>
      </c>
      <c r="F646" s="342"/>
      <c r="G646" s="344">
        <f t="shared" si="5"/>
        <v>2439.9399999999932</v>
      </c>
      <c r="H646" s="345"/>
      <c r="I646" s="346"/>
      <c r="J646" s="347"/>
      <c r="K646" s="312"/>
      <c r="L646" s="347"/>
      <c r="M646" s="312"/>
      <c r="N646" s="347"/>
      <c r="O646" s="312"/>
      <c r="P646" s="347"/>
      <c r="Q646" s="312"/>
      <c r="R646" s="347"/>
      <c r="S646" s="312"/>
      <c r="T646" s="347"/>
    </row>
    <row r="647" spans="1:20" ht="12" customHeight="1" x14ac:dyDescent="0.3">
      <c r="A647" s="340" t="s">
        <v>289</v>
      </c>
      <c r="B647" s="341">
        <v>4</v>
      </c>
      <c r="C647" s="309">
        <v>46054</v>
      </c>
      <c r="D647" s="310" t="s">
        <v>311</v>
      </c>
      <c r="E647" s="342">
        <v>28.48</v>
      </c>
      <c r="F647" s="342"/>
      <c r="G647" s="344">
        <f t="shared" si="5"/>
        <v>2475.1099999999933</v>
      </c>
      <c r="H647" s="345"/>
      <c r="I647" s="346"/>
      <c r="J647" s="347"/>
      <c r="K647" s="312"/>
      <c r="L647" s="347"/>
      <c r="M647" s="312"/>
      <c r="N647" s="347"/>
      <c r="O647" s="312"/>
      <c r="P647" s="347"/>
      <c r="Q647" s="312"/>
      <c r="R647" s="347"/>
      <c r="S647" s="312"/>
      <c r="T647" s="347"/>
    </row>
    <row r="648" spans="1:20" ht="12" customHeight="1" x14ac:dyDescent="0.3">
      <c r="A648" s="340" t="s">
        <v>289</v>
      </c>
      <c r="B648" s="341">
        <v>1</v>
      </c>
      <c r="C648" s="309">
        <v>46054</v>
      </c>
      <c r="D648" s="310" t="s">
        <v>312</v>
      </c>
      <c r="E648" s="342">
        <v>125.07</v>
      </c>
      <c r="F648" s="342"/>
      <c r="G648" s="344">
        <f t="shared" si="5"/>
        <v>2503.5899999999933</v>
      </c>
      <c r="H648" s="345"/>
      <c r="I648" s="346"/>
      <c r="J648" s="347"/>
      <c r="K648" s="312"/>
      <c r="L648" s="347"/>
      <c r="M648" s="312"/>
      <c r="N648" s="347"/>
      <c r="O648" s="312"/>
      <c r="P648" s="347"/>
      <c r="Q648" s="312"/>
      <c r="R648" s="347"/>
      <c r="S648" s="312"/>
      <c r="T648" s="347"/>
    </row>
    <row r="649" spans="1:20" ht="12" customHeight="1" x14ac:dyDescent="0.3">
      <c r="A649" s="340" t="s">
        <v>289</v>
      </c>
      <c r="B649" s="341">
        <v>2</v>
      </c>
      <c r="C649" s="309">
        <v>46054</v>
      </c>
      <c r="D649" s="310" t="s">
        <v>468</v>
      </c>
      <c r="E649" s="342">
        <v>100</v>
      </c>
      <c r="F649" s="342"/>
      <c r="G649" s="344">
        <f t="shared" si="5"/>
        <v>2628.6599999999935</v>
      </c>
      <c r="H649" s="345"/>
      <c r="I649" s="346"/>
      <c r="J649" s="347"/>
      <c r="K649" s="312"/>
      <c r="L649" s="347"/>
      <c r="M649" s="312"/>
      <c r="N649" s="347"/>
      <c r="O649" s="312"/>
      <c r="P649" s="347"/>
      <c r="Q649" s="312"/>
      <c r="R649" s="347"/>
      <c r="S649" s="312"/>
      <c r="T649" s="347"/>
    </row>
    <row r="650" spans="1:20" ht="12" customHeight="1" x14ac:dyDescent="0.3">
      <c r="A650" s="340" t="s">
        <v>289</v>
      </c>
      <c r="B650" s="341">
        <v>1</v>
      </c>
      <c r="C650" s="309">
        <v>46054</v>
      </c>
      <c r="D650" s="310" t="s">
        <v>332</v>
      </c>
      <c r="E650" s="342">
        <v>194.96</v>
      </c>
      <c r="F650" s="342"/>
      <c r="G650" s="344">
        <f t="shared" si="5"/>
        <v>2728.6599999999935</v>
      </c>
      <c r="H650" s="345"/>
      <c r="I650" s="346"/>
      <c r="J650" s="347"/>
      <c r="K650" s="312"/>
      <c r="L650" s="347"/>
      <c r="M650" s="312"/>
      <c r="N650" s="347"/>
      <c r="O650" s="312"/>
      <c r="P650" s="347"/>
      <c r="Q650" s="312"/>
      <c r="R650" s="347"/>
      <c r="S650" s="312"/>
      <c r="T650" s="347"/>
    </row>
    <row r="651" spans="1:20" ht="12" customHeight="1" x14ac:dyDescent="0.3">
      <c r="A651" s="340" t="s">
        <v>289</v>
      </c>
      <c r="B651" s="341">
        <v>2</v>
      </c>
      <c r="C651" s="309">
        <v>46054</v>
      </c>
      <c r="D651" s="310" t="s">
        <v>417</v>
      </c>
      <c r="E651" s="342">
        <v>75.53</v>
      </c>
      <c r="F651" s="342"/>
      <c r="G651" s="344">
        <f t="shared" si="5"/>
        <v>2923.6199999999935</v>
      </c>
      <c r="H651" s="345"/>
      <c r="I651" s="346"/>
      <c r="J651" s="347"/>
      <c r="K651" s="312"/>
      <c r="L651" s="347"/>
      <c r="M651" s="312"/>
      <c r="N651" s="347"/>
      <c r="O651" s="312"/>
      <c r="P651" s="347"/>
      <c r="Q651" s="312"/>
      <c r="R651" s="347"/>
      <c r="S651" s="312"/>
      <c r="T651" s="347"/>
    </row>
    <row r="652" spans="1:20" ht="12" customHeight="1" x14ac:dyDescent="0.3">
      <c r="A652" s="340" t="s">
        <v>284</v>
      </c>
      <c r="B652" s="341">
        <v>37</v>
      </c>
      <c r="C652" s="309">
        <v>46053</v>
      </c>
      <c r="D652" s="310" t="s">
        <v>469</v>
      </c>
      <c r="E652" s="342">
        <v>3194.64</v>
      </c>
      <c r="F652" s="342"/>
      <c r="G652" s="344">
        <f t="shared" si="5"/>
        <v>2999.1499999999937</v>
      </c>
      <c r="H652" s="345"/>
      <c r="I652" s="346"/>
      <c r="J652" s="347"/>
      <c r="K652" s="312"/>
      <c r="L652" s="347"/>
      <c r="M652" s="312"/>
      <c r="N652" s="347"/>
      <c r="O652" s="312"/>
      <c r="P652" s="347"/>
      <c r="Q652" s="312"/>
      <c r="R652" s="347"/>
      <c r="S652" s="312"/>
      <c r="T652" s="347"/>
    </row>
    <row r="653" spans="1:20" ht="12" customHeight="1" x14ac:dyDescent="0.3">
      <c r="A653" s="340" t="s">
        <v>286</v>
      </c>
      <c r="B653" s="341">
        <v>25</v>
      </c>
      <c r="C653" s="309">
        <v>46053</v>
      </c>
      <c r="D653" s="309" t="s">
        <v>204</v>
      </c>
      <c r="E653" s="342">
        <v>350</v>
      </c>
      <c r="F653" s="342"/>
      <c r="G653" s="344">
        <f t="shared" si="5"/>
        <v>6193.7899999999936</v>
      </c>
      <c r="H653" s="345"/>
      <c r="I653" s="346"/>
      <c r="J653" s="347"/>
      <c r="K653" s="312"/>
      <c r="L653" s="347"/>
      <c r="M653" s="312"/>
      <c r="N653" s="347"/>
      <c r="O653" s="312"/>
      <c r="P653" s="347"/>
      <c r="Q653" s="312"/>
      <c r="R653" s="347"/>
      <c r="S653" s="312"/>
      <c r="T653" s="347"/>
    </row>
    <row r="654" spans="1:20" ht="12" customHeight="1" x14ac:dyDescent="0.3">
      <c r="A654" s="340" t="s">
        <v>286</v>
      </c>
      <c r="B654" s="341">
        <v>26</v>
      </c>
      <c r="C654" s="309">
        <v>46053</v>
      </c>
      <c r="D654" s="309" t="s">
        <v>205</v>
      </c>
      <c r="E654" s="342">
        <v>320</v>
      </c>
      <c r="F654" s="342"/>
      <c r="G654" s="344">
        <f t="shared" si="5"/>
        <v>6543.7899999999936</v>
      </c>
      <c r="H654" s="345"/>
      <c r="I654" s="346"/>
      <c r="J654" s="347"/>
      <c r="K654" s="312"/>
      <c r="L654" s="347"/>
      <c r="M654" s="312"/>
      <c r="N654" s="347"/>
      <c r="O654" s="312"/>
      <c r="P654" s="347"/>
      <c r="Q654" s="312"/>
      <c r="R654" s="347"/>
      <c r="S654" s="312"/>
      <c r="T654" s="347"/>
    </row>
    <row r="655" spans="1:20" ht="12" customHeight="1" x14ac:dyDescent="0.3">
      <c r="A655" s="340" t="s">
        <v>286</v>
      </c>
      <c r="B655" s="341">
        <v>27</v>
      </c>
      <c r="C655" s="309">
        <v>46053</v>
      </c>
      <c r="D655" s="309" t="s">
        <v>206</v>
      </c>
      <c r="E655" s="342">
        <v>25</v>
      </c>
      <c r="F655" s="342"/>
      <c r="G655" s="344">
        <f t="shared" si="5"/>
        <v>6863.7899999999936</v>
      </c>
      <c r="H655" s="345"/>
      <c r="I655" s="346"/>
      <c r="J655" s="347"/>
      <c r="K655" s="312"/>
      <c r="L655" s="347"/>
      <c r="M655" s="312"/>
      <c r="N655" s="347"/>
      <c r="O655" s="312"/>
      <c r="P655" s="347"/>
      <c r="Q655" s="312"/>
      <c r="R655" s="347"/>
      <c r="S655" s="312"/>
      <c r="T655" s="347"/>
    </row>
    <row r="656" spans="1:20" ht="12" customHeight="1" x14ac:dyDescent="0.3">
      <c r="A656" s="340" t="s">
        <v>286</v>
      </c>
      <c r="B656" s="341">
        <v>28</v>
      </c>
      <c r="C656" s="309">
        <v>46053</v>
      </c>
      <c r="D656" s="309" t="s">
        <v>207</v>
      </c>
      <c r="E656" s="342">
        <v>25</v>
      </c>
      <c r="F656" s="342"/>
      <c r="G656" s="344">
        <f t="shared" si="5"/>
        <v>6888.7899999999936</v>
      </c>
      <c r="H656" s="345"/>
      <c r="I656" s="346"/>
      <c r="J656" s="347"/>
      <c r="K656" s="312"/>
      <c r="L656" s="347"/>
      <c r="M656" s="312"/>
      <c r="N656" s="347"/>
      <c r="O656" s="312"/>
      <c r="P656" s="347"/>
      <c r="Q656" s="312"/>
      <c r="R656" s="347"/>
      <c r="S656" s="312"/>
      <c r="T656" s="347"/>
    </row>
    <row r="657" spans="1:20" ht="12" customHeight="1" x14ac:dyDescent="0.3">
      <c r="A657" s="340" t="s">
        <v>286</v>
      </c>
      <c r="B657" s="341">
        <v>29</v>
      </c>
      <c r="C657" s="309">
        <v>46053</v>
      </c>
      <c r="D657" s="309" t="s">
        <v>208</v>
      </c>
      <c r="E657" s="342">
        <v>45</v>
      </c>
      <c r="F657" s="342"/>
      <c r="G657" s="344">
        <f t="shared" si="5"/>
        <v>6913.7899999999936</v>
      </c>
      <c r="H657" s="345"/>
      <c r="I657" s="346"/>
      <c r="J657" s="347"/>
      <c r="K657" s="312"/>
      <c r="L657" s="347"/>
      <c r="M657" s="312"/>
      <c r="N657" s="347"/>
      <c r="O657" s="312"/>
      <c r="P657" s="347"/>
      <c r="Q657" s="312"/>
      <c r="R657" s="347"/>
      <c r="S657" s="312"/>
      <c r="T657" s="347"/>
    </row>
    <row r="658" spans="1:20" ht="12" customHeight="1" x14ac:dyDescent="0.3">
      <c r="A658" s="340" t="s">
        <v>286</v>
      </c>
      <c r="B658" s="341">
        <v>30</v>
      </c>
      <c r="C658" s="309">
        <v>46053</v>
      </c>
      <c r="D658" s="309" t="s">
        <v>209</v>
      </c>
      <c r="E658" s="342">
        <v>400</v>
      </c>
      <c r="F658" s="342"/>
      <c r="G658" s="344">
        <f t="shared" si="5"/>
        <v>6958.7899999999936</v>
      </c>
      <c r="H658" s="345"/>
      <c r="I658" s="346"/>
      <c r="J658" s="347"/>
      <c r="K658" s="312"/>
      <c r="L658" s="347"/>
      <c r="M658" s="312"/>
      <c r="N658" s="347"/>
      <c r="O658" s="312"/>
      <c r="P658" s="347"/>
      <c r="Q658" s="312"/>
      <c r="R658" s="347"/>
      <c r="S658" s="312"/>
      <c r="T658" s="347"/>
    </row>
    <row r="659" spans="1:20" ht="12" customHeight="1" x14ac:dyDescent="0.3">
      <c r="A659" s="340" t="s">
        <v>286</v>
      </c>
      <c r="B659" s="341">
        <v>31</v>
      </c>
      <c r="C659" s="309">
        <v>46053</v>
      </c>
      <c r="D659" s="309" t="s">
        <v>210</v>
      </c>
      <c r="E659" s="342">
        <v>375</v>
      </c>
      <c r="F659" s="342"/>
      <c r="G659" s="344">
        <f t="shared" si="5"/>
        <v>7358.7899999999936</v>
      </c>
      <c r="H659" s="345"/>
      <c r="I659" s="346"/>
      <c r="J659" s="347"/>
      <c r="K659" s="312"/>
      <c r="L659" s="347"/>
      <c r="M659" s="312"/>
      <c r="N659" s="347"/>
      <c r="O659" s="312"/>
      <c r="P659" s="347"/>
      <c r="Q659" s="312"/>
      <c r="R659" s="347"/>
      <c r="S659" s="312"/>
      <c r="T659" s="347"/>
    </row>
    <row r="660" spans="1:20" ht="12" customHeight="1" x14ac:dyDescent="0.3">
      <c r="A660" s="340" t="s">
        <v>286</v>
      </c>
      <c r="B660" s="341">
        <v>32</v>
      </c>
      <c r="C660" s="309">
        <v>46053</v>
      </c>
      <c r="D660" s="309" t="s">
        <v>211</v>
      </c>
      <c r="E660" s="342">
        <v>100</v>
      </c>
      <c r="F660" s="342"/>
      <c r="G660" s="344">
        <f t="shared" si="5"/>
        <v>7733.7899999999936</v>
      </c>
      <c r="H660" s="345"/>
      <c r="I660" s="346"/>
      <c r="J660" s="347"/>
      <c r="K660" s="312"/>
      <c r="L660" s="347"/>
      <c r="M660" s="312"/>
      <c r="N660" s="347"/>
      <c r="O660" s="312"/>
      <c r="P660" s="347"/>
      <c r="Q660" s="312"/>
      <c r="R660" s="347"/>
      <c r="S660" s="312"/>
      <c r="T660" s="347"/>
    </row>
    <row r="661" spans="1:20" ht="12" customHeight="1" x14ac:dyDescent="0.3">
      <c r="A661" s="340" t="s">
        <v>286</v>
      </c>
      <c r="B661" s="341">
        <v>33</v>
      </c>
      <c r="C661" s="309">
        <v>46053</v>
      </c>
      <c r="D661" s="309" t="s">
        <v>212</v>
      </c>
      <c r="E661" s="342">
        <v>85</v>
      </c>
      <c r="F661" s="342"/>
      <c r="G661" s="344">
        <f t="shared" si="5"/>
        <v>7833.7899999999936</v>
      </c>
      <c r="H661" s="345"/>
      <c r="I661" s="346"/>
      <c r="J661" s="347"/>
      <c r="K661" s="312"/>
      <c r="L661" s="347"/>
      <c r="M661" s="312"/>
      <c r="N661" s="347"/>
      <c r="O661" s="312"/>
      <c r="P661" s="347"/>
      <c r="Q661" s="312"/>
      <c r="R661" s="347"/>
      <c r="S661" s="312"/>
      <c r="T661" s="347"/>
    </row>
    <row r="662" spans="1:20" ht="12" customHeight="1" x14ac:dyDescent="0.3">
      <c r="A662" s="340" t="s">
        <v>286</v>
      </c>
      <c r="B662" s="341">
        <v>34</v>
      </c>
      <c r="C662" s="309">
        <v>46053</v>
      </c>
      <c r="D662" s="309" t="s">
        <v>213</v>
      </c>
      <c r="E662" s="342">
        <v>230</v>
      </c>
      <c r="F662" s="342"/>
      <c r="G662" s="344">
        <f t="shared" si="5"/>
        <v>7918.7899999999936</v>
      </c>
      <c r="H662" s="345"/>
      <c r="I662" s="346"/>
      <c r="J662" s="347"/>
      <c r="K662" s="312"/>
      <c r="L662" s="347"/>
      <c r="M662" s="312"/>
      <c r="N662" s="347"/>
      <c r="O662" s="312"/>
      <c r="P662" s="347"/>
      <c r="Q662" s="312"/>
      <c r="R662" s="347"/>
      <c r="S662" s="312"/>
      <c r="T662" s="347"/>
    </row>
    <row r="663" spans="1:20" ht="12" customHeight="1" x14ac:dyDescent="0.3">
      <c r="A663" s="340" t="s">
        <v>286</v>
      </c>
      <c r="B663" s="341">
        <v>35</v>
      </c>
      <c r="C663" s="309">
        <v>46053</v>
      </c>
      <c r="D663" s="309" t="s">
        <v>214</v>
      </c>
      <c r="E663" s="342">
        <v>45</v>
      </c>
      <c r="F663" s="342"/>
      <c r="G663" s="344">
        <f t="shared" si="5"/>
        <v>8148.7899999999936</v>
      </c>
      <c r="H663" s="345"/>
      <c r="I663" s="346"/>
      <c r="J663" s="347"/>
      <c r="K663" s="312"/>
      <c r="L663" s="347"/>
      <c r="M663" s="312"/>
      <c r="N663" s="347"/>
      <c r="O663" s="312"/>
      <c r="P663" s="347"/>
      <c r="Q663" s="312"/>
      <c r="R663" s="347"/>
      <c r="S663" s="312"/>
      <c r="T663" s="347"/>
    </row>
    <row r="664" spans="1:20" ht="12" customHeight="1" x14ac:dyDescent="0.3">
      <c r="A664" s="340" t="s">
        <v>289</v>
      </c>
      <c r="B664" s="341">
        <v>8</v>
      </c>
      <c r="C664" s="309">
        <v>46053</v>
      </c>
      <c r="D664" s="309" t="s">
        <v>321</v>
      </c>
      <c r="E664" s="342">
        <v>31.03</v>
      </c>
      <c r="F664" s="342"/>
      <c r="G664" s="344">
        <f t="shared" si="5"/>
        <v>8193.7899999999936</v>
      </c>
      <c r="H664" s="345"/>
      <c r="I664" s="346"/>
      <c r="J664" s="347"/>
      <c r="K664" s="312"/>
      <c r="L664" s="347"/>
      <c r="M664" s="312"/>
      <c r="N664" s="347"/>
      <c r="O664" s="312"/>
      <c r="P664" s="347"/>
      <c r="Q664" s="312"/>
      <c r="R664" s="347"/>
      <c r="S664" s="312"/>
      <c r="T664" s="347"/>
    </row>
    <row r="665" spans="1:20" ht="12" customHeight="1" x14ac:dyDescent="0.3">
      <c r="A665" s="340" t="s">
        <v>294</v>
      </c>
      <c r="B665" s="341">
        <v>10</v>
      </c>
      <c r="C665" s="309">
        <v>46053</v>
      </c>
      <c r="D665" s="309" t="s">
        <v>176</v>
      </c>
      <c r="E665" s="342">
        <v>17.899999999999999</v>
      </c>
      <c r="F665" s="342"/>
      <c r="G665" s="344">
        <f t="shared" si="5"/>
        <v>8224.8199999999943</v>
      </c>
      <c r="H665" s="345"/>
      <c r="I665" s="346"/>
      <c r="J665" s="347"/>
      <c r="K665" s="312"/>
      <c r="L665" s="347"/>
      <c r="M665" s="312"/>
      <c r="N665" s="347"/>
      <c r="O665" s="312"/>
      <c r="P665" s="347"/>
      <c r="Q665" s="312"/>
      <c r="R665" s="347"/>
      <c r="S665" s="312"/>
      <c r="T665" s="347"/>
    </row>
    <row r="666" spans="1:20" ht="12" customHeight="1" x14ac:dyDescent="0.3">
      <c r="A666" s="340" t="s">
        <v>289</v>
      </c>
      <c r="B666" s="341">
        <v>3</v>
      </c>
      <c r="C666" s="309">
        <v>46053</v>
      </c>
      <c r="D666" s="309" t="s">
        <v>352</v>
      </c>
      <c r="E666" s="342">
        <v>18.84</v>
      </c>
      <c r="F666" s="342"/>
      <c r="G666" s="344">
        <f t="shared" si="5"/>
        <v>8242.7199999999939</v>
      </c>
      <c r="H666" s="345"/>
      <c r="I666" s="346"/>
      <c r="J666" s="347"/>
      <c r="K666" s="312"/>
      <c r="L666" s="347"/>
      <c r="M666" s="312"/>
      <c r="N666" s="347"/>
      <c r="O666" s="312"/>
      <c r="P666" s="347"/>
      <c r="Q666" s="312"/>
      <c r="R666" s="347"/>
      <c r="S666" s="312"/>
      <c r="T666" s="347"/>
    </row>
    <row r="667" spans="1:20" ht="12" customHeight="1" x14ac:dyDescent="0.3">
      <c r="A667" s="340" t="s">
        <v>289</v>
      </c>
      <c r="B667" s="341">
        <v>8</v>
      </c>
      <c r="C667" s="309">
        <v>46053</v>
      </c>
      <c r="D667" s="309" t="s">
        <v>321</v>
      </c>
      <c r="E667" s="342">
        <v>25.54</v>
      </c>
      <c r="F667" s="342"/>
      <c r="G667" s="344">
        <f t="shared" si="5"/>
        <v>8261.559999999994</v>
      </c>
      <c r="H667" s="345"/>
      <c r="I667" s="346"/>
      <c r="J667" s="347"/>
      <c r="K667" s="312"/>
      <c r="L667" s="347"/>
      <c r="M667" s="312"/>
      <c r="N667" s="347"/>
      <c r="O667" s="312"/>
      <c r="P667" s="347"/>
      <c r="Q667" s="312"/>
      <c r="R667" s="347"/>
      <c r="S667" s="312"/>
      <c r="T667" s="347"/>
    </row>
    <row r="668" spans="1:20" ht="12" customHeight="1" x14ac:dyDescent="0.3">
      <c r="A668" s="340" t="s">
        <v>289</v>
      </c>
      <c r="B668" s="341">
        <v>8</v>
      </c>
      <c r="C668" s="309">
        <v>46053</v>
      </c>
      <c r="D668" s="309" t="s">
        <v>309</v>
      </c>
      <c r="E668" s="342">
        <v>52.59</v>
      </c>
      <c r="F668" s="342"/>
      <c r="G668" s="344">
        <f t="shared" si="5"/>
        <v>8287.0999999999949</v>
      </c>
      <c r="H668" s="345"/>
      <c r="I668" s="346"/>
      <c r="J668" s="347"/>
      <c r="K668" s="312"/>
      <c r="L668" s="347"/>
      <c r="M668" s="312"/>
      <c r="N668" s="347"/>
      <c r="O668" s="312"/>
      <c r="P668" s="347"/>
      <c r="Q668" s="312"/>
      <c r="R668" s="347"/>
      <c r="S668" s="312"/>
      <c r="T668" s="347"/>
    </row>
    <row r="669" spans="1:20" ht="12" customHeight="1" x14ac:dyDescent="0.3">
      <c r="A669" s="340" t="s">
        <v>339</v>
      </c>
      <c r="B669" s="341" t="s">
        <v>339</v>
      </c>
      <c r="C669" s="309">
        <v>46052</v>
      </c>
      <c r="D669" s="310" t="s">
        <v>470</v>
      </c>
      <c r="E669" s="342"/>
      <c r="F669" s="342">
        <v>422</v>
      </c>
      <c r="G669" s="344">
        <f t="shared" si="5"/>
        <v>8339.6899999999951</v>
      </c>
      <c r="H669" s="345"/>
      <c r="I669" s="346"/>
      <c r="J669" s="347"/>
      <c r="K669" s="312"/>
      <c r="L669" s="347"/>
      <c r="M669" s="312"/>
      <c r="N669" s="347"/>
      <c r="O669" s="312"/>
      <c r="P669" s="347"/>
      <c r="Q669" s="312"/>
      <c r="R669" s="347"/>
      <c r="S669" s="312"/>
      <c r="T669" s="347"/>
    </row>
    <row r="670" spans="1:20" ht="12" customHeight="1" x14ac:dyDescent="0.3">
      <c r="A670" s="340" t="s">
        <v>289</v>
      </c>
      <c r="B670" s="341">
        <v>5</v>
      </c>
      <c r="C670" s="309">
        <v>46052</v>
      </c>
      <c r="D670" s="310" t="s">
        <v>471</v>
      </c>
      <c r="E670" s="342">
        <v>200</v>
      </c>
      <c r="F670" s="342"/>
      <c r="G670" s="344">
        <f t="shared" si="5"/>
        <v>7917.6899999999951</v>
      </c>
      <c r="H670" s="345"/>
      <c r="I670" s="346"/>
      <c r="J670" s="347"/>
      <c r="K670" s="312"/>
      <c r="L670" s="347"/>
      <c r="M670" s="312"/>
      <c r="N670" s="347"/>
      <c r="O670" s="312"/>
      <c r="P670" s="347"/>
      <c r="Q670" s="312"/>
      <c r="R670" s="347"/>
      <c r="S670" s="312"/>
      <c r="T670" s="347"/>
    </row>
    <row r="671" spans="1:20" ht="12" customHeight="1" x14ac:dyDescent="0.3">
      <c r="A671" s="340" t="s">
        <v>289</v>
      </c>
      <c r="B671" s="341">
        <v>2</v>
      </c>
      <c r="C671" s="309">
        <v>46052</v>
      </c>
      <c r="D671" s="310" t="s">
        <v>296</v>
      </c>
      <c r="E671" s="342">
        <v>8.52</v>
      </c>
      <c r="F671" s="342"/>
      <c r="G671" s="344">
        <f t="shared" si="5"/>
        <v>8117.6899999999951</v>
      </c>
      <c r="H671" s="345"/>
      <c r="I671" s="346"/>
      <c r="J671" s="347"/>
      <c r="K671" s="312"/>
      <c r="L671" s="347"/>
      <c r="M671" s="312"/>
      <c r="N671" s="347"/>
      <c r="O671" s="312"/>
      <c r="P671" s="347"/>
      <c r="Q671" s="312"/>
      <c r="R671" s="347"/>
      <c r="S671" s="312"/>
      <c r="T671" s="347"/>
    </row>
    <row r="672" spans="1:20" ht="12" customHeight="1" x14ac:dyDescent="0.3">
      <c r="A672" s="340" t="s">
        <v>287</v>
      </c>
      <c r="B672" s="341" t="s">
        <v>287</v>
      </c>
      <c r="C672" s="309">
        <v>46052</v>
      </c>
      <c r="D672" s="310" t="s">
        <v>472</v>
      </c>
      <c r="E672" s="342">
        <v>831.92</v>
      </c>
      <c r="F672" s="342">
        <v>831.92</v>
      </c>
      <c r="G672" s="344">
        <f t="shared" si="5"/>
        <v>8126.2099999999955</v>
      </c>
      <c r="H672" s="345"/>
      <c r="I672" s="346"/>
      <c r="J672" s="347"/>
      <c r="K672" s="312"/>
      <c r="L672" s="347"/>
      <c r="M672" s="312"/>
      <c r="N672" s="347"/>
      <c r="O672" s="312"/>
      <c r="P672" s="347"/>
      <c r="Q672" s="312"/>
      <c r="R672" s="347"/>
      <c r="S672" s="312"/>
      <c r="T672" s="347"/>
    </row>
    <row r="673" spans="1:20" ht="12" customHeight="1" x14ac:dyDescent="0.3">
      <c r="A673" s="340" t="s">
        <v>289</v>
      </c>
      <c r="B673" s="341">
        <v>5</v>
      </c>
      <c r="C673" s="309">
        <v>46052</v>
      </c>
      <c r="D673" s="310" t="s">
        <v>450</v>
      </c>
      <c r="E673" s="342">
        <v>200</v>
      </c>
      <c r="F673" s="342"/>
      <c r="G673" s="344">
        <f t="shared" si="5"/>
        <v>8126.2099999999955</v>
      </c>
      <c r="H673" s="345"/>
      <c r="I673" s="346"/>
      <c r="J673" s="347"/>
      <c r="K673" s="312"/>
      <c r="L673" s="347"/>
      <c r="M673" s="312"/>
      <c r="N673" s="347"/>
      <c r="O673" s="312"/>
      <c r="P673" s="347"/>
      <c r="Q673" s="312"/>
      <c r="R673" s="347"/>
      <c r="S673" s="312"/>
      <c r="T673" s="347"/>
    </row>
    <row r="674" spans="1:20" ht="12" customHeight="1" x14ac:dyDescent="0.3">
      <c r="A674" s="340" t="s">
        <v>289</v>
      </c>
      <c r="B674" s="341">
        <v>2</v>
      </c>
      <c r="C674" s="309">
        <v>46052</v>
      </c>
      <c r="D674" s="310" t="s">
        <v>327</v>
      </c>
      <c r="E674" s="342">
        <v>11.04</v>
      </c>
      <c r="F674" s="342"/>
      <c r="G674" s="344">
        <f t="shared" si="5"/>
        <v>8326.2099999999955</v>
      </c>
      <c r="H674" s="345"/>
      <c r="I674" s="346"/>
      <c r="J674" s="347"/>
      <c r="K674" s="312"/>
      <c r="L674" s="347"/>
      <c r="M674" s="312"/>
      <c r="N674" s="347"/>
      <c r="O674" s="312"/>
      <c r="P674" s="347"/>
      <c r="Q674" s="312"/>
      <c r="R674" s="347"/>
      <c r="S674" s="312"/>
      <c r="T674" s="347"/>
    </row>
    <row r="675" spans="1:20" ht="12" customHeight="1" x14ac:dyDescent="0.3">
      <c r="A675" s="340" t="s">
        <v>291</v>
      </c>
      <c r="B675" s="341">
        <v>38</v>
      </c>
      <c r="C675" s="309">
        <v>46051</v>
      </c>
      <c r="D675" s="310" t="s">
        <v>293</v>
      </c>
      <c r="E675" s="342"/>
      <c r="F675" s="342">
        <v>4365.6499999999996</v>
      </c>
      <c r="G675" s="344">
        <f t="shared" si="5"/>
        <v>8337.2499999999964</v>
      </c>
      <c r="H675" s="345"/>
      <c r="I675" s="346"/>
      <c r="J675" s="347"/>
      <c r="K675" s="312"/>
      <c r="L675" s="347"/>
      <c r="M675" s="312"/>
      <c r="N675" s="347"/>
      <c r="O675" s="312"/>
      <c r="P675" s="347"/>
      <c r="Q675" s="312"/>
      <c r="R675" s="347"/>
      <c r="S675" s="312"/>
      <c r="T675" s="347"/>
    </row>
    <row r="676" spans="1:20" ht="12" customHeight="1" x14ac:dyDescent="0.3">
      <c r="A676" s="340" t="s">
        <v>289</v>
      </c>
      <c r="B676" s="341">
        <v>2</v>
      </c>
      <c r="C676" s="309">
        <v>46051</v>
      </c>
      <c r="D676" s="310" t="s">
        <v>296</v>
      </c>
      <c r="E676" s="342">
        <v>18.28</v>
      </c>
      <c r="F676" s="342"/>
      <c r="G676" s="344">
        <f t="shared" si="5"/>
        <v>3971.5999999999976</v>
      </c>
      <c r="H676" s="345"/>
      <c r="I676" s="346"/>
      <c r="J676" s="347"/>
      <c r="K676" s="312"/>
      <c r="L676" s="347"/>
      <c r="M676" s="312"/>
      <c r="N676" s="347"/>
      <c r="O676" s="312"/>
      <c r="P676" s="347"/>
      <c r="Q676" s="312"/>
      <c r="R676" s="347"/>
      <c r="S676" s="312"/>
      <c r="T676" s="347"/>
    </row>
    <row r="677" spans="1:20" ht="12" customHeight="1" x14ac:dyDescent="0.3">
      <c r="A677" s="340" t="s">
        <v>289</v>
      </c>
      <c r="B677" s="341">
        <v>4</v>
      </c>
      <c r="C677" s="309">
        <v>46051</v>
      </c>
      <c r="D677" s="310" t="s">
        <v>295</v>
      </c>
      <c r="E677" s="342">
        <v>57.06</v>
      </c>
      <c r="F677" s="342"/>
      <c r="G677" s="344">
        <f t="shared" si="5"/>
        <v>3989.8799999999978</v>
      </c>
      <c r="H677" s="345"/>
      <c r="I677" s="346"/>
      <c r="J677" s="347"/>
      <c r="K677" s="312"/>
      <c r="L677" s="347"/>
      <c r="M677" s="312"/>
      <c r="N677" s="347"/>
      <c r="O677" s="312"/>
      <c r="P677" s="347"/>
      <c r="Q677" s="312"/>
      <c r="R677" s="347"/>
      <c r="S677" s="312"/>
      <c r="T677" s="347"/>
    </row>
    <row r="678" spans="1:20" ht="12" customHeight="1" x14ac:dyDescent="0.3">
      <c r="A678" s="340" t="s">
        <v>287</v>
      </c>
      <c r="B678" s="341" t="s">
        <v>287</v>
      </c>
      <c r="C678" s="309">
        <v>46051</v>
      </c>
      <c r="D678" s="310" t="s">
        <v>473</v>
      </c>
      <c r="E678" s="342">
        <v>89.42</v>
      </c>
      <c r="F678" s="342">
        <v>89.42</v>
      </c>
      <c r="G678" s="344">
        <f t="shared" si="5"/>
        <v>4046.9399999999978</v>
      </c>
      <c r="H678" s="345"/>
      <c r="I678" s="346"/>
      <c r="J678" s="347"/>
      <c r="K678" s="312"/>
      <c r="L678" s="347"/>
      <c r="M678" s="312"/>
      <c r="N678" s="347"/>
      <c r="O678" s="312"/>
      <c r="P678" s="347"/>
      <c r="Q678" s="312"/>
      <c r="R678" s="347"/>
      <c r="S678" s="312"/>
      <c r="T678" s="347"/>
    </row>
    <row r="679" spans="1:20" ht="12" customHeight="1" x14ac:dyDescent="0.3">
      <c r="A679" s="340" t="s">
        <v>289</v>
      </c>
      <c r="B679" s="341">
        <v>8</v>
      </c>
      <c r="C679" s="309">
        <v>46051</v>
      </c>
      <c r="D679" s="310" t="s">
        <v>474</v>
      </c>
      <c r="E679" s="342">
        <v>59</v>
      </c>
      <c r="F679" s="342"/>
      <c r="G679" s="344">
        <f t="shared" si="5"/>
        <v>4046.9399999999978</v>
      </c>
      <c r="H679" s="345"/>
      <c r="I679" s="346"/>
      <c r="J679" s="347"/>
      <c r="K679" s="312"/>
      <c r="L679" s="347"/>
      <c r="M679" s="312"/>
      <c r="N679" s="347"/>
      <c r="O679" s="312"/>
      <c r="P679" s="347"/>
      <c r="Q679" s="312"/>
      <c r="R679" s="347"/>
      <c r="S679" s="312"/>
      <c r="T679" s="347"/>
    </row>
    <row r="680" spans="1:20" ht="12" customHeight="1" x14ac:dyDescent="0.3">
      <c r="A680" s="340" t="s">
        <v>289</v>
      </c>
      <c r="B680" s="341">
        <v>2</v>
      </c>
      <c r="C680" s="309">
        <v>46051</v>
      </c>
      <c r="D680" s="310" t="s">
        <v>375</v>
      </c>
      <c r="E680" s="342">
        <v>19.899999999999999</v>
      </c>
      <c r="F680" s="342"/>
      <c r="G680" s="344">
        <f t="shared" si="5"/>
        <v>4105.9399999999978</v>
      </c>
      <c r="H680" s="345"/>
      <c r="I680" s="346"/>
      <c r="J680" s="347"/>
      <c r="K680" s="312"/>
      <c r="L680" s="347"/>
      <c r="M680" s="312"/>
      <c r="N680" s="347"/>
      <c r="O680" s="312"/>
      <c r="P680" s="347"/>
      <c r="Q680" s="312"/>
      <c r="R680" s="347"/>
      <c r="S680" s="312"/>
      <c r="T680" s="347"/>
    </row>
    <row r="681" spans="1:20" ht="12" customHeight="1" x14ac:dyDescent="0.3">
      <c r="A681" s="340" t="s">
        <v>289</v>
      </c>
      <c r="B681" s="341">
        <v>2</v>
      </c>
      <c r="C681" s="309">
        <v>46050</v>
      </c>
      <c r="D681" s="310" t="s">
        <v>357</v>
      </c>
      <c r="E681" s="342">
        <v>14.99</v>
      </c>
      <c r="F681" s="342"/>
      <c r="G681" s="344">
        <f t="shared" si="5"/>
        <v>4125.8399999999974</v>
      </c>
      <c r="H681" s="345"/>
      <c r="I681" s="346"/>
      <c r="J681" s="347"/>
      <c r="K681" s="312"/>
      <c r="L681" s="347"/>
      <c r="M681" s="312"/>
      <c r="N681" s="347"/>
      <c r="O681" s="312"/>
      <c r="P681" s="347"/>
      <c r="Q681" s="312"/>
      <c r="R681" s="347"/>
      <c r="S681" s="312"/>
      <c r="T681" s="347"/>
    </row>
    <row r="682" spans="1:20" ht="12" customHeight="1" x14ac:dyDescent="0.3">
      <c r="A682" s="340" t="s">
        <v>289</v>
      </c>
      <c r="B682" s="341">
        <v>6</v>
      </c>
      <c r="C682" s="309">
        <v>46050</v>
      </c>
      <c r="D682" s="310" t="s">
        <v>475</v>
      </c>
      <c r="E682" s="342">
        <v>25</v>
      </c>
      <c r="F682" s="342"/>
      <c r="G682" s="344">
        <f t="shared" si="5"/>
        <v>4140.8299999999972</v>
      </c>
      <c r="H682" s="345"/>
      <c r="I682" s="346"/>
      <c r="J682" s="347"/>
      <c r="K682" s="312"/>
      <c r="L682" s="347"/>
      <c r="M682" s="312"/>
      <c r="N682" s="347"/>
      <c r="O682" s="312"/>
      <c r="P682" s="347"/>
      <c r="Q682" s="312"/>
      <c r="R682" s="347"/>
      <c r="S682" s="312"/>
      <c r="T682" s="347"/>
    </row>
    <row r="683" spans="1:20" ht="12" customHeight="1" x14ac:dyDescent="0.3">
      <c r="A683" s="340" t="s">
        <v>289</v>
      </c>
      <c r="B683" s="341">
        <v>3</v>
      </c>
      <c r="C683" s="309">
        <v>46050</v>
      </c>
      <c r="D683" s="310" t="s">
        <v>476</v>
      </c>
      <c r="E683" s="342">
        <v>6</v>
      </c>
      <c r="F683" s="342"/>
      <c r="G683" s="344">
        <f t="shared" si="5"/>
        <v>4165.8299999999972</v>
      </c>
      <c r="H683" s="345"/>
      <c r="I683" s="346"/>
      <c r="J683" s="347"/>
      <c r="K683" s="312"/>
      <c r="L683" s="347"/>
      <c r="M683" s="312"/>
      <c r="N683" s="347"/>
      <c r="O683" s="312"/>
      <c r="P683" s="347"/>
      <c r="Q683" s="312"/>
      <c r="R683" s="347"/>
      <c r="S683" s="312"/>
      <c r="T683" s="347"/>
    </row>
    <row r="684" spans="1:20" ht="12" customHeight="1" x14ac:dyDescent="0.3">
      <c r="A684" s="340" t="s">
        <v>289</v>
      </c>
      <c r="B684" s="341">
        <v>2</v>
      </c>
      <c r="C684" s="309">
        <v>46050</v>
      </c>
      <c r="D684" s="310" t="s">
        <v>477</v>
      </c>
      <c r="E684" s="342">
        <v>15</v>
      </c>
      <c r="F684" s="342"/>
      <c r="G684" s="344">
        <f t="shared" si="5"/>
        <v>4171.8299999999972</v>
      </c>
      <c r="H684" s="345"/>
      <c r="I684" s="346"/>
      <c r="J684" s="347"/>
      <c r="K684" s="312"/>
      <c r="L684" s="347"/>
      <c r="M684" s="312"/>
      <c r="N684" s="347"/>
      <c r="O684" s="312"/>
      <c r="P684" s="347"/>
      <c r="Q684" s="312"/>
      <c r="R684" s="347"/>
      <c r="S684" s="312"/>
      <c r="T684" s="347"/>
    </row>
    <row r="685" spans="1:20" ht="12" customHeight="1" x14ac:dyDescent="0.3">
      <c r="A685" s="340" t="s">
        <v>289</v>
      </c>
      <c r="B685" s="341">
        <v>2</v>
      </c>
      <c r="C685" s="309">
        <v>46050</v>
      </c>
      <c r="D685" s="310" t="s">
        <v>296</v>
      </c>
      <c r="E685" s="342">
        <v>12.71</v>
      </c>
      <c r="F685" s="342"/>
      <c r="G685" s="344">
        <f t="shared" si="5"/>
        <v>4186.8299999999972</v>
      </c>
      <c r="H685" s="345"/>
      <c r="I685" s="346"/>
      <c r="J685" s="347"/>
      <c r="K685" s="312"/>
      <c r="L685" s="347"/>
      <c r="M685" s="312"/>
      <c r="N685" s="347"/>
      <c r="O685" s="312"/>
      <c r="P685" s="347"/>
      <c r="Q685" s="312"/>
      <c r="R685" s="347"/>
      <c r="S685" s="312"/>
      <c r="T685" s="347"/>
    </row>
    <row r="686" spans="1:20" ht="12" customHeight="1" x14ac:dyDescent="0.3">
      <c r="A686" s="340" t="s">
        <v>287</v>
      </c>
      <c r="B686" s="341" t="s">
        <v>287</v>
      </c>
      <c r="C686" s="309">
        <v>46050</v>
      </c>
      <c r="D686" s="310" t="s">
        <v>462</v>
      </c>
      <c r="E686" s="342">
        <v>1475.9</v>
      </c>
      <c r="F686" s="342">
        <v>1475.9</v>
      </c>
      <c r="G686" s="344">
        <f t="shared" si="5"/>
        <v>4199.5399999999972</v>
      </c>
      <c r="H686" s="345"/>
      <c r="I686" s="346"/>
      <c r="J686" s="347"/>
      <c r="K686" s="312"/>
      <c r="L686" s="347"/>
      <c r="M686" s="312"/>
      <c r="N686" s="347"/>
      <c r="O686" s="312"/>
      <c r="P686" s="347"/>
      <c r="Q686" s="312"/>
      <c r="R686" s="347"/>
      <c r="S686" s="312"/>
      <c r="T686" s="347"/>
    </row>
    <row r="687" spans="1:20" ht="12" customHeight="1" x14ac:dyDescent="0.3">
      <c r="A687" s="340" t="s">
        <v>289</v>
      </c>
      <c r="B687" s="341">
        <v>8</v>
      </c>
      <c r="C687" s="309">
        <v>46050</v>
      </c>
      <c r="D687" s="310" t="s">
        <v>321</v>
      </c>
      <c r="E687" s="342">
        <v>28.52</v>
      </c>
      <c r="F687" s="342"/>
      <c r="G687" s="344">
        <f t="shared" si="5"/>
        <v>4199.5399999999972</v>
      </c>
      <c r="H687" s="345"/>
      <c r="I687" s="346"/>
      <c r="J687" s="347"/>
      <c r="K687" s="312"/>
      <c r="L687" s="347"/>
      <c r="M687" s="312"/>
      <c r="N687" s="347"/>
      <c r="O687" s="312"/>
      <c r="P687" s="347"/>
      <c r="Q687" s="312"/>
      <c r="R687" s="347"/>
      <c r="S687" s="312"/>
      <c r="T687" s="347"/>
    </row>
    <row r="688" spans="1:20" ht="12" customHeight="1" x14ac:dyDescent="0.3">
      <c r="A688" s="340" t="s">
        <v>289</v>
      </c>
      <c r="B688" s="341">
        <v>2</v>
      </c>
      <c r="C688" s="309">
        <v>46050</v>
      </c>
      <c r="D688" s="310" t="s">
        <v>478</v>
      </c>
      <c r="E688" s="342">
        <v>66.94</v>
      </c>
      <c r="F688" s="342"/>
      <c r="G688" s="344">
        <f t="shared" si="5"/>
        <v>4228.0599999999977</v>
      </c>
      <c r="H688" s="345"/>
      <c r="I688" s="346"/>
      <c r="J688" s="347"/>
      <c r="K688" s="312"/>
      <c r="L688" s="347"/>
      <c r="M688" s="312"/>
      <c r="N688" s="347"/>
      <c r="O688" s="312"/>
      <c r="P688" s="347"/>
      <c r="Q688" s="312"/>
      <c r="R688" s="347"/>
      <c r="S688" s="312"/>
      <c r="T688" s="347"/>
    </row>
    <row r="689" spans="1:20" ht="12" customHeight="1" x14ac:dyDescent="0.3">
      <c r="A689" s="340" t="s">
        <v>289</v>
      </c>
      <c r="B689" s="341">
        <v>8</v>
      </c>
      <c r="C689" s="309">
        <v>46049</v>
      </c>
      <c r="D689" s="310" t="s">
        <v>309</v>
      </c>
      <c r="E689" s="342">
        <v>47.99</v>
      </c>
      <c r="F689" s="342"/>
      <c r="G689" s="344">
        <f t="shared" si="5"/>
        <v>4294.9999999999973</v>
      </c>
      <c r="H689" s="345"/>
      <c r="I689" s="346"/>
      <c r="J689" s="347"/>
      <c r="K689" s="312"/>
      <c r="L689" s="347"/>
      <c r="M689" s="312"/>
      <c r="N689" s="347"/>
      <c r="O689" s="312"/>
      <c r="P689" s="347"/>
      <c r="Q689" s="312"/>
      <c r="R689" s="347"/>
      <c r="S689" s="312"/>
      <c r="T689" s="347"/>
    </row>
    <row r="690" spans="1:20" ht="12" customHeight="1" x14ac:dyDescent="0.3">
      <c r="A690" s="340" t="s">
        <v>287</v>
      </c>
      <c r="B690" s="341" t="s">
        <v>287</v>
      </c>
      <c r="C690" s="309">
        <v>46048</v>
      </c>
      <c r="D690" s="310" t="s">
        <v>479</v>
      </c>
      <c r="E690" s="342"/>
      <c r="F690" s="342">
        <v>425</v>
      </c>
      <c r="G690" s="344">
        <f t="shared" si="5"/>
        <v>4342.9899999999971</v>
      </c>
      <c r="H690" s="345" t="s">
        <v>298</v>
      </c>
      <c r="I690" s="346"/>
      <c r="J690" s="347"/>
      <c r="K690" s="312"/>
      <c r="L690" s="347"/>
      <c r="M690" s="312"/>
      <c r="N690" s="347"/>
      <c r="O690" s="312"/>
      <c r="P690" s="347"/>
      <c r="Q690" s="312"/>
      <c r="R690" s="347"/>
      <c r="S690" s="312"/>
      <c r="T690" s="347"/>
    </row>
    <row r="691" spans="1:20" ht="12" customHeight="1" x14ac:dyDescent="0.3">
      <c r="A691" s="340" t="s">
        <v>287</v>
      </c>
      <c r="B691" s="341" t="s">
        <v>287</v>
      </c>
      <c r="C691" s="309">
        <v>46048</v>
      </c>
      <c r="D691" s="310" t="s">
        <v>479</v>
      </c>
      <c r="E691" s="342">
        <v>425</v>
      </c>
      <c r="F691" s="342"/>
      <c r="G691" s="344">
        <f t="shared" si="5"/>
        <v>3917.9899999999971</v>
      </c>
      <c r="H691" s="345"/>
      <c r="I691" s="346"/>
      <c r="J691" s="347"/>
      <c r="K691" s="312"/>
      <c r="L691" s="347"/>
      <c r="M691" s="312"/>
      <c r="N691" s="347"/>
      <c r="O691" s="312"/>
      <c r="P691" s="347"/>
      <c r="Q691" s="312"/>
      <c r="R691" s="347"/>
      <c r="S691" s="312"/>
      <c r="T691" s="347"/>
    </row>
    <row r="692" spans="1:20" ht="12" customHeight="1" x14ac:dyDescent="0.3">
      <c r="A692" s="340" t="s">
        <v>289</v>
      </c>
      <c r="B692" s="341">
        <v>2</v>
      </c>
      <c r="C692" s="309">
        <v>46048</v>
      </c>
      <c r="D692" s="310" t="s">
        <v>480</v>
      </c>
      <c r="E692" s="342">
        <v>20.12</v>
      </c>
      <c r="F692" s="342"/>
      <c r="G692" s="344">
        <f t="shared" si="5"/>
        <v>4342.9899999999971</v>
      </c>
      <c r="H692" s="345"/>
      <c r="I692" s="346"/>
      <c r="J692" s="347"/>
      <c r="K692" s="312"/>
      <c r="L692" s="347"/>
      <c r="M692" s="312"/>
      <c r="N692" s="347"/>
      <c r="O692" s="312"/>
      <c r="P692" s="347"/>
      <c r="Q692" s="312"/>
      <c r="R692" s="347"/>
      <c r="S692" s="312"/>
      <c r="T692" s="347"/>
    </row>
    <row r="693" spans="1:20" ht="12" customHeight="1" x14ac:dyDescent="0.3">
      <c r="A693" s="340" t="s">
        <v>294</v>
      </c>
      <c r="B693" s="341">
        <v>17</v>
      </c>
      <c r="C693" s="309">
        <v>46048</v>
      </c>
      <c r="D693" s="310" t="s">
        <v>481</v>
      </c>
      <c r="E693" s="342">
        <v>42.68</v>
      </c>
      <c r="F693" s="342"/>
      <c r="G693" s="344">
        <f t="shared" si="5"/>
        <v>4363.1099999999969</v>
      </c>
      <c r="H693" s="345"/>
      <c r="I693" s="346"/>
      <c r="J693" s="347"/>
      <c r="K693" s="312"/>
      <c r="L693" s="347"/>
      <c r="M693" s="312"/>
      <c r="N693" s="347"/>
      <c r="O693" s="312"/>
      <c r="P693" s="347"/>
      <c r="Q693" s="312"/>
      <c r="R693" s="347"/>
      <c r="S693" s="312"/>
      <c r="T693" s="347"/>
    </row>
    <row r="694" spans="1:20" ht="12" customHeight="1" x14ac:dyDescent="0.3">
      <c r="A694" s="340" t="s">
        <v>289</v>
      </c>
      <c r="B694" s="341">
        <v>6</v>
      </c>
      <c r="C694" s="309">
        <v>46048</v>
      </c>
      <c r="D694" s="310" t="s">
        <v>402</v>
      </c>
      <c r="E694" s="342">
        <v>47.9</v>
      </c>
      <c r="F694" s="342"/>
      <c r="G694" s="344">
        <f t="shared" si="5"/>
        <v>4405.7899999999972</v>
      </c>
      <c r="H694" s="345"/>
      <c r="I694" s="346"/>
      <c r="J694" s="347"/>
      <c r="K694" s="312"/>
      <c r="L694" s="347"/>
      <c r="M694" s="312"/>
      <c r="N694" s="347"/>
      <c r="O694" s="312"/>
      <c r="P694" s="347"/>
      <c r="Q694" s="312"/>
      <c r="R694" s="347"/>
      <c r="S694" s="312"/>
      <c r="T694" s="347"/>
    </row>
    <row r="695" spans="1:20" ht="12" customHeight="1" x14ac:dyDescent="0.3">
      <c r="A695" s="340" t="s">
        <v>289</v>
      </c>
      <c r="B695" s="341">
        <v>1</v>
      </c>
      <c r="C695" s="309">
        <v>46047</v>
      </c>
      <c r="D695" s="310" t="s">
        <v>467</v>
      </c>
      <c r="E695" s="342">
        <v>105.79</v>
      </c>
      <c r="F695" s="342"/>
      <c r="G695" s="344">
        <f t="shared" si="5"/>
        <v>4453.6899999999969</v>
      </c>
      <c r="H695" s="345"/>
      <c r="I695" s="346"/>
      <c r="J695" s="347"/>
      <c r="K695" s="312"/>
      <c r="L695" s="347"/>
      <c r="M695" s="312"/>
      <c r="N695" s="347"/>
      <c r="O695" s="312"/>
      <c r="P695" s="347"/>
      <c r="Q695" s="312"/>
      <c r="R695" s="347"/>
      <c r="S695" s="312"/>
      <c r="T695" s="347"/>
    </row>
    <row r="696" spans="1:20" ht="12" customHeight="1" x14ac:dyDescent="0.3">
      <c r="A696" s="340" t="s">
        <v>294</v>
      </c>
      <c r="B696" s="341">
        <v>12</v>
      </c>
      <c r="C696" s="309">
        <v>46047</v>
      </c>
      <c r="D696" s="310" t="s">
        <v>315</v>
      </c>
      <c r="E696" s="342">
        <v>204.83</v>
      </c>
      <c r="F696" s="342"/>
      <c r="G696" s="344">
        <f t="shared" si="5"/>
        <v>4559.4799999999968</v>
      </c>
      <c r="H696" s="345"/>
      <c r="I696" s="346"/>
      <c r="J696" s="347"/>
      <c r="K696" s="312"/>
      <c r="L696" s="347"/>
      <c r="M696" s="312"/>
      <c r="N696" s="347"/>
      <c r="O696" s="312"/>
      <c r="P696" s="347"/>
      <c r="Q696" s="312"/>
      <c r="R696" s="347"/>
      <c r="S696" s="312"/>
      <c r="T696" s="347"/>
    </row>
    <row r="697" spans="1:20" ht="12" customHeight="1" x14ac:dyDescent="0.3">
      <c r="A697" s="340" t="s">
        <v>289</v>
      </c>
      <c r="B697" s="341">
        <v>3</v>
      </c>
      <c r="C697" s="309">
        <v>46047</v>
      </c>
      <c r="D697" s="310" t="s">
        <v>352</v>
      </c>
      <c r="E697" s="342">
        <v>8.51</v>
      </c>
      <c r="F697" s="342"/>
      <c r="G697" s="344">
        <f t="shared" si="5"/>
        <v>4764.3099999999968</v>
      </c>
      <c r="H697" s="345"/>
      <c r="I697" s="346"/>
      <c r="J697" s="347"/>
      <c r="K697" s="312"/>
      <c r="L697" s="347"/>
      <c r="M697" s="312"/>
      <c r="N697" s="347"/>
      <c r="O697" s="312"/>
      <c r="P697" s="347"/>
      <c r="Q697" s="312"/>
      <c r="R697" s="347"/>
      <c r="S697" s="312"/>
      <c r="T697" s="347"/>
    </row>
    <row r="698" spans="1:20" ht="12" customHeight="1" x14ac:dyDescent="0.3">
      <c r="A698" s="340" t="s">
        <v>289</v>
      </c>
      <c r="B698" s="341">
        <v>4</v>
      </c>
      <c r="C698" s="309">
        <v>46046</v>
      </c>
      <c r="D698" s="310" t="s">
        <v>296</v>
      </c>
      <c r="E698" s="342">
        <v>92.96</v>
      </c>
      <c r="F698" s="342"/>
      <c r="G698" s="344">
        <f t="shared" si="5"/>
        <v>4772.819999999997</v>
      </c>
      <c r="H698" s="345"/>
      <c r="I698" s="346"/>
      <c r="J698" s="347"/>
      <c r="K698" s="312"/>
      <c r="L698" s="347"/>
      <c r="M698" s="312"/>
      <c r="N698" s="347"/>
      <c r="O698" s="312"/>
      <c r="P698" s="347"/>
      <c r="Q698" s="312"/>
      <c r="R698" s="347"/>
      <c r="S698" s="312"/>
      <c r="T698" s="347"/>
    </row>
    <row r="699" spans="1:20" ht="12" customHeight="1" x14ac:dyDescent="0.3">
      <c r="A699" s="340" t="s">
        <v>289</v>
      </c>
      <c r="B699" s="341">
        <v>4</v>
      </c>
      <c r="C699" s="309">
        <v>46046</v>
      </c>
      <c r="D699" s="310" t="s">
        <v>338</v>
      </c>
      <c r="E699" s="342">
        <v>30.77</v>
      </c>
      <c r="F699" s="342"/>
      <c r="G699" s="344">
        <f t="shared" si="5"/>
        <v>4865.779999999997</v>
      </c>
      <c r="H699" s="345"/>
      <c r="I699" s="346"/>
      <c r="J699" s="347"/>
      <c r="K699" s="312"/>
      <c r="L699" s="347"/>
      <c r="M699" s="312"/>
      <c r="N699" s="347"/>
      <c r="O699" s="312"/>
      <c r="P699" s="347"/>
      <c r="Q699" s="312"/>
      <c r="R699" s="347"/>
      <c r="S699" s="312"/>
      <c r="T699" s="347"/>
    </row>
    <row r="700" spans="1:20" ht="12" customHeight="1" x14ac:dyDescent="0.3">
      <c r="A700" s="340" t="s">
        <v>289</v>
      </c>
      <c r="B700" s="341">
        <v>2</v>
      </c>
      <c r="C700" s="309">
        <v>46046</v>
      </c>
      <c r="D700" s="310" t="s">
        <v>362</v>
      </c>
      <c r="E700" s="342">
        <v>9.4700000000000006</v>
      </c>
      <c r="F700" s="342"/>
      <c r="G700" s="344">
        <f t="shared" si="5"/>
        <v>4896.5499999999975</v>
      </c>
      <c r="H700" s="345"/>
      <c r="I700" s="346"/>
      <c r="J700" s="347"/>
      <c r="K700" s="312"/>
      <c r="L700" s="347"/>
      <c r="M700" s="312"/>
      <c r="N700" s="347"/>
      <c r="O700" s="312"/>
      <c r="P700" s="347"/>
      <c r="Q700" s="312"/>
      <c r="R700" s="347"/>
      <c r="S700" s="312"/>
      <c r="T700" s="347"/>
    </row>
    <row r="701" spans="1:20" ht="12" customHeight="1" x14ac:dyDescent="0.3">
      <c r="A701" s="340" t="s">
        <v>289</v>
      </c>
      <c r="B701" s="341">
        <v>6</v>
      </c>
      <c r="C701" s="309">
        <v>46046</v>
      </c>
      <c r="D701" s="310" t="s">
        <v>402</v>
      </c>
      <c r="E701" s="342">
        <v>53.59</v>
      </c>
      <c r="F701" s="342"/>
      <c r="G701" s="344">
        <f t="shared" si="5"/>
        <v>4906.0199999999977</v>
      </c>
      <c r="H701" s="345"/>
      <c r="I701" s="346"/>
      <c r="J701" s="347"/>
      <c r="K701" s="312"/>
      <c r="L701" s="347"/>
      <c r="M701" s="312"/>
      <c r="N701" s="347"/>
      <c r="O701" s="312"/>
      <c r="P701" s="347"/>
      <c r="Q701" s="312"/>
      <c r="R701" s="347"/>
      <c r="S701" s="312"/>
      <c r="T701" s="347"/>
    </row>
    <row r="702" spans="1:20" ht="12" customHeight="1" x14ac:dyDescent="0.3">
      <c r="A702" s="340" t="s">
        <v>289</v>
      </c>
      <c r="B702" s="341">
        <v>1</v>
      </c>
      <c r="C702" s="309">
        <v>46046</v>
      </c>
      <c r="D702" s="310" t="s">
        <v>312</v>
      </c>
      <c r="E702" s="342">
        <v>61.64</v>
      </c>
      <c r="F702" s="342"/>
      <c r="G702" s="344">
        <f t="shared" si="5"/>
        <v>4959.6099999999979</v>
      </c>
      <c r="H702" s="345"/>
      <c r="I702" s="346"/>
      <c r="J702" s="347"/>
      <c r="K702" s="312"/>
      <c r="L702" s="347"/>
      <c r="M702" s="312"/>
      <c r="N702" s="347"/>
      <c r="O702" s="312"/>
      <c r="P702" s="347"/>
      <c r="Q702" s="312"/>
      <c r="R702" s="347"/>
      <c r="S702" s="312"/>
      <c r="T702" s="347"/>
    </row>
    <row r="703" spans="1:20" ht="12" customHeight="1" x14ac:dyDescent="0.3">
      <c r="A703" s="340" t="s">
        <v>289</v>
      </c>
      <c r="B703" s="341">
        <v>1</v>
      </c>
      <c r="C703" s="309">
        <v>46045</v>
      </c>
      <c r="D703" s="310" t="s">
        <v>304</v>
      </c>
      <c r="E703" s="342">
        <v>23.17</v>
      </c>
      <c r="F703" s="342"/>
      <c r="G703" s="344">
        <f t="shared" si="5"/>
        <v>5021.2499999999982</v>
      </c>
      <c r="H703" s="345"/>
      <c r="I703" s="346"/>
      <c r="J703" s="347"/>
      <c r="K703" s="312"/>
      <c r="L703" s="347"/>
      <c r="M703" s="312"/>
      <c r="N703" s="347"/>
      <c r="O703" s="312"/>
      <c r="P703" s="347"/>
      <c r="Q703" s="312"/>
      <c r="R703" s="347"/>
      <c r="S703" s="312"/>
      <c r="T703" s="347"/>
    </row>
    <row r="704" spans="1:20" ht="12" customHeight="1" x14ac:dyDescent="0.3">
      <c r="A704" s="340" t="s">
        <v>289</v>
      </c>
      <c r="B704" s="341">
        <v>4</v>
      </c>
      <c r="C704" s="309">
        <v>46045</v>
      </c>
      <c r="D704" s="310" t="s">
        <v>296</v>
      </c>
      <c r="E704" s="342">
        <v>62.77</v>
      </c>
      <c r="F704" s="342"/>
      <c r="G704" s="344">
        <f t="shared" si="5"/>
        <v>5044.4199999999983</v>
      </c>
      <c r="H704" s="345"/>
      <c r="I704" s="346"/>
      <c r="J704" s="347"/>
      <c r="K704" s="312"/>
      <c r="L704" s="347"/>
      <c r="M704" s="312"/>
      <c r="N704" s="347"/>
      <c r="O704" s="312"/>
      <c r="P704" s="347"/>
      <c r="Q704" s="312"/>
      <c r="R704" s="347"/>
      <c r="S704" s="312"/>
      <c r="T704" s="347"/>
    </row>
    <row r="705" spans="1:20" ht="12" customHeight="1" x14ac:dyDescent="0.3">
      <c r="A705" s="340" t="s">
        <v>289</v>
      </c>
      <c r="B705" s="341">
        <v>6</v>
      </c>
      <c r="C705" s="309">
        <v>46045</v>
      </c>
      <c r="D705" s="310" t="s">
        <v>482</v>
      </c>
      <c r="E705" s="342">
        <v>105.51</v>
      </c>
      <c r="F705" s="342"/>
      <c r="G705" s="344">
        <f t="shared" si="5"/>
        <v>5107.1899999999987</v>
      </c>
      <c r="H705" s="345"/>
      <c r="I705" s="346"/>
      <c r="J705" s="347"/>
      <c r="K705" s="312"/>
      <c r="L705" s="347"/>
      <c r="M705" s="312"/>
      <c r="N705" s="347"/>
      <c r="O705" s="312"/>
      <c r="P705" s="347"/>
      <c r="Q705" s="312"/>
      <c r="R705" s="347"/>
      <c r="S705" s="312"/>
      <c r="T705" s="347"/>
    </row>
    <row r="706" spans="1:20" ht="12" customHeight="1" x14ac:dyDescent="0.3">
      <c r="A706" s="340" t="s">
        <v>289</v>
      </c>
      <c r="B706" s="341">
        <v>3</v>
      </c>
      <c r="C706" s="309">
        <v>46045</v>
      </c>
      <c r="D706" s="310" t="s">
        <v>338</v>
      </c>
      <c r="E706" s="342">
        <v>9.9499999999999993</v>
      </c>
      <c r="F706" s="342"/>
      <c r="G706" s="344">
        <f t="shared" si="5"/>
        <v>5212.6999999999989</v>
      </c>
      <c r="H706" s="345"/>
      <c r="I706" s="346"/>
      <c r="J706" s="347"/>
      <c r="K706" s="312"/>
      <c r="L706" s="347"/>
      <c r="M706" s="312"/>
      <c r="N706" s="347"/>
      <c r="O706" s="312"/>
      <c r="P706" s="347"/>
      <c r="Q706" s="312"/>
      <c r="R706" s="347"/>
      <c r="S706" s="312"/>
      <c r="T706" s="347"/>
    </row>
    <row r="707" spans="1:20" ht="12" customHeight="1" x14ac:dyDescent="0.3">
      <c r="A707" s="340" t="s">
        <v>289</v>
      </c>
      <c r="B707" s="341">
        <v>2</v>
      </c>
      <c r="C707" s="309">
        <v>46045</v>
      </c>
      <c r="D707" s="310" t="s">
        <v>362</v>
      </c>
      <c r="E707" s="342">
        <v>10.17</v>
      </c>
      <c r="F707" s="342"/>
      <c r="G707" s="344">
        <f t="shared" si="5"/>
        <v>5222.6499999999987</v>
      </c>
      <c r="H707" s="345"/>
      <c r="I707" s="346"/>
      <c r="J707" s="347"/>
      <c r="K707" s="312"/>
      <c r="L707" s="347"/>
      <c r="M707" s="312"/>
      <c r="N707" s="347"/>
      <c r="O707" s="312"/>
      <c r="P707" s="347"/>
      <c r="Q707" s="312"/>
      <c r="R707" s="347"/>
      <c r="S707" s="312"/>
      <c r="T707" s="347"/>
    </row>
    <row r="708" spans="1:20" ht="12" customHeight="1" x14ac:dyDescent="0.3">
      <c r="A708" s="340" t="s">
        <v>289</v>
      </c>
      <c r="B708" s="341">
        <v>2</v>
      </c>
      <c r="C708" s="309">
        <v>46045</v>
      </c>
      <c r="D708" s="310" t="s">
        <v>301</v>
      </c>
      <c r="E708" s="342">
        <v>32.200000000000003</v>
      </c>
      <c r="F708" s="342"/>
      <c r="G708" s="344">
        <f t="shared" si="5"/>
        <v>5232.8199999999988</v>
      </c>
      <c r="H708" s="345"/>
      <c r="I708" s="346"/>
      <c r="J708" s="347"/>
      <c r="K708" s="312"/>
      <c r="L708" s="347"/>
      <c r="M708" s="312"/>
      <c r="N708" s="347"/>
      <c r="O708" s="312"/>
      <c r="P708" s="347"/>
      <c r="Q708" s="312"/>
      <c r="R708" s="347"/>
      <c r="S708" s="312"/>
      <c r="T708" s="347"/>
    </row>
    <row r="709" spans="1:20" ht="12" customHeight="1" x14ac:dyDescent="0.3">
      <c r="A709" s="340" t="s">
        <v>294</v>
      </c>
      <c r="B709" s="341">
        <v>22</v>
      </c>
      <c r="C709" s="309">
        <v>46045</v>
      </c>
      <c r="D709" s="310" t="s">
        <v>483</v>
      </c>
      <c r="E709" s="342">
        <v>5.31</v>
      </c>
      <c r="F709" s="342"/>
      <c r="G709" s="344">
        <f t="shared" si="5"/>
        <v>5265.0199999999986</v>
      </c>
      <c r="H709" s="345"/>
      <c r="I709" s="346"/>
      <c r="J709" s="347"/>
      <c r="K709" s="312"/>
      <c r="L709" s="347"/>
      <c r="M709" s="312"/>
      <c r="N709" s="347"/>
      <c r="O709" s="312"/>
      <c r="P709" s="347"/>
      <c r="Q709" s="312"/>
      <c r="R709" s="347"/>
      <c r="S709" s="312"/>
      <c r="T709" s="347"/>
    </row>
    <row r="710" spans="1:20" ht="12" customHeight="1" x14ac:dyDescent="0.3">
      <c r="A710" s="340" t="s">
        <v>289</v>
      </c>
      <c r="B710" s="341">
        <v>8</v>
      </c>
      <c r="C710" s="309">
        <v>46044</v>
      </c>
      <c r="D710" s="310" t="s">
        <v>444</v>
      </c>
      <c r="E710" s="342">
        <v>73.95</v>
      </c>
      <c r="F710" s="342"/>
      <c r="G710" s="344">
        <f t="shared" si="5"/>
        <v>5270.329999999999</v>
      </c>
      <c r="H710" s="345"/>
      <c r="I710" s="346"/>
      <c r="J710" s="347"/>
      <c r="K710" s="312"/>
      <c r="L710" s="347"/>
      <c r="M710" s="312"/>
      <c r="N710" s="347"/>
      <c r="O710" s="312"/>
      <c r="P710" s="347"/>
      <c r="Q710" s="312"/>
      <c r="R710" s="347"/>
      <c r="S710" s="312"/>
      <c r="T710" s="347"/>
    </row>
    <row r="711" spans="1:20" ht="12" customHeight="1" x14ac:dyDescent="0.3">
      <c r="A711" s="340" t="s">
        <v>289</v>
      </c>
      <c r="B711" s="341">
        <v>2</v>
      </c>
      <c r="C711" s="309">
        <v>46044</v>
      </c>
      <c r="D711" s="310" t="s">
        <v>484</v>
      </c>
      <c r="E711" s="342">
        <v>28.68</v>
      </c>
      <c r="F711" s="342"/>
      <c r="G711" s="344">
        <f t="shared" si="5"/>
        <v>5344.2799999999988</v>
      </c>
      <c r="H711" s="345"/>
      <c r="I711" s="346"/>
      <c r="J711" s="347"/>
      <c r="K711" s="312"/>
      <c r="L711" s="347"/>
      <c r="M711" s="312"/>
      <c r="N711" s="347"/>
      <c r="O711" s="312"/>
      <c r="P711" s="347"/>
      <c r="Q711" s="312"/>
      <c r="R711" s="347"/>
      <c r="S711" s="312"/>
      <c r="T711" s="347"/>
    </row>
    <row r="712" spans="1:20" ht="12" customHeight="1" x14ac:dyDescent="0.3">
      <c r="A712" s="340" t="s">
        <v>289</v>
      </c>
      <c r="B712" s="341">
        <v>8</v>
      </c>
      <c r="C712" s="309">
        <v>46044</v>
      </c>
      <c r="D712" s="310" t="s">
        <v>361</v>
      </c>
      <c r="E712" s="342">
        <v>57.38</v>
      </c>
      <c r="F712" s="342"/>
      <c r="G712" s="344">
        <f t="shared" si="5"/>
        <v>5372.9599999999991</v>
      </c>
      <c r="H712" s="345"/>
      <c r="I712" s="346"/>
      <c r="J712" s="347"/>
      <c r="K712" s="312"/>
      <c r="L712" s="347"/>
      <c r="M712" s="312"/>
      <c r="N712" s="347"/>
      <c r="O712" s="312"/>
      <c r="P712" s="347"/>
      <c r="Q712" s="312"/>
      <c r="R712" s="347"/>
      <c r="S712" s="312"/>
      <c r="T712" s="347"/>
    </row>
    <row r="713" spans="1:20" ht="12" customHeight="1" x14ac:dyDescent="0.3">
      <c r="A713" s="340" t="s">
        <v>289</v>
      </c>
      <c r="B713" s="341">
        <v>2</v>
      </c>
      <c r="C713" s="309">
        <v>46044</v>
      </c>
      <c r="D713" s="310" t="s">
        <v>362</v>
      </c>
      <c r="E713" s="342">
        <v>9.4700000000000006</v>
      </c>
      <c r="F713" s="342"/>
      <c r="G713" s="344">
        <f t="shared" si="5"/>
        <v>5430.3399999999992</v>
      </c>
      <c r="H713" s="345"/>
      <c r="I713" s="346"/>
      <c r="J713" s="347"/>
      <c r="K713" s="312"/>
      <c r="L713" s="347"/>
      <c r="M713" s="312"/>
      <c r="N713" s="347"/>
      <c r="O713" s="312"/>
      <c r="P713" s="347"/>
      <c r="Q713" s="312"/>
      <c r="R713" s="347"/>
      <c r="S713" s="312"/>
      <c r="T713" s="347"/>
    </row>
    <row r="714" spans="1:20" ht="12" customHeight="1" x14ac:dyDescent="0.3">
      <c r="A714" s="340" t="s">
        <v>289</v>
      </c>
      <c r="B714" s="341">
        <v>2</v>
      </c>
      <c r="C714" s="309">
        <v>46044</v>
      </c>
      <c r="D714" s="310" t="s">
        <v>362</v>
      </c>
      <c r="E714" s="342">
        <v>7.18</v>
      </c>
      <c r="F714" s="342"/>
      <c r="G714" s="344">
        <f t="shared" si="5"/>
        <v>5439.8099999999995</v>
      </c>
      <c r="H714" s="345"/>
      <c r="I714" s="346"/>
      <c r="J714" s="347"/>
      <c r="K714" s="312"/>
      <c r="L714" s="347"/>
      <c r="M714" s="312"/>
      <c r="N714" s="347"/>
      <c r="O714" s="312"/>
      <c r="P714" s="347"/>
      <c r="Q714" s="312"/>
      <c r="R714" s="347"/>
      <c r="S714" s="312"/>
      <c r="T714" s="347"/>
    </row>
    <row r="715" spans="1:20" ht="12" customHeight="1" x14ac:dyDescent="0.3">
      <c r="A715" s="340" t="s">
        <v>287</v>
      </c>
      <c r="B715" s="341" t="s">
        <v>287</v>
      </c>
      <c r="C715" s="309">
        <v>46044</v>
      </c>
      <c r="D715" s="310" t="s">
        <v>316</v>
      </c>
      <c r="E715" s="342">
        <v>126.24</v>
      </c>
      <c r="F715" s="342">
        <v>126.24</v>
      </c>
      <c r="G715" s="344">
        <f t="shared" si="5"/>
        <v>5446.99</v>
      </c>
      <c r="H715" s="345"/>
      <c r="I715" s="346"/>
      <c r="J715" s="347"/>
      <c r="K715" s="312"/>
      <c r="L715" s="347"/>
      <c r="M715" s="312"/>
      <c r="N715" s="347"/>
      <c r="O715" s="312"/>
      <c r="P715" s="347"/>
      <c r="Q715" s="312"/>
      <c r="R715" s="347"/>
      <c r="S715" s="312"/>
      <c r="T715" s="347"/>
    </row>
    <row r="716" spans="1:20" ht="12" customHeight="1" x14ac:dyDescent="0.3">
      <c r="A716" s="340" t="s">
        <v>289</v>
      </c>
      <c r="B716" s="341">
        <v>8</v>
      </c>
      <c r="C716" s="309">
        <v>46043</v>
      </c>
      <c r="D716" s="310" t="s">
        <v>485</v>
      </c>
      <c r="E716" s="342">
        <v>17</v>
      </c>
      <c r="F716" s="342"/>
      <c r="G716" s="344">
        <f t="shared" si="5"/>
        <v>5446.99</v>
      </c>
      <c r="H716" s="345"/>
      <c r="I716" s="346"/>
      <c r="J716" s="347"/>
      <c r="K716" s="312"/>
      <c r="L716" s="347"/>
      <c r="M716" s="312"/>
      <c r="N716" s="347"/>
      <c r="O716" s="312"/>
      <c r="P716" s="347"/>
      <c r="Q716" s="312"/>
      <c r="R716" s="347"/>
      <c r="S716" s="312"/>
      <c r="T716" s="347"/>
    </row>
    <row r="717" spans="1:20" ht="12" customHeight="1" x14ac:dyDescent="0.3">
      <c r="A717" s="340" t="s">
        <v>289</v>
      </c>
      <c r="B717" s="341">
        <v>1</v>
      </c>
      <c r="C717" s="309">
        <v>46043</v>
      </c>
      <c r="D717" s="310" t="s">
        <v>332</v>
      </c>
      <c r="E717" s="342">
        <v>24.75</v>
      </c>
      <c r="F717" s="342"/>
      <c r="G717" s="344">
        <f t="shared" si="5"/>
        <v>5463.99</v>
      </c>
      <c r="H717" s="345"/>
      <c r="I717" s="346"/>
      <c r="J717" s="347"/>
      <c r="K717" s="312"/>
      <c r="L717" s="347"/>
      <c r="M717" s="312"/>
      <c r="N717" s="347"/>
      <c r="O717" s="312"/>
      <c r="P717" s="347"/>
      <c r="Q717" s="312"/>
      <c r="R717" s="347"/>
      <c r="S717" s="312"/>
      <c r="T717" s="347"/>
    </row>
    <row r="718" spans="1:20" ht="12" customHeight="1" x14ac:dyDescent="0.3">
      <c r="A718" s="340" t="s">
        <v>291</v>
      </c>
      <c r="B718" s="341">
        <v>39</v>
      </c>
      <c r="C718" s="309">
        <v>46043</v>
      </c>
      <c r="D718" s="310" t="s">
        <v>292</v>
      </c>
      <c r="E718" s="342"/>
      <c r="F718" s="342">
        <v>3378.82</v>
      </c>
      <c r="G718" s="344">
        <f t="shared" si="5"/>
        <v>5488.74</v>
      </c>
      <c r="H718" s="345"/>
      <c r="I718" s="346"/>
      <c r="J718" s="347"/>
      <c r="K718" s="312"/>
      <c r="L718" s="347"/>
      <c r="M718" s="312"/>
      <c r="N718" s="347"/>
      <c r="O718" s="312"/>
      <c r="P718" s="347"/>
      <c r="Q718" s="312"/>
      <c r="R718" s="347"/>
      <c r="S718" s="312"/>
      <c r="T718" s="347"/>
    </row>
    <row r="719" spans="1:20" ht="12" customHeight="1" x14ac:dyDescent="0.3">
      <c r="A719" s="340" t="s">
        <v>294</v>
      </c>
      <c r="B719" s="341">
        <v>23</v>
      </c>
      <c r="C719" s="309">
        <v>46043</v>
      </c>
      <c r="D719" s="310" t="s">
        <v>67</v>
      </c>
      <c r="E719" s="342">
        <v>650.88</v>
      </c>
      <c r="F719" s="342"/>
      <c r="G719" s="344">
        <f t="shared" si="5"/>
        <v>2109.9199999999992</v>
      </c>
      <c r="H719" s="345"/>
      <c r="I719" s="346"/>
      <c r="J719" s="347"/>
      <c r="K719" s="312"/>
      <c r="L719" s="347"/>
      <c r="M719" s="312"/>
      <c r="N719" s="347"/>
      <c r="O719" s="312"/>
      <c r="P719" s="347"/>
      <c r="Q719" s="312"/>
      <c r="R719" s="347"/>
      <c r="S719" s="312"/>
      <c r="T719" s="347"/>
    </row>
    <row r="720" spans="1:20" ht="12" customHeight="1" x14ac:dyDescent="0.3">
      <c r="A720" s="340" t="s">
        <v>287</v>
      </c>
      <c r="B720" s="341" t="s">
        <v>287</v>
      </c>
      <c r="C720" s="309">
        <v>46043</v>
      </c>
      <c r="D720" s="310" t="s">
        <v>486</v>
      </c>
      <c r="E720" s="342">
        <v>100</v>
      </c>
      <c r="F720" s="342">
        <v>100</v>
      </c>
      <c r="G720" s="344">
        <f t="shared" si="5"/>
        <v>2760.7999999999993</v>
      </c>
      <c r="H720" s="345"/>
      <c r="I720" s="346"/>
      <c r="J720" s="347"/>
      <c r="K720" s="312"/>
      <c r="L720" s="347"/>
      <c r="M720" s="312"/>
      <c r="N720" s="347"/>
      <c r="O720" s="312"/>
      <c r="P720" s="347"/>
      <c r="Q720" s="312"/>
      <c r="R720" s="347"/>
      <c r="S720" s="312"/>
      <c r="T720" s="347"/>
    </row>
    <row r="721" spans="1:20" ht="12" customHeight="1" x14ac:dyDescent="0.3">
      <c r="A721" s="340" t="s">
        <v>289</v>
      </c>
      <c r="B721" s="341">
        <v>2</v>
      </c>
      <c r="C721" s="309">
        <v>46043</v>
      </c>
      <c r="D721" s="310" t="s">
        <v>301</v>
      </c>
      <c r="E721" s="342">
        <v>20</v>
      </c>
      <c r="F721" s="342"/>
      <c r="G721" s="344">
        <f t="shared" si="5"/>
        <v>2760.7999999999993</v>
      </c>
      <c r="H721" s="345"/>
      <c r="I721" s="346"/>
      <c r="J721" s="347"/>
      <c r="K721" s="312"/>
      <c r="L721" s="347"/>
      <c r="M721" s="312"/>
      <c r="N721" s="347"/>
      <c r="O721" s="312"/>
      <c r="P721" s="347"/>
      <c r="Q721" s="312"/>
      <c r="R721" s="347"/>
      <c r="S721" s="312"/>
      <c r="T721" s="347"/>
    </row>
    <row r="722" spans="1:20" ht="12" customHeight="1" x14ac:dyDescent="0.3">
      <c r="A722" s="340" t="s">
        <v>289</v>
      </c>
      <c r="B722" s="341">
        <v>8</v>
      </c>
      <c r="C722" s="309">
        <v>46043</v>
      </c>
      <c r="D722" s="310" t="s">
        <v>295</v>
      </c>
      <c r="E722" s="342">
        <v>6.38</v>
      </c>
      <c r="F722" s="342"/>
      <c r="G722" s="344">
        <f t="shared" si="5"/>
        <v>2780.7999999999993</v>
      </c>
      <c r="H722" s="345"/>
      <c r="I722" s="346"/>
      <c r="J722" s="347"/>
      <c r="K722" s="312"/>
      <c r="L722" s="347"/>
      <c r="M722" s="312"/>
      <c r="N722" s="347"/>
      <c r="O722" s="312"/>
      <c r="P722" s="347"/>
      <c r="Q722" s="312"/>
      <c r="R722" s="347"/>
      <c r="S722" s="312"/>
      <c r="T722" s="347"/>
    </row>
    <row r="723" spans="1:20" ht="12" customHeight="1" x14ac:dyDescent="0.3">
      <c r="A723" s="340" t="s">
        <v>289</v>
      </c>
      <c r="B723" s="341">
        <v>2</v>
      </c>
      <c r="C723" s="309">
        <v>46043</v>
      </c>
      <c r="D723" s="310" t="s">
        <v>295</v>
      </c>
      <c r="E723" s="342">
        <v>17.29</v>
      </c>
      <c r="F723" s="342"/>
      <c r="G723" s="344">
        <f t="shared" si="5"/>
        <v>2787.1799999999994</v>
      </c>
      <c r="H723" s="345"/>
      <c r="I723" s="346"/>
      <c r="J723" s="347"/>
      <c r="K723" s="312"/>
      <c r="L723" s="347"/>
      <c r="M723" s="312"/>
      <c r="N723" s="347"/>
      <c r="O723" s="312"/>
      <c r="P723" s="347"/>
      <c r="Q723" s="312"/>
      <c r="R723" s="347"/>
      <c r="S723" s="312"/>
      <c r="T723" s="347"/>
    </row>
    <row r="724" spans="1:20" ht="12" customHeight="1" x14ac:dyDescent="0.3">
      <c r="A724" s="340" t="s">
        <v>289</v>
      </c>
      <c r="B724" s="341">
        <v>2</v>
      </c>
      <c r="C724" s="309">
        <v>46043</v>
      </c>
      <c r="D724" s="310" t="s">
        <v>362</v>
      </c>
      <c r="E724" s="342">
        <v>14.86</v>
      </c>
      <c r="F724" s="342"/>
      <c r="G724" s="344">
        <f t="shared" si="5"/>
        <v>2804.4699999999993</v>
      </c>
      <c r="H724" s="345"/>
      <c r="I724" s="346"/>
      <c r="J724" s="347"/>
      <c r="K724" s="312"/>
      <c r="L724" s="347"/>
      <c r="M724" s="312"/>
      <c r="N724" s="347"/>
      <c r="O724" s="312"/>
      <c r="P724" s="347"/>
      <c r="Q724" s="312"/>
      <c r="R724" s="347"/>
      <c r="S724" s="312"/>
      <c r="T724" s="347"/>
    </row>
    <row r="725" spans="1:20" ht="12" customHeight="1" x14ac:dyDescent="0.3">
      <c r="A725" s="340" t="s">
        <v>289</v>
      </c>
      <c r="B725" s="341">
        <v>2</v>
      </c>
      <c r="C725" s="309">
        <v>46042</v>
      </c>
      <c r="D725" s="310" t="s">
        <v>375</v>
      </c>
      <c r="E725" s="342">
        <v>13.4</v>
      </c>
      <c r="F725" s="342"/>
      <c r="G725" s="344">
        <f t="shared" si="5"/>
        <v>2819.3299999999995</v>
      </c>
      <c r="H725" s="345"/>
      <c r="I725" s="346"/>
      <c r="J725" s="347"/>
      <c r="K725" s="312"/>
      <c r="L725" s="347"/>
      <c r="M725" s="312"/>
      <c r="N725" s="347"/>
      <c r="O725" s="312"/>
      <c r="P725" s="347"/>
      <c r="Q725" s="312"/>
      <c r="R725" s="347"/>
      <c r="S725" s="312"/>
      <c r="T725" s="347"/>
    </row>
    <row r="726" spans="1:20" ht="12" customHeight="1" x14ac:dyDescent="0.3">
      <c r="A726" s="340" t="s">
        <v>289</v>
      </c>
      <c r="B726" s="341">
        <v>2</v>
      </c>
      <c r="C726" s="309">
        <v>46042</v>
      </c>
      <c r="D726" s="310" t="s">
        <v>375</v>
      </c>
      <c r="E726" s="342">
        <v>5.97</v>
      </c>
      <c r="F726" s="342"/>
      <c r="G726" s="344">
        <f t="shared" si="5"/>
        <v>2832.7299999999996</v>
      </c>
      <c r="H726" s="345"/>
      <c r="I726" s="346"/>
      <c r="J726" s="347"/>
      <c r="K726" s="312"/>
      <c r="L726" s="347"/>
      <c r="M726" s="312"/>
      <c r="N726" s="347"/>
      <c r="O726" s="312"/>
      <c r="P726" s="347"/>
      <c r="Q726" s="312"/>
      <c r="R726" s="347"/>
      <c r="S726" s="312"/>
      <c r="T726" s="347"/>
    </row>
    <row r="727" spans="1:20" ht="12" customHeight="1" x14ac:dyDescent="0.3">
      <c r="A727" s="340" t="s">
        <v>294</v>
      </c>
      <c r="B727" s="341">
        <v>22</v>
      </c>
      <c r="C727" s="309">
        <v>46042</v>
      </c>
      <c r="D727" s="310" t="s">
        <v>325</v>
      </c>
      <c r="E727" s="342">
        <v>18.09</v>
      </c>
      <c r="F727" s="342"/>
      <c r="G727" s="344">
        <f t="shared" si="5"/>
        <v>2838.6999999999994</v>
      </c>
      <c r="H727" s="345"/>
      <c r="I727" s="346"/>
      <c r="J727" s="347"/>
      <c r="K727" s="312"/>
      <c r="L727" s="347"/>
      <c r="M727" s="312"/>
      <c r="N727" s="347"/>
      <c r="O727" s="312"/>
      <c r="P727" s="347"/>
      <c r="Q727" s="312"/>
      <c r="R727" s="347"/>
      <c r="S727" s="312"/>
      <c r="T727" s="347"/>
    </row>
    <row r="728" spans="1:20" ht="12" customHeight="1" x14ac:dyDescent="0.3">
      <c r="A728" s="340" t="s">
        <v>294</v>
      </c>
      <c r="B728" s="341">
        <v>17</v>
      </c>
      <c r="C728" s="309">
        <v>46042</v>
      </c>
      <c r="D728" s="310" t="s">
        <v>188</v>
      </c>
      <c r="E728" s="342">
        <v>42.65</v>
      </c>
      <c r="F728" s="342"/>
      <c r="G728" s="344">
        <f t="shared" si="5"/>
        <v>2856.7899999999995</v>
      </c>
      <c r="H728" s="345"/>
      <c r="I728" s="346"/>
      <c r="J728" s="347"/>
      <c r="K728" s="312"/>
      <c r="L728" s="347"/>
      <c r="M728" s="312"/>
      <c r="N728" s="347"/>
      <c r="O728" s="312"/>
      <c r="P728" s="347"/>
      <c r="Q728" s="312"/>
      <c r="R728" s="347"/>
      <c r="S728" s="312"/>
      <c r="T728" s="347"/>
    </row>
    <row r="729" spans="1:20" ht="12" customHeight="1" x14ac:dyDescent="0.3">
      <c r="A729" s="340" t="s">
        <v>339</v>
      </c>
      <c r="B729" s="341" t="s">
        <v>339</v>
      </c>
      <c r="C729" s="309">
        <v>46042</v>
      </c>
      <c r="D729" s="310" t="s">
        <v>340</v>
      </c>
      <c r="E729" s="342">
        <v>130.51</v>
      </c>
      <c r="F729" s="342"/>
      <c r="G729" s="344">
        <f t="shared" si="5"/>
        <v>2899.4399999999996</v>
      </c>
      <c r="H729" s="345"/>
      <c r="I729" s="346"/>
      <c r="J729" s="347"/>
      <c r="K729" s="312"/>
      <c r="L729" s="347"/>
      <c r="M729" s="312"/>
      <c r="N729" s="347"/>
      <c r="O729" s="312"/>
      <c r="P729" s="347"/>
      <c r="Q729" s="312"/>
      <c r="R729" s="347"/>
      <c r="S729" s="312"/>
      <c r="T729" s="347"/>
    </row>
    <row r="730" spans="1:20" ht="12" customHeight="1" x14ac:dyDescent="0.3">
      <c r="A730" s="340" t="s">
        <v>294</v>
      </c>
      <c r="B730" s="341">
        <v>15</v>
      </c>
      <c r="C730" s="309">
        <v>46042</v>
      </c>
      <c r="D730" s="310" t="s">
        <v>185</v>
      </c>
      <c r="E730" s="342">
        <v>132.4</v>
      </c>
      <c r="F730" s="342"/>
      <c r="G730" s="344">
        <f t="shared" si="5"/>
        <v>3029.9499999999994</v>
      </c>
      <c r="H730" s="345"/>
      <c r="I730" s="346"/>
      <c r="J730" s="347"/>
      <c r="K730" s="312"/>
      <c r="L730" s="347"/>
      <c r="M730" s="312"/>
      <c r="N730" s="347"/>
      <c r="O730" s="312"/>
      <c r="P730" s="347"/>
      <c r="Q730" s="312"/>
      <c r="R730" s="347"/>
      <c r="S730" s="312"/>
      <c r="T730" s="347"/>
    </row>
    <row r="731" spans="1:20" ht="12" customHeight="1" x14ac:dyDescent="0.3">
      <c r="A731" s="340" t="s">
        <v>294</v>
      </c>
      <c r="B731" s="341">
        <v>23</v>
      </c>
      <c r="C731" s="309">
        <v>46042</v>
      </c>
      <c r="D731" s="310" t="s">
        <v>63</v>
      </c>
      <c r="E731" s="342">
        <v>529.46</v>
      </c>
      <c r="F731" s="342"/>
      <c r="G731" s="344">
        <f t="shared" si="5"/>
        <v>3162.3499999999995</v>
      </c>
      <c r="H731" s="345"/>
      <c r="I731" s="346"/>
      <c r="J731" s="347"/>
      <c r="K731" s="312"/>
      <c r="L731" s="347"/>
      <c r="M731" s="312"/>
      <c r="N731" s="347"/>
      <c r="O731" s="312"/>
      <c r="P731" s="347"/>
      <c r="Q731" s="312"/>
      <c r="R731" s="347"/>
      <c r="S731" s="312"/>
      <c r="T731" s="347"/>
    </row>
    <row r="732" spans="1:20" ht="12" customHeight="1" x14ac:dyDescent="0.3">
      <c r="A732" s="340" t="s">
        <v>289</v>
      </c>
      <c r="B732" s="341">
        <v>6</v>
      </c>
      <c r="C732" s="309">
        <v>46042</v>
      </c>
      <c r="D732" s="310" t="s">
        <v>300</v>
      </c>
      <c r="E732" s="342">
        <v>51.63</v>
      </c>
      <c r="F732" s="342"/>
      <c r="G732" s="344">
        <f t="shared" si="5"/>
        <v>3691.8099999999995</v>
      </c>
      <c r="H732" s="345"/>
      <c r="I732" s="346"/>
      <c r="J732" s="347"/>
      <c r="K732" s="312"/>
      <c r="L732" s="347"/>
      <c r="M732" s="312"/>
      <c r="N732" s="347"/>
      <c r="O732" s="312"/>
      <c r="P732" s="347"/>
      <c r="Q732" s="312"/>
      <c r="R732" s="347"/>
      <c r="S732" s="312"/>
      <c r="T732" s="347"/>
    </row>
    <row r="733" spans="1:20" ht="12" customHeight="1" x14ac:dyDescent="0.3">
      <c r="A733" s="340" t="s">
        <v>289</v>
      </c>
      <c r="B733" s="341">
        <v>2</v>
      </c>
      <c r="C733" s="309">
        <v>46042</v>
      </c>
      <c r="D733" s="310" t="s">
        <v>296</v>
      </c>
      <c r="E733" s="342">
        <v>11.17</v>
      </c>
      <c r="F733" s="342"/>
      <c r="G733" s="344">
        <f t="shared" si="5"/>
        <v>3743.4399999999996</v>
      </c>
      <c r="H733" s="345"/>
      <c r="I733" s="346"/>
      <c r="J733" s="347"/>
      <c r="K733" s="312"/>
      <c r="L733" s="347"/>
      <c r="M733" s="312"/>
      <c r="N733" s="347"/>
      <c r="O733" s="312"/>
      <c r="P733" s="347"/>
      <c r="Q733" s="312"/>
      <c r="R733" s="347"/>
      <c r="S733" s="312"/>
      <c r="T733" s="347"/>
    </row>
    <row r="734" spans="1:20" ht="12" customHeight="1" x14ac:dyDescent="0.3">
      <c r="A734" s="340" t="s">
        <v>289</v>
      </c>
      <c r="B734" s="341">
        <v>4</v>
      </c>
      <c r="C734" s="309">
        <v>46042</v>
      </c>
      <c r="D734" s="310" t="s">
        <v>296</v>
      </c>
      <c r="E734" s="342">
        <v>57.37</v>
      </c>
      <c r="F734" s="342"/>
      <c r="G734" s="344">
        <f t="shared" si="5"/>
        <v>3754.6099999999997</v>
      </c>
      <c r="H734" s="345"/>
      <c r="I734" s="346"/>
      <c r="J734" s="347"/>
      <c r="K734" s="312"/>
      <c r="L734" s="347"/>
      <c r="M734" s="312"/>
      <c r="N734" s="347"/>
      <c r="O734" s="312"/>
      <c r="P734" s="347"/>
      <c r="Q734" s="312"/>
      <c r="R734" s="347"/>
      <c r="S734" s="312"/>
      <c r="T734" s="347"/>
    </row>
    <row r="735" spans="1:20" ht="12" customHeight="1" x14ac:dyDescent="0.3">
      <c r="A735" s="340" t="s">
        <v>294</v>
      </c>
      <c r="B735" s="341">
        <v>22</v>
      </c>
      <c r="C735" s="309">
        <v>46042</v>
      </c>
      <c r="D735" s="310" t="s">
        <v>331</v>
      </c>
      <c r="E735" s="342">
        <v>7.46</v>
      </c>
      <c r="F735" s="342"/>
      <c r="G735" s="344">
        <f t="shared" si="5"/>
        <v>3811.9799999999996</v>
      </c>
      <c r="H735" s="345"/>
      <c r="I735" s="346"/>
      <c r="J735" s="347"/>
      <c r="K735" s="312"/>
      <c r="L735" s="347"/>
      <c r="M735" s="312"/>
      <c r="N735" s="347"/>
      <c r="O735" s="312"/>
      <c r="P735" s="347"/>
      <c r="Q735" s="312"/>
      <c r="R735" s="347"/>
      <c r="S735" s="312"/>
      <c r="T735" s="347"/>
    </row>
    <row r="736" spans="1:20" ht="12" customHeight="1" x14ac:dyDescent="0.3">
      <c r="A736" s="340" t="s">
        <v>289</v>
      </c>
      <c r="B736" s="341">
        <v>4</v>
      </c>
      <c r="C736" s="309">
        <v>46042</v>
      </c>
      <c r="D736" s="310" t="s">
        <v>311</v>
      </c>
      <c r="E736" s="342">
        <v>28.91</v>
      </c>
      <c r="F736" s="342"/>
      <c r="G736" s="344">
        <f t="shared" si="5"/>
        <v>3819.4399999999996</v>
      </c>
      <c r="H736" s="345"/>
      <c r="I736" s="346"/>
      <c r="J736" s="347"/>
      <c r="K736" s="312"/>
      <c r="L736" s="347"/>
      <c r="M736" s="312"/>
      <c r="N736" s="347"/>
      <c r="O736" s="312"/>
      <c r="P736" s="347"/>
      <c r="Q736" s="312"/>
      <c r="R736" s="347"/>
      <c r="S736" s="312"/>
      <c r="T736" s="347"/>
    </row>
    <row r="737" spans="1:20" ht="12" customHeight="1" x14ac:dyDescent="0.3">
      <c r="A737" s="340" t="s">
        <v>289</v>
      </c>
      <c r="B737" s="341">
        <v>6</v>
      </c>
      <c r="C737" s="309">
        <v>46040</v>
      </c>
      <c r="D737" s="310" t="s">
        <v>300</v>
      </c>
      <c r="E737" s="342">
        <v>31.35</v>
      </c>
      <c r="F737" s="342"/>
      <c r="G737" s="344">
        <f t="shared" si="5"/>
        <v>3848.3499999999995</v>
      </c>
      <c r="H737" s="345"/>
      <c r="I737" s="346"/>
      <c r="J737" s="347"/>
      <c r="K737" s="312"/>
      <c r="L737" s="347"/>
      <c r="M737" s="312"/>
      <c r="N737" s="347"/>
      <c r="O737" s="312"/>
      <c r="P737" s="347"/>
      <c r="Q737" s="312"/>
      <c r="R737" s="347"/>
      <c r="S737" s="312"/>
      <c r="T737" s="347"/>
    </row>
    <row r="738" spans="1:20" ht="12" customHeight="1" x14ac:dyDescent="0.3">
      <c r="A738" s="340" t="s">
        <v>289</v>
      </c>
      <c r="B738" s="341">
        <v>8</v>
      </c>
      <c r="C738" s="309">
        <v>46040</v>
      </c>
      <c r="D738" s="310" t="s">
        <v>487</v>
      </c>
      <c r="E738" s="342">
        <v>124.75</v>
      </c>
      <c r="F738" s="342"/>
      <c r="G738" s="344">
        <f t="shared" si="5"/>
        <v>3879.6999999999994</v>
      </c>
      <c r="H738" s="345"/>
      <c r="I738" s="346"/>
      <c r="J738" s="347"/>
      <c r="K738" s="312"/>
      <c r="L738" s="347"/>
      <c r="M738" s="312"/>
      <c r="N738" s="347"/>
      <c r="O738" s="312"/>
      <c r="P738" s="347"/>
      <c r="Q738" s="312"/>
      <c r="R738" s="347"/>
      <c r="S738" s="312"/>
      <c r="T738" s="347"/>
    </row>
    <row r="739" spans="1:20" ht="12" customHeight="1" x14ac:dyDescent="0.3">
      <c r="A739" s="340" t="s">
        <v>289</v>
      </c>
      <c r="B739" s="341">
        <v>3</v>
      </c>
      <c r="C739" s="309">
        <v>46040</v>
      </c>
      <c r="D739" s="310" t="s">
        <v>322</v>
      </c>
      <c r="E739" s="342">
        <v>11.3</v>
      </c>
      <c r="F739" s="342"/>
      <c r="G739" s="344">
        <f t="shared" si="5"/>
        <v>4004.4499999999994</v>
      </c>
      <c r="H739" s="345"/>
      <c r="I739" s="346"/>
      <c r="J739" s="347"/>
      <c r="K739" s="312"/>
      <c r="L739" s="347"/>
      <c r="M739" s="312"/>
      <c r="N739" s="347"/>
      <c r="O739" s="312"/>
      <c r="P739" s="347"/>
      <c r="Q739" s="312"/>
      <c r="R739" s="347"/>
      <c r="S739" s="312"/>
      <c r="T739" s="347"/>
    </row>
    <row r="740" spans="1:20" ht="12" customHeight="1" x14ac:dyDescent="0.3">
      <c r="A740" s="340" t="s">
        <v>294</v>
      </c>
      <c r="B740" s="341">
        <v>22</v>
      </c>
      <c r="C740" s="309">
        <v>46040</v>
      </c>
      <c r="D740" s="310" t="s">
        <v>408</v>
      </c>
      <c r="E740" s="342">
        <v>13.84</v>
      </c>
      <c r="F740" s="342"/>
      <c r="G740" s="344">
        <f t="shared" si="5"/>
        <v>4015.7499999999995</v>
      </c>
      <c r="H740" s="345"/>
      <c r="I740" s="346"/>
      <c r="J740" s="347"/>
      <c r="K740" s="312"/>
      <c r="L740" s="347"/>
      <c r="M740" s="312"/>
      <c r="N740" s="347"/>
      <c r="O740" s="312"/>
      <c r="P740" s="347"/>
      <c r="Q740" s="312"/>
      <c r="R740" s="347"/>
      <c r="S740" s="312"/>
      <c r="T740" s="347"/>
    </row>
    <row r="741" spans="1:20" ht="12" customHeight="1" x14ac:dyDescent="0.3">
      <c r="A741" s="340" t="s">
        <v>289</v>
      </c>
      <c r="B741" s="341">
        <v>1</v>
      </c>
      <c r="C741" s="309">
        <v>46040</v>
      </c>
      <c r="D741" s="310" t="s">
        <v>307</v>
      </c>
      <c r="E741" s="342">
        <v>92.06</v>
      </c>
      <c r="F741" s="342"/>
      <c r="G741" s="344">
        <f t="shared" si="5"/>
        <v>4029.5899999999997</v>
      </c>
      <c r="H741" s="345"/>
      <c r="I741" s="346"/>
      <c r="J741" s="347"/>
      <c r="K741" s="312"/>
      <c r="L741" s="347"/>
      <c r="M741" s="312"/>
      <c r="N741" s="347"/>
      <c r="O741" s="312"/>
      <c r="P741" s="347"/>
      <c r="Q741" s="312"/>
      <c r="R741" s="347"/>
      <c r="S741" s="312"/>
      <c r="T741" s="347"/>
    </row>
    <row r="742" spans="1:20" ht="12" customHeight="1" x14ac:dyDescent="0.3">
      <c r="A742" s="340" t="s">
        <v>289</v>
      </c>
      <c r="B742" s="341">
        <v>7</v>
      </c>
      <c r="C742" s="309">
        <v>46040</v>
      </c>
      <c r="D742" s="310" t="s">
        <v>342</v>
      </c>
      <c r="E742" s="342">
        <v>78.47</v>
      </c>
      <c r="F742" s="342"/>
      <c r="G742" s="344">
        <f t="shared" si="5"/>
        <v>4121.6499999999996</v>
      </c>
      <c r="H742" s="345"/>
      <c r="I742" s="346"/>
      <c r="J742" s="347"/>
      <c r="K742" s="312"/>
      <c r="L742" s="347"/>
      <c r="M742" s="312"/>
      <c r="N742" s="347"/>
      <c r="O742" s="312"/>
      <c r="P742" s="347"/>
      <c r="Q742" s="312"/>
      <c r="R742" s="347"/>
      <c r="S742" s="312"/>
      <c r="T742" s="347"/>
    </row>
    <row r="743" spans="1:20" ht="12" customHeight="1" x14ac:dyDescent="0.3">
      <c r="A743" s="340" t="s">
        <v>289</v>
      </c>
      <c r="B743" s="341">
        <v>1</v>
      </c>
      <c r="C743" s="309">
        <v>46040</v>
      </c>
      <c r="D743" s="310" t="s">
        <v>397</v>
      </c>
      <c r="E743" s="342">
        <v>28.22</v>
      </c>
      <c r="F743" s="342"/>
      <c r="G743" s="344">
        <f t="shared" si="5"/>
        <v>4200.12</v>
      </c>
      <c r="H743" s="345"/>
      <c r="I743" s="346"/>
      <c r="J743" s="347"/>
      <c r="K743" s="312"/>
      <c r="L743" s="347"/>
      <c r="M743" s="312"/>
      <c r="N743" s="347"/>
      <c r="O743" s="312"/>
      <c r="P743" s="347"/>
      <c r="Q743" s="312"/>
      <c r="R743" s="347"/>
      <c r="S743" s="312"/>
      <c r="T743" s="347"/>
    </row>
    <row r="744" spans="1:20" ht="12" customHeight="1" x14ac:dyDescent="0.3">
      <c r="A744" s="340" t="s">
        <v>289</v>
      </c>
      <c r="B744" s="341">
        <v>2</v>
      </c>
      <c r="C744" s="309">
        <v>46040</v>
      </c>
      <c r="D744" s="310" t="s">
        <v>396</v>
      </c>
      <c r="E744" s="342">
        <v>32.729999999999997</v>
      </c>
      <c r="F744" s="342"/>
      <c r="G744" s="344">
        <f t="shared" si="5"/>
        <v>4228.34</v>
      </c>
      <c r="H744" s="345"/>
      <c r="I744" s="346"/>
      <c r="J744" s="347"/>
      <c r="K744" s="312"/>
      <c r="L744" s="347"/>
      <c r="M744" s="312"/>
      <c r="N744" s="347"/>
      <c r="O744" s="312"/>
      <c r="P744" s="347"/>
      <c r="Q744" s="312"/>
      <c r="R744" s="347"/>
      <c r="S744" s="312"/>
      <c r="T744" s="347"/>
    </row>
    <row r="745" spans="1:20" ht="12" customHeight="1" x14ac:dyDescent="0.3">
      <c r="A745" s="340" t="s">
        <v>294</v>
      </c>
      <c r="B745" s="341">
        <v>42</v>
      </c>
      <c r="C745" s="309">
        <v>46039</v>
      </c>
      <c r="D745" s="310" t="s">
        <v>337</v>
      </c>
      <c r="E745" s="342">
        <v>29.8</v>
      </c>
      <c r="F745" s="342"/>
      <c r="G745" s="344">
        <f t="shared" si="5"/>
        <v>4261.07</v>
      </c>
      <c r="H745" s="345"/>
      <c r="I745" s="346"/>
      <c r="J745" s="347"/>
      <c r="K745" s="312"/>
      <c r="L745" s="347"/>
      <c r="M745" s="312"/>
      <c r="N745" s="347"/>
      <c r="O745" s="312"/>
      <c r="P745" s="347"/>
      <c r="Q745" s="312"/>
      <c r="R745" s="347"/>
      <c r="S745" s="312"/>
      <c r="T745" s="347"/>
    </row>
    <row r="746" spans="1:20" ht="12" customHeight="1" x14ac:dyDescent="0.3">
      <c r="A746" s="340" t="s">
        <v>294</v>
      </c>
      <c r="B746" s="341">
        <v>43</v>
      </c>
      <c r="C746" s="309">
        <v>46039</v>
      </c>
      <c r="D746" s="310" t="s">
        <v>337</v>
      </c>
      <c r="E746" s="342">
        <v>22.35</v>
      </c>
      <c r="F746" s="342"/>
      <c r="G746" s="344">
        <f t="shared" si="5"/>
        <v>4290.87</v>
      </c>
      <c r="H746" s="345"/>
      <c r="I746" s="346"/>
      <c r="J746" s="347"/>
      <c r="K746" s="312"/>
      <c r="L746" s="347"/>
      <c r="M746" s="312"/>
      <c r="N746" s="347"/>
      <c r="O746" s="312"/>
      <c r="P746" s="347"/>
      <c r="Q746" s="312"/>
      <c r="R746" s="347"/>
      <c r="S746" s="312"/>
      <c r="T746" s="347"/>
    </row>
    <row r="747" spans="1:20" ht="12" customHeight="1" x14ac:dyDescent="0.3">
      <c r="A747" s="340" t="s">
        <v>289</v>
      </c>
      <c r="B747" s="341">
        <v>8</v>
      </c>
      <c r="C747" s="309">
        <v>46039</v>
      </c>
      <c r="D747" s="310" t="s">
        <v>321</v>
      </c>
      <c r="E747" s="342">
        <v>36.92</v>
      </c>
      <c r="F747" s="342"/>
      <c r="G747" s="344">
        <f t="shared" si="5"/>
        <v>4313.22</v>
      </c>
      <c r="H747" s="345"/>
      <c r="I747" s="346"/>
      <c r="J747" s="347"/>
      <c r="K747" s="312"/>
      <c r="L747" s="347"/>
      <c r="M747" s="312"/>
      <c r="N747" s="347"/>
      <c r="O747" s="312"/>
      <c r="P747" s="347"/>
      <c r="Q747" s="312"/>
      <c r="R747" s="347"/>
      <c r="S747" s="312"/>
      <c r="T747" s="347"/>
    </row>
    <row r="748" spans="1:20" ht="12" customHeight="1" x14ac:dyDescent="0.3">
      <c r="A748" s="340" t="s">
        <v>289</v>
      </c>
      <c r="B748" s="341">
        <v>1</v>
      </c>
      <c r="C748" s="309">
        <v>46039</v>
      </c>
      <c r="D748" s="310" t="s">
        <v>312</v>
      </c>
      <c r="E748" s="342">
        <v>117.89</v>
      </c>
      <c r="F748" s="342"/>
      <c r="G748" s="344">
        <f t="shared" si="5"/>
        <v>4350.1400000000003</v>
      </c>
      <c r="H748" s="345"/>
      <c r="I748" s="346"/>
      <c r="J748" s="347"/>
      <c r="K748" s="312"/>
      <c r="L748" s="347"/>
      <c r="M748" s="312"/>
      <c r="N748" s="347"/>
      <c r="O748" s="312"/>
      <c r="P748" s="347"/>
      <c r="Q748" s="312"/>
      <c r="R748" s="347"/>
      <c r="S748" s="312"/>
      <c r="T748" s="347"/>
    </row>
    <row r="749" spans="1:20" ht="12" customHeight="1" x14ac:dyDescent="0.3">
      <c r="A749" s="340" t="s">
        <v>289</v>
      </c>
      <c r="B749" s="341">
        <v>1</v>
      </c>
      <c r="C749" s="309">
        <v>46039</v>
      </c>
      <c r="D749" s="310" t="s">
        <v>332</v>
      </c>
      <c r="E749" s="342">
        <v>196.36</v>
      </c>
      <c r="F749" s="342"/>
      <c r="G749" s="344">
        <f t="shared" si="5"/>
        <v>4468.0300000000007</v>
      </c>
      <c r="H749" s="345"/>
      <c r="I749" s="346"/>
      <c r="J749" s="347"/>
      <c r="K749" s="312"/>
      <c r="L749" s="347"/>
      <c r="M749" s="312"/>
      <c r="N749" s="347"/>
      <c r="O749" s="312"/>
      <c r="P749" s="347"/>
      <c r="Q749" s="312"/>
      <c r="R749" s="347"/>
      <c r="S749" s="312"/>
      <c r="T749" s="347"/>
    </row>
    <row r="750" spans="1:20" ht="12" customHeight="1" x14ac:dyDescent="0.3">
      <c r="A750" s="340" t="s">
        <v>294</v>
      </c>
      <c r="B750" s="341">
        <v>21</v>
      </c>
      <c r="C750" s="309">
        <v>46039</v>
      </c>
      <c r="D750" s="310" t="s">
        <v>194</v>
      </c>
      <c r="E750" s="342">
        <v>70.2</v>
      </c>
      <c r="F750" s="342"/>
      <c r="G750" s="344">
        <f t="shared" si="5"/>
        <v>4664.3900000000003</v>
      </c>
      <c r="H750" s="345"/>
      <c r="I750" s="346"/>
      <c r="J750" s="347"/>
      <c r="K750" s="312"/>
      <c r="L750" s="347"/>
      <c r="M750" s="312"/>
      <c r="N750" s="347"/>
      <c r="O750" s="312"/>
      <c r="P750" s="347"/>
      <c r="Q750" s="312"/>
      <c r="R750" s="347"/>
      <c r="S750" s="312"/>
      <c r="T750" s="347"/>
    </row>
    <row r="751" spans="1:20" ht="12" customHeight="1" x14ac:dyDescent="0.3">
      <c r="A751" s="340" t="s">
        <v>289</v>
      </c>
      <c r="B751" s="341">
        <v>2</v>
      </c>
      <c r="C751" s="309">
        <v>46038</v>
      </c>
      <c r="D751" s="310" t="s">
        <v>327</v>
      </c>
      <c r="E751" s="342">
        <v>13.14</v>
      </c>
      <c r="F751" s="342"/>
      <c r="G751" s="344">
        <f t="shared" si="5"/>
        <v>4734.59</v>
      </c>
      <c r="H751" s="345"/>
      <c r="I751" s="346"/>
      <c r="J751" s="347"/>
      <c r="K751" s="312"/>
      <c r="L751" s="347"/>
      <c r="M751" s="312"/>
      <c r="N751" s="347"/>
      <c r="O751" s="312"/>
      <c r="P751" s="347"/>
      <c r="Q751" s="312"/>
      <c r="R751" s="347"/>
      <c r="S751" s="312"/>
      <c r="T751" s="347"/>
    </row>
    <row r="752" spans="1:20" ht="12" customHeight="1" x14ac:dyDescent="0.3">
      <c r="A752" s="340" t="s">
        <v>289</v>
      </c>
      <c r="B752" s="341">
        <v>2</v>
      </c>
      <c r="C752" s="309">
        <v>46038</v>
      </c>
      <c r="D752" s="310" t="s">
        <v>296</v>
      </c>
      <c r="E752" s="342">
        <v>18.489999999999998</v>
      </c>
      <c r="F752" s="342"/>
      <c r="G752" s="344">
        <f t="shared" si="5"/>
        <v>4747.7300000000005</v>
      </c>
      <c r="H752" s="345"/>
      <c r="I752" s="346"/>
      <c r="J752" s="347"/>
      <c r="K752" s="312"/>
      <c r="L752" s="347"/>
      <c r="M752" s="312"/>
      <c r="N752" s="347"/>
      <c r="O752" s="312"/>
      <c r="P752" s="347"/>
      <c r="Q752" s="312"/>
      <c r="R752" s="347"/>
      <c r="S752" s="312"/>
      <c r="T752" s="347"/>
    </row>
    <row r="753" spans="1:20" ht="12" customHeight="1" x14ac:dyDescent="0.3">
      <c r="A753" s="340" t="s">
        <v>291</v>
      </c>
      <c r="B753" s="341">
        <v>41</v>
      </c>
      <c r="C753" s="309">
        <v>46038</v>
      </c>
      <c r="D753" s="310" t="s">
        <v>488</v>
      </c>
      <c r="E753" s="342"/>
      <c r="F753" s="342">
        <v>800</v>
      </c>
      <c r="G753" s="344">
        <f t="shared" si="5"/>
        <v>4766.22</v>
      </c>
      <c r="H753" s="345" t="s">
        <v>298</v>
      </c>
      <c r="I753" s="346"/>
      <c r="J753" s="347"/>
      <c r="K753" s="312"/>
      <c r="L753" s="347"/>
      <c r="M753" s="312"/>
      <c r="N753" s="347"/>
      <c r="O753" s="312"/>
      <c r="P753" s="347"/>
      <c r="Q753" s="312"/>
      <c r="R753" s="347"/>
      <c r="S753" s="312"/>
      <c r="T753" s="347"/>
    </row>
    <row r="754" spans="1:20" ht="12" customHeight="1" x14ac:dyDescent="0.3">
      <c r="A754" s="340" t="s">
        <v>294</v>
      </c>
      <c r="B754" s="341">
        <v>18</v>
      </c>
      <c r="C754" s="309">
        <v>46038</v>
      </c>
      <c r="D754" s="310" t="s">
        <v>365</v>
      </c>
      <c r="E754" s="342">
        <v>400</v>
      </c>
      <c r="F754" s="342"/>
      <c r="G754" s="344">
        <f t="shared" si="5"/>
        <v>3966.2200000000003</v>
      </c>
      <c r="H754" s="345"/>
      <c r="I754" s="346"/>
      <c r="J754" s="347"/>
      <c r="K754" s="312"/>
      <c r="L754" s="347"/>
      <c r="M754" s="312"/>
      <c r="N754" s="347"/>
      <c r="O754" s="312"/>
      <c r="P754" s="347"/>
      <c r="Q754" s="312"/>
      <c r="R754" s="347"/>
      <c r="S754" s="312"/>
      <c r="T754" s="347"/>
    </row>
    <row r="755" spans="1:20" ht="12" customHeight="1" x14ac:dyDescent="0.3">
      <c r="A755" s="340" t="s">
        <v>294</v>
      </c>
      <c r="B755" s="341">
        <v>19</v>
      </c>
      <c r="C755" s="309">
        <v>46038</v>
      </c>
      <c r="D755" s="310" t="s">
        <v>191</v>
      </c>
      <c r="E755" s="342">
        <v>200</v>
      </c>
      <c r="F755" s="342"/>
      <c r="G755" s="344">
        <f t="shared" si="5"/>
        <v>4366.22</v>
      </c>
      <c r="H755" s="345"/>
      <c r="I755" s="346"/>
      <c r="J755" s="347"/>
      <c r="K755" s="312"/>
      <c r="L755" s="347"/>
      <c r="M755" s="312"/>
      <c r="N755" s="347"/>
      <c r="O755" s="312"/>
      <c r="P755" s="347"/>
      <c r="Q755" s="312"/>
      <c r="R755" s="347"/>
      <c r="S755" s="312"/>
      <c r="T755" s="347"/>
    </row>
    <row r="756" spans="1:20" ht="12" customHeight="1" x14ac:dyDescent="0.3">
      <c r="A756" s="340" t="s">
        <v>294</v>
      </c>
      <c r="B756" s="341">
        <v>11</v>
      </c>
      <c r="C756" s="309">
        <v>46038</v>
      </c>
      <c r="D756" s="310" t="s">
        <v>178</v>
      </c>
      <c r="E756" s="342">
        <v>267.95999999999998</v>
      </c>
      <c r="F756" s="342"/>
      <c r="G756" s="344">
        <f t="shared" si="5"/>
        <v>4566.22</v>
      </c>
      <c r="H756" s="345"/>
      <c r="I756" s="346"/>
      <c r="J756" s="347"/>
      <c r="K756" s="312"/>
      <c r="L756" s="347"/>
      <c r="M756" s="312"/>
      <c r="N756" s="347"/>
      <c r="O756" s="312"/>
      <c r="P756" s="347"/>
      <c r="Q756" s="312"/>
      <c r="R756" s="347"/>
      <c r="S756" s="312"/>
      <c r="T756" s="347"/>
    </row>
    <row r="757" spans="1:20" ht="12" customHeight="1" x14ac:dyDescent="0.3">
      <c r="A757" s="340" t="s">
        <v>289</v>
      </c>
      <c r="B757" s="341">
        <v>8</v>
      </c>
      <c r="C757" s="309">
        <v>46037</v>
      </c>
      <c r="D757" s="310" t="s">
        <v>361</v>
      </c>
      <c r="E757" s="342">
        <v>59.95</v>
      </c>
      <c r="F757" s="342"/>
      <c r="G757" s="344">
        <f t="shared" si="5"/>
        <v>4834.18</v>
      </c>
      <c r="H757" s="345"/>
      <c r="I757" s="346"/>
      <c r="J757" s="347"/>
      <c r="K757" s="312"/>
      <c r="L757" s="347"/>
      <c r="M757" s="312"/>
      <c r="N757" s="347"/>
      <c r="O757" s="312"/>
      <c r="P757" s="347"/>
      <c r="Q757" s="312"/>
      <c r="R757" s="347"/>
      <c r="S757" s="312"/>
      <c r="T757" s="347"/>
    </row>
    <row r="758" spans="1:20" ht="12" customHeight="1" x14ac:dyDescent="0.3">
      <c r="A758" s="340" t="s">
        <v>289</v>
      </c>
      <c r="B758" s="341">
        <v>2</v>
      </c>
      <c r="C758" s="309">
        <v>46037</v>
      </c>
      <c r="D758" s="310" t="s">
        <v>361</v>
      </c>
      <c r="E758" s="342">
        <v>59.96</v>
      </c>
      <c r="F758" s="342"/>
      <c r="G758" s="344">
        <f t="shared" si="5"/>
        <v>4894.13</v>
      </c>
      <c r="H758" s="345"/>
      <c r="I758" s="346"/>
      <c r="J758" s="347"/>
      <c r="K758" s="312"/>
      <c r="L758" s="347"/>
      <c r="M758" s="312"/>
      <c r="N758" s="347"/>
      <c r="O758" s="312"/>
      <c r="P758" s="347"/>
      <c r="Q758" s="312"/>
      <c r="R758" s="347"/>
      <c r="S758" s="312"/>
      <c r="T758" s="347"/>
    </row>
    <row r="759" spans="1:20" ht="12" customHeight="1" x14ac:dyDescent="0.3">
      <c r="A759" s="340" t="s">
        <v>289</v>
      </c>
      <c r="B759" s="341">
        <v>8</v>
      </c>
      <c r="C759" s="309">
        <v>46037</v>
      </c>
      <c r="D759" s="310" t="s">
        <v>321</v>
      </c>
      <c r="E759" s="342">
        <v>12.43</v>
      </c>
      <c r="F759" s="342"/>
      <c r="G759" s="344">
        <f t="shared" si="5"/>
        <v>4954.09</v>
      </c>
      <c r="H759" s="345"/>
      <c r="I759" s="346"/>
      <c r="J759" s="347"/>
      <c r="K759" s="312"/>
      <c r="L759" s="347"/>
      <c r="M759" s="312"/>
      <c r="N759" s="347"/>
      <c r="O759" s="312"/>
      <c r="P759" s="347"/>
      <c r="Q759" s="312"/>
      <c r="R759" s="347"/>
      <c r="S759" s="312"/>
      <c r="T759" s="347"/>
    </row>
    <row r="760" spans="1:20" ht="12" customHeight="1" x14ac:dyDescent="0.3">
      <c r="A760" s="340" t="s">
        <v>289</v>
      </c>
      <c r="B760" s="341">
        <v>2</v>
      </c>
      <c r="C760" s="309">
        <v>46037</v>
      </c>
      <c r="D760" s="310" t="s">
        <v>296</v>
      </c>
      <c r="E760" s="342">
        <v>11.07</v>
      </c>
      <c r="F760" s="342"/>
      <c r="G760" s="344">
        <f t="shared" si="5"/>
        <v>4966.5200000000004</v>
      </c>
      <c r="H760" s="345"/>
      <c r="I760" s="346"/>
      <c r="J760" s="347"/>
      <c r="K760" s="312"/>
      <c r="L760" s="347"/>
      <c r="M760" s="312"/>
      <c r="N760" s="347"/>
      <c r="O760" s="312"/>
      <c r="P760" s="347"/>
      <c r="Q760" s="312"/>
      <c r="R760" s="347"/>
      <c r="S760" s="312"/>
      <c r="T760" s="347"/>
    </row>
    <row r="761" spans="1:20" ht="12" customHeight="1" x14ac:dyDescent="0.3">
      <c r="A761" s="340" t="s">
        <v>289</v>
      </c>
      <c r="B761" s="341">
        <v>4</v>
      </c>
      <c r="C761" s="309">
        <v>46037</v>
      </c>
      <c r="D761" s="310" t="s">
        <v>296</v>
      </c>
      <c r="E761" s="342">
        <v>52.3</v>
      </c>
      <c r="F761" s="342"/>
      <c r="G761" s="344">
        <f t="shared" si="5"/>
        <v>4977.59</v>
      </c>
      <c r="H761" s="345"/>
      <c r="I761" s="346"/>
      <c r="J761" s="347"/>
      <c r="K761" s="312"/>
      <c r="L761" s="347"/>
      <c r="M761" s="312"/>
      <c r="N761" s="347"/>
      <c r="O761" s="312"/>
      <c r="P761" s="347"/>
      <c r="Q761" s="312"/>
      <c r="R761" s="347"/>
      <c r="S761" s="312"/>
      <c r="T761" s="347"/>
    </row>
    <row r="762" spans="1:20" ht="12" customHeight="1" x14ac:dyDescent="0.3">
      <c r="A762" s="340" t="s">
        <v>289</v>
      </c>
      <c r="B762" s="341">
        <v>6</v>
      </c>
      <c r="C762" s="309">
        <v>46037</v>
      </c>
      <c r="D762" s="310" t="s">
        <v>445</v>
      </c>
      <c r="E762" s="342">
        <v>50</v>
      </c>
      <c r="F762" s="342"/>
      <c r="G762" s="344">
        <f t="shared" si="5"/>
        <v>5029.8900000000003</v>
      </c>
      <c r="H762" s="345"/>
      <c r="I762" s="346"/>
      <c r="J762" s="347"/>
      <c r="K762" s="312"/>
      <c r="L762" s="347"/>
      <c r="M762" s="312"/>
      <c r="N762" s="347"/>
      <c r="O762" s="312"/>
      <c r="P762" s="347"/>
      <c r="Q762" s="312"/>
      <c r="R762" s="347"/>
      <c r="S762" s="312"/>
      <c r="T762" s="347"/>
    </row>
    <row r="763" spans="1:20" ht="12" customHeight="1" x14ac:dyDescent="0.3">
      <c r="A763" s="340" t="s">
        <v>291</v>
      </c>
      <c r="B763" s="341">
        <v>38</v>
      </c>
      <c r="C763" s="309">
        <v>46037</v>
      </c>
      <c r="D763" s="310" t="s">
        <v>293</v>
      </c>
      <c r="E763" s="342"/>
      <c r="F763" s="342">
        <v>4365.67</v>
      </c>
      <c r="G763" s="344">
        <f t="shared" si="5"/>
        <v>5079.8900000000003</v>
      </c>
      <c r="H763" s="345"/>
      <c r="I763" s="346"/>
      <c r="J763" s="347"/>
      <c r="K763" s="312"/>
      <c r="L763" s="347"/>
      <c r="M763" s="312"/>
      <c r="N763" s="347"/>
      <c r="O763" s="312"/>
      <c r="P763" s="347"/>
      <c r="Q763" s="312"/>
      <c r="R763" s="347"/>
      <c r="S763" s="312"/>
      <c r="T763" s="347"/>
    </row>
    <row r="764" spans="1:20" ht="12" customHeight="1" x14ac:dyDescent="0.3">
      <c r="A764" s="340" t="s">
        <v>289</v>
      </c>
      <c r="B764" s="341">
        <v>4</v>
      </c>
      <c r="C764" s="309">
        <v>46036</v>
      </c>
      <c r="D764" s="310" t="s">
        <v>295</v>
      </c>
      <c r="E764" s="342">
        <v>30.91</v>
      </c>
      <c r="F764" s="342"/>
      <c r="G764" s="344">
        <f t="shared" si="5"/>
        <v>714.22</v>
      </c>
      <c r="H764" s="345"/>
      <c r="I764" s="346"/>
      <c r="J764" s="347"/>
      <c r="K764" s="312"/>
      <c r="L764" s="347"/>
      <c r="M764" s="312"/>
      <c r="N764" s="347"/>
      <c r="O764" s="312"/>
      <c r="P764" s="347"/>
      <c r="Q764" s="312"/>
      <c r="R764" s="347"/>
      <c r="S764" s="312"/>
      <c r="T764" s="347"/>
    </row>
    <row r="765" spans="1:20" ht="12" customHeight="1" x14ac:dyDescent="0.3">
      <c r="A765" s="340" t="s">
        <v>289</v>
      </c>
      <c r="B765" s="341">
        <v>3</v>
      </c>
      <c r="C765" s="309">
        <v>46036</v>
      </c>
      <c r="D765" s="310" t="s">
        <v>352</v>
      </c>
      <c r="E765" s="342">
        <v>8.67</v>
      </c>
      <c r="F765" s="342"/>
      <c r="G765" s="344">
        <f t="shared" si="5"/>
        <v>745.13</v>
      </c>
      <c r="H765" s="345"/>
      <c r="I765" s="346"/>
      <c r="J765" s="347"/>
      <c r="K765" s="312"/>
      <c r="L765" s="347"/>
      <c r="M765" s="312"/>
      <c r="N765" s="347"/>
      <c r="O765" s="312"/>
      <c r="P765" s="347"/>
      <c r="Q765" s="312"/>
      <c r="R765" s="347"/>
      <c r="S765" s="312"/>
      <c r="T765" s="347"/>
    </row>
    <row r="766" spans="1:20" ht="12" customHeight="1" x14ac:dyDescent="0.3">
      <c r="A766" s="340" t="s">
        <v>289</v>
      </c>
      <c r="B766" s="341">
        <v>3</v>
      </c>
      <c r="C766" s="309">
        <v>46035</v>
      </c>
      <c r="D766" s="310" t="s">
        <v>355</v>
      </c>
      <c r="E766" s="342">
        <v>25.01</v>
      </c>
      <c r="F766" s="342"/>
      <c r="G766" s="344">
        <f t="shared" si="5"/>
        <v>753.8</v>
      </c>
      <c r="H766" s="345"/>
      <c r="I766" s="346"/>
      <c r="J766" s="347"/>
      <c r="K766" s="312"/>
      <c r="L766" s="347"/>
      <c r="M766" s="312"/>
      <c r="N766" s="347"/>
      <c r="O766" s="312"/>
      <c r="P766" s="347"/>
      <c r="Q766" s="312"/>
      <c r="R766" s="347"/>
      <c r="S766" s="312"/>
      <c r="T766" s="347"/>
    </row>
    <row r="767" spans="1:20" ht="12" customHeight="1" x14ac:dyDescent="0.3">
      <c r="A767" s="340" t="s">
        <v>289</v>
      </c>
      <c r="B767" s="341">
        <v>6</v>
      </c>
      <c r="C767" s="309">
        <v>46035</v>
      </c>
      <c r="D767" s="310" t="s">
        <v>419</v>
      </c>
      <c r="E767" s="342">
        <v>-5.9</v>
      </c>
      <c r="F767" s="342"/>
      <c r="G767" s="344">
        <f t="shared" si="5"/>
        <v>778.81</v>
      </c>
      <c r="H767" s="345"/>
      <c r="I767" s="346"/>
      <c r="J767" s="347"/>
      <c r="K767" s="312"/>
      <c r="L767" s="347"/>
      <c r="M767" s="312"/>
      <c r="N767" s="347"/>
      <c r="O767" s="312"/>
      <c r="P767" s="347"/>
      <c r="Q767" s="312"/>
      <c r="R767" s="347"/>
      <c r="S767" s="312"/>
      <c r="T767" s="347"/>
    </row>
    <row r="768" spans="1:20" ht="12" customHeight="1" x14ac:dyDescent="0.3">
      <c r="A768" s="340" t="s">
        <v>289</v>
      </c>
      <c r="B768" s="341">
        <v>6</v>
      </c>
      <c r="C768" s="309">
        <v>46035</v>
      </c>
      <c r="D768" s="310" t="s">
        <v>455</v>
      </c>
      <c r="E768" s="342">
        <v>-0.03</v>
      </c>
      <c r="F768" s="342"/>
      <c r="G768" s="344">
        <f t="shared" si="5"/>
        <v>772.91</v>
      </c>
      <c r="H768" s="345"/>
      <c r="I768" s="346"/>
      <c r="J768" s="347"/>
      <c r="K768" s="312"/>
      <c r="L768" s="347"/>
      <c r="M768" s="312"/>
      <c r="N768" s="347"/>
      <c r="O768" s="312"/>
      <c r="P768" s="347"/>
      <c r="Q768" s="312"/>
      <c r="R768" s="347"/>
      <c r="S768" s="312"/>
      <c r="T768" s="347"/>
    </row>
    <row r="769" spans="1:20" ht="12" customHeight="1" x14ac:dyDescent="0.3">
      <c r="A769" s="340" t="s">
        <v>294</v>
      </c>
      <c r="B769" s="341">
        <v>43</v>
      </c>
      <c r="C769" s="309">
        <v>46035</v>
      </c>
      <c r="D769" s="310" t="s">
        <v>201</v>
      </c>
      <c r="E769" s="342">
        <v>44.18</v>
      </c>
      <c r="F769" s="342"/>
      <c r="G769" s="344">
        <f t="shared" si="5"/>
        <v>772.88</v>
      </c>
      <c r="H769" s="345"/>
      <c r="I769" s="346"/>
      <c r="J769" s="347"/>
      <c r="K769" s="312"/>
      <c r="L769" s="347"/>
      <c r="M769" s="312"/>
      <c r="N769" s="347"/>
      <c r="O769" s="312"/>
      <c r="P769" s="347"/>
      <c r="Q769" s="312"/>
      <c r="R769" s="347"/>
      <c r="S769" s="312"/>
      <c r="T769" s="347"/>
    </row>
    <row r="770" spans="1:20" ht="12" customHeight="1" x14ac:dyDescent="0.3">
      <c r="A770" s="340" t="s">
        <v>294</v>
      </c>
      <c r="B770" s="341">
        <v>42</v>
      </c>
      <c r="C770" s="309">
        <v>46035</v>
      </c>
      <c r="D770" s="310" t="s">
        <v>200</v>
      </c>
      <c r="E770" s="342">
        <v>51.19</v>
      </c>
      <c r="F770" s="342"/>
      <c r="G770" s="344">
        <f t="shared" si="5"/>
        <v>817.06</v>
      </c>
      <c r="H770" s="345"/>
      <c r="I770" s="346"/>
      <c r="J770" s="347"/>
      <c r="K770" s="312"/>
      <c r="L770" s="347"/>
      <c r="M770" s="312"/>
      <c r="N770" s="347"/>
      <c r="O770" s="312"/>
      <c r="P770" s="347"/>
      <c r="Q770" s="312"/>
      <c r="R770" s="347"/>
      <c r="S770" s="312"/>
      <c r="T770" s="347"/>
    </row>
    <row r="771" spans="1:20" ht="12" customHeight="1" x14ac:dyDescent="0.3">
      <c r="A771" s="340" t="s">
        <v>289</v>
      </c>
      <c r="B771" s="341">
        <v>4</v>
      </c>
      <c r="C771" s="309">
        <v>46035</v>
      </c>
      <c r="D771" s="310" t="s">
        <v>295</v>
      </c>
      <c r="E771" s="342">
        <v>28.15</v>
      </c>
      <c r="F771" s="342"/>
      <c r="G771" s="344">
        <f t="shared" si="5"/>
        <v>868.25</v>
      </c>
      <c r="H771" s="345"/>
      <c r="I771" s="346"/>
      <c r="J771" s="347"/>
      <c r="K771" s="312"/>
      <c r="L771" s="347"/>
      <c r="M771" s="312"/>
      <c r="N771" s="347"/>
      <c r="O771" s="312"/>
      <c r="P771" s="347"/>
      <c r="Q771" s="312"/>
      <c r="R771" s="347"/>
      <c r="S771" s="312"/>
      <c r="T771" s="347"/>
    </row>
    <row r="772" spans="1:20" ht="12" customHeight="1" x14ac:dyDescent="0.3">
      <c r="A772" s="340" t="s">
        <v>289</v>
      </c>
      <c r="B772" s="341">
        <v>3</v>
      </c>
      <c r="C772" s="309">
        <v>46035</v>
      </c>
      <c r="D772" s="310" t="s">
        <v>296</v>
      </c>
      <c r="E772" s="342">
        <v>20.85</v>
      </c>
      <c r="F772" s="342"/>
      <c r="G772" s="344">
        <f t="shared" si="5"/>
        <v>896.4</v>
      </c>
      <c r="H772" s="345"/>
      <c r="I772" s="346"/>
      <c r="J772" s="347"/>
      <c r="K772" s="312"/>
      <c r="L772" s="347"/>
      <c r="M772" s="312"/>
      <c r="N772" s="347"/>
      <c r="O772" s="312"/>
      <c r="P772" s="347"/>
      <c r="Q772" s="312"/>
      <c r="R772" s="347"/>
      <c r="S772" s="312"/>
      <c r="T772" s="347"/>
    </row>
    <row r="773" spans="1:20" ht="12" customHeight="1" x14ac:dyDescent="0.3">
      <c r="A773" s="340" t="s">
        <v>289</v>
      </c>
      <c r="B773" s="341">
        <v>1</v>
      </c>
      <c r="C773" s="309">
        <v>46034</v>
      </c>
      <c r="D773" s="310" t="s">
        <v>307</v>
      </c>
      <c r="E773" s="342">
        <v>145.81</v>
      </c>
      <c r="F773" s="342"/>
      <c r="G773" s="344">
        <f t="shared" si="5"/>
        <v>917.25</v>
      </c>
      <c r="H773" s="345"/>
      <c r="I773" s="346"/>
      <c r="J773" s="347"/>
      <c r="K773" s="312"/>
      <c r="L773" s="347"/>
      <c r="M773" s="312"/>
      <c r="N773" s="347"/>
      <c r="O773" s="312"/>
      <c r="P773" s="347"/>
      <c r="Q773" s="312"/>
      <c r="R773" s="347"/>
      <c r="S773" s="312"/>
      <c r="T773" s="347"/>
    </row>
    <row r="774" spans="1:20" ht="12" customHeight="1" x14ac:dyDescent="0.3">
      <c r="A774" s="340" t="s">
        <v>289</v>
      </c>
      <c r="B774" s="341">
        <v>2</v>
      </c>
      <c r="C774" s="309">
        <v>46034</v>
      </c>
      <c r="D774" s="310" t="s">
        <v>431</v>
      </c>
      <c r="E774" s="342">
        <v>25.22</v>
      </c>
      <c r="F774" s="342"/>
      <c r="G774" s="344">
        <f t="shared" si="5"/>
        <v>1063.06</v>
      </c>
      <c r="H774" s="345"/>
      <c r="I774" s="346"/>
      <c r="J774" s="347"/>
      <c r="K774" s="312"/>
      <c r="L774" s="347"/>
      <c r="M774" s="312"/>
      <c r="N774" s="347"/>
      <c r="O774" s="312"/>
      <c r="P774" s="347"/>
      <c r="Q774" s="312"/>
      <c r="R774" s="347"/>
      <c r="S774" s="312"/>
      <c r="T774" s="347"/>
    </row>
    <row r="775" spans="1:20" ht="12" customHeight="1" x14ac:dyDescent="0.3">
      <c r="A775" s="340" t="s">
        <v>289</v>
      </c>
      <c r="B775" s="341">
        <v>2</v>
      </c>
      <c r="C775" s="309">
        <v>46033</v>
      </c>
      <c r="D775" s="310" t="s">
        <v>329</v>
      </c>
      <c r="E775" s="342">
        <v>49.38</v>
      </c>
      <c r="F775" s="342"/>
      <c r="G775" s="344">
        <f t="shared" si="5"/>
        <v>1088.28</v>
      </c>
      <c r="H775" s="345"/>
      <c r="I775" s="346"/>
      <c r="J775" s="347"/>
      <c r="K775" s="312"/>
      <c r="L775" s="347"/>
      <c r="M775" s="312"/>
      <c r="N775" s="347"/>
      <c r="O775" s="312"/>
      <c r="P775" s="347"/>
      <c r="Q775" s="312"/>
      <c r="R775" s="347"/>
      <c r="S775" s="312"/>
      <c r="T775" s="347"/>
    </row>
    <row r="776" spans="1:20" ht="12" customHeight="1" x14ac:dyDescent="0.3">
      <c r="A776" s="340" t="s">
        <v>294</v>
      </c>
      <c r="B776" s="341">
        <v>22</v>
      </c>
      <c r="C776" s="309">
        <v>46033</v>
      </c>
      <c r="D776" s="310" t="s">
        <v>356</v>
      </c>
      <c r="E776" s="342">
        <v>19.16</v>
      </c>
      <c r="F776" s="342"/>
      <c r="G776" s="344">
        <f t="shared" si="5"/>
        <v>1137.6600000000001</v>
      </c>
      <c r="H776" s="345"/>
      <c r="I776" s="346"/>
      <c r="J776" s="347"/>
      <c r="K776" s="312"/>
      <c r="L776" s="347"/>
      <c r="M776" s="312"/>
      <c r="N776" s="347"/>
      <c r="O776" s="312"/>
      <c r="P776" s="347"/>
      <c r="Q776" s="312"/>
      <c r="R776" s="347"/>
      <c r="S776" s="312"/>
      <c r="T776" s="347"/>
    </row>
    <row r="777" spans="1:20" ht="12" customHeight="1" x14ac:dyDescent="0.3">
      <c r="A777" s="340" t="s">
        <v>289</v>
      </c>
      <c r="B777" s="341">
        <v>6</v>
      </c>
      <c r="C777" s="309">
        <v>46033</v>
      </c>
      <c r="D777" s="310" t="s">
        <v>313</v>
      </c>
      <c r="E777" s="342">
        <v>39.86</v>
      </c>
      <c r="F777" s="342"/>
      <c r="G777" s="344">
        <f t="shared" si="5"/>
        <v>1156.8200000000002</v>
      </c>
      <c r="H777" s="345"/>
      <c r="I777" s="346"/>
      <c r="J777" s="347"/>
      <c r="K777" s="312"/>
      <c r="L777" s="347"/>
      <c r="M777" s="312"/>
      <c r="N777" s="347"/>
      <c r="O777" s="312"/>
      <c r="P777" s="347"/>
      <c r="Q777" s="312"/>
      <c r="R777" s="347"/>
      <c r="S777" s="312"/>
      <c r="T777" s="347"/>
    </row>
    <row r="778" spans="1:20" ht="12" customHeight="1" x14ac:dyDescent="0.3">
      <c r="A778" s="340" t="s">
        <v>289</v>
      </c>
      <c r="B778" s="341">
        <v>7</v>
      </c>
      <c r="C778" s="309">
        <v>46033</v>
      </c>
      <c r="D778" s="310" t="s">
        <v>453</v>
      </c>
      <c r="E778" s="342">
        <v>165.05</v>
      </c>
      <c r="F778" s="342"/>
      <c r="G778" s="344">
        <f t="shared" si="5"/>
        <v>1196.68</v>
      </c>
      <c r="H778" s="345"/>
      <c r="I778" s="346"/>
      <c r="J778" s="347"/>
      <c r="K778" s="312"/>
      <c r="L778" s="347"/>
      <c r="M778" s="312"/>
      <c r="N778" s="347"/>
      <c r="O778" s="312"/>
      <c r="P778" s="347"/>
      <c r="Q778" s="312"/>
      <c r="R778" s="347"/>
      <c r="S778" s="312"/>
      <c r="T778" s="347"/>
    </row>
    <row r="779" spans="1:20" ht="12" customHeight="1" x14ac:dyDescent="0.3">
      <c r="A779" s="340" t="s">
        <v>294</v>
      </c>
      <c r="B779" s="341">
        <v>24</v>
      </c>
      <c r="C779" s="309">
        <v>46032</v>
      </c>
      <c r="D779" s="310" t="s">
        <v>437</v>
      </c>
      <c r="E779" s="342">
        <v>83.42</v>
      </c>
      <c r="F779" s="342"/>
      <c r="G779" s="344">
        <f t="shared" si="5"/>
        <v>1361.73</v>
      </c>
      <c r="H779" s="345"/>
      <c r="I779" s="346"/>
      <c r="J779" s="347"/>
      <c r="K779" s="312"/>
      <c r="L779" s="347"/>
      <c r="M779" s="312"/>
      <c r="N779" s="347"/>
      <c r="O779" s="312"/>
      <c r="P779" s="347"/>
      <c r="Q779" s="312"/>
      <c r="R779" s="347"/>
      <c r="S779" s="312"/>
      <c r="T779" s="347"/>
    </row>
    <row r="780" spans="1:20" ht="12" customHeight="1" x14ac:dyDescent="0.3">
      <c r="A780" s="340" t="s">
        <v>289</v>
      </c>
      <c r="B780" s="341">
        <v>4</v>
      </c>
      <c r="C780" s="309">
        <v>46032</v>
      </c>
      <c r="D780" s="310" t="s">
        <v>296</v>
      </c>
      <c r="E780" s="342">
        <v>30.4</v>
      </c>
      <c r="F780" s="342"/>
      <c r="G780" s="344">
        <f t="shared" si="5"/>
        <v>1445.15</v>
      </c>
      <c r="H780" s="345"/>
      <c r="I780" s="346"/>
      <c r="J780" s="347"/>
      <c r="K780" s="312"/>
      <c r="L780" s="347"/>
      <c r="M780" s="312"/>
      <c r="N780" s="347"/>
      <c r="O780" s="312"/>
      <c r="P780" s="347"/>
      <c r="Q780" s="312"/>
      <c r="R780" s="347"/>
      <c r="S780" s="312"/>
      <c r="T780" s="347"/>
    </row>
    <row r="781" spans="1:20" ht="12" customHeight="1" x14ac:dyDescent="0.3">
      <c r="A781" s="340" t="s">
        <v>289</v>
      </c>
      <c r="B781" s="341">
        <v>2</v>
      </c>
      <c r="C781" s="309">
        <v>46032</v>
      </c>
      <c r="D781" s="310" t="s">
        <v>296</v>
      </c>
      <c r="E781" s="342">
        <v>13.83</v>
      </c>
      <c r="F781" s="342"/>
      <c r="G781" s="344">
        <f t="shared" si="5"/>
        <v>1475.5500000000002</v>
      </c>
      <c r="H781" s="345"/>
      <c r="I781" s="346"/>
      <c r="J781" s="347"/>
      <c r="K781" s="312"/>
      <c r="L781" s="347"/>
      <c r="M781" s="312"/>
      <c r="N781" s="347"/>
      <c r="O781" s="312"/>
      <c r="P781" s="347"/>
      <c r="Q781" s="312"/>
      <c r="R781" s="347"/>
      <c r="S781" s="312"/>
      <c r="T781" s="347"/>
    </row>
    <row r="782" spans="1:20" ht="12" customHeight="1" x14ac:dyDescent="0.3">
      <c r="A782" s="340" t="s">
        <v>289</v>
      </c>
      <c r="B782" s="341">
        <v>2</v>
      </c>
      <c r="C782" s="309">
        <v>46032</v>
      </c>
      <c r="D782" s="310" t="s">
        <v>487</v>
      </c>
      <c r="E782" s="342">
        <v>100</v>
      </c>
      <c r="F782" s="342"/>
      <c r="G782" s="344">
        <f t="shared" si="5"/>
        <v>1489.38</v>
      </c>
      <c r="H782" s="345"/>
      <c r="I782" s="346"/>
      <c r="J782" s="347"/>
      <c r="K782" s="312"/>
      <c r="L782" s="347"/>
      <c r="M782" s="312"/>
      <c r="N782" s="347"/>
      <c r="O782" s="312"/>
      <c r="P782" s="347"/>
      <c r="Q782" s="312"/>
      <c r="R782" s="347"/>
      <c r="S782" s="312"/>
      <c r="T782" s="347"/>
    </row>
    <row r="783" spans="1:20" ht="12" customHeight="1" x14ac:dyDescent="0.3">
      <c r="A783" s="340" t="s">
        <v>289</v>
      </c>
      <c r="B783" s="341">
        <v>1</v>
      </c>
      <c r="C783" s="309">
        <v>46032</v>
      </c>
      <c r="D783" s="310" t="s">
        <v>489</v>
      </c>
      <c r="E783" s="342">
        <v>55.68</v>
      </c>
      <c r="F783" s="342"/>
      <c r="G783" s="344">
        <f t="shared" si="5"/>
        <v>1589.38</v>
      </c>
      <c r="H783" s="345"/>
      <c r="I783" s="346"/>
      <c r="J783" s="347"/>
      <c r="K783" s="312"/>
      <c r="L783" s="347"/>
      <c r="M783" s="312"/>
      <c r="N783" s="347"/>
      <c r="O783" s="312"/>
      <c r="P783" s="347"/>
      <c r="Q783" s="312"/>
      <c r="R783" s="347"/>
      <c r="S783" s="312"/>
      <c r="T783" s="347"/>
    </row>
    <row r="784" spans="1:20" ht="12" customHeight="1" x14ac:dyDescent="0.3">
      <c r="A784" s="340" t="s">
        <v>289</v>
      </c>
      <c r="B784" s="341">
        <v>2</v>
      </c>
      <c r="C784" s="309">
        <v>46031</v>
      </c>
      <c r="D784" s="310" t="s">
        <v>362</v>
      </c>
      <c r="E784" s="342">
        <v>9.4700000000000006</v>
      </c>
      <c r="F784" s="342"/>
      <c r="G784" s="344">
        <f t="shared" si="5"/>
        <v>1645.0600000000002</v>
      </c>
      <c r="H784" s="345"/>
      <c r="I784" s="346"/>
      <c r="J784" s="347"/>
      <c r="K784" s="312"/>
      <c r="L784" s="347"/>
      <c r="M784" s="312"/>
      <c r="N784" s="347"/>
      <c r="O784" s="312"/>
      <c r="P784" s="347"/>
      <c r="Q784" s="312"/>
      <c r="R784" s="347"/>
      <c r="S784" s="312"/>
      <c r="T784" s="347"/>
    </row>
    <row r="785" spans="1:20" ht="12" customHeight="1" x14ac:dyDescent="0.3">
      <c r="A785" s="340" t="s">
        <v>289</v>
      </c>
      <c r="B785" s="341">
        <v>5</v>
      </c>
      <c r="C785" s="309">
        <v>46031</v>
      </c>
      <c r="D785" s="310" t="s">
        <v>490</v>
      </c>
      <c r="E785" s="342">
        <v>50</v>
      </c>
      <c r="F785" s="342"/>
      <c r="G785" s="344">
        <f t="shared" si="5"/>
        <v>1654.5300000000002</v>
      </c>
      <c r="H785" s="345"/>
      <c r="I785" s="346"/>
      <c r="J785" s="347"/>
      <c r="K785" s="312"/>
      <c r="L785" s="347"/>
      <c r="M785" s="312"/>
      <c r="N785" s="347"/>
      <c r="O785" s="312"/>
      <c r="P785" s="347"/>
      <c r="Q785" s="312"/>
      <c r="R785" s="347"/>
      <c r="S785" s="312"/>
      <c r="T785" s="347"/>
    </row>
    <row r="786" spans="1:20" ht="12" customHeight="1" x14ac:dyDescent="0.3">
      <c r="A786" s="340" t="s">
        <v>289</v>
      </c>
      <c r="B786" s="341">
        <v>8</v>
      </c>
      <c r="C786" s="309">
        <v>46030</v>
      </c>
      <c r="D786" s="310" t="s">
        <v>491</v>
      </c>
      <c r="E786" s="342">
        <v>32.619999999999997</v>
      </c>
      <c r="F786" s="342"/>
      <c r="G786" s="344">
        <f t="shared" si="5"/>
        <v>1704.5300000000002</v>
      </c>
      <c r="H786" s="345"/>
      <c r="I786" s="346"/>
      <c r="J786" s="347"/>
      <c r="K786" s="312"/>
      <c r="L786" s="347"/>
      <c r="M786" s="312"/>
      <c r="N786" s="347"/>
      <c r="O786" s="312"/>
      <c r="P786" s="347"/>
      <c r="Q786" s="312"/>
      <c r="R786" s="347"/>
      <c r="S786" s="312"/>
      <c r="T786" s="347"/>
    </row>
    <row r="787" spans="1:20" ht="12" customHeight="1" x14ac:dyDescent="0.3">
      <c r="A787" s="340" t="s">
        <v>291</v>
      </c>
      <c r="B787" s="341">
        <v>39</v>
      </c>
      <c r="C787" s="309">
        <v>46030</v>
      </c>
      <c r="D787" s="310" t="s">
        <v>292</v>
      </c>
      <c r="E787" s="342"/>
      <c r="F787" s="342">
        <v>2729.22</v>
      </c>
      <c r="G787" s="344">
        <f t="shared" si="5"/>
        <v>1737.15</v>
      </c>
      <c r="H787" s="345"/>
      <c r="I787" s="346"/>
      <c r="J787" s="347"/>
      <c r="K787" s="312"/>
      <c r="L787" s="347"/>
      <c r="M787" s="312"/>
      <c r="N787" s="347"/>
      <c r="O787" s="312"/>
      <c r="P787" s="347"/>
      <c r="Q787" s="312"/>
      <c r="R787" s="347"/>
      <c r="S787" s="312"/>
      <c r="T787" s="347"/>
    </row>
    <row r="788" spans="1:20" ht="12" customHeight="1" x14ac:dyDescent="0.3">
      <c r="A788" s="340" t="s">
        <v>289</v>
      </c>
      <c r="B788" s="341">
        <v>2</v>
      </c>
      <c r="C788" s="309">
        <v>46030</v>
      </c>
      <c r="D788" s="310" t="s">
        <v>296</v>
      </c>
      <c r="E788" s="342">
        <v>6.37</v>
      </c>
      <c r="F788" s="342"/>
      <c r="G788" s="344">
        <f t="shared" si="5"/>
        <v>-992.06999999999971</v>
      </c>
      <c r="H788" s="345"/>
      <c r="I788" s="346"/>
      <c r="J788" s="347"/>
      <c r="K788" s="312"/>
      <c r="L788" s="347"/>
      <c r="M788" s="312"/>
      <c r="N788" s="347"/>
      <c r="O788" s="312"/>
      <c r="P788" s="347"/>
      <c r="Q788" s="312"/>
      <c r="R788" s="347"/>
      <c r="S788" s="312"/>
      <c r="T788" s="347"/>
    </row>
    <row r="789" spans="1:20" ht="12" customHeight="1" x14ac:dyDescent="0.3">
      <c r="A789" s="340" t="s">
        <v>289</v>
      </c>
      <c r="B789" s="341">
        <v>4</v>
      </c>
      <c r="C789" s="309">
        <v>46030</v>
      </c>
      <c r="D789" s="310" t="s">
        <v>296</v>
      </c>
      <c r="E789" s="342">
        <v>32.119999999999997</v>
      </c>
      <c r="F789" s="342"/>
      <c r="G789" s="344">
        <f t="shared" si="5"/>
        <v>-985.6999999999997</v>
      </c>
      <c r="H789" s="345"/>
      <c r="I789" s="346"/>
      <c r="J789" s="347"/>
      <c r="K789" s="312"/>
      <c r="L789" s="347"/>
      <c r="M789" s="312"/>
      <c r="N789" s="347"/>
      <c r="O789" s="312"/>
      <c r="P789" s="347"/>
      <c r="Q789" s="312"/>
      <c r="R789" s="347"/>
      <c r="S789" s="312"/>
      <c r="T789" s="347"/>
    </row>
    <row r="790" spans="1:20" ht="12" customHeight="1" x14ac:dyDescent="0.3">
      <c r="A790" s="340" t="s">
        <v>289</v>
      </c>
      <c r="B790" s="341">
        <v>2</v>
      </c>
      <c r="C790" s="309">
        <v>46030</v>
      </c>
      <c r="D790" s="310" t="s">
        <v>362</v>
      </c>
      <c r="E790" s="342">
        <v>9.4700000000000006</v>
      </c>
      <c r="F790" s="342"/>
      <c r="G790" s="344">
        <f t="shared" si="5"/>
        <v>-953.5799999999997</v>
      </c>
      <c r="H790" s="345"/>
      <c r="I790" s="346"/>
      <c r="J790" s="347"/>
      <c r="K790" s="312"/>
      <c r="L790" s="347"/>
      <c r="M790" s="312"/>
      <c r="N790" s="347"/>
      <c r="O790" s="312"/>
      <c r="P790" s="347"/>
      <c r="Q790" s="312"/>
      <c r="R790" s="347"/>
      <c r="S790" s="312"/>
      <c r="T790" s="347"/>
    </row>
    <row r="791" spans="1:20" ht="12" customHeight="1" x14ac:dyDescent="0.3">
      <c r="A791" s="340" t="s">
        <v>289</v>
      </c>
      <c r="B791" s="341">
        <v>2</v>
      </c>
      <c r="C791" s="309">
        <v>46030</v>
      </c>
      <c r="D791" s="310" t="s">
        <v>390</v>
      </c>
      <c r="E791" s="342">
        <v>21.18</v>
      </c>
      <c r="F791" s="342"/>
      <c r="G791" s="344">
        <f t="shared" si="5"/>
        <v>-944.10999999999967</v>
      </c>
      <c r="H791" s="345"/>
      <c r="I791" s="346"/>
      <c r="J791" s="347"/>
      <c r="K791" s="312"/>
      <c r="L791" s="347"/>
      <c r="M791" s="312"/>
      <c r="N791" s="347"/>
      <c r="O791" s="312"/>
      <c r="P791" s="347"/>
      <c r="Q791" s="312"/>
      <c r="R791" s="347"/>
      <c r="S791" s="312"/>
      <c r="T791" s="347"/>
    </row>
    <row r="792" spans="1:20" ht="12" customHeight="1" x14ac:dyDescent="0.3">
      <c r="A792" s="340" t="s">
        <v>339</v>
      </c>
      <c r="B792" s="341" t="s">
        <v>339</v>
      </c>
      <c r="C792" s="309">
        <v>46029</v>
      </c>
      <c r="D792" s="310" t="s">
        <v>456</v>
      </c>
      <c r="E792" s="342">
        <v>52.66</v>
      </c>
      <c r="F792" s="342"/>
      <c r="G792" s="344">
        <f t="shared" si="5"/>
        <v>-922.92999999999972</v>
      </c>
      <c r="H792" s="345"/>
      <c r="I792" s="346"/>
      <c r="J792" s="347"/>
      <c r="K792" s="312"/>
      <c r="L792" s="347"/>
      <c r="M792" s="312"/>
      <c r="N792" s="347"/>
      <c r="O792" s="312"/>
      <c r="P792" s="347"/>
      <c r="Q792" s="312"/>
      <c r="R792" s="347"/>
      <c r="S792" s="312"/>
      <c r="T792" s="347"/>
    </row>
    <row r="793" spans="1:20" ht="12" customHeight="1" x14ac:dyDescent="0.3">
      <c r="A793" s="340" t="s">
        <v>294</v>
      </c>
      <c r="B793" s="341">
        <v>13</v>
      </c>
      <c r="C793" s="309">
        <v>46029</v>
      </c>
      <c r="D793" s="310" t="s">
        <v>182</v>
      </c>
      <c r="E793" s="342">
        <v>167.42</v>
      </c>
      <c r="F793" s="342"/>
      <c r="G793" s="344">
        <f t="shared" si="5"/>
        <v>-870.26999999999975</v>
      </c>
      <c r="H793" s="345"/>
      <c r="I793" s="346"/>
      <c r="J793" s="347"/>
      <c r="K793" s="312"/>
      <c r="L793" s="347"/>
      <c r="M793" s="312"/>
      <c r="N793" s="347"/>
      <c r="O793" s="312"/>
      <c r="P793" s="347"/>
      <c r="Q793" s="312"/>
      <c r="R793" s="347"/>
      <c r="S793" s="312"/>
      <c r="T793" s="347"/>
    </row>
    <row r="794" spans="1:20" ht="12" customHeight="1" x14ac:dyDescent="0.3">
      <c r="A794" s="340" t="s">
        <v>289</v>
      </c>
      <c r="B794" s="341">
        <v>4</v>
      </c>
      <c r="C794" s="309">
        <v>46029</v>
      </c>
      <c r="D794" s="310" t="s">
        <v>296</v>
      </c>
      <c r="E794" s="342">
        <v>30.81</v>
      </c>
      <c r="F794" s="342"/>
      <c r="G794" s="344">
        <f t="shared" si="5"/>
        <v>-702.8499999999998</v>
      </c>
      <c r="H794" s="345"/>
      <c r="I794" s="346"/>
      <c r="J794" s="347"/>
      <c r="K794" s="312"/>
      <c r="L794" s="347"/>
      <c r="M794" s="312"/>
      <c r="N794" s="347"/>
      <c r="O794" s="312"/>
      <c r="P794" s="347"/>
      <c r="Q794" s="312"/>
      <c r="R794" s="347"/>
      <c r="S794" s="312"/>
      <c r="T794" s="347"/>
    </row>
    <row r="795" spans="1:20" ht="12" customHeight="1" x14ac:dyDescent="0.3">
      <c r="A795" s="340" t="s">
        <v>289</v>
      </c>
      <c r="B795" s="341">
        <v>2</v>
      </c>
      <c r="C795" s="309">
        <v>46029</v>
      </c>
      <c r="D795" s="310" t="s">
        <v>362</v>
      </c>
      <c r="E795" s="342">
        <v>9.4700000000000006</v>
      </c>
      <c r="F795" s="342"/>
      <c r="G795" s="344">
        <f t="shared" si="5"/>
        <v>-672.03999999999985</v>
      </c>
      <c r="H795" s="345"/>
      <c r="I795" s="346"/>
      <c r="J795" s="347"/>
      <c r="K795" s="312"/>
      <c r="L795" s="347"/>
      <c r="M795" s="312"/>
      <c r="N795" s="347"/>
      <c r="O795" s="312"/>
      <c r="P795" s="347"/>
      <c r="Q795" s="312"/>
      <c r="R795" s="347"/>
      <c r="S795" s="312"/>
      <c r="T795" s="347"/>
    </row>
    <row r="796" spans="1:20" ht="12" customHeight="1" x14ac:dyDescent="0.3">
      <c r="A796" s="340" t="s">
        <v>294</v>
      </c>
      <c r="B796" s="341">
        <v>22</v>
      </c>
      <c r="C796" s="309">
        <v>46029</v>
      </c>
      <c r="D796" s="310" t="s">
        <v>492</v>
      </c>
      <c r="E796" s="342">
        <v>148.04</v>
      </c>
      <c r="F796" s="342"/>
      <c r="G796" s="344">
        <f t="shared" si="5"/>
        <v>-662.56999999999982</v>
      </c>
      <c r="H796" s="345"/>
      <c r="I796" s="346"/>
      <c r="J796" s="347"/>
      <c r="K796" s="312"/>
      <c r="L796" s="347"/>
      <c r="M796" s="312"/>
      <c r="N796" s="347"/>
      <c r="O796" s="312"/>
      <c r="P796" s="347"/>
      <c r="Q796" s="312"/>
      <c r="R796" s="347"/>
      <c r="S796" s="312"/>
      <c r="T796" s="347"/>
    </row>
    <row r="797" spans="1:20" ht="12" customHeight="1" x14ac:dyDescent="0.3">
      <c r="A797" s="340" t="s">
        <v>294</v>
      </c>
      <c r="B797" s="341">
        <v>14</v>
      </c>
      <c r="C797" s="309">
        <v>46028</v>
      </c>
      <c r="D797" s="310" t="s">
        <v>370</v>
      </c>
      <c r="E797" s="342">
        <v>66.67</v>
      </c>
      <c r="F797" s="342"/>
      <c r="G797" s="344">
        <f t="shared" si="5"/>
        <v>-514.52999999999986</v>
      </c>
      <c r="H797" s="345"/>
      <c r="I797" s="346"/>
      <c r="J797" s="347"/>
      <c r="K797" s="312"/>
      <c r="L797" s="347"/>
      <c r="M797" s="312"/>
      <c r="N797" s="347"/>
      <c r="O797" s="312"/>
      <c r="P797" s="347"/>
      <c r="Q797" s="312"/>
      <c r="R797" s="347"/>
      <c r="S797" s="312"/>
      <c r="T797" s="347"/>
    </row>
    <row r="798" spans="1:20" ht="12" customHeight="1" x14ac:dyDescent="0.3">
      <c r="A798" s="340" t="s">
        <v>289</v>
      </c>
      <c r="B798" s="341">
        <v>3</v>
      </c>
      <c r="C798" s="309">
        <v>46028</v>
      </c>
      <c r="D798" s="310" t="s">
        <v>296</v>
      </c>
      <c r="E798" s="342">
        <v>5.7</v>
      </c>
      <c r="F798" s="342"/>
      <c r="G798" s="344">
        <f t="shared" si="5"/>
        <v>-447.8599999999999</v>
      </c>
      <c r="H798" s="345"/>
      <c r="I798" s="346"/>
      <c r="J798" s="347"/>
      <c r="K798" s="312"/>
      <c r="L798" s="347"/>
      <c r="M798" s="312"/>
      <c r="N798" s="347"/>
      <c r="O798" s="312"/>
      <c r="P798" s="347"/>
      <c r="Q798" s="312"/>
      <c r="R798" s="347"/>
      <c r="S798" s="312"/>
      <c r="T798" s="347"/>
    </row>
    <row r="799" spans="1:20" ht="12" customHeight="1" x14ac:dyDescent="0.3">
      <c r="A799" s="340" t="s">
        <v>294</v>
      </c>
      <c r="B799" s="341">
        <v>21</v>
      </c>
      <c r="C799" s="309">
        <v>46028</v>
      </c>
      <c r="D799" s="310" t="s">
        <v>194</v>
      </c>
      <c r="E799" s="342">
        <v>30.59</v>
      </c>
      <c r="F799" s="342"/>
      <c r="G799" s="344">
        <f t="shared" si="5"/>
        <v>-442.15999999999991</v>
      </c>
      <c r="H799" s="345"/>
      <c r="I799" s="346"/>
      <c r="J799" s="347"/>
      <c r="K799" s="312"/>
      <c r="L799" s="347"/>
      <c r="M799" s="312"/>
      <c r="N799" s="347"/>
      <c r="O799" s="312"/>
      <c r="P799" s="347"/>
      <c r="Q799" s="312"/>
      <c r="R799" s="347"/>
      <c r="S799" s="312"/>
      <c r="T799" s="347"/>
    </row>
    <row r="800" spans="1:20" ht="12" customHeight="1" x14ac:dyDescent="0.3">
      <c r="A800" s="340" t="s">
        <v>294</v>
      </c>
      <c r="B800" s="341">
        <v>17</v>
      </c>
      <c r="C800" s="309">
        <v>46027</v>
      </c>
      <c r="D800" s="310" t="s">
        <v>374</v>
      </c>
      <c r="E800" s="342">
        <v>133.91999999999999</v>
      </c>
      <c r="F800" s="342"/>
      <c r="G800" s="344">
        <f t="shared" si="5"/>
        <v>-411.56999999999994</v>
      </c>
      <c r="H800" s="345"/>
      <c r="I800" s="346"/>
      <c r="J800" s="347"/>
      <c r="K800" s="312"/>
      <c r="L800" s="347"/>
      <c r="M800" s="312"/>
      <c r="N800" s="347"/>
      <c r="O800" s="312"/>
      <c r="P800" s="347"/>
      <c r="Q800" s="312"/>
      <c r="R800" s="347"/>
      <c r="S800" s="312"/>
      <c r="T800" s="347"/>
    </row>
    <row r="801" spans="1:20" ht="12" customHeight="1" x14ac:dyDescent="0.3">
      <c r="A801" s="340" t="s">
        <v>294</v>
      </c>
      <c r="B801" s="341">
        <v>17</v>
      </c>
      <c r="C801" s="309">
        <v>46027</v>
      </c>
      <c r="D801" s="310" t="s">
        <v>374</v>
      </c>
      <c r="E801" s="342">
        <v>62</v>
      </c>
      <c r="F801" s="342"/>
      <c r="G801" s="344">
        <f t="shared" si="5"/>
        <v>-277.64999999999992</v>
      </c>
      <c r="H801" s="345"/>
      <c r="I801" s="346"/>
      <c r="J801" s="347"/>
      <c r="K801" s="312"/>
      <c r="L801" s="347"/>
      <c r="M801" s="312"/>
      <c r="N801" s="347"/>
      <c r="O801" s="312"/>
      <c r="P801" s="347"/>
      <c r="Q801" s="312"/>
      <c r="R801" s="347"/>
      <c r="S801" s="312"/>
      <c r="T801" s="347"/>
    </row>
    <row r="802" spans="1:20" ht="12" customHeight="1" x14ac:dyDescent="0.3">
      <c r="A802" s="340" t="s">
        <v>289</v>
      </c>
      <c r="B802" s="341">
        <v>6</v>
      </c>
      <c r="C802" s="309">
        <v>46027</v>
      </c>
      <c r="D802" s="310" t="s">
        <v>300</v>
      </c>
      <c r="E802" s="342">
        <v>10.64</v>
      </c>
      <c r="F802" s="342"/>
      <c r="G802" s="344">
        <f t="shared" si="5"/>
        <v>-215.64999999999992</v>
      </c>
      <c r="H802" s="345"/>
      <c r="I802" s="346"/>
      <c r="J802" s="347"/>
      <c r="K802" s="312"/>
      <c r="L802" s="347"/>
      <c r="M802" s="312"/>
      <c r="N802" s="347"/>
      <c r="O802" s="312"/>
      <c r="P802" s="347"/>
      <c r="Q802" s="312"/>
      <c r="R802" s="347"/>
      <c r="S802" s="312"/>
      <c r="T802" s="347"/>
    </row>
    <row r="803" spans="1:20" ht="12" customHeight="1" x14ac:dyDescent="0.3">
      <c r="A803" s="340" t="s">
        <v>289</v>
      </c>
      <c r="B803" s="341">
        <v>8</v>
      </c>
      <c r="C803" s="309">
        <v>46027</v>
      </c>
      <c r="D803" s="310" t="s">
        <v>321</v>
      </c>
      <c r="E803" s="342">
        <v>17.440000000000001</v>
      </c>
      <c r="F803" s="342"/>
      <c r="G803" s="344">
        <f t="shared" si="5"/>
        <v>-205.00999999999991</v>
      </c>
      <c r="H803" s="345"/>
      <c r="I803" s="346"/>
      <c r="J803" s="347"/>
      <c r="K803" s="312"/>
      <c r="L803" s="347"/>
      <c r="M803" s="312"/>
      <c r="N803" s="347"/>
      <c r="O803" s="312"/>
      <c r="P803" s="347"/>
      <c r="Q803" s="312"/>
      <c r="R803" s="347"/>
      <c r="S803" s="312"/>
      <c r="T803" s="347"/>
    </row>
    <row r="804" spans="1:20" ht="12" customHeight="1" x14ac:dyDescent="0.3">
      <c r="A804" s="340" t="s">
        <v>289</v>
      </c>
      <c r="B804" s="341">
        <v>1</v>
      </c>
      <c r="C804" s="309">
        <v>46027</v>
      </c>
      <c r="D804" s="310" t="s">
        <v>307</v>
      </c>
      <c r="E804" s="342">
        <v>216.19</v>
      </c>
      <c r="F804" s="342"/>
      <c r="G804" s="344">
        <f t="shared" si="5"/>
        <v>-187.56999999999991</v>
      </c>
      <c r="H804" s="345"/>
      <c r="I804" s="346"/>
      <c r="J804" s="347"/>
      <c r="K804" s="312"/>
      <c r="L804" s="347"/>
      <c r="M804" s="312"/>
      <c r="N804" s="347"/>
      <c r="O804" s="312"/>
      <c r="P804" s="347"/>
      <c r="Q804" s="312"/>
      <c r="R804" s="347"/>
      <c r="S804" s="312"/>
      <c r="T804" s="347"/>
    </row>
    <row r="805" spans="1:20" ht="12" customHeight="1" x14ac:dyDescent="0.3">
      <c r="A805" s="340" t="s">
        <v>289</v>
      </c>
      <c r="B805" s="341">
        <v>2</v>
      </c>
      <c r="C805" s="309">
        <v>46027</v>
      </c>
      <c r="D805" s="310" t="s">
        <v>493</v>
      </c>
      <c r="E805" s="342">
        <v>70</v>
      </c>
      <c r="F805" s="342"/>
      <c r="G805" s="344">
        <f t="shared" si="5"/>
        <v>28.62000000000009</v>
      </c>
      <c r="H805" s="345"/>
      <c r="I805" s="346"/>
      <c r="J805" s="347"/>
      <c r="K805" s="312"/>
      <c r="L805" s="347"/>
      <c r="M805" s="312"/>
      <c r="N805" s="347"/>
      <c r="O805" s="312"/>
      <c r="P805" s="347"/>
      <c r="Q805" s="312"/>
      <c r="R805" s="347"/>
      <c r="S805" s="312"/>
      <c r="T805" s="347"/>
    </row>
    <row r="806" spans="1:20" ht="12" customHeight="1" x14ac:dyDescent="0.3">
      <c r="A806" s="340" t="s">
        <v>289</v>
      </c>
      <c r="B806" s="341">
        <v>2</v>
      </c>
      <c r="C806" s="309">
        <v>46027</v>
      </c>
      <c r="D806" s="310" t="s">
        <v>362</v>
      </c>
      <c r="E806" s="342">
        <v>14.05</v>
      </c>
      <c r="F806" s="342"/>
      <c r="G806" s="344">
        <f t="shared" si="5"/>
        <v>98.62000000000009</v>
      </c>
      <c r="H806" s="345"/>
      <c r="I806" s="346"/>
      <c r="J806" s="347"/>
      <c r="K806" s="312"/>
      <c r="L806" s="347"/>
      <c r="M806" s="312"/>
      <c r="N806" s="347"/>
      <c r="O806" s="312"/>
      <c r="P806" s="347"/>
      <c r="Q806" s="312"/>
      <c r="R806" s="347"/>
      <c r="S806" s="312"/>
      <c r="T806" s="347"/>
    </row>
    <row r="807" spans="1:20" ht="12" customHeight="1" x14ac:dyDescent="0.3">
      <c r="A807" s="340" t="s">
        <v>294</v>
      </c>
      <c r="B807" s="341">
        <v>14</v>
      </c>
      <c r="C807" s="309">
        <v>46027</v>
      </c>
      <c r="D807" s="310" t="s">
        <v>371</v>
      </c>
      <c r="E807" s="342">
        <v>68.739999999999995</v>
      </c>
      <c r="F807" s="342"/>
      <c r="G807" s="344">
        <f t="shared" si="5"/>
        <v>112.67000000000009</v>
      </c>
      <c r="H807" s="345"/>
      <c r="I807" s="346"/>
      <c r="J807" s="347"/>
      <c r="K807" s="312"/>
      <c r="L807" s="347"/>
      <c r="M807" s="312"/>
      <c r="N807" s="347"/>
      <c r="O807" s="312"/>
      <c r="P807" s="347"/>
      <c r="Q807" s="312"/>
      <c r="R807" s="347"/>
      <c r="S807" s="312"/>
      <c r="T807" s="347"/>
    </row>
    <row r="808" spans="1:20" ht="12" customHeight="1" x14ac:dyDescent="0.3">
      <c r="A808" s="340" t="s">
        <v>289</v>
      </c>
      <c r="B808" s="341">
        <v>6</v>
      </c>
      <c r="C808" s="309">
        <v>46027</v>
      </c>
      <c r="D808" s="310" t="s">
        <v>494</v>
      </c>
      <c r="E808" s="342">
        <v>120</v>
      </c>
      <c r="F808" s="342"/>
      <c r="G808" s="344">
        <f t="shared" si="5"/>
        <v>181.41000000000008</v>
      </c>
      <c r="H808" s="345"/>
      <c r="I808" s="346"/>
      <c r="J808" s="347"/>
      <c r="K808" s="312"/>
      <c r="L808" s="347"/>
      <c r="M808" s="312"/>
      <c r="N808" s="347"/>
      <c r="O808" s="312"/>
      <c r="P808" s="347"/>
      <c r="Q808" s="312"/>
      <c r="R808" s="347"/>
      <c r="S808" s="312"/>
      <c r="T808" s="347"/>
    </row>
    <row r="809" spans="1:20" ht="12" customHeight="1" x14ac:dyDescent="0.3">
      <c r="A809" s="340" t="s">
        <v>294</v>
      </c>
      <c r="B809" s="341">
        <v>9</v>
      </c>
      <c r="C809" s="309">
        <v>46027</v>
      </c>
      <c r="D809" s="310" t="s">
        <v>58</v>
      </c>
      <c r="E809" s="342">
        <v>1281.53</v>
      </c>
      <c r="F809" s="342"/>
      <c r="G809" s="344">
        <f t="shared" si="5"/>
        <v>301.41000000000008</v>
      </c>
      <c r="H809" s="345"/>
      <c r="I809" s="346"/>
      <c r="J809" s="347"/>
      <c r="K809" s="312"/>
      <c r="L809" s="347"/>
      <c r="M809" s="312"/>
      <c r="N809" s="347"/>
      <c r="O809" s="312"/>
      <c r="P809" s="347"/>
      <c r="Q809" s="312"/>
      <c r="R809" s="347"/>
      <c r="S809" s="312"/>
      <c r="T809" s="347"/>
    </row>
    <row r="810" spans="1:20" ht="12" customHeight="1" x14ac:dyDescent="0.3">
      <c r="A810" s="340" t="s">
        <v>289</v>
      </c>
      <c r="B810" s="341">
        <v>7</v>
      </c>
      <c r="C810" s="309">
        <v>46026</v>
      </c>
      <c r="D810" s="310" t="s">
        <v>342</v>
      </c>
      <c r="E810" s="342">
        <v>18.260000000000002</v>
      </c>
      <c r="F810" s="342"/>
      <c r="G810" s="344">
        <f t="shared" si="5"/>
        <v>1582.94</v>
      </c>
      <c r="H810" s="345"/>
      <c r="I810" s="346"/>
      <c r="J810" s="347"/>
      <c r="K810" s="312"/>
      <c r="L810" s="347"/>
      <c r="M810" s="312"/>
      <c r="N810" s="347"/>
      <c r="O810" s="312"/>
      <c r="P810" s="347"/>
      <c r="Q810" s="312"/>
      <c r="R810" s="347"/>
      <c r="S810" s="312"/>
      <c r="T810" s="347"/>
    </row>
    <row r="811" spans="1:20" ht="12" customHeight="1" x14ac:dyDescent="0.3">
      <c r="A811" s="340" t="s">
        <v>287</v>
      </c>
      <c r="B811" s="341" t="s">
        <v>287</v>
      </c>
      <c r="C811" s="309">
        <v>46026</v>
      </c>
      <c r="D811" s="310" t="s">
        <v>300</v>
      </c>
      <c r="E811" s="342">
        <v>114.91</v>
      </c>
      <c r="F811" s="342">
        <v>114.91</v>
      </c>
      <c r="G811" s="344">
        <f t="shared" si="5"/>
        <v>1601.2</v>
      </c>
      <c r="H811" s="345"/>
      <c r="I811" s="346"/>
      <c r="J811" s="347"/>
      <c r="K811" s="312"/>
      <c r="L811" s="347"/>
      <c r="M811" s="312"/>
      <c r="N811" s="347"/>
      <c r="O811" s="312"/>
      <c r="P811" s="347"/>
      <c r="Q811" s="312"/>
      <c r="R811" s="347"/>
      <c r="S811" s="312"/>
      <c r="T811" s="347"/>
    </row>
    <row r="812" spans="1:20" ht="12" customHeight="1" x14ac:dyDescent="0.3">
      <c r="A812" s="340" t="s">
        <v>289</v>
      </c>
      <c r="B812" s="341">
        <v>5</v>
      </c>
      <c r="C812" s="309">
        <v>46026</v>
      </c>
      <c r="D812" s="310" t="s">
        <v>495</v>
      </c>
      <c r="E812" s="342">
        <v>42.43</v>
      </c>
      <c r="F812" s="342"/>
      <c r="G812" s="344">
        <f t="shared" si="5"/>
        <v>1601.2</v>
      </c>
      <c r="H812" s="345"/>
      <c r="I812" s="346"/>
      <c r="J812" s="347"/>
      <c r="K812" s="312"/>
      <c r="L812" s="347"/>
      <c r="M812" s="312"/>
      <c r="N812" s="347"/>
      <c r="O812" s="312"/>
      <c r="P812" s="347"/>
      <c r="Q812" s="312"/>
      <c r="R812" s="347"/>
      <c r="S812" s="312"/>
      <c r="T812" s="347"/>
    </row>
    <row r="813" spans="1:20" ht="12" customHeight="1" x14ac:dyDescent="0.3">
      <c r="A813" s="340" t="s">
        <v>289</v>
      </c>
      <c r="B813" s="341">
        <v>7</v>
      </c>
      <c r="C813" s="309">
        <v>46026</v>
      </c>
      <c r="D813" s="310" t="s">
        <v>300</v>
      </c>
      <c r="E813" s="342">
        <v>42.59</v>
      </c>
      <c r="F813" s="342"/>
      <c r="G813" s="344">
        <f t="shared" si="5"/>
        <v>1643.63</v>
      </c>
      <c r="H813" s="345"/>
      <c r="I813" s="346"/>
      <c r="J813" s="347"/>
      <c r="K813" s="312"/>
      <c r="L813" s="347"/>
      <c r="M813" s="312"/>
      <c r="N813" s="347"/>
      <c r="O813" s="312"/>
      <c r="P813" s="347"/>
      <c r="Q813" s="312"/>
      <c r="R813" s="347"/>
      <c r="S813" s="312"/>
      <c r="T813" s="347"/>
    </row>
    <row r="814" spans="1:20" ht="12" customHeight="1" x14ac:dyDescent="0.3">
      <c r="A814" s="340" t="s">
        <v>289</v>
      </c>
      <c r="B814" s="341">
        <v>3</v>
      </c>
      <c r="C814" s="309">
        <v>46025</v>
      </c>
      <c r="D814" s="310" t="s">
        <v>352</v>
      </c>
      <c r="E814" s="342">
        <v>14.57</v>
      </c>
      <c r="F814" s="342"/>
      <c r="G814" s="344">
        <f t="shared" si="5"/>
        <v>1686.22</v>
      </c>
      <c r="H814" s="345"/>
      <c r="I814" s="346"/>
      <c r="J814" s="347"/>
      <c r="K814" s="312"/>
      <c r="L814" s="347"/>
      <c r="M814" s="312"/>
      <c r="N814" s="347"/>
      <c r="O814" s="312"/>
      <c r="P814" s="347"/>
      <c r="Q814" s="312"/>
      <c r="R814" s="347"/>
      <c r="S814" s="312"/>
      <c r="T814" s="347"/>
    </row>
    <row r="815" spans="1:20" ht="12" customHeight="1" x14ac:dyDescent="0.3">
      <c r="A815" s="340" t="s">
        <v>289</v>
      </c>
      <c r="B815" s="341">
        <v>2</v>
      </c>
      <c r="C815" s="309">
        <v>46025</v>
      </c>
      <c r="D815" s="310" t="s">
        <v>496</v>
      </c>
      <c r="E815" s="342">
        <v>41.05</v>
      </c>
      <c r="F815" s="342"/>
      <c r="G815" s="344">
        <f t="shared" si="5"/>
        <v>1700.79</v>
      </c>
      <c r="H815" s="345"/>
      <c r="I815" s="346"/>
      <c r="J815" s="347"/>
      <c r="K815" s="312"/>
      <c r="L815" s="347"/>
      <c r="M815" s="312"/>
      <c r="N815" s="347"/>
      <c r="O815" s="312"/>
      <c r="P815" s="347"/>
      <c r="Q815" s="312"/>
      <c r="R815" s="347"/>
      <c r="S815" s="312"/>
      <c r="T815" s="347"/>
    </row>
    <row r="816" spans="1:20" ht="12" customHeight="1" x14ac:dyDescent="0.3">
      <c r="A816" s="340" t="s">
        <v>289</v>
      </c>
      <c r="B816" s="341">
        <v>4</v>
      </c>
      <c r="C816" s="309">
        <v>46025</v>
      </c>
      <c r="D816" s="310" t="s">
        <v>311</v>
      </c>
      <c r="E816" s="342">
        <v>26.88</v>
      </c>
      <c r="F816" s="342"/>
      <c r="G816" s="344">
        <f t="shared" si="5"/>
        <v>1741.84</v>
      </c>
      <c r="H816" s="345"/>
      <c r="I816" s="346"/>
      <c r="J816" s="347"/>
      <c r="K816" s="312"/>
      <c r="L816" s="347"/>
      <c r="M816" s="312"/>
      <c r="N816" s="347"/>
      <c r="O816" s="312"/>
      <c r="P816" s="347"/>
      <c r="Q816" s="312"/>
      <c r="R816" s="347"/>
      <c r="S816" s="312"/>
      <c r="T816" s="347"/>
    </row>
    <row r="817" spans="1:20" ht="12" customHeight="1" x14ac:dyDescent="0.3">
      <c r="A817" s="340" t="s">
        <v>289</v>
      </c>
      <c r="B817" s="341">
        <v>2</v>
      </c>
      <c r="C817" s="309">
        <v>46025</v>
      </c>
      <c r="D817" s="310" t="s">
        <v>309</v>
      </c>
      <c r="E817" s="342">
        <v>130.08000000000001</v>
      </c>
      <c r="F817" s="342"/>
      <c r="G817" s="344">
        <f t="shared" si="5"/>
        <v>1768.72</v>
      </c>
      <c r="H817" s="345"/>
      <c r="I817" s="346"/>
      <c r="J817" s="347"/>
      <c r="K817" s="312"/>
      <c r="L817" s="347"/>
      <c r="M817" s="312"/>
      <c r="N817" s="347"/>
      <c r="O817" s="312"/>
      <c r="P817" s="347"/>
      <c r="Q817" s="312"/>
      <c r="R817" s="347"/>
      <c r="S817" s="312"/>
      <c r="T817" s="347"/>
    </row>
    <row r="818" spans="1:20" ht="12" customHeight="1" x14ac:dyDescent="0.3">
      <c r="A818" s="340" t="s">
        <v>289</v>
      </c>
      <c r="B818" s="341">
        <v>7</v>
      </c>
      <c r="C818" s="309">
        <v>46025</v>
      </c>
      <c r="D818" s="310" t="s">
        <v>497</v>
      </c>
      <c r="E818" s="342">
        <v>222.49</v>
      </c>
      <c r="F818" s="342"/>
      <c r="G818" s="344">
        <f t="shared" si="5"/>
        <v>1898.8</v>
      </c>
      <c r="H818" s="345"/>
      <c r="I818" s="346"/>
      <c r="J818" s="347"/>
      <c r="K818" s="312"/>
      <c r="L818" s="347"/>
      <c r="M818" s="312"/>
      <c r="N818" s="347"/>
      <c r="O818" s="312"/>
      <c r="P818" s="347"/>
      <c r="Q818" s="312"/>
      <c r="R818" s="347"/>
      <c r="S818" s="312"/>
      <c r="T818" s="347"/>
    </row>
    <row r="819" spans="1:20" ht="12" customHeight="1" x14ac:dyDescent="0.3">
      <c r="A819" s="340" t="s">
        <v>289</v>
      </c>
      <c r="B819" s="341">
        <v>7</v>
      </c>
      <c r="C819" s="309">
        <v>46025</v>
      </c>
      <c r="D819" s="310" t="s">
        <v>497</v>
      </c>
      <c r="E819" s="342">
        <v>99.18</v>
      </c>
      <c r="F819" s="342"/>
      <c r="G819" s="344">
        <f t="shared" si="5"/>
        <v>2121.29</v>
      </c>
      <c r="H819" s="345"/>
      <c r="I819" s="346"/>
      <c r="J819" s="347"/>
      <c r="K819" s="312"/>
      <c r="L819" s="347"/>
      <c r="M819" s="312"/>
      <c r="N819" s="347"/>
      <c r="O819" s="312"/>
      <c r="P819" s="347"/>
      <c r="Q819" s="312"/>
      <c r="R819" s="347"/>
      <c r="S819" s="312"/>
      <c r="T819" s="347"/>
    </row>
    <row r="820" spans="1:20" ht="12" customHeight="1" x14ac:dyDescent="0.3">
      <c r="A820" s="340" t="s">
        <v>289</v>
      </c>
      <c r="B820" s="341">
        <v>5</v>
      </c>
      <c r="C820" s="309">
        <v>46024</v>
      </c>
      <c r="D820" s="310" t="s">
        <v>498</v>
      </c>
      <c r="E820" s="342">
        <v>35</v>
      </c>
      <c r="F820" s="342"/>
      <c r="G820" s="344">
        <f t="shared" si="5"/>
        <v>2220.4699999999998</v>
      </c>
      <c r="H820" s="345"/>
      <c r="I820" s="346"/>
      <c r="J820" s="347"/>
      <c r="K820" s="312"/>
      <c r="L820" s="347"/>
      <c r="M820" s="312"/>
      <c r="N820" s="347"/>
      <c r="O820" s="312"/>
      <c r="P820" s="347"/>
      <c r="Q820" s="312"/>
      <c r="R820" s="347"/>
      <c r="S820" s="312"/>
      <c r="T820" s="347"/>
    </row>
    <row r="821" spans="1:20" ht="12" customHeight="1" x14ac:dyDescent="0.3">
      <c r="A821" s="340" t="s">
        <v>289</v>
      </c>
      <c r="B821" s="341">
        <v>3</v>
      </c>
      <c r="C821" s="309">
        <v>46024</v>
      </c>
      <c r="D821" s="310" t="s">
        <v>296</v>
      </c>
      <c r="E821" s="342">
        <v>15.11</v>
      </c>
      <c r="F821" s="342"/>
      <c r="G821" s="344">
        <f t="shared" si="5"/>
        <v>2255.4699999999998</v>
      </c>
      <c r="H821" s="345"/>
      <c r="I821" s="346"/>
      <c r="J821" s="347"/>
      <c r="K821" s="312"/>
      <c r="L821" s="347"/>
      <c r="M821" s="312"/>
      <c r="N821" s="347"/>
      <c r="O821" s="312"/>
      <c r="P821" s="347"/>
      <c r="Q821" s="312"/>
      <c r="R821" s="347"/>
      <c r="S821" s="312"/>
      <c r="T821" s="347"/>
    </row>
    <row r="822" spans="1:20" ht="12" customHeight="1" x14ac:dyDescent="0.3">
      <c r="A822" s="340" t="s">
        <v>289</v>
      </c>
      <c r="B822" s="341">
        <v>5</v>
      </c>
      <c r="C822" s="309">
        <v>46024</v>
      </c>
      <c r="D822" s="310" t="s">
        <v>499</v>
      </c>
      <c r="E822" s="342">
        <v>29.67</v>
      </c>
      <c r="F822" s="342"/>
      <c r="G822" s="344">
        <f t="shared" si="5"/>
        <v>2270.58</v>
      </c>
      <c r="H822" s="345"/>
      <c r="I822" s="346"/>
      <c r="J822" s="347"/>
      <c r="K822" s="312"/>
      <c r="L822" s="347"/>
      <c r="M822" s="312"/>
      <c r="N822" s="347"/>
      <c r="O822" s="312"/>
      <c r="P822" s="347"/>
      <c r="Q822" s="312"/>
      <c r="R822" s="347"/>
      <c r="S822" s="312"/>
      <c r="T822" s="347"/>
    </row>
    <row r="823" spans="1:20" ht="12" customHeight="1" x14ac:dyDescent="0.3">
      <c r="A823" s="340" t="s">
        <v>287</v>
      </c>
      <c r="B823" s="341" t="s">
        <v>287</v>
      </c>
      <c r="C823" s="309">
        <v>46024</v>
      </c>
      <c r="D823" s="310" t="s">
        <v>402</v>
      </c>
      <c r="E823" s="342">
        <v>70.56</v>
      </c>
      <c r="F823" s="342">
        <v>70.56</v>
      </c>
      <c r="G823" s="344">
        <f t="shared" si="5"/>
        <v>2300.25</v>
      </c>
      <c r="H823" s="345"/>
      <c r="I823" s="346"/>
      <c r="J823" s="347"/>
      <c r="K823" s="312"/>
      <c r="L823" s="347"/>
      <c r="M823" s="312"/>
      <c r="N823" s="347"/>
      <c r="O823" s="312"/>
      <c r="P823" s="347"/>
      <c r="Q823" s="312"/>
      <c r="R823" s="347"/>
      <c r="S823" s="312"/>
      <c r="T823" s="347"/>
    </row>
    <row r="824" spans="1:20" ht="12" customHeight="1" x14ac:dyDescent="0.3">
      <c r="A824" s="340" t="s">
        <v>287</v>
      </c>
      <c r="B824" s="341" t="s">
        <v>287</v>
      </c>
      <c r="C824" s="309">
        <v>46024</v>
      </c>
      <c r="D824" s="310" t="s">
        <v>500</v>
      </c>
      <c r="E824" s="342">
        <v>113.94</v>
      </c>
      <c r="F824" s="342">
        <v>113.94</v>
      </c>
      <c r="G824" s="344">
        <f t="shared" si="5"/>
        <v>2300.25</v>
      </c>
      <c r="H824" s="345"/>
      <c r="I824" s="346"/>
      <c r="J824" s="347"/>
      <c r="K824" s="312"/>
      <c r="L824" s="347"/>
      <c r="M824" s="312"/>
      <c r="N824" s="347"/>
      <c r="O824" s="312"/>
      <c r="P824" s="347"/>
      <c r="Q824" s="312"/>
      <c r="R824" s="347"/>
      <c r="S824" s="312"/>
      <c r="T824" s="347"/>
    </row>
    <row r="825" spans="1:20" ht="12" customHeight="1" x14ac:dyDescent="0.3">
      <c r="A825" s="340" t="s">
        <v>289</v>
      </c>
      <c r="B825" s="341">
        <v>2</v>
      </c>
      <c r="C825" s="309">
        <v>46024</v>
      </c>
      <c r="D825" s="310" t="s">
        <v>375</v>
      </c>
      <c r="E825" s="342">
        <v>11.9</v>
      </c>
      <c r="F825" s="342"/>
      <c r="G825" s="344">
        <f t="shared" si="5"/>
        <v>2300.25</v>
      </c>
      <c r="H825" s="345"/>
      <c r="I825" s="346"/>
      <c r="J825" s="347"/>
      <c r="K825" s="312"/>
      <c r="L825" s="347"/>
      <c r="M825" s="312"/>
      <c r="N825" s="347"/>
      <c r="O825" s="312"/>
      <c r="P825" s="347"/>
      <c r="Q825" s="312"/>
      <c r="R825" s="347"/>
      <c r="S825" s="312"/>
      <c r="T825" s="347"/>
    </row>
    <row r="826" spans="1:20" ht="12" customHeight="1" x14ac:dyDescent="0.3">
      <c r="A826" s="340" t="s">
        <v>289</v>
      </c>
      <c r="B826" s="341">
        <v>2</v>
      </c>
      <c r="C826" s="309">
        <v>46024</v>
      </c>
      <c r="D826" s="310" t="s">
        <v>415</v>
      </c>
      <c r="E826" s="342">
        <v>23.9</v>
      </c>
      <c r="F826" s="342"/>
      <c r="G826" s="344">
        <f t="shared" si="5"/>
        <v>2312.15</v>
      </c>
      <c r="H826" s="345"/>
      <c r="I826" s="346"/>
      <c r="J826" s="347"/>
      <c r="K826" s="312"/>
      <c r="L826" s="347"/>
      <c r="M826" s="312"/>
      <c r="N826" s="347"/>
      <c r="O826" s="312"/>
      <c r="P826" s="347"/>
      <c r="Q826" s="312"/>
      <c r="R826" s="347"/>
      <c r="S826" s="312"/>
      <c r="T826" s="347"/>
    </row>
    <row r="827" spans="1:20" ht="12" customHeight="1" x14ac:dyDescent="0.3">
      <c r="A827" s="340" t="s">
        <v>289</v>
      </c>
      <c r="B827" s="341">
        <v>5</v>
      </c>
      <c r="C827" s="309">
        <v>46024</v>
      </c>
      <c r="D827" s="310" t="s">
        <v>501</v>
      </c>
      <c r="E827" s="342">
        <v>160</v>
      </c>
      <c r="F827" s="342"/>
      <c r="G827" s="344">
        <f t="shared" si="5"/>
        <v>2336.0500000000002</v>
      </c>
      <c r="H827" s="345"/>
      <c r="I827" s="346"/>
      <c r="J827" s="347"/>
      <c r="K827" s="312"/>
      <c r="L827" s="347"/>
      <c r="M827" s="312"/>
      <c r="N827" s="347"/>
      <c r="O827" s="312"/>
      <c r="P827" s="347"/>
      <c r="Q827" s="312"/>
      <c r="R827" s="347"/>
      <c r="S827" s="312"/>
      <c r="T827" s="347"/>
    </row>
    <row r="828" spans="1:20" ht="12" customHeight="1" x14ac:dyDescent="0.3">
      <c r="A828" s="340" t="s">
        <v>284</v>
      </c>
      <c r="B828" s="341">
        <v>36</v>
      </c>
      <c r="C828" s="309">
        <v>46024</v>
      </c>
      <c r="D828" s="310" t="s">
        <v>378</v>
      </c>
      <c r="E828" s="342">
        <v>50</v>
      </c>
      <c r="F828" s="342"/>
      <c r="G828" s="344">
        <f t="shared" si="5"/>
        <v>2496.0500000000002</v>
      </c>
      <c r="H828" s="345"/>
      <c r="I828" s="346"/>
      <c r="J828" s="347"/>
      <c r="K828" s="312"/>
      <c r="L828" s="347"/>
      <c r="M828" s="312"/>
      <c r="N828" s="347"/>
      <c r="O828" s="312"/>
      <c r="P828" s="347"/>
      <c r="Q828" s="312"/>
      <c r="R828" s="347"/>
      <c r="S828" s="312"/>
      <c r="T828" s="347"/>
    </row>
    <row r="829" spans="1:20" ht="12" customHeight="1" x14ac:dyDescent="0.3">
      <c r="A829" s="340" t="s">
        <v>289</v>
      </c>
      <c r="B829" s="341">
        <v>6</v>
      </c>
      <c r="C829" s="309">
        <v>46023</v>
      </c>
      <c r="D829" s="310" t="s">
        <v>313</v>
      </c>
      <c r="E829" s="342">
        <v>8</v>
      </c>
      <c r="F829" s="342"/>
      <c r="G829" s="344">
        <f t="shared" si="5"/>
        <v>2546.0500000000002</v>
      </c>
      <c r="H829" s="345"/>
      <c r="I829" s="346"/>
      <c r="J829" s="347"/>
      <c r="K829" s="312"/>
      <c r="L829" s="347"/>
      <c r="M829" s="312"/>
      <c r="N829" s="347"/>
      <c r="O829" s="312"/>
      <c r="P829" s="347"/>
      <c r="Q829" s="312"/>
      <c r="R829" s="347"/>
      <c r="S829" s="312"/>
      <c r="T829" s="347"/>
    </row>
    <row r="830" spans="1:20" ht="12" customHeight="1" x14ac:dyDescent="0.3">
      <c r="A830" s="340" t="s">
        <v>289</v>
      </c>
      <c r="B830" s="341">
        <v>2</v>
      </c>
      <c r="C830" s="309">
        <v>46023</v>
      </c>
      <c r="D830" s="310" t="s">
        <v>375</v>
      </c>
      <c r="E830" s="342">
        <v>13.06</v>
      </c>
      <c r="F830" s="342"/>
      <c r="G830" s="344">
        <f t="shared" si="5"/>
        <v>2554.0500000000002</v>
      </c>
      <c r="H830" s="345"/>
      <c r="I830" s="346"/>
      <c r="J830" s="347"/>
      <c r="K830" s="312"/>
      <c r="L830" s="347"/>
      <c r="M830" s="312"/>
      <c r="N830" s="347"/>
      <c r="O830" s="312"/>
      <c r="P830" s="347"/>
      <c r="Q830" s="312"/>
      <c r="R830" s="347"/>
      <c r="S830" s="312"/>
      <c r="T830" s="347"/>
    </row>
    <row r="831" spans="1:20" ht="12" customHeight="1" x14ac:dyDescent="0.3">
      <c r="A831" s="340" t="s">
        <v>294</v>
      </c>
      <c r="B831" s="341">
        <v>22</v>
      </c>
      <c r="C831" s="309">
        <v>46023</v>
      </c>
      <c r="D831" s="310" t="s">
        <v>379</v>
      </c>
      <c r="E831" s="342">
        <v>6.37</v>
      </c>
      <c r="F831" s="342"/>
      <c r="G831" s="344">
        <f t="shared" si="5"/>
        <v>2567.11</v>
      </c>
      <c r="H831" s="345"/>
      <c r="I831" s="346"/>
      <c r="J831" s="347"/>
      <c r="K831" s="312"/>
      <c r="L831" s="347"/>
      <c r="M831" s="312"/>
      <c r="N831" s="347"/>
      <c r="O831" s="312"/>
      <c r="P831" s="347"/>
      <c r="Q831" s="312"/>
      <c r="R831" s="347"/>
      <c r="S831" s="312"/>
      <c r="T831" s="347"/>
    </row>
    <row r="832" spans="1:20" ht="12" customHeight="1" x14ac:dyDescent="0.3">
      <c r="A832" s="340" t="s">
        <v>289</v>
      </c>
      <c r="B832" s="341">
        <v>2</v>
      </c>
      <c r="C832" s="309">
        <v>46023</v>
      </c>
      <c r="D832" s="310" t="s">
        <v>362</v>
      </c>
      <c r="E832" s="342">
        <v>10.27</v>
      </c>
      <c r="F832" s="342"/>
      <c r="G832" s="344">
        <f t="shared" si="5"/>
        <v>2573.48</v>
      </c>
      <c r="H832" s="345"/>
      <c r="I832" s="346"/>
      <c r="J832" s="347"/>
      <c r="K832" s="312"/>
      <c r="L832" s="347"/>
      <c r="M832" s="312"/>
      <c r="N832" s="347"/>
      <c r="O832" s="312"/>
      <c r="P832" s="347"/>
      <c r="Q832" s="312"/>
      <c r="R832" s="347"/>
      <c r="S832" s="312"/>
      <c r="T832" s="347"/>
    </row>
    <row r="833" spans="1:20" ht="12" customHeight="1" x14ac:dyDescent="0.3">
      <c r="A833" s="340" t="s">
        <v>289</v>
      </c>
      <c r="B833" s="341">
        <v>6</v>
      </c>
      <c r="C833" s="309">
        <v>46023</v>
      </c>
      <c r="D833" s="310" t="s">
        <v>502</v>
      </c>
      <c r="E833" s="342">
        <v>176.57</v>
      </c>
      <c r="F833" s="342"/>
      <c r="G833" s="344">
        <f t="shared" si="5"/>
        <v>2583.75</v>
      </c>
      <c r="H833" s="345"/>
      <c r="I833" s="346"/>
      <c r="J833" s="347"/>
      <c r="K833" s="312"/>
      <c r="L833" s="347"/>
      <c r="M833" s="312"/>
      <c r="N833" s="347"/>
      <c r="O833" s="312"/>
      <c r="P833" s="347"/>
      <c r="Q833" s="312"/>
      <c r="R833" s="347"/>
      <c r="S833" s="312"/>
      <c r="T833" s="347"/>
    </row>
    <row r="834" spans="1:20" ht="12" customHeight="1" x14ac:dyDescent="0.3">
      <c r="A834" s="340" t="s">
        <v>287</v>
      </c>
      <c r="B834" s="341" t="s">
        <v>287</v>
      </c>
      <c r="C834" s="309">
        <v>46023</v>
      </c>
      <c r="D834" s="310" t="s">
        <v>300</v>
      </c>
      <c r="E834" s="342">
        <v>383.39</v>
      </c>
      <c r="F834" s="342">
        <v>383.39</v>
      </c>
      <c r="G834" s="344">
        <f t="shared" si="5"/>
        <v>2760.32</v>
      </c>
      <c r="H834" s="345"/>
      <c r="I834" s="346"/>
      <c r="J834" s="347"/>
      <c r="K834" s="312"/>
      <c r="L834" s="347"/>
      <c r="M834" s="312"/>
      <c r="N834" s="347"/>
      <c r="O834" s="312"/>
      <c r="P834" s="347"/>
      <c r="Q834" s="312"/>
      <c r="R834" s="347"/>
      <c r="S834" s="312"/>
      <c r="T834" s="347"/>
    </row>
    <row r="835" spans="1:20" ht="12" customHeight="1" x14ac:dyDescent="0.3">
      <c r="A835" s="340" t="s">
        <v>287</v>
      </c>
      <c r="B835" s="341" t="s">
        <v>287</v>
      </c>
      <c r="C835" s="309">
        <v>46023</v>
      </c>
      <c r="D835" s="310" t="s">
        <v>300</v>
      </c>
      <c r="E835" s="342">
        <v>53.24</v>
      </c>
      <c r="F835" s="342">
        <v>53.24</v>
      </c>
      <c r="G835" s="344">
        <f t="shared" si="5"/>
        <v>2760.32</v>
      </c>
      <c r="H835" s="345"/>
      <c r="I835" s="346"/>
      <c r="J835" s="347"/>
      <c r="K835" s="312"/>
      <c r="L835" s="347"/>
      <c r="M835" s="312"/>
      <c r="N835" s="347"/>
      <c r="O835" s="312"/>
      <c r="P835" s="347"/>
      <c r="Q835" s="312"/>
      <c r="R835" s="347"/>
      <c r="S835" s="312"/>
      <c r="T835" s="347"/>
    </row>
    <row r="836" spans="1:20" ht="12" customHeight="1" x14ac:dyDescent="0.3">
      <c r="A836" s="340" t="s">
        <v>339</v>
      </c>
      <c r="B836" s="341" t="s">
        <v>339</v>
      </c>
      <c r="C836" s="309">
        <v>46023</v>
      </c>
      <c r="D836" s="348" t="s">
        <v>470</v>
      </c>
      <c r="E836" s="342">
        <v>239.68</v>
      </c>
      <c r="F836" s="342"/>
      <c r="G836" s="344">
        <f t="shared" si="5"/>
        <v>2760.32</v>
      </c>
      <c r="H836" s="345"/>
      <c r="I836" s="346"/>
      <c r="J836" s="347"/>
      <c r="K836" s="312"/>
      <c r="L836" s="347"/>
      <c r="M836" s="312"/>
      <c r="N836" s="347"/>
      <c r="O836" s="312"/>
      <c r="P836" s="347"/>
      <c r="Q836" s="312"/>
      <c r="R836" s="347"/>
      <c r="S836" s="312"/>
      <c r="T836" s="347"/>
    </row>
    <row r="837" spans="1:20" ht="12" customHeight="1" x14ac:dyDescent="0.3">
      <c r="A837" s="340" t="s">
        <v>503</v>
      </c>
      <c r="B837" s="341" t="s">
        <v>503</v>
      </c>
      <c r="C837" s="309">
        <v>45658</v>
      </c>
      <c r="D837" s="309" t="s">
        <v>504</v>
      </c>
      <c r="E837" s="343"/>
      <c r="F837" s="343"/>
      <c r="G837" s="344">
        <v>3000</v>
      </c>
      <c r="H837" s="345"/>
      <c r="I837" s="346"/>
      <c r="J837" s="347"/>
      <c r="K837" s="312"/>
      <c r="L837" s="347"/>
      <c r="M837" s="312"/>
      <c r="N837" s="347"/>
      <c r="O837" s="312"/>
      <c r="P837" s="347"/>
      <c r="Q837" s="312"/>
      <c r="R837" s="347"/>
      <c r="S837" s="312"/>
      <c r="T837" s="347"/>
    </row>
    <row r="838" spans="1:20" ht="15.75" customHeight="1" x14ac:dyDescent="0.3"/>
    <row r="839" spans="1:20" ht="15.75" customHeight="1" x14ac:dyDescent="0.3"/>
    <row r="840" spans="1:20" ht="15.75" customHeight="1" x14ac:dyDescent="0.3"/>
    <row r="841" spans="1:20" ht="15.75" customHeight="1" x14ac:dyDescent="0.3"/>
    <row r="842" spans="1:20" ht="15.75" customHeight="1" x14ac:dyDescent="0.3"/>
    <row r="843" spans="1:20" ht="15.75" customHeight="1" x14ac:dyDescent="0.3"/>
    <row r="844" spans="1:20" ht="15.75" customHeight="1" x14ac:dyDescent="0.3"/>
    <row r="845" spans="1:20" ht="15.75" customHeight="1" x14ac:dyDescent="0.3"/>
    <row r="846" spans="1:20" ht="15.75" customHeight="1" x14ac:dyDescent="0.3"/>
    <row r="847" spans="1:20" ht="15.75" customHeight="1" x14ac:dyDescent="0.3"/>
    <row r="848" spans="1:20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  <row r="1020" ht="15.75" customHeight="1" x14ac:dyDescent="0.3"/>
    <row r="1021" ht="15.75" customHeight="1" x14ac:dyDescent="0.3"/>
    <row r="1022" ht="15.75" customHeight="1" x14ac:dyDescent="0.3"/>
    <row r="1023" ht="15.75" customHeight="1" x14ac:dyDescent="0.3"/>
    <row r="1024" ht="15.75" customHeight="1" x14ac:dyDescent="0.3"/>
    <row r="1025" ht="15.75" customHeight="1" x14ac:dyDescent="0.3"/>
    <row r="1026" ht="15.75" customHeight="1" x14ac:dyDescent="0.3"/>
    <row r="1027" ht="15.75" customHeight="1" x14ac:dyDescent="0.3"/>
    <row r="1028" ht="15.75" customHeight="1" x14ac:dyDescent="0.3"/>
    <row r="1029" ht="15.75" customHeight="1" x14ac:dyDescent="0.3"/>
    <row r="1030" ht="15.75" customHeight="1" x14ac:dyDescent="0.3"/>
    <row r="1031" ht="15.75" customHeight="1" x14ac:dyDescent="0.3"/>
    <row r="1032" ht="15.75" customHeight="1" x14ac:dyDescent="0.3"/>
    <row r="1033" ht="15.75" customHeight="1" x14ac:dyDescent="0.3"/>
    <row r="1034" ht="15.75" customHeight="1" x14ac:dyDescent="0.3"/>
    <row r="1035" ht="15.75" customHeight="1" x14ac:dyDescent="0.3"/>
    <row r="1036" ht="15.75" customHeight="1" x14ac:dyDescent="0.3"/>
    <row r="1037" ht="15.75" customHeight="1" x14ac:dyDescent="0.3"/>
    <row r="1038" ht="15.75" customHeight="1" x14ac:dyDescent="0.3"/>
    <row r="1039" ht="15.75" customHeight="1" x14ac:dyDescent="0.3"/>
    <row r="1040" ht="15.75" customHeight="1" x14ac:dyDescent="0.3"/>
    <row r="1041" ht="15.75" customHeight="1" x14ac:dyDescent="0.3"/>
    <row r="1042" ht="15.75" customHeight="1" x14ac:dyDescent="0.3"/>
    <row r="1043" ht="15.75" customHeight="1" x14ac:dyDescent="0.3"/>
    <row r="1044" ht="15.75" customHeight="1" x14ac:dyDescent="0.3"/>
    <row r="1045" ht="15.75" customHeight="1" x14ac:dyDescent="0.3"/>
    <row r="1046" ht="15.75" customHeight="1" x14ac:dyDescent="0.3"/>
    <row r="1047" ht="15.75" customHeight="1" x14ac:dyDescent="0.3"/>
    <row r="1048" ht="15.75" customHeight="1" x14ac:dyDescent="0.3"/>
    <row r="1049" ht="15.75" customHeight="1" x14ac:dyDescent="0.3"/>
    <row r="1050" ht="15.75" customHeight="1" x14ac:dyDescent="0.3"/>
    <row r="1051" ht="15.75" customHeight="1" x14ac:dyDescent="0.3"/>
    <row r="1052" ht="15.75" customHeight="1" x14ac:dyDescent="0.3"/>
    <row r="1053" ht="15.75" customHeight="1" x14ac:dyDescent="0.3"/>
    <row r="1054" ht="15.75" customHeight="1" x14ac:dyDescent="0.3"/>
    <row r="1055" ht="15.75" customHeight="1" x14ac:dyDescent="0.3"/>
    <row r="1056" ht="15.75" customHeight="1" x14ac:dyDescent="0.3"/>
    <row r="1057" ht="15.75" customHeight="1" x14ac:dyDescent="0.3"/>
    <row r="1058" ht="15.75" customHeight="1" x14ac:dyDescent="0.3"/>
    <row r="1059" ht="15.75" customHeight="1" x14ac:dyDescent="0.3"/>
    <row r="1060" ht="15.75" customHeight="1" x14ac:dyDescent="0.3"/>
    <row r="1061" ht="15.75" customHeight="1" x14ac:dyDescent="0.3"/>
    <row r="1062" ht="15.75" customHeight="1" x14ac:dyDescent="0.3"/>
    <row r="1063" ht="15.75" customHeight="1" x14ac:dyDescent="0.3"/>
    <row r="1064" ht="15.75" customHeight="1" x14ac:dyDescent="0.3"/>
    <row r="1065" ht="15.75" customHeight="1" x14ac:dyDescent="0.3"/>
    <row r="1066" ht="15.75" customHeight="1" x14ac:dyDescent="0.3"/>
    <row r="1067" ht="15.75" customHeight="1" x14ac:dyDescent="0.3"/>
    <row r="1068" ht="15.75" customHeight="1" x14ac:dyDescent="0.3"/>
    <row r="1069" ht="15.75" customHeight="1" x14ac:dyDescent="0.3"/>
    <row r="1070" ht="15.75" customHeight="1" x14ac:dyDescent="0.3"/>
    <row r="1071" ht="15.75" customHeight="1" x14ac:dyDescent="0.3"/>
    <row r="1072" ht="15.75" customHeight="1" x14ac:dyDescent="0.3"/>
    <row r="1073" ht="15.75" customHeight="1" x14ac:dyDescent="0.3"/>
    <row r="1074" ht="15.75" customHeight="1" x14ac:dyDescent="0.3"/>
    <row r="1075" ht="15.75" customHeight="1" x14ac:dyDescent="0.3"/>
    <row r="1076" ht="15.75" customHeight="1" x14ac:dyDescent="0.3"/>
    <row r="1077" ht="15.75" customHeight="1" x14ac:dyDescent="0.3"/>
    <row r="1078" ht="15.75" customHeight="1" x14ac:dyDescent="0.3"/>
    <row r="1079" ht="15.75" customHeight="1" x14ac:dyDescent="0.3"/>
    <row r="1080" ht="15.75" customHeight="1" x14ac:dyDescent="0.3"/>
    <row r="1081" ht="15.75" customHeight="1" x14ac:dyDescent="0.3"/>
    <row r="1082" ht="15.75" customHeight="1" x14ac:dyDescent="0.3"/>
    <row r="1083" ht="15.75" customHeight="1" x14ac:dyDescent="0.3"/>
    <row r="1084" ht="15.75" customHeight="1" x14ac:dyDescent="0.3"/>
    <row r="1085" ht="15.75" customHeight="1" x14ac:dyDescent="0.3"/>
    <row r="1086" ht="15.75" customHeight="1" x14ac:dyDescent="0.3"/>
    <row r="1087" ht="15.75" customHeight="1" x14ac:dyDescent="0.3"/>
    <row r="1088" ht="15.75" customHeight="1" x14ac:dyDescent="0.3"/>
    <row r="1089" ht="15.75" customHeight="1" x14ac:dyDescent="0.3"/>
    <row r="1090" ht="15.75" customHeight="1" x14ac:dyDescent="0.3"/>
    <row r="1091" ht="15.75" customHeight="1" x14ac:dyDescent="0.3"/>
    <row r="1092" ht="15.75" customHeight="1" x14ac:dyDescent="0.3"/>
    <row r="1093" ht="15.75" customHeight="1" x14ac:dyDescent="0.3"/>
    <row r="1094" ht="15.75" customHeight="1" x14ac:dyDescent="0.3"/>
    <row r="1095" ht="15.75" customHeight="1" x14ac:dyDescent="0.3"/>
    <row r="1096" ht="15.75" customHeight="1" x14ac:dyDescent="0.3"/>
    <row r="1097" ht="15.75" customHeight="1" x14ac:dyDescent="0.3"/>
    <row r="1098" ht="15.75" customHeight="1" x14ac:dyDescent="0.3"/>
    <row r="1099" ht="15.75" customHeight="1" x14ac:dyDescent="0.3"/>
    <row r="1100" ht="15.75" customHeight="1" x14ac:dyDescent="0.3"/>
    <row r="1101" ht="15.75" customHeight="1" x14ac:dyDescent="0.3"/>
    <row r="1102" ht="15.75" customHeight="1" x14ac:dyDescent="0.3"/>
    <row r="1103" ht="15.75" customHeight="1" x14ac:dyDescent="0.3"/>
    <row r="1104" ht="15.75" customHeight="1" x14ac:dyDescent="0.3"/>
    <row r="1105" ht="15.75" customHeight="1" x14ac:dyDescent="0.3"/>
    <row r="1106" ht="15.75" customHeight="1" x14ac:dyDescent="0.3"/>
    <row r="1107" ht="15.75" customHeight="1" x14ac:dyDescent="0.3"/>
    <row r="1108" ht="15.75" customHeight="1" x14ac:dyDescent="0.3"/>
    <row r="1109" ht="15.75" customHeight="1" x14ac:dyDescent="0.3"/>
    <row r="1110" ht="15.75" customHeight="1" x14ac:dyDescent="0.3"/>
    <row r="1111" ht="15.75" customHeight="1" x14ac:dyDescent="0.3"/>
    <row r="1112" ht="15.75" customHeight="1" x14ac:dyDescent="0.3"/>
    <row r="1113" ht="15.75" customHeight="1" x14ac:dyDescent="0.3"/>
    <row r="1114" ht="15.75" customHeight="1" x14ac:dyDescent="0.3"/>
    <row r="1115" ht="15.75" customHeight="1" x14ac:dyDescent="0.3"/>
    <row r="1116" ht="15.75" customHeight="1" x14ac:dyDescent="0.3"/>
    <row r="1117" ht="15.75" customHeight="1" x14ac:dyDescent="0.3"/>
    <row r="1118" ht="15.75" customHeight="1" x14ac:dyDescent="0.3"/>
    <row r="1119" ht="15.75" customHeight="1" x14ac:dyDescent="0.3"/>
    <row r="1120" ht="15.75" customHeight="1" x14ac:dyDescent="0.3"/>
    <row r="1121" ht="15.75" customHeight="1" x14ac:dyDescent="0.3"/>
    <row r="1122" ht="15.75" customHeight="1" x14ac:dyDescent="0.3"/>
    <row r="1123" ht="15.75" customHeight="1" x14ac:dyDescent="0.3"/>
    <row r="1124" ht="15.75" customHeight="1" x14ac:dyDescent="0.3"/>
    <row r="1125" ht="15.75" customHeight="1" x14ac:dyDescent="0.3"/>
    <row r="1126" ht="15.75" customHeight="1" x14ac:dyDescent="0.3"/>
    <row r="1127" ht="15.75" customHeight="1" x14ac:dyDescent="0.3"/>
    <row r="1128" ht="15.75" customHeight="1" x14ac:dyDescent="0.3"/>
    <row r="1129" ht="15.75" customHeight="1" x14ac:dyDescent="0.3"/>
    <row r="1130" ht="15.75" customHeight="1" x14ac:dyDescent="0.3"/>
    <row r="1131" ht="15.75" customHeight="1" x14ac:dyDescent="0.3"/>
    <row r="1132" ht="15.75" customHeight="1" x14ac:dyDescent="0.3"/>
    <row r="1133" ht="15.75" customHeight="1" x14ac:dyDescent="0.3"/>
    <row r="1134" ht="15.75" customHeight="1" x14ac:dyDescent="0.3"/>
    <row r="1135" ht="15.75" customHeight="1" x14ac:dyDescent="0.3"/>
    <row r="1136" ht="15.75" customHeight="1" x14ac:dyDescent="0.3"/>
    <row r="1137" ht="15.75" customHeight="1" x14ac:dyDescent="0.3"/>
    <row r="1138" ht="15.75" customHeight="1" x14ac:dyDescent="0.3"/>
    <row r="1139" ht="15.75" customHeight="1" x14ac:dyDescent="0.3"/>
    <row r="1140" ht="15.75" customHeight="1" x14ac:dyDescent="0.3"/>
    <row r="1141" ht="15.75" customHeight="1" x14ac:dyDescent="0.3"/>
    <row r="1142" ht="15.75" customHeight="1" x14ac:dyDescent="0.3"/>
    <row r="1143" ht="15.75" customHeight="1" x14ac:dyDescent="0.3"/>
    <row r="1144" ht="15.75" customHeight="1" x14ac:dyDescent="0.3"/>
    <row r="1145" ht="15.75" customHeight="1" x14ac:dyDescent="0.3"/>
    <row r="1146" ht="15.75" customHeight="1" x14ac:dyDescent="0.3"/>
    <row r="1147" ht="15.75" customHeight="1" x14ac:dyDescent="0.3"/>
    <row r="1148" ht="15.75" customHeight="1" x14ac:dyDescent="0.3"/>
    <row r="1149" ht="15.75" customHeight="1" x14ac:dyDescent="0.3"/>
    <row r="1150" ht="15.75" customHeight="1" x14ac:dyDescent="0.3"/>
    <row r="1151" ht="15.75" customHeight="1" x14ac:dyDescent="0.3"/>
    <row r="1152" ht="15.75" customHeight="1" x14ac:dyDescent="0.3"/>
    <row r="1153" ht="15.75" customHeight="1" x14ac:dyDescent="0.3"/>
    <row r="1154" ht="15.75" customHeight="1" x14ac:dyDescent="0.3"/>
    <row r="1155" ht="15.75" customHeight="1" x14ac:dyDescent="0.3"/>
    <row r="1156" ht="15.75" customHeight="1" x14ac:dyDescent="0.3"/>
    <row r="1157" ht="15.75" customHeight="1" x14ac:dyDescent="0.3"/>
    <row r="1158" ht="15.75" customHeight="1" x14ac:dyDescent="0.3"/>
    <row r="1159" ht="15.75" customHeight="1" x14ac:dyDescent="0.3"/>
    <row r="1160" ht="15.75" customHeight="1" x14ac:dyDescent="0.3"/>
    <row r="1161" ht="15.75" customHeight="1" x14ac:dyDescent="0.3"/>
    <row r="1162" ht="15.75" customHeight="1" x14ac:dyDescent="0.3"/>
    <row r="1163" ht="15.75" customHeight="1" x14ac:dyDescent="0.3"/>
    <row r="1164" ht="15.75" customHeight="1" x14ac:dyDescent="0.3"/>
    <row r="1165" ht="15.75" customHeight="1" x14ac:dyDescent="0.3"/>
    <row r="1166" ht="15.75" customHeight="1" x14ac:dyDescent="0.3"/>
    <row r="1167" ht="15.75" customHeight="1" x14ac:dyDescent="0.3"/>
    <row r="1168" ht="15.75" customHeight="1" x14ac:dyDescent="0.3"/>
    <row r="1169" ht="15.75" customHeight="1" x14ac:dyDescent="0.3"/>
    <row r="1170" ht="15.75" customHeight="1" x14ac:dyDescent="0.3"/>
    <row r="1171" ht="15.75" customHeight="1" x14ac:dyDescent="0.3"/>
    <row r="1172" ht="15.75" customHeight="1" x14ac:dyDescent="0.3"/>
    <row r="1173" ht="15.75" customHeight="1" x14ac:dyDescent="0.3"/>
    <row r="1174" ht="15.75" customHeight="1" x14ac:dyDescent="0.3"/>
    <row r="1175" ht="15.75" customHeight="1" x14ac:dyDescent="0.3"/>
    <row r="1176" ht="15.75" customHeight="1" x14ac:dyDescent="0.3"/>
    <row r="1177" ht="15.75" customHeight="1" x14ac:dyDescent="0.3"/>
    <row r="1178" ht="15.75" customHeight="1" x14ac:dyDescent="0.3"/>
    <row r="1179" ht="15.75" customHeight="1" x14ac:dyDescent="0.3"/>
    <row r="1180" ht="15.75" customHeight="1" x14ac:dyDescent="0.3"/>
    <row r="1181" ht="15.75" customHeight="1" x14ac:dyDescent="0.3"/>
    <row r="1182" ht="15.75" customHeight="1" x14ac:dyDescent="0.3"/>
    <row r="1183" ht="15.75" customHeight="1" x14ac:dyDescent="0.3"/>
    <row r="1184" ht="15.75" customHeight="1" x14ac:dyDescent="0.3"/>
    <row r="1185" ht="15.75" customHeight="1" x14ac:dyDescent="0.3"/>
    <row r="1186" ht="15.75" customHeight="1" x14ac:dyDescent="0.3"/>
    <row r="1187" ht="15.75" customHeight="1" x14ac:dyDescent="0.3"/>
    <row r="1188" ht="15.75" customHeight="1" x14ac:dyDescent="0.3"/>
    <row r="1189" ht="15.75" customHeight="1" x14ac:dyDescent="0.3"/>
    <row r="1190" ht="15.75" customHeight="1" x14ac:dyDescent="0.3"/>
    <row r="1191" ht="15.75" customHeight="1" x14ac:dyDescent="0.3"/>
    <row r="1192" ht="15.75" customHeight="1" x14ac:dyDescent="0.3"/>
    <row r="1193" ht="15.75" customHeight="1" x14ac:dyDescent="0.3"/>
    <row r="1194" ht="15.75" customHeight="1" x14ac:dyDescent="0.3"/>
    <row r="1195" ht="15.75" customHeight="1" x14ac:dyDescent="0.3"/>
    <row r="1196" ht="15.75" customHeight="1" x14ac:dyDescent="0.3"/>
    <row r="1197" ht="15.75" customHeight="1" x14ac:dyDescent="0.3"/>
    <row r="1198" ht="15.75" customHeight="1" x14ac:dyDescent="0.3"/>
    <row r="1199" ht="15.75" customHeight="1" x14ac:dyDescent="0.3"/>
    <row r="1200" ht="15.75" customHeight="1" x14ac:dyDescent="0.3"/>
    <row r="1201" ht="15.75" customHeight="1" x14ac:dyDescent="0.3"/>
    <row r="1202" ht="15.75" customHeight="1" x14ac:dyDescent="0.3"/>
    <row r="1203" ht="15.75" customHeight="1" x14ac:dyDescent="0.3"/>
    <row r="1204" ht="15.75" customHeight="1" x14ac:dyDescent="0.3"/>
    <row r="1205" ht="15.75" customHeight="1" x14ac:dyDescent="0.3"/>
    <row r="1206" ht="15.75" customHeight="1" x14ac:dyDescent="0.3"/>
    <row r="1207" ht="15.75" customHeight="1" x14ac:dyDescent="0.3"/>
    <row r="1208" ht="15.75" customHeight="1" x14ac:dyDescent="0.3"/>
    <row r="1209" ht="15.75" customHeight="1" x14ac:dyDescent="0.3"/>
    <row r="1210" ht="15.75" customHeight="1" x14ac:dyDescent="0.3"/>
    <row r="1211" ht="15.75" customHeight="1" x14ac:dyDescent="0.3"/>
    <row r="1212" ht="15.75" customHeight="1" x14ac:dyDescent="0.3"/>
    <row r="1213" ht="15.75" customHeight="1" x14ac:dyDescent="0.3"/>
    <row r="1214" ht="15.75" customHeight="1" x14ac:dyDescent="0.3"/>
    <row r="1215" ht="15.75" customHeight="1" x14ac:dyDescent="0.3"/>
    <row r="1216" ht="15.75" customHeight="1" x14ac:dyDescent="0.3"/>
    <row r="1217" ht="15.75" customHeight="1" x14ac:dyDescent="0.3"/>
    <row r="1218" ht="15.75" customHeight="1" x14ac:dyDescent="0.3"/>
    <row r="1219" ht="15.75" customHeight="1" x14ac:dyDescent="0.3"/>
    <row r="1220" ht="15.75" customHeight="1" x14ac:dyDescent="0.3"/>
    <row r="1221" ht="15.75" customHeight="1" x14ac:dyDescent="0.3"/>
    <row r="1222" ht="15.75" customHeight="1" x14ac:dyDescent="0.3"/>
    <row r="1223" ht="15.75" customHeight="1" x14ac:dyDescent="0.3"/>
    <row r="1224" ht="15.75" customHeight="1" x14ac:dyDescent="0.3"/>
    <row r="1225" ht="15.75" customHeight="1" x14ac:dyDescent="0.3"/>
    <row r="1226" ht="15.75" customHeight="1" x14ac:dyDescent="0.3"/>
    <row r="1227" ht="15.75" customHeight="1" x14ac:dyDescent="0.3"/>
    <row r="1228" ht="15.75" customHeight="1" x14ac:dyDescent="0.3"/>
    <row r="1229" ht="15.75" customHeight="1" x14ac:dyDescent="0.3"/>
    <row r="1230" ht="15.75" customHeight="1" x14ac:dyDescent="0.3"/>
    <row r="1231" ht="15.75" customHeight="1" x14ac:dyDescent="0.3"/>
    <row r="1232" ht="15.75" customHeight="1" x14ac:dyDescent="0.3"/>
    <row r="1233" ht="15.75" customHeight="1" x14ac:dyDescent="0.3"/>
    <row r="1234" ht="15.75" customHeight="1" x14ac:dyDescent="0.3"/>
    <row r="1235" ht="15.75" customHeight="1" x14ac:dyDescent="0.3"/>
    <row r="1236" ht="15.75" customHeight="1" x14ac:dyDescent="0.3"/>
    <row r="1237" ht="15.75" customHeight="1" x14ac:dyDescent="0.3"/>
    <row r="1238" ht="15.75" customHeight="1" x14ac:dyDescent="0.3"/>
    <row r="1239" ht="15.75" customHeight="1" x14ac:dyDescent="0.3"/>
    <row r="1240" ht="15.75" customHeight="1" x14ac:dyDescent="0.3"/>
    <row r="1241" ht="15.75" customHeight="1" x14ac:dyDescent="0.3"/>
    <row r="1242" ht="15.75" customHeight="1" x14ac:dyDescent="0.3"/>
    <row r="1243" ht="15.75" customHeight="1" x14ac:dyDescent="0.3"/>
    <row r="1244" ht="15.75" customHeight="1" x14ac:dyDescent="0.3"/>
    <row r="1245" ht="15.75" customHeight="1" x14ac:dyDescent="0.3"/>
    <row r="1246" ht="15.75" customHeight="1" x14ac:dyDescent="0.3"/>
    <row r="1247" ht="15.75" customHeight="1" x14ac:dyDescent="0.3"/>
    <row r="1248" ht="15.75" customHeight="1" x14ac:dyDescent="0.3"/>
    <row r="1249" ht="15.75" customHeight="1" x14ac:dyDescent="0.3"/>
    <row r="1250" ht="15.75" customHeight="1" x14ac:dyDescent="0.3"/>
    <row r="1251" ht="15.75" customHeight="1" x14ac:dyDescent="0.3"/>
    <row r="1252" ht="15.75" customHeight="1" x14ac:dyDescent="0.3"/>
    <row r="1253" ht="15.75" customHeight="1" x14ac:dyDescent="0.3"/>
    <row r="1254" ht="15.75" customHeight="1" x14ac:dyDescent="0.3"/>
    <row r="1255" ht="15.75" customHeight="1" x14ac:dyDescent="0.3"/>
    <row r="1256" ht="15.75" customHeight="1" x14ac:dyDescent="0.3"/>
    <row r="1257" ht="15.75" customHeight="1" x14ac:dyDescent="0.3"/>
    <row r="1258" ht="15.75" customHeight="1" x14ac:dyDescent="0.3"/>
    <row r="1259" ht="15.75" customHeight="1" x14ac:dyDescent="0.3"/>
    <row r="1260" ht="15.75" customHeight="1" x14ac:dyDescent="0.3"/>
    <row r="1261" ht="15.75" customHeight="1" x14ac:dyDescent="0.3"/>
    <row r="1262" ht="15.75" customHeight="1" x14ac:dyDescent="0.3"/>
    <row r="1263" ht="15.75" customHeight="1" x14ac:dyDescent="0.3"/>
    <row r="1264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spans="9:9" ht="15.75" customHeight="1" x14ac:dyDescent="0.3"/>
    <row r="2562" spans="9:9" ht="15.75" customHeight="1" x14ac:dyDescent="0.3"/>
    <row r="2563" spans="9:9" ht="15.75" customHeight="1" x14ac:dyDescent="0.3"/>
    <row r="2564" spans="9:9" ht="15.75" customHeight="1" x14ac:dyDescent="0.3"/>
    <row r="2565" spans="9:9" ht="15.75" customHeight="1" x14ac:dyDescent="0.3"/>
    <row r="2566" spans="9:9" ht="15.75" customHeight="1" x14ac:dyDescent="0.3"/>
    <row r="2567" spans="9:9" ht="12" customHeight="1" x14ac:dyDescent="0.3">
      <c r="I2567" s="346" t="s">
        <v>225</v>
      </c>
    </row>
    <row r="2568" spans="9:9" ht="12" customHeight="1" x14ac:dyDescent="0.3">
      <c r="I2568" s="346"/>
    </row>
    <row r="2569" spans="9:9" ht="12" customHeight="1" x14ac:dyDescent="0.3">
      <c r="I2569" s="346"/>
    </row>
    <row r="2570" spans="9:9" ht="12" customHeight="1" x14ac:dyDescent="0.3">
      <c r="I2570" s="346"/>
    </row>
    <row r="2571" spans="9:9" ht="12" customHeight="1" x14ac:dyDescent="0.3">
      <c r="I2571" s="346"/>
    </row>
    <row r="2572" spans="9:9" ht="12" customHeight="1" x14ac:dyDescent="0.3">
      <c r="I2572" s="346"/>
    </row>
    <row r="2573" spans="9:9" ht="12" customHeight="1" x14ac:dyDescent="0.3">
      <c r="I2573" s="346"/>
    </row>
    <row r="2574" spans="9:9" ht="12" customHeight="1" x14ac:dyDescent="0.3">
      <c r="I2574" s="346"/>
    </row>
    <row r="2575" spans="9:9" ht="12" customHeight="1" x14ac:dyDescent="0.3">
      <c r="I2575" s="346"/>
    </row>
    <row r="2576" spans="9:9" ht="12" customHeight="1" x14ac:dyDescent="0.3">
      <c r="I2576" s="346" t="s">
        <v>226</v>
      </c>
    </row>
    <row r="2577" spans="9:9" ht="15.75" customHeight="1" x14ac:dyDescent="0.3"/>
    <row r="2578" spans="9:9" ht="15.75" customHeight="1" x14ac:dyDescent="0.3"/>
    <row r="2579" spans="9:9" ht="12" customHeight="1" x14ac:dyDescent="0.3">
      <c r="I2579" s="346" t="s">
        <v>226</v>
      </c>
    </row>
    <row r="2580" spans="9:9" ht="12" customHeight="1" x14ac:dyDescent="0.3">
      <c r="I2580" s="346"/>
    </row>
    <row r="2581" spans="9:9" ht="12" customHeight="1" x14ac:dyDescent="0.3">
      <c r="I2581" s="346"/>
    </row>
    <row r="2582" spans="9:9" ht="12" customHeight="1" x14ac:dyDescent="0.3">
      <c r="I2582" s="346"/>
    </row>
    <row r="2583" spans="9:9" ht="12" customHeight="1" x14ac:dyDescent="0.3">
      <c r="I2583" s="346"/>
    </row>
    <row r="2584" spans="9:9" ht="12" customHeight="1" x14ac:dyDescent="0.3">
      <c r="I2584" s="346"/>
    </row>
    <row r="2585" spans="9:9" ht="12" customHeight="1" x14ac:dyDescent="0.3">
      <c r="I2585" s="346" t="s">
        <v>226</v>
      </c>
    </row>
    <row r="2586" spans="9:9" ht="12" customHeight="1" x14ac:dyDescent="0.3">
      <c r="I2586" s="346" t="s">
        <v>226</v>
      </c>
    </row>
    <row r="2587" spans="9:9" ht="12" customHeight="1" x14ac:dyDescent="0.3">
      <c r="I2587" s="346"/>
    </row>
    <row r="2588" spans="9:9" ht="12" customHeight="1" x14ac:dyDescent="0.3">
      <c r="I2588" s="346"/>
    </row>
    <row r="2589" spans="9:9" ht="12" customHeight="1" x14ac:dyDescent="0.3">
      <c r="I2589" s="346"/>
    </row>
    <row r="2590" spans="9:9" ht="12" customHeight="1" x14ac:dyDescent="0.3">
      <c r="I2590" s="346" t="s">
        <v>226</v>
      </c>
    </row>
    <row r="2591" spans="9:9" ht="12" customHeight="1" x14ac:dyDescent="0.3">
      <c r="I2591" s="346" t="s">
        <v>225</v>
      </c>
    </row>
    <row r="2592" spans="9:9" ht="12" customHeight="1" x14ac:dyDescent="0.3">
      <c r="I2592" s="346" t="s">
        <v>225</v>
      </c>
    </row>
    <row r="2593" spans="9:9" ht="15.75" customHeight="1" x14ac:dyDescent="0.3"/>
    <row r="2594" spans="9:9" ht="15.75" customHeight="1" x14ac:dyDescent="0.3"/>
    <row r="2595" spans="9:9" ht="12" customHeight="1" x14ac:dyDescent="0.3">
      <c r="I2595" s="346" t="s">
        <v>225</v>
      </c>
    </row>
    <row r="2596" spans="9:9" ht="12" customHeight="1" x14ac:dyDescent="0.3">
      <c r="I2596" s="346"/>
    </row>
    <row r="2597" spans="9:9" ht="12" customHeight="1" x14ac:dyDescent="0.3">
      <c r="I2597" s="346" t="s">
        <v>226</v>
      </c>
    </row>
    <row r="2598" spans="9:9" ht="12" customHeight="1" x14ac:dyDescent="0.3">
      <c r="I2598" s="346"/>
    </row>
    <row r="2599" spans="9:9" ht="12" customHeight="1" x14ac:dyDescent="0.3">
      <c r="I2599" s="346"/>
    </row>
    <row r="2600" spans="9:9" ht="12" customHeight="1" x14ac:dyDescent="0.3">
      <c r="I2600" s="346" t="s">
        <v>226</v>
      </c>
    </row>
    <row r="2601" spans="9:9" ht="12" customHeight="1" x14ac:dyDescent="0.3">
      <c r="I2601" s="346"/>
    </row>
    <row r="2602" spans="9:9" ht="12" customHeight="1" x14ac:dyDescent="0.3">
      <c r="I2602" s="346" t="s">
        <v>226</v>
      </c>
    </row>
    <row r="2603" spans="9:9" ht="15.75" customHeight="1" x14ac:dyDescent="0.3"/>
    <row r="2604" spans="9:9" ht="15.75" customHeight="1" x14ac:dyDescent="0.3"/>
    <row r="2605" spans="9:9" ht="15.75" customHeight="1" x14ac:dyDescent="0.3"/>
    <row r="2606" spans="9:9" ht="15.75" customHeight="1" x14ac:dyDescent="0.3"/>
    <row r="2607" spans="9:9" ht="15.75" customHeight="1" x14ac:dyDescent="0.3"/>
    <row r="2608" spans="9:9" ht="15.75" customHeight="1" x14ac:dyDescent="0.3"/>
    <row r="2609" spans="9:9" ht="15.75" customHeight="1" x14ac:dyDescent="0.3"/>
    <row r="2610" spans="9:9" ht="15.75" customHeight="1" x14ac:dyDescent="0.3"/>
    <row r="2611" spans="9:9" ht="12" customHeight="1" x14ac:dyDescent="0.3">
      <c r="I2611" s="346" t="s">
        <v>226</v>
      </c>
    </row>
    <row r="2612" spans="9:9" ht="12" customHeight="1" x14ac:dyDescent="0.3">
      <c r="I2612" s="346"/>
    </row>
    <row r="2613" spans="9:9" ht="12" customHeight="1" x14ac:dyDescent="0.3">
      <c r="I2613" s="346" t="s">
        <v>225</v>
      </c>
    </row>
    <row r="2614" spans="9:9" ht="12" customHeight="1" x14ac:dyDescent="0.3">
      <c r="I2614" s="346"/>
    </row>
    <row r="2615" spans="9:9" ht="12" customHeight="1" x14ac:dyDescent="0.3">
      <c r="I2615" s="346" t="s">
        <v>226</v>
      </c>
    </row>
    <row r="2616" spans="9:9" ht="12" customHeight="1" x14ac:dyDescent="0.3">
      <c r="I2616" s="346" t="s">
        <v>225</v>
      </c>
    </row>
    <row r="2617" spans="9:9" ht="15.75" customHeight="1" x14ac:dyDescent="0.3"/>
    <row r="2618" spans="9:9" ht="15.75" customHeight="1" x14ac:dyDescent="0.3"/>
    <row r="2619" spans="9:9" ht="15.75" customHeight="1" x14ac:dyDescent="0.3"/>
    <row r="2620" spans="9:9" ht="15.75" customHeight="1" x14ac:dyDescent="0.3"/>
    <row r="2621" spans="9:9" ht="15.75" customHeight="1" x14ac:dyDescent="0.3"/>
    <row r="2622" spans="9:9" ht="15.75" customHeight="1" x14ac:dyDescent="0.3"/>
    <row r="2623" spans="9:9" ht="15.75" customHeight="1" x14ac:dyDescent="0.3"/>
    <row r="2624" spans="9:9" ht="15.75" customHeight="1" x14ac:dyDescent="0.3"/>
    <row r="2625" spans="9:9" ht="15.75" customHeight="1" x14ac:dyDescent="0.3"/>
    <row r="2626" spans="9:9" ht="15.75" customHeight="1" x14ac:dyDescent="0.3"/>
    <row r="2627" spans="9:9" ht="15.75" customHeight="1" x14ac:dyDescent="0.3"/>
    <row r="2628" spans="9:9" ht="15.75" customHeight="1" x14ac:dyDescent="0.3"/>
    <row r="2629" spans="9:9" ht="15.75" customHeight="1" x14ac:dyDescent="0.3"/>
    <row r="2630" spans="9:9" ht="15.75" customHeight="1" x14ac:dyDescent="0.3"/>
    <row r="2631" spans="9:9" ht="15.75" customHeight="1" x14ac:dyDescent="0.3"/>
    <row r="2632" spans="9:9" ht="15.75" customHeight="1" x14ac:dyDescent="0.3"/>
    <row r="2633" spans="9:9" ht="15.75" customHeight="1" x14ac:dyDescent="0.3"/>
    <row r="2634" spans="9:9" ht="15.75" customHeight="1" x14ac:dyDescent="0.3"/>
    <row r="2635" spans="9:9" ht="12" customHeight="1" x14ac:dyDescent="0.3">
      <c r="I2635" s="346" t="s">
        <v>226</v>
      </c>
    </row>
  </sheetData>
  <autoFilter ref="A1:G837" xr:uid="{00000000-0009-0000-0000-000006000000}"/>
  <mergeCells count="5">
    <mergeCell ref="A1:B1"/>
    <mergeCell ref="E1:F1"/>
    <mergeCell ref="Q1:R1"/>
    <mergeCell ref="E2:F2"/>
    <mergeCell ref="E3:F3"/>
  </mergeCells>
  <conditionalFormatting sqref="I1 I4:I2635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01"/>
  <sheetViews>
    <sheetView workbookViewId="0">
      <pane ySplit="1" topLeftCell="A2" activePane="bottomLeft" state="frozen"/>
      <selection pane="bottomLeft" activeCell="A3" sqref="A3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49" t="s">
        <v>505</v>
      </c>
      <c r="B1" s="350"/>
      <c r="C1" s="351"/>
      <c r="D1" s="553" t="s">
        <v>506</v>
      </c>
      <c r="E1" s="537"/>
      <c r="F1" s="554" t="s">
        <v>507</v>
      </c>
      <c r="G1" s="537"/>
      <c r="H1" s="553" t="str">
        <f>'Proposed Budget'!C33</f>
        <v>Vehicle Maintenance</v>
      </c>
      <c r="I1" s="537"/>
      <c r="J1" s="554" t="str">
        <f>'Proposed Budget'!C34</f>
        <v>Car Insurance</v>
      </c>
      <c r="K1" s="537"/>
      <c r="L1" s="553" t="str">
        <f>'Proposed Budget'!C35</f>
        <v>Rental Garbage</v>
      </c>
      <c r="M1" s="537"/>
      <c r="N1" s="554" t="str">
        <f>'Proposed Budget'!C36</f>
        <v>Garbage</v>
      </c>
      <c r="O1" s="537"/>
      <c r="P1" s="553" t="str">
        <f>'Monthly Breakdown'!C37</f>
        <v>Sanitation - Main</v>
      </c>
      <c r="Q1" s="537"/>
      <c r="R1" s="554" t="str">
        <f>'Proposed Budget'!C38</f>
        <v>Camping/Vacation</v>
      </c>
      <c r="S1" s="537"/>
      <c r="T1" s="553" t="str">
        <f>'Proposed Budget'!C39</f>
        <v>Home Maintenance</v>
      </c>
      <c r="U1" s="537"/>
      <c r="V1" s="554" t="str">
        <f>'Proposed Budget'!C40</f>
        <v>Rental Repairs</v>
      </c>
      <c r="W1" s="537"/>
      <c r="X1" s="553" t="str">
        <f>'Proposed Budget'!C41</f>
        <v>Rental Insurance</v>
      </c>
      <c r="Y1" s="537"/>
      <c r="Z1" s="554" t="str">
        <f>'Proposed Budget'!C42</f>
        <v>Rental Property Taxes</v>
      </c>
      <c r="AA1" s="537"/>
      <c r="AB1" s="553" t="str">
        <f>'Proposed Budget'!C43</f>
        <v>Rental Sanitation</v>
      </c>
      <c r="AC1" s="537"/>
    </row>
    <row r="2" spans="1:29" ht="14.25" customHeight="1" x14ac:dyDescent="0.3">
      <c r="A2" s="352">
        <f t="shared" ref="A2:A3" si="0">SUM(G2,E2,U2,I2,S2,O2,K2,M2,Q2,W2,Y2,AA2,AC2)</f>
        <v>10438.980000000001</v>
      </c>
      <c r="B2" s="350"/>
      <c r="C2" s="351"/>
      <c r="D2" s="353" t="s">
        <v>508</v>
      </c>
      <c r="E2" s="354">
        <f>E3-E59</f>
        <v>15588.33</v>
      </c>
      <c r="F2" s="355" t="s">
        <v>508</v>
      </c>
      <c r="G2" s="356">
        <f>G3-G59</f>
        <v>552.59000000000015</v>
      </c>
      <c r="H2" s="354" t="s">
        <v>508</v>
      </c>
      <c r="I2" s="354">
        <f>I3-I59</f>
        <v>1092.3499999999999</v>
      </c>
      <c r="J2" s="355" t="s">
        <v>508</v>
      </c>
      <c r="K2" s="356">
        <f>K3-K59</f>
        <v>1280</v>
      </c>
      <c r="L2" s="354" t="s">
        <v>508</v>
      </c>
      <c r="M2" s="354">
        <f>M3-M59</f>
        <v>-26.960000000000008</v>
      </c>
      <c r="N2" s="356" t="s">
        <v>508</v>
      </c>
      <c r="O2" s="356">
        <f>O3-O59</f>
        <v>-26.960000000000008</v>
      </c>
      <c r="P2" s="354" t="s">
        <v>508</v>
      </c>
      <c r="Q2" s="354">
        <f>Q3-Q59</f>
        <v>-5.6399999999999864</v>
      </c>
      <c r="R2" s="356" t="s">
        <v>508</v>
      </c>
      <c r="S2" s="356">
        <f>S3-S59</f>
        <v>-2224.7800000000002</v>
      </c>
      <c r="T2" s="357" t="s">
        <v>508</v>
      </c>
      <c r="U2" s="354">
        <f>U3-U59</f>
        <v>-6167.9100000000008</v>
      </c>
      <c r="V2" s="356" t="s">
        <v>508</v>
      </c>
      <c r="W2" s="356">
        <f>W3-W59</f>
        <v>400</v>
      </c>
      <c r="X2" s="354" t="s">
        <v>508</v>
      </c>
      <c r="Y2" s="354">
        <f>Y3-Y59</f>
        <v>340</v>
      </c>
      <c r="Z2" s="356" t="s">
        <v>508</v>
      </c>
      <c r="AA2" s="356">
        <f>AA3-AA59</f>
        <v>-356.40000000000009</v>
      </c>
      <c r="AB2" s="354" t="s">
        <v>508</v>
      </c>
      <c r="AC2" s="354">
        <f>AC3-AC59</f>
        <v>-5.6399999999999864</v>
      </c>
    </row>
    <row r="3" spans="1:29" ht="14.25" customHeight="1" x14ac:dyDescent="0.3">
      <c r="A3" s="352">
        <f t="shared" si="0"/>
        <v>22679.47</v>
      </c>
      <c r="B3" s="358"/>
      <c r="C3" s="351"/>
      <c r="D3" s="353" t="s">
        <v>509</v>
      </c>
      <c r="E3" s="354">
        <f>SUM(E6:E59)-SUM(D6:D59)</f>
        <v>17298.82</v>
      </c>
      <c r="F3" s="356" t="s">
        <v>509</v>
      </c>
      <c r="G3" s="356">
        <f>SUM(G6:G59)-SUM(F6:F59)</f>
        <v>1052.5900000000001</v>
      </c>
      <c r="H3" s="354" t="s">
        <v>509</v>
      </c>
      <c r="I3" s="354">
        <f>SUM(I6:I59)-SUM(H6:H59)</f>
        <v>3092.35</v>
      </c>
      <c r="J3" s="356" t="s">
        <v>509</v>
      </c>
      <c r="K3" s="356">
        <f>SUM(K6:K59)-SUM(J6:J59)</f>
        <v>2280</v>
      </c>
      <c r="L3" s="354" t="s">
        <v>509</v>
      </c>
      <c r="M3" s="354">
        <f>SUM(M6:M59)-SUM(L6:L59)</f>
        <v>38.039999999999992</v>
      </c>
      <c r="N3" s="356" t="s">
        <v>509</v>
      </c>
      <c r="O3" s="356">
        <f>SUM(O6:O59)-SUM(N6:N59)</f>
        <v>38.039999999999992</v>
      </c>
      <c r="P3" s="354" t="s">
        <v>509</v>
      </c>
      <c r="Q3" s="354">
        <f>SUM(Q6:Q59)-SUM(P6:P59)</f>
        <v>94.360000000000014</v>
      </c>
      <c r="R3" s="356" t="s">
        <v>509</v>
      </c>
      <c r="S3" s="356">
        <f>SUM(S6:S59)-SUM(R6:R59)</f>
        <v>-224.7800000000002</v>
      </c>
      <c r="T3" s="354" t="s">
        <v>509</v>
      </c>
      <c r="U3" s="354">
        <f>SUM(U6:U59)-SUM(T6:T59)</f>
        <v>-3667.9100000000008</v>
      </c>
      <c r="V3" s="356" t="s">
        <v>509</v>
      </c>
      <c r="W3" s="356">
        <f>SUM(W6:W59)-SUM(V6:V59)</f>
        <v>900</v>
      </c>
      <c r="X3" s="354" t="s">
        <v>509</v>
      </c>
      <c r="Y3" s="354">
        <f>SUM(Y6:Y59)-SUM(X6:X59)</f>
        <v>540</v>
      </c>
      <c r="Z3" s="356" t="s">
        <v>509</v>
      </c>
      <c r="AA3" s="356">
        <f>SUM(AA6:AA59)-SUM(Z6:Z59)</f>
        <v>1143.5999999999999</v>
      </c>
      <c r="AB3" s="354" t="s">
        <v>509</v>
      </c>
      <c r="AC3" s="354">
        <f>SUM(AC6:AC59)-SUM(AB6:AB59)</f>
        <v>94.360000000000014</v>
      </c>
    </row>
    <row r="4" spans="1:29" ht="14.25" customHeight="1" x14ac:dyDescent="0.3">
      <c r="A4" s="349" t="s">
        <v>510</v>
      </c>
      <c r="B4" s="358"/>
      <c r="C4" s="351"/>
      <c r="D4" s="553" t="s">
        <v>511</v>
      </c>
      <c r="E4" s="537"/>
      <c r="F4" s="554" t="s">
        <v>511</v>
      </c>
      <c r="G4" s="537"/>
      <c r="H4" s="553" t="s">
        <v>511</v>
      </c>
      <c r="I4" s="537"/>
      <c r="J4" s="554" t="s">
        <v>511</v>
      </c>
      <c r="K4" s="537"/>
      <c r="L4" s="553" t="s">
        <v>511</v>
      </c>
      <c r="M4" s="537"/>
      <c r="N4" s="554" t="s">
        <v>511</v>
      </c>
      <c r="O4" s="537"/>
      <c r="P4" s="553" t="s">
        <v>511</v>
      </c>
      <c r="Q4" s="537"/>
      <c r="R4" s="554" t="s">
        <v>512</v>
      </c>
      <c r="S4" s="537"/>
      <c r="T4" s="553" t="s">
        <v>513</v>
      </c>
      <c r="U4" s="537"/>
      <c r="V4" s="554" t="s">
        <v>511</v>
      </c>
      <c r="W4" s="537"/>
      <c r="X4" s="553" t="s">
        <v>511</v>
      </c>
      <c r="Y4" s="537"/>
      <c r="Z4" s="554" t="s">
        <v>511</v>
      </c>
      <c r="AA4" s="537"/>
      <c r="AB4" s="553" t="s">
        <v>511</v>
      </c>
      <c r="AC4" s="537"/>
    </row>
    <row r="5" spans="1:29" ht="14.25" customHeight="1" x14ac:dyDescent="0.3">
      <c r="A5" s="349" t="s">
        <v>514</v>
      </c>
      <c r="B5" s="358"/>
      <c r="C5" s="351"/>
      <c r="D5" s="353">
        <f t="shared" ref="D5:AC5" si="1">SUM(D6:D58)</f>
        <v>2346.9899999999998</v>
      </c>
      <c r="E5" s="354">
        <f t="shared" si="1"/>
        <v>17935.32</v>
      </c>
      <c r="F5" s="356">
        <f t="shared" si="1"/>
        <v>0</v>
      </c>
      <c r="G5" s="356">
        <f t="shared" si="1"/>
        <v>552.59</v>
      </c>
      <c r="H5" s="354">
        <f t="shared" si="1"/>
        <v>307.64999999999998</v>
      </c>
      <c r="I5" s="354">
        <f t="shared" si="1"/>
        <v>1400</v>
      </c>
      <c r="J5" s="356">
        <f t="shared" si="1"/>
        <v>0</v>
      </c>
      <c r="K5" s="356">
        <f t="shared" si="1"/>
        <v>1280</v>
      </c>
      <c r="L5" s="354">
        <f t="shared" si="1"/>
        <v>126.96000000000001</v>
      </c>
      <c r="M5" s="354">
        <f t="shared" si="1"/>
        <v>100</v>
      </c>
      <c r="N5" s="356">
        <f t="shared" si="1"/>
        <v>126.96000000000001</v>
      </c>
      <c r="O5" s="356">
        <f t="shared" si="1"/>
        <v>100</v>
      </c>
      <c r="P5" s="354">
        <f t="shared" si="1"/>
        <v>185.64</v>
      </c>
      <c r="Q5" s="354">
        <f t="shared" si="1"/>
        <v>180</v>
      </c>
      <c r="R5" s="356">
        <f t="shared" si="1"/>
        <v>3824.78</v>
      </c>
      <c r="S5" s="356">
        <f t="shared" si="1"/>
        <v>1600</v>
      </c>
      <c r="T5" s="354">
        <f t="shared" si="1"/>
        <v>7667.9100000000008</v>
      </c>
      <c r="U5" s="354">
        <f t="shared" si="1"/>
        <v>1500</v>
      </c>
      <c r="V5" s="356">
        <f t="shared" si="1"/>
        <v>0</v>
      </c>
      <c r="W5" s="356">
        <f t="shared" si="1"/>
        <v>400</v>
      </c>
      <c r="X5" s="354">
        <f t="shared" si="1"/>
        <v>0</v>
      </c>
      <c r="Y5" s="354">
        <f t="shared" si="1"/>
        <v>340</v>
      </c>
      <c r="Z5" s="356">
        <f t="shared" si="1"/>
        <v>1276.4000000000001</v>
      </c>
      <c r="AA5" s="356">
        <f t="shared" si="1"/>
        <v>920</v>
      </c>
      <c r="AB5" s="354">
        <f t="shared" si="1"/>
        <v>185.64</v>
      </c>
      <c r="AC5" s="354">
        <f t="shared" si="1"/>
        <v>180</v>
      </c>
    </row>
    <row r="6" spans="1:29" ht="14.25" customHeight="1" x14ac:dyDescent="0.3">
      <c r="A6" s="349" t="s">
        <v>515</v>
      </c>
      <c r="B6" s="358" t="s">
        <v>516</v>
      </c>
      <c r="C6" s="295" t="s">
        <v>517</v>
      </c>
      <c r="D6" s="353" t="s">
        <v>281</v>
      </c>
      <c r="E6" s="354" t="s">
        <v>282</v>
      </c>
      <c r="F6" s="356" t="s">
        <v>281</v>
      </c>
      <c r="G6" s="356" t="s">
        <v>282</v>
      </c>
      <c r="H6" s="354" t="s">
        <v>281</v>
      </c>
      <c r="I6" s="354" t="s">
        <v>282</v>
      </c>
      <c r="J6" s="356" t="s">
        <v>281</v>
      </c>
      <c r="K6" s="356" t="s">
        <v>282</v>
      </c>
      <c r="L6" s="354" t="s">
        <v>281</v>
      </c>
      <c r="M6" s="354" t="s">
        <v>282</v>
      </c>
      <c r="N6" s="356" t="s">
        <v>281</v>
      </c>
      <c r="O6" s="356" t="s">
        <v>282</v>
      </c>
      <c r="P6" s="354" t="s">
        <v>281</v>
      </c>
      <c r="Q6" s="354" t="s">
        <v>282</v>
      </c>
      <c r="R6" s="356" t="s">
        <v>281</v>
      </c>
      <c r="S6" s="356" t="s">
        <v>282</v>
      </c>
      <c r="T6" s="354" t="s">
        <v>281</v>
      </c>
      <c r="U6" s="354" t="s">
        <v>282</v>
      </c>
      <c r="V6" s="356" t="s">
        <v>281</v>
      </c>
      <c r="W6" s="356" t="s">
        <v>282</v>
      </c>
      <c r="X6" s="354" t="s">
        <v>281</v>
      </c>
      <c r="Y6" s="354" t="s">
        <v>282</v>
      </c>
      <c r="Z6" s="356" t="s">
        <v>281</v>
      </c>
      <c r="AA6" s="356" t="s">
        <v>282</v>
      </c>
      <c r="AB6" s="354" t="s">
        <v>281</v>
      </c>
      <c r="AC6" s="354" t="s">
        <v>282</v>
      </c>
    </row>
    <row r="7" spans="1:29" ht="14.25" customHeight="1" x14ac:dyDescent="0.3">
      <c r="A7" s="349">
        <v>46149</v>
      </c>
      <c r="B7" s="358">
        <f t="shared" ref="B7:B59" si="2">SUM(E7,U7,K7,G7,I7,S7,O7,M7,Q7,W7,Y7,AA7,AC7)-SUM(D7,F7,T7,H7,R7,N7,J7,L7,P7,V7,X7,Z7,AB7)</f>
        <v>69.400000000000006</v>
      </c>
      <c r="C7" s="359" t="s">
        <v>524</v>
      </c>
      <c r="D7" s="353"/>
      <c r="E7" s="354"/>
      <c r="F7" s="356"/>
      <c r="G7" s="356">
        <v>69.400000000000006</v>
      </c>
      <c r="H7" s="354"/>
      <c r="I7" s="354"/>
      <c r="J7" s="356"/>
      <c r="K7" s="356"/>
      <c r="L7" s="354"/>
      <c r="M7" s="354"/>
      <c r="N7" s="356"/>
      <c r="O7" s="356"/>
      <c r="P7" s="354"/>
      <c r="Q7" s="354"/>
      <c r="R7" s="356"/>
      <c r="S7" s="356"/>
      <c r="T7" s="354"/>
      <c r="U7" s="354"/>
      <c r="V7" s="356"/>
      <c r="W7" s="356"/>
      <c r="X7" s="354"/>
      <c r="Y7" s="354"/>
      <c r="Z7" s="356"/>
      <c r="AA7" s="356"/>
      <c r="AB7" s="354"/>
      <c r="AC7" s="354"/>
    </row>
    <row r="8" spans="1:29" ht="14.25" customHeight="1" x14ac:dyDescent="0.3">
      <c r="A8" s="349">
        <v>46142</v>
      </c>
      <c r="B8" s="358">
        <f t="shared" si="2"/>
        <v>5616.82</v>
      </c>
      <c r="C8" s="359" t="s">
        <v>285</v>
      </c>
      <c r="D8" s="353"/>
      <c r="E8" s="354">
        <v>5616.82</v>
      </c>
      <c r="F8" s="356"/>
      <c r="G8" s="356"/>
      <c r="H8" s="354"/>
      <c r="I8" s="354"/>
      <c r="J8" s="356"/>
      <c r="K8" s="356"/>
      <c r="L8" s="354"/>
      <c r="M8" s="354"/>
      <c r="N8" s="356"/>
      <c r="O8" s="356"/>
      <c r="P8" s="354"/>
      <c r="Q8" s="354"/>
      <c r="R8" s="356"/>
      <c r="S8" s="356"/>
      <c r="T8" s="354"/>
      <c r="U8" s="354"/>
      <c r="V8" s="356"/>
      <c r="W8" s="356"/>
      <c r="X8" s="354"/>
      <c r="Y8" s="354"/>
      <c r="Z8" s="356"/>
      <c r="AA8" s="356"/>
      <c r="AB8" s="354"/>
      <c r="AC8" s="354"/>
    </row>
    <row r="9" spans="1:29" ht="14.25" customHeight="1" x14ac:dyDescent="0.3">
      <c r="A9" s="349">
        <v>46142</v>
      </c>
      <c r="B9" s="358">
        <f t="shared" si="2"/>
        <v>2000</v>
      </c>
      <c r="C9" s="359" t="s">
        <v>518</v>
      </c>
      <c r="D9" s="353"/>
      <c r="E9" s="354"/>
      <c r="F9" s="356"/>
      <c r="G9" s="356"/>
      <c r="H9" s="354"/>
      <c r="I9" s="354">
        <v>350</v>
      </c>
      <c r="J9" s="356"/>
      <c r="K9" s="356">
        <v>320</v>
      </c>
      <c r="L9" s="354"/>
      <c r="M9" s="354">
        <v>25</v>
      </c>
      <c r="N9" s="356"/>
      <c r="O9" s="356">
        <v>25</v>
      </c>
      <c r="P9" s="354"/>
      <c r="Q9" s="354">
        <v>45</v>
      </c>
      <c r="R9" s="356"/>
      <c r="S9" s="356">
        <v>400</v>
      </c>
      <c r="T9" s="354"/>
      <c r="U9" s="354">
        <v>375</v>
      </c>
      <c r="V9" s="356"/>
      <c r="W9" s="356">
        <v>100</v>
      </c>
      <c r="X9" s="354"/>
      <c r="Y9" s="354">
        <v>85</v>
      </c>
      <c r="Z9" s="356"/>
      <c r="AA9" s="356">
        <v>230</v>
      </c>
      <c r="AB9" s="354"/>
      <c r="AC9" s="354">
        <v>45</v>
      </c>
    </row>
    <row r="10" spans="1:29" ht="14.25" customHeight="1" x14ac:dyDescent="0.3">
      <c r="A10" s="349">
        <v>46142</v>
      </c>
      <c r="B10" s="358">
        <f t="shared" si="2"/>
        <v>62.26</v>
      </c>
      <c r="C10" s="359" t="s">
        <v>519</v>
      </c>
      <c r="D10" s="353"/>
      <c r="E10" s="354"/>
      <c r="F10" s="356"/>
      <c r="G10" s="356">
        <v>62.26</v>
      </c>
      <c r="H10" s="354"/>
      <c r="I10" s="354"/>
      <c r="J10" s="356"/>
      <c r="K10" s="356"/>
      <c r="L10" s="354"/>
      <c r="M10" s="354"/>
      <c r="N10" s="356"/>
      <c r="O10" s="356"/>
      <c r="P10" s="354"/>
      <c r="Q10" s="354"/>
      <c r="R10" s="356"/>
      <c r="S10" s="356"/>
      <c r="T10" s="354"/>
      <c r="U10" s="354"/>
      <c r="V10" s="356"/>
      <c r="W10" s="356"/>
      <c r="X10" s="354"/>
      <c r="Y10" s="354"/>
      <c r="Z10" s="356"/>
      <c r="AA10" s="356"/>
      <c r="AB10" s="354"/>
      <c r="AC10" s="354"/>
    </row>
    <row r="11" spans="1:29" ht="14.25" customHeight="1" x14ac:dyDescent="0.3">
      <c r="A11" s="349">
        <v>46142</v>
      </c>
      <c r="B11" s="358">
        <f t="shared" si="2"/>
        <v>-185.64</v>
      </c>
      <c r="C11" s="359" t="s">
        <v>430</v>
      </c>
      <c r="D11" s="353"/>
      <c r="E11" s="354"/>
      <c r="F11" s="356"/>
      <c r="G11" s="356"/>
      <c r="H11" s="354"/>
      <c r="I11" s="354"/>
      <c r="J11" s="356"/>
      <c r="K11" s="356"/>
      <c r="L11" s="354"/>
      <c r="M11" s="354"/>
      <c r="N11" s="356"/>
      <c r="O11" s="356"/>
      <c r="P11" s="354">
        <v>92.82</v>
      </c>
      <c r="Q11" s="354"/>
      <c r="R11" s="356"/>
      <c r="S11" s="356"/>
      <c r="T11" s="354"/>
      <c r="U11" s="354"/>
      <c r="V11" s="356"/>
      <c r="W11" s="356"/>
      <c r="X11" s="354"/>
      <c r="Y11" s="354"/>
      <c r="Z11" s="356"/>
      <c r="AA11" s="356"/>
      <c r="AB11" s="354">
        <v>92.82</v>
      </c>
      <c r="AC11" s="354"/>
    </row>
    <row r="12" spans="1:29" ht="14.25" customHeight="1" x14ac:dyDescent="0.3">
      <c r="A12" s="349">
        <v>46142</v>
      </c>
      <c r="B12" s="358">
        <f t="shared" si="2"/>
        <v>-127.68</v>
      </c>
      <c r="C12" s="359" t="s">
        <v>316</v>
      </c>
      <c r="D12" s="353"/>
      <c r="E12" s="354"/>
      <c r="F12" s="356"/>
      <c r="G12" s="356"/>
      <c r="H12" s="354"/>
      <c r="I12" s="354"/>
      <c r="J12" s="356"/>
      <c r="K12" s="356"/>
      <c r="L12" s="354">
        <v>63.84</v>
      </c>
      <c r="M12" s="354"/>
      <c r="N12" s="356">
        <v>63.84</v>
      </c>
      <c r="O12" s="356"/>
      <c r="P12" s="354"/>
      <c r="Q12" s="354"/>
      <c r="R12" s="356"/>
      <c r="S12" s="356"/>
      <c r="T12" s="354"/>
      <c r="U12" s="354"/>
      <c r="V12" s="356"/>
      <c r="W12" s="356"/>
      <c r="X12" s="354"/>
      <c r="Y12" s="354"/>
      <c r="Z12" s="356"/>
      <c r="AA12" s="356"/>
      <c r="AB12" s="354"/>
      <c r="AC12" s="354"/>
    </row>
    <row r="13" spans="1:29" ht="14.25" customHeight="1" x14ac:dyDescent="0.3">
      <c r="A13" s="349">
        <v>46142</v>
      </c>
      <c r="B13" s="358">
        <f t="shared" si="2"/>
        <v>0.52</v>
      </c>
      <c r="C13" s="359" t="s">
        <v>520</v>
      </c>
      <c r="D13" s="353"/>
      <c r="E13" s="354"/>
      <c r="F13" s="356"/>
      <c r="G13" s="356">
        <v>0.52</v>
      </c>
      <c r="H13" s="354"/>
      <c r="I13" s="354"/>
      <c r="J13" s="356"/>
      <c r="K13" s="356"/>
      <c r="L13" s="354"/>
      <c r="M13" s="354"/>
      <c r="N13" s="356"/>
      <c r="O13" s="356"/>
      <c r="P13" s="354"/>
      <c r="Q13" s="354"/>
      <c r="R13" s="356"/>
      <c r="S13" s="356"/>
      <c r="T13" s="354"/>
      <c r="U13" s="354"/>
      <c r="V13" s="356"/>
      <c r="W13" s="356"/>
      <c r="X13" s="354"/>
      <c r="Y13" s="354"/>
      <c r="Z13" s="356"/>
      <c r="AA13" s="356"/>
      <c r="AB13" s="354"/>
      <c r="AC13" s="354"/>
    </row>
    <row r="14" spans="1:29" ht="14.25" customHeight="1" x14ac:dyDescent="0.3">
      <c r="A14" s="349">
        <v>46130</v>
      </c>
      <c r="B14" s="358">
        <f t="shared" si="2"/>
        <v>-578.57000000000005</v>
      </c>
      <c r="C14" s="359" t="s">
        <v>521</v>
      </c>
      <c r="D14" s="353"/>
      <c r="E14" s="354"/>
      <c r="F14" s="356"/>
      <c r="G14" s="356"/>
      <c r="H14" s="354"/>
      <c r="I14" s="354"/>
      <c r="J14" s="356"/>
      <c r="K14" s="356"/>
      <c r="L14" s="354"/>
      <c r="M14" s="354"/>
      <c r="N14" s="356"/>
      <c r="O14" s="356"/>
      <c r="P14" s="354"/>
      <c r="Q14" s="354"/>
      <c r="R14" s="356"/>
      <c r="S14" s="356"/>
      <c r="T14" s="354">
        <v>578.57000000000005</v>
      </c>
      <c r="U14" s="354"/>
      <c r="V14" s="356"/>
      <c r="W14" s="356"/>
      <c r="X14" s="354"/>
      <c r="Y14" s="354"/>
      <c r="Z14" s="356"/>
      <c r="AA14" s="356"/>
      <c r="AB14" s="354"/>
      <c r="AC14" s="354"/>
    </row>
    <row r="15" spans="1:29" ht="14.25" customHeight="1" x14ac:dyDescent="0.3">
      <c r="A15" s="349">
        <v>46130</v>
      </c>
      <c r="B15" s="358">
        <f t="shared" si="2"/>
        <v>-93.71</v>
      </c>
      <c r="C15" s="359" t="s">
        <v>522</v>
      </c>
      <c r="D15" s="353"/>
      <c r="E15" s="354"/>
      <c r="F15" s="356"/>
      <c r="G15" s="356"/>
      <c r="H15" s="354">
        <v>93.71</v>
      </c>
      <c r="I15" s="354"/>
      <c r="J15" s="356"/>
      <c r="K15" s="356"/>
      <c r="L15" s="354"/>
      <c r="M15" s="354"/>
      <c r="N15" s="356"/>
      <c r="O15" s="356"/>
      <c r="P15" s="354"/>
      <c r="Q15" s="354"/>
      <c r="R15" s="356"/>
      <c r="S15" s="356"/>
      <c r="T15" s="354"/>
      <c r="U15" s="354"/>
      <c r="V15" s="356"/>
      <c r="W15" s="356"/>
      <c r="X15" s="354"/>
      <c r="Y15" s="354"/>
      <c r="Z15" s="356"/>
      <c r="AA15" s="356"/>
      <c r="AB15" s="354"/>
      <c r="AC15" s="354"/>
    </row>
    <row r="16" spans="1:29" ht="14.25" customHeight="1" x14ac:dyDescent="0.3">
      <c r="A16" s="349">
        <v>46130</v>
      </c>
      <c r="B16" s="358">
        <f t="shared" si="2"/>
        <v>-318.36</v>
      </c>
      <c r="C16" s="359" t="s">
        <v>523</v>
      </c>
      <c r="D16" s="353"/>
      <c r="E16" s="354"/>
      <c r="F16" s="356"/>
      <c r="G16" s="356"/>
      <c r="H16" s="354"/>
      <c r="I16" s="354"/>
      <c r="J16" s="356"/>
      <c r="K16" s="356"/>
      <c r="L16" s="354"/>
      <c r="M16" s="354"/>
      <c r="N16" s="356"/>
      <c r="O16" s="356"/>
      <c r="P16" s="354"/>
      <c r="Q16" s="354"/>
      <c r="R16" s="356">
        <v>318.36</v>
      </c>
      <c r="S16" s="356"/>
      <c r="T16" s="354"/>
      <c r="U16" s="354"/>
      <c r="V16" s="356"/>
      <c r="W16" s="356"/>
      <c r="X16" s="354"/>
      <c r="Y16" s="354"/>
      <c r="Z16" s="356"/>
      <c r="AA16" s="356"/>
      <c r="AB16" s="354"/>
      <c r="AC16" s="354"/>
    </row>
    <row r="17" spans="1:29" ht="14.25" customHeight="1" x14ac:dyDescent="0.3">
      <c r="A17" s="349">
        <v>46129</v>
      </c>
      <c r="B17" s="358">
        <f t="shared" si="2"/>
        <v>62.19</v>
      </c>
      <c r="C17" s="359" t="s">
        <v>524</v>
      </c>
      <c r="D17" s="353"/>
      <c r="E17" s="354"/>
      <c r="F17" s="356"/>
      <c r="G17" s="356">
        <v>62.19</v>
      </c>
      <c r="H17" s="354"/>
      <c r="I17" s="354"/>
      <c r="J17" s="356"/>
      <c r="K17" s="356"/>
      <c r="L17" s="354"/>
      <c r="M17" s="354"/>
      <c r="N17" s="356"/>
      <c r="O17" s="356"/>
      <c r="P17" s="354"/>
      <c r="Q17" s="354"/>
      <c r="R17" s="356"/>
      <c r="S17" s="356"/>
      <c r="T17" s="354"/>
      <c r="U17" s="354"/>
      <c r="V17" s="356"/>
      <c r="W17" s="356"/>
      <c r="X17" s="354"/>
      <c r="Y17" s="354"/>
      <c r="Z17" s="356"/>
      <c r="AA17" s="356"/>
      <c r="AB17" s="354"/>
      <c r="AC17" s="354"/>
    </row>
    <row r="18" spans="1:29" ht="14.25" customHeight="1" x14ac:dyDescent="0.3">
      <c r="A18" s="349">
        <v>46112</v>
      </c>
      <c r="B18" s="358">
        <f t="shared" si="2"/>
        <v>4309.58</v>
      </c>
      <c r="C18" s="359" t="s">
        <v>525</v>
      </c>
      <c r="D18" s="353"/>
      <c r="E18" s="354">
        <v>4309.58</v>
      </c>
      <c r="F18" s="356"/>
      <c r="G18" s="356"/>
      <c r="H18" s="354"/>
      <c r="I18" s="354"/>
      <c r="J18" s="356"/>
      <c r="K18" s="356"/>
      <c r="L18" s="354"/>
      <c r="M18" s="354"/>
      <c r="N18" s="356"/>
      <c r="O18" s="356"/>
      <c r="P18" s="354"/>
      <c r="Q18" s="354"/>
      <c r="R18" s="356"/>
      <c r="S18" s="356"/>
      <c r="T18" s="354"/>
      <c r="U18" s="354"/>
      <c r="V18" s="356"/>
      <c r="W18" s="356"/>
      <c r="X18" s="354"/>
      <c r="Y18" s="354"/>
      <c r="Z18" s="356"/>
      <c r="AA18" s="356"/>
      <c r="AB18" s="354"/>
      <c r="AC18" s="354"/>
    </row>
    <row r="19" spans="1:29" ht="14.25" customHeight="1" x14ac:dyDescent="0.3">
      <c r="A19" s="349">
        <v>46112</v>
      </c>
      <c r="B19" s="358">
        <f t="shared" si="2"/>
        <v>2000</v>
      </c>
      <c r="C19" s="359" t="s">
        <v>526</v>
      </c>
      <c r="D19" s="353"/>
      <c r="E19" s="354"/>
      <c r="F19" s="356"/>
      <c r="G19" s="356"/>
      <c r="H19" s="354"/>
      <c r="I19" s="354">
        <v>350</v>
      </c>
      <c r="J19" s="356"/>
      <c r="K19" s="356">
        <v>320</v>
      </c>
      <c r="L19" s="354"/>
      <c r="M19" s="354">
        <v>25</v>
      </c>
      <c r="N19" s="356"/>
      <c r="O19" s="356">
        <v>25</v>
      </c>
      <c r="P19" s="354"/>
      <c r="Q19" s="354">
        <v>45</v>
      </c>
      <c r="R19" s="356"/>
      <c r="S19" s="356">
        <v>400</v>
      </c>
      <c r="T19" s="354"/>
      <c r="U19" s="354">
        <v>375</v>
      </c>
      <c r="V19" s="356"/>
      <c r="W19" s="356">
        <v>100</v>
      </c>
      <c r="X19" s="354"/>
      <c r="Y19" s="354">
        <v>85</v>
      </c>
      <c r="Z19" s="356"/>
      <c r="AA19" s="356">
        <v>230</v>
      </c>
      <c r="AB19" s="354"/>
      <c r="AC19" s="354">
        <v>45</v>
      </c>
    </row>
    <row r="20" spans="1:29" ht="14.25" customHeight="1" x14ac:dyDescent="0.3">
      <c r="A20" s="349">
        <v>46112</v>
      </c>
      <c r="B20" s="358">
        <f t="shared" si="2"/>
        <v>0.34</v>
      </c>
      <c r="C20" s="359" t="s">
        <v>520</v>
      </c>
      <c r="D20" s="353"/>
      <c r="E20" s="354"/>
      <c r="F20" s="356"/>
      <c r="G20" s="356">
        <v>0.34</v>
      </c>
      <c r="H20" s="354"/>
      <c r="I20" s="354"/>
      <c r="J20" s="356"/>
      <c r="K20" s="356"/>
      <c r="L20" s="354"/>
      <c r="M20" s="354"/>
      <c r="N20" s="356"/>
      <c r="O20" s="356"/>
      <c r="P20" s="354"/>
      <c r="Q20" s="354"/>
      <c r="R20" s="356"/>
      <c r="S20" s="356"/>
      <c r="T20" s="354"/>
      <c r="U20" s="354"/>
      <c r="V20" s="356"/>
      <c r="W20" s="356"/>
      <c r="X20" s="354"/>
      <c r="Y20" s="354"/>
      <c r="Z20" s="356"/>
      <c r="AA20" s="356"/>
      <c r="AB20" s="354"/>
      <c r="AC20" s="354"/>
    </row>
    <row r="21" spans="1:29" ht="14.25" customHeight="1" x14ac:dyDescent="0.3">
      <c r="A21" s="349">
        <v>46112</v>
      </c>
      <c r="B21" s="358">
        <f t="shared" si="2"/>
        <v>-1200</v>
      </c>
      <c r="C21" s="359" t="s">
        <v>527</v>
      </c>
      <c r="D21" s="353"/>
      <c r="E21" s="354"/>
      <c r="F21" s="356"/>
      <c r="G21" s="356"/>
      <c r="H21" s="354"/>
      <c r="I21" s="354"/>
      <c r="J21" s="356"/>
      <c r="K21" s="356"/>
      <c r="L21" s="354"/>
      <c r="M21" s="354"/>
      <c r="N21" s="356"/>
      <c r="O21" s="356"/>
      <c r="P21" s="354"/>
      <c r="Q21" s="354"/>
      <c r="R21" s="356"/>
      <c r="S21" s="356"/>
      <c r="T21" s="354">
        <v>1200</v>
      </c>
      <c r="U21" s="354"/>
      <c r="V21" s="356"/>
      <c r="W21" s="356"/>
      <c r="X21" s="354"/>
      <c r="Y21" s="354"/>
      <c r="Z21" s="356"/>
      <c r="AA21" s="356"/>
      <c r="AB21" s="354"/>
      <c r="AC21" s="354"/>
    </row>
    <row r="22" spans="1:29" ht="14.25" customHeight="1" x14ac:dyDescent="0.3">
      <c r="A22" s="349">
        <v>46108</v>
      </c>
      <c r="B22" s="358">
        <f t="shared" si="2"/>
        <v>68.72</v>
      </c>
      <c r="C22" s="359" t="s">
        <v>519</v>
      </c>
      <c r="D22" s="353"/>
      <c r="E22" s="354"/>
      <c r="F22" s="356"/>
      <c r="G22" s="356">
        <v>68.72</v>
      </c>
      <c r="H22" s="354"/>
      <c r="I22" s="354"/>
      <c r="J22" s="356"/>
      <c r="K22" s="356"/>
      <c r="L22" s="354"/>
      <c r="M22" s="354"/>
      <c r="N22" s="356"/>
      <c r="O22" s="356"/>
      <c r="P22" s="354"/>
      <c r="Q22" s="354"/>
      <c r="R22" s="356"/>
      <c r="S22" s="356"/>
      <c r="T22" s="354"/>
      <c r="U22" s="354"/>
      <c r="V22" s="356"/>
      <c r="W22" s="356"/>
      <c r="X22" s="354"/>
      <c r="Y22" s="354"/>
      <c r="Z22" s="356"/>
      <c r="AA22" s="356"/>
      <c r="AB22" s="354"/>
      <c r="AC22" s="354"/>
    </row>
    <row r="23" spans="1:29" ht="14.25" customHeight="1" x14ac:dyDescent="0.3">
      <c r="A23" s="349">
        <v>46104</v>
      </c>
      <c r="B23" s="358">
        <f t="shared" si="2"/>
        <v>-6</v>
      </c>
      <c r="C23" s="359" t="s">
        <v>528</v>
      </c>
      <c r="D23" s="353">
        <v>6</v>
      </c>
      <c r="E23" s="354"/>
      <c r="F23" s="356"/>
      <c r="G23" s="356"/>
      <c r="H23" s="354"/>
      <c r="I23" s="354"/>
      <c r="J23" s="356"/>
      <c r="K23" s="356"/>
      <c r="L23" s="354"/>
      <c r="M23" s="354"/>
      <c r="N23" s="356"/>
      <c r="O23" s="356"/>
      <c r="P23" s="354"/>
      <c r="Q23" s="354"/>
      <c r="R23" s="356"/>
      <c r="S23" s="356"/>
      <c r="T23" s="354"/>
      <c r="U23" s="354"/>
      <c r="V23" s="356"/>
      <c r="W23" s="356"/>
      <c r="X23" s="354"/>
      <c r="Y23" s="354"/>
      <c r="Z23" s="356"/>
      <c r="AA23" s="356"/>
      <c r="AB23" s="354"/>
      <c r="AC23" s="354"/>
    </row>
    <row r="24" spans="1:29" ht="14.25" customHeight="1" x14ac:dyDescent="0.3">
      <c r="A24" s="349">
        <v>46103</v>
      </c>
      <c r="B24" s="358">
        <f t="shared" si="2"/>
        <v>-100</v>
      </c>
      <c r="C24" s="359" t="s">
        <v>529</v>
      </c>
      <c r="D24" s="353">
        <v>100</v>
      </c>
      <c r="E24" s="354"/>
      <c r="F24" s="356"/>
      <c r="G24" s="356"/>
      <c r="H24" s="354"/>
      <c r="I24" s="354"/>
      <c r="J24" s="356"/>
      <c r="K24" s="356"/>
      <c r="L24" s="354"/>
      <c r="M24" s="354"/>
      <c r="N24" s="356"/>
      <c r="O24" s="356"/>
      <c r="P24" s="354"/>
      <c r="Q24" s="354"/>
      <c r="R24" s="356"/>
      <c r="S24" s="356"/>
      <c r="T24" s="354"/>
      <c r="U24" s="354"/>
      <c r="V24" s="356"/>
      <c r="W24" s="356"/>
      <c r="X24" s="354"/>
      <c r="Y24" s="354"/>
      <c r="Z24" s="356"/>
      <c r="AA24" s="356"/>
      <c r="AB24" s="354"/>
      <c r="AC24" s="354"/>
    </row>
    <row r="25" spans="1:29" ht="14.25" customHeight="1" x14ac:dyDescent="0.3">
      <c r="A25" s="349">
        <v>46103</v>
      </c>
      <c r="B25" s="358">
        <f t="shared" si="2"/>
        <v>-100</v>
      </c>
      <c r="C25" s="359" t="s">
        <v>530</v>
      </c>
      <c r="D25" s="353">
        <v>100</v>
      </c>
      <c r="E25" s="354"/>
      <c r="F25" s="356"/>
      <c r="G25" s="356"/>
      <c r="H25" s="354"/>
      <c r="I25" s="354"/>
      <c r="J25" s="356"/>
      <c r="K25" s="356"/>
      <c r="L25" s="354"/>
      <c r="M25" s="354"/>
      <c r="N25" s="356"/>
      <c r="O25" s="356"/>
      <c r="P25" s="354"/>
      <c r="Q25" s="354"/>
      <c r="R25" s="356"/>
      <c r="S25" s="356"/>
      <c r="T25" s="354"/>
      <c r="U25" s="354"/>
      <c r="V25" s="356"/>
      <c r="W25" s="356"/>
      <c r="X25" s="354"/>
      <c r="Y25" s="354"/>
      <c r="Z25" s="356"/>
      <c r="AA25" s="356"/>
      <c r="AB25" s="354"/>
      <c r="AC25" s="354"/>
    </row>
    <row r="26" spans="1:29" ht="14.25" customHeight="1" x14ac:dyDescent="0.3">
      <c r="A26" s="349">
        <v>46103</v>
      </c>
      <c r="B26" s="358">
        <f t="shared" si="2"/>
        <v>-50</v>
      </c>
      <c r="C26" s="359" t="s">
        <v>531</v>
      </c>
      <c r="D26" s="353">
        <v>50</v>
      </c>
      <c r="E26" s="354"/>
      <c r="F26" s="356"/>
      <c r="G26" s="356"/>
      <c r="H26" s="354"/>
      <c r="I26" s="354"/>
      <c r="J26" s="356"/>
      <c r="K26" s="356"/>
      <c r="L26" s="354"/>
      <c r="M26" s="354"/>
      <c r="N26" s="356"/>
      <c r="O26" s="356"/>
      <c r="P26" s="354"/>
      <c r="Q26" s="354"/>
      <c r="R26" s="356"/>
      <c r="S26" s="356"/>
      <c r="T26" s="354"/>
      <c r="U26" s="354"/>
      <c r="V26" s="356"/>
      <c r="W26" s="356"/>
      <c r="X26" s="354"/>
      <c r="Y26" s="354"/>
      <c r="Z26" s="356"/>
      <c r="AA26" s="356"/>
      <c r="AB26" s="354"/>
      <c r="AC26" s="354"/>
    </row>
    <row r="27" spans="1:29" ht="14.25" customHeight="1" x14ac:dyDescent="0.3">
      <c r="A27" s="349">
        <v>46103</v>
      </c>
      <c r="B27" s="358">
        <f t="shared" si="2"/>
        <v>-100</v>
      </c>
      <c r="C27" s="359" t="s">
        <v>532</v>
      </c>
      <c r="D27" s="353">
        <v>100</v>
      </c>
      <c r="E27" s="354"/>
      <c r="F27" s="356"/>
      <c r="G27" s="356"/>
      <c r="H27" s="354"/>
      <c r="I27" s="354"/>
      <c r="J27" s="356"/>
      <c r="K27" s="356"/>
      <c r="L27" s="354"/>
      <c r="M27" s="354"/>
      <c r="N27" s="356"/>
      <c r="O27" s="356"/>
      <c r="P27" s="354"/>
      <c r="Q27" s="354"/>
      <c r="R27" s="356"/>
      <c r="S27" s="356"/>
      <c r="T27" s="354"/>
      <c r="U27" s="354"/>
      <c r="V27" s="356"/>
      <c r="W27" s="356"/>
      <c r="X27" s="354"/>
      <c r="Y27" s="354"/>
      <c r="Z27" s="356"/>
      <c r="AA27" s="356"/>
      <c r="AB27" s="354"/>
      <c r="AC27" s="354"/>
    </row>
    <row r="28" spans="1:29" ht="14.25" customHeight="1" x14ac:dyDescent="0.3">
      <c r="A28" s="349">
        <v>46103</v>
      </c>
      <c r="B28" s="358">
        <f t="shared" si="2"/>
        <v>-100</v>
      </c>
      <c r="C28" s="359" t="s">
        <v>533</v>
      </c>
      <c r="D28" s="353">
        <v>100</v>
      </c>
      <c r="E28" s="354"/>
      <c r="F28" s="356"/>
      <c r="G28" s="356"/>
      <c r="H28" s="354"/>
      <c r="I28" s="354"/>
      <c r="J28" s="356"/>
      <c r="K28" s="356"/>
      <c r="L28" s="354"/>
      <c r="M28" s="354"/>
      <c r="N28" s="356"/>
      <c r="O28" s="356"/>
      <c r="P28" s="354"/>
      <c r="Q28" s="354"/>
      <c r="R28" s="356"/>
      <c r="S28" s="356"/>
      <c r="T28" s="354"/>
      <c r="U28" s="354"/>
      <c r="V28" s="356"/>
      <c r="W28" s="356"/>
      <c r="X28" s="354"/>
      <c r="Y28" s="354"/>
      <c r="Z28" s="356"/>
      <c r="AA28" s="356"/>
      <c r="AB28" s="354"/>
      <c r="AC28" s="354"/>
    </row>
    <row r="29" spans="1:29" ht="14.25" customHeight="1" x14ac:dyDescent="0.3">
      <c r="A29" s="349">
        <v>46102</v>
      </c>
      <c r="B29" s="358">
        <f t="shared" si="2"/>
        <v>-300</v>
      </c>
      <c r="C29" s="359" t="s">
        <v>534</v>
      </c>
      <c r="D29" s="353">
        <v>300</v>
      </c>
      <c r="E29" s="354"/>
      <c r="F29" s="356"/>
      <c r="G29" s="356"/>
      <c r="H29" s="354"/>
      <c r="I29" s="354"/>
      <c r="J29" s="356"/>
      <c r="K29" s="356"/>
      <c r="L29" s="354"/>
      <c r="M29" s="354"/>
      <c r="N29" s="356"/>
      <c r="O29" s="356"/>
      <c r="P29" s="354"/>
      <c r="Q29" s="354"/>
      <c r="R29" s="356"/>
      <c r="S29" s="356"/>
      <c r="T29" s="354"/>
      <c r="U29" s="354"/>
      <c r="V29" s="356"/>
      <c r="W29" s="356"/>
      <c r="X29" s="354"/>
      <c r="Y29" s="354"/>
      <c r="Z29" s="356"/>
      <c r="AA29" s="356"/>
      <c r="AB29" s="354"/>
      <c r="AC29" s="354"/>
    </row>
    <row r="30" spans="1:29" ht="14.25" customHeight="1" x14ac:dyDescent="0.3">
      <c r="A30" s="349">
        <v>46102</v>
      </c>
      <c r="B30" s="358">
        <f t="shared" si="2"/>
        <v>1384.5</v>
      </c>
      <c r="C30" s="359" t="s">
        <v>535</v>
      </c>
      <c r="D30" s="353"/>
      <c r="E30" s="354"/>
      <c r="F30" s="356"/>
      <c r="G30" s="356"/>
      <c r="H30" s="354"/>
      <c r="I30" s="354"/>
      <c r="J30" s="356"/>
      <c r="K30" s="356"/>
      <c r="L30" s="354"/>
      <c r="M30" s="354"/>
      <c r="N30" s="356"/>
      <c r="O30" s="356"/>
      <c r="P30" s="354"/>
      <c r="Q30" s="354"/>
      <c r="R30" s="356">
        <v>-1384.5</v>
      </c>
      <c r="S30" s="356"/>
      <c r="T30" s="354"/>
      <c r="U30" s="354"/>
      <c r="V30" s="356"/>
      <c r="W30" s="356"/>
      <c r="X30" s="354"/>
      <c r="Y30" s="354"/>
      <c r="Z30" s="356"/>
      <c r="AA30" s="356"/>
      <c r="AB30" s="354"/>
      <c r="AC30" s="354"/>
    </row>
    <row r="31" spans="1:29" ht="14.25" customHeight="1" x14ac:dyDescent="0.3">
      <c r="A31" s="349">
        <v>46094</v>
      </c>
      <c r="B31" s="358">
        <f t="shared" si="2"/>
        <v>55.66</v>
      </c>
      <c r="C31" s="359" t="s">
        <v>524</v>
      </c>
      <c r="D31" s="353"/>
      <c r="E31" s="354"/>
      <c r="F31" s="356"/>
      <c r="G31" s="356">
        <v>55.66</v>
      </c>
      <c r="H31" s="354"/>
      <c r="I31" s="354"/>
      <c r="J31" s="356"/>
      <c r="K31" s="356"/>
      <c r="L31" s="354"/>
      <c r="M31" s="354"/>
      <c r="N31" s="356"/>
      <c r="O31" s="356"/>
      <c r="P31" s="354"/>
      <c r="Q31" s="354"/>
      <c r="R31" s="356"/>
      <c r="S31" s="356"/>
      <c r="T31" s="354"/>
      <c r="U31" s="354"/>
      <c r="V31" s="356"/>
      <c r="W31" s="356"/>
      <c r="X31" s="354"/>
      <c r="Y31" s="354"/>
      <c r="Z31" s="356"/>
      <c r="AA31" s="356"/>
      <c r="AB31" s="354"/>
      <c r="AC31" s="354"/>
    </row>
    <row r="32" spans="1:29" ht="14.25" customHeight="1" x14ac:dyDescent="0.3">
      <c r="A32" s="349">
        <v>46090</v>
      </c>
      <c r="B32" s="358">
        <f t="shared" si="2"/>
        <v>-380</v>
      </c>
      <c r="C32" s="359" t="s">
        <v>536</v>
      </c>
      <c r="D32" s="353"/>
      <c r="E32" s="354"/>
      <c r="F32" s="356"/>
      <c r="G32" s="356"/>
      <c r="H32" s="354"/>
      <c r="I32" s="354"/>
      <c r="J32" s="356"/>
      <c r="K32" s="356"/>
      <c r="L32" s="354"/>
      <c r="M32" s="354"/>
      <c r="N32" s="356"/>
      <c r="O32" s="356"/>
      <c r="P32" s="354"/>
      <c r="Q32" s="354"/>
      <c r="R32" s="356">
        <v>380</v>
      </c>
      <c r="S32" s="356"/>
      <c r="T32" s="354"/>
      <c r="U32" s="354"/>
      <c r="V32" s="356"/>
      <c r="W32" s="356"/>
      <c r="X32" s="354"/>
      <c r="Y32" s="354"/>
      <c r="Z32" s="356"/>
      <c r="AA32" s="356"/>
      <c r="AB32" s="354"/>
      <c r="AC32" s="354"/>
    </row>
    <row r="33" spans="1:29" ht="14.25" customHeight="1" x14ac:dyDescent="0.3">
      <c r="A33" s="349">
        <v>46083</v>
      </c>
      <c r="B33" s="358">
        <f t="shared" si="2"/>
        <v>-185.64</v>
      </c>
      <c r="C33" s="359" t="s">
        <v>430</v>
      </c>
      <c r="D33" s="353"/>
      <c r="E33" s="354"/>
      <c r="F33" s="356"/>
      <c r="G33" s="356"/>
      <c r="H33" s="354"/>
      <c r="I33" s="354"/>
      <c r="J33" s="356"/>
      <c r="K33" s="356"/>
      <c r="L33" s="354"/>
      <c r="M33" s="354"/>
      <c r="N33" s="356"/>
      <c r="O33" s="356"/>
      <c r="P33" s="354">
        <v>92.82</v>
      </c>
      <c r="Q33" s="354"/>
      <c r="R33" s="356"/>
      <c r="S33" s="356"/>
      <c r="T33" s="354"/>
      <c r="U33" s="354"/>
      <c r="V33" s="356"/>
      <c r="W33" s="356"/>
      <c r="X33" s="354"/>
      <c r="Y33" s="354"/>
      <c r="Z33" s="356"/>
      <c r="AA33" s="356"/>
      <c r="AB33" s="354">
        <v>92.82</v>
      </c>
      <c r="AC33" s="354"/>
    </row>
    <row r="34" spans="1:29" ht="14.25" customHeight="1" x14ac:dyDescent="0.3">
      <c r="A34" s="349">
        <v>46081</v>
      </c>
      <c r="B34" s="358">
        <f t="shared" si="2"/>
        <v>3764.91</v>
      </c>
      <c r="C34" s="359" t="s">
        <v>432</v>
      </c>
      <c r="D34" s="353"/>
      <c r="E34" s="354">
        <v>3764.91</v>
      </c>
      <c r="F34" s="356"/>
      <c r="G34" s="356"/>
      <c r="H34" s="354"/>
      <c r="I34" s="354"/>
      <c r="J34" s="356"/>
      <c r="K34" s="356"/>
      <c r="L34" s="354"/>
      <c r="M34" s="354"/>
      <c r="N34" s="356"/>
      <c r="O34" s="356"/>
      <c r="P34" s="354"/>
      <c r="Q34" s="354"/>
      <c r="R34" s="356"/>
      <c r="S34" s="356"/>
      <c r="T34" s="354"/>
      <c r="U34" s="354"/>
      <c r="V34" s="356"/>
      <c r="W34" s="356"/>
      <c r="X34" s="354"/>
      <c r="Y34" s="354"/>
      <c r="Z34" s="356"/>
      <c r="AA34" s="356"/>
      <c r="AB34" s="354"/>
      <c r="AC34" s="354"/>
    </row>
    <row r="35" spans="1:29" ht="14.25" customHeight="1" x14ac:dyDescent="0.3">
      <c r="A35" s="349">
        <v>46081</v>
      </c>
      <c r="B35" s="358">
        <f t="shared" si="2"/>
        <v>2000</v>
      </c>
      <c r="C35" s="359" t="s">
        <v>537</v>
      </c>
      <c r="D35" s="353"/>
      <c r="E35" s="354"/>
      <c r="F35" s="356"/>
      <c r="G35" s="356"/>
      <c r="H35" s="354"/>
      <c r="I35" s="354">
        <v>350</v>
      </c>
      <c r="J35" s="356"/>
      <c r="K35" s="356">
        <v>320</v>
      </c>
      <c r="L35" s="354"/>
      <c r="M35" s="354">
        <v>25</v>
      </c>
      <c r="N35" s="356"/>
      <c r="O35" s="356">
        <v>25</v>
      </c>
      <c r="P35" s="354"/>
      <c r="Q35" s="354">
        <v>45</v>
      </c>
      <c r="R35" s="356"/>
      <c r="S35" s="356">
        <v>400</v>
      </c>
      <c r="T35" s="354"/>
      <c r="U35" s="354">
        <v>375</v>
      </c>
      <c r="V35" s="356"/>
      <c r="W35" s="356">
        <v>100</v>
      </c>
      <c r="X35" s="354"/>
      <c r="Y35" s="354">
        <v>85</v>
      </c>
      <c r="Z35" s="356"/>
      <c r="AA35" s="356">
        <v>230</v>
      </c>
      <c r="AB35" s="354"/>
      <c r="AC35" s="354">
        <v>45</v>
      </c>
    </row>
    <row r="36" spans="1:29" ht="14.25" customHeight="1" x14ac:dyDescent="0.3">
      <c r="A36" s="349">
        <v>46081</v>
      </c>
      <c r="B36" s="358">
        <f t="shared" si="2"/>
        <v>0.23</v>
      </c>
      <c r="C36" s="359" t="s">
        <v>520</v>
      </c>
      <c r="D36" s="353"/>
      <c r="E36" s="354"/>
      <c r="F36" s="356"/>
      <c r="G36" s="356">
        <v>0.23</v>
      </c>
      <c r="H36" s="354"/>
      <c r="I36" s="354"/>
      <c r="J36" s="356"/>
      <c r="K36" s="356"/>
      <c r="L36" s="354"/>
      <c r="M36" s="354"/>
      <c r="N36" s="356"/>
      <c r="O36" s="356"/>
      <c r="P36" s="354"/>
      <c r="Q36" s="354"/>
      <c r="R36" s="356"/>
      <c r="S36" s="356"/>
      <c r="T36" s="354"/>
      <c r="U36" s="354"/>
      <c r="V36" s="356"/>
      <c r="W36" s="356"/>
      <c r="X36" s="354"/>
      <c r="Y36" s="354"/>
      <c r="Z36" s="356"/>
      <c r="AA36" s="356"/>
      <c r="AB36" s="354"/>
      <c r="AC36" s="354"/>
    </row>
    <row r="37" spans="1:29" ht="14.25" customHeight="1" x14ac:dyDescent="0.3">
      <c r="A37" s="349">
        <v>46070</v>
      </c>
      <c r="B37" s="358">
        <f t="shared" si="2"/>
        <v>-1920</v>
      </c>
      <c r="C37" s="359" t="s">
        <v>538</v>
      </c>
      <c r="D37" s="353"/>
      <c r="E37" s="354"/>
      <c r="F37" s="356"/>
      <c r="G37" s="356"/>
      <c r="H37" s="354"/>
      <c r="I37" s="354"/>
      <c r="J37" s="356"/>
      <c r="K37" s="356"/>
      <c r="L37" s="354"/>
      <c r="M37" s="354"/>
      <c r="N37" s="356"/>
      <c r="O37" s="356"/>
      <c r="P37" s="354"/>
      <c r="Q37" s="354"/>
      <c r="R37" s="356"/>
      <c r="S37" s="356"/>
      <c r="T37" s="354">
        <v>1920</v>
      </c>
      <c r="U37" s="354"/>
      <c r="V37" s="356"/>
      <c r="W37" s="356"/>
      <c r="X37" s="354"/>
      <c r="Y37" s="354"/>
      <c r="Z37" s="356"/>
      <c r="AA37" s="356"/>
      <c r="AB37" s="354"/>
      <c r="AC37" s="354"/>
    </row>
    <row r="38" spans="1:29" ht="14.25" customHeight="1" x14ac:dyDescent="0.3">
      <c r="A38" s="349">
        <v>46069</v>
      </c>
      <c r="B38" s="358">
        <f t="shared" si="2"/>
        <v>-243.8</v>
      </c>
      <c r="C38" s="359" t="s">
        <v>538</v>
      </c>
      <c r="D38" s="353"/>
      <c r="E38" s="354"/>
      <c r="F38" s="356"/>
      <c r="G38" s="356"/>
      <c r="H38" s="354"/>
      <c r="I38" s="354"/>
      <c r="J38" s="356"/>
      <c r="K38" s="356"/>
      <c r="L38" s="354"/>
      <c r="M38" s="354"/>
      <c r="N38" s="356"/>
      <c r="O38" s="356"/>
      <c r="P38" s="354"/>
      <c r="Q38" s="354"/>
      <c r="R38" s="356"/>
      <c r="S38" s="356"/>
      <c r="T38" s="354">
        <v>243.8</v>
      </c>
      <c r="U38" s="354"/>
      <c r="V38" s="356"/>
      <c r="W38" s="356"/>
      <c r="X38" s="354"/>
      <c r="Y38" s="354"/>
      <c r="Z38" s="356"/>
      <c r="AA38" s="356"/>
      <c r="AB38" s="354"/>
      <c r="AC38" s="354"/>
    </row>
    <row r="39" spans="1:29" ht="14.25" customHeight="1" x14ac:dyDescent="0.3">
      <c r="A39" s="349">
        <v>46068</v>
      </c>
      <c r="B39" s="358">
        <f t="shared" si="2"/>
        <v>63.46</v>
      </c>
      <c r="C39" s="359" t="s">
        <v>524</v>
      </c>
      <c r="D39" s="353"/>
      <c r="E39" s="354"/>
      <c r="F39" s="356"/>
      <c r="G39" s="356">
        <v>63.46</v>
      </c>
      <c r="H39" s="354"/>
      <c r="I39" s="354"/>
      <c r="J39" s="356"/>
      <c r="K39" s="356"/>
      <c r="L39" s="354"/>
      <c r="M39" s="354"/>
      <c r="N39" s="356"/>
      <c r="O39" s="356"/>
      <c r="P39" s="354"/>
      <c r="Q39" s="354"/>
      <c r="R39" s="356"/>
      <c r="S39" s="356"/>
      <c r="T39" s="354"/>
      <c r="U39" s="354"/>
      <c r="V39" s="356"/>
      <c r="W39" s="356"/>
      <c r="X39" s="354"/>
      <c r="Y39" s="354"/>
      <c r="Z39" s="356"/>
      <c r="AA39" s="356"/>
      <c r="AB39" s="354"/>
      <c r="AC39" s="354"/>
    </row>
    <row r="40" spans="1:29" ht="14.25" customHeight="1" x14ac:dyDescent="0.3">
      <c r="A40" s="349">
        <v>46067</v>
      </c>
      <c r="B40" s="358">
        <f t="shared" si="2"/>
        <v>-1007.99</v>
      </c>
      <c r="C40" s="359" t="s">
        <v>539</v>
      </c>
      <c r="D40" s="353">
        <v>1007.99</v>
      </c>
      <c r="E40" s="354"/>
      <c r="F40" s="356"/>
      <c r="G40" s="356"/>
      <c r="H40" s="354"/>
      <c r="I40" s="354"/>
      <c r="J40" s="356"/>
      <c r="K40" s="356"/>
      <c r="L40" s="354"/>
      <c r="M40" s="354"/>
      <c r="N40" s="356"/>
      <c r="O40" s="356"/>
      <c r="P40" s="354"/>
      <c r="Q40" s="354"/>
      <c r="R40" s="356"/>
      <c r="S40" s="356"/>
      <c r="T40" s="354"/>
      <c r="U40" s="354"/>
      <c r="V40" s="356"/>
      <c r="W40" s="356"/>
      <c r="X40" s="354"/>
      <c r="Y40" s="354"/>
      <c r="Z40" s="356"/>
      <c r="AA40" s="356"/>
      <c r="AB40" s="354"/>
      <c r="AC40" s="354"/>
    </row>
    <row r="41" spans="1:29" ht="14.25" customHeight="1" x14ac:dyDescent="0.3">
      <c r="A41" s="349">
        <v>46063</v>
      </c>
      <c r="B41" s="358">
        <f t="shared" si="2"/>
        <v>-1276.4000000000001</v>
      </c>
      <c r="C41" s="359" t="s">
        <v>540</v>
      </c>
      <c r="D41" s="353"/>
      <c r="E41" s="354"/>
      <c r="F41" s="356"/>
      <c r="G41" s="356"/>
      <c r="H41" s="354"/>
      <c r="I41" s="354"/>
      <c r="J41" s="356"/>
      <c r="K41" s="356"/>
      <c r="L41" s="354"/>
      <c r="M41" s="354"/>
      <c r="N41" s="356"/>
      <c r="O41" s="356"/>
      <c r="P41" s="354"/>
      <c r="Q41" s="354"/>
      <c r="R41" s="356"/>
      <c r="S41" s="356"/>
      <c r="T41" s="354"/>
      <c r="U41" s="354"/>
      <c r="V41" s="356"/>
      <c r="W41" s="356"/>
      <c r="X41" s="354"/>
      <c r="Y41" s="354"/>
      <c r="Z41" s="356">
        <v>1276.4000000000001</v>
      </c>
      <c r="AA41" s="356"/>
      <c r="AB41" s="354"/>
      <c r="AC41" s="354"/>
    </row>
    <row r="42" spans="1:29" ht="14.25" customHeight="1" x14ac:dyDescent="0.3">
      <c r="A42" s="349">
        <v>46063</v>
      </c>
      <c r="B42" s="358">
        <f t="shared" si="2"/>
        <v>-955</v>
      </c>
      <c r="C42" s="359" t="s">
        <v>541</v>
      </c>
      <c r="D42" s="353"/>
      <c r="E42" s="354"/>
      <c r="F42" s="356"/>
      <c r="G42" s="356"/>
      <c r="H42" s="354"/>
      <c r="I42" s="354"/>
      <c r="J42" s="356"/>
      <c r="K42" s="356"/>
      <c r="L42" s="354"/>
      <c r="M42" s="354"/>
      <c r="N42" s="356"/>
      <c r="O42" s="356"/>
      <c r="P42" s="354"/>
      <c r="Q42" s="354"/>
      <c r="R42" s="356">
        <v>955</v>
      </c>
      <c r="S42" s="356"/>
      <c r="T42" s="354"/>
      <c r="U42" s="354"/>
      <c r="V42" s="356"/>
      <c r="W42" s="356"/>
      <c r="X42" s="354"/>
      <c r="Y42" s="354"/>
      <c r="Z42" s="356"/>
      <c r="AA42" s="356"/>
      <c r="AB42" s="354"/>
      <c r="AC42" s="354"/>
    </row>
    <row r="43" spans="1:29" ht="14.25" customHeight="1" x14ac:dyDescent="0.3">
      <c r="A43" s="349">
        <v>46063</v>
      </c>
      <c r="B43" s="358">
        <f t="shared" si="2"/>
        <v>59.19</v>
      </c>
      <c r="C43" s="359" t="s">
        <v>519</v>
      </c>
      <c r="D43" s="353"/>
      <c r="E43" s="354"/>
      <c r="F43" s="356"/>
      <c r="G43" s="356">
        <v>59.19</v>
      </c>
      <c r="H43" s="354"/>
      <c r="I43" s="354"/>
      <c r="J43" s="356"/>
      <c r="K43" s="356"/>
      <c r="L43" s="354"/>
      <c r="M43" s="354"/>
      <c r="N43" s="356"/>
      <c r="O43" s="356"/>
      <c r="P43" s="354"/>
      <c r="Q43" s="354"/>
      <c r="R43" s="356"/>
      <c r="S43" s="356"/>
      <c r="T43" s="354"/>
      <c r="U43" s="354"/>
      <c r="V43" s="356"/>
      <c r="W43" s="356"/>
      <c r="X43" s="354"/>
      <c r="Y43" s="354"/>
      <c r="Z43" s="356"/>
      <c r="AA43" s="356"/>
      <c r="AB43" s="354"/>
      <c r="AC43" s="354"/>
    </row>
    <row r="44" spans="1:29" ht="14.25" customHeight="1" x14ac:dyDescent="0.3">
      <c r="A44" s="349">
        <v>46061</v>
      </c>
      <c r="B44" s="358">
        <f t="shared" si="2"/>
        <v>-2203.44</v>
      </c>
      <c r="C44" s="359" t="s">
        <v>538</v>
      </c>
      <c r="D44" s="353"/>
      <c r="E44" s="354"/>
      <c r="F44" s="356"/>
      <c r="G44" s="356"/>
      <c r="H44" s="354"/>
      <c r="I44" s="354"/>
      <c r="J44" s="356"/>
      <c r="K44" s="356"/>
      <c r="L44" s="354"/>
      <c r="M44" s="354"/>
      <c r="N44" s="356"/>
      <c r="O44" s="356"/>
      <c r="P44" s="354"/>
      <c r="Q44" s="354"/>
      <c r="R44" s="356"/>
      <c r="S44" s="356"/>
      <c r="T44" s="354">
        <v>2203.44</v>
      </c>
      <c r="U44" s="354"/>
      <c r="V44" s="356"/>
      <c r="W44" s="356"/>
      <c r="X44" s="354"/>
      <c r="Y44" s="354"/>
      <c r="Z44" s="356"/>
      <c r="AA44" s="356"/>
      <c r="AB44" s="354"/>
      <c r="AC44" s="354"/>
    </row>
    <row r="45" spans="1:29" ht="14.25" customHeight="1" x14ac:dyDescent="0.3">
      <c r="A45" s="349">
        <v>46061</v>
      </c>
      <c r="B45" s="358">
        <f t="shared" si="2"/>
        <v>-831.92</v>
      </c>
      <c r="C45" s="359" t="s">
        <v>542</v>
      </c>
      <c r="D45" s="353"/>
      <c r="E45" s="354"/>
      <c r="F45" s="356"/>
      <c r="G45" s="356"/>
      <c r="H45" s="354"/>
      <c r="I45" s="354"/>
      <c r="J45" s="356"/>
      <c r="K45" s="356"/>
      <c r="L45" s="354"/>
      <c r="M45" s="354"/>
      <c r="N45" s="356"/>
      <c r="O45" s="356"/>
      <c r="P45" s="354"/>
      <c r="Q45" s="354"/>
      <c r="R45" s="356">
        <v>831.92</v>
      </c>
      <c r="S45" s="356"/>
      <c r="T45" s="354"/>
      <c r="U45" s="354"/>
      <c r="V45" s="356"/>
      <c r="W45" s="356"/>
      <c r="X45" s="354"/>
      <c r="Y45" s="354"/>
      <c r="Z45" s="356"/>
      <c r="AA45" s="356"/>
      <c r="AB45" s="354"/>
      <c r="AC45" s="354"/>
    </row>
    <row r="46" spans="1:29" ht="14.25" customHeight="1" x14ac:dyDescent="0.3">
      <c r="A46" s="349">
        <v>46055</v>
      </c>
      <c r="B46" s="358">
        <f t="shared" si="2"/>
        <v>-900</v>
      </c>
      <c r="C46" s="359" t="s">
        <v>527</v>
      </c>
      <c r="D46" s="353"/>
      <c r="E46" s="354"/>
      <c r="F46" s="356"/>
      <c r="G46" s="356"/>
      <c r="H46" s="354"/>
      <c r="I46" s="354"/>
      <c r="J46" s="356"/>
      <c r="K46" s="356"/>
      <c r="L46" s="354"/>
      <c r="M46" s="354"/>
      <c r="N46" s="356"/>
      <c r="O46" s="356"/>
      <c r="P46" s="354"/>
      <c r="Q46" s="354"/>
      <c r="R46" s="356"/>
      <c r="S46" s="356"/>
      <c r="T46" s="354">
        <v>900</v>
      </c>
      <c r="U46" s="354"/>
      <c r="V46" s="356"/>
      <c r="W46" s="356"/>
      <c r="X46" s="354"/>
      <c r="Y46" s="354"/>
      <c r="Z46" s="356"/>
      <c r="AA46" s="356"/>
      <c r="AB46" s="354"/>
      <c r="AC46" s="354"/>
    </row>
    <row r="47" spans="1:29" ht="14.25" customHeight="1" x14ac:dyDescent="0.3">
      <c r="A47" s="349">
        <v>46053</v>
      </c>
      <c r="B47" s="358">
        <f t="shared" si="2"/>
        <v>3194.64</v>
      </c>
      <c r="C47" s="359" t="s">
        <v>469</v>
      </c>
      <c r="D47" s="353"/>
      <c r="E47" s="354">
        <v>3194.64</v>
      </c>
      <c r="F47" s="356"/>
      <c r="G47" s="356"/>
      <c r="H47" s="354"/>
      <c r="I47" s="354"/>
      <c r="J47" s="356"/>
      <c r="K47" s="356"/>
      <c r="L47" s="354"/>
      <c r="M47" s="354"/>
      <c r="N47" s="356"/>
      <c r="O47" s="356"/>
      <c r="P47" s="354"/>
      <c r="Q47" s="354"/>
      <c r="R47" s="356"/>
      <c r="S47" s="356"/>
      <c r="T47" s="354"/>
      <c r="U47" s="354"/>
      <c r="V47" s="356"/>
      <c r="W47" s="356"/>
      <c r="X47" s="354"/>
      <c r="Y47" s="354"/>
      <c r="Z47" s="356"/>
      <c r="AA47" s="356"/>
      <c r="AB47" s="354"/>
      <c r="AC47" s="354"/>
    </row>
    <row r="48" spans="1:29" ht="14.25" customHeight="1" x14ac:dyDescent="0.3">
      <c r="A48" s="349">
        <v>46053</v>
      </c>
      <c r="B48" s="358">
        <f t="shared" si="2"/>
        <v>2000</v>
      </c>
      <c r="C48" s="359" t="s">
        <v>543</v>
      </c>
      <c r="D48" s="353"/>
      <c r="E48" s="354"/>
      <c r="F48" s="356"/>
      <c r="G48" s="356"/>
      <c r="H48" s="354"/>
      <c r="I48" s="354">
        <v>350</v>
      </c>
      <c r="J48" s="356"/>
      <c r="K48" s="356">
        <v>320</v>
      </c>
      <c r="L48" s="354"/>
      <c r="M48" s="354">
        <v>25</v>
      </c>
      <c r="N48" s="356"/>
      <c r="O48" s="356">
        <v>25</v>
      </c>
      <c r="P48" s="354"/>
      <c r="Q48" s="354">
        <v>45</v>
      </c>
      <c r="R48" s="356"/>
      <c r="S48" s="356">
        <v>400</v>
      </c>
      <c r="T48" s="354"/>
      <c r="U48" s="354">
        <v>375</v>
      </c>
      <c r="V48" s="356"/>
      <c r="W48" s="356">
        <v>100</v>
      </c>
      <c r="X48" s="354"/>
      <c r="Y48" s="354">
        <v>85</v>
      </c>
      <c r="Z48" s="356"/>
      <c r="AA48" s="356">
        <v>230</v>
      </c>
      <c r="AB48" s="354"/>
      <c r="AC48" s="354">
        <v>45</v>
      </c>
    </row>
    <row r="49" spans="1:29" ht="14.25" customHeight="1" x14ac:dyDescent="0.3">
      <c r="A49" s="349">
        <v>46053</v>
      </c>
      <c r="B49" s="358">
        <f t="shared" si="2"/>
        <v>0.38</v>
      </c>
      <c r="C49" s="359" t="s">
        <v>520</v>
      </c>
      <c r="D49" s="353"/>
      <c r="E49" s="354"/>
      <c r="F49" s="356"/>
      <c r="G49" s="356">
        <v>0.38</v>
      </c>
      <c r="H49" s="354"/>
      <c r="I49" s="354"/>
      <c r="J49" s="356"/>
      <c r="K49" s="356"/>
      <c r="L49" s="354"/>
      <c r="M49" s="354"/>
      <c r="N49" s="356"/>
      <c r="O49" s="356"/>
      <c r="P49" s="354"/>
      <c r="Q49" s="354"/>
      <c r="R49" s="356"/>
      <c r="S49" s="356"/>
      <c r="T49" s="354"/>
      <c r="U49" s="354"/>
      <c r="V49" s="356"/>
      <c r="W49" s="356"/>
      <c r="X49" s="354"/>
      <c r="Y49" s="354"/>
      <c r="Z49" s="356"/>
      <c r="AA49" s="356"/>
      <c r="AB49" s="354"/>
      <c r="AC49" s="354"/>
    </row>
    <row r="50" spans="1:29" ht="14.25" customHeight="1" x14ac:dyDescent="0.3">
      <c r="A50" s="349">
        <v>46053</v>
      </c>
      <c r="B50" s="358">
        <f t="shared" si="2"/>
        <v>54.55</v>
      </c>
      <c r="C50" s="359" t="s">
        <v>524</v>
      </c>
      <c r="D50" s="353"/>
      <c r="E50" s="354"/>
      <c r="F50" s="356"/>
      <c r="G50" s="356">
        <v>54.55</v>
      </c>
      <c r="H50" s="354"/>
      <c r="I50" s="354"/>
      <c r="J50" s="356"/>
      <c r="K50" s="356"/>
      <c r="L50" s="354"/>
      <c r="M50" s="354"/>
      <c r="N50" s="356"/>
      <c r="O50" s="356"/>
      <c r="P50" s="354"/>
      <c r="Q50" s="354"/>
      <c r="R50" s="356"/>
      <c r="S50" s="356"/>
      <c r="T50" s="354"/>
      <c r="U50" s="354"/>
      <c r="V50" s="356"/>
      <c r="W50" s="356"/>
      <c r="X50" s="354"/>
      <c r="Y50" s="354"/>
      <c r="Z50" s="356"/>
      <c r="AA50" s="356"/>
      <c r="AB50" s="354"/>
      <c r="AC50" s="354"/>
    </row>
    <row r="51" spans="1:29" ht="14.25" customHeight="1" x14ac:dyDescent="0.3">
      <c r="A51" s="349">
        <v>46048</v>
      </c>
      <c r="B51" s="358">
        <f t="shared" si="2"/>
        <v>-583</v>
      </c>
      <c r="C51" s="359" t="s">
        <v>544</v>
      </c>
      <c r="D51" s="353">
        <v>583</v>
      </c>
      <c r="E51" s="354"/>
      <c r="F51" s="356"/>
      <c r="G51" s="356"/>
      <c r="H51" s="354"/>
      <c r="I51" s="354"/>
      <c r="J51" s="356"/>
      <c r="K51" s="356"/>
      <c r="L51" s="354"/>
      <c r="M51" s="354"/>
      <c r="N51" s="356"/>
      <c r="O51" s="356"/>
      <c r="P51" s="354"/>
      <c r="Q51" s="354"/>
      <c r="R51" s="356"/>
      <c r="S51" s="356"/>
      <c r="T51" s="354"/>
      <c r="U51" s="354"/>
      <c r="V51" s="356"/>
      <c r="W51" s="356"/>
      <c r="X51" s="354"/>
      <c r="Y51" s="354"/>
      <c r="Z51" s="356"/>
      <c r="AA51" s="356"/>
      <c r="AB51" s="354"/>
      <c r="AC51" s="354"/>
    </row>
    <row r="52" spans="1:29" ht="14.25" customHeight="1" x14ac:dyDescent="0.3">
      <c r="A52" s="349">
        <v>46044</v>
      </c>
      <c r="B52" s="358">
        <f t="shared" si="2"/>
        <v>-126.24</v>
      </c>
      <c r="C52" s="359" t="s">
        <v>316</v>
      </c>
      <c r="D52" s="353"/>
      <c r="E52" s="354"/>
      <c r="F52" s="356"/>
      <c r="G52" s="356"/>
      <c r="H52" s="354"/>
      <c r="I52" s="354"/>
      <c r="J52" s="356"/>
      <c r="K52" s="356"/>
      <c r="L52" s="354">
        <v>63.12</v>
      </c>
      <c r="M52" s="354"/>
      <c r="N52" s="356">
        <v>63.12</v>
      </c>
      <c r="O52" s="356"/>
      <c r="P52" s="354"/>
      <c r="Q52" s="354"/>
      <c r="R52" s="356"/>
      <c r="S52" s="356"/>
      <c r="T52" s="354"/>
      <c r="U52" s="354"/>
      <c r="V52" s="356"/>
      <c r="W52" s="356"/>
      <c r="X52" s="354"/>
      <c r="Y52" s="354"/>
      <c r="Z52" s="356"/>
      <c r="AA52" s="356"/>
      <c r="AB52" s="354"/>
      <c r="AC52" s="354"/>
    </row>
    <row r="53" spans="1:29" ht="14.25" customHeight="1" x14ac:dyDescent="0.3">
      <c r="A53" s="349">
        <v>46043</v>
      </c>
      <c r="B53" s="358">
        <f t="shared" si="2"/>
        <v>-100</v>
      </c>
      <c r="C53" s="359" t="s">
        <v>545</v>
      </c>
      <c r="D53" s="353"/>
      <c r="E53" s="354"/>
      <c r="F53" s="356"/>
      <c r="G53" s="356"/>
      <c r="H53" s="354">
        <v>100</v>
      </c>
      <c r="I53" s="354"/>
      <c r="J53" s="356"/>
      <c r="K53" s="356"/>
      <c r="L53" s="354"/>
      <c r="M53" s="354"/>
      <c r="N53" s="356"/>
      <c r="O53" s="356"/>
      <c r="P53" s="354"/>
      <c r="Q53" s="354"/>
      <c r="R53" s="356"/>
      <c r="S53" s="356"/>
      <c r="T53" s="354"/>
      <c r="U53" s="354"/>
      <c r="V53" s="356"/>
      <c r="W53" s="356"/>
      <c r="X53" s="354"/>
      <c r="Y53" s="354"/>
      <c r="Z53" s="356"/>
      <c r="AA53" s="356"/>
      <c r="AB53" s="354"/>
      <c r="AC53" s="354"/>
    </row>
    <row r="54" spans="1:29" ht="14.25" customHeight="1" x14ac:dyDescent="0.3">
      <c r="A54" s="349">
        <v>46043</v>
      </c>
      <c r="B54" s="358">
        <f t="shared" si="2"/>
        <v>-2724</v>
      </c>
      <c r="C54" s="359" t="s">
        <v>546</v>
      </c>
      <c r="D54" s="353"/>
      <c r="E54" s="354"/>
      <c r="F54" s="356"/>
      <c r="G54" s="356"/>
      <c r="H54" s="354"/>
      <c r="I54" s="354"/>
      <c r="J54" s="356"/>
      <c r="K54" s="356"/>
      <c r="L54" s="354"/>
      <c r="M54" s="354"/>
      <c r="N54" s="356"/>
      <c r="O54" s="356"/>
      <c r="P54" s="354"/>
      <c r="Q54" s="354"/>
      <c r="R54" s="356">
        <v>2724</v>
      </c>
      <c r="S54" s="356"/>
      <c r="T54" s="354"/>
      <c r="U54" s="354"/>
      <c r="V54" s="356"/>
      <c r="W54" s="356"/>
      <c r="X54" s="354"/>
      <c r="Y54" s="354"/>
      <c r="Z54" s="356"/>
      <c r="AA54" s="356"/>
      <c r="AB54" s="354"/>
      <c r="AC54" s="354"/>
    </row>
    <row r="55" spans="1:29" ht="14.25" customHeight="1" x14ac:dyDescent="0.3">
      <c r="A55" s="349">
        <v>46038</v>
      </c>
      <c r="B55" s="358">
        <f t="shared" si="2"/>
        <v>55.69</v>
      </c>
      <c r="C55" s="359" t="s">
        <v>524</v>
      </c>
      <c r="D55" s="353"/>
      <c r="E55" s="354"/>
      <c r="F55" s="356"/>
      <c r="G55" s="356">
        <v>55.69</v>
      </c>
      <c r="H55" s="354"/>
      <c r="I55" s="354"/>
      <c r="J55" s="356"/>
      <c r="K55" s="356"/>
      <c r="L55" s="354"/>
      <c r="M55" s="354"/>
      <c r="N55" s="356"/>
      <c r="O55" s="356"/>
      <c r="P55" s="354"/>
      <c r="Q55" s="354"/>
      <c r="R55" s="356"/>
      <c r="S55" s="356"/>
      <c r="T55" s="354"/>
      <c r="U55" s="354"/>
      <c r="V55" s="356"/>
      <c r="W55" s="356"/>
      <c r="X55" s="354"/>
      <c r="Y55" s="354"/>
      <c r="Z55" s="356"/>
      <c r="AA55" s="356"/>
      <c r="AB55" s="354"/>
      <c r="AC55" s="354"/>
    </row>
    <row r="56" spans="1:29" ht="14.25" customHeight="1" x14ac:dyDescent="0.3">
      <c r="A56" s="349">
        <v>46030</v>
      </c>
      <c r="B56" s="358">
        <f t="shared" si="2"/>
        <v>1049.3699999999999</v>
      </c>
      <c r="C56" s="351" t="s">
        <v>547</v>
      </c>
      <c r="D56" s="353"/>
      <c r="E56" s="354">
        <v>1049.3699999999999</v>
      </c>
      <c r="F56" s="356"/>
      <c r="G56" s="356"/>
      <c r="H56" s="354"/>
      <c r="I56" s="354"/>
      <c r="J56" s="356"/>
      <c r="K56" s="356"/>
      <c r="L56" s="354"/>
      <c r="M56" s="354"/>
      <c r="N56" s="356"/>
      <c r="O56" s="356"/>
      <c r="P56" s="354"/>
      <c r="Q56" s="354"/>
      <c r="R56" s="356"/>
      <c r="S56" s="356"/>
      <c r="T56" s="354"/>
      <c r="U56" s="354"/>
      <c r="V56" s="356"/>
      <c r="W56" s="356"/>
      <c r="X56" s="354"/>
      <c r="Y56" s="354"/>
      <c r="Z56" s="356"/>
      <c r="AA56" s="356"/>
      <c r="AB56" s="354"/>
      <c r="AC56" s="354"/>
    </row>
    <row r="57" spans="1:29" ht="14.25" customHeight="1" x14ac:dyDescent="0.3">
      <c r="A57" s="349">
        <v>46027</v>
      </c>
      <c r="B57" s="358">
        <f t="shared" si="2"/>
        <v>-113.94</v>
      </c>
      <c r="C57" s="359" t="s">
        <v>548</v>
      </c>
      <c r="D57" s="353"/>
      <c r="E57" s="354"/>
      <c r="F57" s="356"/>
      <c r="G57" s="356"/>
      <c r="H57" s="354">
        <v>113.94</v>
      </c>
      <c r="I57" s="354"/>
      <c r="J57" s="356"/>
      <c r="K57" s="356"/>
      <c r="L57" s="354"/>
      <c r="M57" s="354"/>
      <c r="N57" s="356"/>
      <c r="O57" s="356"/>
      <c r="P57" s="354"/>
      <c r="Q57" s="354"/>
      <c r="R57" s="356"/>
      <c r="S57" s="356"/>
      <c r="T57" s="354"/>
      <c r="U57" s="354"/>
      <c r="V57" s="356"/>
      <c r="W57" s="356"/>
      <c r="X57" s="354"/>
      <c r="Y57" s="354"/>
      <c r="Z57" s="356"/>
      <c r="AA57" s="356"/>
      <c r="AB57" s="354"/>
      <c r="AC57" s="354"/>
    </row>
    <row r="58" spans="1:29" ht="14.25" customHeight="1" x14ac:dyDescent="0.3">
      <c r="A58" s="349">
        <v>46027</v>
      </c>
      <c r="B58" s="358">
        <f t="shared" si="2"/>
        <v>-622.1</v>
      </c>
      <c r="C58" s="359" t="s">
        <v>538</v>
      </c>
      <c r="D58" s="353"/>
      <c r="E58" s="354"/>
      <c r="F58" s="356"/>
      <c r="G58" s="356"/>
      <c r="H58" s="354"/>
      <c r="I58" s="354"/>
      <c r="J58" s="356"/>
      <c r="K58" s="356"/>
      <c r="L58" s="354"/>
      <c r="M58" s="354"/>
      <c r="N58" s="356"/>
      <c r="O58" s="356"/>
      <c r="P58" s="354"/>
      <c r="Q58" s="354"/>
      <c r="R58" s="356"/>
      <c r="S58" s="356"/>
      <c r="T58" s="354">
        <v>622.1</v>
      </c>
      <c r="U58" s="354"/>
      <c r="V58" s="356"/>
      <c r="W58" s="356"/>
      <c r="X58" s="354"/>
      <c r="Y58" s="354"/>
      <c r="Z58" s="356"/>
      <c r="AA58" s="356"/>
      <c r="AB58" s="354"/>
      <c r="AC58" s="354"/>
    </row>
    <row r="59" spans="1:29" ht="14.25" customHeight="1" x14ac:dyDescent="0.3">
      <c r="A59" s="349">
        <v>44562</v>
      </c>
      <c r="B59" s="358">
        <f t="shared" si="2"/>
        <v>12240.49</v>
      </c>
      <c r="C59" s="359" t="s">
        <v>549</v>
      </c>
      <c r="D59" s="353"/>
      <c r="E59" s="354">
        <v>1710.49</v>
      </c>
      <c r="F59" s="356"/>
      <c r="G59" s="356">
        <v>500</v>
      </c>
      <c r="H59" s="354"/>
      <c r="I59" s="354">
        <v>2000</v>
      </c>
      <c r="J59" s="356"/>
      <c r="K59" s="356">
        <v>1000</v>
      </c>
      <c r="L59" s="354"/>
      <c r="M59" s="354">
        <v>65</v>
      </c>
      <c r="N59" s="356"/>
      <c r="O59" s="356">
        <v>65</v>
      </c>
      <c r="P59" s="354"/>
      <c r="Q59" s="354">
        <v>100</v>
      </c>
      <c r="R59" s="356"/>
      <c r="S59" s="356">
        <v>2000</v>
      </c>
      <c r="T59" s="354"/>
      <c r="U59" s="354">
        <v>2500</v>
      </c>
      <c r="V59" s="356"/>
      <c r="W59" s="356">
        <v>500</v>
      </c>
      <c r="X59" s="354"/>
      <c r="Y59" s="354">
        <v>200</v>
      </c>
      <c r="Z59" s="356"/>
      <c r="AA59" s="356">
        <v>1500</v>
      </c>
      <c r="AB59" s="354"/>
      <c r="AC59" s="354">
        <v>100</v>
      </c>
    </row>
    <row r="60" spans="1:29" ht="14.25" customHeight="1" x14ac:dyDescent="0.3"/>
    <row r="61" spans="1:29" ht="14.25" customHeight="1" x14ac:dyDescent="0.3"/>
    <row r="62" spans="1:29" ht="14.25" customHeight="1" x14ac:dyDescent="0.3"/>
    <row r="63" spans="1:29" ht="14.25" customHeight="1" x14ac:dyDescent="0.3"/>
    <row r="64" spans="1:29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</sheetData>
  <mergeCells count="26"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22"/>
      <c r="O1" s="122"/>
      <c r="P1" s="122"/>
      <c r="Q1" s="122"/>
    </row>
    <row r="2" spans="1:17" ht="14.25" customHeight="1" x14ac:dyDescent="0.3">
      <c r="B2" s="23"/>
      <c r="D2" s="25" t="s">
        <v>550</v>
      </c>
      <c r="E2" s="25" t="s">
        <v>551</v>
      </c>
      <c r="M2" s="12"/>
      <c r="N2" s="122"/>
      <c r="O2" s="122"/>
      <c r="P2" s="122"/>
      <c r="Q2" s="122"/>
    </row>
    <row r="3" spans="1:17" ht="14.25" customHeight="1" x14ac:dyDescent="0.3">
      <c r="A3" s="92" t="s">
        <v>540</v>
      </c>
      <c r="B3" s="23">
        <v>2700</v>
      </c>
      <c r="C3" s="92" t="s">
        <v>552</v>
      </c>
      <c r="D3" s="25">
        <f t="shared" ref="D3:D4" si="0">B3/12</f>
        <v>225</v>
      </c>
      <c r="E3" s="25">
        <f t="shared" ref="E3:E7" si="1">D3*12</f>
        <v>2700</v>
      </c>
      <c r="M3" s="12"/>
      <c r="N3" s="122"/>
      <c r="O3" s="122"/>
      <c r="P3" s="122"/>
      <c r="Q3" s="122"/>
    </row>
    <row r="4" spans="1:17" ht="14.25" customHeight="1" x14ac:dyDescent="0.3">
      <c r="A4" s="92" t="s">
        <v>553</v>
      </c>
      <c r="B4" s="23">
        <v>780</v>
      </c>
      <c r="C4" s="92" t="s">
        <v>552</v>
      </c>
      <c r="D4" s="25">
        <f t="shared" si="0"/>
        <v>65</v>
      </c>
      <c r="E4" s="25">
        <f t="shared" si="1"/>
        <v>780</v>
      </c>
      <c r="M4" s="12"/>
      <c r="N4" s="122"/>
      <c r="O4" s="122"/>
      <c r="P4" s="122"/>
      <c r="Q4" s="122"/>
    </row>
    <row r="5" spans="1:17" ht="14.25" customHeight="1" x14ac:dyDescent="0.3">
      <c r="A5" s="92" t="s">
        <v>207</v>
      </c>
      <c r="B5" s="23">
        <v>75</v>
      </c>
      <c r="C5" s="92" t="s">
        <v>554</v>
      </c>
      <c r="D5" s="25">
        <f>B5/3</f>
        <v>25</v>
      </c>
      <c r="E5" s="25">
        <f t="shared" si="1"/>
        <v>300</v>
      </c>
      <c r="M5" s="12"/>
      <c r="N5" s="122"/>
      <c r="O5" s="122"/>
      <c r="P5" s="122"/>
      <c r="Q5" s="122"/>
    </row>
    <row r="6" spans="1:17" ht="14.25" customHeight="1" x14ac:dyDescent="0.3">
      <c r="A6" s="92" t="s">
        <v>430</v>
      </c>
      <c r="B6" s="23">
        <v>90</v>
      </c>
      <c r="C6" s="92" t="s">
        <v>555</v>
      </c>
      <c r="D6" s="25">
        <f>B6/2</f>
        <v>45</v>
      </c>
      <c r="E6" s="25">
        <f t="shared" si="1"/>
        <v>540</v>
      </c>
      <c r="M6" s="12"/>
      <c r="N6" s="122"/>
      <c r="O6" s="122"/>
      <c r="P6" s="122"/>
      <c r="Q6" s="122"/>
    </row>
    <row r="7" spans="1:17" ht="14.25" customHeight="1" x14ac:dyDescent="0.3">
      <c r="A7" s="92" t="s">
        <v>556</v>
      </c>
      <c r="B7" s="23">
        <v>60</v>
      </c>
      <c r="C7" s="92" t="s">
        <v>557</v>
      </c>
      <c r="D7" s="25">
        <f>B7</f>
        <v>60</v>
      </c>
      <c r="E7" s="25">
        <f t="shared" si="1"/>
        <v>720</v>
      </c>
      <c r="M7" s="12"/>
      <c r="N7" s="122"/>
      <c r="O7" s="122"/>
      <c r="P7" s="122"/>
      <c r="Q7" s="122"/>
    </row>
    <row r="8" spans="1:17" ht="14.25" customHeight="1" x14ac:dyDescent="0.3">
      <c r="B8" s="23"/>
      <c r="D8" s="25"/>
      <c r="E8" s="25"/>
      <c r="M8" s="12"/>
      <c r="N8" s="122"/>
      <c r="O8" s="122"/>
      <c r="P8" s="122"/>
      <c r="Q8" s="122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22"/>
      <c r="O9" s="122"/>
      <c r="P9" s="122"/>
      <c r="Q9" s="122"/>
    </row>
    <row r="10" spans="1:17" ht="14.25" customHeight="1" x14ac:dyDescent="0.3">
      <c r="B10" s="23"/>
      <c r="D10" s="25"/>
      <c r="E10" s="25"/>
      <c r="M10" s="12"/>
      <c r="N10" s="122"/>
      <c r="O10" s="122"/>
      <c r="P10" s="122"/>
      <c r="Q10" s="122"/>
    </row>
    <row r="11" spans="1:17" ht="14.25" customHeight="1" x14ac:dyDescent="0.3">
      <c r="A11" s="92" t="s">
        <v>558</v>
      </c>
      <c r="B11" s="23">
        <v>100</v>
      </c>
      <c r="C11" s="92" t="s">
        <v>557</v>
      </c>
      <c r="D11" s="25">
        <f>B11</f>
        <v>100</v>
      </c>
      <c r="E11" s="25">
        <f>D11*12</f>
        <v>1200</v>
      </c>
      <c r="M11" s="12"/>
      <c r="N11" s="122"/>
      <c r="O11" s="122"/>
      <c r="P11" s="122"/>
      <c r="Q11" s="122"/>
    </row>
    <row r="12" spans="1:17" ht="14.25" customHeight="1" x14ac:dyDescent="0.3">
      <c r="B12" s="23"/>
      <c r="D12" s="25"/>
      <c r="E12" s="25"/>
      <c r="M12" s="12"/>
      <c r="N12" s="122"/>
      <c r="O12" s="122"/>
      <c r="P12" s="122"/>
      <c r="Q12" s="122"/>
    </row>
    <row r="13" spans="1:17" ht="14.25" customHeight="1" x14ac:dyDescent="0.3">
      <c r="A13" s="92" t="s">
        <v>559</v>
      </c>
      <c r="B13" s="23"/>
      <c r="D13" s="25">
        <f>SUM(D9+D11)</f>
        <v>520</v>
      </c>
      <c r="E13" s="25">
        <f>D13*12</f>
        <v>6240</v>
      </c>
      <c r="M13" s="12"/>
      <c r="N13" s="122"/>
      <c r="O13" s="122"/>
      <c r="P13" s="122"/>
      <c r="Q13" s="122"/>
    </row>
    <row r="14" spans="1:17" ht="14.25" customHeight="1" x14ac:dyDescent="0.3">
      <c r="B14" s="23"/>
      <c r="D14" s="25"/>
      <c r="E14" s="25"/>
      <c r="M14" s="12"/>
      <c r="N14" s="122"/>
      <c r="O14" s="122"/>
      <c r="P14" s="122"/>
      <c r="Q14" s="122"/>
    </row>
    <row r="15" spans="1:17" ht="14.25" customHeight="1" x14ac:dyDescent="0.3">
      <c r="B15" s="23"/>
      <c r="D15" s="25"/>
      <c r="E15" s="25"/>
      <c r="M15" s="12"/>
      <c r="N15" s="122"/>
      <c r="O15" s="122"/>
      <c r="P15" s="122"/>
      <c r="Q15" s="122"/>
    </row>
    <row r="16" spans="1:17" ht="14.25" customHeight="1" x14ac:dyDescent="0.3">
      <c r="A16" s="92" t="s">
        <v>560</v>
      </c>
      <c r="B16" s="23">
        <v>800</v>
      </c>
      <c r="C16" s="92" t="s">
        <v>557</v>
      </c>
      <c r="D16" s="25">
        <f>B16</f>
        <v>800</v>
      </c>
      <c r="E16" s="25">
        <f>D16*12</f>
        <v>9600</v>
      </c>
      <c r="M16" s="12"/>
      <c r="N16" s="122"/>
      <c r="O16" s="122"/>
      <c r="P16" s="122"/>
      <c r="Q16" s="122"/>
    </row>
    <row r="17" spans="1:17" ht="14.25" customHeight="1" x14ac:dyDescent="0.3">
      <c r="B17" s="23"/>
      <c r="D17" s="25"/>
      <c r="E17" s="25"/>
      <c r="M17" s="12"/>
      <c r="N17" s="122"/>
      <c r="O17" s="122"/>
      <c r="P17" s="122"/>
      <c r="Q17" s="122"/>
    </row>
    <row r="18" spans="1:17" ht="14.25" customHeight="1" x14ac:dyDescent="0.3">
      <c r="A18" s="92" t="s">
        <v>561</v>
      </c>
      <c r="B18" s="23"/>
      <c r="D18" s="25">
        <f>D16-D13</f>
        <v>280</v>
      </c>
      <c r="E18" s="25">
        <f>D18*12</f>
        <v>3360</v>
      </c>
      <c r="M18" s="12"/>
      <c r="N18" s="122"/>
      <c r="O18" s="122"/>
      <c r="P18" s="122"/>
      <c r="Q18" s="122"/>
    </row>
    <row r="19" spans="1:17" ht="14.25" customHeight="1" x14ac:dyDescent="0.3">
      <c r="A19" s="92" t="s">
        <v>562</v>
      </c>
      <c r="B19" s="23"/>
      <c r="D19" s="25"/>
      <c r="E19" s="50">
        <f>(E16-E13)/E13</f>
        <v>0.53846153846153844</v>
      </c>
      <c r="M19" s="12"/>
      <c r="N19" s="122"/>
      <c r="O19" s="122"/>
      <c r="P19" s="122"/>
      <c r="Q19" s="122"/>
    </row>
    <row r="20" spans="1:17" ht="14.25" customHeight="1" x14ac:dyDescent="0.3">
      <c r="B20" s="23"/>
      <c r="D20" s="25"/>
      <c r="E20" s="25"/>
      <c r="M20" s="12"/>
      <c r="N20" s="122"/>
      <c r="O20" s="122"/>
      <c r="P20" s="122"/>
      <c r="Q20" s="122"/>
    </row>
    <row r="21" spans="1:17" ht="14.25" customHeight="1" x14ac:dyDescent="0.3">
      <c r="B21" s="23"/>
      <c r="D21" s="25"/>
      <c r="E21" s="25"/>
      <c r="M21" s="12"/>
      <c r="N21" s="122"/>
      <c r="O21" s="122"/>
      <c r="P21" s="122"/>
      <c r="Q21" s="122"/>
    </row>
    <row r="22" spans="1:17" ht="14.25" customHeight="1" x14ac:dyDescent="0.3">
      <c r="B22" s="23"/>
      <c r="D22" s="25"/>
      <c r="E22" s="25"/>
      <c r="M22" s="12"/>
      <c r="N22" s="122"/>
      <c r="O22" s="122"/>
      <c r="P22" s="122"/>
      <c r="Q22" s="122"/>
    </row>
    <row r="23" spans="1:17" ht="14.25" customHeight="1" x14ac:dyDescent="0.3">
      <c r="B23" s="23"/>
      <c r="D23" s="25"/>
      <c r="E23" s="25"/>
      <c r="M23" s="12"/>
      <c r="N23" s="122"/>
      <c r="O23" s="122"/>
      <c r="P23" s="122"/>
      <c r="Q23" s="122"/>
    </row>
    <row r="24" spans="1:17" ht="14.25" customHeight="1" x14ac:dyDescent="0.3">
      <c r="B24" s="23"/>
      <c r="D24" s="25"/>
      <c r="E24" s="25"/>
      <c r="M24" s="12"/>
      <c r="N24" s="122"/>
      <c r="O24" s="122"/>
      <c r="P24" s="122"/>
      <c r="Q24" s="122"/>
    </row>
    <row r="25" spans="1:17" ht="14.25" customHeight="1" x14ac:dyDescent="0.3">
      <c r="B25" s="23"/>
      <c r="D25" s="25"/>
      <c r="E25" s="25"/>
      <c r="M25" s="12"/>
      <c r="N25" s="122"/>
      <c r="O25" s="122"/>
      <c r="P25" s="122"/>
      <c r="Q25" s="122"/>
    </row>
    <row r="26" spans="1:17" ht="14.25" customHeight="1" x14ac:dyDescent="0.3">
      <c r="B26" s="23"/>
      <c r="D26" s="25"/>
      <c r="E26" s="25"/>
      <c r="M26" s="12"/>
      <c r="N26" s="122"/>
      <c r="O26" s="122"/>
      <c r="P26" s="122"/>
      <c r="Q26" s="122"/>
    </row>
    <row r="27" spans="1:17" ht="14.25" customHeight="1" x14ac:dyDescent="0.3">
      <c r="B27" s="23"/>
      <c r="D27" s="25"/>
      <c r="E27" s="25"/>
      <c r="M27" s="12"/>
      <c r="N27" s="122"/>
      <c r="O27" s="122"/>
      <c r="P27" s="122"/>
      <c r="Q27" s="122"/>
    </row>
    <row r="28" spans="1:17" ht="14.25" customHeight="1" x14ac:dyDescent="0.3">
      <c r="B28" s="23"/>
      <c r="D28" s="25"/>
      <c r="E28" s="25"/>
      <c r="M28" s="12"/>
      <c r="N28" s="122"/>
      <c r="O28" s="122"/>
      <c r="P28" s="122"/>
      <c r="Q28" s="122"/>
    </row>
    <row r="29" spans="1:17" ht="14.25" customHeight="1" x14ac:dyDescent="0.3">
      <c r="B29" s="23"/>
      <c r="D29" s="25"/>
      <c r="E29" s="25"/>
      <c r="M29" s="12"/>
      <c r="N29" s="122"/>
      <c r="O29" s="122"/>
      <c r="P29" s="122"/>
      <c r="Q29" s="122"/>
    </row>
    <row r="30" spans="1:17" ht="14.25" customHeight="1" x14ac:dyDescent="0.3">
      <c r="B30" s="23"/>
      <c r="D30" s="25"/>
      <c r="E30" s="25"/>
      <c r="M30" s="12"/>
      <c r="N30" s="122"/>
      <c r="O30" s="122"/>
      <c r="P30" s="122"/>
      <c r="Q30" s="122"/>
    </row>
    <row r="31" spans="1:17" ht="14.25" customHeight="1" x14ac:dyDescent="0.3">
      <c r="B31" s="23"/>
      <c r="D31" s="25"/>
      <c r="E31" s="25"/>
      <c r="M31" s="12"/>
      <c r="N31" s="122"/>
      <c r="O31" s="122"/>
      <c r="P31" s="122"/>
      <c r="Q31" s="122"/>
    </row>
    <row r="32" spans="1:17" ht="14.25" customHeight="1" x14ac:dyDescent="0.3">
      <c r="B32" s="23"/>
      <c r="D32" s="25"/>
      <c r="E32" s="25"/>
      <c r="M32" s="12"/>
      <c r="N32" s="122"/>
      <c r="O32" s="122"/>
      <c r="P32" s="122"/>
      <c r="Q32" s="122"/>
    </row>
    <row r="33" spans="2:17" ht="14.25" customHeight="1" x14ac:dyDescent="0.3">
      <c r="B33" s="23"/>
      <c r="D33" s="25"/>
      <c r="E33" s="25"/>
      <c r="M33" s="12"/>
      <c r="N33" s="122"/>
      <c r="O33" s="122"/>
      <c r="P33" s="122"/>
      <c r="Q33" s="122"/>
    </row>
    <row r="34" spans="2:17" ht="14.25" customHeight="1" x14ac:dyDescent="0.3">
      <c r="B34" s="23"/>
      <c r="D34" s="25"/>
      <c r="E34" s="25"/>
      <c r="M34" s="12"/>
      <c r="N34" s="122"/>
      <c r="O34" s="122"/>
      <c r="P34" s="122"/>
      <c r="Q34" s="122"/>
    </row>
    <row r="35" spans="2:17" ht="14.25" customHeight="1" x14ac:dyDescent="0.3">
      <c r="B35" s="23"/>
      <c r="D35" s="25"/>
      <c r="E35" s="25"/>
      <c r="M35" s="12"/>
      <c r="N35" s="122"/>
      <c r="O35" s="122"/>
      <c r="P35" s="122"/>
      <c r="Q35" s="122"/>
    </row>
    <row r="36" spans="2:17" ht="14.25" customHeight="1" x14ac:dyDescent="0.3">
      <c r="B36" s="23"/>
      <c r="D36" s="25"/>
      <c r="E36" s="25"/>
      <c r="M36" s="12"/>
      <c r="N36" s="122"/>
      <c r="O36" s="122"/>
      <c r="P36" s="122"/>
      <c r="Q36" s="122"/>
    </row>
    <row r="37" spans="2:17" ht="14.25" customHeight="1" x14ac:dyDescent="0.3">
      <c r="B37" s="23"/>
      <c r="D37" s="25"/>
      <c r="E37" s="25"/>
      <c r="M37" s="12"/>
      <c r="N37" s="122"/>
      <c r="O37" s="122"/>
      <c r="P37" s="122"/>
      <c r="Q37" s="122"/>
    </row>
    <row r="38" spans="2:17" ht="14.25" customHeight="1" x14ac:dyDescent="0.3">
      <c r="B38" s="23"/>
      <c r="D38" s="25"/>
      <c r="E38" s="25"/>
      <c r="M38" s="12"/>
      <c r="N38" s="122"/>
      <c r="O38" s="122"/>
      <c r="P38" s="122"/>
      <c r="Q38" s="122"/>
    </row>
    <row r="39" spans="2:17" ht="14.25" customHeight="1" x14ac:dyDescent="0.3">
      <c r="B39" s="23"/>
      <c r="D39" s="25"/>
      <c r="E39" s="25"/>
      <c r="M39" s="12"/>
      <c r="N39" s="122"/>
      <c r="O39" s="122"/>
      <c r="P39" s="122"/>
      <c r="Q39" s="122"/>
    </row>
    <row r="40" spans="2:17" ht="14.25" customHeight="1" x14ac:dyDescent="0.3">
      <c r="B40" s="23"/>
      <c r="D40" s="25"/>
      <c r="E40" s="25"/>
      <c r="M40" s="12"/>
      <c r="N40" s="122"/>
      <c r="O40" s="122"/>
      <c r="P40" s="122"/>
      <c r="Q40" s="122"/>
    </row>
    <row r="41" spans="2:17" ht="14.25" customHeight="1" x14ac:dyDescent="0.3">
      <c r="B41" s="23"/>
      <c r="D41" s="25"/>
      <c r="E41" s="25"/>
      <c r="M41" s="12"/>
      <c r="N41" s="122"/>
      <c r="O41" s="122"/>
      <c r="P41" s="122"/>
      <c r="Q41" s="122"/>
    </row>
    <row r="42" spans="2:17" ht="14.25" customHeight="1" x14ac:dyDescent="0.3">
      <c r="B42" s="23"/>
      <c r="D42" s="25"/>
      <c r="E42" s="25"/>
      <c r="M42" s="12"/>
      <c r="N42" s="122"/>
      <c r="O42" s="122"/>
      <c r="P42" s="122"/>
      <c r="Q42" s="122"/>
    </row>
    <row r="43" spans="2:17" ht="14.25" customHeight="1" x14ac:dyDescent="0.3">
      <c r="B43" s="23"/>
      <c r="D43" s="25"/>
      <c r="E43" s="25"/>
      <c r="M43" s="12"/>
      <c r="N43" s="122"/>
      <c r="O43" s="122"/>
      <c r="P43" s="122"/>
      <c r="Q43" s="122"/>
    </row>
    <row r="44" spans="2:17" ht="14.25" customHeight="1" x14ac:dyDescent="0.3">
      <c r="B44" s="23"/>
      <c r="D44" s="25"/>
      <c r="E44" s="25"/>
      <c r="M44" s="12"/>
      <c r="N44" s="122"/>
      <c r="O44" s="122"/>
      <c r="P44" s="122"/>
      <c r="Q44" s="122"/>
    </row>
    <row r="45" spans="2:17" ht="14.25" customHeight="1" x14ac:dyDescent="0.3">
      <c r="B45" s="23"/>
      <c r="D45" s="25"/>
      <c r="E45" s="25"/>
      <c r="M45" s="12"/>
      <c r="N45" s="122"/>
      <c r="O45" s="122"/>
      <c r="P45" s="122"/>
      <c r="Q45" s="122"/>
    </row>
    <row r="46" spans="2:17" ht="14.25" customHeight="1" x14ac:dyDescent="0.3">
      <c r="B46" s="23"/>
      <c r="D46" s="25"/>
      <c r="E46" s="25"/>
      <c r="M46" s="12"/>
      <c r="N46" s="122"/>
      <c r="O46" s="122"/>
      <c r="P46" s="122"/>
      <c r="Q46" s="122"/>
    </row>
    <row r="47" spans="2:17" ht="14.25" customHeight="1" x14ac:dyDescent="0.3">
      <c r="B47" s="23"/>
      <c r="D47" s="25"/>
      <c r="E47" s="25"/>
      <c r="M47" s="12"/>
      <c r="N47" s="122"/>
      <c r="O47" s="122"/>
      <c r="P47" s="122"/>
      <c r="Q47" s="122"/>
    </row>
    <row r="48" spans="2:17" ht="14.25" customHeight="1" x14ac:dyDescent="0.3">
      <c r="B48" s="23"/>
      <c r="D48" s="25"/>
      <c r="E48" s="25"/>
      <c r="M48" s="12"/>
      <c r="N48" s="122"/>
      <c r="O48" s="122"/>
      <c r="P48" s="122"/>
      <c r="Q48" s="122"/>
    </row>
    <row r="49" spans="2:17" ht="14.25" customHeight="1" x14ac:dyDescent="0.3">
      <c r="B49" s="23"/>
      <c r="D49" s="25"/>
      <c r="E49" s="25"/>
      <c r="M49" s="12"/>
      <c r="N49" s="122"/>
      <c r="O49" s="122"/>
      <c r="P49" s="122"/>
      <c r="Q49" s="122"/>
    </row>
    <row r="50" spans="2:17" ht="14.25" customHeight="1" x14ac:dyDescent="0.3">
      <c r="B50" s="23"/>
      <c r="D50" s="25"/>
      <c r="E50" s="25"/>
      <c r="M50" s="12"/>
      <c r="N50" s="122"/>
      <c r="O50" s="122"/>
      <c r="P50" s="122"/>
      <c r="Q50" s="122"/>
    </row>
    <row r="51" spans="2:17" ht="14.25" customHeight="1" x14ac:dyDescent="0.3">
      <c r="B51" s="23"/>
      <c r="D51" s="25"/>
      <c r="E51" s="25"/>
      <c r="M51" s="12"/>
      <c r="N51" s="122"/>
      <c r="O51" s="122"/>
      <c r="P51" s="122"/>
      <c r="Q51" s="122"/>
    </row>
    <row r="52" spans="2:17" ht="14.25" customHeight="1" x14ac:dyDescent="0.3">
      <c r="B52" s="23"/>
      <c r="D52" s="25"/>
      <c r="E52" s="25"/>
      <c r="M52" s="12"/>
      <c r="N52" s="122"/>
      <c r="O52" s="122"/>
      <c r="P52" s="122"/>
      <c r="Q52" s="122"/>
    </row>
    <row r="53" spans="2:17" ht="14.25" customHeight="1" x14ac:dyDescent="0.3">
      <c r="B53" s="23"/>
      <c r="D53" s="25"/>
      <c r="E53" s="25"/>
      <c r="M53" s="12"/>
      <c r="N53" s="122"/>
      <c r="O53" s="122"/>
      <c r="P53" s="122"/>
      <c r="Q53" s="122"/>
    </row>
    <row r="54" spans="2:17" ht="14.25" customHeight="1" x14ac:dyDescent="0.3">
      <c r="B54" s="23"/>
      <c r="D54" s="25"/>
      <c r="E54" s="25"/>
      <c r="M54" s="12"/>
      <c r="N54" s="122"/>
      <c r="O54" s="122"/>
      <c r="P54" s="122"/>
      <c r="Q54" s="122"/>
    </row>
    <row r="55" spans="2:17" ht="14.25" customHeight="1" x14ac:dyDescent="0.3">
      <c r="B55" s="23"/>
      <c r="D55" s="25"/>
      <c r="E55" s="25"/>
      <c r="M55" s="12"/>
      <c r="N55" s="122"/>
      <c r="O55" s="122"/>
      <c r="P55" s="122"/>
      <c r="Q55" s="122"/>
    </row>
    <row r="56" spans="2:17" ht="14.25" customHeight="1" x14ac:dyDescent="0.3">
      <c r="B56" s="23"/>
      <c r="D56" s="25"/>
      <c r="E56" s="25"/>
      <c r="M56" s="12"/>
      <c r="N56" s="122"/>
      <c r="O56" s="122"/>
      <c r="P56" s="122"/>
      <c r="Q56" s="122"/>
    </row>
    <row r="57" spans="2:17" ht="14.25" customHeight="1" x14ac:dyDescent="0.3">
      <c r="B57" s="23"/>
      <c r="D57" s="25"/>
      <c r="E57" s="25"/>
      <c r="M57" s="12"/>
      <c r="N57" s="122"/>
      <c r="O57" s="122"/>
      <c r="P57" s="122"/>
      <c r="Q57" s="122"/>
    </row>
    <row r="58" spans="2:17" ht="14.25" customHeight="1" x14ac:dyDescent="0.3">
      <c r="B58" s="23"/>
      <c r="D58" s="25"/>
      <c r="E58" s="25"/>
      <c r="M58" s="12"/>
      <c r="N58" s="122"/>
      <c r="O58" s="122"/>
      <c r="P58" s="122"/>
      <c r="Q58" s="122"/>
    </row>
    <row r="59" spans="2:17" ht="14.25" customHeight="1" x14ac:dyDescent="0.3">
      <c r="B59" s="23"/>
      <c r="D59" s="25"/>
      <c r="E59" s="25"/>
      <c r="M59" s="12"/>
      <c r="N59" s="122"/>
      <c r="O59" s="122"/>
      <c r="P59" s="122"/>
      <c r="Q59" s="122"/>
    </row>
    <row r="60" spans="2:17" ht="14.25" customHeight="1" x14ac:dyDescent="0.3">
      <c r="B60" s="23"/>
      <c r="D60" s="25"/>
      <c r="E60" s="25"/>
      <c r="M60" s="12"/>
      <c r="N60" s="122"/>
      <c r="O60" s="122"/>
      <c r="P60" s="122"/>
      <c r="Q60" s="122"/>
    </row>
    <row r="61" spans="2:17" ht="14.25" customHeight="1" x14ac:dyDescent="0.3">
      <c r="B61" s="23"/>
      <c r="D61" s="25"/>
      <c r="E61" s="25"/>
      <c r="M61" s="12"/>
      <c r="N61" s="122"/>
      <c r="O61" s="122"/>
      <c r="P61" s="122"/>
      <c r="Q61" s="122"/>
    </row>
    <row r="62" spans="2:17" ht="14.25" customHeight="1" x14ac:dyDescent="0.3">
      <c r="B62" s="23"/>
      <c r="D62" s="25"/>
      <c r="E62" s="25"/>
      <c r="M62" s="12"/>
      <c r="N62" s="122"/>
      <c r="O62" s="122"/>
      <c r="P62" s="122"/>
      <c r="Q62" s="122"/>
    </row>
    <row r="63" spans="2:17" ht="14.25" customHeight="1" x14ac:dyDescent="0.3">
      <c r="B63" s="23"/>
      <c r="D63" s="25"/>
      <c r="E63" s="25"/>
      <c r="M63" s="12"/>
      <c r="N63" s="122"/>
      <c r="O63" s="122"/>
      <c r="P63" s="122"/>
      <c r="Q63" s="122"/>
    </row>
    <row r="64" spans="2:17" ht="14.25" customHeight="1" x14ac:dyDescent="0.3">
      <c r="B64" s="23"/>
      <c r="D64" s="25"/>
      <c r="E64" s="25"/>
      <c r="M64" s="12"/>
      <c r="N64" s="122"/>
      <c r="O64" s="122"/>
      <c r="P64" s="122"/>
      <c r="Q64" s="122"/>
    </row>
    <row r="65" spans="2:17" ht="14.25" customHeight="1" x14ac:dyDescent="0.3">
      <c r="B65" s="23"/>
      <c r="D65" s="25"/>
      <c r="E65" s="25"/>
      <c r="M65" s="12"/>
      <c r="N65" s="122"/>
      <c r="O65" s="122"/>
      <c r="P65" s="122"/>
      <c r="Q65" s="122"/>
    </row>
    <row r="66" spans="2:17" ht="14.25" customHeight="1" x14ac:dyDescent="0.3">
      <c r="B66" s="23"/>
      <c r="D66" s="25"/>
      <c r="E66" s="25"/>
      <c r="M66" s="12"/>
      <c r="N66" s="122"/>
      <c r="O66" s="122"/>
      <c r="P66" s="122"/>
      <c r="Q66" s="122"/>
    </row>
    <row r="67" spans="2:17" ht="14.25" customHeight="1" x14ac:dyDescent="0.3">
      <c r="B67" s="23"/>
      <c r="D67" s="25"/>
      <c r="E67" s="25"/>
      <c r="M67" s="12"/>
      <c r="N67" s="122"/>
      <c r="O67" s="122"/>
      <c r="P67" s="122"/>
      <c r="Q67" s="122"/>
    </row>
    <row r="68" spans="2:17" ht="14.25" customHeight="1" x14ac:dyDescent="0.3">
      <c r="B68" s="23"/>
      <c r="D68" s="25"/>
      <c r="E68" s="25"/>
      <c r="M68" s="12"/>
      <c r="N68" s="122"/>
      <c r="O68" s="122"/>
      <c r="P68" s="122"/>
      <c r="Q68" s="122"/>
    </row>
    <row r="69" spans="2:17" ht="14.25" customHeight="1" x14ac:dyDescent="0.3">
      <c r="B69" s="23"/>
      <c r="D69" s="25"/>
      <c r="E69" s="25"/>
      <c r="M69" s="12"/>
      <c r="N69" s="122"/>
      <c r="O69" s="122"/>
      <c r="P69" s="122"/>
      <c r="Q69" s="122"/>
    </row>
    <row r="70" spans="2:17" ht="14.25" customHeight="1" x14ac:dyDescent="0.3">
      <c r="B70" s="23"/>
      <c r="D70" s="25"/>
      <c r="E70" s="25"/>
      <c r="M70" s="12"/>
      <c r="N70" s="122"/>
      <c r="O70" s="122"/>
      <c r="P70" s="122"/>
      <c r="Q70" s="122"/>
    </row>
    <row r="71" spans="2:17" ht="14.25" customHeight="1" x14ac:dyDescent="0.3">
      <c r="B71" s="23"/>
      <c r="D71" s="25"/>
      <c r="E71" s="25"/>
      <c r="M71" s="12"/>
      <c r="N71" s="122"/>
      <c r="O71" s="122"/>
      <c r="P71" s="122"/>
      <c r="Q71" s="122"/>
    </row>
    <row r="72" spans="2:17" ht="14.25" customHeight="1" x14ac:dyDescent="0.3">
      <c r="B72" s="23"/>
      <c r="D72" s="25"/>
      <c r="E72" s="25"/>
      <c r="M72" s="12"/>
      <c r="N72" s="122"/>
      <c r="O72" s="122"/>
      <c r="P72" s="122"/>
      <c r="Q72" s="122"/>
    </row>
    <row r="73" spans="2:17" ht="14.25" customHeight="1" x14ac:dyDescent="0.3">
      <c r="B73" s="23"/>
      <c r="D73" s="25"/>
      <c r="E73" s="25"/>
      <c r="M73" s="12"/>
      <c r="N73" s="122"/>
      <c r="O73" s="122"/>
      <c r="P73" s="122"/>
      <c r="Q73" s="122"/>
    </row>
    <row r="74" spans="2:17" ht="14.25" customHeight="1" x14ac:dyDescent="0.3">
      <c r="B74" s="23"/>
      <c r="D74" s="25"/>
      <c r="E74" s="25"/>
      <c r="M74" s="12"/>
      <c r="N74" s="122"/>
      <c r="O74" s="122"/>
      <c r="P74" s="122"/>
      <c r="Q74" s="122"/>
    </row>
    <row r="75" spans="2:17" ht="14.25" customHeight="1" x14ac:dyDescent="0.3">
      <c r="B75" s="23"/>
      <c r="D75" s="25"/>
      <c r="E75" s="25"/>
      <c r="M75" s="12"/>
      <c r="N75" s="122"/>
      <c r="O75" s="122"/>
      <c r="P75" s="122"/>
      <c r="Q75" s="122"/>
    </row>
    <row r="76" spans="2:17" ht="14.25" customHeight="1" x14ac:dyDescent="0.3">
      <c r="B76" s="23"/>
      <c r="D76" s="25"/>
      <c r="E76" s="25"/>
      <c r="M76" s="12"/>
      <c r="N76" s="122"/>
      <c r="O76" s="122"/>
      <c r="P76" s="122"/>
      <c r="Q76" s="122"/>
    </row>
    <row r="77" spans="2:17" ht="14.25" customHeight="1" x14ac:dyDescent="0.3">
      <c r="B77" s="23"/>
      <c r="D77" s="25"/>
      <c r="E77" s="25"/>
      <c r="M77" s="12"/>
      <c r="N77" s="122"/>
      <c r="O77" s="122"/>
      <c r="P77" s="122"/>
      <c r="Q77" s="122"/>
    </row>
    <row r="78" spans="2:17" ht="14.25" customHeight="1" x14ac:dyDescent="0.3">
      <c r="B78" s="23"/>
      <c r="D78" s="25"/>
      <c r="E78" s="25"/>
      <c r="M78" s="12"/>
      <c r="N78" s="122"/>
      <c r="O78" s="122"/>
      <c r="P78" s="122"/>
      <c r="Q78" s="122"/>
    </row>
    <row r="79" spans="2:17" ht="14.25" customHeight="1" x14ac:dyDescent="0.3">
      <c r="B79" s="23"/>
      <c r="D79" s="25"/>
      <c r="E79" s="25"/>
      <c r="M79" s="12"/>
      <c r="N79" s="122"/>
      <c r="O79" s="122"/>
      <c r="P79" s="122"/>
      <c r="Q79" s="122"/>
    </row>
    <row r="80" spans="2:17" ht="14.25" customHeight="1" x14ac:dyDescent="0.3">
      <c r="B80" s="23"/>
      <c r="D80" s="25"/>
      <c r="E80" s="25"/>
      <c r="M80" s="12"/>
      <c r="N80" s="122"/>
      <c r="O80" s="122"/>
      <c r="P80" s="122"/>
      <c r="Q80" s="122"/>
    </row>
    <row r="81" spans="2:17" ht="14.25" customHeight="1" x14ac:dyDescent="0.3">
      <c r="B81" s="23"/>
      <c r="D81" s="25"/>
      <c r="E81" s="25"/>
      <c r="M81" s="12"/>
      <c r="N81" s="122"/>
      <c r="O81" s="122"/>
      <c r="P81" s="122"/>
      <c r="Q81" s="122"/>
    </row>
    <row r="82" spans="2:17" ht="14.25" customHeight="1" x14ac:dyDescent="0.3">
      <c r="B82" s="23"/>
      <c r="D82" s="25"/>
      <c r="E82" s="25"/>
      <c r="M82" s="12"/>
      <c r="N82" s="122"/>
      <c r="O82" s="122"/>
      <c r="P82" s="122"/>
      <c r="Q82" s="122"/>
    </row>
    <row r="83" spans="2:17" ht="14.25" customHeight="1" x14ac:dyDescent="0.3">
      <c r="B83" s="23"/>
      <c r="D83" s="25"/>
      <c r="E83" s="25"/>
      <c r="M83" s="12"/>
      <c r="N83" s="122"/>
      <c r="O83" s="122"/>
      <c r="P83" s="122"/>
      <c r="Q83" s="122"/>
    </row>
    <row r="84" spans="2:17" ht="14.25" customHeight="1" x14ac:dyDescent="0.3">
      <c r="B84" s="23"/>
      <c r="D84" s="25"/>
      <c r="E84" s="25"/>
      <c r="M84" s="12"/>
      <c r="N84" s="122"/>
      <c r="O84" s="122"/>
      <c r="P84" s="122"/>
      <c r="Q84" s="122"/>
    </row>
    <row r="85" spans="2:17" ht="14.25" customHeight="1" x14ac:dyDescent="0.3">
      <c r="B85" s="23"/>
      <c r="D85" s="25"/>
      <c r="E85" s="25"/>
      <c r="M85" s="12"/>
      <c r="N85" s="122"/>
      <c r="O85" s="122"/>
      <c r="P85" s="122"/>
      <c r="Q85" s="122"/>
    </row>
    <row r="86" spans="2:17" ht="14.25" customHeight="1" x14ac:dyDescent="0.3">
      <c r="B86" s="23"/>
      <c r="D86" s="25"/>
      <c r="E86" s="25"/>
      <c r="M86" s="12"/>
      <c r="N86" s="122"/>
      <c r="O86" s="122"/>
      <c r="P86" s="122"/>
      <c r="Q86" s="122"/>
    </row>
    <row r="87" spans="2:17" ht="14.25" customHeight="1" x14ac:dyDescent="0.3">
      <c r="B87" s="23"/>
      <c r="D87" s="25"/>
      <c r="E87" s="25"/>
      <c r="M87" s="12"/>
      <c r="N87" s="122"/>
      <c r="O87" s="122"/>
      <c r="P87" s="122"/>
      <c r="Q87" s="122"/>
    </row>
    <row r="88" spans="2:17" ht="14.25" customHeight="1" x14ac:dyDescent="0.3">
      <c r="B88" s="23"/>
      <c r="D88" s="25"/>
      <c r="E88" s="25"/>
      <c r="M88" s="12"/>
      <c r="N88" s="122"/>
      <c r="O88" s="122"/>
      <c r="P88" s="122"/>
      <c r="Q88" s="122"/>
    </row>
    <row r="89" spans="2:17" ht="14.25" customHeight="1" x14ac:dyDescent="0.3">
      <c r="B89" s="23"/>
      <c r="D89" s="25"/>
      <c r="E89" s="25"/>
      <c r="M89" s="12"/>
      <c r="N89" s="122"/>
      <c r="O89" s="122"/>
      <c r="P89" s="122"/>
      <c r="Q89" s="122"/>
    </row>
    <row r="90" spans="2:17" ht="14.25" customHeight="1" x14ac:dyDescent="0.3">
      <c r="B90" s="23"/>
      <c r="D90" s="25"/>
      <c r="E90" s="25"/>
      <c r="M90" s="12"/>
      <c r="N90" s="122"/>
      <c r="O90" s="122"/>
      <c r="P90" s="122"/>
      <c r="Q90" s="122"/>
    </row>
    <row r="91" spans="2:17" ht="14.25" customHeight="1" x14ac:dyDescent="0.3">
      <c r="B91" s="23"/>
      <c r="D91" s="25"/>
      <c r="E91" s="25"/>
      <c r="M91" s="12"/>
      <c r="N91" s="122"/>
      <c r="O91" s="122"/>
      <c r="P91" s="122"/>
      <c r="Q91" s="122"/>
    </row>
    <row r="92" spans="2:17" ht="14.25" customHeight="1" x14ac:dyDescent="0.3">
      <c r="B92" s="23"/>
      <c r="D92" s="25"/>
      <c r="E92" s="25"/>
      <c r="M92" s="12"/>
      <c r="N92" s="122"/>
      <c r="O92" s="122"/>
      <c r="P92" s="122"/>
      <c r="Q92" s="122"/>
    </row>
    <row r="93" spans="2:17" ht="14.25" customHeight="1" x14ac:dyDescent="0.3">
      <c r="B93" s="23"/>
      <c r="D93" s="25"/>
      <c r="E93" s="25"/>
      <c r="M93" s="12"/>
      <c r="N93" s="122"/>
      <c r="O93" s="122"/>
      <c r="P93" s="122"/>
      <c r="Q93" s="122"/>
    </row>
    <row r="94" spans="2:17" ht="14.25" customHeight="1" x14ac:dyDescent="0.3">
      <c r="B94" s="23"/>
      <c r="D94" s="25"/>
      <c r="E94" s="25"/>
      <c r="M94" s="12"/>
      <c r="N94" s="122"/>
      <c r="O94" s="122"/>
      <c r="P94" s="122"/>
      <c r="Q94" s="122"/>
    </row>
    <row r="95" spans="2:17" ht="14.25" customHeight="1" x14ac:dyDescent="0.3">
      <c r="B95" s="23"/>
      <c r="D95" s="25"/>
      <c r="E95" s="25"/>
      <c r="M95" s="12"/>
      <c r="N95" s="122"/>
      <c r="O95" s="122"/>
      <c r="P95" s="122"/>
      <c r="Q95" s="122"/>
    </row>
    <row r="96" spans="2:17" ht="14.25" customHeight="1" x14ac:dyDescent="0.3">
      <c r="B96" s="23"/>
      <c r="D96" s="25"/>
      <c r="E96" s="25"/>
      <c r="M96" s="12"/>
      <c r="N96" s="122"/>
      <c r="O96" s="122"/>
      <c r="P96" s="122"/>
      <c r="Q96" s="122"/>
    </row>
    <row r="97" spans="2:17" ht="14.25" customHeight="1" x14ac:dyDescent="0.3">
      <c r="B97" s="23"/>
      <c r="D97" s="25"/>
      <c r="E97" s="25"/>
      <c r="M97" s="12"/>
      <c r="N97" s="122"/>
      <c r="O97" s="122"/>
      <c r="P97" s="122"/>
      <c r="Q97" s="122"/>
    </row>
    <row r="98" spans="2:17" ht="14.25" customHeight="1" x14ac:dyDescent="0.3">
      <c r="B98" s="23"/>
      <c r="D98" s="25"/>
      <c r="E98" s="25"/>
      <c r="M98" s="12"/>
      <c r="N98" s="122"/>
      <c r="O98" s="122"/>
      <c r="P98" s="122"/>
      <c r="Q98" s="122"/>
    </row>
    <row r="99" spans="2:17" ht="14.25" customHeight="1" x14ac:dyDescent="0.3">
      <c r="B99" s="23"/>
      <c r="D99" s="25"/>
      <c r="E99" s="25"/>
      <c r="M99" s="12"/>
      <c r="N99" s="122"/>
      <c r="O99" s="122"/>
      <c r="P99" s="122"/>
      <c r="Q99" s="122"/>
    </row>
    <row r="100" spans="2:17" ht="14.25" customHeight="1" x14ac:dyDescent="0.3">
      <c r="B100" s="23"/>
      <c r="D100" s="25"/>
      <c r="E100" s="25"/>
      <c r="M100" s="12"/>
      <c r="N100" s="122"/>
      <c r="O100" s="122"/>
      <c r="P100" s="122"/>
      <c r="Q100" s="122"/>
    </row>
    <row r="101" spans="2:17" ht="14.25" customHeight="1" x14ac:dyDescent="0.3">
      <c r="B101" s="23"/>
      <c r="D101" s="25"/>
      <c r="E101" s="25"/>
      <c r="M101" s="12"/>
      <c r="N101" s="122"/>
      <c r="O101" s="122"/>
      <c r="P101" s="122"/>
      <c r="Q101" s="122"/>
    </row>
    <row r="102" spans="2:17" ht="14.25" customHeight="1" x14ac:dyDescent="0.3">
      <c r="B102" s="23"/>
      <c r="D102" s="25"/>
      <c r="E102" s="25"/>
      <c r="M102" s="12"/>
      <c r="N102" s="122"/>
      <c r="O102" s="122"/>
      <c r="P102" s="122"/>
      <c r="Q102" s="122"/>
    </row>
    <row r="103" spans="2:17" ht="14.25" customHeight="1" x14ac:dyDescent="0.3">
      <c r="B103" s="23"/>
      <c r="D103" s="25"/>
      <c r="E103" s="25"/>
      <c r="M103" s="12"/>
      <c r="N103" s="122"/>
      <c r="O103" s="122"/>
      <c r="P103" s="122"/>
      <c r="Q103" s="122"/>
    </row>
    <row r="104" spans="2:17" ht="14.25" customHeight="1" x14ac:dyDescent="0.3">
      <c r="B104" s="23"/>
      <c r="D104" s="25"/>
      <c r="E104" s="25"/>
      <c r="M104" s="12"/>
      <c r="N104" s="122"/>
      <c r="O104" s="122"/>
      <c r="P104" s="122"/>
      <c r="Q104" s="122"/>
    </row>
    <row r="105" spans="2:17" ht="14.25" customHeight="1" x14ac:dyDescent="0.3">
      <c r="B105" s="23"/>
      <c r="D105" s="25"/>
      <c r="E105" s="25"/>
      <c r="M105" s="12"/>
      <c r="N105" s="122"/>
      <c r="O105" s="122"/>
      <c r="P105" s="122"/>
      <c r="Q105" s="122"/>
    </row>
    <row r="106" spans="2:17" ht="14.25" customHeight="1" x14ac:dyDescent="0.3">
      <c r="B106" s="23"/>
      <c r="D106" s="25"/>
      <c r="E106" s="25"/>
      <c r="M106" s="12"/>
      <c r="N106" s="122"/>
      <c r="O106" s="122"/>
      <c r="P106" s="122"/>
      <c r="Q106" s="122"/>
    </row>
    <row r="107" spans="2:17" ht="14.25" customHeight="1" x14ac:dyDescent="0.3">
      <c r="B107" s="23"/>
      <c r="D107" s="25"/>
      <c r="E107" s="25"/>
      <c r="M107" s="12"/>
      <c r="N107" s="122"/>
      <c r="O107" s="122"/>
      <c r="P107" s="122"/>
      <c r="Q107" s="122"/>
    </row>
    <row r="108" spans="2:17" ht="14.25" customHeight="1" x14ac:dyDescent="0.3">
      <c r="B108" s="23"/>
      <c r="D108" s="25"/>
      <c r="E108" s="25"/>
      <c r="M108" s="12"/>
      <c r="N108" s="122"/>
      <c r="O108" s="122"/>
      <c r="P108" s="122"/>
      <c r="Q108" s="122"/>
    </row>
    <row r="109" spans="2:17" ht="14.25" customHeight="1" x14ac:dyDescent="0.3">
      <c r="B109" s="23"/>
      <c r="D109" s="25"/>
      <c r="E109" s="25"/>
      <c r="M109" s="12"/>
      <c r="N109" s="122"/>
      <c r="O109" s="122"/>
      <c r="P109" s="122"/>
      <c r="Q109" s="122"/>
    </row>
    <row r="110" spans="2:17" ht="14.25" customHeight="1" x14ac:dyDescent="0.3">
      <c r="B110" s="23"/>
      <c r="D110" s="25"/>
      <c r="E110" s="25"/>
      <c r="M110" s="12"/>
      <c r="N110" s="122"/>
      <c r="O110" s="122"/>
      <c r="P110" s="122"/>
      <c r="Q110" s="122"/>
    </row>
    <row r="111" spans="2:17" ht="14.25" customHeight="1" x14ac:dyDescent="0.3">
      <c r="B111" s="23"/>
      <c r="D111" s="25"/>
      <c r="E111" s="25"/>
      <c r="M111" s="12"/>
      <c r="N111" s="122"/>
      <c r="O111" s="122"/>
      <c r="P111" s="122"/>
      <c r="Q111" s="122"/>
    </row>
    <row r="112" spans="2:17" ht="14.25" customHeight="1" x14ac:dyDescent="0.3">
      <c r="B112" s="23"/>
      <c r="D112" s="25"/>
      <c r="E112" s="25"/>
      <c r="M112" s="12"/>
      <c r="N112" s="122"/>
      <c r="O112" s="122"/>
      <c r="P112" s="122"/>
      <c r="Q112" s="122"/>
    </row>
    <row r="113" spans="2:17" ht="14.25" customHeight="1" x14ac:dyDescent="0.3">
      <c r="B113" s="23"/>
      <c r="D113" s="25"/>
      <c r="E113" s="25"/>
      <c r="M113" s="12"/>
      <c r="N113" s="122"/>
      <c r="O113" s="122"/>
      <c r="P113" s="122"/>
      <c r="Q113" s="122"/>
    </row>
    <row r="114" spans="2:17" ht="14.25" customHeight="1" x14ac:dyDescent="0.3">
      <c r="B114" s="23"/>
      <c r="D114" s="25"/>
      <c r="E114" s="25"/>
      <c r="M114" s="12"/>
      <c r="N114" s="122"/>
      <c r="O114" s="122"/>
      <c r="P114" s="122"/>
      <c r="Q114" s="122"/>
    </row>
    <row r="115" spans="2:17" ht="14.25" customHeight="1" x14ac:dyDescent="0.3">
      <c r="B115" s="23"/>
      <c r="D115" s="25"/>
      <c r="E115" s="25"/>
      <c r="M115" s="12"/>
      <c r="N115" s="122"/>
      <c r="O115" s="122"/>
      <c r="P115" s="122"/>
      <c r="Q115" s="122"/>
    </row>
    <row r="116" spans="2:17" ht="14.25" customHeight="1" x14ac:dyDescent="0.3">
      <c r="B116" s="23"/>
      <c r="D116" s="25"/>
      <c r="E116" s="25"/>
      <c r="M116" s="12"/>
      <c r="N116" s="122"/>
      <c r="O116" s="122"/>
      <c r="P116" s="122"/>
      <c r="Q116" s="122"/>
    </row>
    <row r="117" spans="2:17" ht="14.25" customHeight="1" x14ac:dyDescent="0.3">
      <c r="B117" s="23"/>
      <c r="D117" s="25"/>
      <c r="E117" s="25"/>
      <c r="M117" s="12"/>
      <c r="N117" s="122"/>
      <c r="O117" s="122"/>
      <c r="P117" s="122"/>
      <c r="Q117" s="122"/>
    </row>
    <row r="118" spans="2:17" ht="14.25" customHeight="1" x14ac:dyDescent="0.3">
      <c r="B118" s="23"/>
      <c r="D118" s="25"/>
      <c r="E118" s="25"/>
      <c r="M118" s="12"/>
      <c r="N118" s="122"/>
      <c r="O118" s="122"/>
      <c r="P118" s="122"/>
      <c r="Q118" s="122"/>
    </row>
    <row r="119" spans="2:17" ht="14.25" customHeight="1" x14ac:dyDescent="0.3">
      <c r="B119" s="23"/>
      <c r="D119" s="25"/>
      <c r="E119" s="25"/>
      <c r="M119" s="12"/>
      <c r="N119" s="122"/>
      <c r="O119" s="122"/>
      <c r="P119" s="122"/>
      <c r="Q119" s="122"/>
    </row>
    <row r="120" spans="2:17" ht="14.25" customHeight="1" x14ac:dyDescent="0.3">
      <c r="B120" s="23"/>
      <c r="D120" s="25"/>
      <c r="E120" s="25"/>
      <c r="M120" s="12"/>
      <c r="N120" s="122"/>
      <c r="O120" s="122"/>
      <c r="P120" s="122"/>
      <c r="Q120" s="122"/>
    </row>
    <row r="121" spans="2:17" ht="14.25" customHeight="1" x14ac:dyDescent="0.3">
      <c r="B121" s="23"/>
      <c r="D121" s="25"/>
      <c r="E121" s="25"/>
      <c r="M121" s="12"/>
      <c r="N121" s="122"/>
      <c r="O121" s="122"/>
      <c r="P121" s="122"/>
      <c r="Q121" s="122"/>
    </row>
    <row r="122" spans="2:17" ht="14.25" customHeight="1" x14ac:dyDescent="0.3">
      <c r="B122" s="23"/>
      <c r="D122" s="25"/>
      <c r="E122" s="25"/>
      <c r="M122" s="12"/>
      <c r="N122" s="122"/>
      <c r="O122" s="122"/>
      <c r="P122" s="122"/>
      <c r="Q122" s="122"/>
    </row>
    <row r="123" spans="2:17" ht="14.25" customHeight="1" x14ac:dyDescent="0.3">
      <c r="B123" s="23"/>
      <c r="D123" s="25"/>
      <c r="E123" s="25"/>
      <c r="M123" s="12"/>
      <c r="N123" s="122"/>
      <c r="O123" s="122"/>
      <c r="P123" s="122"/>
      <c r="Q123" s="122"/>
    </row>
    <row r="124" spans="2:17" ht="14.25" customHeight="1" x14ac:dyDescent="0.3">
      <c r="B124" s="23"/>
      <c r="D124" s="25"/>
      <c r="E124" s="25"/>
      <c r="M124" s="12"/>
      <c r="N124" s="122"/>
      <c r="O124" s="122"/>
      <c r="P124" s="122"/>
      <c r="Q124" s="122"/>
    </row>
    <row r="125" spans="2:17" ht="14.25" customHeight="1" x14ac:dyDescent="0.3">
      <c r="B125" s="23"/>
      <c r="D125" s="25"/>
      <c r="E125" s="25"/>
      <c r="M125" s="12"/>
      <c r="N125" s="122"/>
      <c r="O125" s="122"/>
      <c r="P125" s="122"/>
      <c r="Q125" s="122"/>
    </row>
    <row r="126" spans="2:17" ht="14.25" customHeight="1" x14ac:dyDescent="0.3">
      <c r="B126" s="23"/>
      <c r="D126" s="25"/>
      <c r="E126" s="25"/>
      <c r="M126" s="12"/>
      <c r="N126" s="122"/>
      <c r="O126" s="122"/>
      <c r="P126" s="122"/>
      <c r="Q126" s="122"/>
    </row>
    <row r="127" spans="2:17" ht="14.25" customHeight="1" x14ac:dyDescent="0.3">
      <c r="B127" s="23"/>
      <c r="D127" s="25"/>
      <c r="E127" s="25"/>
      <c r="M127" s="12"/>
      <c r="N127" s="122"/>
      <c r="O127" s="122"/>
      <c r="P127" s="122"/>
      <c r="Q127" s="122"/>
    </row>
    <row r="128" spans="2:17" ht="14.25" customHeight="1" x14ac:dyDescent="0.3">
      <c r="B128" s="23"/>
      <c r="D128" s="25"/>
      <c r="E128" s="25"/>
      <c r="M128" s="12"/>
      <c r="N128" s="122"/>
      <c r="O128" s="122"/>
      <c r="P128" s="122"/>
      <c r="Q128" s="122"/>
    </row>
    <row r="129" spans="2:17" ht="14.25" customHeight="1" x14ac:dyDescent="0.3">
      <c r="B129" s="23"/>
      <c r="D129" s="25"/>
      <c r="E129" s="25"/>
      <c r="M129" s="12"/>
      <c r="N129" s="122"/>
      <c r="O129" s="122"/>
      <c r="P129" s="122"/>
      <c r="Q129" s="122"/>
    </row>
    <row r="130" spans="2:17" ht="14.25" customHeight="1" x14ac:dyDescent="0.3">
      <c r="B130" s="23"/>
      <c r="D130" s="25"/>
      <c r="E130" s="25"/>
      <c r="M130" s="12"/>
      <c r="N130" s="122"/>
      <c r="O130" s="122"/>
      <c r="P130" s="122"/>
      <c r="Q130" s="122"/>
    </row>
    <row r="131" spans="2:17" ht="14.25" customHeight="1" x14ac:dyDescent="0.3">
      <c r="B131" s="23"/>
      <c r="D131" s="25"/>
      <c r="E131" s="25"/>
      <c r="M131" s="12"/>
      <c r="N131" s="122"/>
      <c r="O131" s="122"/>
      <c r="P131" s="122"/>
      <c r="Q131" s="122"/>
    </row>
    <row r="132" spans="2:17" ht="14.25" customHeight="1" x14ac:dyDescent="0.3">
      <c r="B132" s="23"/>
      <c r="D132" s="25"/>
      <c r="E132" s="25"/>
      <c r="M132" s="12"/>
      <c r="N132" s="122"/>
      <c r="O132" s="122"/>
      <c r="P132" s="122"/>
      <c r="Q132" s="122"/>
    </row>
    <row r="133" spans="2:17" ht="14.25" customHeight="1" x14ac:dyDescent="0.3">
      <c r="B133" s="23"/>
      <c r="D133" s="25"/>
      <c r="E133" s="25"/>
      <c r="M133" s="12"/>
      <c r="N133" s="122"/>
      <c r="O133" s="122"/>
      <c r="P133" s="122"/>
      <c r="Q133" s="122"/>
    </row>
    <row r="134" spans="2:17" ht="14.25" customHeight="1" x14ac:dyDescent="0.3">
      <c r="B134" s="23"/>
      <c r="D134" s="25"/>
      <c r="E134" s="25"/>
      <c r="M134" s="12"/>
      <c r="N134" s="122"/>
      <c r="O134" s="122"/>
      <c r="P134" s="122"/>
      <c r="Q134" s="122"/>
    </row>
    <row r="135" spans="2:17" ht="14.25" customHeight="1" x14ac:dyDescent="0.3">
      <c r="B135" s="23"/>
      <c r="D135" s="25"/>
      <c r="E135" s="25"/>
      <c r="M135" s="12"/>
      <c r="N135" s="122"/>
      <c r="O135" s="122"/>
      <c r="P135" s="122"/>
      <c r="Q135" s="122"/>
    </row>
    <row r="136" spans="2:17" ht="14.25" customHeight="1" x14ac:dyDescent="0.3">
      <c r="B136" s="23"/>
      <c r="D136" s="25"/>
      <c r="E136" s="25"/>
      <c r="M136" s="12"/>
      <c r="N136" s="122"/>
      <c r="O136" s="122"/>
      <c r="P136" s="122"/>
      <c r="Q136" s="122"/>
    </row>
    <row r="137" spans="2:17" ht="14.25" customHeight="1" x14ac:dyDescent="0.3">
      <c r="B137" s="23"/>
      <c r="D137" s="25"/>
      <c r="E137" s="25"/>
      <c r="M137" s="12"/>
      <c r="N137" s="122"/>
      <c r="O137" s="122"/>
      <c r="P137" s="122"/>
      <c r="Q137" s="122"/>
    </row>
    <row r="138" spans="2:17" ht="14.25" customHeight="1" x14ac:dyDescent="0.3">
      <c r="B138" s="23"/>
      <c r="D138" s="25"/>
      <c r="E138" s="25"/>
      <c r="M138" s="12"/>
      <c r="N138" s="122"/>
      <c r="O138" s="122"/>
      <c r="P138" s="122"/>
      <c r="Q138" s="122"/>
    </row>
    <row r="139" spans="2:17" ht="14.25" customHeight="1" x14ac:dyDescent="0.3">
      <c r="B139" s="23"/>
      <c r="D139" s="25"/>
      <c r="E139" s="25"/>
      <c r="M139" s="12"/>
      <c r="N139" s="122"/>
      <c r="O139" s="122"/>
      <c r="P139" s="122"/>
      <c r="Q139" s="122"/>
    </row>
    <row r="140" spans="2:17" ht="14.25" customHeight="1" x14ac:dyDescent="0.3">
      <c r="B140" s="23"/>
      <c r="D140" s="25"/>
      <c r="E140" s="25"/>
      <c r="M140" s="12"/>
      <c r="N140" s="122"/>
      <c r="O140" s="122"/>
      <c r="P140" s="122"/>
      <c r="Q140" s="122"/>
    </row>
    <row r="141" spans="2:17" ht="14.25" customHeight="1" x14ac:dyDescent="0.3">
      <c r="B141" s="23"/>
      <c r="D141" s="25"/>
      <c r="E141" s="25"/>
      <c r="M141" s="12"/>
      <c r="N141" s="122"/>
      <c r="O141" s="122"/>
      <c r="P141" s="122"/>
      <c r="Q141" s="122"/>
    </row>
    <row r="142" spans="2:17" ht="14.25" customHeight="1" x14ac:dyDescent="0.3">
      <c r="B142" s="23"/>
      <c r="D142" s="25"/>
      <c r="E142" s="25"/>
      <c r="M142" s="12"/>
      <c r="N142" s="122"/>
      <c r="O142" s="122"/>
      <c r="P142" s="122"/>
      <c r="Q142" s="122"/>
    </row>
    <row r="143" spans="2:17" ht="14.25" customHeight="1" x14ac:dyDescent="0.3">
      <c r="B143" s="23"/>
      <c r="D143" s="25"/>
      <c r="E143" s="25"/>
      <c r="M143" s="12"/>
      <c r="N143" s="122"/>
      <c r="O143" s="122"/>
      <c r="P143" s="122"/>
      <c r="Q143" s="122"/>
    </row>
    <row r="144" spans="2:17" ht="14.25" customHeight="1" x14ac:dyDescent="0.3">
      <c r="B144" s="23"/>
      <c r="D144" s="25"/>
      <c r="E144" s="25"/>
      <c r="M144" s="12"/>
      <c r="N144" s="122"/>
      <c r="O144" s="122"/>
      <c r="P144" s="122"/>
      <c r="Q144" s="122"/>
    </row>
    <row r="145" spans="2:17" ht="14.25" customHeight="1" x14ac:dyDescent="0.3">
      <c r="B145" s="23"/>
      <c r="D145" s="25"/>
      <c r="E145" s="25"/>
      <c r="M145" s="12"/>
      <c r="N145" s="122"/>
      <c r="O145" s="122"/>
      <c r="P145" s="122"/>
      <c r="Q145" s="122"/>
    </row>
    <row r="146" spans="2:17" ht="14.25" customHeight="1" x14ac:dyDescent="0.3">
      <c r="B146" s="23"/>
      <c r="D146" s="25"/>
      <c r="E146" s="25"/>
      <c r="M146" s="12"/>
      <c r="N146" s="122"/>
      <c r="O146" s="122"/>
      <c r="P146" s="122"/>
      <c r="Q146" s="122"/>
    </row>
    <row r="147" spans="2:17" ht="14.25" customHeight="1" x14ac:dyDescent="0.3">
      <c r="B147" s="23"/>
      <c r="D147" s="25"/>
      <c r="E147" s="25"/>
      <c r="M147" s="12"/>
      <c r="N147" s="122"/>
      <c r="O147" s="122"/>
      <c r="P147" s="122"/>
      <c r="Q147" s="122"/>
    </row>
    <row r="148" spans="2:17" ht="14.25" customHeight="1" x14ac:dyDescent="0.3">
      <c r="B148" s="23"/>
      <c r="D148" s="25"/>
      <c r="E148" s="25"/>
      <c r="M148" s="12"/>
      <c r="N148" s="122"/>
      <c r="O148" s="122"/>
      <c r="P148" s="122"/>
      <c r="Q148" s="122"/>
    </row>
    <row r="149" spans="2:17" ht="14.25" customHeight="1" x14ac:dyDescent="0.3">
      <c r="B149" s="23"/>
      <c r="D149" s="25"/>
      <c r="E149" s="25"/>
      <c r="M149" s="12"/>
      <c r="N149" s="122"/>
      <c r="O149" s="122"/>
      <c r="P149" s="122"/>
      <c r="Q149" s="122"/>
    </row>
    <row r="150" spans="2:17" ht="14.25" customHeight="1" x14ac:dyDescent="0.3">
      <c r="B150" s="23"/>
      <c r="D150" s="25"/>
      <c r="E150" s="25"/>
      <c r="M150" s="12"/>
      <c r="N150" s="122"/>
      <c r="O150" s="122"/>
      <c r="P150" s="122"/>
      <c r="Q150" s="122"/>
    </row>
    <row r="151" spans="2:17" ht="14.25" customHeight="1" x14ac:dyDescent="0.3">
      <c r="B151" s="23"/>
      <c r="D151" s="25"/>
      <c r="E151" s="25"/>
      <c r="M151" s="12"/>
      <c r="N151" s="122"/>
      <c r="O151" s="122"/>
      <c r="P151" s="122"/>
      <c r="Q151" s="122"/>
    </row>
    <row r="152" spans="2:17" ht="14.25" customHeight="1" x14ac:dyDescent="0.3">
      <c r="B152" s="23"/>
      <c r="D152" s="25"/>
      <c r="E152" s="25"/>
      <c r="M152" s="12"/>
      <c r="N152" s="122"/>
      <c r="O152" s="122"/>
      <c r="P152" s="122"/>
      <c r="Q152" s="122"/>
    </row>
    <row r="153" spans="2:17" ht="14.25" customHeight="1" x14ac:dyDescent="0.3">
      <c r="B153" s="23"/>
      <c r="D153" s="25"/>
      <c r="E153" s="25"/>
      <c r="M153" s="12"/>
      <c r="N153" s="122"/>
      <c r="O153" s="122"/>
      <c r="P153" s="122"/>
      <c r="Q153" s="122"/>
    </row>
    <row r="154" spans="2:17" ht="14.25" customHeight="1" x14ac:dyDescent="0.3">
      <c r="B154" s="23"/>
      <c r="D154" s="25"/>
      <c r="E154" s="25"/>
      <c r="M154" s="12"/>
      <c r="N154" s="122"/>
      <c r="O154" s="122"/>
      <c r="P154" s="122"/>
      <c r="Q154" s="122"/>
    </row>
    <row r="155" spans="2:17" ht="14.25" customHeight="1" x14ac:dyDescent="0.3">
      <c r="B155" s="23"/>
      <c r="D155" s="25"/>
      <c r="E155" s="25"/>
      <c r="M155" s="12"/>
      <c r="N155" s="122"/>
      <c r="O155" s="122"/>
      <c r="P155" s="122"/>
      <c r="Q155" s="122"/>
    </row>
    <row r="156" spans="2:17" ht="14.25" customHeight="1" x14ac:dyDescent="0.3">
      <c r="B156" s="23"/>
      <c r="D156" s="25"/>
      <c r="E156" s="25"/>
      <c r="M156" s="12"/>
      <c r="N156" s="122"/>
      <c r="O156" s="122"/>
      <c r="P156" s="122"/>
      <c r="Q156" s="122"/>
    </row>
    <row r="157" spans="2:17" ht="14.25" customHeight="1" x14ac:dyDescent="0.3">
      <c r="B157" s="23"/>
      <c r="D157" s="25"/>
      <c r="E157" s="25"/>
      <c r="M157" s="12"/>
      <c r="N157" s="122"/>
      <c r="O157" s="122"/>
      <c r="P157" s="122"/>
      <c r="Q157" s="122"/>
    </row>
    <row r="158" spans="2:17" ht="14.25" customHeight="1" x14ac:dyDescent="0.3">
      <c r="B158" s="23"/>
      <c r="D158" s="25"/>
      <c r="E158" s="25"/>
      <c r="M158" s="12"/>
      <c r="N158" s="122"/>
      <c r="O158" s="122"/>
      <c r="P158" s="122"/>
      <c r="Q158" s="122"/>
    </row>
    <row r="159" spans="2:17" ht="14.25" customHeight="1" x14ac:dyDescent="0.3">
      <c r="B159" s="23"/>
      <c r="D159" s="25"/>
      <c r="E159" s="25"/>
      <c r="M159" s="12"/>
      <c r="N159" s="122"/>
      <c r="O159" s="122"/>
      <c r="P159" s="122"/>
      <c r="Q159" s="122"/>
    </row>
    <row r="160" spans="2:17" ht="14.25" customHeight="1" x14ac:dyDescent="0.3">
      <c r="B160" s="23"/>
      <c r="D160" s="25"/>
      <c r="E160" s="25"/>
      <c r="M160" s="12"/>
      <c r="N160" s="122"/>
      <c r="O160" s="122"/>
      <c r="P160" s="122"/>
      <c r="Q160" s="122"/>
    </row>
    <row r="161" spans="2:17" ht="14.25" customHeight="1" x14ac:dyDescent="0.3">
      <c r="B161" s="23"/>
      <c r="D161" s="25"/>
      <c r="E161" s="25"/>
      <c r="M161" s="12"/>
      <c r="N161" s="122"/>
      <c r="O161" s="122"/>
      <c r="P161" s="122"/>
      <c r="Q161" s="122"/>
    </row>
    <row r="162" spans="2:17" ht="14.25" customHeight="1" x14ac:dyDescent="0.3">
      <c r="B162" s="23"/>
      <c r="D162" s="25"/>
      <c r="E162" s="25"/>
      <c r="M162" s="12"/>
      <c r="N162" s="122"/>
      <c r="O162" s="122"/>
      <c r="P162" s="122"/>
      <c r="Q162" s="122"/>
    </row>
    <row r="163" spans="2:17" ht="14.25" customHeight="1" x14ac:dyDescent="0.3">
      <c r="B163" s="23"/>
      <c r="D163" s="25"/>
      <c r="E163" s="25"/>
      <c r="M163" s="12"/>
      <c r="N163" s="122"/>
      <c r="O163" s="122"/>
      <c r="P163" s="122"/>
      <c r="Q163" s="122"/>
    </row>
    <row r="164" spans="2:17" ht="14.25" customHeight="1" x14ac:dyDescent="0.3">
      <c r="B164" s="23"/>
      <c r="D164" s="25"/>
      <c r="E164" s="25"/>
      <c r="M164" s="12"/>
      <c r="N164" s="122"/>
      <c r="O164" s="122"/>
      <c r="P164" s="122"/>
      <c r="Q164" s="122"/>
    </row>
    <row r="165" spans="2:17" ht="14.25" customHeight="1" x14ac:dyDescent="0.3">
      <c r="B165" s="23"/>
      <c r="D165" s="25"/>
      <c r="E165" s="25"/>
      <c r="M165" s="12"/>
      <c r="N165" s="122"/>
      <c r="O165" s="122"/>
      <c r="P165" s="122"/>
      <c r="Q165" s="122"/>
    </row>
    <row r="166" spans="2:17" ht="14.25" customHeight="1" x14ac:dyDescent="0.3">
      <c r="B166" s="23"/>
      <c r="D166" s="25"/>
      <c r="E166" s="25"/>
      <c r="M166" s="12"/>
      <c r="N166" s="122"/>
      <c r="O166" s="122"/>
      <c r="P166" s="122"/>
      <c r="Q166" s="122"/>
    </row>
    <row r="167" spans="2:17" ht="14.25" customHeight="1" x14ac:dyDescent="0.3">
      <c r="B167" s="23"/>
      <c r="D167" s="25"/>
      <c r="E167" s="25"/>
      <c r="M167" s="12"/>
      <c r="N167" s="122"/>
      <c r="O167" s="122"/>
      <c r="P167" s="122"/>
      <c r="Q167" s="122"/>
    </row>
    <row r="168" spans="2:17" ht="14.25" customHeight="1" x14ac:dyDescent="0.3">
      <c r="B168" s="23"/>
      <c r="D168" s="25"/>
      <c r="E168" s="25"/>
      <c r="M168" s="12"/>
      <c r="N168" s="122"/>
      <c r="O168" s="122"/>
      <c r="P168" s="122"/>
      <c r="Q168" s="122"/>
    </row>
    <row r="169" spans="2:17" ht="14.25" customHeight="1" x14ac:dyDescent="0.3">
      <c r="B169" s="23"/>
      <c r="D169" s="25"/>
      <c r="E169" s="25"/>
      <c r="M169" s="12"/>
      <c r="N169" s="122"/>
      <c r="O169" s="122"/>
      <c r="P169" s="122"/>
      <c r="Q169" s="122"/>
    </row>
    <row r="170" spans="2:17" ht="14.25" customHeight="1" x14ac:dyDescent="0.3">
      <c r="B170" s="23"/>
      <c r="D170" s="25"/>
      <c r="E170" s="25"/>
      <c r="M170" s="12"/>
      <c r="N170" s="122"/>
      <c r="O170" s="122"/>
      <c r="P170" s="122"/>
      <c r="Q170" s="122"/>
    </row>
    <row r="171" spans="2:17" ht="14.25" customHeight="1" x14ac:dyDescent="0.3">
      <c r="B171" s="23"/>
      <c r="D171" s="25"/>
      <c r="E171" s="25"/>
      <c r="M171" s="12"/>
      <c r="N171" s="122"/>
      <c r="O171" s="122"/>
      <c r="P171" s="122"/>
      <c r="Q171" s="122"/>
    </row>
    <row r="172" spans="2:17" ht="14.25" customHeight="1" x14ac:dyDescent="0.3">
      <c r="B172" s="23"/>
      <c r="D172" s="25"/>
      <c r="E172" s="25"/>
      <c r="M172" s="12"/>
      <c r="N172" s="122"/>
      <c r="O172" s="122"/>
      <c r="P172" s="122"/>
      <c r="Q172" s="122"/>
    </row>
    <row r="173" spans="2:17" ht="14.25" customHeight="1" x14ac:dyDescent="0.3">
      <c r="B173" s="23"/>
      <c r="D173" s="25"/>
      <c r="E173" s="25"/>
      <c r="M173" s="12"/>
      <c r="N173" s="122"/>
      <c r="O173" s="122"/>
      <c r="P173" s="122"/>
      <c r="Q173" s="122"/>
    </row>
    <row r="174" spans="2:17" ht="14.25" customHeight="1" x14ac:dyDescent="0.3">
      <c r="B174" s="23"/>
      <c r="D174" s="25"/>
      <c r="E174" s="25"/>
      <c r="M174" s="12"/>
      <c r="N174" s="122"/>
      <c r="O174" s="122"/>
      <c r="P174" s="122"/>
      <c r="Q174" s="122"/>
    </row>
    <row r="175" spans="2:17" ht="14.25" customHeight="1" x14ac:dyDescent="0.3">
      <c r="B175" s="23"/>
      <c r="D175" s="25"/>
      <c r="E175" s="25"/>
      <c r="M175" s="12"/>
      <c r="N175" s="122"/>
      <c r="O175" s="122"/>
      <c r="P175" s="122"/>
      <c r="Q175" s="122"/>
    </row>
    <row r="176" spans="2:17" ht="14.25" customHeight="1" x14ac:dyDescent="0.3">
      <c r="B176" s="23"/>
      <c r="D176" s="25"/>
      <c r="E176" s="25"/>
      <c r="M176" s="12"/>
      <c r="N176" s="122"/>
      <c r="O176" s="122"/>
      <c r="P176" s="122"/>
      <c r="Q176" s="122"/>
    </row>
    <row r="177" spans="2:17" ht="14.25" customHeight="1" x14ac:dyDescent="0.3">
      <c r="B177" s="23"/>
      <c r="D177" s="25"/>
      <c r="E177" s="25"/>
      <c r="M177" s="12"/>
      <c r="N177" s="122"/>
      <c r="O177" s="122"/>
      <c r="P177" s="122"/>
      <c r="Q177" s="122"/>
    </row>
    <row r="178" spans="2:17" ht="14.25" customHeight="1" x14ac:dyDescent="0.3">
      <c r="B178" s="23"/>
      <c r="D178" s="25"/>
      <c r="E178" s="25"/>
      <c r="M178" s="12"/>
      <c r="N178" s="122"/>
      <c r="O178" s="122"/>
      <c r="P178" s="122"/>
      <c r="Q178" s="122"/>
    </row>
    <row r="179" spans="2:17" ht="14.25" customHeight="1" x14ac:dyDescent="0.3">
      <c r="B179" s="23"/>
      <c r="D179" s="25"/>
      <c r="E179" s="25"/>
      <c r="M179" s="12"/>
      <c r="N179" s="122"/>
      <c r="O179" s="122"/>
      <c r="P179" s="122"/>
      <c r="Q179" s="122"/>
    </row>
    <row r="180" spans="2:17" ht="14.25" customHeight="1" x14ac:dyDescent="0.3">
      <c r="B180" s="23"/>
      <c r="D180" s="25"/>
      <c r="E180" s="25"/>
      <c r="M180" s="12"/>
      <c r="N180" s="122"/>
      <c r="O180" s="122"/>
      <c r="P180" s="122"/>
      <c r="Q180" s="122"/>
    </row>
    <row r="181" spans="2:17" ht="14.25" customHeight="1" x14ac:dyDescent="0.3">
      <c r="B181" s="23"/>
      <c r="D181" s="25"/>
      <c r="E181" s="25"/>
      <c r="M181" s="12"/>
      <c r="N181" s="122"/>
      <c r="O181" s="122"/>
      <c r="P181" s="122"/>
      <c r="Q181" s="122"/>
    </row>
    <row r="182" spans="2:17" ht="14.25" customHeight="1" x14ac:dyDescent="0.3">
      <c r="B182" s="23"/>
      <c r="D182" s="25"/>
      <c r="E182" s="25"/>
      <c r="M182" s="12"/>
      <c r="N182" s="122"/>
      <c r="O182" s="122"/>
      <c r="P182" s="122"/>
      <c r="Q182" s="122"/>
    </row>
    <row r="183" spans="2:17" ht="14.25" customHeight="1" x14ac:dyDescent="0.3">
      <c r="B183" s="23"/>
      <c r="D183" s="25"/>
      <c r="E183" s="25"/>
      <c r="M183" s="12"/>
      <c r="N183" s="122"/>
      <c r="O183" s="122"/>
      <c r="P183" s="122"/>
      <c r="Q183" s="122"/>
    </row>
    <row r="184" spans="2:17" ht="14.25" customHeight="1" x14ac:dyDescent="0.3">
      <c r="B184" s="23"/>
      <c r="D184" s="25"/>
      <c r="E184" s="25"/>
      <c r="M184" s="12"/>
      <c r="N184" s="122"/>
      <c r="O184" s="122"/>
      <c r="P184" s="122"/>
      <c r="Q184" s="122"/>
    </row>
    <row r="185" spans="2:17" ht="14.25" customHeight="1" x14ac:dyDescent="0.3">
      <c r="B185" s="23"/>
      <c r="D185" s="25"/>
      <c r="E185" s="25"/>
      <c r="M185" s="12"/>
      <c r="N185" s="122"/>
      <c r="O185" s="122"/>
      <c r="P185" s="122"/>
      <c r="Q185" s="122"/>
    </row>
    <row r="186" spans="2:17" ht="14.25" customHeight="1" x14ac:dyDescent="0.3">
      <c r="B186" s="23"/>
      <c r="D186" s="25"/>
      <c r="E186" s="25"/>
      <c r="M186" s="12"/>
      <c r="N186" s="122"/>
      <c r="O186" s="122"/>
      <c r="P186" s="122"/>
      <c r="Q186" s="122"/>
    </row>
    <row r="187" spans="2:17" ht="14.25" customHeight="1" x14ac:dyDescent="0.3">
      <c r="B187" s="23"/>
      <c r="D187" s="25"/>
      <c r="E187" s="25"/>
      <c r="M187" s="12"/>
      <c r="N187" s="122"/>
      <c r="O187" s="122"/>
      <c r="P187" s="122"/>
      <c r="Q187" s="122"/>
    </row>
    <row r="188" spans="2:17" ht="14.25" customHeight="1" x14ac:dyDescent="0.3">
      <c r="B188" s="23"/>
      <c r="D188" s="25"/>
      <c r="E188" s="25"/>
      <c r="M188" s="12"/>
      <c r="N188" s="122"/>
      <c r="O188" s="122"/>
      <c r="P188" s="122"/>
      <c r="Q188" s="122"/>
    </row>
    <row r="189" spans="2:17" ht="14.25" customHeight="1" x14ac:dyDescent="0.3">
      <c r="B189" s="23"/>
      <c r="D189" s="25"/>
      <c r="E189" s="25"/>
      <c r="M189" s="12"/>
      <c r="N189" s="122"/>
      <c r="O189" s="122"/>
      <c r="P189" s="122"/>
      <c r="Q189" s="122"/>
    </row>
    <row r="190" spans="2:17" ht="14.25" customHeight="1" x14ac:dyDescent="0.3">
      <c r="B190" s="23"/>
      <c r="D190" s="25"/>
      <c r="E190" s="25"/>
      <c r="M190" s="12"/>
      <c r="N190" s="122"/>
      <c r="O190" s="122"/>
      <c r="P190" s="122"/>
      <c r="Q190" s="122"/>
    </row>
    <row r="191" spans="2:17" ht="14.25" customHeight="1" x14ac:dyDescent="0.3">
      <c r="B191" s="23"/>
      <c r="D191" s="25"/>
      <c r="E191" s="25"/>
      <c r="M191" s="12"/>
      <c r="N191" s="122"/>
      <c r="O191" s="122"/>
      <c r="P191" s="122"/>
      <c r="Q191" s="122"/>
    </row>
    <row r="192" spans="2:17" ht="14.25" customHeight="1" x14ac:dyDescent="0.3">
      <c r="B192" s="23"/>
      <c r="D192" s="25"/>
      <c r="E192" s="25"/>
      <c r="M192" s="12"/>
      <c r="N192" s="122"/>
      <c r="O192" s="122"/>
      <c r="P192" s="122"/>
      <c r="Q192" s="122"/>
    </row>
    <row r="193" spans="2:17" ht="14.25" customHeight="1" x14ac:dyDescent="0.3">
      <c r="B193" s="23"/>
      <c r="D193" s="25"/>
      <c r="E193" s="25"/>
      <c r="M193" s="12"/>
      <c r="N193" s="122"/>
      <c r="O193" s="122"/>
      <c r="P193" s="122"/>
      <c r="Q193" s="122"/>
    </row>
    <row r="194" spans="2:17" ht="14.25" customHeight="1" x14ac:dyDescent="0.3">
      <c r="B194" s="23"/>
      <c r="D194" s="25"/>
      <c r="E194" s="25"/>
      <c r="M194" s="12"/>
      <c r="N194" s="122"/>
      <c r="O194" s="122"/>
      <c r="P194" s="122"/>
      <c r="Q194" s="122"/>
    </row>
    <row r="195" spans="2:17" ht="14.25" customHeight="1" x14ac:dyDescent="0.3">
      <c r="B195" s="23"/>
      <c r="D195" s="25"/>
      <c r="E195" s="25"/>
      <c r="M195" s="12"/>
      <c r="N195" s="122"/>
      <c r="O195" s="122"/>
      <c r="P195" s="122"/>
      <c r="Q195" s="122"/>
    </row>
    <row r="196" spans="2:17" ht="14.25" customHeight="1" x14ac:dyDescent="0.3">
      <c r="B196" s="23"/>
      <c r="D196" s="25"/>
      <c r="E196" s="25"/>
      <c r="M196" s="12"/>
      <c r="N196" s="122"/>
      <c r="O196" s="122"/>
      <c r="P196" s="122"/>
      <c r="Q196" s="122"/>
    </row>
    <row r="197" spans="2:17" ht="14.25" customHeight="1" x14ac:dyDescent="0.3">
      <c r="B197" s="23"/>
      <c r="D197" s="25"/>
      <c r="E197" s="25"/>
      <c r="M197" s="12"/>
      <c r="N197" s="122"/>
      <c r="O197" s="122"/>
      <c r="P197" s="122"/>
      <c r="Q197" s="122"/>
    </row>
    <row r="198" spans="2:17" ht="14.25" customHeight="1" x14ac:dyDescent="0.3">
      <c r="B198" s="23"/>
      <c r="D198" s="25"/>
      <c r="E198" s="25"/>
      <c r="M198" s="12"/>
      <c r="N198" s="122"/>
      <c r="O198" s="122"/>
      <c r="P198" s="122"/>
      <c r="Q198" s="122"/>
    </row>
    <row r="199" spans="2:17" ht="14.25" customHeight="1" x14ac:dyDescent="0.3">
      <c r="B199" s="23"/>
      <c r="D199" s="25"/>
      <c r="E199" s="25"/>
      <c r="M199" s="12"/>
      <c r="N199" s="122"/>
      <c r="O199" s="122"/>
      <c r="P199" s="122"/>
      <c r="Q199" s="122"/>
    </row>
    <row r="200" spans="2:17" ht="14.25" customHeight="1" x14ac:dyDescent="0.3">
      <c r="B200" s="23"/>
      <c r="D200" s="25"/>
      <c r="E200" s="25"/>
      <c r="M200" s="12"/>
      <c r="N200" s="122"/>
      <c r="O200" s="122"/>
      <c r="P200" s="122"/>
      <c r="Q200" s="122"/>
    </row>
    <row r="201" spans="2:17" ht="14.25" customHeight="1" x14ac:dyDescent="0.3">
      <c r="B201" s="23"/>
      <c r="D201" s="25"/>
      <c r="E201" s="25"/>
      <c r="M201" s="12"/>
      <c r="N201" s="122"/>
      <c r="O201" s="122"/>
      <c r="P201" s="122"/>
      <c r="Q201" s="122"/>
    </row>
    <row r="202" spans="2:17" ht="14.25" customHeight="1" x14ac:dyDescent="0.3">
      <c r="B202" s="23"/>
      <c r="D202" s="25"/>
      <c r="E202" s="25"/>
      <c r="M202" s="12"/>
      <c r="N202" s="122"/>
      <c r="O202" s="122"/>
      <c r="P202" s="122"/>
      <c r="Q202" s="122"/>
    </row>
    <row r="203" spans="2:17" ht="14.25" customHeight="1" x14ac:dyDescent="0.3">
      <c r="B203" s="23"/>
      <c r="D203" s="25"/>
      <c r="E203" s="25"/>
      <c r="M203" s="12"/>
      <c r="N203" s="122"/>
      <c r="O203" s="122"/>
      <c r="P203" s="122"/>
      <c r="Q203" s="122"/>
    </row>
    <row r="204" spans="2:17" ht="14.25" customHeight="1" x14ac:dyDescent="0.3">
      <c r="B204" s="23"/>
      <c r="D204" s="25"/>
      <c r="E204" s="25"/>
      <c r="M204" s="12"/>
      <c r="N204" s="122"/>
      <c r="O204" s="122"/>
      <c r="P204" s="122"/>
      <c r="Q204" s="122"/>
    </row>
    <row r="205" spans="2:17" ht="14.25" customHeight="1" x14ac:dyDescent="0.3">
      <c r="B205" s="23"/>
      <c r="D205" s="25"/>
      <c r="E205" s="25"/>
      <c r="M205" s="12"/>
      <c r="N205" s="122"/>
      <c r="O205" s="122"/>
      <c r="P205" s="122"/>
      <c r="Q205" s="122"/>
    </row>
    <row r="206" spans="2:17" ht="14.25" customHeight="1" x14ac:dyDescent="0.3">
      <c r="B206" s="23"/>
      <c r="D206" s="25"/>
      <c r="E206" s="25"/>
      <c r="M206" s="12"/>
      <c r="N206" s="122"/>
      <c r="O206" s="122"/>
      <c r="P206" s="122"/>
      <c r="Q206" s="122"/>
    </row>
    <row r="207" spans="2:17" ht="14.25" customHeight="1" x14ac:dyDescent="0.3">
      <c r="B207" s="23"/>
      <c r="D207" s="25"/>
      <c r="E207" s="25"/>
      <c r="M207" s="12"/>
      <c r="N207" s="122"/>
      <c r="O207" s="122"/>
      <c r="P207" s="122"/>
      <c r="Q207" s="122"/>
    </row>
    <row r="208" spans="2:17" ht="14.25" customHeight="1" x14ac:dyDescent="0.3">
      <c r="B208" s="23"/>
      <c r="D208" s="25"/>
      <c r="E208" s="25"/>
      <c r="M208" s="12"/>
      <c r="N208" s="122"/>
      <c r="O208" s="122"/>
      <c r="P208" s="122"/>
      <c r="Q208" s="122"/>
    </row>
    <row r="209" spans="2:17" ht="14.25" customHeight="1" x14ac:dyDescent="0.3">
      <c r="B209" s="23"/>
      <c r="D209" s="25"/>
      <c r="E209" s="25"/>
      <c r="M209" s="12"/>
      <c r="N209" s="122"/>
      <c r="O209" s="122"/>
      <c r="P209" s="122"/>
      <c r="Q209" s="122"/>
    </row>
    <row r="210" spans="2:17" ht="14.25" customHeight="1" x14ac:dyDescent="0.3">
      <c r="B210" s="23"/>
      <c r="D210" s="25"/>
      <c r="E210" s="25"/>
      <c r="M210" s="12"/>
      <c r="N210" s="122"/>
      <c r="O210" s="122"/>
      <c r="P210" s="122"/>
      <c r="Q210" s="122"/>
    </row>
    <row r="211" spans="2:17" ht="14.25" customHeight="1" x14ac:dyDescent="0.3">
      <c r="B211" s="23"/>
      <c r="D211" s="25"/>
      <c r="E211" s="25"/>
      <c r="M211" s="12"/>
      <c r="N211" s="122"/>
      <c r="O211" s="122"/>
      <c r="P211" s="122"/>
      <c r="Q211" s="122"/>
    </row>
    <row r="212" spans="2:17" ht="14.25" customHeight="1" x14ac:dyDescent="0.3">
      <c r="B212" s="23"/>
      <c r="D212" s="25"/>
      <c r="E212" s="25"/>
      <c r="M212" s="12"/>
      <c r="N212" s="122"/>
      <c r="O212" s="122"/>
      <c r="P212" s="122"/>
      <c r="Q212" s="122"/>
    </row>
    <row r="213" spans="2:17" ht="14.25" customHeight="1" x14ac:dyDescent="0.3">
      <c r="B213" s="23"/>
      <c r="D213" s="25"/>
      <c r="E213" s="25"/>
      <c r="M213" s="12"/>
      <c r="N213" s="122"/>
      <c r="O213" s="122"/>
      <c r="P213" s="122"/>
      <c r="Q213" s="122"/>
    </row>
    <row r="214" spans="2:17" ht="14.25" customHeight="1" x14ac:dyDescent="0.3">
      <c r="B214" s="23"/>
      <c r="D214" s="25"/>
      <c r="E214" s="25"/>
      <c r="M214" s="12"/>
      <c r="N214" s="122"/>
      <c r="O214" s="122"/>
      <c r="P214" s="122"/>
      <c r="Q214" s="122"/>
    </row>
    <row r="215" spans="2:17" ht="14.25" customHeight="1" x14ac:dyDescent="0.3">
      <c r="B215" s="23"/>
      <c r="D215" s="25"/>
      <c r="E215" s="25"/>
      <c r="M215" s="12"/>
      <c r="N215" s="122"/>
      <c r="O215" s="122"/>
      <c r="P215" s="122"/>
      <c r="Q215" s="122"/>
    </row>
    <row r="216" spans="2:17" ht="14.25" customHeight="1" x14ac:dyDescent="0.3">
      <c r="B216" s="23"/>
      <c r="D216" s="25"/>
      <c r="E216" s="25"/>
      <c r="M216" s="12"/>
      <c r="N216" s="122"/>
      <c r="O216" s="122"/>
      <c r="P216" s="122"/>
      <c r="Q216" s="122"/>
    </row>
    <row r="217" spans="2:17" ht="14.25" customHeight="1" x14ac:dyDescent="0.3">
      <c r="B217" s="23"/>
      <c r="D217" s="25"/>
      <c r="E217" s="25"/>
      <c r="M217" s="12"/>
      <c r="N217" s="122"/>
      <c r="O217" s="122"/>
      <c r="P217" s="122"/>
      <c r="Q217" s="122"/>
    </row>
    <row r="218" spans="2:17" ht="14.25" customHeight="1" x14ac:dyDescent="0.3">
      <c r="B218" s="23"/>
      <c r="D218" s="25"/>
      <c r="E218" s="25"/>
      <c r="M218" s="12"/>
      <c r="N218" s="122"/>
      <c r="O218" s="122"/>
      <c r="P218" s="122"/>
      <c r="Q218" s="122"/>
    </row>
    <row r="219" spans="2:17" ht="14.25" customHeight="1" x14ac:dyDescent="0.3">
      <c r="B219" s="23"/>
      <c r="D219" s="25"/>
      <c r="E219" s="25"/>
      <c r="M219" s="12"/>
      <c r="N219" s="122"/>
      <c r="O219" s="122"/>
      <c r="P219" s="122"/>
      <c r="Q219" s="122"/>
    </row>
    <row r="220" spans="2:17" ht="14.25" customHeight="1" x14ac:dyDescent="0.3">
      <c r="B220" s="23"/>
      <c r="D220" s="25"/>
      <c r="E220" s="25"/>
      <c r="M220" s="12"/>
      <c r="N220" s="122"/>
      <c r="O220" s="122"/>
      <c r="P220" s="122"/>
      <c r="Q220" s="122"/>
    </row>
    <row r="221" spans="2:17" ht="14.25" customHeight="1" x14ac:dyDescent="0.3">
      <c r="B221" s="23"/>
      <c r="D221" s="25"/>
      <c r="E221" s="25"/>
      <c r="M221" s="12"/>
      <c r="N221" s="122"/>
      <c r="O221" s="122"/>
      <c r="P221" s="122"/>
      <c r="Q221" s="122"/>
    </row>
    <row r="222" spans="2:17" ht="14.25" customHeight="1" x14ac:dyDescent="0.3">
      <c r="B222" s="23"/>
      <c r="D222" s="25"/>
      <c r="E222" s="25"/>
      <c r="M222" s="12"/>
      <c r="N222" s="122"/>
      <c r="O222" s="122"/>
      <c r="P222" s="122"/>
      <c r="Q222" s="122"/>
    </row>
    <row r="223" spans="2:17" ht="14.25" customHeight="1" x14ac:dyDescent="0.3">
      <c r="B223" s="23"/>
      <c r="D223" s="25"/>
      <c r="E223" s="25"/>
      <c r="M223" s="12"/>
      <c r="N223" s="122"/>
      <c r="O223" s="122"/>
      <c r="P223" s="122"/>
      <c r="Q223" s="122"/>
    </row>
    <row r="224" spans="2:17" ht="14.25" customHeight="1" x14ac:dyDescent="0.3">
      <c r="B224" s="23"/>
      <c r="D224" s="25"/>
      <c r="E224" s="25"/>
      <c r="M224" s="12"/>
      <c r="N224" s="122"/>
      <c r="O224" s="122"/>
      <c r="P224" s="122"/>
      <c r="Q224" s="122"/>
    </row>
    <row r="225" spans="2:17" ht="14.25" customHeight="1" x14ac:dyDescent="0.3">
      <c r="B225" s="23"/>
      <c r="D225" s="25"/>
      <c r="E225" s="25"/>
      <c r="M225" s="12"/>
      <c r="N225" s="122"/>
      <c r="O225" s="122"/>
      <c r="P225" s="122"/>
      <c r="Q225" s="122"/>
    </row>
    <row r="226" spans="2:17" ht="14.25" customHeight="1" x14ac:dyDescent="0.3">
      <c r="B226" s="23"/>
      <c r="D226" s="25"/>
      <c r="E226" s="25"/>
      <c r="M226" s="12"/>
      <c r="N226" s="122"/>
      <c r="O226" s="122"/>
      <c r="P226" s="122"/>
      <c r="Q226" s="122"/>
    </row>
    <row r="227" spans="2:17" ht="14.25" customHeight="1" x14ac:dyDescent="0.3">
      <c r="B227" s="23"/>
      <c r="D227" s="25"/>
      <c r="E227" s="25"/>
      <c r="M227" s="12"/>
      <c r="N227" s="122"/>
      <c r="O227" s="122"/>
      <c r="P227" s="122"/>
      <c r="Q227" s="122"/>
    </row>
    <row r="228" spans="2:17" ht="14.25" customHeight="1" x14ac:dyDescent="0.3">
      <c r="B228" s="23"/>
      <c r="D228" s="25"/>
      <c r="E228" s="25"/>
      <c r="M228" s="12"/>
      <c r="N228" s="122"/>
      <c r="O228" s="122"/>
      <c r="P228" s="122"/>
      <c r="Q228" s="122"/>
    </row>
    <row r="229" spans="2:17" ht="14.25" customHeight="1" x14ac:dyDescent="0.3">
      <c r="B229" s="23"/>
      <c r="D229" s="25"/>
      <c r="E229" s="25"/>
      <c r="M229" s="12"/>
      <c r="N229" s="122"/>
      <c r="O229" s="122"/>
      <c r="P229" s="122"/>
      <c r="Q229" s="122"/>
    </row>
    <row r="230" spans="2:17" ht="14.25" customHeight="1" x14ac:dyDescent="0.3">
      <c r="B230" s="23"/>
      <c r="D230" s="25"/>
      <c r="E230" s="25"/>
      <c r="M230" s="12"/>
      <c r="N230" s="122"/>
      <c r="O230" s="122"/>
      <c r="P230" s="122"/>
      <c r="Q230" s="122"/>
    </row>
    <row r="231" spans="2:17" ht="14.25" customHeight="1" x14ac:dyDescent="0.3">
      <c r="B231" s="23"/>
      <c r="D231" s="25"/>
      <c r="E231" s="25"/>
      <c r="M231" s="12"/>
      <c r="N231" s="122"/>
      <c r="O231" s="122"/>
      <c r="P231" s="122"/>
      <c r="Q231" s="122"/>
    </row>
    <row r="232" spans="2:17" ht="14.25" customHeight="1" x14ac:dyDescent="0.3">
      <c r="B232" s="23"/>
      <c r="D232" s="25"/>
      <c r="E232" s="25"/>
      <c r="M232" s="12"/>
      <c r="N232" s="122"/>
      <c r="O232" s="122"/>
      <c r="P232" s="122"/>
      <c r="Q232" s="122"/>
    </row>
    <row r="233" spans="2:17" ht="14.25" customHeight="1" x14ac:dyDescent="0.3">
      <c r="B233" s="23"/>
      <c r="D233" s="25"/>
      <c r="E233" s="25"/>
      <c r="M233" s="12"/>
      <c r="N233" s="122"/>
      <c r="O233" s="122"/>
      <c r="P233" s="122"/>
      <c r="Q233" s="122"/>
    </row>
    <row r="234" spans="2:17" ht="14.25" customHeight="1" x14ac:dyDescent="0.3">
      <c r="B234" s="23"/>
      <c r="D234" s="25"/>
      <c r="E234" s="25"/>
      <c r="M234" s="12"/>
      <c r="N234" s="122"/>
      <c r="O234" s="122"/>
      <c r="P234" s="122"/>
      <c r="Q234" s="122"/>
    </row>
    <row r="235" spans="2:17" ht="14.25" customHeight="1" x14ac:dyDescent="0.3">
      <c r="B235" s="23"/>
      <c r="D235" s="25"/>
      <c r="E235" s="25"/>
      <c r="M235" s="12"/>
      <c r="N235" s="122"/>
      <c r="O235" s="122"/>
      <c r="P235" s="122"/>
      <c r="Q235" s="122"/>
    </row>
    <row r="236" spans="2:17" ht="14.25" customHeight="1" x14ac:dyDescent="0.3">
      <c r="B236" s="23"/>
      <c r="D236" s="25"/>
      <c r="E236" s="25"/>
      <c r="M236" s="12"/>
      <c r="N236" s="122"/>
      <c r="O236" s="122"/>
      <c r="P236" s="122"/>
      <c r="Q236" s="122"/>
    </row>
    <row r="237" spans="2:17" ht="14.25" customHeight="1" x14ac:dyDescent="0.3">
      <c r="B237" s="23"/>
      <c r="D237" s="25"/>
      <c r="E237" s="25"/>
      <c r="M237" s="12"/>
      <c r="N237" s="122"/>
      <c r="O237" s="122"/>
      <c r="P237" s="122"/>
      <c r="Q237" s="122"/>
    </row>
    <row r="238" spans="2:17" ht="14.25" customHeight="1" x14ac:dyDescent="0.3">
      <c r="B238" s="23"/>
      <c r="D238" s="25"/>
      <c r="E238" s="25"/>
      <c r="M238" s="12"/>
      <c r="N238" s="122"/>
      <c r="O238" s="122"/>
      <c r="P238" s="122"/>
      <c r="Q238" s="122"/>
    </row>
    <row r="239" spans="2:17" ht="14.25" customHeight="1" x14ac:dyDescent="0.3">
      <c r="B239" s="23"/>
      <c r="D239" s="25"/>
      <c r="E239" s="25"/>
      <c r="M239" s="12"/>
      <c r="N239" s="122"/>
      <c r="O239" s="122"/>
      <c r="P239" s="122"/>
      <c r="Q239" s="122"/>
    </row>
    <row r="240" spans="2:17" ht="14.25" customHeight="1" x14ac:dyDescent="0.3">
      <c r="B240" s="23"/>
      <c r="D240" s="25"/>
      <c r="E240" s="25"/>
      <c r="M240" s="12"/>
      <c r="N240" s="122"/>
      <c r="O240" s="122"/>
      <c r="P240" s="122"/>
      <c r="Q240" s="122"/>
    </row>
    <row r="241" spans="2:17" ht="14.25" customHeight="1" x14ac:dyDescent="0.3">
      <c r="B241" s="23"/>
      <c r="D241" s="25"/>
      <c r="E241" s="25"/>
      <c r="M241" s="12"/>
      <c r="N241" s="122"/>
      <c r="O241" s="122"/>
      <c r="P241" s="122"/>
      <c r="Q241" s="122"/>
    </row>
    <row r="242" spans="2:17" ht="14.25" customHeight="1" x14ac:dyDescent="0.3">
      <c r="B242" s="23"/>
      <c r="D242" s="25"/>
      <c r="E242" s="25"/>
      <c r="M242" s="12"/>
      <c r="N242" s="122"/>
      <c r="O242" s="122"/>
      <c r="P242" s="122"/>
      <c r="Q242" s="122"/>
    </row>
    <row r="243" spans="2:17" ht="14.25" customHeight="1" x14ac:dyDescent="0.3">
      <c r="B243" s="23"/>
      <c r="D243" s="25"/>
      <c r="E243" s="25"/>
      <c r="M243" s="12"/>
      <c r="N243" s="122"/>
      <c r="O243" s="122"/>
      <c r="P243" s="122"/>
      <c r="Q243" s="122"/>
    </row>
    <row r="244" spans="2:17" ht="14.25" customHeight="1" x14ac:dyDescent="0.3">
      <c r="B244" s="23"/>
      <c r="D244" s="25"/>
      <c r="E244" s="25"/>
      <c r="M244" s="12"/>
      <c r="N244" s="122"/>
      <c r="O244" s="122"/>
      <c r="P244" s="122"/>
      <c r="Q244" s="122"/>
    </row>
    <row r="245" spans="2:17" ht="14.25" customHeight="1" x14ac:dyDescent="0.3">
      <c r="B245" s="23"/>
      <c r="D245" s="25"/>
      <c r="E245" s="25"/>
      <c r="M245" s="12"/>
      <c r="N245" s="122"/>
      <c r="O245" s="122"/>
      <c r="P245" s="122"/>
      <c r="Q245" s="122"/>
    </row>
    <row r="246" spans="2:17" ht="14.25" customHeight="1" x14ac:dyDescent="0.3">
      <c r="B246" s="23"/>
      <c r="D246" s="25"/>
      <c r="E246" s="25"/>
      <c r="M246" s="12"/>
      <c r="N246" s="122"/>
      <c r="O246" s="122"/>
      <c r="P246" s="122"/>
      <c r="Q246" s="122"/>
    </row>
    <row r="247" spans="2:17" ht="14.25" customHeight="1" x14ac:dyDescent="0.3">
      <c r="B247" s="23"/>
      <c r="D247" s="25"/>
      <c r="E247" s="25"/>
      <c r="M247" s="12"/>
      <c r="N247" s="122"/>
      <c r="O247" s="122"/>
      <c r="P247" s="122"/>
      <c r="Q247" s="122"/>
    </row>
    <row r="248" spans="2:17" ht="14.25" customHeight="1" x14ac:dyDescent="0.3">
      <c r="B248" s="23"/>
      <c r="D248" s="25"/>
      <c r="E248" s="25"/>
      <c r="M248" s="12"/>
      <c r="N248" s="122"/>
      <c r="O248" s="122"/>
      <c r="P248" s="122"/>
      <c r="Q248" s="122"/>
    </row>
    <row r="249" spans="2:17" ht="14.25" customHeight="1" x14ac:dyDescent="0.3">
      <c r="B249" s="23"/>
      <c r="D249" s="25"/>
      <c r="E249" s="25"/>
      <c r="M249" s="12"/>
      <c r="N249" s="122"/>
      <c r="O249" s="122"/>
      <c r="P249" s="122"/>
      <c r="Q249" s="122"/>
    </row>
    <row r="250" spans="2:17" ht="14.25" customHeight="1" x14ac:dyDescent="0.3">
      <c r="B250" s="23"/>
      <c r="D250" s="25"/>
      <c r="E250" s="25"/>
      <c r="M250" s="12"/>
      <c r="N250" s="122"/>
      <c r="O250" s="122"/>
      <c r="P250" s="122"/>
      <c r="Q250" s="122"/>
    </row>
    <row r="251" spans="2:17" ht="14.25" customHeight="1" x14ac:dyDescent="0.3">
      <c r="B251" s="23"/>
      <c r="D251" s="25"/>
      <c r="E251" s="25"/>
      <c r="M251" s="12"/>
      <c r="N251" s="122"/>
      <c r="O251" s="122"/>
      <c r="P251" s="122"/>
      <c r="Q251" s="122"/>
    </row>
    <row r="252" spans="2:17" ht="14.25" customHeight="1" x14ac:dyDescent="0.3">
      <c r="B252" s="23"/>
      <c r="D252" s="25"/>
      <c r="E252" s="25"/>
      <c r="M252" s="12"/>
      <c r="N252" s="122"/>
      <c r="O252" s="122"/>
      <c r="P252" s="122"/>
      <c r="Q252" s="122"/>
    </row>
    <row r="253" spans="2:17" ht="14.25" customHeight="1" x14ac:dyDescent="0.3">
      <c r="B253" s="23"/>
      <c r="D253" s="25"/>
      <c r="E253" s="25"/>
      <c r="M253" s="12"/>
      <c r="N253" s="122"/>
      <c r="O253" s="122"/>
      <c r="P253" s="122"/>
      <c r="Q253" s="122"/>
    </row>
    <row r="254" spans="2:17" ht="14.25" customHeight="1" x14ac:dyDescent="0.3">
      <c r="B254" s="23"/>
      <c r="D254" s="25"/>
      <c r="E254" s="25"/>
      <c r="M254" s="12"/>
      <c r="N254" s="122"/>
      <c r="O254" s="122"/>
      <c r="P254" s="122"/>
      <c r="Q254" s="122"/>
    </row>
    <row r="255" spans="2:17" ht="14.25" customHeight="1" x14ac:dyDescent="0.3">
      <c r="B255" s="23"/>
      <c r="D255" s="25"/>
      <c r="E255" s="25"/>
      <c r="M255" s="12"/>
      <c r="N255" s="122"/>
      <c r="O255" s="122"/>
      <c r="P255" s="122"/>
      <c r="Q255" s="122"/>
    </row>
    <row r="256" spans="2:17" ht="14.25" customHeight="1" x14ac:dyDescent="0.3">
      <c r="B256" s="23"/>
      <c r="D256" s="25"/>
      <c r="E256" s="25"/>
      <c r="M256" s="12"/>
      <c r="N256" s="122"/>
      <c r="O256" s="122"/>
      <c r="P256" s="122"/>
      <c r="Q256" s="122"/>
    </row>
    <row r="257" spans="2:17" ht="14.25" customHeight="1" x14ac:dyDescent="0.3">
      <c r="B257" s="23"/>
      <c r="D257" s="25"/>
      <c r="E257" s="25"/>
      <c r="M257" s="12"/>
      <c r="N257" s="122"/>
      <c r="O257" s="122"/>
      <c r="P257" s="122"/>
      <c r="Q257" s="122"/>
    </row>
    <row r="258" spans="2:17" ht="14.25" customHeight="1" x14ac:dyDescent="0.3">
      <c r="B258" s="23"/>
      <c r="D258" s="25"/>
      <c r="E258" s="25"/>
      <c r="M258" s="12"/>
      <c r="N258" s="122"/>
      <c r="O258" s="122"/>
      <c r="P258" s="122"/>
      <c r="Q258" s="122"/>
    </row>
    <row r="259" spans="2:17" ht="14.25" customHeight="1" x14ac:dyDescent="0.3">
      <c r="B259" s="23"/>
      <c r="D259" s="25"/>
      <c r="E259" s="25"/>
      <c r="M259" s="12"/>
      <c r="N259" s="122"/>
      <c r="O259" s="122"/>
      <c r="P259" s="122"/>
      <c r="Q259" s="122"/>
    </row>
    <row r="260" spans="2:17" ht="14.25" customHeight="1" x14ac:dyDescent="0.3">
      <c r="B260" s="23"/>
      <c r="D260" s="25"/>
      <c r="E260" s="25"/>
      <c r="M260" s="12"/>
      <c r="N260" s="122"/>
      <c r="O260" s="122"/>
      <c r="P260" s="122"/>
      <c r="Q260" s="122"/>
    </row>
    <row r="261" spans="2:17" ht="14.25" customHeight="1" x14ac:dyDescent="0.3">
      <c r="B261" s="23"/>
      <c r="D261" s="25"/>
      <c r="E261" s="25"/>
      <c r="M261" s="12"/>
      <c r="N261" s="122"/>
      <c r="O261" s="122"/>
      <c r="P261" s="122"/>
      <c r="Q261" s="122"/>
    </row>
    <row r="262" spans="2:17" ht="14.25" customHeight="1" x14ac:dyDescent="0.3">
      <c r="B262" s="23"/>
      <c r="D262" s="25"/>
      <c r="E262" s="25"/>
      <c r="M262" s="12"/>
      <c r="N262" s="122"/>
      <c r="O262" s="122"/>
      <c r="P262" s="122"/>
      <c r="Q262" s="122"/>
    </row>
    <row r="263" spans="2:17" ht="14.25" customHeight="1" x14ac:dyDescent="0.3">
      <c r="B263" s="23"/>
      <c r="D263" s="25"/>
      <c r="E263" s="25"/>
      <c r="M263" s="12"/>
      <c r="N263" s="122"/>
      <c r="O263" s="122"/>
      <c r="P263" s="122"/>
      <c r="Q263" s="122"/>
    </row>
    <row r="264" spans="2:17" ht="14.25" customHeight="1" x14ac:dyDescent="0.3">
      <c r="B264" s="23"/>
      <c r="D264" s="25"/>
      <c r="E264" s="25"/>
      <c r="M264" s="12"/>
      <c r="N264" s="122"/>
      <c r="O264" s="122"/>
      <c r="P264" s="122"/>
      <c r="Q264" s="122"/>
    </row>
    <row r="265" spans="2:17" ht="14.25" customHeight="1" x14ac:dyDescent="0.3">
      <c r="B265" s="23"/>
      <c r="D265" s="25"/>
      <c r="E265" s="25"/>
      <c r="M265" s="12"/>
      <c r="N265" s="122"/>
      <c r="O265" s="122"/>
      <c r="P265" s="122"/>
      <c r="Q265" s="122"/>
    </row>
    <row r="266" spans="2:17" ht="14.25" customHeight="1" x14ac:dyDescent="0.3">
      <c r="B266" s="23"/>
      <c r="D266" s="25"/>
      <c r="E266" s="25"/>
      <c r="M266" s="12"/>
      <c r="N266" s="122"/>
      <c r="O266" s="122"/>
      <c r="P266" s="122"/>
      <c r="Q266" s="122"/>
    </row>
    <row r="267" spans="2:17" ht="14.25" customHeight="1" x14ac:dyDescent="0.3">
      <c r="B267" s="23"/>
      <c r="D267" s="25"/>
      <c r="E267" s="25"/>
      <c r="M267" s="12"/>
      <c r="N267" s="122"/>
      <c r="O267" s="122"/>
      <c r="P267" s="122"/>
      <c r="Q267" s="122"/>
    </row>
    <row r="268" spans="2:17" ht="14.25" customHeight="1" x14ac:dyDescent="0.3">
      <c r="B268" s="23"/>
      <c r="D268" s="25"/>
      <c r="E268" s="25"/>
      <c r="M268" s="12"/>
      <c r="N268" s="122"/>
      <c r="O268" s="122"/>
      <c r="P268" s="122"/>
      <c r="Q268" s="122"/>
    </row>
    <row r="269" spans="2:17" ht="14.25" customHeight="1" x14ac:dyDescent="0.3">
      <c r="B269" s="23"/>
      <c r="D269" s="25"/>
      <c r="E269" s="25"/>
      <c r="M269" s="12"/>
      <c r="N269" s="122"/>
      <c r="O269" s="122"/>
      <c r="P269" s="122"/>
      <c r="Q269" s="122"/>
    </row>
    <row r="270" spans="2:17" ht="14.25" customHeight="1" x14ac:dyDescent="0.3">
      <c r="B270" s="23"/>
      <c r="D270" s="25"/>
      <c r="E270" s="25"/>
      <c r="M270" s="12"/>
      <c r="N270" s="122"/>
      <c r="O270" s="122"/>
      <c r="P270" s="122"/>
      <c r="Q270" s="122"/>
    </row>
    <row r="271" spans="2:17" ht="14.25" customHeight="1" x14ac:dyDescent="0.3">
      <c r="B271" s="23"/>
      <c r="D271" s="25"/>
      <c r="E271" s="25"/>
      <c r="M271" s="12"/>
      <c r="N271" s="122"/>
      <c r="O271" s="122"/>
      <c r="P271" s="122"/>
      <c r="Q271" s="122"/>
    </row>
    <row r="272" spans="2:17" ht="14.25" customHeight="1" x14ac:dyDescent="0.3">
      <c r="B272" s="23"/>
      <c r="D272" s="25"/>
      <c r="E272" s="25"/>
      <c r="M272" s="12"/>
      <c r="N272" s="122"/>
      <c r="O272" s="122"/>
      <c r="P272" s="122"/>
      <c r="Q272" s="122"/>
    </row>
    <row r="273" spans="2:17" ht="14.25" customHeight="1" x14ac:dyDescent="0.3">
      <c r="B273" s="23"/>
      <c r="D273" s="25"/>
      <c r="E273" s="25"/>
      <c r="M273" s="12"/>
      <c r="N273" s="122"/>
      <c r="O273" s="122"/>
      <c r="P273" s="122"/>
      <c r="Q273" s="122"/>
    </row>
    <row r="274" spans="2:17" ht="14.25" customHeight="1" x14ac:dyDescent="0.3">
      <c r="B274" s="23"/>
      <c r="D274" s="25"/>
      <c r="E274" s="25"/>
      <c r="M274" s="12"/>
      <c r="N274" s="122"/>
      <c r="O274" s="122"/>
      <c r="P274" s="122"/>
      <c r="Q274" s="122"/>
    </row>
    <row r="275" spans="2:17" ht="14.25" customHeight="1" x14ac:dyDescent="0.3">
      <c r="B275" s="23"/>
      <c r="D275" s="25"/>
      <c r="E275" s="25"/>
      <c r="M275" s="12"/>
      <c r="N275" s="122"/>
      <c r="O275" s="122"/>
      <c r="P275" s="122"/>
      <c r="Q275" s="122"/>
    </row>
    <row r="276" spans="2:17" ht="14.25" customHeight="1" x14ac:dyDescent="0.3">
      <c r="B276" s="23"/>
      <c r="D276" s="25"/>
      <c r="E276" s="25"/>
      <c r="M276" s="12"/>
      <c r="N276" s="122"/>
      <c r="O276" s="122"/>
      <c r="P276" s="122"/>
      <c r="Q276" s="122"/>
    </row>
    <row r="277" spans="2:17" ht="14.25" customHeight="1" x14ac:dyDescent="0.3">
      <c r="B277" s="23"/>
      <c r="D277" s="25"/>
      <c r="E277" s="25"/>
      <c r="M277" s="12"/>
      <c r="N277" s="122"/>
      <c r="O277" s="122"/>
      <c r="P277" s="122"/>
      <c r="Q277" s="122"/>
    </row>
    <row r="278" spans="2:17" ht="14.25" customHeight="1" x14ac:dyDescent="0.3">
      <c r="B278" s="23"/>
      <c r="D278" s="25"/>
      <c r="E278" s="25"/>
      <c r="M278" s="12"/>
      <c r="N278" s="122"/>
      <c r="O278" s="122"/>
      <c r="P278" s="122"/>
      <c r="Q278" s="122"/>
    </row>
    <row r="279" spans="2:17" ht="14.25" customHeight="1" x14ac:dyDescent="0.3">
      <c r="B279" s="23"/>
      <c r="D279" s="25"/>
      <c r="E279" s="25"/>
      <c r="M279" s="12"/>
      <c r="N279" s="122"/>
      <c r="O279" s="122"/>
      <c r="P279" s="122"/>
      <c r="Q279" s="122"/>
    </row>
    <row r="280" spans="2:17" ht="14.25" customHeight="1" x14ac:dyDescent="0.3">
      <c r="B280" s="23"/>
      <c r="D280" s="25"/>
      <c r="E280" s="25"/>
      <c r="M280" s="12"/>
      <c r="N280" s="122"/>
      <c r="O280" s="122"/>
      <c r="P280" s="122"/>
      <c r="Q280" s="122"/>
    </row>
    <row r="281" spans="2:17" ht="14.25" customHeight="1" x14ac:dyDescent="0.3">
      <c r="B281" s="23"/>
      <c r="D281" s="25"/>
      <c r="E281" s="25"/>
      <c r="M281" s="12"/>
      <c r="N281" s="122"/>
      <c r="O281" s="122"/>
      <c r="P281" s="122"/>
      <c r="Q281" s="122"/>
    </row>
    <row r="282" spans="2:17" ht="14.25" customHeight="1" x14ac:dyDescent="0.3">
      <c r="B282" s="23"/>
      <c r="D282" s="25"/>
      <c r="E282" s="25"/>
      <c r="M282" s="12"/>
      <c r="N282" s="122"/>
      <c r="O282" s="122"/>
      <c r="P282" s="122"/>
      <c r="Q282" s="122"/>
    </row>
    <row r="283" spans="2:17" ht="14.25" customHeight="1" x14ac:dyDescent="0.3">
      <c r="B283" s="23"/>
      <c r="D283" s="25"/>
      <c r="E283" s="25"/>
      <c r="M283" s="12"/>
      <c r="N283" s="122"/>
      <c r="O283" s="122"/>
      <c r="P283" s="122"/>
      <c r="Q283" s="122"/>
    </row>
    <row r="284" spans="2:17" ht="14.25" customHeight="1" x14ac:dyDescent="0.3">
      <c r="B284" s="23"/>
      <c r="D284" s="25"/>
      <c r="E284" s="25"/>
      <c r="M284" s="12"/>
      <c r="N284" s="122"/>
      <c r="O284" s="122"/>
      <c r="P284" s="122"/>
      <c r="Q284" s="122"/>
    </row>
    <row r="285" spans="2:17" ht="14.25" customHeight="1" x14ac:dyDescent="0.3">
      <c r="B285" s="23"/>
      <c r="D285" s="25"/>
      <c r="E285" s="25"/>
      <c r="M285" s="12"/>
      <c r="N285" s="122"/>
      <c r="O285" s="122"/>
      <c r="P285" s="122"/>
      <c r="Q285" s="122"/>
    </row>
    <row r="286" spans="2:17" ht="14.25" customHeight="1" x14ac:dyDescent="0.3">
      <c r="B286" s="23"/>
      <c r="D286" s="25"/>
      <c r="E286" s="25"/>
      <c r="M286" s="12"/>
      <c r="N286" s="122"/>
      <c r="O286" s="122"/>
      <c r="P286" s="122"/>
      <c r="Q286" s="122"/>
    </row>
    <row r="287" spans="2:17" ht="14.25" customHeight="1" x14ac:dyDescent="0.3">
      <c r="B287" s="23"/>
      <c r="D287" s="25"/>
      <c r="E287" s="25"/>
      <c r="M287" s="12"/>
      <c r="N287" s="122"/>
      <c r="O287" s="122"/>
      <c r="P287" s="122"/>
      <c r="Q287" s="122"/>
    </row>
    <row r="288" spans="2:17" ht="14.25" customHeight="1" x14ac:dyDescent="0.3">
      <c r="B288" s="23"/>
      <c r="D288" s="25"/>
      <c r="E288" s="25"/>
      <c r="M288" s="12"/>
      <c r="N288" s="122"/>
      <c r="O288" s="122"/>
      <c r="P288" s="122"/>
      <c r="Q288" s="122"/>
    </row>
    <row r="289" spans="2:17" ht="14.25" customHeight="1" x14ac:dyDescent="0.3">
      <c r="B289" s="23"/>
      <c r="D289" s="25"/>
      <c r="E289" s="25"/>
      <c r="M289" s="12"/>
      <c r="N289" s="122"/>
      <c r="O289" s="122"/>
      <c r="P289" s="122"/>
      <c r="Q289" s="122"/>
    </row>
    <row r="290" spans="2:17" ht="14.25" customHeight="1" x14ac:dyDescent="0.3">
      <c r="B290" s="23"/>
      <c r="D290" s="25"/>
      <c r="E290" s="25"/>
      <c r="M290" s="12"/>
      <c r="N290" s="122"/>
      <c r="O290" s="122"/>
      <c r="P290" s="122"/>
      <c r="Q290" s="122"/>
    </row>
    <row r="291" spans="2:17" ht="14.25" customHeight="1" x14ac:dyDescent="0.3">
      <c r="B291" s="23"/>
      <c r="D291" s="25"/>
      <c r="E291" s="25"/>
      <c r="M291" s="12"/>
      <c r="N291" s="122"/>
      <c r="O291" s="122"/>
      <c r="P291" s="122"/>
      <c r="Q291" s="122"/>
    </row>
    <row r="292" spans="2:17" ht="14.25" customHeight="1" x14ac:dyDescent="0.3">
      <c r="B292" s="23"/>
      <c r="D292" s="25"/>
      <c r="E292" s="25"/>
      <c r="M292" s="12"/>
      <c r="N292" s="122"/>
      <c r="O292" s="122"/>
      <c r="P292" s="122"/>
      <c r="Q292" s="122"/>
    </row>
    <row r="293" spans="2:17" ht="14.25" customHeight="1" x14ac:dyDescent="0.3">
      <c r="B293" s="23"/>
      <c r="D293" s="25"/>
      <c r="E293" s="25"/>
      <c r="M293" s="12"/>
      <c r="N293" s="122"/>
      <c r="O293" s="122"/>
      <c r="P293" s="122"/>
      <c r="Q293" s="122"/>
    </row>
    <row r="294" spans="2:17" ht="14.25" customHeight="1" x14ac:dyDescent="0.3">
      <c r="B294" s="23"/>
      <c r="D294" s="25"/>
      <c r="E294" s="25"/>
      <c r="M294" s="12"/>
      <c r="N294" s="122"/>
      <c r="O294" s="122"/>
      <c r="P294" s="122"/>
      <c r="Q294" s="122"/>
    </row>
    <row r="295" spans="2:17" ht="14.25" customHeight="1" x14ac:dyDescent="0.3">
      <c r="B295" s="23"/>
      <c r="D295" s="25"/>
      <c r="E295" s="25"/>
      <c r="M295" s="12"/>
      <c r="N295" s="122"/>
      <c r="O295" s="122"/>
      <c r="P295" s="122"/>
      <c r="Q295" s="122"/>
    </row>
    <row r="296" spans="2:17" ht="14.25" customHeight="1" x14ac:dyDescent="0.3">
      <c r="B296" s="23"/>
      <c r="D296" s="25"/>
      <c r="E296" s="25"/>
      <c r="M296" s="12"/>
      <c r="N296" s="122"/>
      <c r="O296" s="122"/>
      <c r="P296" s="122"/>
      <c r="Q296" s="122"/>
    </row>
    <row r="297" spans="2:17" ht="14.25" customHeight="1" x14ac:dyDescent="0.3">
      <c r="B297" s="23"/>
      <c r="D297" s="25"/>
      <c r="E297" s="25"/>
      <c r="M297" s="12"/>
      <c r="N297" s="122"/>
      <c r="O297" s="122"/>
      <c r="P297" s="122"/>
      <c r="Q297" s="122"/>
    </row>
    <row r="298" spans="2:17" ht="14.25" customHeight="1" x14ac:dyDescent="0.3">
      <c r="B298" s="23"/>
      <c r="D298" s="25"/>
      <c r="E298" s="25"/>
      <c r="M298" s="12"/>
      <c r="N298" s="122"/>
      <c r="O298" s="122"/>
      <c r="P298" s="122"/>
      <c r="Q298" s="122"/>
    </row>
    <row r="299" spans="2:17" ht="14.25" customHeight="1" x14ac:dyDescent="0.3">
      <c r="B299" s="23"/>
      <c r="D299" s="25"/>
      <c r="E299" s="25"/>
      <c r="M299" s="12"/>
      <c r="N299" s="122"/>
      <c r="O299" s="122"/>
      <c r="P299" s="122"/>
      <c r="Q299" s="122"/>
    </row>
    <row r="300" spans="2:17" ht="14.25" customHeight="1" x14ac:dyDescent="0.3">
      <c r="B300" s="23"/>
      <c r="D300" s="25"/>
      <c r="E300" s="25"/>
      <c r="M300" s="12"/>
      <c r="N300" s="122"/>
      <c r="O300" s="122"/>
      <c r="P300" s="122"/>
      <c r="Q300" s="122"/>
    </row>
    <row r="301" spans="2:17" ht="14.25" customHeight="1" x14ac:dyDescent="0.3">
      <c r="B301" s="23"/>
      <c r="D301" s="25"/>
      <c r="E301" s="25"/>
      <c r="M301" s="12"/>
      <c r="N301" s="122"/>
      <c r="O301" s="122"/>
      <c r="P301" s="122"/>
      <c r="Q301" s="122"/>
    </row>
    <row r="302" spans="2:17" ht="14.25" customHeight="1" x14ac:dyDescent="0.3">
      <c r="B302" s="23"/>
      <c r="D302" s="25"/>
      <c r="E302" s="25"/>
      <c r="M302" s="12"/>
      <c r="N302" s="122"/>
      <c r="O302" s="122"/>
      <c r="P302" s="122"/>
      <c r="Q302" s="122"/>
    </row>
    <row r="303" spans="2:17" ht="14.25" customHeight="1" x14ac:dyDescent="0.3">
      <c r="B303" s="23"/>
      <c r="D303" s="25"/>
      <c r="E303" s="25"/>
      <c r="M303" s="12"/>
      <c r="N303" s="122"/>
      <c r="O303" s="122"/>
      <c r="P303" s="122"/>
      <c r="Q303" s="122"/>
    </row>
    <row r="304" spans="2:17" ht="14.25" customHeight="1" x14ac:dyDescent="0.3">
      <c r="B304" s="23"/>
      <c r="D304" s="25"/>
      <c r="E304" s="25"/>
      <c r="M304" s="12"/>
      <c r="N304" s="122"/>
      <c r="O304" s="122"/>
      <c r="P304" s="122"/>
      <c r="Q304" s="122"/>
    </row>
    <row r="305" spans="2:17" ht="14.25" customHeight="1" x14ac:dyDescent="0.3">
      <c r="B305" s="23"/>
      <c r="D305" s="25"/>
      <c r="E305" s="25"/>
      <c r="M305" s="12"/>
      <c r="N305" s="122"/>
      <c r="O305" s="122"/>
      <c r="P305" s="122"/>
      <c r="Q305" s="122"/>
    </row>
    <row r="306" spans="2:17" ht="14.25" customHeight="1" x14ac:dyDescent="0.3">
      <c r="B306" s="23"/>
      <c r="D306" s="25"/>
      <c r="E306" s="25"/>
      <c r="M306" s="12"/>
      <c r="N306" s="122"/>
      <c r="O306" s="122"/>
      <c r="P306" s="122"/>
      <c r="Q306" s="122"/>
    </row>
    <row r="307" spans="2:17" ht="14.25" customHeight="1" x14ac:dyDescent="0.3">
      <c r="B307" s="23"/>
      <c r="D307" s="25"/>
      <c r="E307" s="25"/>
      <c r="M307" s="12"/>
      <c r="N307" s="122"/>
      <c r="O307" s="122"/>
      <c r="P307" s="122"/>
      <c r="Q307" s="122"/>
    </row>
    <row r="308" spans="2:17" ht="14.25" customHeight="1" x14ac:dyDescent="0.3">
      <c r="B308" s="23"/>
      <c r="D308" s="25"/>
      <c r="E308" s="25"/>
      <c r="M308" s="12"/>
      <c r="N308" s="122"/>
      <c r="O308" s="122"/>
      <c r="P308" s="122"/>
      <c r="Q308" s="122"/>
    </row>
    <row r="309" spans="2:17" ht="14.25" customHeight="1" x14ac:dyDescent="0.3">
      <c r="B309" s="23"/>
      <c r="D309" s="25"/>
      <c r="E309" s="25"/>
      <c r="M309" s="12"/>
      <c r="N309" s="122"/>
      <c r="O309" s="122"/>
      <c r="P309" s="122"/>
      <c r="Q309" s="122"/>
    </row>
    <row r="310" spans="2:17" ht="14.25" customHeight="1" x14ac:dyDescent="0.3">
      <c r="B310" s="23"/>
      <c r="D310" s="25"/>
      <c r="E310" s="25"/>
      <c r="M310" s="12"/>
      <c r="N310" s="122"/>
      <c r="O310" s="122"/>
      <c r="P310" s="122"/>
      <c r="Q310" s="122"/>
    </row>
    <row r="311" spans="2:17" ht="14.25" customHeight="1" x14ac:dyDescent="0.3">
      <c r="B311" s="23"/>
      <c r="D311" s="25"/>
      <c r="E311" s="25"/>
      <c r="M311" s="12"/>
      <c r="N311" s="122"/>
      <c r="O311" s="122"/>
      <c r="P311" s="122"/>
      <c r="Q311" s="122"/>
    </row>
    <row r="312" spans="2:17" ht="14.25" customHeight="1" x14ac:dyDescent="0.3">
      <c r="B312" s="23"/>
      <c r="D312" s="25"/>
      <c r="E312" s="25"/>
      <c r="M312" s="12"/>
      <c r="N312" s="122"/>
      <c r="O312" s="122"/>
      <c r="P312" s="122"/>
      <c r="Q312" s="122"/>
    </row>
    <row r="313" spans="2:17" ht="14.25" customHeight="1" x14ac:dyDescent="0.3">
      <c r="B313" s="23"/>
      <c r="D313" s="25"/>
      <c r="E313" s="25"/>
      <c r="M313" s="12"/>
      <c r="N313" s="122"/>
      <c r="O313" s="122"/>
      <c r="P313" s="122"/>
      <c r="Q313" s="122"/>
    </row>
    <row r="314" spans="2:17" ht="14.25" customHeight="1" x14ac:dyDescent="0.3">
      <c r="B314" s="23"/>
      <c r="D314" s="25"/>
      <c r="E314" s="25"/>
      <c r="M314" s="12"/>
      <c r="N314" s="122"/>
      <c r="O314" s="122"/>
      <c r="P314" s="122"/>
      <c r="Q314" s="122"/>
    </row>
    <row r="315" spans="2:17" ht="14.25" customHeight="1" x14ac:dyDescent="0.3">
      <c r="B315" s="23"/>
      <c r="D315" s="25"/>
      <c r="E315" s="25"/>
      <c r="M315" s="12"/>
      <c r="N315" s="122"/>
      <c r="O315" s="122"/>
      <c r="P315" s="122"/>
      <c r="Q315" s="122"/>
    </row>
    <row r="316" spans="2:17" ht="14.25" customHeight="1" x14ac:dyDescent="0.3">
      <c r="B316" s="23"/>
      <c r="D316" s="25"/>
      <c r="E316" s="25"/>
      <c r="M316" s="12"/>
      <c r="N316" s="122"/>
      <c r="O316" s="122"/>
      <c r="P316" s="122"/>
      <c r="Q316" s="122"/>
    </row>
    <row r="317" spans="2:17" ht="14.25" customHeight="1" x14ac:dyDescent="0.3">
      <c r="B317" s="23"/>
      <c r="D317" s="25"/>
      <c r="E317" s="25"/>
      <c r="M317" s="12"/>
      <c r="N317" s="122"/>
      <c r="O317" s="122"/>
      <c r="P317" s="122"/>
      <c r="Q317" s="122"/>
    </row>
    <row r="318" spans="2:17" ht="14.25" customHeight="1" x14ac:dyDescent="0.3">
      <c r="B318" s="23"/>
      <c r="D318" s="25"/>
      <c r="E318" s="25"/>
      <c r="M318" s="12"/>
      <c r="N318" s="122"/>
      <c r="O318" s="122"/>
      <c r="P318" s="122"/>
      <c r="Q318" s="122"/>
    </row>
    <row r="319" spans="2:17" ht="14.25" customHeight="1" x14ac:dyDescent="0.3">
      <c r="B319" s="23"/>
      <c r="D319" s="25"/>
      <c r="E319" s="25"/>
      <c r="M319" s="12"/>
      <c r="N319" s="122"/>
      <c r="O319" s="122"/>
      <c r="P319" s="122"/>
      <c r="Q319" s="122"/>
    </row>
    <row r="320" spans="2:17" ht="14.25" customHeight="1" x14ac:dyDescent="0.3">
      <c r="B320" s="23"/>
      <c r="D320" s="25"/>
      <c r="E320" s="25"/>
      <c r="M320" s="12"/>
      <c r="N320" s="122"/>
      <c r="O320" s="122"/>
      <c r="P320" s="122"/>
      <c r="Q320" s="122"/>
    </row>
    <row r="321" spans="2:17" ht="14.25" customHeight="1" x14ac:dyDescent="0.3">
      <c r="B321" s="23"/>
      <c r="D321" s="25"/>
      <c r="E321" s="25"/>
      <c r="M321" s="12"/>
      <c r="N321" s="122"/>
      <c r="O321" s="122"/>
      <c r="P321" s="122"/>
      <c r="Q321" s="122"/>
    </row>
    <row r="322" spans="2:17" ht="14.25" customHeight="1" x14ac:dyDescent="0.3">
      <c r="B322" s="23"/>
      <c r="D322" s="25"/>
      <c r="E322" s="25"/>
      <c r="M322" s="12"/>
      <c r="N322" s="122"/>
      <c r="O322" s="122"/>
      <c r="P322" s="122"/>
      <c r="Q322" s="122"/>
    </row>
    <row r="323" spans="2:17" ht="14.25" customHeight="1" x14ac:dyDescent="0.3">
      <c r="B323" s="23"/>
      <c r="D323" s="25"/>
      <c r="E323" s="25"/>
      <c r="M323" s="12"/>
      <c r="N323" s="122"/>
      <c r="O323" s="122"/>
      <c r="P323" s="122"/>
      <c r="Q323" s="122"/>
    </row>
    <row r="324" spans="2:17" ht="14.25" customHeight="1" x14ac:dyDescent="0.3">
      <c r="B324" s="23"/>
      <c r="D324" s="25"/>
      <c r="E324" s="25"/>
      <c r="M324" s="12"/>
      <c r="N324" s="122"/>
      <c r="O324" s="122"/>
      <c r="P324" s="122"/>
      <c r="Q324" s="122"/>
    </row>
    <row r="325" spans="2:17" ht="14.25" customHeight="1" x14ac:dyDescent="0.3">
      <c r="B325" s="23"/>
      <c r="D325" s="25"/>
      <c r="E325" s="25"/>
      <c r="M325" s="12"/>
      <c r="N325" s="122"/>
      <c r="O325" s="122"/>
      <c r="P325" s="122"/>
      <c r="Q325" s="122"/>
    </row>
    <row r="326" spans="2:17" ht="14.25" customHeight="1" x14ac:dyDescent="0.3">
      <c r="B326" s="23"/>
      <c r="D326" s="25"/>
      <c r="E326" s="25"/>
      <c r="M326" s="12"/>
      <c r="N326" s="122"/>
      <c r="O326" s="122"/>
      <c r="P326" s="122"/>
      <c r="Q326" s="122"/>
    </row>
    <row r="327" spans="2:17" ht="14.25" customHeight="1" x14ac:dyDescent="0.3">
      <c r="B327" s="23"/>
      <c r="D327" s="25"/>
      <c r="E327" s="25"/>
      <c r="M327" s="12"/>
      <c r="N327" s="122"/>
      <c r="O327" s="122"/>
      <c r="P327" s="122"/>
      <c r="Q327" s="122"/>
    </row>
    <row r="328" spans="2:17" ht="14.25" customHeight="1" x14ac:dyDescent="0.3">
      <c r="B328" s="23"/>
      <c r="D328" s="25"/>
      <c r="E328" s="25"/>
      <c r="M328" s="12"/>
      <c r="N328" s="122"/>
      <c r="O328" s="122"/>
      <c r="P328" s="122"/>
      <c r="Q328" s="122"/>
    </row>
    <row r="329" spans="2:17" ht="14.25" customHeight="1" x14ac:dyDescent="0.3">
      <c r="B329" s="23"/>
      <c r="D329" s="25"/>
      <c r="E329" s="25"/>
      <c r="M329" s="12"/>
      <c r="N329" s="122"/>
      <c r="O329" s="122"/>
      <c r="P329" s="122"/>
      <c r="Q329" s="122"/>
    </row>
    <row r="330" spans="2:17" ht="14.25" customHeight="1" x14ac:dyDescent="0.3">
      <c r="B330" s="23"/>
      <c r="D330" s="25"/>
      <c r="E330" s="25"/>
      <c r="M330" s="12"/>
      <c r="N330" s="122"/>
      <c r="O330" s="122"/>
      <c r="P330" s="122"/>
      <c r="Q330" s="122"/>
    </row>
    <row r="331" spans="2:17" ht="14.25" customHeight="1" x14ac:dyDescent="0.3">
      <c r="B331" s="23"/>
      <c r="D331" s="25"/>
      <c r="E331" s="25"/>
      <c r="M331" s="12"/>
      <c r="N331" s="122"/>
      <c r="O331" s="122"/>
      <c r="P331" s="122"/>
      <c r="Q331" s="122"/>
    </row>
    <row r="332" spans="2:17" ht="14.25" customHeight="1" x14ac:dyDescent="0.3">
      <c r="B332" s="23"/>
      <c r="D332" s="25"/>
      <c r="E332" s="25"/>
      <c r="M332" s="12"/>
      <c r="N332" s="122"/>
      <c r="O332" s="122"/>
      <c r="P332" s="122"/>
      <c r="Q332" s="122"/>
    </row>
    <row r="333" spans="2:17" ht="14.25" customHeight="1" x14ac:dyDescent="0.3">
      <c r="B333" s="23"/>
      <c r="D333" s="25"/>
      <c r="E333" s="25"/>
      <c r="M333" s="12"/>
      <c r="N333" s="122"/>
      <c r="O333" s="122"/>
      <c r="P333" s="122"/>
      <c r="Q333" s="122"/>
    </row>
    <row r="334" spans="2:17" ht="14.25" customHeight="1" x14ac:dyDescent="0.3">
      <c r="B334" s="23"/>
      <c r="D334" s="25"/>
      <c r="E334" s="25"/>
      <c r="M334" s="12"/>
      <c r="N334" s="122"/>
      <c r="O334" s="122"/>
      <c r="P334" s="122"/>
      <c r="Q334" s="122"/>
    </row>
    <row r="335" spans="2:17" ht="14.25" customHeight="1" x14ac:dyDescent="0.3">
      <c r="B335" s="23"/>
      <c r="D335" s="25"/>
      <c r="E335" s="25"/>
      <c r="M335" s="12"/>
      <c r="N335" s="122"/>
      <c r="O335" s="122"/>
      <c r="P335" s="122"/>
      <c r="Q335" s="122"/>
    </row>
    <row r="336" spans="2:17" ht="14.25" customHeight="1" x14ac:dyDescent="0.3">
      <c r="B336" s="23"/>
      <c r="D336" s="25"/>
      <c r="E336" s="25"/>
      <c r="M336" s="12"/>
      <c r="N336" s="122"/>
      <c r="O336" s="122"/>
      <c r="P336" s="122"/>
      <c r="Q336" s="122"/>
    </row>
    <row r="337" spans="2:17" ht="14.25" customHeight="1" x14ac:dyDescent="0.3">
      <c r="B337" s="23"/>
      <c r="D337" s="25"/>
      <c r="E337" s="25"/>
      <c r="M337" s="12"/>
      <c r="N337" s="122"/>
      <c r="O337" s="122"/>
      <c r="P337" s="122"/>
      <c r="Q337" s="122"/>
    </row>
    <row r="338" spans="2:17" ht="14.25" customHeight="1" x14ac:dyDescent="0.3">
      <c r="B338" s="23"/>
      <c r="D338" s="25"/>
      <c r="E338" s="25"/>
      <c r="M338" s="12"/>
      <c r="N338" s="122"/>
      <c r="O338" s="122"/>
      <c r="P338" s="122"/>
      <c r="Q338" s="122"/>
    </row>
    <row r="339" spans="2:17" ht="14.25" customHeight="1" x14ac:dyDescent="0.3">
      <c r="B339" s="23"/>
      <c r="D339" s="25"/>
      <c r="E339" s="25"/>
      <c r="M339" s="12"/>
      <c r="N339" s="122"/>
      <c r="O339" s="122"/>
      <c r="P339" s="122"/>
      <c r="Q339" s="122"/>
    </row>
    <row r="340" spans="2:17" ht="14.25" customHeight="1" x14ac:dyDescent="0.3">
      <c r="B340" s="23"/>
      <c r="D340" s="25"/>
      <c r="E340" s="25"/>
      <c r="M340" s="12"/>
      <c r="N340" s="122"/>
      <c r="O340" s="122"/>
      <c r="P340" s="122"/>
      <c r="Q340" s="122"/>
    </row>
    <row r="341" spans="2:17" ht="14.25" customHeight="1" x14ac:dyDescent="0.3">
      <c r="B341" s="23"/>
      <c r="D341" s="25"/>
      <c r="E341" s="25"/>
      <c r="M341" s="12"/>
      <c r="N341" s="122"/>
      <c r="O341" s="122"/>
      <c r="P341" s="122"/>
      <c r="Q341" s="122"/>
    </row>
    <row r="342" spans="2:17" ht="14.25" customHeight="1" x14ac:dyDescent="0.3">
      <c r="B342" s="23"/>
      <c r="D342" s="25"/>
      <c r="E342" s="25"/>
      <c r="M342" s="12"/>
      <c r="N342" s="122"/>
      <c r="O342" s="122"/>
      <c r="P342" s="122"/>
      <c r="Q342" s="122"/>
    </row>
    <row r="343" spans="2:17" ht="14.25" customHeight="1" x14ac:dyDescent="0.3">
      <c r="B343" s="23"/>
      <c r="D343" s="25"/>
      <c r="E343" s="25"/>
      <c r="M343" s="12"/>
      <c r="N343" s="122"/>
      <c r="O343" s="122"/>
      <c r="P343" s="122"/>
      <c r="Q343" s="122"/>
    </row>
    <row r="344" spans="2:17" ht="14.25" customHeight="1" x14ac:dyDescent="0.3">
      <c r="B344" s="23"/>
      <c r="D344" s="25"/>
      <c r="E344" s="25"/>
      <c r="M344" s="12"/>
      <c r="N344" s="122"/>
      <c r="O344" s="122"/>
      <c r="P344" s="122"/>
      <c r="Q344" s="122"/>
    </row>
    <row r="345" spans="2:17" ht="14.25" customHeight="1" x14ac:dyDescent="0.3">
      <c r="B345" s="23"/>
      <c r="D345" s="25"/>
      <c r="E345" s="25"/>
      <c r="M345" s="12"/>
      <c r="N345" s="122"/>
      <c r="O345" s="122"/>
      <c r="P345" s="122"/>
      <c r="Q345" s="122"/>
    </row>
    <row r="346" spans="2:17" ht="14.25" customHeight="1" x14ac:dyDescent="0.3">
      <c r="B346" s="23"/>
      <c r="D346" s="25"/>
      <c r="E346" s="25"/>
      <c r="M346" s="12"/>
      <c r="N346" s="122"/>
      <c r="O346" s="122"/>
      <c r="P346" s="122"/>
      <c r="Q346" s="122"/>
    </row>
    <row r="347" spans="2:17" ht="14.25" customHeight="1" x14ac:dyDescent="0.3">
      <c r="B347" s="23"/>
      <c r="D347" s="25"/>
      <c r="E347" s="25"/>
      <c r="M347" s="12"/>
      <c r="N347" s="122"/>
      <c r="O347" s="122"/>
      <c r="P347" s="122"/>
      <c r="Q347" s="122"/>
    </row>
    <row r="348" spans="2:17" ht="14.25" customHeight="1" x14ac:dyDescent="0.3">
      <c r="B348" s="23"/>
      <c r="D348" s="25"/>
      <c r="E348" s="25"/>
      <c r="M348" s="12"/>
      <c r="N348" s="122"/>
      <c r="O348" s="122"/>
      <c r="P348" s="122"/>
      <c r="Q348" s="122"/>
    </row>
    <row r="349" spans="2:17" ht="14.25" customHeight="1" x14ac:dyDescent="0.3">
      <c r="B349" s="23"/>
      <c r="D349" s="25"/>
      <c r="E349" s="25"/>
      <c r="M349" s="12"/>
      <c r="N349" s="122"/>
      <c r="O349" s="122"/>
      <c r="P349" s="122"/>
      <c r="Q349" s="122"/>
    </row>
    <row r="350" spans="2:17" ht="14.25" customHeight="1" x14ac:dyDescent="0.3">
      <c r="B350" s="23"/>
      <c r="D350" s="25"/>
      <c r="E350" s="25"/>
      <c r="M350" s="12"/>
      <c r="N350" s="122"/>
      <c r="O350" s="122"/>
      <c r="P350" s="122"/>
      <c r="Q350" s="122"/>
    </row>
    <row r="351" spans="2:17" ht="14.25" customHeight="1" x14ac:dyDescent="0.3">
      <c r="B351" s="23"/>
      <c r="D351" s="25"/>
      <c r="E351" s="25"/>
      <c r="M351" s="12"/>
      <c r="N351" s="122"/>
      <c r="O351" s="122"/>
      <c r="P351" s="122"/>
      <c r="Q351" s="122"/>
    </row>
    <row r="352" spans="2:17" ht="14.25" customHeight="1" x14ac:dyDescent="0.3">
      <c r="B352" s="23"/>
      <c r="D352" s="25"/>
      <c r="E352" s="25"/>
      <c r="M352" s="12"/>
      <c r="N352" s="122"/>
      <c r="O352" s="122"/>
      <c r="P352" s="122"/>
      <c r="Q352" s="122"/>
    </row>
    <row r="353" spans="2:17" ht="14.25" customHeight="1" x14ac:dyDescent="0.3">
      <c r="B353" s="23"/>
      <c r="D353" s="25"/>
      <c r="E353" s="25"/>
      <c r="M353" s="12"/>
      <c r="N353" s="122"/>
      <c r="O353" s="122"/>
      <c r="P353" s="122"/>
      <c r="Q353" s="122"/>
    </row>
    <row r="354" spans="2:17" ht="14.25" customHeight="1" x14ac:dyDescent="0.3">
      <c r="B354" s="23"/>
      <c r="D354" s="25"/>
      <c r="E354" s="25"/>
      <c r="M354" s="12"/>
      <c r="N354" s="122"/>
      <c r="O354" s="122"/>
      <c r="P354" s="122"/>
      <c r="Q354" s="122"/>
    </row>
    <row r="355" spans="2:17" ht="14.25" customHeight="1" x14ac:dyDescent="0.3">
      <c r="B355" s="23"/>
      <c r="D355" s="25"/>
      <c r="E355" s="25"/>
      <c r="M355" s="12"/>
      <c r="N355" s="122"/>
      <c r="O355" s="122"/>
      <c r="P355" s="122"/>
      <c r="Q355" s="122"/>
    </row>
    <row r="356" spans="2:17" ht="14.25" customHeight="1" x14ac:dyDescent="0.3">
      <c r="B356" s="23"/>
      <c r="D356" s="25"/>
      <c r="E356" s="25"/>
      <c r="M356" s="12"/>
      <c r="N356" s="122"/>
      <c r="O356" s="122"/>
      <c r="P356" s="122"/>
      <c r="Q356" s="122"/>
    </row>
    <row r="357" spans="2:17" ht="14.25" customHeight="1" x14ac:dyDescent="0.3">
      <c r="B357" s="23"/>
      <c r="D357" s="25"/>
      <c r="E357" s="25"/>
      <c r="M357" s="12"/>
      <c r="N357" s="122"/>
      <c r="O357" s="122"/>
      <c r="P357" s="122"/>
      <c r="Q357" s="122"/>
    </row>
    <row r="358" spans="2:17" ht="14.25" customHeight="1" x14ac:dyDescent="0.3">
      <c r="B358" s="23"/>
      <c r="D358" s="25"/>
      <c r="E358" s="25"/>
      <c r="M358" s="12"/>
      <c r="N358" s="122"/>
      <c r="O358" s="122"/>
      <c r="P358" s="122"/>
      <c r="Q358" s="122"/>
    </row>
    <row r="359" spans="2:17" ht="14.25" customHeight="1" x14ac:dyDescent="0.3">
      <c r="B359" s="23"/>
      <c r="D359" s="25"/>
      <c r="E359" s="25"/>
      <c r="M359" s="12"/>
      <c r="N359" s="122"/>
      <c r="O359" s="122"/>
      <c r="P359" s="122"/>
      <c r="Q359" s="122"/>
    </row>
    <row r="360" spans="2:17" ht="14.25" customHeight="1" x14ac:dyDescent="0.3">
      <c r="B360" s="23"/>
      <c r="D360" s="25"/>
      <c r="E360" s="25"/>
      <c r="M360" s="12"/>
      <c r="N360" s="122"/>
      <c r="O360" s="122"/>
      <c r="P360" s="122"/>
      <c r="Q360" s="122"/>
    </row>
    <row r="361" spans="2:17" ht="14.25" customHeight="1" x14ac:dyDescent="0.3">
      <c r="B361" s="23"/>
      <c r="D361" s="25"/>
      <c r="E361" s="25"/>
      <c r="M361" s="12"/>
      <c r="N361" s="122"/>
      <c r="O361" s="122"/>
      <c r="P361" s="122"/>
      <c r="Q361" s="122"/>
    </row>
    <row r="362" spans="2:17" ht="14.25" customHeight="1" x14ac:dyDescent="0.3">
      <c r="B362" s="23"/>
      <c r="D362" s="25"/>
      <c r="E362" s="25"/>
      <c r="M362" s="12"/>
      <c r="N362" s="122"/>
      <c r="O362" s="122"/>
      <c r="P362" s="122"/>
      <c r="Q362" s="122"/>
    </row>
    <row r="363" spans="2:17" ht="14.25" customHeight="1" x14ac:dyDescent="0.3">
      <c r="B363" s="23"/>
      <c r="D363" s="25"/>
      <c r="E363" s="25"/>
      <c r="M363" s="12"/>
      <c r="N363" s="122"/>
      <c r="O363" s="122"/>
      <c r="P363" s="122"/>
      <c r="Q363" s="122"/>
    </row>
    <row r="364" spans="2:17" ht="14.25" customHeight="1" x14ac:dyDescent="0.3">
      <c r="B364" s="23"/>
      <c r="D364" s="25"/>
      <c r="E364" s="25"/>
      <c r="M364" s="12"/>
      <c r="N364" s="122"/>
      <c r="O364" s="122"/>
      <c r="P364" s="122"/>
      <c r="Q364" s="122"/>
    </row>
    <row r="365" spans="2:17" ht="14.25" customHeight="1" x14ac:dyDescent="0.3">
      <c r="B365" s="23"/>
      <c r="D365" s="25"/>
      <c r="E365" s="25"/>
      <c r="M365" s="12"/>
      <c r="N365" s="122"/>
      <c r="O365" s="122"/>
      <c r="P365" s="122"/>
      <c r="Q365" s="122"/>
    </row>
    <row r="366" spans="2:17" ht="14.25" customHeight="1" x14ac:dyDescent="0.3">
      <c r="B366" s="23"/>
      <c r="D366" s="25"/>
      <c r="E366" s="25"/>
      <c r="M366" s="12"/>
      <c r="N366" s="122"/>
      <c r="O366" s="122"/>
      <c r="P366" s="122"/>
      <c r="Q366" s="122"/>
    </row>
    <row r="367" spans="2:17" ht="14.25" customHeight="1" x14ac:dyDescent="0.3">
      <c r="B367" s="23"/>
      <c r="D367" s="25"/>
      <c r="E367" s="25"/>
      <c r="M367" s="12"/>
      <c r="N367" s="122"/>
      <c r="O367" s="122"/>
      <c r="P367" s="122"/>
      <c r="Q367" s="122"/>
    </row>
    <row r="368" spans="2:17" ht="14.25" customHeight="1" x14ac:dyDescent="0.3">
      <c r="B368" s="23"/>
      <c r="D368" s="25"/>
      <c r="E368" s="25"/>
      <c r="M368" s="12"/>
      <c r="N368" s="122"/>
      <c r="O368" s="122"/>
      <c r="P368" s="122"/>
      <c r="Q368" s="122"/>
    </row>
    <row r="369" spans="2:17" ht="14.25" customHeight="1" x14ac:dyDescent="0.3">
      <c r="B369" s="23"/>
      <c r="D369" s="25"/>
      <c r="E369" s="25"/>
      <c r="M369" s="12"/>
      <c r="N369" s="122"/>
      <c r="O369" s="122"/>
      <c r="P369" s="122"/>
      <c r="Q369" s="122"/>
    </row>
    <row r="370" spans="2:17" ht="14.25" customHeight="1" x14ac:dyDescent="0.3">
      <c r="B370" s="23"/>
      <c r="D370" s="25"/>
      <c r="E370" s="25"/>
      <c r="M370" s="12"/>
      <c r="N370" s="122"/>
      <c r="O370" s="122"/>
      <c r="P370" s="122"/>
      <c r="Q370" s="122"/>
    </row>
    <row r="371" spans="2:17" ht="14.25" customHeight="1" x14ac:dyDescent="0.3">
      <c r="B371" s="23"/>
      <c r="D371" s="25"/>
      <c r="E371" s="25"/>
      <c r="M371" s="12"/>
      <c r="N371" s="122"/>
      <c r="O371" s="122"/>
      <c r="P371" s="122"/>
      <c r="Q371" s="122"/>
    </row>
    <row r="372" spans="2:17" ht="14.25" customHeight="1" x14ac:dyDescent="0.3">
      <c r="B372" s="23"/>
      <c r="D372" s="25"/>
      <c r="E372" s="25"/>
      <c r="M372" s="12"/>
      <c r="N372" s="122"/>
      <c r="O372" s="122"/>
      <c r="P372" s="122"/>
      <c r="Q372" s="122"/>
    </row>
    <row r="373" spans="2:17" ht="14.25" customHeight="1" x14ac:dyDescent="0.3">
      <c r="B373" s="23"/>
      <c r="D373" s="25"/>
      <c r="E373" s="25"/>
      <c r="M373" s="12"/>
      <c r="N373" s="122"/>
      <c r="O373" s="122"/>
      <c r="P373" s="122"/>
      <c r="Q373" s="122"/>
    </row>
    <row r="374" spans="2:17" ht="14.25" customHeight="1" x14ac:dyDescent="0.3">
      <c r="B374" s="23"/>
      <c r="D374" s="25"/>
      <c r="E374" s="25"/>
      <c r="M374" s="12"/>
      <c r="N374" s="122"/>
      <c r="O374" s="122"/>
      <c r="P374" s="122"/>
      <c r="Q374" s="122"/>
    </row>
    <row r="375" spans="2:17" ht="14.25" customHeight="1" x14ac:dyDescent="0.3">
      <c r="B375" s="23"/>
      <c r="D375" s="25"/>
      <c r="E375" s="25"/>
      <c r="M375" s="12"/>
      <c r="N375" s="122"/>
      <c r="O375" s="122"/>
      <c r="P375" s="122"/>
      <c r="Q375" s="122"/>
    </row>
    <row r="376" spans="2:17" ht="14.25" customHeight="1" x14ac:dyDescent="0.3">
      <c r="B376" s="23"/>
      <c r="D376" s="25"/>
      <c r="E376" s="25"/>
      <c r="M376" s="12"/>
      <c r="N376" s="122"/>
      <c r="O376" s="122"/>
      <c r="P376" s="122"/>
      <c r="Q376" s="122"/>
    </row>
    <row r="377" spans="2:17" ht="14.25" customHeight="1" x14ac:dyDescent="0.3">
      <c r="B377" s="23"/>
      <c r="D377" s="25"/>
      <c r="E377" s="25"/>
      <c r="M377" s="12"/>
      <c r="N377" s="122"/>
      <c r="O377" s="122"/>
      <c r="P377" s="122"/>
      <c r="Q377" s="122"/>
    </row>
    <row r="378" spans="2:17" ht="14.25" customHeight="1" x14ac:dyDescent="0.3">
      <c r="B378" s="23"/>
      <c r="D378" s="25"/>
      <c r="E378" s="25"/>
      <c r="M378" s="12"/>
      <c r="N378" s="122"/>
      <c r="O378" s="122"/>
      <c r="P378" s="122"/>
      <c r="Q378" s="122"/>
    </row>
    <row r="379" spans="2:17" ht="14.25" customHeight="1" x14ac:dyDescent="0.3">
      <c r="B379" s="23"/>
      <c r="D379" s="25"/>
      <c r="E379" s="25"/>
      <c r="M379" s="12"/>
      <c r="N379" s="122"/>
      <c r="O379" s="122"/>
      <c r="P379" s="122"/>
      <c r="Q379" s="122"/>
    </row>
    <row r="380" spans="2:17" ht="14.25" customHeight="1" x14ac:dyDescent="0.3">
      <c r="B380" s="23"/>
      <c r="D380" s="25"/>
      <c r="E380" s="25"/>
      <c r="M380" s="12"/>
      <c r="N380" s="122"/>
      <c r="O380" s="122"/>
      <c r="P380" s="122"/>
      <c r="Q380" s="122"/>
    </row>
    <row r="381" spans="2:17" ht="14.25" customHeight="1" x14ac:dyDescent="0.3">
      <c r="B381" s="23"/>
      <c r="D381" s="25"/>
      <c r="E381" s="25"/>
      <c r="M381" s="12"/>
      <c r="N381" s="122"/>
      <c r="O381" s="122"/>
      <c r="P381" s="122"/>
      <c r="Q381" s="122"/>
    </row>
    <row r="382" spans="2:17" ht="14.25" customHeight="1" x14ac:dyDescent="0.3">
      <c r="B382" s="23"/>
      <c r="D382" s="25"/>
      <c r="E382" s="25"/>
      <c r="M382" s="12"/>
      <c r="N382" s="122"/>
      <c r="O382" s="122"/>
      <c r="P382" s="122"/>
      <c r="Q382" s="122"/>
    </row>
    <row r="383" spans="2:17" ht="14.25" customHeight="1" x14ac:dyDescent="0.3">
      <c r="B383" s="23"/>
      <c r="D383" s="25"/>
      <c r="E383" s="25"/>
      <c r="M383" s="12"/>
      <c r="N383" s="122"/>
      <c r="O383" s="122"/>
      <c r="P383" s="122"/>
      <c r="Q383" s="122"/>
    </row>
    <row r="384" spans="2:17" ht="14.25" customHeight="1" x14ac:dyDescent="0.3">
      <c r="B384" s="23"/>
      <c r="D384" s="25"/>
      <c r="E384" s="25"/>
      <c r="M384" s="12"/>
      <c r="N384" s="122"/>
      <c r="O384" s="122"/>
      <c r="P384" s="122"/>
      <c r="Q384" s="122"/>
    </row>
    <row r="385" spans="2:17" ht="14.25" customHeight="1" x14ac:dyDescent="0.3">
      <c r="B385" s="23"/>
      <c r="D385" s="25"/>
      <c r="E385" s="25"/>
      <c r="M385" s="12"/>
      <c r="N385" s="122"/>
      <c r="O385" s="122"/>
      <c r="P385" s="122"/>
      <c r="Q385" s="122"/>
    </row>
    <row r="386" spans="2:17" ht="14.25" customHeight="1" x14ac:dyDescent="0.3">
      <c r="B386" s="23"/>
      <c r="D386" s="25"/>
      <c r="E386" s="25"/>
      <c r="M386" s="12"/>
      <c r="N386" s="122"/>
      <c r="O386" s="122"/>
      <c r="P386" s="122"/>
      <c r="Q386" s="122"/>
    </row>
    <row r="387" spans="2:17" ht="14.25" customHeight="1" x14ac:dyDescent="0.3">
      <c r="B387" s="23"/>
      <c r="D387" s="25"/>
      <c r="E387" s="25"/>
      <c r="M387" s="12"/>
      <c r="N387" s="122"/>
      <c r="O387" s="122"/>
      <c r="P387" s="122"/>
      <c r="Q387" s="122"/>
    </row>
    <row r="388" spans="2:17" ht="14.25" customHeight="1" x14ac:dyDescent="0.3">
      <c r="B388" s="23"/>
      <c r="D388" s="25"/>
      <c r="E388" s="25"/>
      <c r="M388" s="12"/>
      <c r="N388" s="122"/>
      <c r="O388" s="122"/>
      <c r="P388" s="122"/>
      <c r="Q388" s="122"/>
    </row>
    <row r="389" spans="2:17" ht="14.25" customHeight="1" x14ac:dyDescent="0.3">
      <c r="B389" s="23"/>
      <c r="D389" s="25"/>
      <c r="E389" s="25"/>
      <c r="M389" s="12"/>
      <c r="N389" s="122"/>
      <c r="O389" s="122"/>
      <c r="P389" s="122"/>
      <c r="Q389" s="122"/>
    </row>
    <row r="390" spans="2:17" ht="14.25" customHeight="1" x14ac:dyDescent="0.3">
      <c r="B390" s="23"/>
      <c r="D390" s="25"/>
      <c r="E390" s="25"/>
      <c r="M390" s="12"/>
      <c r="N390" s="122"/>
      <c r="O390" s="122"/>
      <c r="P390" s="122"/>
      <c r="Q390" s="122"/>
    </row>
    <row r="391" spans="2:17" ht="14.25" customHeight="1" x14ac:dyDescent="0.3">
      <c r="B391" s="23"/>
      <c r="D391" s="25"/>
      <c r="E391" s="25"/>
      <c r="M391" s="12"/>
      <c r="N391" s="122"/>
      <c r="O391" s="122"/>
      <c r="P391" s="122"/>
      <c r="Q391" s="122"/>
    </row>
    <row r="392" spans="2:17" ht="14.25" customHeight="1" x14ac:dyDescent="0.3">
      <c r="B392" s="23"/>
      <c r="D392" s="25"/>
      <c r="E392" s="25"/>
      <c r="M392" s="12"/>
      <c r="N392" s="122"/>
      <c r="O392" s="122"/>
      <c r="P392" s="122"/>
      <c r="Q392" s="122"/>
    </row>
    <row r="393" spans="2:17" ht="14.25" customHeight="1" x14ac:dyDescent="0.3">
      <c r="B393" s="23"/>
      <c r="D393" s="25"/>
      <c r="E393" s="25"/>
      <c r="M393" s="12"/>
      <c r="N393" s="122"/>
      <c r="O393" s="122"/>
      <c r="P393" s="122"/>
      <c r="Q393" s="122"/>
    </row>
    <row r="394" spans="2:17" ht="14.25" customHeight="1" x14ac:dyDescent="0.3">
      <c r="B394" s="23"/>
      <c r="D394" s="25"/>
      <c r="E394" s="25"/>
      <c r="M394" s="12"/>
      <c r="N394" s="122"/>
      <c r="O394" s="122"/>
      <c r="P394" s="122"/>
      <c r="Q394" s="122"/>
    </row>
    <row r="395" spans="2:17" ht="14.25" customHeight="1" x14ac:dyDescent="0.3">
      <c r="B395" s="23"/>
      <c r="D395" s="25"/>
      <c r="E395" s="25"/>
      <c r="M395" s="12"/>
      <c r="N395" s="122"/>
      <c r="O395" s="122"/>
      <c r="P395" s="122"/>
      <c r="Q395" s="122"/>
    </row>
    <row r="396" spans="2:17" ht="14.25" customHeight="1" x14ac:dyDescent="0.3">
      <c r="B396" s="23"/>
      <c r="D396" s="25"/>
      <c r="E396" s="25"/>
      <c r="M396" s="12"/>
      <c r="N396" s="122"/>
      <c r="O396" s="122"/>
      <c r="P396" s="122"/>
      <c r="Q396" s="122"/>
    </row>
    <row r="397" spans="2:17" ht="14.25" customHeight="1" x14ac:dyDescent="0.3">
      <c r="B397" s="23"/>
      <c r="D397" s="25"/>
      <c r="E397" s="25"/>
      <c r="M397" s="12"/>
      <c r="N397" s="122"/>
      <c r="O397" s="122"/>
      <c r="P397" s="122"/>
      <c r="Q397" s="122"/>
    </row>
    <row r="398" spans="2:17" ht="14.25" customHeight="1" x14ac:dyDescent="0.3">
      <c r="B398" s="23"/>
      <c r="D398" s="25"/>
      <c r="E398" s="25"/>
      <c r="M398" s="12"/>
      <c r="N398" s="122"/>
      <c r="O398" s="122"/>
      <c r="P398" s="122"/>
      <c r="Q398" s="122"/>
    </row>
    <row r="399" spans="2:17" ht="14.25" customHeight="1" x14ac:dyDescent="0.3">
      <c r="B399" s="23"/>
      <c r="D399" s="25"/>
      <c r="E399" s="25"/>
      <c r="M399" s="12"/>
      <c r="N399" s="122"/>
      <c r="O399" s="122"/>
      <c r="P399" s="122"/>
      <c r="Q399" s="122"/>
    </row>
    <row r="400" spans="2:17" ht="14.25" customHeight="1" x14ac:dyDescent="0.3">
      <c r="B400" s="23"/>
      <c r="D400" s="25"/>
      <c r="E400" s="25"/>
      <c r="M400" s="12"/>
      <c r="N400" s="122"/>
      <c r="O400" s="122"/>
      <c r="P400" s="122"/>
      <c r="Q400" s="122"/>
    </row>
    <row r="401" spans="2:17" ht="14.25" customHeight="1" x14ac:dyDescent="0.3">
      <c r="B401" s="23"/>
      <c r="D401" s="25"/>
      <c r="E401" s="25"/>
      <c r="M401" s="12"/>
      <c r="N401" s="122"/>
      <c r="O401" s="122"/>
      <c r="P401" s="122"/>
      <c r="Q401" s="122"/>
    </row>
    <row r="402" spans="2:17" ht="14.25" customHeight="1" x14ac:dyDescent="0.3">
      <c r="B402" s="23"/>
      <c r="D402" s="25"/>
      <c r="E402" s="25"/>
      <c r="M402" s="12"/>
      <c r="N402" s="122"/>
      <c r="O402" s="122"/>
      <c r="P402" s="122"/>
      <c r="Q402" s="122"/>
    </row>
    <row r="403" spans="2:17" ht="14.25" customHeight="1" x14ac:dyDescent="0.3">
      <c r="B403" s="23"/>
      <c r="D403" s="25"/>
      <c r="E403" s="25"/>
      <c r="M403" s="12"/>
      <c r="N403" s="122"/>
      <c r="O403" s="122"/>
      <c r="P403" s="122"/>
      <c r="Q403" s="122"/>
    </row>
    <row r="404" spans="2:17" ht="14.25" customHeight="1" x14ac:dyDescent="0.3">
      <c r="B404" s="23"/>
      <c r="D404" s="25"/>
      <c r="E404" s="25"/>
      <c r="M404" s="12"/>
      <c r="N404" s="122"/>
      <c r="O404" s="122"/>
      <c r="P404" s="122"/>
      <c r="Q404" s="122"/>
    </row>
    <row r="405" spans="2:17" ht="14.25" customHeight="1" x14ac:dyDescent="0.3">
      <c r="B405" s="23"/>
      <c r="D405" s="25"/>
      <c r="E405" s="25"/>
      <c r="M405" s="12"/>
      <c r="N405" s="122"/>
      <c r="O405" s="122"/>
      <c r="P405" s="122"/>
      <c r="Q405" s="122"/>
    </row>
    <row r="406" spans="2:17" ht="14.25" customHeight="1" x14ac:dyDescent="0.3">
      <c r="B406" s="23"/>
      <c r="D406" s="25"/>
      <c r="E406" s="25"/>
      <c r="M406" s="12"/>
      <c r="N406" s="122"/>
      <c r="O406" s="122"/>
      <c r="P406" s="122"/>
      <c r="Q406" s="122"/>
    </row>
    <row r="407" spans="2:17" ht="14.25" customHeight="1" x14ac:dyDescent="0.3">
      <c r="B407" s="23"/>
      <c r="D407" s="25"/>
      <c r="E407" s="25"/>
      <c r="M407" s="12"/>
      <c r="N407" s="122"/>
      <c r="O407" s="122"/>
      <c r="P407" s="122"/>
      <c r="Q407" s="122"/>
    </row>
    <row r="408" spans="2:17" ht="14.25" customHeight="1" x14ac:dyDescent="0.3">
      <c r="B408" s="23"/>
      <c r="D408" s="25"/>
      <c r="E408" s="25"/>
      <c r="M408" s="12"/>
      <c r="N408" s="122"/>
      <c r="O408" s="122"/>
      <c r="P408" s="122"/>
      <c r="Q408" s="122"/>
    </row>
    <row r="409" spans="2:17" ht="14.25" customHeight="1" x14ac:dyDescent="0.3">
      <c r="B409" s="23"/>
      <c r="D409" s="25"/>
      <c r="E409" s="25"/>
      <c r="M409" s="12"/>
      <c r="N409" s="122"/>
      <c r="O409" s="122"/>
      <c r="P409" s="122"/>
      <c r="Q409" s="122"/>
    </row>
    <row r="410" spans="2:17" ht="14.25" customHeight="1" x14ac:dyDescent="0.3">
      <c r="B410" s="23"/>
      <c r="D410" s="25"/>
      <c r="E410" s="25"/>
      <c r="M410" s="12"/>
      <c r="N410" s="122"/>
      <c r="O410" s="122"/>
      <c r="P410" s="122"/>
      <c r="Q410" s="122"/>
    </row>
    <row r="411" spans="2:17" ht="14.25" customHeight="1" x14ac:dyDescent="0.3">
      <c r="B411" s="23"/>
      <c r="D411" s="25"/>
      <c r="E411" s="25"/>
      <c r="M411" s="12"/>
      <c r="N411" s="122"/>
      <c r="O411" s="122"/>
      <c r="P411" s="122"/>
      <c r="Q411" s="122"/>
    </row>
    <row r="412" spans="2:17" ht="14.25" customHeight="1" x14ac:dyDescent="0.3">
      <c r="B412" s="23"/>
      <c r="D412" s="25"/>
      <c r="E412" s="25"/>
      <c r="M412" s="12"/>
      <c r="N412" s="122"/>
      <c r="O412" s="122"/>
      <c r="P412" s="122"/>
      <c r="Q412" s="122"/>
    </row>
    <row r="413" spans="2:17" ht="14.25" customHeight="1" x14ac:dyDescent="0.3">
      <c r="B413" s="23"/>
      <c r="D413" s="25"/>
      <c r="E413" s="25"/>
      <c r="M413" s="12"/>
      <c r="N413" s="122"/>
      <c r="O413" s="122"/>
      <c r="P413" s="122"/>
      <c r="Q413" s="122"/>
    </row>
    <row r="414" spans="2:17" ht="14.25" customHeight="1" x14ac:dyDescent="0.3">
      <c r="B414" s="23"/>
      <c r="D414" s="25"/>
      <c r="E414" s="25"/>
      <c r="M414" s="12"/>
      <c r="N414" s="122"/>
      <c r="O414" s="122"/>
      <c r="P414" s="122"/>
      <c r="Q414" s="122"/>
    </row>
    <row r="415" spans="2:17" ht="14.25" customHeight="1" x14ac:dyDescent="0.3">
      <c r="B415" s="23"/>
      <c r="D415" s="25"/>
      <c r="E415" s="25"/>
      <c r="M415" s="12"/>
      <c r="N415" s="122"/>
      <c r="O415" s="122"/>
      <c r="P415" s="122"/>
      <c r="Q415" s="122"/>
    </row>
    <row r="416" spans="2:17" ht="14.25" customHeight="1" x14ac:dyDescent="0.3">
      <c r="B416" s="23"/>
      <c r="D416" s="25"/>
      <c r="E416" s="25"/>
      <c r="M416" s="12"/>
      <c r="N416" s="122"/>
      <c r="O416" s="122"/>
      <c r="P416" s="122"/>
      <c r="Q416" s="122"/>
    </row>
    <row r="417" spans="2:17" ht="14.25" customHeight="1" x14ac:dyDescent="0.3">
      <c r="B417" s="23"/>
      <c r="D417" s="25"/>
      <c r="E417" s="25"/>
      <c r="M417" s="12"/>
      <c r="N417" s="122"/>
      <c r="O417" s="122"/>
      <c r="P417" s="122"/>
      <c r="Q417" s="122"/>
    </row>
    <row r="418" spans="2:17" ht="14.25" customHeight="1" x14ac:dyDescent="0.3">
      <c r="B418" s="23"/>
      <c r="D418" s="25"/>
      <c r="E418" s="25"/>
      <c r="M418" s="12"/>
      <c r="N418" s="122"/>
      <c r="O418" s="122"/>
      <c r="P418" s="122"/>
      <c r="Q418" s="122"/>
    </row>
    <row r="419" spans="2:17" ht="14.25" customHeight="1" x14ac:dyDescent="0.3">
      <c r="B419" s="23"/>
      <c r="D419" s="25"/>
      <c r="E419" s="25"/>
      <c r="M419" s="12"/>
      <c r="N419" s="122"/>
      <c r="O419" s="122"/>
      <c r="P419" s="122"/>
      <c r="Q419" s="122"/>
    </row>
    <row r="420" spans="2:17" ht="14.25" customHeight="1" x14ac:dyDescent="0.3">
      <c r="B420" s="23"/>
      <c r="D420" s="25"/>
      <c r="E420" s="25"/>
      <c r="M420" s="12"/>
      <c r="N420" s="122"/>
      <c r="O420" s="122"/>
      <c r="P420" s="122"/>
      <c r="Q420" s="122"/>
    </row>
    <row r="421" spans="2:17" ht="14.25" customHeight="1" x14ac:dyDescent="0.3">
      <c r="B421" s="23"/>
      <c r="D421" s="25"/>
      <c r="E421" s="25"/>
      <c r="M421" s="12"/>
      <c r="N421" s="122"/>
      <c r="O421" s="122"/>
      <c r="P421" s="122"/>
      <c r="Q421" s="122"/>
    </row>
    <row r="422" spans="2:17" ht="14.25" customHeight="1" x14ac:dyDescent="0.3">
      <c r="B422" s="23"/>
      <c r="D422" s="25"/>
      <c r="E422" s="25"/>
      <c r="M422" s="12"/>
      <c r="N422" s="122"/>
      <c r="O422" s="122"/>
      <c r="P422" s="122"/>
      <c r="Q422" s="122"/>
    </row>
    <row r="423" spans="2:17" ht="14.25" customHeight="1" x14ac:dyDescent="0.3">
      <c r="B423" s="23"/>
      <c r="D423" s="25"/>
      <c r="E423" s="25"/>
      <c r="M423" s="12"/>
      <c r="N423" s="122"/>
      <c r="O423" s="122"/>
      <c r="P423" s="122"/>
      <c r="Q423" s="122"/>
    </row>
    <row r="424" spans="2:17" ht="14.25" customHeight="1" x14ac:dyDescent="0.3">
      <c r="B424" s="23"/>
      <c r="D424" s="25"/>
      <c r="E424" s="25"/>
      <c r="M424" s="12"/>
      <c r="N424" s="122"/>
      <c r="O424" s="122"/>
      <c r="P424" s="122"/>
      <c r="Q424" s="122"/>
    </row>
    <row r="425" spans="2:17" ht="14.25" customHeight="1" x14ac:dyDescent="0.3">
      <c r="B425" s="23"/>
      <c r="D425" s="25"/>
      <c r="E425" s="25"/>
      <c r="M425" s="12"/>
      <c r="N425" s="122"/>
      <c r="O425" s="122"/>
      <c r="P425" s="122"/>
      <c r="Q425" s="122"/>
    </row>
    <row r="426" spans="2:17" ht="14.25" customHeight="1" x14ac:dyDescent="0.3">
      <c r="B426" s="23"/>
      <c r="D426" s="25"/>
      <c r="E426" s="25"/>
      <c r="M426" s="12"/>
      <c r="N426" s="122"/>
      <c r="O426" s="122"/>
      <c r="P426" s="122"/>
      <c r="Q426" s="122"/>
    </row>
    <row r="427" spans="2:17" ht="14.25" customHeight="1" x14ac:dyDescent="0.3">
      <c r="B427" s="23"/>
      <c r="D427" s="25"/>
      <c r="E427" s="25"/>
      <c r="M427" s="12"/>
      <c r="N427" s="122"/>
      <c r="O427" s="122"/>
      <c r="P427" s="122"/>
      <c r="Q427" s="122"/>
    </row>
    <row r="428" spans="2:17" ht="14.25" customHeight="1" x14ac:dyDescent="0.3">
      <c r="B428" s="23"/>
      <c r="D428" s="25"/>
      <c r="E428" s="25"/>
      <c r="M428" s="12"/>
      <c r="N428" s="122"/>
      <c r="O428" s="122"/>
      <c r="P428" s="122"/>
      <c r="Q428" s="122"/>
    </row>
    <row r="429" spans="2:17" ht="14.25" customHeight="1" x14ac:dyDescent="0.3">
      <c r="B429" s="23"/>
      <c r="D429" s="25"/>
      <c r="E429" s="25"/>
      <c r="M429" s="12"/>
      <c r="N429" s="122"/>
      <c r="O429" s="122"/>
      <c r="P429" s="122"/>
      <c r="Q429" s="122"/>
    </row>
    <row r="430" spans="2:17" ht="14.25" customHeight="1" x14ac:dyDescent="0.3">
      <c r="B430" s="23"/>
      <c r="D430" s="25"/>
      <c r="E430" s="25"/>
      <c r="M430" s="12"/>
      <c r="N430" s="122"/>
      <c r="O430" s="122"/>
      <c r="P430" s="122"/>
      <c r="Q430" s="122"/>
    </row>
    <row r="431" spans="2:17" ht="14.25" customHeight="1" x14ac:dyDescent="0.3">
      <c r="B431" s="23"/>
      <c r="D431" s="25"/>
      <c r="E431" s="25"/>
      <c r="M431" s="12"/>
      <c r="N431" s="122"/>
      <c r="O431" s="122"/>
      <c r="P431" s="122"/>
      <c r="Q431" s="122"/>
    </row>
    <row r="432" spans="2:17" ht="14.25" customHeight="1" x14ac:dyDescent="0.3">
      <c r="B432" s="23"/>
      <c r="D432" s="25"/>
      <c r="E432" s="25"/>
      <c r="M432" s="12"/>
      <c r="N432" s="122"/>
      <c r="O432" s="122"/>
      <c r="P432" s="122"/>
      <c r="Q432" s="122"/>
    </row>
    <row r="433" spans="2:17" ht="14.25" customHeight="1" x14ac:dyDescent="0.3">
      <c r="B433" s="23"/>
      <c r="D433" s="25"/>
      <c r="E433" s="25"/>
      <c r="M433" s="12"/>
      <c r="N433" s="122"/>
      <c r="O433" s="122"/>
      <c r="P433" s="122"/>
      <c r="Q433" s="122"/>
    </row>
    <row r="434" spans="2:17" ht="14.25" customHeight="1" x14ac:dyDescent="0.3">
      <c r="B434" s="23"/>
      <c r="D434" s="25"/>
      <c r="E434" s="25"/>
      <c r="M434" s="12"/>
      <c r="N434" s="122"/>
      <c r="O434" s="122"/>
      <c r="P434" s="122"/>
      <c r="Q434" s="122"/>
    </row>
    <row r="435" spans="2:17" ht="14.25" customHeight="1" x14ac:dyDescent="0.3">
      <c r="B435" s="23"/>
      <c r="D435" s="25"/>
      <c r="E435" s="25"/>
      <c r="M435" s="12"/>
      <c r="N435" s="122"/>
      <c r="O435" s="122"/>
      <c r="P435" s="122"/>
      <c r="Q435" s="122"/>
    </row>
    <row r="436" spans="2:17" ht="14.25" customHeight="1" x14ac:dyDescent="0.3">
      <c r="B436" s="23"/>
      <c r="D436" s="25"/>
      <c r="E436" s="25"/>
      <c r="M436" s="12"/>
      <c r="N436" s="122"/>
      <c r="O436" s="122"/>
      <c r="P436" s="122"/>
      <c r="Q436" s="122"/>
    </row>
    <row r="437" spans="2:17" ht="14.25" customHeight="1" x14ac:dyDescent="0.3">
      <c r="B437" s="23"/>
      <c r="D437" s="25"/>
      <c r="E437" s="25"/>
      <c r="M437" s="12"/>
      <c r="N437" s="122"/>
      <c r="O437" s="122"/>
      <c r="P437" s="122"/>
      <c r="Q437" s="122"/>
    </row>
    <row r="438" spans="2:17" ht="14.25" customHeight="1" x14ac:dyDescent="0.3">
      <c r="B438" s="23"/>
      <c r="D438" s="25"/>
      <c r="E438" s="25"/>
      <c r="M438" s="12"/>
      <c r="N438" s="122"/>
      <c r="O438" s="122"/>
      <c r="P438" s="122"/>
      <c r="Q438" s="122"/>
    </row>
    <row r="439" spans="2:17" ht="14.25" customHeight="1" x14ac:dyDescent="0.3">
      <c r="B439" s="23"/>
      <c r="D439" s="25"/>
      <c r="E439" s="25"/>
      <c r="M439" s="12"/>
      <c r="N439" s="122"/>
      <c r="O439" s="122"/>
      <c r="P439" s="122"/>
      <c r="Q439" s="122"/>
    </row>
    <row r="440" spans="2:17" ht="14.25" customHeight="1" x14ac:dyDescent="0.3">
      <c r="B440" s="23"/>
      <c r="D440" s="25"/>
      <c r="E440" s="25"/>
      <c r="M440" s="12"/>
      <c r="N440" s="122"/>
      <c r="O440" s="122"/>
      <c r="P440" s="122"/>
      <c r="Q440" s="122"/>
    </row>
    <row r="441" spans="2:17" ht="14.25" customHeight="1" x14ac:dyDescent="0.3">
      <c r="B441" s="23"/>
      <c r="D441" s="25"/>
      <c r="E441" s="25"/>
      <c r="M441" s="12"/>
      <c r="N441" s="122"/>
      <c r="O441" s="122"/>
      <c r="P441" s="122"/>
      <c r="Q441" s="122"/>
    </row>
    <row r="442" spans="2:17" ht="14.25" customHeight="1" x14ac:dyDescent="0.3">
      <c r="B442" s="23"/>
      <c r="D442" s="25"/>
      <c r="E442" s="25"/>
      <c r="M442" s="12"/>
      <c r="N442" s="122"/>
      <c r="O442" s="122"/>
      <c r="P442" s="122"/>
      <c r="Q442" s="122"/>
    </row>
    <row r="443" spans="2:17" ht="14.25" customHeight="1" x14ac:dyDescent="0.3">
      <c r="B443" s="23"/>
      <c r="D443" s="25"/>
      <c r="E443" s="25"/>
      <c r="M443" s="12"/>
      <c r="N443" s="122"/>
      <c r="O443" s="122"/>
      <c r="P443" s="122"/>
      <c r="Q443" s="122"/>
    </row>
    <row r="444" spans="2:17" ht="14.25" customHeight="1" x14ac:dyDescent="0.3">
      <c r="B444" s="23"/>
      <c r="D444" s="25"/>
      <c r="E444" s="25"/>
      <c r="M444" s="12"/>
      <c r="N444" s="122"/>
      <c r="O444" s="122"/>
      <c r="P444" s="122"/>
      <c r="Q444" s="122"/>
    </row>
    <row r="445" spans="2:17" ht="14.25" customHeight="1" x14ac:dyDescent="0.3">
      <c r="B445" s="23"/>
      <c r="D445" s="25"/>
      <c r="E445" s="25"/>
      <c r="M445" s="12"/>
      <c r="N445" s="122"/>
      <c r="O445" s="122"/>
      <c r="P445" s="122"/>
      <c r="Q445" s="122"/>
    </row>
    <row r="446" spans="2:17" ht="14.25" customHeight="1" x14ac:dyDescent="0.3">
      <c r="B446" s="23"/>
      <c r="D446" s="25"/>
      <c r="E446" s="25"/>
      <c r="M446" s="12"/>
      <c r="N446" s="122"/>
      <c r="O446" s="122"/>
      <c r="P446" s="122"/>
      <c r="Q446" s="122"/>
    </row>
    <row r="447" spans="2:17" ht="14.25" customHeight="1" x14ac:dyDescent="0.3">
      <c r="B447" s="23"/>
      <c r="D447" s="25"/>
      <c r="E447" s="25"/>
      <c r="M447" s="12"/>
      <c r="N447" s="122"/>
      <c r="O447" s="122"/>
      <c r="P447" s="122"/>
      <c r="Q447" s="122"/>
    </row>
    <row r="448" spans="2:17" ht="14.25" customHeight="1" x14ac:dyDescent="0.3">
      <c r="B448" s="23"/>
      <c r="D448" s="25"/>
      <c r="E448" s="25"/>
      <c r="M448" s="12"/>
      <c r="N448" s="122"/>
      <c r="O448" s="122"/>
      <c r="P448" s="122"/>
      <c r="Q448" s="122"/>
    </row>
    <row r="449" spans="2:17" ht="14.25" customHeight="1" x14ac:dyDescent="0.3">
      <c r="B449" s="23"/>
      <c r="D449" s="25"/>
      <c r="E449" s="25"/>
      <c r="M449" s="12"/>
      <c r="N449" s="122"/>
      <c r="O449" s="122"/>
      <c r="P449" s="122"/>
      <c r="Q449" s="122"/>
    </row>
    <row r="450" spans="2:17" ht="14.25" customHeight="1" x14ac:dyDescent="0.3">
      <c r="B450" s="23"/>
      <c r="D450" s="25"/>
      <c r="E450" s="25"/>
      <c r="M450" s="12"/>
      <c r="N450" s="122"/>
      <c r="O450" s="122"/>
      <c r="P450" s="122"/>
      <c r="Q450" s="122"/>
    </row>
    <row r="451" spans="2:17" ht="14.25" customHeight="1" x14ac:dyDescent="0.3">
      <c r="B451" s="23"/>
      <c r="D451" s="25"/>
      <c r="E451" s="25"/>
      <c r="M451" s="12"/>
      <c r="N451" s="122"/>
      <c r="O451" s="122"/>
      <c r="P451" s="122"/>
      <c r="Q451" s="122"/>
    </row>
    <row r="452" spans="2:17" ht="14.25" customHeight="1" x14ac:dyDescent="0.3">
      <c r="B452" s="23"/>
      <c r="D452" s="25"/>
      <c r="E452" s="25"/>
      <c r="M452" s="12"/>
      <c r="N452" s="122"/>
      <c r="O452" s="122"/>
      <c r="P452" s="122"/>
      <c r="Q452" s="122"/>
    </row>
    <row r="453" spans="2:17" ht="14.25" customHeight="1" x14ac:dyDescent="0.3">
      <c r="B453" s="23"/>
      <c r="D453" s="25"/>
      <c r="E453" s="25"/>
      <c r="M453" s="12"/>
      <c r="N453" s="122"/>
      <c r="O453" s="122"/>
      <c r="P453" s="122"/>
      <c r="Q453" s="122"/>
    </row>
    <row r="454" spans="2:17" ht="14.25" customHeight="1" x14ac:dyDescent="0.3">
      <c r="B454" s="23"/>
      <c r="D454" s="25"/>
      <c r="E454" s="25"/>
      <c r="M454" s="12"/>
      <c r="N454" s="122"/>
      <c r="O454" s="122"/>
      <c r="P454" s="122"/>
      <c r="Q454" s="122"/>
    </row>
    <row r="455" spans="2:17" ht="14.25" customHeight="1" x14ac:dyDescent="0.3">
      <c r="B455" s="23"/>
      <c r="D455" s="25"/>
      <c r="E455" s="25"/>
      <c r="M455" s="12"/>
      <c r="N455" s="122"/>
      <c r="O455" s="122"/>
      <c r="P455" s="122"/>
      <c r="Q455" s="122"/>
    </row>
    <row r="456" spans="2:17" ht="14.25" customHeight="1" x14ac:dyDescent="0.3">
      <c r="B456" s="23"/>
      <c r="D456" s="25"/>
      <c r="E456" s="25"/>
      <c r="M456" s="12"/>
      <c r="N456" s="122"/>
      <c r="O456" s="122"/>
      <c r="P456" s="122"/>
      <c r="Q456" s="122"/>
    </row>
    <row r="457" spans="2:17" ht="14.25" customHeight="1" x14ac:dyDescent="0.3">
      <c r="B457" s="23"/>
      <c r="D457" s="25"/>
      <c r="E457" s="25"/>
      <c r="M457" s="12"/>
      <c r="N457" s="122"/>
      <c r="O457" s="122"/>
      <c r="P457" s="122"/>
      <c r="Q457" s="122"/>
    </row>
    <row r="458" spans="2:17" ht="14.25" customHeight="1" x14ac:dyDescent="0.3">
      <c r="B458" s="23"/>
      <c r="D458" s="25"/>
      <c r="E458" s="25"/>
      <c r="M458" s="12"/>
      <c r="N458" s="122"/>
      <c r="O458" s="122"/>
      <c r="P458" s="122"/>
      <c r="Q458" s="122"/>
    </row>
    <row r="459" spans="2:17" ht="14.25" customHeight="1" x14ac:dyDescent="0.3">
      <c r="B459" s="23"/>
      <c r="D459" s="25"/>
      <c r="E459" s="25"/>
      <c r="M459" s="12"/>
      <c r="N459" s="122"/>
      <c r="O459" s="122"/>
      <c r="P459" s="122"/>
      <c r="Q459" s="122"/>
    </row>
    <row r="460" spans="2:17" ht="14.25" customHeight="1" x14ac:dyDescent="0.3">
      <c r="B460" s="23"/>
      <c r="D460" s="25"/>
      <c r="E460" s="25"/>
      <c r="M460" s="12"/>
      <c r="N460" s="122"/>
      <c r="O460" s="122"/>
      <c r="P460" s="122"/>
      <c r="Q460" s="122"/>
    </row>
    <row r="461" spans="2:17" ht="14.25" customHeight="1" x14ac:dyDescent="0.3">
      <c r="B461" s="23"/>
      <c r="D461" s="25"/>
      <c r="E461" s="25"/>
      <c r="M461" s="12"/>
      <c r="N461" s="122"/>
      <c r="O461" s="122"/>
      <c r="P461" s="122"/>
      <c r="Q461" s="122"/>
    </row>
    <row r="462" spans="2:17" ht="14.25" customHeight="1" x14ac:dyDescent="0.3">
      <c r="B462" s="23"/>
      <c r="D462" s="25"/>
      <c r="E462" s="25"/>
      <c r="M462" s="12"/>
      <c r="N462" s="122"/>
      <c r="O462" s="122"/>
      <c r="P462" s="122"/>
      <c r="Q462" s="122"/>
    </row>
    <row r="463" spans="2:17" ht="14.25" customHeight="1" x14ac:dyDescent="0.3">
      <c r="B463" s="23"/>
      <c r="D463" s="25"/>
      <c r="E463" s="25"/>
      <c r="M463" s="12"/>
      <c r="N463" s="122"/>
      <c r="O463" s="122"/>
      <c r="P463" s="122"/>
      <c r="Q463" s="122"/>
    </row>
    <row r="464" spans="2:17" ht="14.25" customHeight="1" x14ac:dyDescent="0.3">
      <c r="B464" s="23"/>
      <c r="D464" s="25"/>
      <c r="E464" s="25"/>
      <c r="M464" s="12"/>
      <c r="N464" s="122"/>
      <c r="O464" s="122"/>
      <c r="P464" s="122"/>
      <c r="Q464" s="122"/>
    </row>
    <row r="465" spans="2:17" ht="14.25" customHeight="1" x14ac:dyDescent="0.3">
      <c r="B465" s="23"/>
      <c r="D465" s="25"/>
      <c r="E465" s="25"/>
      <c r="M465" s="12"/>
      <c r="N465" s="122"/>
      <c r="O465" s="122"/>
      <c r="P465" s="122"/>
      <c r="Q465" s="122"/>
    </row>
    <row r="466" spans="2:17" ht="14.25" customHeight="1" x14ac:dyDescent="0.3">
      <c r="B466" s="23"/>
      <c r="D466" s="25"/>
      <c r="E466" s="25"/>
      <c r="M466" s="12"/>
      <c r="N466" s="122"/>
      <c r="O466" s="122"/>
      <c r="P466" s="122"/>
      <c r="Q466" s="122"/>
    </row>
    <row r="467" spans="2:17" ht="14.25" customHeight="1" x14ac:dyDescent="0.3">
      <c r="B467" s="23"/>
      <c r="D467" s="25"/>
      <c r="E467" s="25"/>
      <c r="M467" s="12"/>
      <c r="N467" s="122"/>
      <c r="O467" s="122"/>
      <c r="P467" s="122"/>
      <c r="Q467" s="122"/>
    </row>
    <row r="468" spans="2:17" ht="14.25" customHeight="1" x14ac:dyDescent="0.3">
      <c r="B468" s="23"/>
      <c r="D468" s="25"/>
      <c r="E468" s="25"/>
      <c r="M468" s="12"/>
      <c r="N468" s="122"/>
      <c r="O468" s="122"/>
      <c r="P468" s="122"/>
      <c r="Q468" s="122"/>
    </row>
    <row r="469" spans="2:17" ht="14.25" customHeight="1" x14ac:dyDescent="0.3">
      <c r="B469" s="23"/>
      <c r="D469" s="25"/>
      <c r="E469" s="25"/>
      <c r="M469" s="12"/>
      <c r="N469" s="122"/>
      <c r="O469" s="122"/>
      <c r="P469" s="122"/>
      <c r="Q469" s="122"/>
    </row>
    <row r="470" spans="2:17" ht="14.25" customHeight="1" x14ac:dyDescent="0.3">
      <c r="B470" s="23"/>
      <c r="D470" s="25"/>
      <c r="E470" s="25"/>
      <c r="M470" s="12"/>
      <c r="N470" s="122"/>
      <c r="O470" s="122"/>
      <c r="P470" s="122"/>
      <c r="Q470" s="122"/>
    </row>
    <row r="471" spans="2:17" ht="14.25" customHeight="1" x14ac:dyDescent="0.3">
      <c r="B471" s="23"/>
      <c r="D471" s="25"/>
      <c r="E471" s="25"/>
      <c r="M471" s="12"/>
      <c r="N471" s="122"/>
      <c r="O471" s="122"/>
      <c r="P471" s="122"/>
      <c r="Q471" s="122"/>
    </row>
    <row r="472" spans="2:17" ht="14.25" customHeight="1" x14ac:dyDescent="0.3">
      <c r="B472" s="23"/>
      <c r="D472" s="25"/>
      <c r="E472" s="25"/>
      <c r="M472" s="12"/>
      <c r="N472" s="122"/>
      <c r="O472" s="122"/>
      <c r="P472" s="122"/>
      <c r="Q472" s="122"/>
    </row>
    <row r="473" spans="2:17" ht="14.25" customHeight="1" x14ac:dyDescent="0.3">
      <c r="B473" s="23"/>
      <c r="D473" s="25"/>
      <c r="E473" s="25"/>
      <c r="M473" s="12"/>
      <c r="N473" s="122"/>
      <c r="O473" s="122"/>
      <c r="P473" s="122"/>
      <c r="Q473" s="122"/>
    </row>
    <row r="474" spans="2:17" ht="14.25" customHeight="1" x14ac:dyDescent="0.3">
      <c r="B474" s="23"/>
      <c r="D474" s="25"/>
      <c r="E474" s="25"/>
      <c r="M474" s="12"/>
      <c r="N474" s="122"/>
      <c r="O474" s="122"/>
      <c r="P474" s="122"/>
      <c r="Q474" s="122"/>
    </row>
    <row r="475" spans="2:17" ht="14.25" customHeight="1" x14ac:dyDescent="0.3">
      <c r="B475" s="23"/>
      <c r="D475" s="25"/>
      <c r="E475" s="25"/>
      <c r="M475" s="12"/>
      <c r="N475" s="122"/>
      <c r="O475" s="122"/>
      <c r="P475" s="122"/>
      <c r="Q475" s="122"/>
    </row>
    <row r="476" spans="2:17" ht="14.25" customHeight="1" x14ac:dyDescent="0.3">
      <c r="B476" s="23"/>
      <c r="D476" s="25"/>
      <c r="E476" s="25"/>
      <c r="M476" s="12"/>
      <c r="N476" s="122"/>
      <c r="O476" s="122"/>
      <c r="P476" s="122"/>
      <c r="Q476" s="122"/>
    </row>
    <row r="477" spans="2:17" ht="14.25" customHeight="1" x14ac:dyDescent="0.3">
      <c r="B477" s="23"/>
      <c r="D477" s="25"/>
      <c r="E477" s="25"/>
      <c r="M477" s="12"/>
      <c r="N477" s="122"/>
      <c r="O477" s="122"/>
      <c r="P477" s="122"/>
      <c r="Q477" s="122"/>
    </row>
    <row r="478" spans="2:17" ht="14.25" customHeight="1" x14ac:dyDescent="0.3">
      <c r="B478" s="23"/>
      <c r="D478" s="25"/>
      <c r="E478" s="25"/>
      <c r="M478" s="12"/>
      <c r="N478" s="122"/>
      <c r="O478" s="122"/>
      <c r="P478" s="122"/>
      <c r="Q478" s="122"/>
    </row>
    <row r="479" spans="2:17" ht="14.25" customHeight="1" x14ac:dyDescent="0.3">
      <c r="B479" s="23"/>
      <c r="D479" s="25"/>
      <c r="E479" s="25"/>
      <c r="M479" s="12"/>
      <c r="N479" s="122"/>
      <c r="O479" s="122"/>
      <c r="P479" s="122"/>
      <c r="Q479" s="122"/>
    </row>
    <row r="480" spans="2:17" ht="14.25" customHeight="1" x14ac:dyDescent="0.3">
      <c r="B480" s="23"/>
      <c r="D480" s="25"/>
      <c r="E480" s="25"/>
      <c r="M480" s="12"/>
      <c r="N480" s="122"/>
      <c r="O480" s="122"/>
      <c r="P480" s="122"/>
      <c r="Q480" s="122"/>
    </row>
    <row r="481" spans="2:17" ht="14.25" customHeight="1" x14ac:dyDescent="0.3">
      <c r="B481" s="23"/>
      <c r="D481" s="25"/>
      <c r="E481" s="25"/>
      <c r="M481" s="12"/>
      <c r="N481" s="122"/>
      <c r="O481" s="122"/>
      <c r="P481" s="122"/>
      <c r="Q481" s="122"/>
    </row>
    <row r="482" spans="2:17" ht="14.25" customHeight="1" x14ac:dyDescent="0.3">
      <c r="B482" s="23"/>
      <c r="D482" s="25"/>
      <c r="E482" s="25"/>
      <c r="M482" s="12"/>
      <c r="N482" s="122"/>
      <c r="O482" s="122"/>
      <c r="P482" s="122"/>
      <c r="Q482" s="122"/>
    </row>
    <row r="483" spans="2:17" ht="14.25" customHeight="1" x14ac:dyDescent="0.3">
      <c r="B483" s="23"/>
      <c r="D483" s="25"/>
      <c r="E483" s="25"/>
      <c r="M483" s="12"/>
      <c r="N483" s="122"/>
      <c r="O483" s="122"/>
      <c r="P483" s="122"/>
      <c r="Q483" s="122"/>
    </row>
    <row r="484" spans="2:17" ht="14.25" customHeight="1" x14ac:dyDescent="0.3">
      <c r="B484" s="23"/>
      <c r="D484" s="25"/>
      <c r="E484" s="25"/>
      <c r="M484" s="12"/>
      <c r="N484" s="122"/>
      <c r="O484" s="122"/>
      <c r="P484" s="122"/>
      <c r="Q484" s="122"/>
    </row>
    <row r="485" spans="2:17" ht="14.25" customHeight="1" x14ac:dyDescent="0.3">
      <c r="B485" s="23"/>
      <c r="D485" s="25"/>
      <c r="E485" s="25"/>
      <c r="M485" s="12"/>
      <c r="N485" s="122"/>
      <c r="O485" s="122"/>
      <c r="P485" s="122"/>
      <c r="Q485" s="122"/>
    </row>
    <row r="486" spans="2:17" ht="14.25" customHeight="1" x14ac:dyDescent="0.3">
      <c r="B486" s="23"/>
      <c r="D486" s="25"/>
      <c r="E486" s="25"/>
      <c r="M486" s="12"/>
      <c r="N486" s="122"/>
      <c r="O486" s="122"/>
      <c r="P486" s="122"/>
      <c r="Q486" s="122"/>
    </row>
    <row r="487" spans="2:17" ht="14.25" customHeight="1" x14ac:dyDescent="0.3">
      <c r="B487" s="23"/>
      <c r="D487" s="25"/>
      <c r="E487" s="25"/>
      <c r="M487" s="12"/>
      <c r="N487" s="122"/>
      <c r="O487" s="122"/>
      <c r="P487" s="122"/>
      <c r="Q487" s="122"/>
    </row>
    <row r="488" spans="2:17" ht="14.25" customHeight="1" x14ac:dyDescent="0.3">
      <c r="B488" s="23"/>
      <c r="D488" s="25"/>
      <c r="E488" s="25"/>
      <c r="M488" s="12"/>
      <c r="N488" s="122"/>
      <c r="O488" s="122"/>
      <c r="P488" s="122"/>
      <c r="Q488" s="122"/>
    </row>
    <row r="489" spans="2:17" ht="14.25" customHeight="1" x14ac:dyDescent="0.3">
      <c r="B489" s="23"/>
      <c r="D489" s="25"/>
      <c r="E489" s="25"/>
      <c r="M489" s="12"/>
      <c r="N489" s="122"/>
      <c r="O489" s="122"/>
      <c r="P489" s="122"/>
      <c r="Q489" s="122"/>
    </row>
    <row r="490" spans="2:17" ht="14.25" customHeight="1" x14ac:dyDescent="0.3">
      <c r="B490" s="23"/>
      <c r="D490" s="25"/>
      <c r="E490" s="25"/>
      <c r="M490" s="12"/>
      <c r="N490" s="122"/>
      <c r="O490" s="122"/>
      <c r="P490" s="122"/>
      <c r="Q490" s="122"/>
    </row>
    <row r="491" spans="2:17" ht="14.25" customHeight="1" x14ac:dyDescent="0.3">
      <c r="B491" s="23"/>
      <c r="D491" s="25"/>
      <c r="E491" s="25"/>
      <c r="M491" s="12"/>
      <c r="N491" s="122"/>
      <c r="O491" s="122"/>
      <c r="P491" s="122"/>
      <c r="Q491" s="122"/>
    </row>
    <row r="492" spans="2:17" ht="14.25" customHeight="1" x14ac:dyDescent="0.3">
      <c r="B492" s="23"/>
      <c r="D492" s="25"/>
      <c r="E492" s="25"/>
      <c r="M492" s="12"/>
      <c r="N492" s="122"/>
      <c r="O492" s="122"/>
      <c r="P492" s="122"/>
      <c r="Q492" s="122"/>
    </row>
    <row r="493" spans="2:17" ht="14.25" customHeight="1" x14ac:dyDescent="0.3">
      <c r="B493" s="23"/>
      <c r="D493" s="25"/>
      <c r="E493" s="25"/>
      <c r="M493" s="12"/>
      <c r="N493" s="122"/>
      <c r="O493" s="122"/>
      <c r="P493" s="122"/>
      <c r="Q493" s="122"/>
    </row>
    <row r="494" spans="2:17" ht="14.25" customHeight="1" x14ac:dyDescent="0.3">
      <c r="B494" s="23"/>
      <c r="D494" s="25"/>
      <c r="E494" s="25"/>
      <c r="M494" s="12"/>
      <c r="N494" s="122"/>
      <c r="O494" s="122"/>
      <c r="P494" s="122"/>
      <c r="Q494" s="122"/>
    </row>
    <row r="495" spans="2:17" ht="14.25" customHeight="1" x14ac:dyDescent="0.3">
      <c r="B495" s="23"/>
      <c r="D495" s="25"/>
      <c r="E495" s="25"/>
      <c r="M495" s="12"/>
      <c r="N495" s="122"/>
      <c r="O495" s="122"/>
      <c r="P495" s="122"/>
      <c r="Q495" s="122"/>
    </row>
    <row r="496" spans="2:17" ht="14.25" customHeight="1" x14ac:dyDescent="0.3">
      <c r="B496" s="23"/>
      <c r="D496" s="25"/>
      <c r="E496" s="25"/>
      <c r="M496" s="12"/>
      <c r="N496" s="122"/>
      <c r="O496" s="122"/>
      <c r="P496" s="122"/>
      <c r="Q496" s="122"/>
    </row>
    <row r="497" spans="2:17" ht="14.25" customHeight="1" x14ac:dyDescent="0.3">
      <c r="B497" s="23"/>
      <c r="D497" s="25"/>
      <c r="E497" s="25"/>
      <c r="M497" s="12"/>
      <c r="N497" s="122"/>
      <c r="O497" s="122"/>
      <c r="P497" s="122"/>
      <c r="Q497" s="122"/>
    </row>
    <row r="498" spans="2:17" ht="14.25" customHeight="1" x14ac:dyDescent="0.3">
      <c r="B498" s="23"/>
      <c r="D498" s="25"/>
      <c r="E498" s="25"/>
      <c r="M498" s="12"/>
      <c r="N498" s="122"/>
      <c r="O498" s="122"/>
      <c r="P498" s="122"/>
      <c r="Q498" s="122"/>
    </row>
    <row r="499" spans="2:17" ht="14.25" customHeight="1" x14ac:dyDescent="0.3">
      <c r="B499" s="23"/>
      <c r="D499" s="25"/>
      <c r="E499" s="25"/>
      <c r="M499" s="12"/>
      <c r="N499" s="122"/>
      <c r="O499" s="122"/>
      <c r="P499" s="122"/>
      <c r="Q499" s="122"/>
    </row>
    <row r="500" spans="2:17" ht="14.25" customHeight="1" x14ac:dyDescent="0.3">
      <c r="B500" s="23"/>
      <c r="D500" s="25"/>
      <c r="E500" s="25"/>
      <c r="M500" s="12"/>
      <c r="N500" s="122"/>
      <c r="O500" s="122"/>
      <c r="P500" s="122"/>
      <c r="Q500" s="122"/>
    </row>
    <row r="501" spans="2:17" ht="14.25" customHeight="1" x14ac:dyDescent="0.3">
      <c r="B501" s="23"/>
      <c r="D501" s="25"/>
      <c r="E501" s="25"/>
      <c r="M501" s="12"/>
      <c r="N501" s="122"/>
      <c r="O501" s="122"/>
      <c r="P501" s="122"/>
      <c r="Q501" s="122"/>
    </row>
    <row r="502" spans="2:17" ht="14.25" customHeight="1" x14ac:dyDescent="0.3">
      <c r="B502" s="23"/>
      <c r="D502" s="25"/>
      <c r="E502" s="25"/>
      <c r="M502" s="12"/>
      <c r="N502" s="122"/>
      <c r="O502" s="122"/>
      <c r="P502" s="122"/>
      <c r="Q502" s="122"/>
    </row>
    <row r="503" spans="2:17" ht="14.25" customHeight="1" x14ac:dyDescent="0.3">
      <c r="B503" s="23"/>
      <c r="D503" s="25"/>
      <c r="E503" s="25"/>
      <c r="M503" s="12"/>
      <c r="N503" s="122"/>
      <c r="O503" s="122"/>
      <c r="P503" s="122"/>
      <c r="Q503" s="122"/>
    </row>
    <row r="504" spans="2:17" ht="14.25" customHeight="1" x14ac:dyDescent="0.3">
      <c r="B504" s="23"/>
      <c r="D504" s="25"/>
      <c r="E504" s="25"/>
      <c r="M504" s="12"/>
      <c r="N504" s="122"/>
      <c r="O504" s="122"/>
      <c r="P504" s="122"/>
      <c r="Q504" s="122"/>
    </row>
    <row r="505" spans="2:17" ht="14.25" customHeight="1" x14ac:dyDescent="0.3">
      <c r="B505" s="23"/>
      <c r="D505" s="25"/>
      <c r="E505" s="25"/>
      <c r="M505" s="12"/>
      <c r="N505" s="122"/>
      <c r="O505" s="122"/>
      <c r="P505" s="122"/>
      <c r="Q505" s="122"/>
    </row>
    <row r="506" spans="2:17" ht="14.25" customHeight="1" x14ac:dyDescent="0.3">
      <c r="B506" s="23"/>
      <c r="D506" s="25"/>
      <c r="E506" s="25"/>
      <c r="M506" s="12"/>
      <c r="N506" s="122"/>
      <c r="O506" s="122"/>
      <c r="P506" s="122"/>
      <c r="Q506" s="122"/>
    </row>
    <row r="507" spans="2:17" ht="14.25" customHeight="1" x14ac:dyDescent="0.3">
      <c r="B507" s="23"/>
      <c r="D507" s="25"/>
      <c r="E507" s="25"/>
      <c r="M507" s="12"/>
      <c r="N507" s="122"/>
      <c r="O507" s="122"/>
      <c r="P507" s="122"/>
      <c r="Q507" s="122"/>
    </row>
    <row r="508" spans="2:17" ht="14.25" customHeight="1" x14ac:dyDescent="0.3">
      <c r="B508" s="23"/>
      <c r="D508" s="25"/>
      <c r="E508" s="25"/>
      <c r="M508" s="12"/>
      <c r="N508" s="122"/>
      <c r="O508" s="122"/>
      <c r="P508" s="122"/>
      <c r="Q508" s="122"/>
    </row>
    <row r="509" spans="2:17" ht="14.25" customHeight="1" x14ac:dyDescent="0.3">
      <c r="B509" s="23"/>
      <c r="D509" s="25"/>
      <c r="E509" s="25"/>
      <c r="M509" s="12"/>
      <c r="N509" s="122"/>
      <c r="O509" s="122"/>
      <c r="P509" s="122"/>
      <c r="Q509" s="122"/>
    </row>
    <row r="510" spans="2:17" ht="14.25" customHeight="1" x14ac:dyDescent="0.3">
      <c r="B510" s="23"/>
      <c r="D510" s="25"/>
      <c r="E510" s="25"/>
      <c r="M510" s="12"/>
      <c r="N510" s="122"/>
      <c r="O510" s="122"/>
      <c r="P510" s="122"/>
      <c r="Q510" s="122"/>
    </row>
    <row r="511" spans="2:17" ht="14.25" customHeight="1" x14ac:dyDescent="0.3">
      <c r="B511" s="23"/>
      <c r="D511" s="25"/>
      <c r="E511" s="25"/>
      <c r="M511" s="12"/>
      <c r="N511" s="122"/>
      <c r="O511" s="122"/>
      <c r="P511" s="122"/>
      <c r="Q511" s="122"/>
    </row>
    <row r="512" spans="2:17" ht="14.25" customHeight="1" x14ac:dyDescent="0.3">
      <c r="B512" s="23"/>
      <c r="D512" s="25"/>
      <c r="E512" s="25"/>
      <c r="M512" s="12"/>
      <c r="N512" s="122"/>
      <c r="O512" s="122"/>
      <c r="P512" s="122"/>
      <c r="Q512" s="122"/>
    </row>
    <row r="513" spans="2:17" ht="14.25" customHeight="1" x14ac:dyDescent="0.3">
      <c r="B513" s="23"/>
      <c r="D513" s="25"/>
      <c r="E513" s="25"/>
      <c r="M513" s="12"/>
      <c r="N513" s="122"/>
      <c r="O513" s="122"/>
      <c r="P513" s="122"/>
      <c r="Q513" s="122"/>
    </row>
    <row r="514" spans="2:17" ht="14.25" customHeight="1" x14ac:dyDescent="0.3">
      <c r="B514" s="23"/>
      <c r="D514" s="25"/>
      <c r="E514" s="25"/>
      <c r="M514" s="12"/>
      <c r="N514" s="122"/>
      <c r="O514" s="122"/>
      <c r="P514" s="122"/>
      <c r="Q514" s="122"/>
    </row>
    <row r="515" spans="2:17" ht="14.25" customHeight="1" x14ac:dyDescent="0.3">
      <c r="B515" s="23"/>
      <c r="D515" s="25"/>
      <c r="E515" s="25"/>
      <c r="M515" s="12"/>
      <c r="N515" s="122"/>
      <c r="O515" s="122"/>
      <c r="P515" s="122"/>
      <c r="Q515" s="122"/>
    </row>
    <row r="516" spans="2:17" ht="14.25" customHeight="1" x14ac:dyDescent="0.3">
      <c r="B516" s="23"/>
      <c r="D516" s="25"/>
      <c r="E516" s="25"/>
      <c r="M516" s="12"/>
      <c r="N516" s="122"/>
      <c r="O516" s="122"/>
      <c r="P516" s="122"/>
      <c r="Q516" s="122"/>
    </row>
    <row r="517" spans="2:17" ht="14.25" customHeight="1" x14ac:dyDescent="0.3">
      <c r="B517" s="23"/>
      <c r="D517" s="25"/>
      <c r="E517" s="25"/>
      <c r="M517" s="12"/>
      <c r="N517" s="122"/>
      <c r="O517" s="122"/>
      <c r="P517" s="122"/>
      <c r="Q517" s="122"/>
    </row>
    <row r="518" spans="2:17" ht="14.25" customHeight="1" x14ac:dyDescent="0.3">
      <c r="B518" s="23"/>
      <c r="D518" s="25"/>
      <c r="E518" s="25"/>
      <c r="M518" s="12"/>
      <c r="N518" s="122"/>
      <c r="O518" s="122"/>
      <c r="P518" s="122"/>
      <c r="Q518" s="122"/>
    </row>
    <row r="519" spans="2:17" ht="14.25" customHeight="1" x14ac:dyDescent="0.3">
      <c r="B519" s="23"/>
      <c r="D519" s="25"/>
      <c r="E519" s="25"/>
      <c r="M519" s="12"/>
      <c r="N519" s="122"/>
      <c r="O519" s="122"/>
      <c r="P519" s="122"/>
      <c r="Q519" s="122"/>
    </row>
    <row r="520" spans="2:17" ht="14.25" customHeight="1" x14ac:dyDescent="0.3">
      <c r="B520" s="23"/>
      <c r="D520" s="25"/>
      <c r="E520" s="25"/>
      <c r="M520" s="12"/>
      <c r="N520" s="122"/>
      <c r="O520" s="122"/>
      <c r="P520" s="122"/>
      <c r="Q520" s="122"/>
    </row>
    <row r="521" spans="2:17" ht="14.25" customHeight="1" x14ac:dyDescent="0.3">
      <c r="B521" s="23"/>
      <c r="D521" s="25"/>
      <c r="E521" s="25"/>
      <c r="M521" s="12"/>
      <c r="N521" s="122"/>
      <c r="O521" s="122"/>
      <c r="P521" s="122"/>
      <c r="Q521" s="122"/>
    </row>
    <row r="522" spans="2:17" ht="14.25" customHeight="1" x14ac:dyDescent="0.3">
      <c r="B522" s="23"/>
      <c r="D522" s="25"/>
      <c r="E522" s="25"/>
      <c r="M522" s="12"/>
      <c r="N522" s="122"/>
      <c r="O522" s="122"/>
      <c r="P522" s="122"/>
      <c r="Q522" s="122"/>
    </row>
    <row r="523" spans="2:17" ht="14.25" customHeight="1" x14ac:dyDescent="0.3">
      <c r="B523" s="23"/>
      <c r="D523" s="25"/>
      <c r="E523" s="25"/>
      <c r="M523" s="12"/>
      <c r="N523" s="122"/>
      <c r="O523" s="122"/>
      <c r="P523" s="122"/>
      <c r="Q523" s="122"/>
    </row>
    <row r="524" spans="2:17" ht="14.25" customHeight="1" x14ac:dyDescent="0.3">
      <c r="B524" s="23"/>
      <c r="D524" s="25"/>
      <c r="E524" s="25"/>
      <c r="M524" s="12"/>
      <c r="N524" s="122"/>
      <c r="O524" s="122"/>
      <c r="P524" s="122"/>
      <c r="Q524" s="122"/>
    </row>
    <row r="525" spans="2:17" ht="14.25" customHeight="1" x14ac:dyDescent="0.3">
      <c r="B525" s="23"/>
      <c r="D525" s="25"/>
      <c r="E525" s="25"/>
      <c r="M525" s="12"/>
      <c r="N525" s="122"/>
      <c r="O525" s="122"/>
      <c r="P525" s="122"/>
      <c r="Q525" s="122"/>
    </row>
    <row r="526" spans="2:17" ht="14.25" customHeight="1" x14ac:dyDescent="0.3">
      <c r="B526" s="23"/>
      <c r="D526" s="25"/>
      <c r="E526" s="25"/>
      <c r="M526" s="12"/>
      <c r="N526" s="122"/>
      <c r="O526" s="122"/>
      <c r="P526" s="122"/>
      <c r="Q526" s="122"/>
    </row>
    <row r="527" spans="2:17" ht="14.25" customHeight="1" x14ac:dyDescent="0.3">
      <c r="B527" s="23"/>
      <c r="D527" s="25"/>
      <c r="E527" s="25"/>
      <c r="M527" s="12"/>
      <c r="N527" s="122"/>
      <c r="O527" s="122"/>
      <c r="P527" s="122"/>
      <c r="Q527" s="122"/>
    </row>
    <row r="528" spans="2:17" ht="14.25" customHeight="1" x14ac:dyDescent="0.3">
      <c r="B528" s="23"/>
      <c r="D528" s="25"/>
      <c r="E528" s="25"/>
      <c r="M528" s="12"/>
      <c r="N528" s="122"/>
      <c r="O528" s="122"/>
      <c r="P528" s="122"/>
      <c r="Q528" s="122"/>
    </row>
    <row r="529" spans="2:17" ht="14.25" customHeight="1" x14ac:dyDescent="0.3">
      <c r="B529" s="23"/>
      <c r="D529" s="25"/>
      <c r="E529" s="25"/>
      <c r="M529" s="12"/>
      <c r="N529" s="122"/>
      <c r="O529" s="122"/>
      <c r="P529" s="122"/>
      <c r="Q529" s="122"/>
    </row>
    <row r="530" spans="2:17" ht="14.25" customHeight="1" x14ac:dyDescent="0.3">
      <c r="B530" s="23"/>
      <c r="D530" s="25"/>
      <c r="E530" s="25"/>
      <c r="M530" s="12"/>
      <c r="N530" s="122"/>
      <c r="O530" s="122"/>
      <c r="P530" s="122"/>
      <c r="Q530" s="122"/>
    </row>
    <row r="531" spans="2:17" ht="14.25" customHeight="1" x14ac:dyDescent="0.3">
      <c r="B531" s="23"/>
      <c r="D531" s="25"/>
      <c r="E531" s="25"/>
      <c r="M531" s="12"/>
      <c r="N531" s="122"/>
      <c r="O531" s="122"/>
      <c r="P531" s="122"/>
      <c r="Q531" s="122"/>
    </row>
    <row r="532" spans="2:17" ht="14.25" customHeight="1" x14ac:dyDescent="0.3">
      <c r="B532" s="23"/>
      <c r="D532" s="25"/>
      <c r="E532" s="25"/>
      <c r="M532" s="12"/>
      <c r="N532" s="122"/>
      <c r="O532" s="122"/>
      <c r="P532" s="122"/>
      <c r="Q532" s="122"/>
    </row>
    <row r="533" spans="2:17" ht="14.25" customHeight="1" x14ac:dyDescent="0.3">
      <c r="B533" s="23"/>
      <c r="D533" s="25"/>
      <c r="E533" s="25"/>
      <c r="M533" s="12"/>
      <c r="N533" s="122"/>
      <c r="O533" s="122"/>
      <c r="P533" s="122"/>
      <c r="Q533" s="122"/>
    </row>
    <row r="534" spans="2:17" ht="14.25" customHeight="1" x14ac:dyDescent="0.3">
      <c r="B534" s="23"/>
      <c r="D534" s="25"/>
      <c r="E534" s="25"/>
      <c r="M534" s="12"/>
      <c r="N534" s="122"/>
      <c r="O534" s="122"/>
      <c r="P534" s="122"/>
      <c r="Q534" s="122"/>
    </row>
    <row r="535" spans="2:17" ht="14.25" customHeight="1" x14ac:dyDescent="0.3">
      <c r="B535" s="23"/>
      <c r="D535" s="25"/>
      <c r="E535" s="25"/>
      <c r="M535" s="12"/>
      <c r="N535" s="122"/>
      <c r="O535" s="122"/>
      <c r="P535" s="122"/>
      <c r="Q535" s="122"/>
    </row>
    <row r="536" spans="2:17" ht="14.25" customHeight="1" x14ac:dyDescent="0.3">
      <c r="B536" s="23"/>
      <c r="D536" s="25"/>
      <c r="E536" s="25"/>
      <c r="M536" s="12"/>
      <c r="N536" s="122"/>
      <c r="O536" s="122"/>
      <c r="P536" s="122"/>
      <c r="Q536" s="122"/>
    </row>
    <row r="537" spans="2:17" ht="14.25" customHeight="1" x14ac:dyDescent="0.3">
      <c r="B537" s="23"/>
      <c r="D537" s="25"/>
      <c r="E537" s="25"/>
      <c r="M537" s="12"/>
      <c r="N537" s="122"/>
      <c r="O537" s="122"/>
      <c r="P537" s="122"/>
      <c r="Q537" s="122"/>
    </row>
    <row r="538" spans="2:17" ht="14.25" customHeight="1" x14ac:dyDescent="0.3">
      <c r="B538" s="23"/>
      <c r="D538" s="25"/>
      <c r="E538" s="25"/>
      <c r="M538" s="12"/>
      <c r="N538" s="122"/>
      <c r="O538" s="122"/>
      <c r="P538" s="122"/>
      <c r="Q538" s="122"/>
    </row>
    <row r="539" spans="2:17" ht="14.25" customHeight="1" x14ac:dyDescent="0.3">
      <c r="B539" s="23"/>
      <c r="D539" s="25"/>
      <c r="E539" s="25"/>
      <c r="M539" s="12"/>
      <c r="N539" s="122"/>
      <c r="O539" s="122"/>
      <c r="P539" s="122"/>
      <c r="Q539" s="122"/>
    </row>
    <row r="540" spans="2:17" ht="14.25" customHeight="1" x14ac:dyDescent="0.3">
      <c r="B540" s="23"/>
      <c r="D540" s="25"/>
      <c r="E540" s="25"/>
      <c r="M540" s="12"/>
      <c r="N540" s="122"/>
      <c r="O540" s="122"/>
      <c r="P540" s="122"/>
      <c r="Q540" s="122"/>
    </row>
    <row r="541" spans="2:17" ht="14.25" customHeight="1" x14ac:dyDescent="0.3">
      <c r="B541" s="23"/>
      <c r="D541" s="25"/>
      <c r="E541" s="25"/>
      <c r="M541" s="12"/>
      <c r="N541" s="122"/>
      <c r="O541" s="122"/>
      <c r="P541" s="122"/>
      <c r="Q541" s="122"/>
    </row>
    <row r="542" spans="2:17" ht="14.25" customHeight="1" x14ac:dyDescent="0.3">
      <c r="B542" s="23"/>
      <c r="D542" s="25"/>
      <c r="E542" s="25"/>
      <c r="M542" s="12"/>
      <c r="N542" s="122"/>
      <c r="O542" s="122"/>
      <c r="P542" s="122"/>
      <c r="Q542" s="122"/>
    </row>
    <row r="543" spans="2:17" ht="14.25" customHeight="1" x14ac:dyDescent="0.3">
      <c r="B543" s="23"/>
      <c r="D543" s="25"/>
      <c r="E543" s="25"/>
      <c r="M543" s="12"/>
      <c r="N543" s="122"/>
      <c r="O543" s="122"/>
      <c r="P543" s="122"/>
      <c r="Q543" s="122"/>
    </row>
    <row r="544" spans="2:17" ht="14.25" customHeight="1" x14ac:dyDescent="0.3">
      <c r="B544" s="23"/>
      <c r="D544" s="25"/>
      <c r="E544" s="25"/>
      <c r="M544" s="12"/>
      <c r="N544" s="122"/>
      <c r="O544" s="122"/>
      <c r="P544" s="122"/>
      <c r="Q544" s="122"/>
    </row>
    <row r="545" spans="2:17" ht="14.25" customHeight="1" x14ac:dyDescent="0.3">
      <c r="B545" s="23"/>
      <c r="D545" s="25"/>
      <c r="E545" s="25"/>
      <c r="M545" s="12"/>
      <c r="N545" s="122"/>
      <c r="O545" s="122"/>
      <c r="P545" s="122"/>
      <c r="Q545" s="122"/>
    </row>
    <row r="546" spans="2:17" ht="14.25" customHeight="1" x14ac:dyDescent="0.3">
      <c r="B546" s="23"/>
      <c r="D546" s="25"/>
      <c r="E546" s="25"/>
      <c r="M546" s="12"/>
      <c r="N546" s="122"/>
      <c r="O546" s="122"/>
      <c r="P546" s="122"/>
      <c r="Q546" s="122"/>
    </row>
    <row r="547" spans="2:17" ht="14.25" customHeight="1" x14ac:dyDescent="0.3">
      <c r="B547" s="23"/>
      <c r="D547" s="25"/>
      <c r="E547" s="25"/>
      <c r="M547" s="12"/>
      <c r="N547" s="122"/>
      <c r="O547" s="122"/>
      <c r="P547" s="122"/>
      <c r="Q547" s="122"/>
    </row>
    <row r="548" spans="2:17" ht="14.25" customHeight="1" x14ac:dyDescent="0.3">
      <c r="B548" s="23"/>
      <c r="D548" s="25"/>
      <c r="E548" s="25"/>
      <c r="M548" s="12"/>
      <c r="N548" s="122"/>
      <c r="O548" s="122"/>
      <c r="P548" s="122"/>
      <c r="Q548" s="122"/>
    </row>
    <row r="549" spans="2:17" ht="14.25" customHeight="1" x14ac:dyDescent="0.3">
      <c r="B549" s="23"/>
      <c r="D549" s="25"/>
      <c r="E549" s="25"/>
      <c r="M549" s="12"/>
      <c r="N549" s="122"/>
      <c r="O549" s="122"/>
      <c r="P549" s="122"/>
      <c r="Q549" s="122"/>
    </row>
    <row r="550" spans="2:17" ht="14.25" customHeight="1" x14ac:dyDescent="0.3">
      <c r="B550" s="23"/>
      <c r="D550" s="25"/>
      <c r="E550" s="25"/>
      <c r="M550" s="12"/>
      <c r="N550" s="122"/>
      <c r="O550" s="122"/>
      <c r="P550" s="122"/>
      <c r="Q550" s="122"/>
    </row>
    <row r="551" spans="2:17" ht="14.25" customHeight="1" x14ac:dyDescent="0.3">
      <c r="B551" s="23"/>
      <c r="D551" s="25"/>
      <c r="E551" s="25"/>
      <c r="M551" s="12"/>
      <c r="N551" s="122"/>
      <c r="O551" s="122"/>
      <c r="P551" s="122"/>
      <c r="Q551" s="122"/>
    </row>
    <row r="552" spans="2:17" ht="14.25" customHeight="1" x14ac:dyDescent="0.3">
      <c r="B552" s="23"/>
      <c r="D552" s="25"/>
      <c r="E552" s="25"/>
      <c r="M552" s="12"/>
      <c r="N552" s="122"/>
      <c r="O552" s="122"/>
      <c r="P552" s="122"/>
      <c r="Q552" s="122"/>
    </row>
    <row r="553" spans="2:17" ht="14.25" customHeight="1" x14ac:dyDescent="0.3">
      <c r="B553" s="23"/>
      <c r="D553" s="25"/>
      <c r="E553" s="25"/>
      <c r="M553" s="12"/>
      <c r="N553" s="122"/>
      <c r="O553" s="122"/>
      <c r="P553" s="122"/>
      <c r="Q553" s="122"/>
    </row>
    <row r="554" spans="2:17" ht="14.25" customHeight="1" x14ac:dyDescent="0.3">
      <c r="B554" s="23"/>
      <c r="D554" s="25"/>
      <c r="E554" s="25"/>
      <c r="M554" s="12"/>
      <c r="N554" s="122"/>
      <c r="O554" s="122"/>
      <c r="P554" s="122"/>
      <c r="Q554" s="122"/>
    </row>
    <row r="555" spans="2:17" ht="14.25" customHeight="1" x14ac:dyDescent="0.3">
      <c r="B555" s="23"/>
      <c r="D555" s="25"/>
      <c r="E555" s="25"/>
      <c r="M555" s="12"/>
      <c r="N555" s="122"/>
      <c r="O555" s="122"/>
      <c r="P555" s="122"/>
      <c r="Q555" s="122"/>
    </row>
    <row r="556" spans="2:17" ht="14.25" customHeight="1" x14ac:dyDescent="0.3">
      <c r="B556" s="23"/>
      <c r="D556" s="25"/>
      <c r="E556" s="25"/>
      <c r="M556" s="12"/>
      <c r="N556" s="122"/>
      <c r="O556" s="122"/>
      <c r="P556" s="122"/>
      <c r="Q556" s="122"/>
    </row>
    <row r="557" spans="2:17" ht="14.25" customHeight="1" x14ac:dyDescent="0.3">
      <c r="B557" s="23"/>
      <c r="D557" s="25"/>
      <c r="E557" s="25"/>
      <c r="M557" s="12"/>
      <c r="N557" s="122"/>
      <c r="O557" s="122"/>
      <c r="P557" s="122"/>
      <c r="Q557" s="122"/>
    </row>
    <row r="558" spans="2:17" ht="14.25" customHeight="1" x14ac:dyDescent="0.3">
      <c r="B558" s="23"/>
      <c r="D558" s="25"/>
      <c r="E558" s="25"/>
      <c r="M558" s="12"/>
      <c r="N558" s="122"/>
      <c r="O558" s="122"/>
      <c r="P558" s="122"/>
      <c r="Q558" s="122"/>
    </row>
    <row r="559" spans="2:17" ht="14.25" customHeight="1" x14ac:dyDescent="0.3">
      <c r="B559" s="23"/>
      <c r="D559" s="25"/>
      <c r="E559" s="25"/>
      <c r="M559" s="12"/>
      <c r="N559" s="122"/>
      <c r="O559" s="122"/>
      <c r="P559" s="122"/>
      <c r="Q559" s="122"/>
    </row>
    <row r="560" spans="2:17" ht="14.25" customHeight="1" x14ac:dyDescent="0.3">
      <c r="B560" s="23"/>
      <c r="D560" s="25"/>
      <c r="E560" s="25"/>
      <c r="M560" s="12"/>
      <c r="N560" s="122"/>
      <c r="O560" s="122"/>
      <c r="P560" s="122"/>
      <c r="Q560" s="122"/>
    </row>
    <row r="561" spans="2:17" ht="14.25" customHeight="1" x14ac:dyDescent="0.3">
      <c r="B561" s="23"/>
      <c r="D561" s="25"/>
      <c r="E561" s="25"/>
      <c r="M561" s="12"/>
      <c r="N561" s="122"/>
      <c r="O561" s="122"/>
      <c r="P561" s="122"/>
      <c r="Q561" s="122"/>
    </row>
    <row r="562" spans="2:17" ht="14.25" customHeight="1" x14ac:dyDescent="0.3">
      <c r="B562" s="23"/>
      <c r="D562" s="25"/>
      <c r="E562" s="25"/>
      <c r="M562" s="12"/>
      <c r="N562" s="122"/>
      <c r="O562" s="122"/>
      <c r="P562" s="122"/>
      <c r="Q562" s="122"/>
    </row>
    <row r="563" spans="2:17" ht="14.25" customHeight="1" x14ac:dyDescent="0.3">
      <c r="B563" s="23"/>
      <c r="D563" s="25"/>
      <c r="E563" s="25"/>
      <c r="M563" s="12"/>
      <c r="N563" s="122"/>
      <c r="O563" s="122"/>
      <c r="P563" s="122"/>
      <c r="Q563" s="122"/>
    </row>
    <row r="564" spans="2:17" ht="14.25" customHeight="1" x14ac:dyDescent="0.3">
      <c r="B564" s="23"/>
      <c r="D564" s="25"/>
      <c r="E564" s="25"/>
      <c r="M564" s="12"/>
      <c r="N564" s="122"/>
      <c r="O564" s="122"/>
      <c r="P564" s="122"/>
      <c r="Q564" s="122"/>
    </row>
    <row r="565" spans="2:17" ht="14.25" customHeight="1" x14ac:dyDescent="0.3">
      <c r="B565" s="23"/>
      <c r="D565" s="25"/>
      <c r="E565" s="25"/>
      <c r="M565" s="12"/>
      <c r="N565" s="122"/>
      <c r="O565" s="122"/>
      <c r="P565" s="122"/>
      <c r="Q565" s="122"/>
    </row>
    <row r="566" spans="2:17" ht="14.25" customHeight="1" x14ac:dyDescent="0.3">
      <c r="B566" s="23"/>
      <c r="D566" s="25"/>
      <c r="E566" s="25"/>
      <c r="M566" s="12"/>
      <c r="N566" s="122"/>
      <c r="O566" s="122"/>
      <c r="P566" s="122"/>
      <c r="Q566" s="122"/>
    </row>
    <row r="567" spans="2:17" ht="14.25" customHeight="1" x14ac:dyDescent="0.3">
      <c r="B567" s="23"/>
      <c r="D567" s="25"/>
      <c r="E567" s="25"/>
      <c r="M567" s="12"/>
      <c r="N567" s="122"/>
      <c r="O567" s="122"/>
      <c r="P567" s="122"/>
      <c r="Q567" s="122"/>
    </row>
    <row r="568" spans="2:17" ht="14.25" customHeight="1" x14ac:dyDescent="0.3">
      <c r="B568" s="23"/>
      <c r="D568" s="25"/>
      <c r="E568" s="25"/>
      <c r="M568" s="12"/>
      <c r="N568" s="122"/>
      <c r="O568" s="122"/>
      <c r="P568" s="122"/>
      <c r="Q568" s="122"/>
    </row>
    <row r="569" spans="2:17" ht="14.25" customHeight="1" x14ac:dyDescent="0.3">
      <c r="B569" s="23"/>
      <c r="D569" s="25"/>
      <c r="E569" s="25"/>
      <c r="M569" s="12"/>
      <c r="N569" s="122"/>
      <c r="O569" s="122"/>
      <c r="P569" s="122"/>
      <c r="Q569" s="122"/>
    </row>
    <row r="570" spans="2:17" ht="14.25" customHeight="1" x14ac:dyDescent="0.3">
      <c r="B570" s="23"/>
      <c r="D570" s="25"/>
      <c r="E570" s="25"/>
      <c r="M570" s="12"/>
      <c r="N570" s="122"/>
      <c r="O570" s="122"/>
      <c r="P570" s="122"/>
      <c r="Q570" s="122"/>
    </row>
    <row r="571" spans="2:17" ht="14.25" customHeight="1" x14ac:dyDescent="0.3">
      <c r="B571" s="23"/>
      <c r="D571" s="25"/>
      <c r="E571" s="25"/>
      <c r="M571" s="12"/>
      <c r="N571" s="122"/>
      <c r="O571" s="122"/>
      <c r="P571" s="122"/>
      <c r="Q571" s="122"/>
    </row>
    <row r="572" spans="2:17" ht="14.25" customHeight="1" x14ac:dyDescent="0.3">
      <c r="B572" s="23"/>
      <c r="D572" s="25"/>
      <c r="E572" s="25"/>
      <c r="M572" s="12"/>
      <c r="N572" s="122"/>
      <c r="O572" s="122"/>
      <c r="P572" s="122"/>
      <c r="Q572" s="122"/>
    </row>
    <row r="573" spans="2:17" ht="14.25" customHeight="1" x14ac:dyDescent="0.3">
      <c r="B573" s="23"/>
      <c r="D573" s="25"/>
      <c r="E573" s="25"/>
      <c r="M573" s="12"/>
      <c r="N573" s="122"/>
      <c r="O573" s="122"/>
      <c r="P573" s="122"/>
      <c r="Q573" s="122"/>
    </row>
    <row r="574" spans="2:17" ht="14.25" customHeight="1" x14ac:dyDescent="0.3">
      <c r="B574" s="23"/>
      <c r="D574" s="25"/>
      <c r="E574" s="25"/>
      <c r="M574" s="12"/>
      <c r="N574" s="122"/>
      <c r="O574" s="122"/>
      <c r="P574" s="122"/>
      <c r="Q574" s="122"/>
    </row>
    <row r="575" spans="2:17" ht="14.25" customHeight="1" x14ac:dyDescent="0.3">
      <c r="B575" s="23"/>
      <c r="D575" s="25"/>
      <c r="E575" s="25"/>
      <c r="M575" s="12"/>
      <c r="N575" s="122"/>
      <c r="O575" s="122"/>
      <c r="P575" s="122"/>
      <c r="Q575" s="122"/>
    </row>
    <row r="576" spans="2:17" ht="14.25" customHeight="1" x14ac:dyDescent="0.3">
      <c r="B576" s="23"/>
      <c r="D576" s="25"/>
      <c r="E576" s="25"/>
      <c r="M576" s="12"/>
      <c r="N576" s="122"/>
      <c r="O576" s="122"/>
      <c r="P576" s="122"/>
      <c r="Q576" s="122"/>
    </row>
    <row r="577" spans="2:17" ht="14.25" customHeight="1" x14ac:dyDescent="0.3">
      <c r="B577" s="23"/>
      <c r="D577" s="25"/>
      <c r="E577" s="25"/>
      <c r="M577" s="12"/>
      <c r="N577" s="122"/>
      <c r="O577" s="122"/>
      <c r="P577" s="122"/>
      <c r="Q577" s="122"/>
    </row>
    <row r="578" spans="2:17" ht="14.25" customHeight="1" x14ac:dyDescent="0.3">
      <c r="B578" s="23"/>
      <c r="D578" s="25"/>
      <c r="E578" s="25"/>
      <c r="M578" s="12"/>
      <c r="N578" s="122"/>
      <c r="O578" s="122"/>
      <c r="P578" s="122"/>
      <c r="Q578" s="122"/>
    </row>
    <row r="579" spans="2:17" ht="14.25" customHeight="1" x14ac:dyDescent="0.3">
      <c r="B579" s="23"/>
      <c r="D579" s="25"/>
      <c r="E579" s="25"/>
      <c r="M579" s="12"/>
      <c r="N579" s="122"/>
      <c r="O579" s="122"/>
      <c r="P579" s="122"/>
      <c r="Q579" s="122"/>
    </row>
    <row r="580" spans="2:17" ht="14.25" customHeight="1" x14ac:dyDescent="0.3">
      <c r="B580" s="23"/>
      <c r="D580" s="25"/>
      <c r="E580" s="25"/>
      <c r="M580" s="12"/>
      <c r="N580" s="122"/>
      <c r="O580" s="122"/>
      <c r="P580" s="122"/>
      <c r="Q580" s="122"/>
    </row>
    <row r="581" spans="2:17" ht="14.25" customHeight="1" x14ac:dyDescent="0.3">
      <c r="B581" s="23"/>
      <c r="D581" s="25"/>
      <c r="E581" s="25"/>
      <c r="M581" s="12"/>
      <c r="N581" s="122"/>
      <c r="O581" s="122"/>
      <c r="P581" s="122"/>
      <c r="Q581" s="122"/>
    </row>
    <row r="582" spans="2:17" ht="14.25" customHeight="1" x14ac:dyDescent="0.3">
      <c r="B582" s="23"/>
      <c r="D582" s="25"/>
      <c r="E582" s="25"/>
      <c r="M582" s="12"/>
      <c r="N582" s="122"/>
      <c r="O582" s="122"/>
      <c r="P582" s="122"/>
      <c r="Q582" s="122"/>
    </row>
    <row r="583" spans="2:17" ht="14.25" customHeight="1" x14ac:dyDescent="0.3">
      <c r="B583" s="23"/>
      <c r="D583" s="25"/>
      <c r="E583" s="25"/>
      <c r="M583" s="12"/>
      <c r="N583" s="122"/>
      <c r="O583" s="122"/>
      <c r="P583" s="122"/>
      <c r="Q583" s="122"/>
    </row>
    <row r="584" spans="2:17" ht="14.25" customHeight="1" x14ac:dyDescent="0.3">
      <c r="B584" s="23"/>
      <c r="D584" s="25"/>
      <c r="E584" s="25"/>
      <c r="M584" s="12"/>
      <c r="N584" s="122"/>
      <c r="O584" s="122"/>
      <c r="P584" s="122"/>
      <c r="Q584" s="122"/>
    </row>
    <row r="585" spans="2:17" ht="14.25" customHeight="1" x14ac:dyDescent="0.3">
      <c r="B585" s="23"/>
      <c r="D585" s="25"/>
      <c r="E585" s="25"/>
      <c r="M585" s="12"/>
      <c r="N585" s="122"/>
      <c r="O585" s="122"/>
      <c r="P585" s="122"/>
      <c r="Q585" s="122"/>
    </row>
    <row r="586" spans="2:17" ht="14.25" customHeight="1" x14ac:dyDescent="0.3">
      <c r="B586" s="23"/>
      <c r="D586" s="25"/>
      <c r="E586" s="25"/>
      <c r="M586" s="12"/>
      <c r="N586" s="122"/>
      <c r="O586" s="122"/>
      <c r="P586" s="122"/>
      <c r="Q586" s="122"/>
    </row>
    <row r="587" spans="2:17" ht="14.25" customHeight="1" x14ac:dyDescent="0.3">
      <c r="B587" s="23"/>
      <c r="D587" s="25"/>
      <c r="E587" s="25"/>
      <c r="M587" s="12"/>
      <c r="N587" s="122"/>
      <c r="O587" s="122"/>
      <c r="P587" s="122"/>
      <c r="Q587" s="122"/>
    </row>
    <row r="588" spans="2:17" ht="14.25" customHeight="1" x14ac:dyDescent="0.3">
      <c r="B588" s="23"/>
      <c r="D588" s="25"/>
      <c r="E588" s="25"/>
      <c r="M588" s="12"/>
      <c r="N588" s="122"/>
      <c r="O588" s="122"/>
      <c r="P588" s="122"/>
      <c r="Q588" s="122"/>
    </row>
    <row r="589" spans="2:17" ht="14.25" customHeight="1" x14ac:dyDescent="0.3">
      <c r="B589" s="23"/>
      <c r="D589" s="25"/>
      <c r="E589" s="25"/>
      <c r="M589" s="12"/>
      <c r="N589" s="122"/>
      <c r="O589" s="122"/>
      <c r="P589" s="122"/>
      <c r="Q589" s="122"/>
    </row>
    <row r="590" spans="2:17" ht="14.25" customHeight="1" x14ac:dyDescent="0.3">
      <c r="B590" s="23"/>
      <c r="D590" s="25"/>
      <c r="E590" s="25"/>
      <c r="M590" s="12"/>
      <c r="N590" s="122"/>
      <c r="O590" s="122"/>
      <c r="P590" s="122"/>
      <c r="Q590" s="122"/>
    </row>
    <row r="591" spans="2:17" ht="14.25" customHeight="1" x14ac:dyDescent="0.3">
      <c r="B591" s="23"/>
      <c r="D591" s="25"/>
      <c r="E591" s="25"/>
      <c r="M591" s="12"/>
      <c r="N591" s="122"/>
      <c r="O591" s="122"/>
      <c r="P591" s="122"/>
      <c r="Q591" s="122"/>
    </row>
    <row r="592" spans="2:17" ht="14.25" customHeight="1" x14ac:dyDescent="0.3">
      <c r="B592" s="23"/>
      <c r="D592" s="25"/>
      <c r="E592" s="25"/>
      <c r="M592" s="12"/>
      <c r="N592" s="122"/>
      <c r="O592" s="122"/>
      <c r="P592" s="122"/>
      <c r="Q592" s="122"/>
    </row>
    <row r="593" spans="2:17" ht="14.25" customHeight="1" x14ac:dyDescent="0.3">
      <c r="B593" s="23"/>
      <c r="D593" s="25"/>
      <c r="E593" s="25"/>
      <c r="M593" s="12"/>
      <c r="N593" s="122"/>
      <c r="O593" s="122"/>
      <c r="P593" s="122"/>
      <c r="Q593" s="122"/>
    </row>
    <row r="594" spans="2:17" ht="14.25" customHeight="1" x14ac:dyDescent="0.3">
      <c r="B594" s="23"/>
      <c r="D594" s="25"/>
      <c r="E594" s="25"/>
      <c r="M594" s="12"/>
      <c r="N594" s="122"/>
      <c r="O594" s="122"/>
      <c r="P594" s="122"/>
      <c r="Q594" s="122"/>
    </row>
    <row r="595" spans="2:17" ht="14.25" customHeight="1" x14ac:dyDescent="0.3">
      <c r="B595" s="23"/>
      <c r="D595" s="25"/>
      <c r="E595" s="25"/>
      <c r="M595" s="12"/>
      <c r="N595" s="122"/>
      <c r="O595" s="122"/>
      <c r="P595" s="122"/>
      <c r="Q595" s="122"/>
    </row>
    <row r="596" spans="2:17" ht="14.25" customHeight="1" x14ac:dyDescent="0.3">
      <c r="B596" s="23"/>
      <c r="D596" s="25"/>
      <c r="E596" s="25"/>
      <c r="M596" s="12"/>
      <c r="N596" s="122"/>
      <c r="O596" s="122"/>
      <c r="P596" s="122"/>
      <c r="Q596" s="122"/>
    </row>
    <row r="597" spans="2:17" ht="14.25" customHeight="1" x14ac:dyDescent="0.3">
      <c r="B597" s="23"/>
      <c r="D597" s="25"/>
      <c r="E597" s="25"/>
      <c r="M597" s="12"/>
      <c r="N597" s="122"/>
      <c r="O597" s="122"/>
      <c r="P597" s="122"/>
      <c r="Q597" s="122"/>
    </row>
    <row r="598" spans="2:17" ht="14.25" customHeight="1" x14ac:dyDescent="0.3">
      <c r="B598" s="23"/>
      <c r="D598" s="25"/>
      <c r="E598" s="25"/>
      <c r="M598" s="12"/>
      <c r="N598" s="122"/>
      <c r="O598" s="122"/>
      <c r="P598" s="122"/>
      <c r="Q598" s="122"/>
    </row>
    <row r="599" spans="2:17" ht="14.25" customHeight="1" x14ac:dyDescent="0.3">
      <c r="B599" s="23"/>
      <c r="D599" s="25"/>
      <c r="E599" s="25"/>
      <c r="M599" s="12"/>
      <c r="N599" s="122"/>
      <c r="O599" s="122"/>
      <c r="P599" s="122"/>
      <c r="Q599" s="122"/>
    </row>
    <row r="600" spans="2:17" ht="14.25" customHeight="1" x14ac:dyDescent="0.3">
      <c r="B600" s="23"/>
      <c r="D600" s="25"/>
      <c r="E600" s="25"/>
      <c r="M600" s="12"/>
      <c r="N600" s="122"/>
      <c r="O600" s="122"/>
      <c r="P600" s="122"/>
      <c r="Q600" s="122"/>
    </row>
    <row r="601" spans="2:17" ht="14.25" customHeight="1" x14ac:dyDescent="0.3">
      <c r="B601" s="23"/>
      <c r="D601" s="25"/>
      <c r="E601" s="25"/>
      <c r="M601" s="12"/>
      <c r="N601" s="122"/>
      <c r="O601" s="122"/>
      <c r="P601" s="122"/>
      <c r="Q601" s="122"/>
    </row>
    <row r="602" spans="2:17" ht="14.25" customHeight="1" x14ac:dyDescent="0.3">
      <c r="B602" s="23"/>
      <c r="D602" s="25"/>
      <c r="E602" s="25"/>
      <c r="M602" s="12"/>
      <c r="N602" s="122"/>
      <c r="O602" s="122"/>
      <c r="P602" s="122"/>
      <c r="Q602" s="122"/>
    </row>
    <row r="603" spans="2:17" ht="14.25" customHeight="1" x14ac:dyDescent="0.3">
      <c r="B603" s="23"/>
      <c r="D603" s="25"/>
      <c r="E603" s="25"/>
      <c r="M603" s="12"/>
      <c r="N603" s="122"/>
      <c r="O603" s="122"/>
      <c r="P603" s="122"/>
      <c r="Q603" s="122"/>
    </row>
    <row r="604" spans="2:17" ht="14.25" customHeight="1" x14ac:dyDescent="0.3">
      <c r="B604" s="23"/>
      <c r="D604" s="25"/>
      <c r="E604" s="25"/>
      <c r="M604" s="12"/>
      <c r="N604" s="122"/>
      <c r="O604" s="122"/>
      <c r="P604" s="122"/>
      <c r="Q604" s="122"/>
    </row>
    <row r="605" spans="2:17" ht="14.25" customHeight="1" x14ac:dyDescent="0.3">
      <c r="B605" s="23"/>
      <c r="D605" s="25"/>
      <c r="E605" s="25"/>
      <c r="M605" s="12"/>
      <c r="N605" s="122"/>
      <c r="O605" s="122"/>
      <c r="P605" s="122"/>
      <c r="Q605" s="122"/>
    </row>
    <row r="606" spans="2:17" ht="14.25" customHeight="1" x14ac:dyDescent="0.3">
      <c r="B606" s="23"/>
      <c r="D606" s="25"/>
      <c r="E606" s="25"/>
      <c r="M606" s="12"/>
      <c r="N606" s="122"/>
      <c r="O606" s="122"/>
      <c r="P606" s="122"/>
      <c r="Q606" s="122"/>
    </row>
    <row r="607" spans="2:17" ht="14.25" customHeight="1" x14ac:dyDescent="0.3">
      <c r="B607" s="23"/>
      <c r="D607" s="25"/>
      <c r="E607" s="25"/>
      <c r="M607" s="12"/>
      <c r="N607" s="122"/>
      <c r="O607" s="122"/>
      <c r="P607" s="122"/>
      <c r="Q607" s="122"/>
    </row>
    <row r="608" spans="2:17" ht="14.25" customHeight="1" x14ac:dyDescent="0.3">
      <c r="B608" s="23"/>
      <c r="D608" s="25"/>
      <c r="E608" s="25"/>
      <c r="M608" s="12"/>
      <c r="N608" s="122"/>
      <c r="O608" s="122"/>
      <c r="P608" s="122"/>
      <c r="Q608" s="122"/>
    </row>
    <row r="609" spans="2:17" ht="14.25" customHeight="1" x14ac:dyDescent="0.3">
      <c r="B609" s="23"/>
      <c r="D609" s="25"/>
      <c r="E609" s="25"/>
      <c r="M609" s="12"/>
      <c r="N609" s="122"/>
      <c r="O609" s="122"/>
      <c r="P609" s="122"/>
      <c r="Q609" s="122"/>
    </row>
    <row r="610" spans="2:17" ht="14.25" customHeight="1" x14ac:dyDescent="0.3">
      <c r="B610" s="23"/>
      <c r="D610" s="25"/>
      <c r="E610" s="25"/>
      <c r="M610" s="12"/>
      <c r="N610" s="122"/>
      <c r="O610" s="122"/>
      <c r="P610" s="122"/>
      <c r="Q610" s="122"/>
    </row>
    <row r="611" spans="2:17" ht="14.25" customHeight="1" x14ac:dyDescent="0.3">
      <c r="B611" s="23"/>
      <c r="D611" s="25"/>
      <c r="E611" s="25"/>
      <c r="M611" s="12"/>
      <c r="N611" s="122"/>
      <c r="O611" s="122"/>
      <c r="P611" s="122"/>
      <c r="Q611" s="122"/>
    </row>
    <row r="612" spans="2:17" ht="14.25" customHeight="1" x14ac:dyDescent="0.3">
      <c r="B612" s="23"/>
      <c r="D612" s="25"/>
      <c r="E612" s="25"/>
      <c r="M612" s="12"/>
      <c r="N612" s="122"/>
      <c r="O612" s="122"/>
      <c r="P612" s="122"/>
      <c r="Q612" s="122"/>
    </row>
    <row r="613" spans="2:17" ht="14.25" customHeight="1" x14ac:dyDescent="0.3">
      <c r="B613" s="23"/>
      <c r="D613" s="25"/>
      <c r="E613" s="25"/>
      <c r="M613" s="12"/>
      <c r="N613" s="122"/>
      <c r="O613" s="122"/>
      <c r="P613" s="122"/>
      <c r="Q613" s="122"/>
    </row>
    <row r="614" spans="2:17" ht="14.25" customHeight="1" x14ac:dyDescent="0.3">
      <c r="B614" s="23"/>
      <c r="D614" s="25"/>
      <c r="E614" s="25"/>
      <c r="M614" s="12"/>
      <c r="N614" s="122"/>
      <c r="O614" s="122"/>
      <c r="P614" s="122"/>
      <c r="Q614" s="122"/>
    </row>
    <row r="615" spans="2:17" ht="14.25" customHeight="1" x14ac:dyDescent="0.3">
      <c r="B615" s="23"/>
      <c r="D615" s="25"/>
      <c r="E615" s="25"/>
      <c r="M615" s="12"/>
      <c r="N615" s="122"/>
      <c r="O615" s="122"/>
      <c r="P615" s="122"/>
      <c r="Q615" s="122"/>
    </row>
    <row r="616" spans="2:17" ht="14.25" customHeight="1" x14ac:dyDescent="0.3">
      <c r="B616" s="23"/>
      <c r="D616" s="25"/>
      <c r="E616" s="25"/>
      <c r="M616" s="12"/>
      <c r="N616" s="122"/>
      <c r="O616" s="122"/>
      <c r="P616" s="122"/>
      <c r="Q616" s="122"/>
    </row>
    <row r="617" spans="2:17" ht="14.25" customHeight="1" x14ac:dyDescent="0.3">
      <c r="B617" s="23"/>
      <c r="D617" s="25"/>
      <c r="E617" s="25"/>
      <c r="M617" s="12"/>
      <c r="N617" s="122"/>
      <c r="O617" s="122"/>
      <c r="P617" s="122"/>
      <c r="Q617" s="122"/>
    </row>
    <row r="618" spans="2:17" ht="14.25" customHeight="1" x14ac:dyDescent="0.3">
      <c r="B618" s="23"/>
      <c r="D618" s="25"/>
      <c r="E618" s="25"/>
      <c r="M618" s="12"/>
      <c r="N618" s="122"/>
      <c r="O618" s="122"/>
      <c r="P618" s="122"/>
      <c r="Q618" s="122"/>
    </row>
    <row r="619" spans="2:17" ht="14.25" customHeight="1" x14ac:dyDescent="0.3">
      <c r="B619" s="23"/>
      <c r="D619" s="25"/>
      <c r="E619" s="25"/>
      <c r="M619" s="12"/>
      <c r="N619" s="122"/>
      <c r="O619" s="122"/>
      <c r="P619" s="122"/>
      <c r="Q619" s="122"/>
    </row>
    <row r="620" spans="2:17" ht="14.25" customHeight="1" x14ac:dyDescent="0.3">
      <c r="B620" s="23"/>
      <c r="D620" s="25"/>
      <c r="E620" s="25"/>
      <c r="M620" s="12"/>
      <c r="N620" s="122"/>
      <c r="O620" s="122"/>
      <c r="P620" s="122"/>
      <c r="Q620" s="122"/>
    </row>
    <row r="621" spans="2:17" ht="14.25" customHeight="1" x14ac:dyDescent="0.3">
      <c r="B621" s="23"/>
      <c r="D621" s="25"/>
      <c r="E621" s="25"/>
      <c r="M621" s="12"/>
      <c r="N621" s="122"/>
      <c r="O621" s="122"/>
      <c r="P621" s="122"/>
      <c r="Q621" s="122"/>
    </row>
    <row r="622" spans="2:17" ht="14.25" customHeight="1" x14ac:dyDescent="0.3">
      <c r="B622" s="23"/>
      <c r="D622" s="25"/>
      <c r="E622" s="25"/>
      <c r="M622" s="12"/>
      <c r="N622" s="122"/>
      <c r="O622" s="122"/>
      <c r="P622" s="122"/>
      <c r="Q622" s="122"/>
    </row>
    <row r="623" spans="2:17" ht="14.25" customHeight="1" x14ac:dyDescent="0.3">
      <c r="B623" s="23"/>
      <c r="D623" s="25"/>
      <c r="E623" s="25"/>
      <c r="M623" s="12"/>
      <c r="N623" s="122"/>
      <c r="O623" s="122"/>
      <c r="P623" s="122"/>
      <c r="Q623" s="122"/>
    </row>
    <row r="624" spans="2:17" ht="14.25" customHeight="1" x14ac:dyDescent="0.3">
      <c r="B624" s="23"/>
      <c r="D624" s="25"/>
      <c r="E624" s="25"/>
      <c r="M624" s="12"/>
      <c r="N624" s="122"/>
      <c r="O624" s="122"/>
      <c r="P624" s="122"/>
      <c r="Q624" s="122"/>
    </row>
    <row r="625" spans="2:17" ht="14.25" customHeight="1" x14ac:dyDescent="0.3">
      <c r="B625" s="23"/>
      <c r="D625" s="25"/>
      <c r="E625" s="25"/>
      <c r="M625" s="12"/>
      <c r="N625" s="122"/>
      <c r="O625" s="122"/>
      <c r="P625" s="122"/>
      <c r="Q625" s="122"/>
    </row>
    <row r="626" spans="2:17" ht="14.25" customHeight="1" x14ac:dyDescent="0.3">
      <c r="B626" s="23"/>
      <c r="D626" s="25"/>
      <c r="E626" s="25"/>
      <c r="M626" s="12"/>
      <c r="N626" s="122"/>
      <c r="O626" s="122"/>
      <c r="P626" s="122"/>
      <c r="Q626" s="122"/>
    </row>
    <row r="627" spans="2:17" ht="14.25" customHeight="1" x14ac:dyDescent="0.3">
      <c r="B627" s="23"/>
      <c r="D627" s="25"/>
      <c r="E627" s="25"/>
      <c r="M627" s="12"/>
      <c r="N627" s="122"/>
      <c r="O627" s="122"/>
      <c r="P627" s="122"/>
      <c r="Q627" s="122"/>
    </row>
    <row r="628" spans="2:17" ht="14.25" customHeight="1" x14ac:dyDescent="0.3">
      <c r="B628" s="23"/>
      <c r="D628" s="25"/>
      <c r="E628" s="25"/>
      <c r="M628" s="12"/>
      <c r="N628" s="122"/>
      <c r="O628" s="122"/>
      <c r="P628" s="122"/>
      <c r="Q628" s="122"/>
    </row>
    <row r="629" spans="2:17" ht="14.25" customHeight="1" x14ac:dyDescent="0.3">
      <c r="B629" s="23"/>
      <c r="D629" s="25"/>
      <c r="E629" s="25"/>
      <c r="M629" s="12"/>
      <c r="N629" s="122"/>
      <c r="O629" s="122"/>
      <c r="P629" s="122"/>
      <c r="Q629" s="122"/>
    </row>
    <row r="630" spans="2:17" ht="14.25" customHeight="1" x14ac:dyDescent="0.3">
      <c r="B630" s="23"/>
      <c r="D630" s="25"/>
      <c r="E630" s="25"/>
      <c r="M630" s="12"/>
      <c r="N630" s="122"/>
      <c r="O630" s="122"/>
      <c r="P630" s="122"/>
      <c r="Q630" s="122"/>
    </row>
    <row r="631" spans="2:17" ht="14.25" customHeight="1" x14ac:dyDescent="0.3">
      <c r="B631" s="23"/>
      <c r="D631" s="25"/>
      <c r="E631" s="25"/>
      <c r="M631" s="12"/>
      <c r="N631" s="122"/>
      <c r="O631" s="122"/>
      <c r="P631" s="122"/>
      <c r="Q631" s="122"/>
    </row>
    <row r="632" spans="2:17" ht="14.25" customHeight="1" x14ac:dyDescent="0.3">
      <c r="B632" s="23"/>
      <c r="D632" s="25"/>
      <c r="E632" s="25"/>
      <c r="M632" s="12"/>
      <c r="N632" s="122"/>
      <c r="O632" s="122"/>
      <c r="P632" s="122"/>
      <c r="Q632" s="122"/>
    </row>
    <row r="633" spans="2:17" ht="14.25" customHeight="1" x14ac:dyDescent="0.3">
      <c r="B633" s="23"/>
      <c r="D633" s="25"/>
      <c r="E633" s="25"/>
      <c r="M633" s="12"/>
      <c r="N633" s="122"/>
      <c r="O633" s="122"/>
      <c r="P633" s="122"/>
      <c r="Q633" s="122"/>
    </row>
    <row r="634" spans="2:17" ht="14.25" customHeight="1" x14ac:dyDescent="0.3">
      <c r="B634" s="23"/>
      <c r="D634" s="25"/>
      <c r="E634" s="25"/>
      <c r="M634" s="12"/>
      <c r="N634" s="122"/>
      <c r="O634" s="122"/>
      <c r="P634" s="122"/>
      <c r="Q634" s="122"/>
    </row>
    <row r="635" spans="2:17" ht="14.25" customHeight="1" x14ac:dyDescent="0.3">
      <c r="B635" s="23"/>
      <c r="D635" s="25"/>
      <c r="E635" s="25"/>
      <c r="M635" s="12"/>
      <c r="N635" s="122"/>
      <c r="O635" s="122"/>
      <c r="P635" s="122"/>
      <c r="Q635" s="122"/>
    </row>
    <row r="636" spans="2:17" ht="14.25" customHeight="1" x14ac:dyDescent="0.3">
      <c r="B636" s="23"/>
      <c r="D636" s="25"/>
      <c r="E636" s="25"/>
      <c r="M636" s="12"/>
      <c r="N636" s="122"/>
      <c r="O636" s="122"/>
      <c r="P636" s="122"/>
      <c r="Q636" s="122"/>
    </row>
    <row r="637" spans="2:17" ht="14.25" customHeight="1" x14ac:dyDescent="0.3">
      <c r="B637" s="23"/>
      <c r="D637" s="25"/>
      <c r="E637" s="25"/>
      <c r="M637" s="12"/>
      <c r="N637" s="122"/>
      <c r="O637" s="122"/>
      <c r="P637" s="122"/>
      <c r="Q637" s="122"/>
    </row>
    <row r="638" spans="2:17" ht="14.25" customHeight="1" x14ac:dyDescent="0.3">
      <c r="B638" s="23"/>
      <c r="D638" s="25"/>
      <c r="E638" s="25"/>
      <c r="M638" s="12"/>
      <c r="N638" s="122"/>
      <c r="O638" s="122"/>
      <c r="P638" s="122"/>
      <c r="Q638" s="122"/>
    </row>
    <row r="639" spans="2:17" ht="14.25" customHeight="1" x14ac:dyDescent="0.3">
      <c r="B639" s="23"/>
      <c r="D639" s="25"/>
      <c r="E639" s="25"/>
      <c r="M639" s="12"/>
      <c r="N639" s="122"/>
      <c r="O639" s="122"/>
      <c r="P639" s="122"/>
      <c r="Q639" s="122"/>
    </row>
    <row r="640" spans="2:17" ht="14.25" customHeight="1" x14ac:dyDescent="0.3">
      <c r="B640" s="23"/>
      <c r="D640" s="25"/>
      <c r="E640" s="25"/>
      <c r="M640" s="12"/>
      <c r="N640" s="122"/>
      <c r="O640" s="122"/>
      <c r="P640" s="122"/>
      <c r="Q640" s="122"/>
    </row>
    <row r="641" spans="2:17" ht="14.25" customHeight="1" x14ac:dyDescent="0.3">
      <c r="B641" s="23"/>
      <c r="D641" s="25"/>
      <c r="E641" s="25"/>
      <c r="M641" s="12"/>
      <c r="N641" s="122"/>
      <c r="O641" s="122"/>
      <c r="P641" s="122"/>
      <c r="Q641" s="122"/>
    </row>
    <row r="642" spans="2:17" ht="14.25" customHeight="1" x14ac:dyDescent="0.3">
      <c r="B642" s="23"/>
      <c r="D642" s="25"/>
      <c r="E642" s="25"/>
      <c r="M642" s="12"/>
      <c r="N642" s="122"/>
      <c r="O642" s="122"/>
      <c r="P642" s="122"/>
      <c r="Q642" s="122"/>
    </row>
    <row r="643" spans="2:17" ht="14.25" customHeight="1" x14ac:dyDescent="0.3">
      <c r="B643" s="23"/>
      <c r="D643" s="25"/>
      <c r="E643" s="25"/>
      <c r="M643" s="12"/>
      <c r="N643" s="122"/>
      <c r="O643" s="122"/>
      <c r="P643" s="122"/>
      <c r="Q643" s="122"/>
    </row>
    <row r="644" spans="2:17" ht="14.25" customHeight="1" x14ac:dyDescent="0.3">
      <c r="B644" s="23"/>
      <c r="D644" s="25"/>
      <c r="E644" s="25"/>
      <c r="M644" s="12"/>
      <c r="N644" s="122"/>
      <c r="O644" s="122"/>
      <c r="P644" s="122"/>
      <c r="Q644" s="122"/>
    </row>
    <row r="645" spans="2:17" ht="14.25" customHeight="1" x14ac:dyDescent="0.3">
      <c r="B645" s="23"/>
      <c r="D645" s="25"/>
      <c r="E645" s="25"/>
      <c r="M645" s="12"/>
      <c r="N645" s="122"/>
      <c r="O645" s="122"/>
      <c r="P645" s="122"/>
      <c r="Q645" s="122"/>
    </row>
    <row r="646" spans="2:17" ht="14.25" customHeight="1" x14ac:dyDescent="0.3">
      <c r="B646" s="23"/>
      <c r="D646" s="25"/>
      <c r="E646" s="25"/>
      <c r="M646" s="12"/>
      <c r="N646" s="122"/>
      <c r="O646" s="122"/>
      <c r="P646" s="122"/>
      <c r="Q646" s="122"/>
    </row>
    <row r="647" spans="2:17" ht="14.25" customHeight="1" x14ac:dyDescent="0.3">
      <c r="B647" s="23"/>
      <c r="D647" s="25"/>
      <c r="E647" s="25"/>
      <c r="M647" s="12"/>
      <c r="N647" s="122"/>
      <c r="O647" s="122"/>
      <c r="P647" s="122"/>
      <c r="Q647" s="122"/>
    </row>
    <row r="648" spans="2:17" ht="14.25" customHeight="1" x14ac:dyDescent="0.3">
      <c r="B648" s="23"/>
      <c r="D648" s="25"/>
      <c r="E648" s="25"/>
      <c r="M648" s="12"/>
      <c r="N648" s="122"/>
      <c r="O648" s="122"/>
      <c r="P648" s="122"/>
      <c r="Q648" s="122"/>
    </row>
    <row r="649" spans="2:17" ht="14.25" customHeight="1" x14ac:dyDescent="0.3">
      <c r="B649" s="23"/>
      <c r="D649" s="25"/>
      <c r="E649" s="25"/>
      <c r="M649" s="12"/>
      <c r="N649" s="122"/>
      <c r="O649" s="122"/>
      <c r="P649" s="122"/>
      <c r="Q649" s="122"/>
    </row>
    <row r="650" spans="2:17" ht="14.25" customHeight="1" x14ac:dyDescent="0.3">
      <c r="B650" s="23"/>
      <c r="D650" s="25"/>
      <c r="E650" s="25"/>
      <c r="M650" s="12"/>
      <c r="N650" s="122"/>
      <c r="O650" s="122"/>
      <c r="P650" s="122"/>
      <c r="Q650" s="122"/>
    </row>
    <row r="651" spans="2:17" ht="14.25" customHeight="1" x14ac:dyDescent="0.3">
      <c r="B651" s="23"/>
      <c r="D651" s="25"/>
      <c r="E651" s="25"/>
      <c r="M651" s="12"/>
      <c r="N651" s="122"/>
      <c r="O651" s="122"/>
      <c r="P651" s="122"/>
      <c r="Q651" s="122"/>
    </row>
    <row r="652" spans="2:17" ht="14.25" customHeight="1" x14ac:dyDescent="0.3">
      <c r="B652" s="23"/>
      <c r="D652" s="25"/>
      <c r="E652" s="25"/>
      <c r="M652" s="12"/>
      <c r="N652" s="122"/>
      <c r="O652" s="122"/>
      <c r="P652" s="122"/>
      <c r="Q652" s="122"/>
    </row>
    <row r="653" spans="2:17" ht="14.25" customHeight="1" x14ac:dyDescent="0.3">
      <c r="B653" s="23"/>
      <c r="D653" s="25"/>
      <c r="E653" s="25"/>
      <c r="M653" s="12"/>
      <c r="N653" s="122"/>
      <c r="O653" s="122"/>
      <c r="P653" s="122"/>
      <c r="Q653" s="122"/>
    </row>
    <row r="654" spans="2:17" ht="14.25" customHeight="1" x14ac:dyDescent="0.3">
      <c r="B654" s="23"/>
      <c r="D654" s="25"/>
      <c r="E654" s="25"/>
      <c r="M654" s="12"/>
      <c r="N654" s="122"/>
      <c r="O654" s="122"/>
      <c r="P654" s="122"/>
      <c r="Q654" s="122"/>
    </row>
    <row r="655" spans="2:17" ht="14.25" customHeight="1" x14ac:dyDescent="0.3">
      <c r="B655" s="23"/>
      <c r="D655" s="25"/>
      <c r="E655" s="25"/>
      <c r="M655" s="12"/>
      <c r="N655" s="122"/>
      <c r="O655" s="122"/>
      <c r="P655" s="122"/>
      <c r="Q655" s="122"/>
    </row>
    <row r="656" spans="2:17" ht="14.25" customHeight="1" x14ac:dyDescent="0.3">
      <c r="B656" s="23"/>
      <c r="D656" s="25"/>
      <c r="E656" s="25"/>
      <c r="M656" s="12"/>
      <c r="N656" s="122"/>
      <c r="O656" s="122"/>
      <c r="P656" s="122"/>
      <c r="Q656" s="122"/>
    </row>
    <row r="657" spans="2:17" ht="14.25" customHeight="1" x14ac:dyDescent="0.3">
      <c r="B657" s="23"/>
      <c r="D657" s="25"/>
      <c r="E657" s="25"/>
      <c r="M657" s="12"/>
      <c r="N657" s="122"/>
      <c r="O657" s="122"/>
      <c r="P657" s="122"/>
      <c r="Q657" s="122"/>
    </row>
    <row r="658" spans="2:17" ht="14.25" customHeight="1" x14ac:dyDescent="0.3">
      <c r="B658" s="23"/>
      <c r="D658" s="25"/>
      <c r="E658" s="25"/>
      <c r="M658" s="12"/>
      <c r="N658" s="122"/>
      <c r="O658" s="122"/>
      <c r="P658" s="122"/>
      <c r="Q658" s="122"/>
    </row>
    <row r="659" spans="2:17" ht="14.25" customHeight="1" x14ac:dyDescent="0.3">
      <c r="B659" s="23"/>
      <c r="D659" s="25"/>
      <c r="E659" s="25"/>
      <c r="M659" s="12"/>
      <c r="N659" s="122"/>
      <c r="O659" s="122"/>
      <c r="P659" s="122"/>
      <c r="Q659" s="122"/>
    </row>
    <row r="660" spans="2:17" ht="14.25" customHeight="1" x14ac:dyDescent="0.3">
      <c r="B660" s="23"/>
      <c r="D660" s="25"/>
      <c r="E660" s="25"/>
      <c r="M660" s="12"/>
      <c r="N660" s="122"/>
      <c r="O660" s="122"/>
      <c r="P660" s="122"/>
      <c r="Q660" s="122"/>
    </row>
    <row r="661" spans="2:17" ht="14.25" customHeight="1" x14ac:dyDescent="0.3">
      <c r="B661" s="23"/>
      <c r="D661" s="25"/>
      <c r="E661" s="25"/>
      <c r="M661" s="12"/>
      <c r="N661" s="122"/>
      <c r="O661" s="122"/>
      <c r="P661" s="122"/>
      <c r="Q661" s="122"/>
    </row>
    <row r="662" spans="2:17" ht="14.25" customHeight="1" x14ac:dyDescent="0.3">
      <c r="B662" s="23"/>
      <c r="D662" s="25"/>
      <c r="E662" s="25"/>
      <c r="M662" s="12"/>
      <c r="N662" s="122"/>
      <c r="O662" s="122"/>
      <c r="P662" s="122"/>
      <c r="Q662" s="122"/>
    </row>
    <row r="663" spans="2:17" ht="14.25" customHeight="1" x14ac:dyDescent="0.3">
      <c r="B663" s="23"/>
      <c r="D663" s="25"/>
      <c r="E663" s="25"/>
      <c r="M663" s="12"/>
      <c r="N663" s="122"/>
      <c r="O663" s="122"/>
      <c r="P663" s="122"/>
      <c r="Q663" s="122"/>
    </row>
    <row r="664" spans="2:17" ht="14.25" customHeight="1" x14ac:dyDescent="0.3">
      <c r="B664" s="23"/>
      <c r="D664" s="25"/>
      <c r="E664" s="25"/>
      <c r="M664" s="12"/>
      <c r="N664" s="122"/>
      <c r="O664" s="122"/>
      <c r="P664" s="122"/>
      <c r="Q664" s="122"/>
    </row>
    <row r="665" spans="2:17" ht="14.25" customHeight="1" x14ac:dyDescent="0.3">
      <c r="B665" s="23"/>
      <c r="D665" s="25"/>
      <c r="E665" s="25"/>
      <c r="M665" s="12"/>
      <c r="N665" s="122"/>
      <c r="O665" s="122"/>
      <c r="P665" s="122"/>
      <c r="Q665" s="122"/>
    </row>
    <row r="666" spans="2:17" ht="14.25" customHeight="1" x14ac:dyDescent="0.3">
      <c r="B666" s="23"/>
      <c r="D666" s="25"/>
      <c r="E666" s="25"/>
      <c r="M666" s="12"/>
      <c r="N666" s="122"/>
      <c r="O666" s="122"/>
      <c r="P666" s="122"/>
      <c r="Q666" s="122"/>
    </row>
    <row r="667" spans="2:17" ht="14.25" customHeight="1" x14ac:dyDescent="0.3">
      <c r="B667" s="23"/>
      <c r="D667" s="25"/>
      <c r="E667" s="25"/>
      <c r="M667" s="12"/>
      <c r="N667" s="122"/>
      <c r="O667" s="122"/>
      <c r="P667" s="122"/>
      <c r="Q667" s="122"/>
    </row>
    <row r="668" spans="2:17" ht="14.25" customHeight="1" x14ac:dyDescent="0.3">
      <c r="B668" s="23"/>
      <c r="D668" s="25"/>
      <c r="E668" s="25"/>
      <c r="M668" s="12"/>
      <c r="N668" s="122"/>
      <c r="O668" s="122"/>
      <c r="P668" s="122"/>
      <c r="Q668" s="122"/>
    </row>
    <row r="669" spans="2:17" ht="14.25" customHeight="1" x14ac:dyDescent="0.3">
      <c r="B669" s="23"/>
      <c r="D669" s="25"/>
      <c r="E669" s="25"/>
      <c r="M669" s="12"/>
      <c r="N669" s="122"/>
      <c r="O669" s="122"/>
      <c r="P669" s="122"/>
      <c r="Q669" s="122"/>
    </row>
    <row r="670" spans="2:17" ht="14.25" customHeight="1" x14ac:dyDescent="0.3">
      <c r="B670" s="23"/>
      <c r="D670" s="25"/>
      <c r="E670" s="25"/>
      <c r="M670" s="12"/>
      <c r="N670" s="122"/>
      <c r="O670" s="122"/>
      <c r="P670" s="122"/>
      <c r="Q670" s="122"/>
    </row>
    <row r="671" spans="2:17" ht="14.25" customHeight="1" x14ac:dyDescent="0.3">
      <c r="B671" s="23"/>
      <c r="D671" s="25"/>
      <c r="E671" s="25"/>
      <c r="M671" s="12"/>
      <c r="N671" s="122"/>
      <c r="O671" s="122"/>
      <c r="P671" s="122"/>
      <c r="Q671" s="122"/>
    </row>
    <row r="672" spans="2:17" ht="14.25" customHeight="1" x14ac:dyDescent="0.3">
      <c r="B672" s="23"/>
      <c r="D672" s="25"/>
      <c r="E672" s="25"/>
      <c r="M672" s="12"/>
      <c r="N672" s="122"/>
      <c r="O672" s="122"/>
      <c r="P672" s="122"/>
      <c r="Q672" s="122"/>
    </row>
    <row r="673" spans="2:17" ht="14.25" customHeight="1" x14ac:dyDescent="0.3">
      <c r="B673" s="23"/>
      <c r="D673" s="25"/>
      <c r="E673" s="25"/>
      <c r="M673" s="12"/>
      <c r="N673" s="122"/>
      <c r="O673" s="122"/>
      <c r="P673" s="122"/>
      <c r="Q673" s="122"/>
    </row>
    <row r="674" spans="2:17" ht="14.25" customHeight="1" x14ac:dyDescent="0.3">
      <c r="B674" s="23"/>
      <c r="D674" s="25"/>
      <c r="E674" s="25"/>
      <c r="M674" s="12"/>
      <c r="N674" s="122"/>
      <c r="O674" s="122"/>
      <c r="P674" s="122"/>
      <c r="Q674" s="122"/>
    </row>
    <row r="675" spans="2:17" ht="14.25" customHeight="1" x14ac:dyDescent="0.3">
      <c r="B675" s="23"/>
      <c r="D675" s="25"/>
      <c r="E675" s="25"/>
      <c r="M675" s="12"/>
      <c r="N675" s="122"/>
      <c r="O675" s="122"/>
      <c r="P675" s="122"/>
      <c r="Q675" s="122"/>
    </row>
    <row r="676" spans="2:17" ht="14.25" customHeight="1" x14ac:dyDescent="0.3">
      <c r="B676" s="23"/>
      <c r="D676" s="25"/>
      <c r="E676" s="25"/>
      <c r="M676" s="12"/>
      <c r="N676" s="122"/>
      <c r="O676" s="122"/>
      <c r="P676" s="122"/>
      <c r="Q676" s="122"/>
    </row>
    <row r="677" spans="2:17" ht="14.25" customHeight="1" x14ac:dyDescent="0.3">
      <c r="B677" s="23"/>
      <c r="D677" s="25"/>
      <c r="E677" s="25"/>
      <c r="M677" s="12"/>
      <c r="N677" s="122"/>
      <c r="O677" s="122"/>
      <c r="P677" s="122"/>
      <c r="Q677" s="122"/>
    </row>
    <row r="678" spans="2:17" ht="14.25" customHeight="1" x14ac:dyDescent="0.3">
      <c r="B678" s="23"/>
      <c r="D678" s="25"/>
      <c r="E678" s="25"/>
      <c r="M678" s="12"/>
      <c r="N678" s="122"/>
      <c r="O678" s="122"/>
      <c r="P678" s="122"/>
      <c r="Q678" s="122"/>
    </row>
    <row r="679" spans="2:17" ht="14.25" customHeight="1" x14ac:dyDescent="0.3">
      <c r="B679" s="23"/>
      <c r="D679" s="25"/>
      <c r="E679" s="25"/>
      <c r="M679" s="12"/>
      <c r="N679" s="122"/>
      <c r="O679" s="122"/>
      <c r="P679" s="122"/>
      <c r="Q679" s="122"/>
    </row>
    <row r="680" spans="2:17" ht="14.25" customHeight="1" x14ac:dyDescent="0.3">
      <c r="B680" s="23"/>
      <c r="D680" s="25"/>
      <c r="E680" s="25"/>
      <c r="M680" s="12"/>
      <c r="N680" s="122"/>
      <c r="O680" s="122"/>
      <c r="P680" s="122"/>
      <c r="Q680" s="122"/>
    </row>
    <row r="681" spans="2:17" ht="14.25" customHeight="1" x14ac:dyDescent="0.3">
      <c r="B681" s="23"/>
      <c r="D681" s="25"/>
      <c r="E681" s="25"/>
      <c r="M681" s="12"/>
      <c r="N681" s="122"/>
      <c r="O681" s="122"/>
      <c r="P681" s="122"/>
      <c r="Q681" s="122"/>
    </row>
    <row r="682" spans="2:17" ht="14.25" customHeight="1" x14ac:dyDescent="0.3">
      <c r="B682" s="23"/>
      <c r="D682" s="25"/>
      <c r="E682" s="25"/>
      <c r="M682" s="12"/>
      <c r="N682" s="122"/>
      <c r="O682" s="122"/>
      <c r="P682" s="122"/>
      <c r="Q682" s="122"/>
    </row>
    <row r="683" spans="2:17" ht="14.25" customHeight="1" x14ac:dyDescent="0.3">
      <c r="B683" s="23"/>
      <c r="D683" s="25"/>
      <c r="E683" s="25"/>
      <c r="M683" s="12"/>
      <c r="N683" s="122"/>
      <c r="O683" s="122"/>
      <c r="P683" s="122"/>
      <c r="Q683" s="122"/>
    </row>
    <row r="684" spans="2:17" ht="14.25" customHeight="1" x14ac:dyDescent="0.3">
      <c r="B684" s="23"/>
      <c r="D684" s="25"/>
      <c r="E684" s="25"/>
      <c r="M684" s="12"/>
      <c r="N684" s="122"/>
      <c r="O684" s="122"/>
      <c r="P684" s="122"/>
      <c r="Q684" s="122"/>
    </row>
    <row r="685" spans="2:17" ht="14.25" customHeight="1" x14ac:dyDescent="0.3">
      <c r="B685" s="23"/>
      <c r="D685" s="25"/>
      <c r="E685" s="25"/>
      <c r="M685" s="12"/>
      <c r="N685" s="122"/>
      <c r="O685" s="122"/>
      <c r="P685" s="122"/>
      <c r="Q685" s="122"/>
    </row>
    <row r="686" spans="2:17" ht="14.25" customHeight="1" x14ac:dyDescent="0.3">
      <c r="B686" s="23"/>
      <c r="D686" s="25"/>
      <c r="E686" s="25"/>
      <c r="M686" s="12"/>
      <c r="N686" s="122"/>
      <c r="O686" s="122"/>
      <c r="P686" s="122"/>
      <c r="Q686" s="122"/>
    </row>
    <row r="687" spans="2:17" ht="14.25" customHeight="1" x14ac:dyDescent="0.3">
      <c r="B687" s="23"/>
      <c r="D687" s="25"/>
      <c r="E687" s="25"/>
      <c r="M687" s="12"/>
      <c r="N687" s="122"/>
      <c r="O687" s="122"/>
      <c r="P687" s="122"/>
      <c r="Q687" s="122"/>
    </row>
    <row r="688" spans="2:17" ht="14.25" customHeight="1" x14ac:dyDescent="0.3">
      <c r="B688" s="23"/>
      <c r="D688" s="25"/>
      <c r="E688" s="25"/>
      <c r="M688" s="12"/>
      <c r="N688" s="122"/>
      <c r="O688" s="122"/>
      <c r="P688" s="122"/>
      <c r="Q688" s="122"/>
    </row>
    <row r="689" spans="2:17" ht="14.25" customHeight="1" x14ac:dyDescent="0.3">
      <c r="B689" s="23"/>
      <c r="D689" s="25"/>
      <c r="E689" s="25"/>
      <c r="M689" s="12"/>
      <c r="N689" s="122"/>
      <c r="O689" s="122"/>
      <c r="P689" s="122"/>
      <c r="Q689" s="122"/>
    </row>
    <row r="690" spans="2:17" ht="14.25" customHeight="1" x14ac:dyDescent="0.3">
      <c r="B690" s="23"/>
      <c r="D690" s="25"/>
      <c r="E690" s="25"/>
      <c r="M690" s="12"/>
      <c r="N690" s="122"/>
      <c r="O690" s="122"/>
      <c r="P690" s="122"/>
      <c r="Q690" s="122"/>
    </row>
    <row r="691" spans="2:17" ht="14.25" customHeight="1" x14ac:dyDescent="0.3">
      <c r="B691" s="23"/>
      <c r="D691" s="25"/>
      <c r="E691" s="25"/>
      <c r="M691" s="12"/>
      <c r="N691" s="122"/>
      <c r="O691" s="122"/>
      <c r="P691" s="122"/>
      <c r="Q691" s="122"/>
    </row>
    <row r="692" spans="2:17" ht="14.25" customHeight="1" x14ac:dyDescent="0.3">
      <c r="B692" s="23"/>
      <c r="D692" s="25"/>
      <c r="E692" s="25"/>
      <c r="M692" s="12"/>
      <c r="N692" s="122"/>
      <c r="O692" s="122"/>
      <c r="P692" s="122"/>
      <c r="Q692" s="122"/>
    </row>
    <row r="693" spans="2:17" ht="14.25" customHeight="1" x14ac:dyDescent="0.3">
      <c r="B693" s="23"/>
      <c r="D693" s="25"/>
      <c r="E693" s="25"/>
      <c r="M693" s="12"/>
      <c r="N693" s="122"/>
      <c r="O693" s="122"/>
      <c r="P693" s="122"/>
      <c r="Q693" s="122"/>
    </row>
    <row r="694" spans="2:17" ht="14.25" customHeight="1" x14ac:dyDescent="0.3">
      <c r="B694" s="23"/>
      <c r="D694" s="25"/>
      <c r="E694" s="25"/>
      <c r="M694" s="12"/>
      <c r="N694" s="122"/>
      <c r="O694" s="122"/>
      <c r="P694" s="122"/>
      <c r="Q694" s="122"/>
    </row>
    <row r="695" spans="2:17" ht="14.25" customHeight="1" x14ac:dyDescent="0.3">
      <c r="B695" s="23"/>
      <c r="D695" s="25"/>
      <c r="E695" s="25"/>
      <c r="M695" s="12"/>
      <c r="N695" s="122"/>
      <c r="O695" s="122"/>
      <c r="P695" s="122"/>
      <c r="Q695" s="122"/>
    </row>
    <row r="696" spans="2:17" ht="14.25" customHeight="1" x14ac:dyDescent="0.3">
      <c r="B696" s="23"/>
      <c r="D696" s="25"/>
      <c r="E696" s="25"/>
      <c r="M696" s="12"/>
      <c r="N696" s="122"/>
      <c r="O696" s="122"/>
      <c r="P696" s="122"/>
      <c r="Q696" s="122"/>
    </row>
    <row r="697" spans="2:17" ht="14.25" customHeight="1" x14ac:dyDescent="0.3">
      <c r="B697" s="23"/>
      <c r="D697" s="25"/>
      <c r="E697" s="25"/>
      <c r="M697" s="12"/>
      <c r="N697" s="122"/>
      <c r="O697" s="122"/>
      <c r="P697" s="122"/>
      <c r="Q697" s="122"/>
    </row>
    <row r="698" spans="2:17" ht="14.25" customHeight="1" x14ac:dyDescent="0.3">
      <c r="B698" s="23"/>
      <c r="D698" s="25"/>
      <c r="E698" s="25"/>
      <c r="M698" s="12"/>
      <c r="N698" s="122"/>
      <c r="O698" s="122"/>
      <c r="P698" s="122"/>
      <c r="Q698" s="122"/>
    </row>
    <row r="699" spans="2:17" ht="14.25" customHeight="1" x14ac:dyDescent="0.3">
      <c r="B699" s="23"/>
      <c r="D699" s="25"/>
      <c r="E699" s="25"/>
      <c r="M699" s="12"/>
      <c r="N699" s="122"/>
      <c r="O699" s="122"/>
      <c r="P699" s="122"/>
      <c r="Q699" s="122"/>
    </row>
    <row r="700" spans="2:17" ht="14.25" customHeight="1" x14ac:dyDescent="0.3">
      <c r="B700" s="23"/>
      <c r="D700" s="25"/>
      <c r="E700" s="25"/>
      <c r="M700" s="12"/>
      <c r="N700" s="122"/>
      <c r="O700" s="122"/>
      <c r="P700" s="122"/>
      <c r="Q700" s="122"/>
    </row>
    <row r="701" spans="2:17" ht="14.25" customHeight="1" x14ac:dyDescent="0.3">
      <c r="B701" s="23"/>
      <c r="D701" s="25"/>
      <c r="E701" s="25"/>
      <c r="M701" s="12"/>
      <c r="N701" s="122"/>
      <c r="O701" s="122"/>
      <c r="P701" s="122"/>
      <c r="Q701" s="122"/>
    </row>
    <row r="702" spans="2:17" ht="14.25" customHeight="1" x14ac:dyDescent="0.3">
      <c r="B702" s="23"/>
      <c r="D702" s="25"/>
      <c r="E702" s="25"/>
      <c r="M702" s="12"/>
      <c r="N702" s="122"/>
      <c r="O702" s="122"/>
      <c r="P702" s="122"/>
      <c r="Q702" s="122"/>
    </row>
    <row r="703" spans="2:17" ht="14.25" customHeight="1" x14ac:dyDescent="0.3">
      <c r="B703" s="23"/>
      <c r="D703" s="25"/>
      <c r="E703" s="25"/>
      <c r="M703" s="12"/>
      <c r="N703" s="122"/>
      <c r="O703" s="122"/>
      <c r="P703" s="122"/>
      <c r="Q703" s="122"/>
    </row>
    <row r="704" spans="2:17" ht="14.25" customHeight="1" x14ac:dyDescent="0.3">
      <c r="B704" s="23"/>
      <c r="D704" s="25"/>
      <c r="E704" s="25"/>
      <c r="M704" s="12"/>
      <c r="N704" s="122"/>
      <c r="O704" s="122"/>
      <c r="P704" s="122"/>
      <c r="Q704" s="122"/>
    </row>
    <row r="705" spans="2:17" ht="14.25" customHeight="1" x14ac:dyDescent="0.3">
      <c r="B705" s="23"/>
      <c r="D705" s="25"/>
      <c r="E705" s="25"/>
      <c r="M705" s="12"/>
      <c r="N705" s="122"/>
      <c r="O705" s="122"/>
      <c r="P705" s="122"/>
      <c r="Q705" s="122"/>
    </row>
    <row r="706" spans="2:17" ht="14.25" customHeight="1" x14ac:dyDescent="0.3">
      <c r="B706" s="23"/>
      <c r="D706" s="25"/>
      <c r="E706" s="25"/>
      <c r="M706" s="12"/>
      <c r="N706" s="122"/>
      <c r="O706" s="122"/>
      <c r="P706" s="122"/>
      <c r="Q706" s="122"/>
    </row>
    <row r="707" spans="2:17" ht="14.25" customHeight="1" x14ac:dyDescent="0.3">
      <c r="B707" s="23"/>
      <c r="D707" s="25"/>
      <c r="E707" s="25"/>
      <c r="M707" s="12"/>
      <c r="N707" s="122"/>
      <c r="O707" s="122"/>
      <c r="P707" s="122"/>
      <c r="Q707" s="122"/>
    </row>
    <row r="708" spans="2:17" ht="14.25" customHeight="1" x14ac:dyDescent="0.3">
      <c r="B708" s="23"/>
      <c r="D708" s="25"/>
      <c r="E708" s="25"/>
      <c r="M708" s="12"/>
      <c r="N708" s="122"/>
      <c r="O708" s="122"/>
      <c r="P708" s="122"/>
      <c r="Q708" s="122"/>
    </row>
    <row r="709" spans="2:17" ht="14.25" customHeight="1" x14ac:dyDescent="0.3">
      <c r="B709" s="23"/>
      <c r="D709" s="25"/>
      <c r="E709" s="25"/>
      <c r="M709" s="12"/>
      <c r="N709" s="122"/>
      <c r="O709" s="122"/>
      <c r="P709" s="122"/>
      <c r="Q709" s="122"/>
    </row>
    <row r="710" spans="2:17" ht="14.25" customHeight="1" x14ac:dyDescent="0.3">
      <c r="B710" s="23"/>
      <c r="D710" s="25"/>
      <c r="E710" s="25"/>
      <c r="M710" s="12"/>
      <c r="N710" s="122"/>
      <c r="O710" s="122"/>
      <c r="P710" s="122"/>
      <c r="Q710" s="122"/>
    </row>
    <row r="711" spans="2:17" ht="14.25" customHeight="1" x14ac:dyDescent="0.3">
      <c r="B711" s="23"/>
      <c r="D711" s="25"/>
      <c r="E711" s="25"/>
      <c r="M711" s="12"/>
      <c r="N711" s="122"/>
      <c r="O711" s="122"/>
      <c r="P711" s="122"/>
      <c r="Q711" s="122"/>
    </row>
    <row r="712" spans="2:17" ht="14.25" customHeight="1" x14ac:dyDescent="0.3">
      <c r="B712" s="23"/>
      <c r="D712" s="25"/>
      <c r="E712" s="25"/>
      <c r="M712" s="12"/>
      <c r="N712" s="122"/>
      <c r="O712" s="122"/>
      <c r="P712" s="122"/>
      <c r="Q712" s="122"/>
    </row>
    <row r="713" spans="2:17" ht="14.25" customHeight="1" x14ac:dyDescent="0.3">
      <c r="B713" s="23"/>
      <c r="D713" s="25"/>
      <c r="E713" s="25"/>
      <c r="M713" s="12"/>
      <c r="N713" s="122"/>
      <c r="O713" s="122"/>
      <c r="P713" s="122"/>
      <c r="Q713" s="122"/>
    </row>
    <row r="714" spans="2:17" ht="14.25" customHeight="1" x14ac:dyDescent="0.3">
      <c r="B714" s="23"/>
      <c r="D714" s="25"/>
      <c r="E714" s="25"/>
      <c r="M714" s="12"/>
      <c r="N714" s="122"/>
      <c r="O714" s="122"/>
      <c r="P714" s="122"/>
      <c r="Q714" s="122"/>
    </row>
    <row r="715" spans="2:17" ht="14.25" customHeight="1" x14ac:dyDescent="0.3">
      <c r="B715" s="23"/>
      <c r="D715" s="25"/>
      <c r="E715" s="25"/>
      <c r="M715" s="12"/>
      <c r="N715" s="122"/>
      <c r="O715" s="122"/>
      <c r="P715" s="122"/>
      <c r="Q715" s="122"/>
    </row>
    <row r="716" spans="2:17" ht="14.25" customHeight="1" x14ac:dyDescent="0.3">
      <c r="B716" s="23"/>
      <c r="D716" s="25"/>
      <c r="E716" s="25"/>
      <c r="M716" s="12"/>
      <c r="N716" s="122"/>
      <c r="O716" s="122"/>
      <c r="P716" s="122"/>
      <c r="Q716" s="122"/>
    </row>
    <row r="717" spans="2:17" ht="14.25" customHeight="1" x14ac:dyDescent="0.3">
      <c r="B717" s="23"/>
      <c r="D717" s="25"/>
      <c r="E717" s="25"/>
      <c r="M717" s="12"/>
      <c r="N717" s="122"/>
      <c r="O717" s="122"/>
      <c r="P717" s="122"/>
      <c r="Q717" s="122"/>
    </row>
    <row r="718" spans="2:17" ht="14.25" customHeight="1" x14ac:dyDescent="0.3">
      <c r="B718" s="23"/>
      <c r="D718" s="25"/>
      <c r="E718" s="25"/>
      <c r="M718" s="12"/>
      <c r="N718" s="122"/>
      <c r="O718" s="122"/>
      <c r="P718" s="122"/>
      <c r="Q718" s="122"/>
    </row>
    <row r="719" spans="2:17" ht="14.25" customHeight="1" x14ac:dyDescent="0.3">
      <c r="B719" s="23"/>
      <c r="D719" s="25"/>
      <c r="E719" s="25"/>
      <c r="M719" s="12"/>
      <c r="N719" s="122"/>
      <c r="O719" s="122"/>
      <c r="P719" s="122"/>
      <c r="Q719" s="122"/>
    </row>
    <row r="720" spans="2:17" ht="14.25" customHeight="1" x14ac:dyDescent="0.3">
      <c r="B720" s="23"/>
      <c r="D720" s="25"/>
      <c r="E720" s="25"/>
      <c r="M720" s="12"/>
      <c r="N720" s="122"/>
      <c r="O720" s="122"/>
      <c r="P720" s="122"/>
      <c r="Q720" s="122"/>
    </row>
    <row r="721" spans="2:17" ht="14.25" customHeight="1" x14ac:dyDescent="0.3">
      <c r="B721" s="23"/>
      <c r="D721" s="25"/>
      <c r="E721" s="25"/>
      <c r="M721" s="12"/>
      <c r="N721" s="122"/>
      <c r="O721" s="122"/>
      <c r="P721" s="122"/>
      <c r="Q721" s="122"/>
    </row>
    <row r="722" spans="2:17" ht="14.25" customHeight="1" x14ac:dyDescent="0.3">
      <c r="B722" s="23"/>
      <c r="D722" s="25"/>
      <c r="E722" s="25"/>
      <c r="M722" s="12"/>
      <c r="N722" s="122"/>
      <c r="O722" s="122"/>
      <c r="P722" s="122"/>
      <c r="Q722" s="122"/>
    </row>
    <row r="723" spans="2:17" ht="14.25" customHeight="1" x14ac:dyDescent="0.3">
      <c r="B723" s="23"/>
      <c r="D723" s="25"/>
      <c r="E723" s="25"/>
      <c r="M723" s="12"/>
      <c r="N723" s="122"/>
      <c r="O723" s="122"/>
      <c r="P723" s="122"/>
      <c r="Q723" s="122"/>
    </row>
    <row r="724" spans="2:17" ht="14.25" customHeight="1" x14ac:dyDescent="0.3">
      <c r="B724" s="23"/>
      <c r="D724" s="25"/>
      <c r="E724" s="25"/>
      <c r="M724" s="12"/>
      <c r="N724" s="122"/>
      <c r="O724" s="122"/>
      <c r="P724" s="122"/>
      <c r="Q724" s="122"/>
    </row>
    <row r="725" spans="2:17" ht="14.25" customHeight="1" x14ac:dyDescent="0.3">
      <c r="B725" s="23"/>
      <c r="D725" s="25"/>
      <c r="E725" s="25"/>
      <c r="M725" s="12"/>
      <c r="N725" s="122"/>
      <c r="O725" s="122"/>
      <c r="P725" s="122"/>
      <c r="Q725" s="122"/>
    </row>
    <row r="726" spans="2:17" ht="14.25" customHeight="1" x14ac:dyDescent="0.3">
      <c r="B726" s="23"/>
      <c r="D726" s="25"/>
      <c r="E726" s="25"/>
      <c r="M726" s="12"/>
      <c r="N726" s="122"/>
      <c r="O726" s="122"/>
      <c r="P726" s="122"/>
      <c r="Q726" s="122"/>
    </row>
    <row r="727" spans="2:17" ht="14.25" customHeight="1" x14ac:dyDescent="0.3">
      <c r="B727" s="23"/>
      <c r="D727" s="25"/>
      <c r="E727" s="25"/>
      <c r="M727" s="12"/>
      <c r="N727" s="122"/>
      <c r="O727" s="122"/>
      <c r="P727" s="122"/>
      <c r="Q727" s="122"/>
    </row>
    <row r="728" spans="2:17" ht="14.25" customHeight="1" x14ac:dyDescent="0.3">
      <c r="B728" s="23"/>
      <c r="D728" s="25"/>
      <c r="E728" s="25"/>
      <c r="M728" s="12"/>
      <c r="N728" s="122"/>
      <c r="O728" s="122"/>
      <c r="P728" s="122"/>
      <c r="Q728" s="122"/>
    </row>
    <row r="729" spans="2:17" ht="14.25" customHeight="1" x14ac:dyDescent="0.3">
      <c r="B729" s="23"/>
      <c r="D729" s="25"/>
      <c r="E729" s="25"/>
      <c r="M729" s="12"/>
      <c r="N729" s="122"/>
      <c r="O729" s="122"/>
      <c r="P729" s="122"/>
      <c r="Q729" s="122"/>
    </row>
    <row r="730" spans="2:17" ht="14.25" customHeight="1" x14ac:dyDescent="0.3">
      <c r="B730" s="23"/>
      <c r="D730" s="25"/>
      <c r="E730" s="25"/>
      <c r="M730" s="12"/>
      <c r="N730" s="122"/>
      <c r="O730" s="122"/>
      <c r="P730" s="122"/>
      <c r="Q730" s="122"/>
    </row>
    <row r="731" spans="2:17" ht="14.25" customHeight="1" x14ac:dyDescent="0.3">
      <c r="B731" s="23"/>
      <c r="D731" s="25"/>
      <c r="E731" s="25"/>
      <c r="M731" s="12"/>
      <c r="N731" s="122"/>
      <c r="O731" s="122"/>
      <c r="P731" s="122"/>
      <c r="Q731" s="122"/>
    </row>
    <row r="732" spans="2:17" ht="14.25" customHeight="1" x14ac:dyDescent="0.3">
      <c r="B732" s="23"/>
      <c r="D732" s="25"/>
      <c r="E732" s="25"/>
      <c r="M732" s="12"/>
      <c r="N732" s="122"/>
      <c r="O732" s="122"/>
      <c r="P732" s="122"/>
      <c r="Q732" s="122"/>
    </row>
    <row r="733" spans="2:17" ht="14.25" customHeight="1" x14ac:dyDescent="0.3">
      <c r="B733" s="23"/>
      <c r="D733" s="25"/>
      <c r="E733" s="25"/>
      <c r="M733" s="12"/>
      <c r="N733" s="122"/>
      <c r="O733" s="122"/>
      <c r="P733" s="122"/>
      <c r="Q733" s="122"/>
    </row>
    <row r="734" spans="2:17" ht="14.25" customHeight="1" x14ac:dyDescent="0.3">
      <c r="B734" s="23"/>
      <c r="D734" s="25"/>
      <c r="E734" s="25"/>
      <c r="M734" s="12"/>
      <c r="N734" s="122"/>
      <c r="O734" s="122"/>
      <c r="P734" s="122"/>
      <c r="Q734" s="122"/>
    </row>
    <row r="735" spans="2:17" ht="14.25" customHeight="1" x14ac:dyDescent="0.3">
      <c r="B735" s="23"/>
      <c r="D735" s="25"/>
      <c r="E735" s="25"/>
      <c r="M735" s="12"/>
      <c r="N735" s="122"/>
      <c r="O735" s="122"/>
      <c r="P735" s="122"/>
      <c r="Q735" s="122"/>
    </row>
    <row r="736" spans="2:17" ht="14.25" customHeight="1" x14ac:dyDescent="0.3">
      <c r="B736" s="23"/>
      <c r="D736" s="25"/>
      <c r="E736" s="25"/>
      <c r="M736" s="12"/>
      <c r="N736" s="122"/>
      <c r="O736" s="122"/>
      <c r="P736" s="122"/>
      <c r="Q736" s="122"/>
    </row>
    <row r="737" spans="2:17" ht="14.25" customHeight="1" x14ac:dyDescent="0.3">
      <c r="B737" s="23"/>
      <c r="D737" s="25"/>
      <c r="E737" s="25"/>
      <c r="M737" s="12"/>
      <c r="N737" s="122"/>
      <c r="O737" s="122"/>
      <c r="P737" s="122"/>
      <c r="Q737" s="122"/>
    </row>
    <row r="738" spans="2:17" ht="14.25" customHeight="1" x14ac:dyDescent="0.3">
      <c r="B738" s="23"/>
      <c r="D738" s="25"/>
      <c r="E738" s="25"/>
      <c r="M738" s="12"/>
      <c r="N738" s="122"/>
      <c r="O738" s="122"/>
      <c r="P738" s="122"/>
      <c r="Q738" s="122"/>
    </row>
    <row r="739" spans="2:17" ht="14.25" customHeight="1" x14ac:dyDescent="0.3">
      <c r="B739" s="23"/>
      <c r="D739" s="25"/>
      <c r="E739" s="25"/>
      <c r="M739" s="12"/>
      <c r="N739" s="122"/>
      <c r="O739" s="122"/>
      <c r="P739" s="122"/>
      <c r="Q739" s="122"/>
    </row>
    <row r="740" spans="2:17" ht="14.25" customHeight="1" x14ac:dyDescent="0.3">
      <c r="B740" s="23"/>
      <c r="D740" s="25"/>
      <c r="E740" s="25"/>
      <c r="M740" s="12"/>
      <c r="N740" s="122"/>
      <c r="O740" s="122"/>
      <c r="P740" s="122"/>
      <c r="Q740" s="122"/>
    </row>
    <row r="741" spans="2:17" ht="14.25" customHeight="1" x14ac:dyDescent="0.3">
      <c r="B741" s="23"/>
      <c r="D741" s="25"/>
      <c r="E741" s="25"/>
      <c r="M741" s="12"/>
      <c r="N741" s="122"/>
      <c r="O741" s="122"/>
      <c r="P741" s="122"/>
      <c r="Q741" s="122"/>
    </row>
    <row r="742" spans="2:17" ht="14.25" customHeight="1" x14ac:dyDescent="0.3">
      <c r="B742" s="23"/>
      <c r="D742" s="25"/>
      <c r="E742" s="25"/>
      <c r="M742" s="12"/>
      <c r="N742" s="122"/>
      <c r="O742" s="122"/>
      <c r="P742" s="122"/>
      <c r="Q742" s="122"/>
    </row>
    <row r="743" spans="2:17" ht="14.25" customHeight="1" x14ac:dyDescent="0.3">
      <c r="B743" s="23"/>
      <c r="D743" s="25"/>
      <c r="E743" s="25"/>
      <c r="M743" s="12"/>
      <c r="N743" s="122"/>
      <c r="O743" s="122"/>
      <c r="P743" s="122"/>
      <c r="Q743" s="122"/>
    </row>
    <row r="744" spans="2:17" ht="14.25" customHeight="1" x14ac:dyDescent="0.3">
      <c r="B744" s="23"/>
      <c r="D744" s="25"/>
      <c r="E744" s="25"/>
      <c r="M744" s="12"/>
      <c r="N744" s="122"/>
      <c r="O744" s="122"/>
      <c r="P744" s="122"/>
      <c r="Q744" s="122"/>
    </row>
    <row r="745" spans="2:17" ht="14.25" customHeight="1" x14ac:dyDescent="0.3">
      <c r="B745" s="23"/>
      <c r="D745" s="25"/>
      <c r="E745" s="25"/>
      <c r="M745" s="12"/>
      <c r="N745" s="122"/>
      <c r="O745" s="122"/>
      <c r="P745" s="122"/>
      <c r="Q745" s="122"/>
    </row>
    <row r="746" spans="2:17" ht="14.25" customHeight="1" x14ac:dyDescent="0.3">
      <c r="B746" s="23"/>
      <c r="D746" s="25"/>
      <c r="E746" s="25"/>
      <c r="M746" s="12"/>
      <c r="N746" s="122"/>
      <c r="O746" s="122"/>
      <c r="P746" s="122"/>
      <c r="Q746" s="122"/>
    </row>
    <row r="747" spans="2:17" ht="14.25" customHeight="1" x14ac:dyDescent="0.3">
      <c r="B747" s="23"/>
      <c r="D747" s="25"/>
      <c r="E747" s="25"/>
      <c r="M747" s="12"/>
      <c r="N747" s="122"/>
      <c r="O747" s="122"/>
      <c r="P747" s="122"/>
      <c r="Q747" s="122"/>
    </row>
    <row r="748" spans="2:17" ht="14.25" customHeight="1" x14ac:dyDescent="0.3">
      <c r="B748" s="23"/>
      <c r="D748" s="25"/>
      <c r="E748" s="25"/>
      <c r="M748" s="12"/>
      <c r="N748" s="122"/>
      <c r="O748" s="122"/>
      <c r="P748" s="122"/>
      <c r="Q748" s="122"/>
    </row>
    <row r="749" spans="2:17" ht="14.25" customHeight="1" x14ac:dyDescent="0.3">
      <c r="B749" s="23"/>
      <c r="D749" s="25"/>
      <c r="E749" s="25"/>
      <c r="M749" s="12"/>
      <c r="N749" s="122"/>
      <c r="O749" s="122"/>
      <c r="P749" s="122"/>
      <c r="Q749" s="122"/>
    </row>
    <row r="750" spans="2:17" ht="14.25" customHeight="1" x14ac:dyDescent="0.3">
      <c r="B750" s="23"/>
      <c r="D750" s="25"/>
      <c r="E750" s="25"/>
      <c r="M750" s="12"/>
      <c r="N750" s="122"/>
      <c r="O750" s="122"/>
      <c r="P750" s="122"/>
      <c r="Q750" s="122"/>
    </row>
    <row r="751" spans="2:17" ht="14.25" customHeight="1" x14ac:dyDescent="0.3">
      <c r="B751" s="23"/>
      <c r="D751" s="25"/>
      <c r="E751" s="25"/>
      <c r="M751" s="12"/>
      <c r="N751" s="122"/>
      <c r="O751" s="122"/>
      <c r="P751" s="122"/>
      <c r="Q751" s="122"/>
    </row>
    <row r="752" spans="2:17" ht="14.25" customHeight="1" x14ac:dyDescent="0.3">
      <c r="B752" s="23"/>
      <c r="D752" s="25"/>
      <c r="E752" s="25"/>
      <c r="M752" s="12"/>
      <c r="N752" s="122"/>
      <c r="O752" s="122"/>
      <c r="P752" s="122"/>
      <c r="Q752" s="122"/>
    </row>
    <row r="753" spans="2:17" ht="14.25" customHeight="1" x14ac:dyDescent="0.3">
      <c r="B753" s="23"/>
      <c r="D753" s="25"/>
      <c r="E753" s="25"/>
      <c r="M753" s="12"/>
      <c r="N753" s="122"/>
      <c r="O753" s="122"/>
      <c r="P753" s="122"/>
      <c r="Q753" s="122"/>
    </row>
    <row r="754" spans="2:17" ht="14.25" customHeight="1" x14ac:dyDescent="0.3">
      <c r="B754" s="23"/>
      <c r="D754" s="25"/>
      <c r="E754" s="25"/>
      <c r="M754" s="12"/>
      <c r="N754" s="122"/>
      <c r="O754" s="122"/>
      <c r="P754" s="122"/>
      <c r="Q754" s="122"/>
    </row>
    <row r="755" spans="2:17" ht="14.25" customHeight="1" x14ac:dyDescent="0.3">
      <c r="B755" s="23"/>
      <c r="D755" s="25"/>
      <c r="E755" s="25"/>
      <c r="M755" s="12"/>
      <c r="N755" s="122"/>
      <c r="O755" s="122"/>
      <c r="P755" s="122"/>
      <c r="Q755" s="122"/>
    </row>
    <row r="756" spans="2:17" ht="14.25" customHeight="1" x14ac:dyDescent="0.3">
      <c r="B756" s="23"/>
      <c r="D756" s="25"/>
      <c r="E756" s="25"/>
      <c r="M756" s="12"/>
      <c r="N756" s="122"/>
      <c r="O756" s="122"/>
      <c r="P756" s="122"/>
      <c r="Q756" s="122"/>
    </row>
    <row r="757" spans="2:17" ht="14.25" customHeight="1" x14ac:dyDescent="0.3">
      <c r="B757" s="23"/>
      <c r="D757" s="25"/>
      <c r="E757" s="25"/>
      <c r="M757" s="12"/>
      <c r="N757" s="122"/>
      <c r="O757" s="122"/>
      <c r="P757" s="122"/>
      <c r="Q757" s="122"/>
    </row>
    <row r="758" spans="2:17" ht="14.25" customHeight="1" x14ac:dyDescent="0.3">
      <c r="B758" s="23"/>
      <c r="D758" s="25"/>
      <c r="E758" s="25"/>
      <c r="M758" s="12"/>
      <c r="N758" s="122"/>
      <c r="O758" s="122"/>
      <c r="P758" s="122"/>
      <c r="Q758" s="122"/>
    </row>
    <row r="759" spans="2:17" ht="14.25" customHeight="1" x14ac:dyDescent="0.3">
      <c r="B759" s="23"/>
      <c r="D759" s="25"/>
      <c r="E759" s="25"/>
      <c r="M759" s="12"/>
      <c r="N759" s="122"/>
      <c r="O759" s="122"/>
      <c r="P759" s="122"/>
      <c r="Q759" s="122"/>
    </row>
    <row r="760" spans="2:17" ht="14.25" customHeight="1" x14ac:dyDescent="0.3">
      <c r="B760" s="23"/>
      <c r="D760" s="25"/>
      <c r="E760" s="25"/>
      <c r="M760" s="12"/>
      <c r="N760" s="122"/>
      <c r="O760" s="122"/>
      <c r="P760" s="122"/>
      <c r="Q760" s="122"/>
    </row>
    <row r="761" spans="2:17" ht="14.25" customHeight="1" x14ac:dyDescent="0.3">
      <c r="B761" s="23"/>
      <c r="D761" s="25"/>
      <c r="E761" s="25"/>
      <c r="M761" s="12"/>
      <c r="N761" s="122"/>
      <c r="O761" s="122"/>
      <c r="P761" s="122"/>
      <c r="Q761" s="122"/>
    </row>
    <row r="762" spans="2:17" ht="14.25" customHeight="1" x14ac:dyDescent="0.3">
      <c r="B762" s="23"/>
      <c r="D762" s="25"/>
      <c r="E762" s="25"/>
      <c r="M762" s="12"/>
      <c r="N762" s="122"/>
      <c r="O762" s="122"/>
      <c r="P762" s="122"/>
      <c r="Q762" s="122"/>
    </row>
    <row r="763" spans="2:17" ht="14.25" customHeight="1" x14ac:dyDescent="0.3">
      <c r="B763" s="23"/>
      <c r="D763" s="25"/>
      <c r="E763" s="25"/>
      <c r="M763" s="12"/>
      <c r="N763" s="122"/>
      <c r="O763" s="122"/>
      <c r="P763" s="122"/>
      <c r="Q763" s="122"/>
    </row>
    <row r="764" spans="2:17" ht="14.25" customHeight="1" x14ac:dyDescent="0.3">
      <c r="B764" s="23"/>
      <c r="D764" s="25"/>
      <c r="E764" s="25"/>
      <c r="M764" s="12"/>
      <c r="N764" s="122"/>
      <c r="O764" s="122"/>
      <c r="P764" s="122"/>
      <c r="Q764" s="122"/>
    </row>
    <row r="765" spans="2:17" ht="14.25" customHeight="1" x14ac:dyDescent="0.3">
      <c r="B765" s="23"/>
      <c r="D765" s="25"/>
      <c r="E765" s="25"/>
      <c r="M765" s="12"/>
      <c r="N765" s="122"/>
      <c r="O765" s="122"/>
      <c r="P765" s="122"/>
      <c r="Q765" s="122"/>
    </row>
    <row r="766" spans="2:17" ht="14.25" customHeight="1" x14ac:dyDescent="0.3">
      <c r="B766" s="23"/>
      <c r="D766" s="25"/>
      <c r="E766" s="25"/>
      <c r="M766" s="12"/>
      <c r="N766" s="122"/>
      <c r="O766" s="122"/>
      <c r="P766" s="122"/>
      <c r="Q766" s="122"/>
    </row>
    <row r="767" spans="2:17" ht="14.25" customHeight="1" x14ac:dyDescent="0.3">
      <c r="B767" s="23"/>
      <c r="D767" s="25"/>
      <c r="E767" s="25"/>
      <c r="M767" s="12"/>
      <c r="N767" s="122"/>
      <c r="O767" s="122"/>
      <c r="P767" s="122"/>
      <c r="Q767" s="122"/>
    </row>
    <row r="768" spans="2:17" ht="14.25" customHeight="1" x14ac:dyDescent="0.3">
      <c r="B768" s="23"/>
      <c r="D768" s="25"/>
      <c r="E768" s="25"/>
      <c r="M768" s="12"/>
      <c r="N768" s="122"/>
      <c r="O768" s="122"/>
      <c r="P768" s="122"/>
      <c r="Q768" s="122"/>
    </row>
    <row r="769" spans="2:17" ht="14.25" customHeight="1" x14ac:dyDescent="0.3">
      <c r="B769" s="23"/>
      <c r="D769" s="25"/>
      <c r="E769" s="25"/>
      <c r="M769" s="12"/>
      <c r="N769" s="122"/>
      <c r="O769" s="122"/>
      <c r="P769" s="122"/>
      <c r="Q769" s="122"/>
    </row>
    <row r="770" spans="2:17" ht="14.25" customHeight="1" x14ac:dyDescent="0.3">
      <c r="B770" s="23"/>
      <c r="D770" s="25"/>
      <c r="E770" s="25"/>
      <c r="M770" s="12"/>
      <c r="N770" s="122"/>
      <c r="O770" s="122"/>
      <c r="P770" s="122"/>
      <c r="Q770" s="122"/>
    </row>
    <row r="771" spans="2:17" ht="14.25" customHeight="1" x14ac:dyDescent="0.3">
      <c r="B771" s="23"/>
      <c r="D771" s="25"/>
      <c r="E771" s="25"/>
      <c r="M771" s="12"/>
      <c r="N771" s="122"/>
      <c r="O771" s="122"/>
      <c r="P771" s="122"/>
      <c r="Q771" s="122"/>
    </row>
    <row r="772" spans="2:17" ht="14.25" customHeight="1" x14ac:dyDescent="0.3">
      <c r="B772" s="23"/>
      <c r="D772" s="25"/>
      <c r="E772" s="25"/>
      <c r="M772" s="12"/>
      <c r="N772" s="122"/>
      <c r="O772" s="122"/>
      <c r="P772" s="122"/>
      <c r="Q772" s="122"/>
    </row>
    <row r="773" spans="2:17" ht="14.25" customHeight="1" x14ac:dyDescent="0.3">
      <c r="B773" s="23"/>
      <c r="D773" s="25"/>
      <c r="E773" s="25"/>
      <c r="M773" s="12"/>
      <c r="N773" s="122"/>
      <c r="O773" s="122"/>
      <c r="P773" s="122"/>
      <c r="Q773" s="122"/>
    </row>
    <row r="774" spans="2:17" ht="14.25" customHeight="1" x14ac:dyDescent="0.3">
      <c r="B774" s="23"/>
      <c r="D774" s="25"/>
      <c r="E774" s="25"/>
      <c r="M774" s="12"/>
      <c r="N774" s="122"/>
      <c r="O774" s="122"/>
      <c r="P774" s="122"/>
      <c r="Q774" s="122"/>
    </row>
    <row r="775" spans="2:17" ht="14.25" customHeight="1" x14ac:dyDescent="0.3">
      <c r="B775" s="23"/>
      <c r="D775" s="25"/>
      <c r="E775" s="25"/>
      <c r="M775" s="12"/>
      <c r="N775" s="122"/>
      <c r="O775" s="122"/>
      <c r="P775" s="122"/>
      <c r="Q775" s="122"/>
    </row>
    <row r="776" spans="2:17" ht="14.25" customHeight="1" x14ac:dyDescent="0.3">
      <c r="B776" s="23"/>
      <c r="D776" s="25"/>
      <c r="E776" s="25"/>
      <c r="M776" s="12"/>
      <c r="N776" s="122"/>
      <c r="O776" s="122"/>
      <c r="P776" s="122"/>
      <c r="Q776" s="122"/>
    </row>
    <row r="777" spans="2:17" ht="14.25" customHeight="1" x14ac:dyDescent="0.3">
      <c r="B777" s="23"/>
      <c r="D777" s="25"/>
      <c r="E777" s="25"/>
      <c r="M777" s="12"/>
      <c r="N777" s="122"/>
      <c r="O777" s="122"/>
      <c r="P777" s="122"/>
      <c r="Q777" s="122"/>
    </row>
    <row r="778" spans="2:17" ht="14.25" customHeight="1" x14ac:dyDescent="0.3">
      <c r="B778" s="23"/>
      <c r="D778" s="25"/>
      <c r="E778" s="25"/>
      <c r="M778" s="12"/>
      <c r="N778" s="122"/>
      <c r="O778" s="122"/>
      <c r="P778" s="122"/>
      <c r="Q778" s="122"/>
    </row>
    <row r="779" spans="2:17" ht="14.25" customHeight="1" x14ac:dyDescent="0.3">
      <c r="B779" s="23"/>
      <c r="D779" s="25"/>
      <c r="E779" s="25"/>
      <c r="M779" s="12"/>
      <c r="N779" s="122"/>
      <c r="O779" s="122"/>
      <c r="P779" s="122"/>
      <c r="Q779" s="122"/>
    </row>
    <row r="780" spans="2:17" ht="14.25" customHeight="1" x14ac:dyDescent="0.3">
      <c r="B780" s="23"/>
      <c r="D780" s="25"/>
      <c r="E780" s="25"/>
      <c r="M780" s="12"/>
      <c r="N780" s="122"/>
      <c r="O780" s="122"/>
      <c r="P780" s="122"/>
      <c r="Q780" s="122"/>
    </row>
    <row r="781" spans="2:17" ht="14.25" customHeight="1" x14ac:dyDescent="0.3">
      <c r="B781" s="23"/>
      <c r="D781" s="25"/>
      <c r="E781" s="25"/>
      <c r="M781" s="12"/>
      <c r="N781" s="122"/>
      <c r="O781" s="122"/>
      <c r="P781" s="122"/>
      <c r="Q781" s="122"/>
    </row>
    <row r="782" spans="2:17" ht="14.25" customHeight="1" x14ac:dyDescent="0.3">
      <c r="B782" s="23"/>
      <c r="D782" s="25"/>
      <c r="E782" s="25"/>
      <c r="M782" s="12"/>
      <c r="N782" s="122"/>
      <c r="O782" s="122"/>
      <c r="P782" s="122"/>
      <c r="Q782" s="122"/>
    </row>
    <row r="783" spans="2:17" ht="14.25" customHeight="1" x14ac:dyDescent="0.3">
      <c r="B783" s="23"/>
      <c r="D783" s="25"/>
      <c r="E783" s="25"/>
      <c r="M783" s="12"/>
      <c r="N783" s="122"/>
      <c r="O783" s="122"/>
      <c r="P783" s="122"/>
      <c r="Q783" s="122"/>
    </row>
    <row r="784" spans="2:17" ht="14.25" customHeight="1" x14ac:dyDescent="0.3">
      <c r="B784" s="23"/>
      <c r="D784" s="25"/>
      <c r="E784" s="25"/>
      <c r="M784" s="12"/>
      <c r="N784" s="122"/>
      <c r="O784" s="122"/>
      <c r="P784" s="122"/>
      <c r="Q784" s="122"/>
    </row>
    <row r="785" spans="2:17" ht="14.25" customHeight="1" x14ac:dyDescent="0.3">
      <c r="B785" s="23"/>
      <c r="D785" s="25"/>
      <c r="E785" s="25"/>
      <c r="M785" s="12"/>
      <c r="N785" s="122"/>
      <c r="O785" s="122"/>
      <c r="P785" s="122"/>
      <c r="Q785" s="122"/>
    </row>
    <row r="786" spans="2:17" ht="14.25" customHeight="1" x14ac:dyDescent="0.3">
      <c r="B786" s="23"/>
      <c r="D786" s="25"/>
      <c r="E786" s="25"/>
      <c r="M786" s="12"/>
      <c r="N786" s="122"/>
      <c r="O786" s="122"/>
      <c r="P786" s="122"/>
      <c r="Q786" s="122"/>
    </row>
    <row r="787" spans="2:17" ht="14.25" customHeight="1" x14ac:dyDescent="0.3">
      <c r="B787" s="23"/>
      <c r="D787" s="25"/>
      <c r="E787" s="25"/>
      <c r="M787" s="12"/>
      <c r="N787" s="122"/>
      <c r="O787" s="122"/>
      <c r="P787" s="122"/>
      <c r="Q787" s="122"/>
    </row>
    <row r="788" spans="2:17" ht="14.25" customHeight="1" x14ac:dyDescent="0.3">
      <c r="B788" s="23"/>
      <c r="D788" s="25"/>
      <c r="E788" s="25"/>
      <c r="M788" s="12"/>
      <c r="N788" s="122"/>
      <c r="O788" s="122"/>
      <c r="P788" s="122"/>
      <c r="Q788" s="122"/>
    </row>
    <row r="789" spans="2:17" ht="14.25" customHeight="1" x14ac:dyDescent="0.3">
      <c r="B789" s="23"/>
      <c r="D789" s="25"/>
      <c r="E789" s="25"/>
      <c r="M789" s="12"/>
      <c r="N789" s="122"/>
      <c r="O789" s="122"/>
      <c r="P789" s="122"/>
      <c r="Q789" s="122"/>
    </row>
    <row r="790" spans="2:17" ht="14.25" customHeight="1" x14ac:dyDescent="0.3">
      <c r="B790" s="23"/>
      <c r="D790" s="25"/>
      <c r="E790" s="25"/>
      <c r="M790" s="12"/>
      <c r="N790" s="122"/>
      <c r="O790" s="122"/>
      <c r="P790" s="122"/>
      <c r="Q790" s="122"/>
    </row>
    <row r="791" spans="2:17" ht="14.25" customHeight="1" x14ac:dyDescent="0.3">
      <c r="B791" s="23"/>
      <c r="D791" s="25"/>
      <c r="E791" s="25"/>
      <c r="M791" s="12"/>
      <c r="N791" s="122"/>
      <c r="O791" s="122"/>
      <c r="P791" s="122"/>
      <c r="Q791" s="122"/>
    </row>
    <row r="792" spans="2:17" ht="14.25" customHeight="1" x14ac:dyDescent="0.3">
      <c r="B792" s="23"/>
      <c r="D792" s="25"/>
      <c r="E792" s="25"/>
      <c r="M792" s="12"/>
      <c r="N792" s="122"/>
      <c r="O792" s="122"/>
      <c r="P792" s="122"/>
      <c r="Q792" s="122"/>
    </row>
    <row r="793" spans="2:17" ht="14.25" customHeight="1" x14ac:dyDescent="0.3">
      <c r="B793" s="23"/>
      <c r="D793" s="25"/>
      <c r="E793" s="25"/>
      <c r="M793" s="12"/>
      <c r="N793" s="122"/>
      <c r="O793" s="122"/>
      <c r="P793" s="122"/>
      <c r="Q793" s="122"/>
    </row>
    <row r="794" spans="2:17" ht="14.25" customHeight="1" x14ac:dyDescent="0.3">
      <c r="B794" s="23"/>
      <c r="D794" s="25"/>
      <c r="E794" s="25"/>
      <c r="M794" s="12"/>
      <c r="N794" s="122"/>
      <c r="O794" s="122"/>
      <c r="P794" s="122"/>
      <c r="Q794" s="122"/>
    </row>
    <row r="795" spans="2:17" ht="14.25" customHeight="1" x14ac:dyDescent="0.3">
      <c r="B795" s="23"/>
      <c r="D795" s="25"/>
      <c r="E795" s="25"/>
      <c r="M795" s="12"/>
      <c r="N795" s="122"/>
      <c r="O795" s="122"/>
      <c r="P795" s="122"/>
      <c r="Q795" s="122"/>
    </row>
    <row r="796" spans="2:17" ht="14.25" customHeight="1" x14ac:dyDescent="0.3">
      <c r="B796" s="23"/>
      <c r="D796" s="25"/>
      <c r="E796" s="25"/>
      <c r="M796" s="12"/>
      <c r="N796" s="122"/>
      <c r="O796" s="122"/>
      <c r="P796" s="122"/>
      <c r="Q796" s="122"/>
    </row>
    <row r="797" spans="2:17" ht="14.25" customHeight="1" x14ac:dyDescent="0.3">
      <c r="B797" s="23"/>
      <c r="D797" s="25"/>
      <c r="E797" s="25"/>
      <c r="M797" s="12"/>
      <c r="N797" s="122"/>
      <c r="O797" s="122"/>
      <c r="P797" s="122"/>
      <c r="Q797" s="122"/>
    </row>
    <row r="798" spans="2:17" ht="14.25" customHeight="1" x14ac:dyDescent="0.3">
      <c r="B798" s="23"/>
      <c r="D798" s="25"/>
      <c r="E798" s="25"/>
      <c r="M798" s="12"/>
      <c r="N798" s="122"/>
      <c r="O798" s="122"/>
      <c r="P798" s="122"/>
      <c r="Q798" s="122"/>
    </row>
    <row r="799" spans="2:17" ht="14.25" customHeight="1" x14ac:dyDescent="0.3">
      <c r="B799" s="23"/>
      <c r="D799" s="25"/>
      <c r="E799" s="25"/>
      <c r="M799" s="12"/>
      <c r="N799" s="122"/>
      <c r="O799" s="122"/>
      <c r="P799" s="122"/>
      <c r="Q799" s="122"/>
    </row>
    <row r="800" spans="2:17" ht="14.25" customHeight="1" x14ac:dyDescent="0.3">
      <c r="B800" s="23"/>
      <c r="D800" s="25"/>
      <c r="E800" s="25"/>
      <c r="M800" s="12"/>
      <c r="N800" s="122"/>
      <c r="O800" s="122"/>
      <c r="P800" s="122"/>
      <c r="Q800" s="122"/>
    </row>
    <row r="801" spans="2:17" ht="14.25" customHeight="1" x14ac:dyDescent="0.3">
      <c r="B801" s="23"/>
      <c r="D801" s="25"/>
      <c r="E801" s="25"/>
      <c r="M801" s="12"/>
      <c r="N801" s="122"/>
      <c r="O801" s="122"/>
      <c r="P801" s="122"/>
      <c r="Q801" s="122"/>
    </row>
    <row r="802" spans="2:17" ht="14.25" customHeight="1" x14ac:dyDescent="0.3">
      <c r="B802" s="23"/>
      <c r="D802" s="25"/>
      <c r="E802" s="25"/>
      <c r="M802" s="12"/>
      <c r="N802" s="122"/>
      <c r="O802" s="122"/>
      <c r="P802" s="122"/>
      <c r="Q802" s="122"/>
    </row>
    <row r="803" spans="2:17" ht="14.25" customHeight="1" x14ac:dyDescent="0.3">
      <c r="B803" s="23"/>
      <c r="D803" s="25"/>
      <c r="E803" s="25"/>
      <c r="M803" s="12"/>
      <c r="N803" s="122"/>
      <c r="O803" s="122"/>
      <c r="P803" s="122"/>
      <c r="Q803" s="122"/>
    </row>
    <row r="804" spans="2:17" ht="14.25" customHeight="1" x14ac:dyDescent="0.3">
      <c r="B804" s="23"/>
      <c r="D804" s="25"/>
      <c r="E804" s="25"/>
      <c r="M804" s="12"/>
      <c r="N804" s="122"/>
      <c r="O804" s="122"/>
      <c r="P804" s="122"/>
      <c r="Q804" s="122"/>
    </row>
    <row r="805" spans="2:17" ht="14.25" customHeight="1" x14ac:dyDescent="0.3">
      <c r="B805" s="23"/>
      <c r="D805" s="25"/>
      <c r="E805" s="25"/>
      <c r="M805" s="12"/>
      <c r="N805" s="122"/>
      <c r="O805" s="122"/>
      <c r="P805" s="122"/>
      <c r="Q805" s="122"/>
    </row>
    <row r="806" spans="2:17" ht="14.25" customHeight="1" x14ac:dyDescent="0.3">
      <c r="B806" s="23"/>
      <c r="D806" s="25"/>
      <c r="E806" s="25"/>
      <c r="M806" s="12"/>
      <c r="N806" s="122"/>
      <c r="O806" s="122"/>
      <c r="P806" s="122"/>
      <c r="Q806" s="122"/>
    </row>
    <row r="807" spans="2:17" ht="14.25" customHeight="1" x14ac:dyDescent="0.3">
      <c r="B807" s="23"/>
      <c r="D807" s="25"/>
      <c r="E807" s="25"/>
      <c r="M807" s="12"/>
      <c r="N807" s="122"/>
      <c r="O807" s="122"/>
      <c r="P807" s="122"/>
      <c r="Q807" s="122"/>
    </row>
    <row r="808" spans="2:17" ht="14.25" customHeight="1" x14ac:dyDescent="0.3">
      <c r="B808" s="23"/>
      <c r="D808" s="25"/>
      <c r="E808" s="25"/>
      <c r="M808" s="12"/>
      <c r="N808" s="122"/>
      <c r="O808" s="122"/>
      <c r="P808" s="122"/>
      <c r="Q808" s="122"/>
    </row>
    <row r="809" spans="2:17" ht="14.25" customHeight="1" x14ac:dyDescent="0.3">
      <c r="B809" s="23"/>
      <c r="D809" s="25"/>
      <c r="E809" s="25"/>
      <c r="M809" s="12"/>
      <c r="N809" s="122"/>
      <c r="O809" s="122"/>
      <c r="P809" s="122"/>
      <c r="Q809" s="122"/>
    </row>
    <row r="810" spans="2:17" ht="14.25" customHeight="1" x14ac:dyDescent="0.3">
      <c r="B810" s="23"/>
      <c r="D810" s="25"/>
      <c r="E810" s="25"/>
      <c r="M810" s="12"/>
      <c r="N810" s="122"/>
      <c r="O810" s="122"/>
      <c r="P810" s="122"/>
      <c r="Q810" s="122"/>
    </row>
    <row r="811" spans="2:17" ht="14.25" customHeight="1" x14ac:dyDescent="0.3">
      <c r="B811" s="23"/>
      <c r="D811" s="25"/>
      <c r="E811" s="25"/>
      <c r="M811" s="12"/>
      <c r="N811" s="122"/>
      <c r="O811" s="122"/>
      <c r="P811" s="122"/>
      <c r="Q811" s="122"/>
    </row>
    <row r="812" spans="2:17" ht="14.25" customHeight="1" x14ac:dyDescent="0.3">
      <c r="B812" s="23"/>
      <c r="D812" s="25"/>
      <c r="E812" s="25"/>
      <c r="M812" s="12"/>
      <c r="N812" s="122"/>
      <c r="O812" s="122"/>
      <c r="P812" s="122"/>
      <c r="Q812" s="122"/>
    </row>
    <row r="813" spans="2:17" ht="14.25" customHeight="1" x14ac:dyDescent="0.3">
      <c r="B813" s="23"/>
      <c r="D813" s="25"/>
      <c r="E813" s="25"/>
      <c r="M813" s="12"/>
      <c r="N813" s="122"/>
      <c r="O813" s="122"/>
      <c r="P813" s="122"/>
      <c r="Q813" s="122"/>
    </row>
    <row r="814" spans="2:17" ht="14.25" customHeight="1" x14ac:dyDescent="0.3">
      <c r="B814" s="23"/>
      <c r="D814" s="25"/>
      <c r="E814" s="25"/>
      <c r="M814" s="12"/>
      <c r="N814" s="122"/>
      <c r="O814" s="122"/>
      <c r="P814" s="122"/>
      <c r="Q814" s="122"/>
    </row>
    <row r="815" spans="2:17" ht="14.25" customHeight="1" x14ac:dyDescent="0.3">
      <c r="B815" s="23"/>
      <c r="D815" s="25"/>
      <c r="E815" s="25"/>
      <c r="M815" s="12"/>
      <c r="N815" s="122"/>
      <c r="O815" s="122"/>
      <c r="P815" s="122"/>
      <c r="Q815" s="122"/>
    </row>
    <row r="816" spans="2:17" ht="14.25" customHeight="1" x14ac:dyDescent="0.3">
      <c r="B816" s="23"/>
      <c r="D816" s="25"/>
      <c r="E816" s="25"/>
      <c r="M816" s="12"/>
      <c r="N816" s="122"/>
      <c r="O816" s="122"/>
      <c r="P816" s="122"/>
      <c r="Q816" s="122"/>
    </row>
    <row r="817" spans="2:17" ht="14.25" customHeight="1" x14ac:dyDescent="0.3">
      <c r="B817" s="23"/>
      <c r="D817" s="25"/>
      <c r="E817" s="25"/>
      <c r="M817" s="12"/>
      <c r="N817" s="122"/>
      <c r="O817" s="122"/>
      <c r="P817" s="122"/>
      <c r="Q817" s="122"/>
    </row>
    <row r="818" spans="2:17" ht="14.25" customHeight="1" x14ac:dyDescent="0.3">
      <c r="B818" s="23"/>
      <c r="D818" s="25"/>
      <c r="E818" s="25"/>
      <c r="M818" s="12"/>
      <c r="N818" s="122"/>
      <c r="O818" s="122"/>
      <c r="P818" s="122"/>
      <c r="Q818" s="122"/>
    </row>
    <row r="819" spans="2:17" ht="14.25" customHeight="1" x14ac:dyDescent="0.3">
      <c r="B819" s="23"/>
      <c r="D819" s="25"/>
      <c r="E819" s="25"/>
      <c r="M819" s="12"/>
      <c r="N819" s="122"/>
      <c r="O819" s="122"/>
      <c r="P819" s="122"/>
      <c r="Q819" s="122"/>
    </row>
    <row r="820" spans="2:17" ht="14.25" customHeight="1" x14ac:dyDescent="0.3">
      <c r="B820" s="23"/>
      <c r="D820" s="25"/>
      <c r="E820" s="25"/>
      <c r="M820" s="12"/>
      <c r="N820" s="122"/>
      <c r="O820" s="122"/>
      <c r="P820" s="122"/>
      <c r="Q820" s="122"/>
    </row>
    <row r="821" spans="2:17" ht="14.25" customHeight="1" x14ac:dyDescent="0.3">
      <c r="B821" s="23"/>
      <c r="D821" s="25"/>
      <c r="E821" s="25"/>
      <c r="M821" s="12"/>
      <c r="N821" s="122"/>
      <c r="O821" s="122"/>
      <c r="P821" s="122"/>
      <c r="Q821" s="122"/>
    </row>
    <row r="822" spans="2:17" ht="14.25" customHeight="1" x14ac:dyDescent="0.3">
      <c r="B822" s="23"/>
      <c r="D822" s="25"/>
      <c r="E822" s="25"/>
      <c r="M822" s="12"/>
      <c r="N822" s="122"/>
      <c r="O822" s="122"/>
      <c r="P822" s="122"/>
      <c r="Q822" s="122"/>
    </row>
    <row r="823" spans="2:17" ht="14.25" customHeight="1" x14ac:dyDescent="0.3">
      <c r="B823" s="23"/>
      <c r="D823" s="25"/>
      <c r="E823" s="25"/>
      <c r="M823" s="12"/>
      <c r="N823" s="122"/>
      <c r="O823" s="122"/>
      <c r="P823" s="122"/>
      <c r="Q823" s="122"/>
    </row>
    <row r="824" spans="2:17" ht="14.25" customHeight="1" x14ac:dyDescent="0.3">
      <c r="B824" s="23"/>
      <c r="D824" s="25"/>
      <c r="E824" s="25"/>
      <c r="M824" s="12"/>
      <c r="N824" s="122"/>
      <c r="O824" s="122"/>
      <c r="P824" s="122"/>
      <c r="Q824" s="122"/>
    </row>
    <row r="825" spans="2:17" ht="14.25" customHeight="1" x14ac:dyDescent="0.3">
      <c r="B825" s="23"/>
      <c r="D825" s="25"/>
      <c r="E825" s="25"/>
      <c r="M825" s="12"/>
      <c r="N825" s="122"/>
      <c r="O825" s="122"/>
      <c r="P825" s="122"/>
      <c r="Q825" s="122"/>
    </row>
    <row r="826" spans="2:17" ht="14.25" customHeight="1" x14ac:dyDescent="0.3">
      <c r="B826" s="23"/>
      <c r="D826" s="25"/>
      <c r="E826" s="25"/>
      <c r="M826" s="12"/>
      <c r="N826" s="122"/>
      <c r="O826" s="122"/>
      <c r="P826" s="122"/>
      <c r="Q826" s="122"/>
    </row>
    <row r="827" spans="2:17" ht="14.25" customHeight="1" x14ac:dyDescent="0.3">
      <c r="B827" s="23"/>
      <c r="D827" s="25"/>
      <c r="E827" s="25"/>
      <c r="M827" s="12"/>
      <c r="N827" s="122"/>
      <c r="O827" s="122"/>
      <c r="P827" s="122"/>
      <c r="Q827" s="122"/>
    </row>
    <row r="828" spans="2:17" ht="14.25" customHeight="1" x14ac:dyDescent="0.3">
      <c r="B828" s="23"/>
      <c r="D828" s="25"/>
      <c r="E828" s="25"/>
      <c r="M828" s="12"/>
      <c r="N828" s="122"/>
      <c r="O828" s="122"/>
      <c r="P828" s="122"/>
      <c r="Q828" s="122"/>
    </row>
    <row r="829" spans="2:17" ht="14.25" customHeight="1" x14ac:dyDescent="0.3">
      <c r="B829" s="23"/>
      <c r="D829" s="25"/>
      <c r="E829" s="25"/>
      <c r="M829" s="12"/>
      <c r="N829" s="122"/>
      <c r="O829" s="122"/>
      <c r="P829" s="122"/>
      <c r="Q829" s="122"/>
    </row>
    <row r="830" spans="2:17" ht="14.25" customHeight="1" x14ac:dyDescent="0.3">
      <c r="B830" s="23"/>
      <c r="D830" s="25"/>
      <c r="E830" s="25"/>
      <c r="M830" s="12"/>
      <c r="N830" s="122"/>
      <c r="O830" s="122"/>
      <c r="P830" s="122"/>
      <c r="Q830" s="122"/>
    </row>
    <row r="831" spans="2:17" ht="14.25" customHeight="1" x14ac:dyDescent="0.3">
      <c r="B831" s="23"/>
      <c r="D831" s="25"/>
      <c r="E831" s="25"/>
      <c r="M831" s="12"/>
      <c r="N831" s="122"/>
      <c r="O831" s="122"/>
      <c r="P831" s="122"/>
      <c r="Q831" s="122"/>
    </row>
    <row r="832" spans="2:17" ht="14.25" customHeight="1" x14ac:dyDescent="0.3">
      <c r="B832" s="23"/>
      <c r="D832" s="25"/>
      <c r="E832" s="25"/>
      <c r="M832" s="12"/>
      <c r="N832" s="122"/>
      <c r="O832" s="122"/>
      <c r="P832" s="122"/>
      <c r="Q832" s="122"/>
    </row>
    <row r="833" spans="2:17" ht="14.25" customHeight="1" x14ac:dyDescent="0.3">
      <c r="B833" s="23"/>
      <c r="D833" s="25"/>
      <c r="E833" s="25"/>
      <c r="M833" s="12"/>
      <c r="N833" s="122"/>
      <c r="O833" s="122"/>
      <c r="P833" s="122"/>
      <c r="Q833" s="122"/>
    </row>
    <row r="834" spans="2:17" ht="14.25" customHeight="1" x14ac:dyDescent="0.3">
      <c r="B834" s="23"/>
      <c r="D834" s="25"/>
      <c r="E834" s="25"/>
      <c r="M834" s="12"/>
      <c r="N834" s="122"/>
      <c r="O834" s="122"/>
      <c r="P834" s="122"/>
      <c r="Q834" s="122"/>
    </row>
    <row r="835" spans="2:17" ht="14.25" customHeight="1" x14ac:dyDescent="0.3">
      <c r="B835" s="23"/>
      <c r="D835" s="25"/>
      <c r="E835" s="25"/>
      <c r="M835" s="12"/>
      <c r="N835" s="122"/>
      <c r="O835" s="122"/>
      <c r="P835" s="122"/>
      <c r="Q835" s="122"/>
    </row>
    <row r="836" spans="2:17" ht="14.25" customHeight="1" x14ac:dyDescent="0.3">
      <c r="B836" s="23"/>
      <c r="D836" s="25"/>
      <c r="E836" s="25"/>
      <c r="M836" s="12"/>
      <c r="N836" s="122"/>
      <c r="O836" s="122"/>
      <c r="P836" s="122"/>
      <c r="Q836" s="122"/>
    </row>
    <row r="837" spans="2:17" ht="14.25" customHeight="1" x14ac:dyDescent="0.3">
      <c r="B837" s="23"/>
      <c r="D837" s="25"/>
      <c r="E837" s="25"/>
      <c r="M837" s="12"/>
      <c r="N837" s="122"/>
      <c r="O837" s="122"/>
      <c r="P837" s="122"/>
      <c r="Q837" s="122"/>
    </row>
    <row r="838" spans="2:17" ht="14.25" customHeight="1" x14ac:dyDescent="0.3">
      <c r="B838" s="23"/>
      <c r="D838" s="25"/>
      <c r="E838" s="25"/>
      <c r="M838" s="12"/>
      <c r="N838" s="122"/>
      <c r="O838" s="122"/>
      <c r="P838" s="122"/>
      <c r="Q838" s="122"/>
    </row>
    <row r="839" spans="2:17" ht="14.25" customHeight="1" x14ac:dyDescent="0.3">
      <c r="B839" s="23"/>
      <c r="D839" s="25"/>
      <c r="E839" s="25"/>
      <c r="M839" s="12"/>
      <c r="N839" s="122"/>
      <c r="O839" s="122"/>
      <c r="P839" s="122"/>
      <c r="Q839" s="122"/>
    </row>
    <row r="840" spans="2:17" ht="14.25" customHeight="1" x14ac:dyDescent="0.3">
      <c r="B840" s="23"/>
      <c r="D840" s="25"/>
      <c r="E840" s="25"/>
      <c r="M840" s="12"/>
      <c r="N840" s="122"/>
      <c r="O840" s="122"/>
      <c r="P840" s="122"/>
      <c r="Q840" s="122"/>
    </row>
    <row r="841" spans="2:17" ht="14.25" customHeight="1" x14ac:dyDescent="0.3">
      <c r="B841" s="23"/>
      <c r="D841" s="25"/>
      <c r="E841" s="25"/>
      <c r="M841" s="12"/>
      <c r="N841" s="122"/>
      <c r="O841" s="122"/>
      <c r="P841" s="122"/>
      <c r="Q841" s="122"/>
    </row>
    <row r="842" spans="2:17" ht="14.25" customHeight="1" x14ac:dyDescent="0.3">
      <c r="B842" s="23"/>
      <c r="D842" s="25"/>
      <c r="E842" s="25"/>
      <c r="M842" s="12"/>
      <c r="N842" s="122"/>
      <c r="O842" s="122"/>
      <c r="P842" s="122"/>
      <c r="Q842" s="122"/>
    </row>
    <row r="843" spans="2:17" ht="14.25" customHeight="1" x14ac:dyDescent="0.3">
      <c r="B843" s="23"/>
      <c r="D843" s="25"/>
      <c r="E843" s="25"/>
      <c r="M843" s="12"/>
      <c r="N843" s="122"/>
      <c r="O843" s="122"/>
      <c r="P843" s="122"/>
      <c r="Q843" s="122"/>
    </row>
    <row r="844" spans="2:17" ht="14.25" customHeight="1" x14ac:dyDescent="0.3">
      <c r="B844" s="23"/>
      <c r="D844" s="25"/>
      <c r="E844" s="25"/>
      <c r="M844" s="12"/>
      <c r="N844" s="122"/>
      <c r="O844" s="122"/>
      <c r="P844" s="122"/>
      <c r="Q844" s="122"/>
    </row>
    <row r="845" spans="2:17" ht="14.25" customHeight="1" x14ac:dyDescent="0.3">
      <c r="B845" s="23"/>
      <c r="D845" s="25"/>
      <c r="E845" s="25"/>
      <c r="M845" s="12"/>
      <c r="N845" s="122"/>
      <c r="O845" s="122"/>
      <c r="P845" s="122"/>
      <c r="Q845" s="122"/>
    </row>
    <row r="846" spans="2:17" ht="14.25" customHeight="1" x14ac:dyDescent="0.3">
      <c r="B846" s="23"/>
      <c r="D846" s="25"/>
      <c r="E846" s="25"/>
      <c r="M846" s="12"/>
      <c r="N846" s="122"/>
      <c r="O846" s="122"/>
      <c r="P846" s="122"/>
      <c r="Q846" s="122"/>
    </row>
    <row r="847" spans="2:17" ht="14.25" customHeight="1" x14ac:dyDescent="0.3">
      <c r="B847" s="23"/>
      <c r="D847" s="25"/>
      <c r="E847" s="25"/>
      <c r="M847" s="12"/>
      <c r="N847" s="122"/>
      <c r="O847" s="122"/>
      <c r="P847" s="122"/>
      <c r="Q847" s="122"/>
    </row>
    <row r="848" spans="2:17" ht="14.25" customHeight="1" x14ac:dyDescent="0.3">
      <c r="B848" s="23"/>
      <c r="D848" s="25"/>
      <c r="E848" s="25"/>
      <c r="M848" s="12"/>
      <c r="N848" s="122"/>
      <c r="O848" s="122"/>
      <c r="P848" s="122"/>
      <c r="Q848" s="122"/>
    </row>
    <row r="849" spans="2:17" ht="14.25" customHeight="1" x14ac:dyDescent="0.3">
      <c r="B849" s="23"/>
      <c r="D849" s="25"/>
      <c r="E849" s="25"/>
      <c r="M849" s="12"/>
      <c r="N849" s="122"/>
      <c r="O849" s="122"/>
      <c r="P849" s="122"/>
      <c r="Q849" s="122"/>
    </row>
    <row r="850" spans="2:17" ht="14.25" customHeight="1" x14ac:dyDescent="0.3">
      <c r="B850" s="23"/>
      <c r="D850" s="25"/>
      <c r="E850" s="25"/>
      <c r="M850" s="12"/>
      <c r="N850" s="122"/>
      <c r="O850" s="122"/>
      <c r="P850" s="122"/>
      <c r="Q850" s="122"/>
    </row>
    <row r="851" spans="2:17" ht="14.25" customHeight="1" x14ac:dyDescent="0.3">
      <c r="B851" s="23"/>
      <c r="D851" s="25"/>
      <c r="E851" s="25"/>
      <c r="M851" s="12"/>
      <c r="N851" s="122"/>
      <c r="O851" s="122"/>
      <c r="P851" s="122"/>
      <c r="Q851" s="122"/>
    </row>
    <row r="852" spans="2:17" ht="14.25" customHeight="1" x14ac:dyDescent="0.3">
      <c r="B852" s="23"/>
      <c r="D852" s="25"/>
      <c r="E852" s="25"/>
      <c r="M852" s="12"/>
      <c r="N852" s="122"/>
      <c r="O852" s="122"/>
      <c r="P852" s="122"/>
      <c r="Q852" s="122"/>
    </row>
    <row r="853" spans="2:17" ht="14.25" customHeight="1" x14ac:dyDescent="0.3">
      <c r="B853" s="23"/>
      <c r="D853" s="25"/>
      <c r="E853" s="25"/>
      <c r="M853" s="12"/>
      <c r="N853" s="122"/>
      <c r="O853" s="122"/>
      <c r="P853" s="122"/>
      <c r="Q853" s="122"/>
    </row>
    <row r="854" spans="2:17" ht="14.25" customHeight="1" x14ac:dyDescent="0.3">
      <c r="B854" s="23"/>
      <c r="D854" s="25"/>
      <c r="E854" s="25"/>
      <c r="M854" s="12"/>
      <c r="N854" s="122"/>
      <c r="O854" s="122"/>
      <c r="P854" s="122"/>
      <c r="Q854" s="122"/>
    </row>
    <row r="855" spans="2:17" ht="14.25" customHeight="1" x14ac:dyDescent="0.3">
      <c r="B855" s="23"/>
      <c r="D855" s="25"/>
      <c r="E855" s="25"/>
      <c r="M855" s="12"/>
      <c r="N855" s="122"/>
      <c r="O855" s="122"/>
      <c r="P855" s="122"/>
      <c r="Q855" s="122"/>
    </row>
    <row r="856" spans="2:17" ht="14.25" customHeight="1" x14ac:dyDescent="0.3">
      <c r="B856" s="23"/>
      <c r="D856" s="25"/>
      <c r="E856" s="25"/>
      <c r="M856" s="12"/>
      <c r="N856" s="122"/>
      <c r="O856" s="122"/>
      <c r="P856" s="122"/>
      <c r="Q856" s="122"/>
    </row>
    <row r="857" spans="2:17" ht="14.25" customHeight="1" x14ac:dyDescent="0.3">
      <c r="B857" s="23"/>
      <c r="D857" s="25"/>
      <c r="E857" s="25"/>
      <c r="M857" s="12"/>
      <c r="N857" s="122"/>
      <c r="O857" s="122"/>
      <c r="P857" s="122"/>
      <c r="Q857" s="122"/>
    </row>
    <row r="858" spans="2:17" ht="14.25" customHeight="1" x14ac:dyDescent="0.3">
      <c r="B858" s="23"/>
      <c r="D858" s="25"/>
      <c r="E858" s="25"/>
      <c r="M858" s="12"/>
      <c r="N858" s="122"/>
      <c r="O858" s="122"/>
      <c r="P858" s="122"/>
      <c r="Q858" s="122"/>
    </row>
    <row r="859" spans="2:17" ht="14.25" customHeight="1" x14ac:dyDescent="0.3">
      <c r="B859" s="23"/>
      <c r="D859" s="25"/>
      <c r="E859" s="25"/>
      <c r="M859" s="12"/>
      <c r="N859" s="122"/>
      <c r="O859" s="122"/>
      <c r="P859" s="122"/>
      <c r="Q859" s="122"/>
    </row>
    <row r="860" spans="2:17" ht="14.25" customHeight="1" x14ac:dyDescent="0.3">
      <c r="B860" s="23"/>
      <c r="D860" s="25"/>
      <c r="E860" s="25"/>
      <c r="M860" s="12"/>
      <c r="N860" s="122"/>
      <c r="O860" s="122"/>
      <c r="P860" s="122"/>
      <c r="Q860" s="122"/>
    </row>
    <row r="861" spans="2:17" ht="14.25" customHeight="1" x14ac:dyDescent="0.3">
      <c r="B861" s="23"/>
      <c r="D861" s="25"/>
      <c r="E861" s="25"/>
      <c r="M861" s="12"/>
      <c r="N861" s="122"/>
      <c r="O861" s="122"/>
      <c r="P861" s="122"/>
      <c r="Q861" s="122"/>
    </row>
    <row r="862" spans="2:17" ht="14.25" customHeight="1" x14ac:dyDescent="0.3">
      <c r="B862" s="23"/>
      <c r="D862" s="25"/>
      <c r="E862" s="25"/>
      <c r="M862" s="12"/>
      <c r="N862" s="122"/>
      <c r="O862" s="122"/>
      <c r="P862" s="122"/>
      <c r="Q862" s="122"/>
    </row>
    <row r="863" spans="2:17" ht="14.25" customHeight="1" x14ac:dyDescent="0.3">
      <c r="B863" s="23"/>
      <c r="D863" s="25"/>
      <c r="E863" s="25"/>
      <c r="M863" s="12"/>
      <c r="N863" s="122"/>
      <c r="O863" s="122"/>
      <c r="P863" s="122"/>
      <c r="Q863" s="122"/>
    </row>
    <row r="864" spans="2:17" ht="14.25" customHeight="1" x14ac:dyDescent="0.3">
      <c r="B864" s="23"/>
      <c r="D864" s="25"/>
      <c r="E864" s="25"/>
      <c r="M864" s="12"/>
      <c r="N864" s="122"/>
      <c r="O864" s="122"/>
      <c r="P864" s="122"/>
      <c r="Q864" s="122"/>
    </row>
    <row r="865" spans="2:17" ht="14.25" customHeight="1" x14ac:dyDescent="0.3">
      <c r="B865" s="23"/>
      <c r="D865" s="25"/>
      <c r="E865" s="25"/>
      <c r="M865" s="12"/>
      <c r="N865" s="122"/>
      <c r="O865" s="122"/>
      <c r="P865" s="122"/>
      <c r="Q865" s="122"/>
    </row>
    <row r="866" spans="2:17" ht="14.25" customHeight="1" x14ac:dyDescent="0.3">
      <c r="B866" s="23"/>
      <c r="D866" s="25"/>
      <c r="E866" s="25"/>
      <c r="M866" s="12"/>
      <c r="N866" s="122"/>
      <c r="O866" s="122"/>
      <c r="P866" s="122"/>
      <c r="Q866" s="122"/>
    </row>
    <row r="867" spans="2:17" ht="14.25" customHeight="1" x14ac:dyDescent="0.3">
      <c r="B867" s="23"/>
      <c r="D867" s="25"/>
      <c r="E867" s="25"/>
      <c r="M867" s="12"/>
      <c r="N867" s="122"/>
      <c r="O867" s="122"/>
      <c r="P867" s="122"/>
      <c r="Q867" s="122"/>
    </row>
    <row r="868" spans="2:17" ht="14.25" customHeight="1" x14ac:dyDescent="0.3">
      <c r="B868" s="23"/>
      <c r="D868" s="25"/>
      <c r="E868" s="25"/>
      <c r="M868" s="12"/>
      <c r="N868" s="122"/>
      <c r="O868" s="122"/>
      <c r="P868" s="122"/>
      <c r="Q868" s="122"/>
    </row>
    <row r="869" spans="2:17" ht="14.25" customHeight="1" x14ac:dyDescent="0.3">
      <c r="B869" s="23"/>
      <c r="D869" s="25"/>
      <c r="E869" s="25"/>
      <c r="M869" s="12"/>
      <c r="N869" s="122"/>
      <c r="O869" s="122"/>
      <c r="P869" s="122"/>
      <c r="Q869" s="122"/>
    </row>
    <row r="870" spans="2:17" ht="14.25" customHeight="1" x14ac:dyDescent="0.3">
      <c r="B870" s="23"/>
      <c r="D870" s="25"/>
      <c r="E870" s="25"/>
      <c r="M870" s="12"/>
      <c r="N870" s="122"/>
      <c r="O870" s="122"/>
      <c r="P870" s="122"/>
      <c r="Q870" s="122"/>
    </row>
    <row r="871" spans="2:17" ht="14.25" customHeight="1" x14ac:dyDescent="0.3">
      <c r="B871" s="23"/>
      <c r="D871" s="25"/>
      <c r="E871" s="25"/>
      <c r="M871" s="12"/>
      <c r="N871" s="122"/>
      <c r="O871" s="122"/>
      <c r="P871" s="122"/>
      <c r="Q871" s="122"/>
    </row>
    <row r="872" spans="2:17" ht="14.25" customHeight="1" x14ac:dyDescent="0.3">
      <c r="B872" s="23"/>
      <c r="D872" s="25"/>
      <c r="E872" s="25"/>
      <c r="M872" s="12"/>
      <c r="N872" s="122"/>
      <c r="O872" s="122"/>
      <c r="P872" s="122"/>
      <c r="Q872" s="122"/>
    </row>
    <row r="873" spans="2:17" ht="14.25" customHeight="1" x14ac:dyDescent="0.3">
      <c r="B873" s="23"/>
      <c r="D873" s="25"/>
      <c r="E873" s="25"/>
      <c r="M873" s="12"/>
      <c r="N873" s="122"/>
      <c r="O873" s="122"/>
      <c r="P873" s="122"/>
      <c r="Q873" s="122"/>
    </row>
    <row r="874" spans="2:17" ht="14.25" customHeight="1" x14ac:dyDescent="0.3">
      <c r="B874" s="23"/>
      <c r="D874" s="25"/>
      <c r="E874" s="25"/>
      <c r="M874" s="12"/>
      <c r="N874" s="122"/>
      <c r="O874" s="122"/>
      <c r="P874" s="122"/>
      <c r="Q874" s="122"/>
    </row>
    <row r="875" spans="2:17" ht="14.25" customHeight="1" x14ac:dyDescent="0.3">
      <c r="B875" s="23"/>
      <c r="D875" s="25"/>
      <c r="E875" s="25"/>
      <c r="M875" s="12"/>
      <c r="N875" s="122"/>
      <c r="O875" s="122"/>
      <c r="P875" s="122"/>
      <c r="Q875" s="122"/>
    </row>
    <row r="876" spans="2:17" ht="14.25" customHeight="1" x14ac:dyDescent="0.3">
      <c r="B876" s="23"/>
      <c r="D876" s="25"/>
      <c r="E876" s="25"/>
      <c r="M876" s="12"/>
      <c r="N876" s="122"/>
      <c r="O876" s="122"/>
      <c r="P876" s="122"/>
      <c r="Q876" s="122"/>
    </row>
    <row r="877" spans="2:17" ht="14.25" customHeight="1" x14ac:dyDescent="0.3">
      <c r="B877" s="23"/>
      <c r="D877" s="25"/>
      <c r="E877" s="25"/>
      <c r="M877" s="12"/>
      <c r="N877" s="122"/>
      <c r="O877" s="122"/>
      <c r="P877" s="122"/>
      <c r="Q877" s="122"/>
    </row>
    <row r="878" spans="2:17" ht="14.25" customHeight="1" x14ac:dyDescent="0.3">
      <c r="B878" s="23"/>
      <c r="D878" s="25"/>
      <c r="E878" s="25"/>
      <c r="M878" s="12"/>
      <c r="N878" s="122"/>
      <c r="O878" s="122"/>
      <c r="P878" s="122"/>
      <c r="Q878" s="122"/>
    </row>
    <row r="879" spans="2:17" ht="14.25" customHeight="1" x14ac:dyDescent="0.3">
      <c r="B879" s="23"/>
      <c r="D879" s="25"/>
      <c r="E879" s="25"/>
      <c r="M879" s="12"/>
      <c r="N879" s="122"/>
      <c r="O879" s="122"/>
      <c r="P879" s="122"/>
      <c r="Q879" s="122"/>
    </row>
    <row r="880" spans="2:17" ht="14.25" customHeight="1" x14ac:dyDescent="0.3">
      <c r="B880" s="23"/>
      <c r="D880" s="25"/>
      <c r="E880" s="25"/>
      <c r="M880" s="12"/>
      <c r="N880" s="122"/>
      <c r="O880" s="122"/>
      <c r="P880" s="122"/>
      <c r="Q880" s="122"/>
    </row>
    <row r="881" spans="2:17" ht="14.25" customHeight="1" x14ac:dyDescent="0.3">
      <c r="B881" s="23"/>
      <c r="D881" s="25"/>
      <c r="E881" s="25"/>
      <c r="M881" s="12"/>
      <c r="N881" s="122"/>
      <c r="O881" s="122"/>
      <c r="P881" s="122"/>
      <c r="Q881" s="122"/>
    </row>
    <row r="882" spans="2:17" ht="14.25" customHeight="1" x14ac:dyDescent="0.3">
      <c r="B882" s="23"/>
      <c r="D882" s="25"/>
      <c r="E882" s="25"/>
      <c r="M882" s="12"/>
      <c r="N882" s="122"/>
      <c r="O882" s="122"/>
      <c r="P882" s="122"/>
      <c r="Q882" s="122"/>
    </row>
    <row r="883" spans="2:17" ht="14.25" customHeight="1" x14ac:dyDescent="0.3">
      <c r="B883" s="23"/>
      <c r="D883" s="25"/>
      <c r="E883" s="25"/>
      <c r="M883" s="12"/>
      <c r="N883" s="122"/>
      <c r="O883" s="122"/>
      <c r="P883" s="122"/>
      <c r="Q883" s="122"/>
    </row>
    <row r="884" spans="2:17" ht="14.25" customHeight="1" x14ac:dyDescent="0.3">
      <c r="B884" s="23"/>
      <c r="D884" s="25"/>
      <c r="E884" s="25"/>
      <c r="M884" s="12"/>
      <c r="N884" s="122"/>
      <c r="O884" s="122"/>
      <c r="P884" s="122"/>
      <c r="Q884" s="122"/>
    </row>
    <row r="885" spans="2:17" ht="14.25" customHeight="1" x14ac:dyDescent="0.3">
      <c r="B885" s="23"/>
      <c r="D885" s="25"/>
      <c r="E885" s="25"/>
      <c r="M885" s="12"/>
      <c r="N885" s="122"/>
      <c r="O885" s="122"/>
      <c r="P885" s="122"/>
      <c r="Q885" s="122"/>
    </row>
    <row r="886" spans="2:17" ht="14.25" customHeight="1" x14ac:dyDescent="0.3">
      <c r="B886" s="23"/>
      <c r="D886" s="25"/>
      <c r="E886" s="25"/>
      <c r="M886" s="12"/>
      <c r="N886" s="122"/>
      <c r="O886" s="122"/>
      <c r="P886" s="122"/>
      <c r="Q886" s="122"/>
    </row>
    <row r="887" spans="2:17" ht="14.25" customHeight="1" x14ac:dyDescent="0.3">
      <c r="B887" s="23"/>
      <c r="D887" s="25"/>
      <c r="E887" s="25"/>
      <c r="M887" s="12"/>
      <c r="N887" s="122"/>
      <c r="O887" s="122"/>
      <c r="P887" s="122"/>
      <c r="Q887" s="122"/>
    </row>
    <row r="888" spans="2:17" ht="14.25" customHeight="1" x14ac:dyDescent="0.3">
      <c r="B888" s="23"/>
      <c r="D888" s="25"/>
      <c r="E888" s="25"/>
      <c r="M888" s="12"/>
      <c r="N888" s="122"/>
      <c r="O888" s="122"/>
      <c r="P888" s="122"/>
      <c r="Q888" s="122"/>
    </row>
    <row r="889" spans="2:17" ht="14.25" customHeight="1" x14ac:dyDescent="0.3">
      <c r="B889" s="23"/>
      <c r="D889" s="25"/>
      <c r="E889" s="25"/>
      <c r="M889" s="12"/>
      <c r="N889" s="122"/>
      <c r="O889" s="122"/>
      <c r="P889" s="122"/>
      <c r="Q889" s="122"/>
    </row>
    <row r="890" spans="2:17" ht="14.25" customHeight="1" x14ac:dyDescent="0.3">
      <c r="B890" s="23"/>
      <c r="D890" s="25"/>
      <c r="E890" s="25"/>
      <c r="M890" s="12"/>
      <c r="N890" s="122"/>
      <c r="O890" s="122"/>
      <c r="P890" s="122"/>
      <c r="Q890" s="122"/>
    </row>
    <row r="891" spans="2:17" ht="14.25" customHeight="1" x14ac:dyDescent="0.3">
      <c r="B891" s="23"/>
      <c r="D891" s="25"/>
      <c r="E891" s="25"/>
      <c r="M891" s="12"/>
      <c r="N891" s="122"/>
      <c r="O891" s="122"/>
      <c r="P891" s="122"/>
      <c r="Q891" s="122"/>
    </row>
    <row r="892" spans="2:17" ht="14.25" customHeight="1" x14ac:dyDescent="0.3">
      <c r="B892" s="23"/>
      <c r="D892" s="25"/>
      <c r="E892" s="25"/>
      <c r="M892" s="12"/>
      <c r="N892" s="122"/>
      <c r="O892" s="122"/>
      <c r="P892" s="122"/>
      <c r="Q892" s="122"/>
    </row>
    <row r="893" spans="2:17" ht="14.25" customHeight="1" x14ac:dyDescent="0.3">
      <c r="B893" s="23"/>
      <c r="D893" s="25"/>
      <c r="E893" s="25"/>
      <c r="M893" s="12"/>
      <c r="N893" s="122"/>
      <c r="O893" s="122"/>
      <c r="P893" s="122"/>
      <c r="Q893" s="122"/>
    </row>
    <row r="894" spans="2:17" ht="14.25" customHeight="1" x14ac:dyDescent="0.3">
      <c r="B894" s="23"/>
      <c r="D894" s="25"/>
      <c r="E894" s="25"/>
      <c r="M894" s="12"/>
      <c r="N894" s="122"/>
      <c r="O894" s="122"/>
      <c r="P894" s="122"/>
      <c r="Q894" s="122"/>
    </row>
    <row r="895" spans="2:17" ht="14.25" customHeight="1" x14ac:dyDescent="0.3">
      <c r="B895" s="23"/>
      <c r="D895" s="25"/>
      <c r="E895" s="25"/>
      <c r="M895" s="12"/>
      <c r="N895" s="122"/>
      <c r="O895" s="122"/>
      <c r="P895" s="122"/>
      <c r="Q895" s="122"/>
    </row>
    <row r="896" spans="2:17" ht="14.25" customHeight="1" x14ac:dyDescent="0.3">
      <c r="B896" s="23"/>
      <c r="D896" s="25"/>
      <c r="E896" s="25"/>
      <c r="M896" s="12"/>
      <c r="N896" s="122"/>
      <c r="O896" s="122"/>
      <c r="P896" s="122"/>
      <c r="Q896" s="122"/>
    </row>
    <row r="897" spans="2:17" ht="14.25" customHeight="1" x14ac:dyDescent="0.3">
      <c r="B897" s="23"/>
      <c r="D897" s="25"/>
      <c r="E897" s="25"/>
      <c r="M897" s="12"/>
      <c r="N897" s="122"/>
      <c r="O897" s="122"/>
      <c r="P897" s="122"/>
      <c r="Q897" s="122"/>
    </row>
    <row r="898" spans="2:17" ht="14.25" customHeight="1" x14ac:dyDescent="0.3">
      <c r="B898" s="23"/>
      <c r="D898" s="25"/>
      <c r="E898" s="25"/>
      <c r="M898" s="12"/>
      <c r="N898" s="122"/>
      <c r="O898" s="122"/>
      <c r="P898" s="122"/>
      <c r="Q898" s="122"/>
    </row>
    <row r="899" spans="2:17" ht="14.25" customHeight="1" x14ac:dyDescent="0.3">
      <c r="B899" s="23"/>
      <c r="D899" s="25"/>
      <c r="E899" s="25"/>
      <c r="M899" s="12"/>
      <c r="N899" s="122"/>
      <c r="O899" s="122"/>
      <c r="P899" s="122"/>
      <c r="Q899" s="122"/>
    </row>
    <row r="900" spans="2:17" ht="14.25" customHeight="1" x14ac:dyDescent="0.3">
      <c r="B900" s="23"/>
      <c r="D900" s="25"/>
      <c r="E900" s="25"/>
      <c r="M900" s="12"/>
      <c r="N900" s="122"/>
      <c r="O900" s="122"/>
      <c r="P900" s="122"/>
      <c r="Q900" s="122"/>
    </row>
    <row r="901" spans="2:17" ht="14.25" customHeight="1" x14ac:dyDescent="0.3">
      <c r="B901" s="23"/>
      <c r="D901" s="25"/>
      <c r="E901" s="25"/>
      <c r="M901" s="12"/>
      <c r="N901" s="122"/>
      <c r="O901" s="122"/>
      <c r="P901" s="122"/>
      <c r="Q901" s="122"/>
    </row>
    <row r="902" spans="2:17" ht="14.25" customHeight="1" x14ac:dyDescent="0.3">
      <c r="B902" s="23"/>
      <c r="D902" s="25"/>
      <c r="E902" s="25"/>
      <c r="M902" s="12"/>
      <c r="N902" s="122"/>
      <c r="O902" s="122"/>
      <c r="P902" s="122"/>
      <c r="Q902" s="122"/>
    </row>
    <row r="903" spans="2:17" ht="14.25" customHeight="1" x14ac:dyDescent="0.3">
      <c r="B903" s="23"/>
      <c r="D903" s="25"/>
      <c r="E903" s="25"/>
      <c r="M903" s="12"/>
      <c r="N903" s="122"/>
      <c r="O903" s="122"/>
      <c r="P903" s="122"/>
      <c r="Q903" s="122"/>
    </row>
    <row r="904" spans="2:17" ht="14.25" customHeight="1" x14ac:dyDescent="0.3">
      <c r="B904" s="23"/>
      <c r="D904" s="25"/>
      <c r="E904" s="25"/>
      <c r="M904" s="12"/>
      <c r="N904" s="122"/>
      <c r="O904" s="122"/>
      <c r="P904" s="122"/>
      <c r="Q904" s="122"/>
    </row>
    <row r="905" spans="2:17" ht="14.25" customHeight="1" x14ac:dyDescent="0.3">
      <c r="B905" s="23"/>
      <c r="D905" s="25"/>
      <c r="E905" s="25"/>
      <c r="M905" s="12"/>
      <c r="N905" s="122"/>
      <c r="O905" s="122"/>
      <c r="P905" s="122"/>
      <c r="Q905" s="122"/>
    </row>
    <row r="906" spans="2:17" ht="14.25" customHeight="1" x14ac:dyDescent="0.3">
      <c r="B906" s="23"/>
      <c r="D906" s="25"/>
      <c r="E906" s="25"/>
      <c r="M906" s="12"/>
      <c r="N906" s="122"/>
      <c r="O906" s="122"/>
      <c r="P906" s="122"/>
      <c r="Q906" s="122"/>
    </row>
    <row r="907" spans="2:17" ht="14.25" customHeight="1" x14ac:dyDescent="0.3">
      <c r="B907" s="23"/>
      <c r="D907" s="25"/>
      <c r="E907" s="25"/>
      <c r="M907" s="12"/>
      <c r="N907" s="122"/>
      <c r="O907" s="122"/>
      <c r="P907" s="122"/>
      <c r="Q907" s="122"/>
    </row>
    <row r="908" spans="2:17" ht="14.25" customHeight="1" x14ac:dyDescent="0.3">
      <c r="B908" s="23"/>
      <c r="D908" s="25"/>
      <c r="E908" s="25"/>
      <c r="M908" s="12"/>
      <c r="N908" s="122"/>
      <c r="O908" s="122"/>
      <c r="P908" s="122"/>
      <c r="Q908" s="122"/>
    </row>
    <row r="909" spans="2:17" ht="14.25" customHeight="1" x14ac:dyDescent="0.3">
      <c r="B909" s="23"/>
      <c r="D909" s="25"/>
      <c r="E909" s="25"/>
      <c r="M909" s="12"/>
      <c r="N909" s="122"/>
      <c r="O909" s="122"/>
      <c r="P909" s="122"/>
      <c r="Q909" s="122"/>
    </row>
    <row r="910" spans="2:17" ht="14.25" customHeight="1" x14ac:dyDescent="0.3">
      <c r="B910" s="23"/>
      <c r="D910" s="25"/>
      <c r="E910" s="25"/>
      <c r="M910" s="12"/>
      <c r="N910" s="122"/>
      <c r="O910" s="122"/>
      <c r="P910" s="122"/>
      <c r="Q910" s="122"/>
    </row>
    <row r="911" spans="2:17" ht="14.25" customHeight="1" x14ac:dyDescent="0.3">
      <c r="B911" s="23"/>
      <c r="D911" s="25"/>
      <c r="E911" s="25"/>
      <c r="M911" s="12"/>
      <c r="N911" s="122"/>
      <c r="O911" s="122"/>
      <c r="P911" s="122"/>
      <c r="Q911" s="122"/>
    </row>
    <row r="912" spans="2:17" ht="14.25" customHeight="1" x14ac:dyDescent="0.3">
      <c r="B912" s="23"/>
      <c r="D912" s="25"/>
      <c r="E912" s="25"/>
      <c r="M912" s="12"/>
      <c r="N912" s="122"/>
      <c r="O912" s="122"/>
      <c r="P912" s="122"/>
      <c r="Q912" s="122"/>
    </row>
    <row r="913" spans="2:17" ht="14.25" customHeight="1" x14ac:dyDescent="0.3">
      <c r="B913" s="23"/>
      <c r="D913" s="25"/>
      <c r="E913" s="25"/>
      <c r="M913" s="12"/>
      <c r="N913" s="122"/>
      <c r="O913" s="122"/>
      <c r="P913" s="122"/>
      <c r="Q913" s="122"/>
    </row>
    <row r="914" spans="2:17" ht="14.25" customHeight="1" x14ac:dyDescent="0.3">
      <c r="B914" s="23"/>
      <c r="D914" s="25"/>
      <c r="E914" s="25"/>
      <c r="M914" s="12"/>
      <c r="N914" s="122"/>
      <c r="O914" s="122"/>
      <c r="P914" s="122"/>
      <c r="Q914" s="122"/>
    </row>
    <row r="915" spans="2:17" ht="14.25" customHeight="1" x14ac:dyDescent="0.3">
      <c r="B915" s="23"/>
      <c r="D915" s="25"/>
      <c r="E915" s="25"/>
      <c r="M915" s="12"/>
      <c r="N915" s="122"/>
      <c r="O915" s="122"/>
      <c r="P915" s="122"/>
      <c r="Q915" s="122"/>
    </row>
    <row r="916" spans="2:17" ht="14.25" customHeight="1" x14ac:dyDescent="0.3">
      <c r="B916" s="23"/>
      <c r="D916" s="25"/>
      <c r="E916" s="25"/>
      <c r="M916" s="12"/>
      <c r="N916" s="122"/>
      <c r="O916" s="122"/>
      <c r="P916" s="122"/>
      <c r="Q916" s="122"/>
    </row>
    <row r="917" spans="2:17" ht="14.25" customHeight="1" x14ac:dyDescent="0.3">
      <c r="B917" s="23"/>
      <c r="D917" s="25"/>
      <c r="E917" s="25"/>
      <c r="M917" s="12"/>
      <c r="N917" s="122"/>
      <c r="O917" s="122"/>
      <c r="P917" s="122"/>
      <c r="Q917" s="122"/>
    </row>
    <row r="918" spans="2:17" ht="14.25" customHeight="1" x14ac:dyDescent="0.3">
      <c r="B918" s="23"/>
      <c r="D918" s="25"/>
      <c r="E918" s="25"/>
      <c r="M918" s="12"/>
      <c r="N918" s="122"/>
      <c r="O918" s="122"/>
      <c r="P918" s="122"/>
      <c r="Q918" s="122"/>
    </row>
    <row r="919" spans="2:17" ht="14.25" customHeight="1" x14ac:dyDescent="0.3">
      <c r="B919" s="23"/>
      <c r="D919" s="25"/>
      <c r="E919" s="25"/>
      <c r="M919" s="12"/>
      <c r="N919" s="122"/>
      <c r="O919" s="122"/>
      <c r="P919" s="122"/>
      <c r="Q919" s="122"/>
    </row>
    <row r="920" spans="2:17" ht="14.25" customHeight="1" x14ac:dyDescent="0.3">
      <c r="B920" s="23"/>
      <c r="D920" s="25"/>
      <c r="E920" s="25"/>
      <c r="M920" s="12"/>
      <c r="N920" s="122"/>
      <c r="O920" s="122"/>
      <c r="P920" s="122"/>
      <c r="Q920" s="122"/>
    </row>
    <row r="921" spans="2:17" ht="14.25" customHeight="1" x14ac:dyDescent="0.3">
      <c r="B921" s="23"/>
      <c r="D921" s="25"/>
      <c r="E921" s="25"/>
      <c r="M921" s="12"/>
      <c r="N921" s="122"/>
      <c r="O921" s="122"/>
      <c r="P921" s="122"/>
      <c r="Q921" s="122"/>
    </row>
    <row r="922" spans="2:17" ht="14.25" customHeight="1" x14ac:dyDescent="0.3">
      <c r="B922" s="23"/>
      <c r="D922" s="25"/>
      <c r="E922" s="25"/>
      <c r="M922" s="12"/>
      <c r="N922" s="122"/>
      <c r="O922" s="122"/>
      <c r="P922" s="122"/>
      <c r="Q922" s="122"/>
    </row>
    <row r="923" spans="2:17" ht="14.25" customHeight="1" x14ac:dyDescent="0.3">
      <c r="B923" s="23"/>
      <c r="D923" s="25"/>
      <c r="E923" s="25"/>
      <c r="M923" s="12"/>
      <c r="N923" s="122"/>
      <c r="O923" s="122"/>
      <c r="P923" s="122"/>
      <c r="Q923" s="122"/>
    </row>
    <row r="924" spans="2:17" ht="14.25" customHeight="1" x14ac:dyDescent="0.3">
      <c r="B924" s="23"/>
      <c r="D924" s="25"/>
      <c r="E924" s="25"/>
      <c r="M924" s="12"/>
      <c r="N924" s="122"/>
      <c r="O924" s="122"/>
      <c r="P924" s="122"/>
      <c r="Q924" s="122"/>
    </row>
    <row r="925" spans="2:17" ht="14.25" customHeight="1" x14ac:dyDescent="0.3">
      <c r="B925" s="23"/>
      <c r="D925" s="25"/>
      <c r="E925" s="25"/>
      <c r="M925" s="12"/>
      <c r="N925" s="122"/>
      <c r="O925" s="122"/>
      <c r="P925" s="122"/>
      <c r="Q925" s="122"/>
    </row>
    <row r="926" spans="2:17" ht="14.25" customHeight="1" x14ac:dyDescent="0.3">
      <c r="B926" s="23"/>
      <c r="D926" s="25"/>
      <c r="E926" s="25"/>
      <c r="M926" s="12"/>
      <c r="N926" s="122"/>
      <c r="O926" s="122"/>
      <c r="P926" s="122"/>
      <c r="Q926" s="122"/>
    </row>
    <row r="927" spans="2:17" ht="14.25" customHeight="1" x14ac:dyDescent="0.3">
      <c r="B927" s="23"/>
      <c r="D927" s="25"/>
      <c r="E927" s="25"/>
      <c r="M927" s="12"/>
      <c r="N927" s="122"/>
      <c r="O927" s="122"/>
      <c r="P927" s="122"/>
      <c r="Q927" s="122"/>
    </row>
    <row r="928" spans="2:17" ht="14.25" customHeight="1" x14ac:dyDescent="0.3">
      <c r="B928" s="23"/>
      <c r="D928" s="25"/>
      <c r="E928" s="25"/>
      <c r="M928" s="12"/>
      <c r="N928" s="122"/>
      <c r="O928" s="122"/>
      <c r="P928" s="122"/>
      <c r="Q928" s="122"/>
    </row>
    <row r="929" spans="2:17" ht="14.25" customHeight="1" x14ac:dyDescent="0.3">
      <c r="B929" s="23"/>
      <c r="D929" s="25"/>
      <c r="E929" s="25"/>
      <c r="M929" s="12"/>
      <c r="N929" s="122"/>
      <c r="O929" s="122"/>
      <c r="P929" s="122"/>
      <c r="Q929" s="122"/>
    </row>
    <row r="930" spans="2:17" ht="14.25" customHeight="1" x14ac:dyDescent="0.3">
      <c r="B930" s="23"/>
      <c r="D930" s="25"/>
      <c r="E930" s="25"/>
      <c r="M930" s="12"/>
      <c r="N930" s="122"/>
      <c r="O930" s="122"/>
      <c r="P930" s="122"/>
      <c r="Q930" s="122"/>
    </row>
    <row r="931" spans="2:17" ht="14.25" customHeight="1" x14ac:dyDescent="0.3">
      <c r="B931" s="23"/>
      <c r="D931" s="25"/>
      <c r="E931" s="25"/>
      <c r="M931" s="12"/>
      <c r="N931" s="122"/>
      <c r="O931" s="122"/>
      <c r="P931" s="122"/>
      <c r="Q931" s="122"/>
    </row>
    <row r="932" spans="2:17" ht="14.25" customHeight="1" x14ac:dyDescent="0.3">
      <c r="B932" s="23"/>
      <c r="D932" s="25"/>
      <c r="E932" s="25"/>
      <c r="M932" s="12"/>
      <c r="N932" s="122"/>
      <c r="O932" s="122"/>
      <c r="P932" s="122"/>
      <c r="Q932" s="122"/>
    </row>
    <row r="933" spans="2:17" ht="14.25" customHeight="1" x14ac:dyDescent="0.3">
      <c r="B933" s="23"/>
      <c r="D933" s="25"/>
      <c r="E933" s="25"/>
      <c r="M933" s="12"/>
      <c r="N933" s="122"/>
      <c r="O933" s="122"/>
      <c r="P933" s="122"/>
      <c r="Q933" s="122"/>
    </row>
    <row r="934" spans="2:17" ht="14.25" customHeight="1" x14ac:dyDescent="0.3">
      <c r="B934" s="23"/>
      <c r="D934" s="25"/>
      <c r="E934" s="25"/>
      <c r="M934" s="12"/>
      <c r="N934" s="122"/>
      <c r="O934" s="122"/>
      <c r="P934" s="122"/>
      <c r="Q934" s="122"/>
    </row>
    <row r="935" spans="2:17" ht="14.25" customHeight="1" x14ac:dyDescent="0.3">
      <c r="B935" s="23"/>
      <c r="D935" s="25"/>
      <c r="E935" s="25"/>
      <c r="M935" s="12"/>
      <c r="N935" s="122"/>
      <c r="O935" s="122"/>
      <c r="P935" s="122"/>
      <c r="Q935" s="122"/>
    </row>
    <row r="936" spans="2:17" ht="14.25" customHeight="1" x14ac:dyDescent="0.3">
      <c r="B936" s="23"/>
      <c r="D936" s="25"/>
      <c r="E936" s="25"/>
      <c r="M936" s="12"/>
      <c r="N936" s="122"/>
      <c r="O936" s="122"/>
      <c r="P936" s="122"/>
      <c r="Q936" s="122"/>
    </row>
    <row r="937" spans="2:17" ht="14.25" customHeight="1" x14ac:dyDescent="0.3">
      <c r="B937" s="23"/>
      <c r="D937" s="25"/>
      <c r="E937" s="25"/>
      <c r="M937" s="12"/>
      <c r="N937" s="122"/>
      <c r="O937" s="122"/>
      <c r="P937" s="122"/>
      <c r="Q937" s="122"/>
    </row>
    <row r="938" spans="2:17" ht="14.25" customHeight="1" x14ac:dyDescent="0.3">
      <c r="B938" s="23"/>
      <c r="D938" s="25"/>
      <c r="E938" s="25"/>
      <c r="M938" s="12"/>
      <c r="N938" s="122"/>
      <c r="O938" s="122"/>
      <c r="P938" s="122"/>
      <c r="Q938" s="122"/>
    </row>
    <row r="939" spans="2:17" ht="14.25" customHeight="1" x14ac:dyDescent="0.3">
      <c r="B939" s="23"/>
      <c r="D939" s="25"/>
      <c r="E939" s="25"/>
      <c r="M939" s="12"/>
      <c r="N939" s="122"/>
      <c r="O939" s="122"/>
      <c r="P939" s="122"/>
      <c r="Q939" s="122"/>
    </row>
    <row r="940" spans="2:17" ht="14.25" customHeight="1" x14ac:dyDescent="0.3">
      <c r="B940" s="23"/>
      <c r="D940" s="25"/>
      <c r="E940" s="25"/>
      <c r="M940" s="12"/>
      <c r="N940" s="122"/>
      <c r="O940" s="122"/>
      <c r="P940" s="122"/>
      <c r="Q940" s="122"/>
    </row>
    <row r="941" spans="2:17" ht="14.25" customHeight="1" x14ac:dyDescent="0.3">
      <c r="B941" s="23"/>
      <c r="D941" s="25"/>
      <c r="E941" s="25"/>
      <c r="M941" s="12"/>
      <c r="N941" s="122"/>
      <c r="O941" s="122"/>
      <c r="P941" s="122"/>
      <c r="Q941" s="122"/>
    </row>
    <row r="942" spans="2:17" ht="14.25" customHeight="1" x14ac:dyDescent="0.3">
      <c r="B942" s="23"/>
      <c r="D942" s="25"/>
      <c r="E942" s="25"/>
      <c r="M942" s="12"/>
      <c r="N942" s="122"/>
      <c r="O942" s="122"/>
      <c r="P942" s="122"/>
      <c r="Q942" s="122"/>
    </row>
    <row r="943" spans="2:17" ht="14.25" customHeight="1" x14ac:dyDescent="0.3">
      <c r="B943" s="23"/>
      <c r="D943" s="25"/>
      <c r="E943" s="25"/>
      <c r="M943" s="12"/>
      <c r="N943" s="122"/>
      <c r="O943" s="122"/>
      <c r="P943" s="122"/>
      <c r="Q943" s="122"/>
    </row>
    <row r="944" spans="2:17" ht="14.25" customHeight="1" x14ac:dyDescent="0.3">
      <c r="B944" s="23"/>
      <c r="D944" s="25"/>
      <c r="E944" s="25"/>
      <c r="M944" s="12"/>
      <c r="N944" s="122"/>
      <c r="O944" s="122"/>
      <c r="P944" s="122"/>
      <c r="Q944" s="122"/>
    </row>
    <row r="945" spans="2:17" ht="14.25" customHeight="1" x14ac:dyDescent="0.3">
      <c r="B945" s="23"/>
      <c r="D945" s="25"/>
      <c r="E945" s="25"/>
      <c r="M945" s="12"/>
      <c r="N945" s="122"/>
      <c r="O945" s="122"/>
      <c r="P945" s="122"/>
      <c r="Q945" s="122"/>
    </row>
    <row r="946" spans="2:17" ht="14.25" customHeight="1" x14ac:dyDescent="0.3">
      <c r="B946" s="23"/>
      <c r="D946" s="25"/>
      <c r="E946" s="25"/>
      <c r="M946" s="12"/>
      <c r="N946" s="122"/>
      <c r="O946" s="122"/>
      <c r="P946" s="122"/>
      <c r="Q946" s="122"/>
    </row>
    <row r="947" spans="2:17" ht="14.25" customHeight="1" x14ac:dyDescent="0.3">
      <c r="B947" s="23"/>
      <c r="D947" s="25"/>
      <c r="E947" s="25"/>
      <c r="M947" s="12"/>
      <c r="N947" s="122"/>
      <c r="O947" s="122"/>
      <c r="P947" s="122"/>
      <c r="Q947" s="122"/>
    </row>
    <row r="948" spans="2:17" ht="14.25" customHeight="1" x14ac:dyDescent="0.3">
      <c r="B948" s="23"/>
      <c r="D948" s="25"/>
      <c r="E948" s="25"/>
      <c r="M948" s="12"/>
      <c r="N948" s="122"/>
      <c r="O948" s="122"/>
      <c r="P948" s="122"/>
      <c r="Q948" s="122"/>
    </row>
    <row r="949" spans="2:17" ht="14.25" customHeight="1" x14ac:dyDescent="0.3">
      <c r="B949" s="23"/>
      <c r="D949" s="25"/>
      <c r="E949" s="25"/>
      <c r="M949" s="12"/>
      <c r="N949" s="122"/>
      <c r="O949" s="122"/>
      <c r="P949" s="122"/>
      <c r="Q949" s="122"/>
    </row>
    <row r="950" spans="2:17" ht="14.25" customHeight="1" x14ac:dyDescent="0.3">
      <c r="B950" s="23"/>
      <c r="D950" s="25"/>
      <c r="E950" s="25"/>
      <c r="M950" s="12"/>
      <c r="N950" s="122"/>
      <c r="O950" s="122"/>
      <c r="P950" s="122"/>
      <c r="Q950" s="122"/>
    </row>
    <row r="951" spans="2:17" ht="14.25" customHeight="1" x14ac:dyDescent="0.3">
      <c r="B951" s="23"/>
      <c r="D951" s="25"/>
      <c r="E951" s="25"/>
      <c r="M951" s="12"/>
      <c r="N951" s="122"/>
      <c r="O951" s="122"/>
      <c r="P951" s="122"/>
      <c r="Q951" s="122"/>
    </row>
    <row r="952" spans="2:17" ht="14.25" customHeight="1" x14ac:dyDescent="0.3">
      <c r="B952" s="23"/>
      <c r="D952" s="25"/>
      <c r="E952" s="25"/>
      <c r="M952" s="12"/>
      <c r="N952" s="122"/>
      <c r="O952" s="122"/>
      <c r="P952" s="122"/>
      <c r="Q952" s="122"/>
    </row>
    <row r="953" spans="2:17" ht="14.25" customHeight="1" x14ac:dyDescent="0.3">
      <c r="B953" s="23"/>
      <c r="D953" s="25"/>
      <c r="E953" s="25"/>
      <c r="M953" s="12"/>
      <c r="N953" s="122"/>
      <c r="O953" s="122"/>
      <c r="P953" s="122"/>
      <c r="Q953" s="122"/>
    </row>
    <row r="954" spans="2:17" ht="14.25" customHeight="1" x14ac:dyDescent="0.3">
      <c r="B954" s="23"/>
      <c r="D954" s="25"/>
      <c r="E954" s="25"/>
      <c r="M954" s="12"/>
      <c r="N954" s="122"/>
      <c r="O954" s="122"/>
      <c r="P954" s="122"/>
      <c r="Q954" s="122"/>
    </row>
    <row r="955" spans="2:17" ht="14.25" customHeight="1" x14ac:dyDescent="0.3">
      <c r="B955" s="23"/>
      <c r="D955" s="25"/>
      <c r="E955" s="25"/>
      <c r="M955" s="12"/>
      <c r="N955" s="122"/>
      <c r="O955" s="122"/>
      <c r="P955" s="122"/>
      <c r="Q955" s="122"/>
    </row>
    <row r="956" spans="2:17" ht="14.25" customHeight="1" x14ac:dyDescent="0.3">
      <c r="B956" s="23"/>
      <c r="D956" s="25"/>
      <c r="E956" s="25"/>
      <c r="M956" s="12"/>
      <c r="N956" s="122"/>
      <c r="O956" s="122"/>
      <c r="P956" s="122"/>
      <c r="Q956" s="122"/>
    </row>
    <row r="957" spans="2:17" ht="14.25" customHeight="1" x14ac:dyDescent="0.3">
      <c r="B957" s="23"/>
      <c r="D957" s="25"/>
      <c r="E957" s="25"/>
      <c r="M957" s="12"/>
      <c r="N957" s="122"/>
      <c r="O957" s="122"/>
      <c r="P957" s="122"/>
      <c r="Q957" s="122"/>
    </row>
    <row r="958" spans="2:17" ht="14.25" customHeight="1" x14ac:dyDescent="0.3">
      <c r="B958" s="23"/>
      <c r="D958" s="25"/>
      <c r="E958" s="25"/>
      <c r="M958" s="12"/>
      <c r="N958" s="122"/>
      <c r="O958" s="122"/>
      <c r="P958" s="122"/>
      <c r="Q958" s="122"/>
    </row>
    <row r="959" spans="2:17" ht="14.25" customHeight="1" x14ac:dyDescent="0.3">
      <c r="B959" s="23"/>
      <c r="D959" s="25"/>
      <c r="E959" s="25"/>
      <c r="M959" s="12"/>
      <c r="N959" s="122"/>
      <c r="O959" s="122"/>
      <c r="P959" s="122"/>
      <c r="Q959" s="122"/>
    </row>
    <row r="960" spans="2:17" ht="14.25" customHeight="1" x14ac:dyDescent="0.3">
      <c r="B960" s="23"/>
      <c r="D960" s="25"/>
      <c r="E960" s="25"/>
      <c r="M960" s="12"/>
      <c r="N960" s="122"/>
      <c r="O960" s="122"/>
      <c r="P960" s="122"/>
      <c r="Q960" s="122"/>
    </row>
    <row r="961" spans="2:17" ht="14.25" customHeight="1" x14ac:dyDescent="0.3">
      <c r="B961" s="23"/>
      <c r="D961" s="25"/>
      <c r="E961" s="25"/>
      <c r="M961" s="12"/>
      <c r="N961" s="122"/>
      <c r="O961" s="122"/>
      <c r="P961" s="122"/>
      <c r="Q961" s="122"/>
    </row>
    <row r="962" spans="2:17" ht="14.25" customHeight="1" x14ac:dyDescent="0.3">
      <c r="B962" s="23"/>
      <c r="D962" s="25"/>
      <c r="E962" s="25"/>
      <c r="M962" s="12"/>
      <c r="N962" s="122"/>
      <c r="O962" s="122"/>
      <c r="P962" s="122"/>
      <c r="Q962" s="122"/>
    </row>
    <row r="963" spans="2:17" ht="14.25" customHeight="1" x14ac:dyDescent="0.3">
      <c r="B963" s="23"/>
      <c r="D963" s="25"/>
      <c r="E963" s="25"/>
      <c r="M963" s="12"/>
      <c r="N963" s="122"/>
      <c r="O963" s="122"/>
      <c r="P963" s="122"/>
      <c r="Q963" s="122"/>
    </row>
    <row r="964" spans="2:17" ht="14.25" customHeight="1" x14ac:dyDescent="0.3">
      <c r="B964" s="23"/>
      <c r="D964" s="25"/>
      <c r="E964" s="25"/>
      <c r="M964" s="12"/>
      <c r="N964" s="122"/>
      <c r="O964" s="122"/>
      <c r="P964" s="122"/>
      <c r="Q964" s="122"/>
    </row>
    <row r="965" spans="2:17" ht="14.25" customHeight="1" x14ac:dyDescent="0.3">
      <c r="B965" s="23"/>
      <c r="D965" s="25"/>
      <c r="E965" s="25"/>
      <c r="M965" s="12"/>
      <c r="N965" s="122"/>
      <c r="O965" s="122"/>
      <c r="P965" s="122"/>
      <c r="Q965" s="122"/>
    </row>
    <row r="966" spans="2:17" ht="14.25" customHeight="1" x14ac:dyDescent="0.3">
      <c r="B966" s="23"/>
      <c r="D966" s="25"/>
      <c r="E966" s="25"/>
      <c r="M966" s="12"/>
      <c r="N966" s="122"/>
      <c r="O966" s="122"/>
      <c r="P966" s="122"/>
      <c r="Q966" s="122"/>
    </row>
    <row r="967" spans="2:17" ht="14.25" customHeight="1" x14ac:dyDescent="0.3">
      <c r="B967" s="23"/>
      <c r="D967" s="25"/>
      <c r="E967" s="25"/>
      <c r="M967" s="12"/>
      <c r="N967" s="122"/>
      <c r="O967" s="122"/>
      <c r="P967" s="122"/>
      <c r="Q967" s="122"/>
    </row>
    <row r="968" spans="2:17" ht="14.25" customHeight="1" x14ac:dyDescent="0.3">
      <c r="B968" s="23"/>
      <c r="D968" s="25"/>
      <c r="E968" s="25"/>
      <c r="M968" s="12"/>
      <c r="N968" s="122"/>
      <c r="O968" s="122"/>
      <c r="P968" s="122"/>
      <c r="Q968" s="122"/>
    </row>
    <row r="969" spans="2:17" ht="14.25" customHeight="1" x14ac:dyDescent="0.3">
      <c r="B969" s="23"/>
      <c r="D969" s="25"/>
      <c r="E969" s="25"/>
      <c r="M969" s="12"/>
      <c r="N969" s="122"/>
      <c r="O969" s="122"/>
      <c r="P969" s="122"/>
      <c r="Q969" s="122"/>
    </row>
    <row r="970" spans="2:17" ht="14.25" customHeight="1" x14ac:dyDescent="0.3">
      <c r="B970" s="23"/>
      <c r="D970" s="25"/>
      <c r="E970" s="25"/>
      <c r="M970" s="12"/>
      <c r="N970" s="122"/>
      <c r="O970" s="122"/>
      <c r="P970" s="122"/>
      <c r="Q970" s="122"/>
    </row>
    <row r="971" spans="2:17" ht="14.25" customHeight="1" x14ac:dyDescent="0.3">
      <c r="B971" s="23"/>
      <c r="D971" s="25"/>
      <c r="E971" s="25"/>
      <c r="M971" s="12"/>
      <c r="N971" s="122"/>
      <c r="O971" s="122"/>
      <c r="P971" s="122"/>
      <c r="Q971" s="122"/>
    </row>
    <row r="972" spans="2:17" ht="14.25" customHeight="1" x14ac:dyDescent="0.3">
      <c r="B972" s="23"/>
      <c r="D972" s="25"/>
      <c r="E972" s="25"/>
      <c r="M972" s="12"/>
      <c r="N972" s="122"/>
      <c r="O972" s="122"/>
      <c r="P972" s="122"/>
      <c r="Q972" s="122"/>
    </row>
    <row r="973" spans="2:17" ht="14.25" customHeight="1" x14ac:dyDescent="0.3">
      <c r="B973" s="23"/>
      <c r="D973" s="25"/>
      <c r="E973" s="25"/>
      <c r="M973" s="12"/>
      <c r="N973" s="122"/>
      <c r="O973" s="122"/>
      <c r="P973" s="122"/>
      <c r="Q973" s="122"/>
    </row>
    <row r="974" spans="2:17" ht="14.25" customHeight="1" x14ac:dyDescent="0.3">
      <c r="B974" s="23"/>
      <c r="D974" s="25"/>
      <c r="E974" s="25"/>
      <c r="M974" s="12"/>
      <c r="N974" s="122"/>
      <c r="O974" s="122"/>
      <c r="P974" s="122"/>
      <c r="Q974" s="122"/>
    </row>
    <row r="975" spans="2:17" ht="14.25" customHeight="1" x14ac:dyDescent="0.3">
      <c r="B975" s="23"/>
      <c r="D975" s="25"/>
      <c r="E975" s="25"/>
      <c r="M975" s="12"/>
      <c r="N975" s="122"/>
      <c r="O975" s="122"/>
      <c r="P975" s="122"/>
      <c r="Q975" s="122"/>
    </row>
    <row r="976" spans="2:17" ht="14.25" customHeight="1" x14ac:dyDescent="0.3">
      <c r="B976" s="23"/>
      <c r="D976" s="25"/>
      <c r="E976" s="25"/>
      <c r="M976" s="12"/>
      <c r="N976" s="122"/>
      <c r="O976" s="122"/>
      <c r="P976" s="122"/>
      <c r="Q976" s="122"/>
    </row>
    <row r="977" spans="2:17" ht="14.25" customHeight="1" x14ac:dyDescent="0.3">
      <c r="B977" s="23"/>
      <c r="D977" s="25"/>
      <c r="E977" s="25"/>
      <c r="M977" s="12"/>
      <c r="N977" s="122"/>
      <c r="O977" s="122"/>
      <c r="P977" s="122"/>
      <c r="Q977" s="122"/>
    </row>
    <row r="978" spans="2:17" ht="14.25" customHeight="1" x14ac:dyDescent="0.3">
      <c r="B978" s="23"/>
      <c r="D978" s="25"/>
      <c r="E978" s="25"/>
      <c r="M978" s="12"/>
      <c r="N978" s="122"/>
      <c r="O978" s="122"/>
      <c r="P978" s="122"/>
      <c r="Q978" s="122"/>
    </row>
    <row r="979" spans="2:17" ht="14.25" customHeight="1" x14ac:dyDescent="0.3">
      <c r="B979" s="23"/>
      <c r="D979" s="25"/>
      <c r="E979" s="25"/>
      <c r="M979" s="12"/>
      <c r="N979" s="122"/>
      <c r="O979" s="122"/>
      <c r="P979" s="122"/>
      <c r="Q979" s="122"/>
    </row>
    <row r="980" spans="2:17" ht="14.25" customHeight="1" x14ac:dyDescent="0.3">
      <c r="B980" s="23"/>
      <c r="D980" s="25"/>
      <c r="E980" s="25"/>
      <c r="M980" s="12"/>
      <c r="N980" s="122"/>
      <c r="O980" s="122"/>
      <c r="P980" s="122"/>
      <c r="Q980" s="122"/>
    </row>
    <row r="981" spans="2:17" ht="14.25" customHeight="1" x14ac:dyDescent="0.3">
      <c r="B981" s="23"/>
      <c r="D981" s="25"/>
      <c r="E981" s="25"/>
      <c r="M981" s="12"/>
      <c r="N981" s="122"/>
      <c r="O981" s="122"/>
      <c r="P981" s="122"/>
      <c r="Q981" s="122"/>
    </row>
    <row r="982" spans="2:17" ht="14.25" customHeight="1" x14ac:dyDescent="0.3">
      <c r="B982" s="23"/>
      <c r="D982" s="25"/>
      <c r="E982" s="25"/>
      <c r="M982" s="12"/>
      <c r="N982" s="122"/>
      <c r="O982" s="122"/>
      <c r="P982" s="122"/>
      <c r="Q982" s="122"/>
    </row>
    <row r="983" spans="2:17" ht="14.25" customHeight="1" x14ac:dyDescent="0.3">
      <c r="B983" s="23"/>
      <c r="D983" s="25"/>
      <c r="E983" s="25"/>
      <c r="M983" s="12"/>
      <c r="N983" s="122"/>
      <c r="O983" s="122"/>
      <c r="P983" s="122"/>
      <c r="Q983" s="122"/>
    </row>
    <row r="984" spans="2:17" ht="14.25" customHeight="1" x14ac:dyDescent="0.3">
      <c r="B984" s="23"/>
      <c r="D984" s="25"/>
      <c r="E984" s="25"/>
      <c r="M984" s="12"/>
      <c r="N984" s="122"/>
      <c r="O984" s="122"/>
      <c r="P984" s="122"/>
      <c r="Q984" s="122"/>
    </row>
    <row r="985" spans="2:17" ht="14.25" customHeight="1" x14ac:dyDescent="0.3">
      <c r="B985" s="23"/>
      <c r="D985" s="25"/>
      <c r="E985" s="25"/>
      <c r="M985" s="12"/>
      <c r="N985" s="122"/>
      <c r="O985" s="122"/>
      <c r="P985" s="122"/>
      <c r="Q985" s="122"/>
    </row>
    <row r="986" spans="2:17" ht="14.25" customHeight="1" x14ac:dyDescent="0.3">
      <c r="B986" s="23"/>
      <c r="D986" s="25"/>
      <c r="E986" s="25"/>
      <c r="M986" s="12"/>
      <c r="N986" s="122"/>
      <c r="O986" s="122"/>
      <c r="P986" s="122"/>
      <c r="Q986" s="122"/>
    </row>
    <row r="987" spans="2:17" ht="14.25" customHeight="1" x14ac:dyDescent="0.3">
      <c r="B987" s="23"/>
      <c r="D987" s="25"/>
      <c r="E987" s="25"/>
      <c r="M987" s="12"/>
      <c r="N987" s="122"/>
      <c r="O987" s="122"/>
      <c r="P987" s="122"/>
      <c r="Q987" s="122"/>
    </row>
    <row r="988" spans="2:17" ht="14.25" customHeight="1" x14ac:dyDescent="0.3">
      <c r="B988" s="23"/>
      <c r="D988" s="25"/>
      <c r="E988" s="25"/>
      <c r="M988" s="12"/>
      <c r="N988" s="122"/>
      <c r="O988" s="122"/>
      <c r="P988" s="122"/>
      <c r="Q988" s="122"/>
    </row>
    <row r="989" spans="2:17" ht="14.25" customHeight="1" x14ac:dyDescent="0.3">
      <c r="B989" s="23"/>
      <c r="D989" s="25"/>
      <c r="E989" s="25"/>
      <c r="M989" s="12"/>
      <c r="N989" s="122"/>
      <c r="O989" s="122"/>
      <c r="P989" s="122"/>
      <c r="Q989" s="122"/>
    </row>
    <row r="990" spans="2:17" ht="14.25" customHeight="1" x14ac:dyDescent="0.3">
      <c r="B990" s="23"/>
      <c r="D990" s="25"/>
      <c r="E990" s="25"/>
      <c r="M990" s="12"/>
      <c r="N990" s="122"/>
      <c r="O990" s="122"/>
      <c r="P990" s="122"/>
      <c r="Q990" s="122"/>
    </row>
    <row r="991" spans="2:17" ht="14.25" customHeight="1" x14ac:dyDescent="0.3">
      <c r="B991" s="23"/>
      <c r="D991" s="25"/>
      <c r="E991" s="25"/>
      <c r="M991" s="12"/>
      <c r="N991" s="122"/>
      <c r="O991" s="122"/>
      <c r="P991" s="122"/>
      <c r="Q991" s="122"/>
    </row>
    <row r="992" spans="2:17" ht="14.25" customHeight="1" x14ac:dyDescent="0.3">
      <c r="B992" s="23"/>
      <c r="D992" s="25"/>
      <c r="E992" s="25"/>
      <c r="M992" s="12"/>
      <c r="N992" s="122"/>
      <c r="O992" s="122"/>
      <c r="P992" s="122"/>
      <c r="Q992" s="122"/>
    </row>
    <row r="993" spans="2:17" ht="14.25" customHeight="1" x14ac:dyDescent="0.3">
      <c r="B993" s="23"/>
      <c r="D993" s="25"/>
      <c r="E993" s="25"/>
      <c r="M993" s="12"/>
      <c r="N993" s="122"/>
      <c r="O993" s="122"/>
      <c r="P993" s="122"/>
      <c r="Q993" s="122"/>
    </row>
    <row r="994" spans="2:17" ht="14.25" customHeight="1" x14ac:dyDescent="0.3">
      <c r="B994" s="23"/>
      <c r="D994" s="25"/>
      <c r="E994" s="25"/>
      <c r="M994" s="12"/>
      <c r="N994" s="122"/>
      <c r="O994" s="122"/>
      <c r="P994" s="122"/>
      <c r="Q994" s="122"/>
    </row>
    <row r="995" spans="2:17" ht="14.25" customHeight="1" x14ac:dyDescent="0.3">
      <c r="B995" s="23"/>
      <c r="D995" s="25"/>
      <c r="E995" s="25"/>
      <c r="M995" s="12"/>
      <c r="N995" s="122"/>
      <c r="O995" s="122"/>
      <c r="P995" s="122"/>
      <c r="Q995" s="122"/>
    </row>
    <row r="996" spans="2:17" ht="14.25" customHeight="1" x14ac:dyDescent="0.3">
      <c r="B996" s="23"/>
      <c r="D996" s="25"/>
      <c r="E996" s="25"/>
      <c r="M996" s="12"/>
      <c r="N996" s="122"/>
      <c r="O996" s="122"/>
      <c r="P996" s="122"/>
      <c r="Q996" s="122"/>
    </row>
    <row r="997" spans="2:17" ht="14.25" customHeight="1" x14ac:dyDescent="0.3">
      <c r="B997" s="23"/>
      <c r="D997" s="25"/>
      <c r="E997" s="25"/>
      <c r="M997" s="12"/>
      <c r="N997" s="122"/>
      <c r="O997" s="122"/>
      <c r="P997" s="122"/>
      <c r="Q997" s="122"/>
    </row>
    <row r="998" spans="2:17" ht="14.25" customHeight="1" x14ac:dyDescent="0.3">
      <c r="B998" s="23"/>
      <c r="D998" s="25"/>
      <c r="E998" s="25"/>
      <c r="M998" s="12"/>
      <c r="N998" s="122"/>
      <c r="O998" s="122"/>
      <c r="P998" s="122"/>
      <c r="Q998" s="122"/>
    </row>
    <row r="999" spans="2:17" ht="14.25" customHeight="1" x14ac:dyDescent="0.3">
      <c r="B999" s="23"/>
      <c r="D999" s="25"/>
      <c r="E999" s="25"/>
      <c r="M999" s="12"/>
      <c r="N999" s="122"/>
      <c r="O999" s="122"/>
      <c r="P999" s="122"/>
      <c r="Q999" s="122"/>
    </row>
    <row r="1000" spans="2:17" ht="14.25" customHeight="1" x14ac:dyDescent="0.3">
      <c r="B1000" s="23"/>
      <c r="D1000" s="25"/>
      <c r="E1000" s="25"/>
      <c r="M1000" s="12"/>
      <c r="N1000" s="122"/>
      <c r="O1000" s="122"/>
      <c r="P1000" s="122"/>
      <c r="Q1000" s="122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workbookViewId="0">
      <pane ySplit="10" topLeftCell="A11" activePane="bottomLeft" state="frozen"/>
      <selection pane="bottomLeft" activeCell="B12" sqref="B1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60" t="s">
        <v>563</v>
      </c>
      <c r="B1" s="361">
        <f>SUM(D1:D3)</f>
        <v>284749.59999999998</v>
      </c>
      <c r="C1" s="362" t="s">
        <v>564</v>
      </c>
      <c r="D1" s="363">
        <v>162500</v>
      </c>
      <c r="E1" s="364" t="s">
        <v>565</v>
      </c>
      <c r="F1" s="365" t="s">
        <v>566</v>
      </c>
      <c r="G1" s="365" t="s">
        <v>567</v>
      </c>
      <c r="H1" s="365" t="s">
        <v>568</v>
      </c>
      <c r="I1" s="361" t="s">
        <v>569</v>
      </c>
      <c r="J1" s="364" t="s">
        <v>570</v>
      </c>
      <c r="K1" s="365" t="s">
        <v>571</v>
      </c>
      <c r="L1" s="361" t="s">
        <v>254</v>
      </c>
      <c r="M1" s="555" t="s">
        <v>572</v>
      </c>
      <c r="N1" s="542"/>
      <c r="Q1" s="25"/>
      <c r="R1" s="25"/>
      <c r="S1" s="25"/>
    </row>
    <row r="2" spans="1:19" ht="14.4" x14ac:dyDescent="0.3">
      <c r="A2" s="366" t="s">
        <v>573</v>
      </c>
      <c r="B2" s="367">
        <v>0.43</v>
      </c>
      <c r="C2" s="368" t="s">
        <v>574</v>
      </c>
      <c r="D2" s="369">
        <v>104249.60000000001</v>
      </c>
      <c r="E2" s="370" t="s">
        <v>575</v>
      </c>
      <c r="F2" s="371">
        <v>2420</v>
      </c>
      <c r="G2" s="371">
        <v>3519</v>
      </c>
      <c r="H2" s="371">
        <v>4397</v>
      </c>
      <c r="I2" s="369">
        <v>3120</v>
      </c>
      <c r="J2" s="372" t="s">
        <v>576</v>
      </c>
      <c r="K2" s="373">
        <f>'Combined Retirement'!B22</f>
        <v>34444.46742778919</v>
      </c>
      <c r="L2" s="374">
        <f>'Combined Retirement'!B24</f>
        <v>2870.372285649099</v>
      </c>
      <c r="M2" s="370" t="s">
        <v>577</v>
      </c>
      <c r="N2" s="375">
        <f>'Combined Retirement'!N1</f>
        <v>0.2043592007550798</v>
      </c>
      <c r="Q2" s="25"/>
      <c r="R2" s="25"/>
      <c r="S2" s="25"/>
    </row>
    <row r="3" spans="1:19" ht="14.4" x14ac:dyDescent="0.3">
      <c r="A3" s="376" t="s">
        <v>578</v>
      </c>
      <c r="B3" s="377">
        <f>B1*(1+B2)</f>
        <v>407191.92799999996</v>
      </c>
      <c r="C3" s="378" t="s">
        <v>579</v>
      </c>
      <c r="D3" s="379">
        <v>18000</v>
      </c>
      <c r="E3" s="380" t="s">
        <v>580</v>
      </c>
      <c r="F3" s="381">
        <v>2192</v>
      </c>
      <c r="G3" s="381">
        <v>3197</v>
      </c>
      <c r="H3" s="381">
        <v>4019</v>
      </c>
      <c r="I3" s="379">
        <v>2765</v>
      </c>
      <c r="J3" s="382" t="s">
        <v>581</v>
      </c>
      <c r="K3" s="383">
        <f>'Combined Retirement'!C22</f>
        <v>42305.438109374998</v>
      </c>
      <c r="L3" s="377">
        <f>'Combined Retirement'!C24</f>
        <v>3525.4531757812501</v>
      </c>
      <c r="M3" s="380" t="s">
        <v>582</v>
      </c>
      <c r="N3" s="384">
        <f>'Combined Retirement'!R1</f>
        <v>83213.416959999988</v>
      </c>
      <c r="Q3" s="25"/>
      <c r="R3" s="25"/>
      <c r="S3" s="25"/>
    </row>
    <row r="4" spans="1:19" ht="14.4" x14ac:dyDescent="0.3">
      <c r="A4" s="385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60"/>
      <c r="B5" s="386" t="s">
        <v>583</v>
      </c>
      <c r="C5" s="386" t="s">
        <v>584</v>
      </c>
      <c r="D5" s="386" t="s">
        <v>585</v>
      </c>
      <c r="E5" s="361" t="s">
        <v>586</v>
      </c>
      <c r="F5" s="387" t="s">
        <v>587</v>
      </c>
      <c r="G5" s="388" t="s">
        <v>588</v>
      </c>
      <c r="H5" s="23"/>
      <c r="I5" s="23"/>
      <c r="J5" s="23"/>
      <c r="K5" s="23"/>
      <c r="L5" s="23"/>
      <c r="M5" s="389" t="s">
        <v>589</v>
      </c>
      <c r="N5" s="365">
        <f>N11</f>
        <v>33932.660666666663</v>
      </c>
      <c r="O5" s="390">
        <f t="shared" ref="O5:O7" si="0">N5*12</f>
        <v>407191.92799999996</v>
      </c>
      <c r="P5" s="25"/>
      <c r="Q5" s="25"/>
      <c r="R5" s="25"/>
      <c r="S5" s="25"/>
    </row>
    <row r="6" spans="1:19" ht="14.4" x14ac:dyDescent="0.3">
      <c r="A6" s="366" t="s">
        <v>590</v>
      </c>
      <c r="B6" s="391">
        <v>58.5</v>
      </c>
      <c r="C6" s="392">
        <f t="array" ref="C6">INDEX(B11:B1171,MATCH(MIN(ABS(B11:B1171-B6)),ABS(B11:B1171-B6),0))</f>
        <v>58.540725530458587</v>
      </c>
      <c r="D6" s="393">
        <f t="array" ref="D6">INDEX(A11:A1171,MATCH(C6,B11:B1171,0),0)</f>
        <v>51288</v>
      </c>
      <c r="E6" s="394">
        <f ca="1">'Isaac 401k'!B4</f>
        <v>0</v>
      </c>
      <c r="F6" s="395" t="e">
        <f ca="1">'Isaac 401k'!D4</f>
        <v>#N/A</v>
      </c>
      <c r="G6" s="396" t="e">
        <f ca="1">(F6-B9)/365.25</f>
        <v>#N/A</v>
      </c>
      <c r="H6" s="23"/>
      <c r="I6" s="23"/>
      <c r="J6" s="555" t="s">
        <v>591</v>
      </c>
      <c r="K6" s="542"/>
      <c r="L6" s="23"/>
      <c r="M6" s="397" t="s">
        <v>592</v>
      </c>
      <c r="N6" s="373">
        <f>N3/12</f>
        <v>6934.4514133333323</v>
      </c>
      <c r="O6" s="398">
        <f t="shared" si="0"/>
        <v>83213.416959999988</v>
      </c>
      <c r="P6" s="25"/>
      <c r="Q6" s="25"/>
      <c r="R6" s="25"/>
      <c r="S6" s="25"/>
    </row>
    <row r="7" spans="1:19" ht="14.4" x14ac:dyDescent="0.3">
      <c r="A7" s="376" t="s">
        <v>593</v>
      </c>
      <c r="B7" s="399">
        <v>53.9</v>
      </c>
      <c r="C7" s="400">
        <f t="array" ref="C7">INDEX(C11:C1171,MATCH(MIN(ABS(C11:C1171-B7)),ABS(C11:C1171-B7),0))</f>
        <v>53.930184804928132</v>
      </c>
      <c r="D7" s="401">
        <f t="array" ref="D7">INDEX(A11:A1171,MATCH(C7,C11:C1171,0),0)</f>
        <v>51288</v>
      </c>
      <c r="E7" s="402">
        <f ca="1">'Lorri 401b'!B4</f>
        <v>0</v>
      </c>
      <c r="F7" s="403" t="e">
        <f ca="1">'Lorri 401b'!D4</f>
        <v>#N/A</v>
      </c>
      <c r="G7" s="404" t="e">
        <f ca="1">(F7-C9)/365.25</f>
        <v>#N/A</v>
      </c>
      <c r="H7" s="23"/>
      <c r="I7" s="23"/>
      <c r="J7" s="405">
        <v>0.27938000000000002</v>
      </c>
      <c r="K7" s="406">
        <f>1-J7</f>
        <v>0.72062000000000004</v>
      </c>
      <c r="L7" s="23"/>
      <c r="M7" s="407" t="s">
        <v>594</v>
      </c>
      <c r="N7" s="383">
        <f>N5-N6</f>
        <v>26998.209253333331</v>
      </c>
      <c r="O7" s="408">
        <f t="shared" si="0"/>
        <v>323978.51103999995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5139065.3903594818</v>
      </c>
      <c r="K9" s="25">
        <f t="shared" si="1"/>
        <v>8807967.2271666955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595</v>
      </c>
      <c r="C10" s="11" t="s">
        <v>596</v>
      </c>
      <c r="E10" s="25" t="s">
        <v>564</v>
      </c>
      <c r="F10" s="25" t="s">
        <v>576</v>
      </c>
      <c r="G10" s="25" t="s">
        <v>581</v>
      </c>
      <c r="H10" s="25" t="s">
        <v>597</v>
      </c>
      <c r="I10" s="25" t="s">
        <v>598</v>
      </c>
      <c r="J10" s="25" t="s">
        <v>599</v>
      </c>
      <c r="K10" s="25" t="s">
        <v>600</v>
      </c>
      <c r="L10" s="25"/>
      <c r="N10" s="25" t="s">
        <v>601</v>
      </c>
      <c r="O10" s="25" t="s">
        <v>602</v>
      </c>
      <c r="P10" s="25" t="s">
        <v>603</v>
      </c>
      <c r="Q10" s="25" t="s">
        <v>604</v>
      </c>
      <c r="R10" s="25" t="s">
        <v>605</v>
      </c>
      <c r="S10" s="25" t="s">
        <v>606</v>
      </c>
    </row>
    <row r="11" spans="1:19" ht="14.4" x14ac:dyDescent="0.3">
      <c r="A11" s="37">
        <v>51288</v>
      </c>
      <c r="B11" s="409">
        <f t="shared" ref="B11:C11" si="2">($A11-B$9)/365.25</f>
        <v>58.540725530458587</v>
      </c>
      <c r="C11" s="409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3525.4531757812501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25967.835205236315</v>
      </c>
      <c r="K11" s="25">
        <f t="shared" ref="K11:K265" si="4">IF(C11&lt;59.5,0,IF(C11&lt;$B$7,0,P11*$K$7))</f>
        <v>0</v>
      </c>
      <c r="L11" s="25"/>
      <c r="N11" s="25">
        <f>'Combined Retirement'!$C$18/12</f>
        <v>33932.660666666663</v>
      </c>
      <c r="O11" s="25">
        <f t="shared" ref="O11:O265" si="5">SUM(E11:I11)</f>
        <v>7964.8254614303487</v>
      </c>
      <c r="P11" s="25">
        <f t="shared" ref="P11:P265" si="6">N11-O11</f>
        <v>25967.835205236315</v>
      </c>
      <c r="Q11" s="25">
        <f t="array" aca="1" ref="Q11" ca="1">INDEX('Isaac 401k'!L:L,MATCH('Retirement Calculator'!A11,'Isaac 401k'!N:N,0),0)</f>
        <v>3067285.715506338</v>
      </c>
      <c r="R11" s="25">
        <f t="array" aca="1" ref="R11" ca="1">INDEX('Lorri 401b'!L:L,MATCH('Retirement Calculator'!A11,'Lorri 401b'!N:N,0),0)</f>
        <v>3282337.2565779751</v>
      </c>
      <c r="S11" s="25">
        <f t="shared" ref="S11:S265" ca="1" si="7">SUM(Q11:R11)</f>
        <v>6349622.9720843136</v>
      </c>
    </row>
    <row r="12" spans="1:19" ht="14.4" x14ac:dyDescent="0.3">
      <c r="A12" s="37">
        <v>51318</v>
      </c>
      <c r="B12" s="409">
        <f t="shared" ref="B12:C12" si="8">($A12-B$9)/365.25</f>
        <v>58.622861054072551</v>
      </c>
      <c r="C12" s="409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3525.4531757812501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25967.835205236315</v>
      </c>
      <c r="K12" s="25">
        <f t="shared" si="4"/>
        <v>0</v>
      </c>
      <c r="L12" s="25"/>
      <c r="N12" s="25">
        <f>'Combined Retirement'!$C$18/12</f>
        <v>33932.660666666663</v>
      </c>
      <c r="O12" s="25">
        <f t="shared" si="5"/>
        <v>7964.8254614303487</v>
      </c>
      <c r="P12" s="25">
        <f t="shared" si="6"/>
        <v>25967.835205236315</v>
      </c>
      <c r="Q12" s="25">
        <f t="array" aca="1" ref="Q12" ca="1">INDEX('Isaac 401k'!L:L,MATCH('Retirement Calculator'!A12,'Isaac 401k'!N:N,0),0)</f>
        <v>3053990.0381356897</v>
      </c>
      <c r="R12" s="25">
        <f t="array" aca="1" ref="R12" ca="1">INDEX('Lorri 401b'!L:L,MATCH('Retirement Calculator'!A12,'Lorri 401b'!N:N,0),0)</f>
        <v>3296013.6618137169</v>
      </c>
      <c r="S12" s="25">
        <f t="shared" ca="1" si="7"/>
        <v>6350003.6999494061</v>
      </c>
    </row>
    <row r="13" spans="1:19" ht="14.4" x14ac:dyDescent="0.3">
      <c r="A13" s="37">
        <v>51349</v>
      </c>
      <c r="B13" s="409">
        <f t="shared" ref="B13:C13" si="9">($A13-B$9)/365.25</f>
        <v>58.70773442847365</v>
      </c>
      <c r="C13" s="409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3525.4531757812501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25967.835205236315</v>
      </c>
      <c r="K13" s="25">
        <f t="shared" si="4"/>
        <v>0</v>
      </c>
      <c r="L13" s="25"/>
      <c r="N13" s="25">
        <f>'Combined Retirement'!$C$18/12</f>
        <v>33932.660666666663</v>
      </c>
      <c r="O13" s="25">
        <f t="shared" si="5"/>
        <v>7964.8254614303487</v>
      </c>
      <c r="P13" s="25">
        <f t="shared" si="6"/>
        <v>25967.835205236315</v>
      </c>
      <c r="Q13" s="25">
        <f t="array" aca="1" ref="Q13" ca="1">INDEX('Isaac 401k'!L:L,MATCH('Retirement Calculator'!A13,'Isaac 401k'!N:N,0),0)</f>
        <v>3040638.9621093301</v>
      </c>
      <c r="R13" s="25">
        <f t="array" aca="1" ref="R13" ca="1">INDEX('Lorri 401b'!L:L,MATCH('Retirement Calculator'!A13,'Lorri 401b'!N:N,0),0)</f>
        <v>3309747.0520712738</v>
      </c>
      <c r="S13" s="25">
        <f t="shared" ca="1" si="7"/>
        <v>6350386.0141806044</v>
      </c>
    </row>
    <row r="14" spans="1:19" ht="14.4" x14ac:dyDescent="0.3">
      <c r="A14" s="37">
        <v>51380</v>
      </c>
      <c r="B14" s="409">
        <f t="shared" ref="B14:C14" si="10">($A14-B$9)/365.25</f>
        <v>58.792607802874741</v>
      </c>
      <c r="C14" s="409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3525.4531757812501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25967.835205236315</v>
      </c>
      <c r="K14" s="25">
        <f t="shared" si="4"/>
        <v>0</v>
      </c>
      <c r="L14" s="25"/>
      <c r="N14" s="25">
        <f>'Combined Retirement'!$C$18/12</f>
        <v>33932.660666666663</v>
      </c>
      <c r="O14" s="25">
        <f t="shared" si="5"/>
        <v>7964.8254614303487</v>
      </c>
      <c r="P14" s="25">
        <f t="shared" si="6"/>
        <v>25967.835205236315</v>
      </c>
      <c r="Q14" s="25">
        <f t="array" aca="1" ref="Q14" ca="1">INDEX('Isaac 401k'!L:L,MATCH('Retirement Calculator'!A14,'Isaac 401k'!N:N,0),0)</f>
        <v>3027232.2565995273</v>
      </c>
      <c r="R14" s="25">
        <f t="array" aca="1" ref="R14" ca="1">INDEX('Lorri 401b'!L:L,MATCH('Retirement Calculator'!A14,'Lorri 401b'!N:N,0),0)</f>
        <v>3323537.6647882373</v>
      </c>
      <c r="S14" s="25">
        <f t="shared" ca="1" si="7"/>
        <v>6350769.9213877646</v>
      </c>
    </row>
    <row r="15" spans="1:19" ht="14.4" x14ac:dyDescent="0.3">
      <c r="A15" s="37">
        <v>51410</v>
      </c>
      <c r="B15" s="409">
        <f t="shared" ref="B15:C15" si="11">($A15-B$9)/365.25</f>
        <v>58.874743326488705</v>
      </c>
      <c r="C15" s="409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3525.4531757812501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25967.835205236315</v>
      </c>
      <c r="K15" s="25">
        <f t="shared" si="4"/>
        <v>0</v>
      </c>
      <c r="L15" s="25"/>
      <c r="N15" s="25">
        <f>'Combined Retirement'!$C$18/12</f>
        <v>33932.660666666663</v>
      </c>
      <c r="O15" s="25">
        <f t="shared" si="5"/>
        <v>7964.8254614303487</v>
      </c>
      <c r="P15" s="25">
        <f t="shared" si="6"/>
        <v>25967.835205236315</v>
      </c>
      <c r="Q15" s="25">
        <f t="array" aca="1" ref="Q15" ca="1">INDEX('Isaac 401k'!L:L,MATCH('Retirement Calculator'!A15,'Isaac 401k'!N:N,0),0)</f>
        <v>3013769.6898167669</v>
      </c>
      <c r="R15" s="25">
        <f t="array" aca="1" ref="R15" ca="1">INDEX('Lorri 401b'!L:L,MATCH('Retirement Calculator'!A15,'Lorri 401b'!N:N,0),0)</f>
        <v>3337385.7383915219</v>
      </c>
      <c r="S15" s="25">
        <f t="shared" ca="1" si="7"/>
        <v>6351155.4282082887</v>
      </c>
    </row>
    <row r="16" spans="1:19" ht="14.4" x14ac:dyDescent="0.3">
      <c r="A16" s="37">
        <v>51441</v>
      </c>
      <c r="B16" s="409">
        <f t="shared" ref="B16:C16" si="12">($A16-B$9)/365.25</f>
        <v>58.959616700889804</v>
      </c>
      <c r="C16" s="409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3525.4531757812501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25967.835205236315</v>
      </c>
      <c r="K16" s="25">
        <f t="shared" si="4"/>
        <v>0</v>
      </c>
      <c r="L16" s="25"/>
      <c r="N16" s="25">
        <f>'Combined Retirement'!$C$18/12</f>
        <v>33932.660666666663</v>
      </c>
      <c r="O16" s="25">
        <f t="shared" si="5"/>
        <v>7964.8254614303487</v>
      </c>
      <c r="P16" s="25">
        <f t="shared" si="6"/>
        <v>25967.835205236315</v>
      </c>
      <c r="Q16" s="25">
        <f t="array" aca="1" ref="Q16" ca="1">INDEX('Isaac 401k'!L:L,MATCH('Retirement Calculator'!A16,'Isaac 401k'!N:N,0),0)</f>
        <v>3000251.029005745</v>
      </c>
      <c r="R16" s="25">
        <f t="array" aca="1" ref="R16" ca="1">INDEX('Lorri 401b'!L:L,MATCH('Retirement Calculator'!A16,'Lorri 401b'!N:N,0),0)</f>
        <v>3351291.5123014865</v>
      </c>
      <c r="S16" s="25">
        <f t="shared" ca="1" si="7"/>
        <v>6351542.5413072314</v>
      </c>
    </row>
    <row r="17" spans="1:19" ht="14.4" x14ac:dyDescent="0.3">
      <c r="A17" s="37">
        <v>51471</v>
      </c>
      <c r="B17" s="409">
        <f t="shared" ref="B17:C17" si="13">($A17-B$9)/365.25</f>
        <v>59.041752224503767</v>
      </c>
      <c r="C17" s="409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3525.4531757812501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25967.835205236315</v>
      </c>
      <c r="K17" s="25">
        <f t="shared" si="4"/>
        <v>0</v>
      </c>
      <c r="L17" s="25"/>
      <c r="N17" s="25">
        <f>'Combined Retirement'!$C$18/12</f>
        <v>33932.660666666663</v>
      </c>
      <c r="O17" s="25">
        <f t="shared" si="5"/>
        <v>7964.8254614303487</v>
      </c>
      <c r="P17" s="25">
        <f t="shared" si="6"/>
        <v>25967.835205236315</v>
      </c>
      <c r="Q17" s="25">
        <f t="array" aca="1" ref="Q17" ca="1">INDEX('Isaac 401k'!L:L,MATCH('Retirement Calculator'!A17,'Isaac 401k'!N:N,0),0)</f>
        <v>2986676.040441344</v>
      </c>
      <c r="R17" s="25">
        <f t="array" aca="1" ref="R17" ca="1">INDEX('Lorri 401b'!L:L,MATCH('Retirement Calculator'!A17,'Lorri 401b'!N:N,0),0)</f>
        <v>3365255.2269360758</v>
      </c>
      <c r="S17" s="25">
        <f t="shared" ca="1" si="7"/>
        <v>6351931.2673774194</v>
      </c>
    </row>
    <row r="18" spans="1:19" ht="14.4" x14ac:dyDescent="0.3">
      <c r="A18" s="37">
        <v>51502</v>
      </c>
      <c r="B18" s="409">
        <f t="shared" ref="B18:C18" si="14">($A18-B$9)/365.25</f>
        <v>59.126625598904859</v>
      </c>
      <c r="C18" s="409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3525.4531757812501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25967.835205236315</v>
      </c>
      <c r="K18" s="25">
        <f t="shared" si="4"/>
        <v>0</v>
      </c>
      <c r="L18" s="25"/>
      <c r="N18" s="25">
        <f>'Combined Retirement'!$C$18/12</f>
        <v>33932.660666666663</v>
      </c>
      <c r="O18" s="25">
        <f t="shared" si="5"/>
        <v>7964.8254614303487</v>
      </c>
      <c r="P18" s="25">
        <f t="shared" si="6"/>
        <v>25967.835205236315</v>
      </c>
      <c r="Q18" s="25">
        <f t="array" aca="1" ref="Q18" ca="1">INDEX('Isaac 401k'!L:L,MATCH('Retirement Calculator'!A18,'Isaac 401k'!N:N,0),0)</f>
        <v>2973044.4894245914</v>
      </c>
      <c r="R18" s="25">
        <f t="array" aca="1" ref="R18" ca="1">INDEX('Lorri 401b'!L:L,MATCH('Retirement Calculator'!A18,'Lorri 401b'!N:N,0),0)</f>
        <v>3379277.123714976</v>
      </c>
      <c r="S18" s="25">
        <f t="shared" ca="1" si="7"/>
        <v>6352321.6131395679</v>
      </c>
    </row>
    <row r="19" spans="1:19" ht="14.4" x14ac:dyDescent="0.3">
      <c r="A19" s="37">
        <v>51533</v>
      </c>
      <c r="B19" s="409">
        <f t="shared" ref="B19:C19" si="15">($A19-B$9)/365.25</f>
        <v>59.211498973305957</v>
      </c>
      <c r="C19" s="409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3525.4531757812501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25967.835205236315</v>
      </c>
      <c r="K19" s="25">
        <f t="shared" si="4"/>
        <v>0</v>
      </c>
      <c r="L19" s="25"/>
      <c r="N19" s="25">
        <f>'Combined Retirement'!$C$18/12</f>
        <v>33932.660666666663</v>
      </c>
      <c r="O19" s="25">
        <f t="shared" si="5"/>
        <v>7964.8254614303487</v>
      </c>
      <c r="P19" s="25">
        <f t="shared" si="6"/>
        <v>25967.835205236315</v>
      </c>
      <c r="Q19" s="25">
        <f t="array" aca="1" ref="Q19" ca="1">INDEX('Isaac 401k'!L:L,MATCH('Retirement Calculator'!A19,'Isaac 401k'!N:N,0),0)</f>
        <v>2959356.1402786025</v>
      </c>
      <c r="R19" s="25">
        <f t="array" aca="1" ref="R19" ca="1">INDEX('Lorri 401b'!L:L,MATCH('Retirement Calculator'!A19,'Lorri 401b'!N:N,0),0)</f>
        <v>3393357.4450637884</v>
      </c>
      <c r="S19" s="25">
        <f t="shared" ca="1" si="7"/>
        <v>6352713.5853423905</v>
      </c>
    </row>
    <row r="20" spans="1:19" ht="14.4" x14ac:dyDescent="0.3">
      <c r="A20" s="37">
        <v>51561</v>
      </c>
      <c r="B20" s="409">
        <f t="shared" ref="B20:C20" si="16">($A20-B$9)/365.25</f>
        <v>59.288158795345652</v>
      </c>
      <c r="C20" s="409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3525.4531757812501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25967.835205236315</v>
      </c>
      <c r="K20" s="25">
        <f t="shared" si="4"/>
        <v>0</v>
      </c>
      <c r="L20" s="25"/>
      <c r="N20" s="25">
        <f>'Combined Retirement'!$C$18/12</f>
        <v>33932.660666666663</v>
      </c>
      <c r="O20" s="25">
        <f t="shared" si="5"/>
        <v>7964.8254614303487</v>
      </c>
      <c r="P20" s="25">
        <f t="shared" si="6"/>
        <v>25967.835205236315</v>
      </c>
      <c r="Q20" s="25">
        <f t="array" aca="1" ref="Q20" ca="1">INDEX('Isaac 401k'!L:L,MATCH('Retirement Calculator'!A20,'Isaac 401k'!N:N,0),0)</f>
        <v>2945610.7563445051</v>
      </c>
      <c r="R20" s="25">
        <f t="array" aca="1" ref="R20" ca="1">INDEX('Lorri 401b'!L:L,MATCH('Retirement Calculator'!A20,'Lorri 401b'!N:N,0),0)</f>
        <v>3407496.434418221</v>
      </c>
      <c r="S20" s="25">
        <f t="shared" ca="1" si="7"/>
        <v>6353107.1907627266</v>
      </c>
    </row>
    <row r="21" spans="1:19" ht="15.75" customHeight="1" x14ac:dyDescent="0.3">
      <c r="A21" s="37">
        <v>51592</v>
      </c>
      <c r="B21" s="409">
        <f t="shared" ref="B21:C21" si="17">($A21-B$9)/365.25</f>
        <v>59.37303216974675</v>
      </c>
      <c r="C21" s="409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3525.4531757812501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25967.835205236315</v>
      </c>
      <c r="K21" s="25">
        <f t="shared" si="4"/>
        <v>0</v>
      </c>
      <c r="L21" s="25"/>
      <c r="N21" s="25">
        <f>'Combined Retirement'!$C$18/12</f>
        <v>33932.660666666663</v>
      </c>
      <c r="O21" s="25">
        <f t="shared" si="5"/>
        <v>7964.8254614303487</v>
      </c>
      <c r="P21" s="25">
        <f t="shared" si="6"/>
        <v>25967.835205236315</v>
      </c>
      <c r="Q21" s="25">
        <f t="array" aca="1" ref="Q21" ca="1">INDEX('Isaac 401k'!L:L,MATCH('Retirement Calculator'!A21,'Isaac 401k'!N:N,0),0)</f>
        <v>2931808.0999773489</v>
      </c>
      <c r="R21" s="25">
        <f t="array" aca="1" ref="R21" ca="1">INDEX('Lorri 401b'!L:L,MATCH('Retirement Calculator'!A21,'Lorri 401b'!N:N,0),0)</f>
        <v>3421694.3362282971</v>
      </c>
      <c r="S21" s="25">
        <f t="shared" ca="1" si="7"/>
        <v>6353502.436205646</v>
      </c>
    </row>
    <row r="22" spans="1:19" ht="15.75" customHeight="1" x14ac:dyDescent="0.3">
      <c r="A22" s="37">
        <v>51622</v>
      </c>
      <c r="B22" s="409">
        <f t="shared" ref="B22:C22" si="18">($A22-B$9)/365.25</f>
        <v>59.455167693360714</v>
      </c>
      <c r="C22" s="409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3525.4531757812501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25967.835205236315</v>
      </c>
      <c r="K22" s="25">
        <f t="shared" si="4"/>
        <v>0</v>
      </c>
      <c r="L22" s="25"/>
      <c r="N22" s="25">
        <f>'Combined Retirement'!$C$18/12</f>
        <v>33932.660666666663</v>
      </c>
      <c r="O22" s="25">
        <f t="shared" si="5"/>
        <v>7964.8254614303487</v>
      </c>
      <c r="P22" s="25">
        <f t="shared" si="6"/>
        <v>25967.835205236315</v>
      </c>
      <c r="Q22" s="25">
        <f t="array" aca="1" ref="Q22" ca="1">INDEX('Isaac 401k'!L:L,MATCH('Retirement Calculator'!A22,'Isaac 401k'!N:N,0),0)</f>
        <v>2917947.9325419962</v>
      </c>
      <c r="R22" s="25">
        <f t="array" aca="1" ref="R22" ca="1">INDEX('Lorri 401b'!L:L,MATCH('Retirement Calculator'!A22,'Lorri 401b'!N:N,0),0)</f>
        <v>3435951.3959625815</v>
      </c>
      <c r="S22" s="25">
        <f t="shared" ca="1" si="7"/>
        <v>6353899.3285045773</v>
      </c>
    </row>
    <row r="23" spans="1:19" ht="15.75" customHeight="1" x14ac:dyDescent="0.3">
      <c r="A23" s="37">
        <v>51653</v>
      </c>
      <c r="B23" s="409">
        <f t="shared" ref="B23:C23" si="19">($A23-B$9)/365.25</f>
        <v>59.540041067761805</v>
      </c>
      <c r="C23" s="409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3525.4531757812501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25967.835205236315</v>
      </c>
      <c r="K23" s="25">
        <f t="shared" si="4"/>
        <v>0</v>
      </c>
      <c r="L23" s="25"/>
      <c r="N23" s="25">
        <f>'Combined Retirement'!$C$18/12</f>
        <v>33932.660666666663</v>
      </c>
      <c r="O23" s="25">
        <f t="shared" si="5"/>
        <v>7964.8254614303487</v>
      </c>
      <c r="P23" s="25">
        <f t="shared" si="6"/>
        <v>25967.835205236315</v>
      </c>
      <c r="Q23" s="25">
        <f t="array" aca="1" ref="Q23" ca="1">INDEX('Isaac 401k'!L:L,MATCH('Retirement Calculator'!A23,'Isaac 401k'!N:N,0),0)</f>
        <v>2904030.0144089963</v>
      </c>
      <c r="R23" s="25">
        <f t="array" aca="1" ref="R23" ca="1">INDEX('Lorri 401b'!L:L,MATCH('Retirement Calculator'!A23,'Lorri 401b'!N:N,0),0)</f>
        <v>3450267.8601124254</v>
      </c>
      <c r="S23" s="25">
        <f t="shared" ca="1" si="7"/>
        <v>6354297.8745214213</v>
      </c>
    </row>
    <row r="24" spans="1:19" ht="15.75" customHeight="1" x14ac:dyDescent="0.3">
      <c r="A24" s="37">
        <v>51683</v>
      </c>
      <c r="B24" s="409">
        <f t="shared" ref="B24:C24" si="20">($A24-B$9)/365.25</f>
        <v>59.622176591375769</v>
      </c>
      <c r="C24" s="409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3525.4531757812501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25967.835205236315</v>
      </c>
      <c r="K24" s="25">
        <f t="shared" si="4"/>
        <v>0</v>
      </c>
      <c r="L24" s="25"/>
      <c r="N24" s="25">
        <f>'Combined Retirement'!$C$18/12</f>
        <v>33932.660666666663</v>
      </c>
      <c r="O24" s="25">
        <f t="shared" si="5"/>
        <v>7964.8254614303487</v>
      </c>
      <c r="P24" s="25">
        <f t="shared" si="6"/>
        <v>25967.835205236315</v>
      </c>
      <c r="Q24" s="25">
        <f t="array" aca="1" ref="Q24" ca="1">INDEX('Isaac 401k'!L:L,MATCH('Retirement Calculator'!A24,'Isaac 401k'!N:N,0),0)</f>
        <v>2890054.104950442</v>
      </c>
      <c r="R24" s="25">
        <f t="array" aca="1" ref="R24" ca="1">INDEX('Lorri 401b'!L:L,MATCH('Retirement Calculator'!A24,'Lorri 401b'!N:N,0),0)</f>
        <v>3464643.9761962271</v>
      </c>
      <c r="S24" s="25">
        <f t="shared" ca="1" si="7"/>
        <v>6354698.0811466686</v>
      </c>
    </row>
    <row r="25" spans="1:19" ht="15.75" customHeight="1" x14ac:dyDescent="0.3">
      <c r="A25" s="37">
        <v>51714</v>
      </c>
      <c r="B25" s="409">
        <f t="shared" ref="B25:C25" si="21">($A25-B$9)/365.25</f>
        <v>59.707049965776868</v>
      </c>
      <c r="C25" s="409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3525.4531757812501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25967.835205236315</v>
      </c>
      <c r="K25" s="25">
        <f t="shared" si="4"/>
        <v>0</v>
      </c>
      <c r="L25" s="25"/>
      <c r="N25" s="25">
        <f>'Combined Retirement'!$C$18/12</f>
        <v>33932.660666666663</v>
      </c>
      <c r="O25" s="25">
        <f t="shared" si="5"/>
        <v>7964.8254614303487</v>
      </c>
      <c r="P25" s="25">
        <f t="shared" si="6"/>
        <v>25967.835205236315</v>
      </c>
      <c r="Q25" s="25">
        <f t="array" aca="1" ref="Q25" ca="1">INDEX('Isaac 401k'!L:L,MATCH('Retirement Calculator'!A25,'Isaac 401k'!N:N,0),0)</f>
        <v>2876019.9625358107</v>
      </c>
      <c r="R25" s="25">
        <f t="array" aca="1" ref="R25" ca="1">INDEX('Lorri 401b'!L:L,MATCH('Retirement Calculator'!A25,'Lorri 401b'!N:N,0),0)</f>
        <v>3479079.9927637116</v>
      </c>
      <c r="S25" s="25">
        <f t="shared" ca="1" si="7"/>
        <v>6355099.9552995227</v>
      </c>
    </row>
    <row r="26" spans="1:19" ht="15.75" customHeight="1" x14ac:dyDescent="0.3">
      <c r="A26" s="37">
        <v>51745</v>
      </c>
      <c r="B26" s="409">
        <f t="shared" ref="B26:C26" si="22">($A26-B$9)/365.25</f>
        <v>59.791923340177959</v>
      </c>
      <c r="C26" s="409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3525.4531757812501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25967.835205236315</v>
      </c>
      <c r="K26" s="25">
        <f t="shared" si="4"/>
        <v>0</v>
      </c>
      <c r="L26" s="25"/>
      <c r="N26" s="25">
        <f>'Combined Retirement'!$C$18/12</f>
        <v>33932.660666666663</v>
      </c>
      <c r="O26" s="25">
        <f t="shared" si="5"/>
        <v>7964.8254614303487</v>
      </c>
      <c r="P26" s="25">
        <f t="shared" si="6"/>
        <v>25967.835205236315</v>
      </c>
      <c r="Q26" s="25">
        <f t="array" aca="1" ref="Q26" ca="1">INDEX('Isaac 401k'!L:L,MATCH('Retirement Calculator'!A26,'Isaac 401k'!N:N,0),0)</f>
        <v>2861927.3445277847</v>
      </c>
      <c r="R26" s="25">
        <f t="array" aca="1" ref="R26" ca="1">INDEX('Lorri 401b'!L:L,MATCH('Retirement Calculator'!A26,'Lorri 401b'!N:N,0),0)</f>
        <v>3493576.159400227</v>
      </c>
      <c r="S26" s="25">
        <f t="shared" ca="1" si="7"/>
        <v>6355503.5039280113</v>
      </c>
    </row>
    <row r="27" spans="1:19" ht="15.75" customHeight="1" x14ac:dyDescent="0.3">
      <c r="A27" s="37">
        <v>51775</v>
      </c>
      <c r="B27" s="409">
        <f t="shared" ref="B27:C27" si="23">($A27-B$9)/365.25</f>
        <v>59.874058863791923</v>
      </c>
      <c r="C27" s="409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3525.4531757812501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25967.835205236315</v>
      </c>
      <c r="K27" s="25">
        <f t="shared" si="4"/>
        <v>0</v>
      </c>
      <c r="L27" s="25"/>
      <c r="N27" s="25">
        <f>'Combined Retirement'!$C$18/12</f>
        <v>33932.660666666663</v>
      </c>
      <c r="O27" s="25">
        <f t="shared" si="5"/>
        <v>7964.8254614303487</v>
      </c>
      <c r="P27" s="25">
        <f t="shared" si="6"/>
        <v>25967.835205236315</v>
      </c>
      <c r="Q27" s="25">
        <f t="array" aca="1" ref="Q27" ca="1">INDEX('Isaac 401k'!L:L,MATCH('Retirement Calculator'!A27,'Isaac 401k'!N:N,0),0)</f>
        <v>2847776.0072780587</v>
      </c>
      <c r="R27" s="25">
        <f t="array" aca="1" ref="R27" ca="1">INDEX('Lorri 401b'!L:L,MATCH('Retirement Calculator'!A27,'Lorri 401b'!N:N,0),0)</f>
        <v>3508132.7267310615</v>
      </c>
      <c r="S27" s="25">
        <f t="shared" ca="1" si="7"/>
        <v>6355908.7340091206</v>
      </c>
    </row>
    <row r="28" spans="1:19" ht="15.75" customHeight="1" x14ac:dyDescent="0.3">
      <c r="A28" s="37">
        <v>51806</v>
      </c>
      <c r="B28" s="409">
        <f t="shared" ref="B28:C28" si="24">($A28-B$9)/365.25</f>
        <v>59.958932238193022</v>
      </c>
      <c r="C28" s="409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3525.4531757812501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25967.835205236315</v>
      </c>
      <c r="K28" s="25">
        <f t="shared" si="4"/>
        <v>0</v>
      </c>
      <c r="L28" s="25"/>
      <c r="N28" s="25">
        <f>'Combined Retirement'!$C$18/12</f>
        <v>33932.660666666663</v>
      </c>
      <c r="O28" s="25">
        <f t="shared" si="5"/>
        <v>7964.8254614303487</v>
      </c>
      <c r="P28" s="25">
        <f t="shared" si="6"/>
        <v>25967.835205236315</v>
      </c>
      <c r="Q28" s="25">
        <f t="array" aca="1" ref="Q28" ca="1">INDEX('Isaac 401k'!L:L,MATCH('Retirement Calculator'!A28,'Isaac 401k'!N:N,0),0)</f>
        <v>2833565.7061231257</v>
      </c>
      <c r="R28" s="25">
        <f t="array" aca="1" ref="R28" ca="1">INDEX('Lorri 401b'!L:L,MATCH('Retirement Calculator'!A28,'Lorri 401b'!N:N,0),0)</f>
        <v>3522749.9464257741</v>
      </c>
      <c r="S28" s="25">
        <f t="shared" ca="1" si="7"/>
        <v>6356315.6525488999</v>
      </c>
    </row>
    <row r="29" spans="1:19" ht="15.75" customHeight="1" x14ac:dyDescent="0.3">
      <c r="A29" s="37">
        <v>51836</v>
      </c>
      <c r="B29" s="409">
        <f t="shared" ref="B29:C29" si="25">($A29-B$9)/365.25</f>
        <v>60.041067761806978</v>
      </c>
      <c r="C29" s="409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3525.4531757812501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25967.835205236315</v>
      </c>
      <c r="K29" s="25">
        <f t="shared" si="4"/>
        <v>0</v>
      </c>
      <c r="L29" s="25"/>
      <c r="N29" s="25">
        <f>'Combined Retirement'!$C$18/12</f>
        <v>33932.660666666663</v>
      </c>
      <c r="O29" s="25">
        <f t="shared" si="5"/>
        <v>7964.8254614303487</v>
      </c>
      <c r="P29" s="25">
        <f t="shared" si="6"/>
        <v>25967.835205236315</v>
      </c>
      <c r="Q29" s="25">
        <f t="array" aca="1" ref="Q29" ca="1">INDEX('Isaac 401k'!L:L,MATCH('Retirement Calculator'!A29,'Isaac 401k'!N:N,0),0)</f>
        <v>2819296.195380047</v>
      </c>
      <c r="R29" s="25">
        <f t="array" aca="1" ref="R29" ca="1">INDEX('Lorri 401b'!L:L,MATCH('Retirement Calculator'!A29,'Lorri 401b'!N:N,0),0)</f>
        <v>3537428.0712025482</v>
      </c>
      <c r="S29" s="25">
        <f t="shared" ca="1" si="7"/>
        <v>6356724.2665825952</v>
      </c>
    </row>
    <row r="30" spans="1:19" ht="15.75" customHeight="1" x14ac:dyDescent="0.3">
      <c r="A30" s="37">
        <v>51867</v>
      </c>
      <c r="B30" s="409">
        <f t="shared" ref="B30:C30" si="26">($A30-B$9)/365.25</f>
        <v>60.125941136208077</v>
      </c>
      <c r="C30" s="409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3525.4531757812501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25967.835205236315</v>
      </c>
      <c r="K30" s="25">
        <f t="shared" si="4"/>
        <v>0</v>
      </c>
      <c r="L30" s="25"/>
      <c r="N30" s="25">
        <f>'Combined Retirement'!$C$18/12</f>
        <v>33932.660666666663</v>
      </c>
      <c r="O30" s="25">
        <f t="shared" si="5"/>
        <v>7964.8254614303487</v>
      </c>
      <c r="P30" s="25">
        <f t="shared" si="6"/>
        <v>25967.835205236315</v>
      </c>
      <c r="Q30" s="25">
        <f t="array" aca="1" ref="Q30" ca="1">INDEX('Isaac 401k'!L:L,MATCH('Retirement Calculator'!A30,'Isaac 401k'!N:N,0),0)</f>
        <v>2804967.2283422058</v>
      </c>
      <c r="R30" s="25">
        <f t="array" aca="1" ref="R30" ca="1">INDEX('Lorri 401b'!L:L,MATCH('Retirement Calculator'!A30,'Lorri 401b'!N:N,0),0)</f>
        <v>3552167.3548325589</v>
      </c>
      <c r="S30" s="25">
        <f t="shared" ca="1" si="7"/>
        <v>6357134.5831747651</v>
      </c>
    </row>
    <row r="31" spans="1:19" ht="15.75" customHeight="1" x14ac:dyDescent="0.3">
      <c r="A31" s="37">
        <v>51898</v>
      </c>
      <c r="B31" s="409">
        <f t="shared" ref="B31:C31" si="27">($A31-B$9)/365.25</f>
        <v>60.210814510609168</v>
      </c>
      <c r="C31" s="409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3525.4531757812501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25967.835205236315</v>
      </c>
      <c r="K31" s="25">
        <f t="shared" si="4"/>
        <v>0</v>
      </c>
      <c r="L31" s="25"/>
      <c r="N31" s="25">
        <f>'Combined Retirement'!$C$18/12</f>
        <v>33932.660666666663</v>
      </c>
      <c r="O31" s="25">
        <f t="shared" si="5"/>
        <v>7964.8254614303487</v>
      </c>
      <c r="P31" s="25">
        <f t="shared" si="6"/>
        <v>25967.835205236315</v>
      </c>
      <c r="Q31" s="25">
        <f t="array" aca="1" ref="Q31" ca="1">INDEX('Isaac 401k'!L:L,MATCH('Retirement Calculator'!A31,'Isaac 401k'!N:N,0),0)</f>
        <v>2790578.5572750401</v>
      </c>
      <c r="R31" s="25">
        <f t="array" aca="1" ref="R31" ca="1">INDEX('Lorri 401b'!L:L,MATCH('Retirement Calculator'!A31,'Lorri 401b'!N:N,0),0)</f>
        <v>3566968.0521443612</v>
      </c>
      <c r="S31" s="25">
        <f t="shared" ca="1" si="7"/>
        <v>6357546.6094194017</v>
      </c>
    </row>
    <row r="32" spans="1:19" ht="15.75" customHeight="1" x14ac:dyDescent="0.3">
      <c r="A32" s="37">
        <v>51926</v>
      </c>
      <c r="B32" s="409">
        <f t="shared" ref="B32:C32" si="28">($A32-B$9)/365.25</f>
        <v>60.28747433264887</v>
      </c>
      <c r="C32" s="409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3525.4531757812501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25967.835205236315</v>
      </c>
      <c r="K32" s="25">
        <f t="shared" si="4"/>
        <v>0</v>
      </c>
      <c r="L32" s="25"/>
      <c r="N32" s="25">
        <f>'Combined Retirement'!$C$18/12</f>
        <v>33932.660666666663</v>
      </c>
      <c r="O32" s="25">
        <f t="shared" si="5"/>
        <v>7964.8254614303487</v>
      </c>
      <c r="P32" s="25">
        <f t="shared" si="6"/>
        <v>25967.835205236315</v>
      </c>
      <c r="Q32" s="25">
        <f t="array" aca="1" ref="Q32" ca="1">INDEX('Isaac 401k'!L:L,MATCH('Retirement Calculator'!A32,'Isaac 401k'!N:N,0),0)</f>
        <v>2776129.9334117612</v>
      </c>
      <c r="R32" s="25">
        <f t="array" aca="1" ref="R32" ca="1">INDEX('Lorri 401b'!L:L,MATCH('Retirement Calculator'!A32,'Lorri 401b'!N:N,0),0)</f>
        <v>3581830.4190282961</v>
      </c>
      <c r="S32" s="25">
        <f t="shared" ca="1" si="7"/>
        <v>6357960.3524400573</v>
      </c>
    </row>
    <row r="33" spans="1:19" ht="15.75" customHeight="1" x14ac:dyDescent="0.3">
      <c r="A33" s="37">
        <v>51957</v>
      </c>
      <c r="B33" s="409">
        <f t="shared" ref="B33:C33" si="29">($A33-B$9)/365.25</f>
        <v>60.372347707049968</v>
      </c>
      <c r="C33" s="409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3525.4531757812501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25967.835205236315</v>
      </c>
      <c r="K33" s="25">
        <f t="shared" si="4"/>
        <v>0</v>
      </c>
      <c r="L33" s="25"/>
      <c r="N33" s="25">
        <f>'Combined Retirement'!$C$18/12</f>
        <v>33932.660666666663</v>
      </c>
      <c r="O33" s="25">
        <f t="shared" si="5"/>
        <v>7964.8254614303487</v>
      </c>
      <c r="P33" s="25">
        <f t="shared" si="6"/>
        <v>25967.835205236315</v>
      </c>
      <c r="Q33" s="25">
        <f t="array" aca="1" ref="Q33" ca="1">INDEX('Isaac 401k'!L:L,MATCH('Retirement Calculator'!A33,'Isaac 401k'!N:N,0),0)</f>
        <v>2761621.1069490518</v>
      </c>
      <c r="R33" s="25">
        <f t="array" aca="1" ref="R33" ca="1">INDEX('Lorri 401b'!L:L,MATCH('Retirement Calculator'!A33,'Lorri 401b'!N:N,0),0)</f>
        <v>3596754.712440914</v>
      </c>
      <c r="S33" s="25">
        <f t="shared" ca="1" si="7"/>
        <v>6358375.8193899654</v>
      </c>
    </row>
    <row r="34" spans="1:19" ht="15.75" customHeight="1" x14ac:dyDescent="0.3">
      <c r="A34" s="37">
        <v>51987</v>
      </c>
      <c r="B34" s="409">
        <f t="shared" ref="B34:C34" si="30">($A34-B$9)/365.25</f>
        <v>60.454483230663932</v>
      </c>
      <c r="C34" s="409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3525.4531757812501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25967.835205236315</v>
      </c>
      <c r="K34" s="25">
        <f t="shared" si="4"/>
        <v>0</v>
      </c>
      <c r="L34" s="25"/>
      <c r="N34" s="25">
        <f>'Combined Retirement'!$C$18/12</f>
        <v>33932.660666666663</v>
      </c>
      <c r="O34" s="25">
        <f t="shared" si="5"/>
        <v>7964.8254614303487</v>
      </c>
      <c r="P34" s="25">
        <f t="shared" si="6"/>
        <v>25967.835205236315</v>
      </c>
      <c r="Q34" s="25">
        <f t="array" aca="1" ref="Q34" ca="1">INDEX('Isaac 401k'!L:L,MATCH('Retirement Calculator'!A34,'Isaac 401k'!N:N,0),0)</f>
        <v>2747051.8270427478</v>
      </c>
      <c r="R34" s="25">
        <f t="array" aca="1" ref="R34" ca="1">INDEX('Lorri 401b'!L:L,MATCH('Retirement Calculator'!A34,'Lorri 401b'!N:N,0),0)</f>
        <v>3611741.1904094177</v>
      </c>
      <c r="S34" s="25">
        <f t="shared" ca="1" si="7"/>
        <v>6358793.0174521655</v>
      </c>
    </row>
    <row r="35" spans="1:19" ht="15.75" customHeight="1" x14ac:dyDescent="0.3">
      <c r="A35" s="37">
        <v>52018</v>
      </c>
      <c r="B35" s="409">
        <f t="shared" ref="B35:C35" si="31">($A35-B$9)/365.25</f>
        <v>60.539356605065024</v>
      </c>
      <c r="C35" s="409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3525.4531757812501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25967.835205236315</v>
      </c>
      <c r="K35" s="25">
        <f t="shared" si="4"/>
        <v>0</v>
      </c>
      <c r="L35" s="25"/>
      <c r="N35" s="25">
        <f>'Combined Retirement'!$C$18/12</f>
        <v>33932.660666666663</v>
      </c>
      <c r="O35" s="25">
        <f t="shared" si="5"/>
        <v>7964.8254614303487</v>
      </c>
      <c r="P35" s="25">
        <f t="shared" si="6"/>
        <v>25967.835205236315</v>
      </c>
      <c r="Q35" s="25">
        <f t="array" aca="1" ref="Q35" ca="1">INDEX('Isaac 401k'!L:L,MATCH('Retirement Calculator'!A35,'Isaac 401k'!N:N,0),0)</f>
        <v>2732421.8418035009</v>
      </c>
      <c r="R35" s="25">
        <f t="array" aca="1" ref="R35" ca="1">INDEX('Lorri 401b'!L:L,MATCH('Retirement Calculator'!A35,'Lorri 401b'!N:N,0),0)</f>
        <v>3626790.1120361234</v>
      </c>
      <c r="S35" s="25">
        <f t="shared" ca="1" si="7"/>
        <v>6359211.9538396243</v>
      </c>
    </row>
    <row r="36" spans="1:19" ht="15.75" customHeight="1" x14ac:dyDescent="0.3">
      <c r="A36" s="37">
        <v>52048</v>
      </c>
      <c r="B36" s="409">
        <f t="shared" ref="B36:C36" si="32">($A36-B$9)/365.25</f>
        <v>60.621492128678987</v>
      </c>
      <c r="C36" s="409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3525.4531757812501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25967.835205236315</v>
      </c>
      <c r="K36" s="25">
        <f t="shared" si="4"/>
        <v>0</v>
      </c>
      <c r="L36" s="25"/>
      <c r="N36" s="25">
        <f>'Combined Retirement'!$C$18/12</f>
        <v>33932.660666666663</v>
      </c>
      <c r="O36" s="25">
        <f t="shared" si="5"/>
        <v>7964.8254614303487</v>
      </c>
      <c r="P36" s="25">
        <f t="shared" si="6"/>
        <v>25967.835205236315</v>
      </c>
      <c r="Q36" s="25">
        <f t="array" aca="1" ref="Q36" ca="1">INDEX('Isaac 401k'!L:L,MATCH('Retirement Calculator'!A36,'Isaac 401k'!N:N,0),0)</f>
        <v>2717730.8982924237</v>
      </c>
      <c r="R36" s="25">
        <f t="array" aca="1" ref="R36" ca="1">INDEX('Lorri 401b'!L:L,MATCH('Retirement Calculator'!A36,'Lorri 401b'!N:N,0),0)</f>
        <v>3641901.7375029405</v>
      </c>
      <c r="S36" s="25">
        <f t="shared" ca="1" si="7"/>
        <v>6359632.6357953642</v>
      </c>
    </row>
    <row r="37" spans="1:19" ht="15.75" customHeight="1" x14ac:dyDescent="0.3">
      <c r="A37" s="37">
        <v>52079</v>
      </c>
      <c r="B37" s="409">
        <f t="shared" ref="B37:C37" si="33">($A37-B$9)/365.25</f>
        <v>60.706365503080079</v>
      </c>
      <c r="C37" s="409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3525.4531757812501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25967.835205236315</v>
      </c>
      <c r="K37" s="25">
        <f t="shared" si="4"/>
        <v>0</v>
      </c>
      <c r="L37" s="25"/>
      <c r="N37" s="25">
        <f>'Combined Retirement'!$C$18/12</f>
        <v>33932.660666666663</v>
      </c>
      <c r="O37" s="25">
        <f t="shared" si="5"/>
        <v>7964.8254614303487</v>
      </c>
      <c r="P37" s="25">
        <f t="shared" si="6"/>
        <v>25967.835205236315</v>
      </c>
      <c r="Q37" s="25">
        <f t="array" aca="1" ref="Q37" ca="1">INDEX('Isaac 401k'!L:L,MATCH('Retirement Calculator'!A37,'Isaac 401k'!N:N,0),0)</f>
        <v>2702978.7425167174</v>
      </c>
      <c r="R37" s="25">
        <f t="array" aca="1" ref="R37" ca="1">INDEX('Lorri 401b'!L:L,MATCH('Retirement Calculator'!A37,'Lorri 401b'!N:N,0),0)</f>
        <v>3657076.3280758695</v>
      </c>
      <c r="S37" s="25">
        <f t="shared" ca="1" si="7"/>
        <v>6360055.0705925869</v>
      </c>
    </row>
    <row r="38" spans="1:19" ht="15.75" customHeight="1" x14ac:dyDescent="0.3">
      <c r="A38" s="37">
        <v>52110</v>
      </c>
      <c r="B38" s="409">
        <f t="shared" ref="B38:C38" si="34">($A38-B$9)/365.25</f>
        <v>60.791238877481177</v>
      </c>
      <c r="C38" s="409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3525.4531757812501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25967.835205236315</v>
      </c>
      <c r="K38" s="25">
        <f t="shared" si="4"/>
        <v>0</v>
      </c>
      <c r="L38" s="25"/>
      <c r="N38" s="25">
        <f>'Combined Retirement'!$C$18/12</f>
        <v>33932.660666666663</v>
      </c>
      <c r="O38" s="25">
        <f t="shared" si="5"/>
        <v>7964.8254614303487</v>
      </c>
      <c r="P38" s="25">
        <f t="shared" si="6"/>
        <v>25967.835205236315</v>
      </c>
      <c r="Q38" s="25">
        <f t="array" aca="1" ref="Q38" ca="1">INDEX('Isaac 401k'!L:L,MATCH('Retirement Calculator'!A38,'Isaac 401k'!N:N,0),0)</f>
        <v>2688165.1194252786</v>
      </c>
      <c r="R38" s="25">
        <f t="array" aca="1" ref="R38" ca="1">INDEX('Lorri 401b'!L:L,MATCH('Retirement Calculator'!A38,'Lorri 401b'!N:N,0),0)</f>
        <v>3672314.1461095191</v>
      </c>
      <c r="S38" s="25">
        <f t="shared" ca="1" si="7"/>
        <v>6360479.2655347977</v>
      </c>
    </row>
    <row r="39" spans="1:19" ht="15.75" customHeight="1" x14ac:dyDescent="0.3">
      <c r="A39" s="37">
        <v>52140</v>
      </c>
      <c r="B39" s="409">
        <f t="shared" ref="B39:C39" si="35">($A39-B$9)/365.25</f>
        <v>60.873374401095141</v>
      </c>
      <c r="C39" s="409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3525.4531757812501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25967.835205236315</v>
      </c>
      <c r="K39" s="25">
        <f t="shared" si="4"/>
        <v>0</v>
      </c>
      <c r="L39" s="25"/>
      <c r="N39" s="25">
        <f>'Combined Retirement'!$C$18/12</f>
        <v>33932.660666666663</v>
      </c>
      <c r="O39" s="25">
        <f t="shared" si="5"/>
        <v>7964.8254614303487</v>
      </c>
      <c r="P39" s="25">
        <f t="shared" si="6"/>
        <v>25967.835205236315</v>
      </c>
      <c r="Q39" s="25">
        <f t="array" aca="1" ref="Q39" ca="1">INDEX('Isaac 401k'!L:L,MATCH('Retirement Calculator'!A39,'Isaac 401k'!N:N,0),0)</f>
        <v>2673289.7729042922</v>
      </c>
      <c r="R39" s="25">
        <f t="array" aca="1" ref="R39" ca="1">INDEX('Lorri 401b'!L:L,MATCH('Retirement Calculator'!A39,'Lorri 401b'!N:N,0),0)</f>
        <v>3687615.4550516419</v>
      </c>
      <c r="S39" s="25">
        <f t="shared" ca="1" si="7"/>
        <v>6360905.2279559337</v>
      </c>
    </row>
    <row r="40" spans="1:19" ht="15.75" customHeight="1" x14ac:dyDescent="0.3">
      <c r="A40" s="37">
        <v>52171</v>
      </c>
      <c r="B40" s="409">
        <f t="shared" ref="B40:C40" si="36">($A40-B$9)/365.25</f>
        <v>60.958247775496233</v>
      </c>
      <c r="C40" s="409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3525.4531757812501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25967.835205236315</v>
      </c>
      <c r="K40" s="25">
        <f t="shared" si="4"/>
        <v>0</v>
      </c>
      <c r="L40" s="25"/>
      <c r="N40" s="25">
        <f>'Combined Retirement'!$C$18/12</f>
        <v>33932.660666666663</v>
      </c>
      <c r="O40" s="25">
        <f t="shared" si="5"/>
        <v>7964.8254614303487</v>
      </c>
      <c r="P40" s="25">
        <f t="shared" si="6"/>
        <v>25967.835205236315</v>
      </c>
      <c r="Q40" s="25">
        <f t="array" aca="1" ref="Q40" ca="1">INDEX('Isaac 401k'!L:L,MATCH('Retirement Calculator'!A40,'Isaac 401k'!N:N,0),0)</f>
        <v>2658352.445772802</v>
      </c>
      <c r="R40" s="25">
        <f t="array" aca="1" ref="R40" ca="1">INDEX('Lorri 401b'!L:L,MATCH('Retirement Calculator'!A40,'Lorri 401b'!N:N,0),0)</f>
        <v>3702980.5194476903</v>
      </c>
      <c r="S40" s="25">
        <f t="shared" ca="1" si="7"/>
        <v>6361332.9652204923</v>
      </c>
    </row>
    <row r="41" spans="1:19" ht="15.75" customHeight="1" x14ac:dyDescent="0.3">
      <c r="A41" s="37">
        <v>52201</v>
      </c>
      <c r="B41" s="409">
        <f t="shared" ref="B41:C41" si="37">($A41-B$9)/365.25</f>
        <v>61.040383299110196</v>
      </c>
      <c r="C41" s="409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3525.4531757812501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25967.835205236315</v>
      </c>
      <c r="K41" s="25">
        <f t="shared" si="4"/>
        <v>0</v>
      </c>
      <c r="L41" s="25"/>
      <c r="N41" s="25">
        <f>'Combined Retirement'!$C$18/12</f>
        <v>33932.660666666663</v>
      </c>
      <c r="O41" s="25">
        <f t="shared" si="5"/>
        <v>7964.8254614303487</v>
      </c>
      <c r="P41" s="25">
        <f t="shared" si="6"/>
        <v>25967.835205236315</v>
      </c>
      <c r="Q41" s="25">
        <f t="array" aca="1" ref="Q41" ca="1">INDEX('Isaac 401k'!L:L,MATCH('Retirement Calculator'!A41,'Isaac 401k'!N:N,0),0)</f>
        <v>2643352.8797782636</v>
      </c>
      <c r="R41" s="25">
        <f t="array" aca="1" ref="R41" ca="1">INDEX('Lorri 401b'!L:L,MATCH('Retirement Calculator'!A41,'Lorri 401b'!N:N,0),0)</f>
        <v>3718409.6049453891</v>
      </c>
      <c r="S41" s="25">
        <f t="shared" ca="1" si="7"/>
        <v>6361762.4847236527</v>
      </c>
    </row>
    <row r="42" spans="1:19" ht="15.75" customHeight="1" x14ac:dyDescent="0.3">
      <c r="A42" s="37">
        <v>52232</v>
      </c>
      <c r="B42" s="409">
        <f t="shared" ref="B42:C42" si="38">($A42-B$9)/365.25</f>
        <v>61.125256673511295</v>
      </c>
      <c r="C42" s="409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3525.4531757812501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25967.835205236315</v>
      </c>
      <c r="K42" s="25">
        <f t="shared" si="4"/>
        <v>0</v>
      </c>
      <c r="L42" s="25"/>
      <c r="N42" s="25">
        <f>'Combined Retirement'!$C$18/12</f>
        <v>33932.660666666663</v>
      </c>
      <c r="O42" s="25">
        <f t="shared" si="5"/>
        <v>7964.8254614303487</v>
      </c>
      <c r="P42" s="25">
        <f t="shared" si="6"/>
        <v>25967.835205236315</v>
      </c>
      <c r="Q42" s="25">
        <f t="array" aca="1" ref="Q42" ca="1">INDEX('Isaac 401k'!L:L,MATCH('Retirement Calculator'!A42,'Isaac 401k'!N:N,0),0)</f>
        <v>2628290.8155920813</v>
      </c>
      <c r="R42" s="25">
        <f t="array" aca="1" ref="R42" ca="1">INDEX('Lorri 401b'!L:L,MATCH('Retirement Calculator'!A42,'Lorri 401b'!N:N,0),0)</f>
        <v>3733902.9782993281</v>
      </c>
      <c r="S42" s="25">
        <f t="shared" ca="1" si="7"/>
        <v>6362193.7938914094</v>
      </c>
    </row>
    <row r="43" spans="1:19" ht="15.75" customHeight="1" x14ac:dyDescent="0.3">
      <c r="A43" s="37">
        <v>52263</v>
      </c>
      <c r="B43" s="409">
        <f t="shared" ref="B43:C43" si="39">($A43-B$9)/365.25</f>
        <v>61.210130047912386</v>
      </c>
      <c r="C43" s="409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3525.4531757812501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25967.835205236315</v>
      </c>
      <c r="K43" s="25">
        <f t="shared" si="4"/>
        <v>0</v>
      </c>
      <c r="L43" s="25"/>
      <c r="N43" s="25">
        <f>'Combined Retirement'!$C$18/12</f>
        <v>33932.660666666663</v>
      </c>
      <c r="O43" s="25">
        <f t="shared" si="5"/>
        <v>7964.8254614303487</v>
      </c>
      <c r="P43" s="25">
        <f t="shared" si="6"/>
        <v>25967.835205236315</v>
      </c>
      <c r="Q43" s="25">
        <f t="array" aca="1" ref="Q43" ca="1">INDEX('Isaac 401k'!L:L,MATCH('Retirement Calculator'!A43,'Isaac 401k'!N:N,0),0)</f>
        <v>2613165.9928051233</v>
      </c>
      <c r="R43" s="25">
        <f t="array" aca="1" ref="R43" ca="1">INDEX('Lorri 401b'!L:L,MATCH('Retirement Calculator'!A43,'Lorri 401b'!N:N,0),0)</f>
        <v>3749460.9073755755</v>
      </c>
      <c r="S43" s="25">
        <f t="shared" ca="1" si="7"/>
        <v>6362626.9001806993</v>
      </c>
    </row>
    <row r="44" spans="1:19" ht="15.75" customHeight="1" x14ac:dyDescent="0.3">
      <c r="A44" s="37">
        <v>52291</v>
      </c>
      <c r="B44" s="409">
        <f t="shared" ref="B44:C44" si="40">($A44-B$9)/365.25</f>
        <v>61.286789869952088</v>
      </c>
      <c r="C44" s="409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3525.4531757812501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25967.835205236315</v>
      </c>
      <c r="K44" s="25">
        <f t="shared" si="4"/>
        <v>0</v>
      </c>
      <c r="L44" s="25"/>
      <c r="N44" s="25">
        <f>'Combined Retirement'!$C$18/12</f>
        <v>33932.660666666663</v>
      </c>
      <c r="O44" s="25">
        <f t="shared" si="5"/>
        <v>7964.8254614303487</v>
      </c>
      <c r="P44" s="25">
        <f t="shared" si="6"/>
        <v>25967.835205236315</v>
      </c>
      <c r="Q44" s="25">
        <f t="array" aca="1" ref="Q44" ca="1">INDEX('Isaac 401k'!L:L,MATCH('Retirement Calculator'!A44,'Isaac 401k'!N:N,0),0)</f>
        <v>2597978.1499232198</v>
      </c>
      <c r="R44" s="25">
        <f t="array" aca="1" ref="R44" ca="1">INDEX('Lorri 401b'!L:L,MATCH('Retirement Calculator'!A44,'Lorri 401b'!N:N,0),0)</f>
        <v>3765083.661156307</v>
      </c>
      <c r="S44" s="25">
        <f t="shared" ca="1" si="7"/>
        <v>6363061.8110795263</v>
      </c>
    </row>
    <row r="45" spans="1:19" ht="15.75" customHeight="1" x14ac:dyDescent="0.3">
      <c r="A45" s="37">
        <v>52322</v>
      </c>
      <c r="B45" s="409">
        <f t="shared" ref="B45:C45" si="41">($A45-B$9)/365.25</f>
        <v>61.371663244353179</v>
      </c>
      <c r="C45" s="409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3525.4531757812501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25967.835205236315</v>
      </c>
      <c r="K45" s="25">
        <f t="shared" si="4"/>
        <v>0</v>
      </c>
      <c r="L45" s="25"/>
      <c r="N45" s="25">
        <f>'Combined Retirement'!$C$18/12</f>
        <v>33932.660666666663</v>
      </c>
      <c r="O45" s="25">
        <f t="shared" si="5"/>
        <v>7964.8254614303487</v>
      </c>
      <c r="P45" s="25">
        <f t="shared" si="6"/>
        <v>25967.835205236315</v>
      </c>
      <c r="Q45" s="25">
        <f t="array" aca="1" ref="Q45" ca="1">INDEX('Isaac 401k'!L:L,MATCH('Retirement Calculator'!A45,'Isaac 401k'!N:N,0),0)</f>
        <v>2582727.0243626419</v>
      </c>
      <c r="R45" s="25">
        <f t="array" aca="1" ref="R45" ca="1">INDEX('Lorri 401b'!L:L,MATCH('Retirement Calculator'!A45,'Lorri 401b'!N:N,0),0)</f>
        <v>3780771.5097444584</v>
      </c>
      <c r="S45" s="25">
        <f t="shared" ca="1" si="7"/>
        <v>6363498.5341071002</v>
      </c>
    </row>
    <row r="46" spans="1:19" ht="15.75" customHeight="1" x14ac:dyDescent="0.3">
      <c r="A46" s="37">
        <v>52352</v>
      </c>
      <c r="B46" s="409">
        <f t="shared" ref="B46:C46" si="42">($A46-B$9)/365.25</f>
        <v>61.453798767967143</v>
      </c>
      <c r="C46" s="409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3525.4531757812501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25967.835205236315</v>
      </c>
      <c r="K46" s="25">
        <f t="shared" si="4"/>
        <v>0</v>
      </c>
      <c r="L46" s="25"/>
      <c r="N46" s="25">
        <f>'Combined Retirement'!$C$18/12</f>
        <v>33932.660666666663</v>
      </c>
      <c r="O46" s="25">
        <f t="shared" si="5"/>
        <v>7964.8254614303487</v>
      </c>
      <c r="P46" s="25">
        <f t="shared" si="6"/>
        <v>25967.835205236315</v>
      </c>
      <c r="Q46" s="25">
        <f t="array" aca="1" ref="Q46" ca="1">INDEX('Isaac 401k'!L:L,MATCH('Retirement Calculator'!A46,'Isaac 401k'!N:N,0),0)</f>
        <v>2567412.3524455614</v>
      </c>
      <c r="R46" s="25">
        <f t="array" aca="1" ref="R46" ca="1">INDEX('Lorri 401b'!L:L,MATCH('Retirement Calculator'!A46,'Lorri 401b'!N:N,0),0)</f>
        <v>3796524.7243683934</v>
      </c>
      <c r="S46" s="25">
        <f t="shared" ca="1" si="7"/>
        <v>6363937.0768139549</v>
      </c>
    </row>
    <row r="47" spans="1:19" ht="15.75" customHeight="1" x14ac:dyDescent="0.3">
      <c r="A47" s="37">
        <v>52383</v>
      </c>
      <c r="B47" s="409">
        <f t="shared" ref="B47:C47" si="43">($A47-B$9)/365.25</f>
        <v>61.538672142368242</v>
      </c>
      <c r="C47" s="409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3525.4531757812501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25967.835205236315</v>
      </c>
      <c r="K47" s="25">
        <f t="shared" si="4"/>
        <v>0</v>
      </c>
      <c r="L47" s="25"/>
      <c r="N47" s="25">
        <f>'Combined Retirement'!$C$18/12</f>
        <v>33932.660666666663</v>
      </c>
      <c r="O47" s="25">
        <f t="shared" si="5"/>
        <v>7964.8254614303487</v>
      </c>
      <c r="P47" s="25">
        <f t="shared" si="6"/>
        <v>25967.835205236315</v>
      </c>
      <c r="Q47" s="25">
        <f t="array" aca="1" ref="Q47" ca="1">INDEX('Isaac 401k'!L:L,MATCH('Retirement Calculator'!A47,'Isaac 401k'!N:N,0),0)</f>
        <v>2552033.8693954931</v>
      </c>
      <c r="R47" s="25">
        <f t="array" aca="1" ref="R47" ca="1">INDEX('Lorri 401b'!L:L,MATCH('Retirement Calculator'!A47,'Lorri 401b'!N:N,0),0)</f>
        <v>3812343.5773865948</v>
      </c>
      <c r="S47" s="25">
        <f t="shared" ca="1" si="7"/>
        <v>6364377.4467820879</v>
      </c>
    </row>
    <row r="48" spans="1:19" ht="15.75" customHeight="1" x14ac:dyDescent="0.3">
      <c r="A48" s="37">
        <v>52413</v>
      </c>
      <c r="B48" s="409">
        <f t="shared" ref="B48:C48" si="44">($A48-B$9)/365.25</f>
        <v>61.620807665982205</v>
      </c>
      <c r="C48" s="409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3525.4531757812501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25967.835205236315</v>
      </c>
      <c r="K48" s="25">
        <f t="shared" si="4"/>
        <v>0</v>
      </c>
      <c r="L48" s="25"/>
      <c r="N48" s="25">
        <f>'Combined Retirement'!$C$18/12</f>
        <v>33932.660666666663</v>
      </c>
      <c r="O48" s="25">
        <f t="shared" si="5"/>
        <v>7964.8254614303487</v>
      </c>
      <c r="P48" s="25">
        <f t="shared" si="6"/>
        <v>25967.835205236315</v>
      </c>
      <c r="Q48" s="25">
        <f t="array" aca="1" ref="Q48" ca="1">INDEX('Isaac 401k'!L:L,MATCH('Retirement Calculator'!A48,'Isaac 401k'!N:N,0),0)</f>
        <v>2536591.3093327158</v>
      </c>
      <c r="R48" s="25">
        <f t="array" aca="1" ref="R48" ca="1">INDEX('Lorri 401b'!L:L,MATCH('Retirement Calculator'!A48,'Lorri 401b'!N:N,0),0)</f>
        <v>3828228.3422923721</v>
      </c>
      <c r="S48" s="25">
        <f t="shared" ca="1" si="7"/>
        <v>6364819.6516250875</v>
      </c>
    </row>
    <row r="49" spans="1:19" ht="15.75" customHeight="1" x14ac:dyDescent="0.3">
      <c r="A49" s="37">
        <v>52444</v>
      </c>
      <c r="B49" s="409">
        <f t="shared" ref="B49:C49" si="45">($A49-B$9)/365.25</f>
        <v>61.705681040383297</v>
      </c>
      <c r="C49" s="409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3525.4531757812501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25967.835205236315</v>
      </c>
      <c r="K49" s="25">
        <f t="shared" si="4"/>
        <v>0</v>
      </c>
      <c r="L49" s="25"/>
      <c r="N49" s="25">
        <f>'Combined Retirement'!$C$18/12</f>
        <v>33932.660666666663</v>
      </c>
      <c r="O49" s="25">
        <f t="shared" si="5"/>
        <v>7964.8254614303487</v>
      </c>
      <c r="P49" s="25">
        <f t="shared" si="6"/>
        <v>25967.835205236315</v>
      </c>
      <c r="Q49" s="25">
        <f t="array" aca="1" ref="Q49" ca="1">INDEX('Isaac 401k'!L:L,MATCH('Retirement Calculator'!A49,'Isaac 401k'!N:N,0),0)</f>
        <v>2521084.4052696773</v>
      </c>
      <c r="R49" s="25">
        <f t="array" aca="1" ref="R49" ca="1">INDEX('Lorri 401b'!L:L,MATCH('Retirement Calculator'!A49,'Lorri 401b'!N:N,0),0)</f>
        <v>3844179.2937185904</v>
      </c>
      <c r="S49" s="25">
        <f t="shared" ca="1" si="7"/>
        <v>6365263.6989882682</v>
      </c>
    </row>
    <row r="50" spans="1:19" ht="15.75" customHeight="1" x14ac:dyDescent="0.3">
      <c r="A50" s="37">
        <v>52475</v>
      </c>
      <c r="B50" s="409">
        <f t="shared" ref="B50:C50" si="46">($A50-B$9)/365.25</f>
        <v>61.790554414784395</v>
      </c>
      <c r="C50" s="409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3525.4531757812501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25967.835205236315</v>
      </c>
      <c r="K50" s="25">
        <f t="shared" si="4"/>
        <v>0</v>
      </c>
      <c r="L50" s="25"/>
      <c r="N50" s="25">
        <f>'Combined Retirement'!$C$18/12</f>
        <v>33932.660666666663</v>
      </c>
      <c r="O50" s="25">
        <f t="shared" si="5"/>
        <v>7964.8254614303487</v>
      </c>
      <c r="P50" s="25">
        <f t="shared" si="6"/>
        <v>25967.835205236315</v>
      </c>
      <c r="Q50" s="25">
        <f t="array" aca="1" ref="Q50" ca="1">INDEX('Isaac 401k'!L:L,MATCH('Retirement Calculator'!A50,'Isaac 401k'!N:N,0),0)</f>
        <v>2505512.8891063761</v>
      </c>
      <c r="R50" s="25">
        <f t="array" aca="1" ref="R50" ca="1">INDEX('Lorri 401b'!L:L,MATCH('Retirement Calculator'!A50,'Lorri 401b'!N:N,0),0)</f>
        <v>3860196.7074424177</v>
      </c>
      <c r="S50" s="25">
        <f t="shared" ca="1" si="7"/>
        <v>6365709.5965487938</v>
      </c>
    </row>
    <row r="51" spans="1:19" ht="15.75" customHeight="1" x14ac:dyDescent="0.3">
      <c r="A51" s="37">
        <v>52505</v>
      </c>
      <c r="B51" s="409">
        <f t="shared" ref="B51:C51" si="47">($A51-B$9)/365.25</f>
        <v>61.872689938398359</v>
      </c>
      <c r="C51" s="409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3525.4531757812501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25967.835205236315</v>
      </c>
      <c r="K51" s="25">
        <f t="shared" si="4"/>
        <v>0</v>
      </c>
      <c r="L51" s="25"/>
      <c r="N51" s="25">
        <f>'Combined Retirement'!$C$18/12</f>
        <v>33932.660666666663</v>
      </c>
      <c r="O51" s="25">
        <f t="shared" si="5"/>
        <v>7964.8254614303487</v>
      </c>
      <c r="P51" s="25">
        <f t="shared" si="6"/>
        <v>25967.835205236315</v>
      </c>
      <c r="Q51" s="25">
        <f t="array" aca="1" ref="Q51" ca="1">INDEX('Isaac 401k'!L:L,MATCH('Retirement Calculator'!A51,'Isaac 401k'!N:N,0),0)</f>
        <v>2489876.4916257276</v>
      </c>
      <c r="R51" s="25">
        <f t="array" aca="1" ref="R51" ca="1">INDEX('Lorri 401b'!L:L,MATCH('Retirement Calculator'!A51,'Lorri 401b'!N:N,0),0)</f>
        <v>3876280.8603900946</v>
      </c>
      <c r="S51" s="25">
        <f t="shared" ca="1" si="7"/>
        <v>6366157.3520158222</v>
      </c>
    </row>
    <row r="52" spans="1:19" ht="15.75" customHeight="1" x14ac:dyDescent="0.3">
      <c r="A52" s="37">
        <v>52536</v>
      </c>
      <c r="B52" s="409">
        <f t="shared" ref="B52:C52" si="48">($A52-B$9)/365.25</f>
        <v>61.957563312799451</v>
      </c>
      <c r="C52" s="409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3525.4531757812501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25967.835205236315</v>
      </c>
      <c r="K52" s="25">
        <f t="shared" si="4"/>
        <v>0</v>
      </c>
      <c r="L52" s="25"/>
      <c r="N52" s="25">
        <f>'Combined Retirement'!$C$18/12</f>
        <v>33932.660666666663</v>
      </c>
      <c r="O52" s="25">
        <f t="shared" si="5"/>
        <v>7964.8254614303487</v>
      </c>
      <c r="P52" s="25">
        <f t="shared" si="6"/>
        <v>25967.835205236315</v>
      </c>
      <c r="Q52" s="25">
        <f t="array" aca="1" ref="Q52" ca="1">INDEX('Isaac 401k'!L:L,MATCH('Retirement Calculator'!A52,'Isaac 401k'!N:N,0),0)</f>
        <v>2474174.9424889097</v>
      </c>
      <c r="R52" s="25">
        <f t="array" aca="1" ref="R52" ca="1">INDEX('Lorri 401b'!L:L,MATCH('Retirement Calculator'!A52,'Lorri 401b'!N:N,0),0)</f>
        <v>3892432.0306417202</v>
      </c>
      <c r="S52" s="25">
        <f t="shared" ca="1" si="7"/>
        <v>6366606.9731306303</v>
      </c>
    </row>
    <row r="53" spans="1:19" ht="15.75" customHeight="1" x14ac:dyDescent="0.3">
      <c r="A53" s="37">
        <v>52566</v>
      </c>
      <c r="B53" s="409">
        <f t="shared" ref="B53:C53" si="49">($A53-B$9)/365.25</f>
        <v>62.039698836413415</v>
      </c>
      <c r="C53" s="409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3525.4531757812501</v>
      </c>
      <c r="H53" s="25">
        <f>IF(B53&lt;62,0,'Combined Retirement'!$I$14)</f>
        <v>2192</v>
      </c>
      <c r="I53" s="25">
        <f>IF(C53&lt;62,0,'Combined Retirement'!$I$13)</f>
        <v>0</v>
      </c>
      <c r="J53" s="25">
        <f t="shared" si="3"/>
        <v>25344.835205236312</v>
      </c>
      <c r="K53" s="25">
        <f t="shared" si="4"/>
        <v>0</v>
      </c>
      <c r="L53" s="25"/>
      <c r="N53" s="25">
        <f>'Combined Retirement'!$C$18/12</f>
        <v>33932.660666666663</v>
      </c>
      <c r="O53" s="25">
        <f t="shared" si="5"/>
        <v>8587.8254614303496</v>
      </c>
      <c r="P53" s="25">
        <f t="shared" si="6"/>
        <v>25344.835205236312</v>
      </c>
      <c r="Q53" s="25">
        <f t="array" aca="1" ref="Q53" ca="1">INDEX('Isaac 401k'!L:L,MATCH('Retirement Calculator'!A53,'Isaac 401k'!N:N,0),0)</f>
        <v>2459033.566064022</v>
      </c>
      <c r="R53" s="25">
        <f t="array" aca="1" ref="R53" ca="1">INDEX('Lorri 401b'!L:L,MATCH('Retirement Calculator'!A53,'Lorri 401b'!N:N,0),0)</f>
        <v>3908650.4974360606</v>
      </c>
      <c r="S53" s="25">
        <f t="shared" ca="1" si="7"/>
        <v>6367684.0635000821</v>
      </c>
    </row>
    <row r="54" spans="1:19" ht="15.75" customHeight="1" x14ac:dyDescent="0.3">
      <c r="A54" s="37">
        <v>52597</v>
      </c>
      <c r="B54" s="409">
        <f t="shared" ref="B54:C54" si="50">($A54-B$9)/365.25</f>
        <v>62.124572210814513</v>
      </c>
      <c r="C54" s="409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3525.4531757812501</v>
      </c>
      <c r="H54" s="25">
        <f>IF(B54&lt;62,0,'Combined Retirement'!$I$14)</f>
        <v>2192</v>
      </c>
      <c r="I54" s="25">
        <f>IF(C54&lt;62,0,'Combined Retirement'!$I$13)</f>
        <v>0</v>
      </c>
      <c r="J54" s="25">
        <f t="shared" si="3"/>
        <v>25344.835205236312</v>
      </c>
      <c r="K54" s="25">
        <f t="shared" si="4"/>
        <v>0</v>
      </c>
      <c r="L54" s="25"/>
      <c r="N54" s="25">
        <f>'Combined Retirement'!$C$18/12</f>
        <v>33932.660666666663</v>
      </c>
      <c r="O54" s="25">
        <f t="shared" si="5"/>
        <v>8587.8254614303496</v>
      </c>
      <c r="P54" s="25">
        <f t="shared" si="6"/>
        <v>25344.835205236312</v>
      </c>
      <c r="Q54" s="25">
        <f t="array" aca="1" ref="Q54" ca="1">INDEX('Isaac 401k'!L:L,MATCH('Retirement Calculator'!A54,'Isaac 401k'!N:N,0),0)</f>
        <v>2443829.1005706973</v>
      </c>
      <c r="R54" s="25">
        <f t="array" aca="1" ref="R54" ca="1">INDEX('Lorri 401b'!L:L,MATCH('Retirement Calculator'!A54,'Lorri 401b'!N:N,0),0)</f>
        <v>3924936.5411753776</v>
      </c>
      <c r="S54" s="25">
        <f t="shared" ca="1" si="7"/>
        <v>6368765.6417460749</v>
      </c>
    </row>
    <row r="55" spans="1:19" ht="15.75" customHeight="1" x14ac:dyDescent="0.3">
      <c r="A55" s="37">
        <v>52628</v>
      </c>
      <c r="B55" s="409">
        <f t="shared" ref="B55:C55" si="51">($A55-B$9)/365.25</f>
        <v>62.209445585215605</v>
      </c>
      <c r="C55" s="409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3525.4531757812501</v>
      </c>
      <c r="H55" s="25">
        <f>IF(B55&lt;62,0,'Combined Retirement'!$I$14)</f>
        <v>2192</v>
      </c>
      <c r="I55" s="25">
        <f>IF(C55&lt;62,0,'Combined Retirement'!$I$13)</f>
        <v>0</v>
      </c>
      <c r="J55" s="25">
        <f t="shared" si="3"/>
        <v>25344.835205236312</v>
      </c>
      <c r="K55" s="25">
        <f t="shared" si="4"/>
        <v>0</v>
      </c>
      <c r="L55" s="25"/>
      <c r="N55" s="25">
        <f>'Combined Retirement'!$C$18/12</f>
        <v>33932.660666666663</v>
      </c>
      <c r="O55" s="25">
        <f t="shared" si="5"/>
        <v>8587.8254614303496</v>
      </c>
      <c r="P55" s="25">
        <f t="shared" si="6"/>
        <v>25344.835205236312</v>
      </c>
      <c r="Q55" s="25">
        <f t="array" aca="1" ref="Q55" ca="1">INDEX('Isaac 401k'!L:L,MATCH('Retirement Calculator'!A55,'Isaac 401k'!N:N,0),0)</f>
        <v>2428561.2831378169</v>
      </c>
      <c r="R55" s="25">
        <f t="array" aca="1" ref="R55" ca="1">INDEX('Lorri 401b'!L:L,MATCH('Retirement Calculator'!A55,'Lorri 401b'!N:N,0),0)</f>
        <v>3941290.4434302752</v>
      </c>
      <c r="S55" s="25">
        <f t="shared" ca="1" si="7"/>
        <v>6369851.7265680917</v>
      </c>
    </row>
    <row r="56" spans="1:19" ht="15.75" customHeight="1" x14ac:dyDescent="0.3">
      <c r="A56" s="37">
        <v>52657</v>
      </c>
      <c r="B56" s="409">
        <f t="shared" ref="B56:C56" si="52">($A56-B$9)/365.25</f>
        <v>62.288843258042434</v>
      </c>
      <c r="C56" s="409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3525.4531757812501</v>
      </c>
      <c r="H56" s="25">
        <f>IF(B56&lt;62,0,'Combined Retirement'!$I$14)</f>
        <v>2192</v>
      </c>
      <c r="I56" s="25">
        <f>IF(C56&lt;62,0,'Combined Retirement'!$I$13)</f>
        <v>0</v>
      </c>
      <c r="J56" s="25">
        <f t="shared" si="3"/>
        <v>25344.835205236312</v>
      </c>
      <c r="K56" s="25">
        <f t="shared" si="4"/>
        <v>0</v>
      </c>
      <c r="L56" s="25"/>
      <c r="N56" s="25">
        <f>'Combined Retirement'!$C$18/12</f>
        <v>33932.660666666663</v>
      </c>
      <c r="O56" s="25">
        <f t="shared" si="5"/>
        <v>8587.8254614303496</v>
      </c>
      <c r="P56" s="25">
        <f t="shared" si="6"/>
        <v>25344.835205236312</v>
      </c>
      <c r="Q56" s="25">
        <f t="array" aca="1" ref="Q56" ca="1">INDEX('Isaac 401k'!L:L,MATCH('Retirement Calculator'!A56,'Isaac 401k'!N:N,0),0)</f>
        <v>2413229.8497989662</v>
      </c>
      <c r="R56" s="25">
        <f t="array" aca="1" ref="R56" ca="1">INDEX('Lorri 401b'!L:L,MATCH('Retirement Calculator'!A56,'Lorri 401b'!N:N,0),0)</f>
        <v>3957712.4869445679</v>
      </c>
      <c r="S56" s="25">
        <f t="shared" ca="1" si="7"/>
        <v>6370942.3367435336</v>
      </c>
    </row>
    <row r="57" spans="1:19" ht="15.75" customHeight="1" x14ac:dyDescent="0.3">
      <c r="A57" s="37">
        <v>52688</v>
      </c>
      <c r="B57" s="409">
        <f t="shared" ref="B57:C57" si="53">($A57-B$9)/365.25</f>
        <v>62.373716632443532</v>
      </c>
      <c r="C57" s="409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3525.4531757812501</v>
      </c>
      <c r="H57" s="25">
        <f>IF(B57&lt;62,0,'Combined Retirement'!$I$14)</f>
        <v>2192</v>
      </c>
      <c r="I57" s="25">
        <f>IF(C57&lt;62,0,'Combined Retirement'!$I$13)</f>
        <v>0</v>
      </c>
      <c r="J57" s="25">
        <f t="shared" si="3"/>
        <v>25344.835205236312</v>
      </c>
      <c r="K57" s="25">
        <f t="shared" si="4"/>
        <v>0</v>
      </c>
      <c r="L57" s="25"/>
      <c r="N57" s="25">
        <f>'Combined Retirement'!$C$18/12</f>
        <v>33932.660666666663</v>
      </c>
      <c r="O57" s="25">
        <f t="shared" si="5"/>
        <v>8587.8254614303496</v>
      </c>
      <c r="P57" s="25">
        <f t="shared" si="6"/>
        <v>25344.835205236312</v>
      </c>
      <c r="Q57" s="25">
        <f t="array" aca="1" ref="Q57" ca="1">INDEX('Isaac 401k'!L:L,MATCH('Retirement Calculator'!A57,'Isaac 401k'!N:N,0),0)</f>
        <v>2397834.5354878702</v>
      </c>
      <c r="R57" s="25">
        <f t="array" aca="1" ref="R57" ca="1">INDEX('Lorri 401b'!L:L,MATCH('Retirement Calculator'!A57,'Lorri 401b'!N:N,0),0)</f>
        <v>3974202.9556401703</v>
      </c>
      <c r="S57" s="25">
        <f t="shared" ca="1" si="7"/>
        <v>6372037.4911280405</v>
      </c>
    </row>
    <row r="58" spans="1:19" ht="15.75" customHeight="1" x14ac:dyDescent="0.3">
      <c r="A58" s="37">
        <v>52718</v>
      </c>
      <c r="B58" s="409">
        <f t="shared" ref="B58:C58" si="54">($A58-B$9)/365.25</f>
        <v>62.455852156057496</v>
      </c>
      <c r="C58" s="409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3525.4531757812501</v>
      </c>
      <c r="H58" s="25">
        <f>IF(B58&lt;62,0,'Combined Retirement'!$I$14)</f>
        <v>2192</v>
      </c>
      <c r="I58" s="25">
        <f>IF(C58&lt;62,0,'Combined Retirement'!$I$13)</f>
        <v>0</v>
      </c>
      <c r="J58" s="25">
        <f t="shared" si="3"/>
        <v>25344.835205236312</v>
      </c>
      <c r="K58" s="25">
        <f t="shared" si="4"/>
        <v>0</v>
      </c>
      <c r="L58" s="25"/>
      <c r="N58" s="25">
        <f>'Combined Retirement'!$C$18/12</f>
        <v>33932.660666666663</v>
      </c>
      <c r="O58" s="25">
        <f t="shared" si="5"/>
        <v>8587.8254614303496</v>
      </c>
      <c r="P58" s="25">
        <f t="shared" si="6"/>
        <v>25344.835205236312</v>
      </c>
      <c r="Q58" s="25">
        <f t="array" aca="1" ref="Q58" ca="1">INDEX('Isaac 401k'!L:L,MATCH('Retirement Calculator'!A58,'Isaac 401k'!N:N,0),0)</f>
        <v>2382375.0740338112</v>
      </c>
      <c r="R58" s="25">
        <f t="array" aca="1" ref="R58" ca="1">INDEX('Lorri 401b'!L:L,MATCH('Retirement Calculator'!A58,'Lorri 401b'!N:N,0),0)</f>
        <v>3990762.1346220043</v>
      </c>
      <c r="S58" s="25">
        <f t="shared" ca="1" si="7"/>
        <v>6373137.2086558156</v>
      </c>
    </row>
    <row r="59" spans="1:19" ht="15.75" customHeight="1" x14ac:dyDescent="0.3">
      <c r="A59" s="37">
        <v>52749</v>
      </c>
      <c r="B59" s="409">
        <f t="shared" ref="B59:C59" si="55">($A59-B$9)/365.25</f>
        <v>62.540725530458587</v>
      </c>
      <c r="C59" s="409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3525.4531757812501</v>
      </c>
      <c r="H59" s="25">
        <f>IF(B59&lt;62,0,'Combined Retirement'!$I$14)</f>
        <v>2192</v>
      </c>
      <c r="I59" s="25">
        <f>IF(C59&lt;62,0,'Combined Retirement'!$I$13)</f>
        <v>0</v>
      </c>
      <c r="J59" s="25">
        <f t="shared" si="3"/>
        <v>25344.835205236312</v>
      </c>
      <c r="K59" s="25">
        <f t="shared" si="4"/>
        <v>0</v>
      </c>
      <c r="L59" s="25"/>
      <c r="N59" s="25">
        <f>'Combined Retirement'!$C$18/12</f>
        <v>33932.660666666663</v>
      </c>
      <c r="O59" s="25">
        <f t="shared" si="5"/>
        <v>8587.8254614303496</v>
      </c>
      <c r="P59" s="25">
        <f t="shared" si="6"/>
        <v>25344.835205236312</v>
      </c>
      <c r="Q59" s="25">
        <f t="array" aca="1" ref="Q59" ca="1">INDEX('Isaac 401k'!L:L,MATCH('Retirement Calculator'!A59,'Isaac 401k'!N:N,0),0)</f>
        <v>2366851.1981570274</v>
      </c>
      <c r="R59" s="25">
        <f t="array" aca="1" ref="R59" ca="1">INDEX('Lorri 401b'!L:L,MATCH('Retirement Calculator'!A59,'Lorri 401b'!N:N,0),0)</f>
        <v>4007390.3101829295</v>
      </c>
      <c r="S59" s="25">
        <f t="shared" ca="1" si="7"/>
        <v>6374241.5083399564</v>
      </c>
    </row>
    <row r="60" spans="1:19" ht="15.75" customHeight="1" x14ac:dyDescent="0.3">
      <c r="A60" s="37">
        <v>52779</v>
      </c>
      <c r="B60" s="409">
        <f t="shared" ref="B60:C60" si="56">($A60-B$9)/365.25</f>
        <v>62.622861054072551</v>
      </c>
      <c r="C60" s="409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3525.4531757812501</v>
      </c>
      <c r="H60" s="25">
        <f>IF(B60&lt;62,0,'Combined Retirement'!$I$14)</f>
        <v>2192</v>
      </c>
      <c r="I60" s="25">
        <f>IF(C60&lt;62,0,'Combined Retirement'!$I$13)</f>
        <v>0</v>
      </c>
      <c r="J60" s="25">
        <f t="shared" si="3"/>
        <v>25344.835205236312</v>
      </c>
      <c r="K60" s="25">
        <f t="shared" si="4"/>
        <v>0</v>
      </c>
      <c r="L60" s="25"/>
      <c r="N60" s="25">
        <f>'Combined Retirement'!$C$18/12</f>
        <v>33932.660666666663</v>
      </c>
      <c r="O60" s="25">
        <f t="shared" si="5"/>
        <v>8587.8254614303496</v>
      </c>
      <c r="P60" s="25">
        <f t="shared" si="6"/>
        <v>25344.835205236312</v>
      </c>
      <c r="Q60" s="25">
        <f t="array" aca="1" ref="Q60" ca="1">INDEX('Isaac 401k'!L:L,MATCH('Retirement Calculator'!A60,'Isaac 401k'!N:N,0),0)</f>
        <v>2351262.6394640901</v>
      </c>
      <c r="R60" s="25">
        <f t="array" aca="1" ref="R60" ca="1">INDEX('Lorri 401b'!L:L,MATCH('Retirement Calculator'!A60,'Lorri 401b'!N:N,0),0)</f>
        <v>4024087.7698086919</v>
      </c>
      <c r="S60" s="25">
        <f t="shared" ca="1" si="7"/>
        <v>6375350.4092727825</v>
      </c>
    </row>
    <row r="61" spans="1:19" ht="15.75" customHeight="1" x14ac:dyDescent="0.3">
      <c r="A61" s="37">
        <v>52810</v>
      </c>
      <c r="B61" s="409">
        <f t="shared" ref="B61:C61" si="57">($A61-B$9)/365.25</f>
        <v>62.70773442847365</v>
      </c>
      <c r="C61" s="409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3525.4531757812501</v>
      </c>
      <c r="H61" s="25">
        <f>IF(B61&lt;62,0,'Combined Retirement'!$I$14)</f>
        <v>2192</v>
      </c>
      <c r="I61" s="25">
        <f>IF(C61&lt;62,0,'Combined Retirement'!$I$13)</f>
        <v>0</v>
      </c>
      <c r="J61" s="25">
        <f t="shared" si="3"/>
        <v>25344.835205236312</v>
      </c>
      <c r="K61" s="25">
        <f t="shared" si="4"/>
        <v>0</v>
      </c>
      <c r="L61" s="25"/>
      <c r="N61" s="25">
        <f>'Combined Retirement'!$C$18/12</f>
        <v>33932.660666666663</v>
      </c>
      <c r="O61" s="25">
        <f t="shared" si="5"/>
        <v>8587.8254614303496</v>
      </c>
      <c r="P61" s="25">
        <f t="shared" si="6"/>
        <v>25344.835205236312</v>
      </c>
      <c r="Q61" s="25">
        <f t="array" aca="1" ref="Q61" ca="1">INDEX('Isaac 401k'!L:L,MATCH('Retirement Calculator'!A61,'Isaac 401k'!N:N,0),0)</f>
        <v>2335609.1284432653</v>
      </c>
      <c r="R61" s="25">
        <f t="array" aca="1" ref="R61" ca="1">INDEX('Lorri 401b'!L:L,MATCH('Retirement Calculator'!A61,'Lorri 401b'!N:N,0),0)</f>
        <v>4040854.8021828947</v>
      </c>
      <c r="S61" s="25">
        <f t="shared" ca="1" si="7"/>
        <v>6376463.9306261595</v>
      </c>
    </row>
    <row r="62" spans="1:19" ht="15.75" customHeight="1" x14ac:dyDescent="0.3">
      <c r="A62" s="37">
        <v>52841</v>
      </c>
      <c r="B62" s="409">
        <f t="shared" ref="B62:C62" si="58">($A62-B$9)/365.25</f>
        <v>62.792607802874741</v>
      </c>
      <c r="C62" s="409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3525.4531757812501</v>
      </c>
      <c r="H62" s="25">
        <f>IF(B62&lt;62,0,'Combined Retirement'!$I$14)</f>
        <v>2192</v>
      </c>
      <c r="I62" s="25">
        <f>IF(C62&lt;62,0,'Combined Retirement'!$I$13)</f>
        <v>0</v>
      </c>
      <c r="J62" s="25">
        <f t="shared" si="3"/>
        <v>25344.835205236312</v>
      </c>
      <c r="K62" s="25">
        <f t="shared" si="4"/>
        <v>0</v>
      </c>
      <c r="L62" s="25"/>
      <c r="N62" s="25">
        <f>'Combined Retirement'!$C$18/12</f>
        <v>33932.660666666663</v>
      </c>
      <c r="O62" s="25">
        <f t="shared" si="5"/>
        <v>8587.8254614303496</v>
      </c>
      <c r="P62" s="25">
        <f t="shared" si="6"/>
        <v>25344.835205236312</v>
      </c>
      <c r="Q62" s="25">
        <f t="array" aca="1" ref="Q62" ca="1">INDEX('Isaac 401k'!L:L,MATCH('Retirement Calculator'!A62,'Isaac 401k'!N:N,0),0)</f>
        <v>2319890.3944598539</v>
      </c>
      <c r="R62" s="25">
        <f t="array" aca="1" ref="R62" ca="1">INDEX('Lorri 401b'!L:L,MATCH('Retirement Calculator'!A62,'Lorri 401b'!N:N,0),0)</f>
        <v>4057691.69719199</v>
      </c>
      <c r="S62" s="25">
        <f t="shared" ca="1" si="7"/>
        <v>6377582.0916518439</v>
      </c>
    </row>
    <row r="63" spans="1:19" ht="15.75" customHeight="1" x14ac:dyDescent="0.3">
      <c r="A63" s="37">
        <v>52871</v>
      </c>
      <c r="B63" s="409">
        <f t="shared" ref="B63:C63" si="59">($A63-B$9)/365.25</f>
        <v>62.874743326488705</v>
      </c>
      <c r="C63" s="409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3525.4531757812501</v>
      </c>
      <c r="H63" s="25">
        <f>IF(B63&lt;62,0,'Combined Retirement'!$I$14)</f>
        <v>2192</v>
      </c>
      <c r="I63" s="25">
        <f>IF(C63&lt;62,0,'Combined Retirement'!$I$13)</f>
        <v>0</v>
      </c>
      <c r="J63" s="25">
        <f t="shared" si="3"/>
        <v>25344.835205236312</v>
      </c>
      <c r="K63" s="25">
        <f t="shared" si="4"/>
        <v>0</v>
      </c>
      <c r="L63" s="25"/>
      <c r="N63" s="25">
        <f>'Combined Retirement'!$C$18/12</f>
        <v>33932.660666666663</v>
      </c>
      <c r="O63" s="25">
        <f t="shared" si="5"/>
        <v>8587.8254614303496</v>
      </c>
      <c r="P63" s="25">
        <f t="shared" si="6"/>
        <v>25344.835205236312</v>
      </c>
      <c r="Q63" s="25">
        <f t="array" aca="1" ref="Q63" ca="1">INDEX('Isaac 401k'!L:L,MATCH('Retirement Calculator'!A63,'Isaac 401k'!N:N,0),0)</f>
        <v>2304106.1657515117</v>
      </c>
      <c r="R63" s="25">
        <f t="array" aca="1" ref="R63" ca="1">INDEX('Lorri 401b'!L:L,MATCH('Retirement Calculator'!A63,'Lorri 401b'!N:N,0),0)</f>
        <v>4074598.7459302898</v>
      </c>
      <c r="S63" s="25">
        <f t="shared" ca="1" si="7"/>
        <v>6378704.9116818011</v>
      </c>
    </row>
    <row r="64" spans="1:19" ht="15.75" customHeight="1" x14ac:dyDescent="0.3">
      <c r="A64" s="37">
        <v>52902</v>
      </c>
      <c r="B64" s="409">
        <f t="shared" ref="B64:C64" si="60">($A64-B$9)/365.25</f>
        <v>62.959616700889804</v>
      </c>
      <c r="C64" s="409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3525.4531757812501</v>
      </c>
      <c r="H64" s="25">
        <f>IF(B64&lt;62,0,'Combined Retirement'!$I$14)</f>
        <v>2192</v>
      </c>
      <c r="I64" s="25">
        <f>IF(C64&lt;62,0,'Combined Retirement'!$I$13)</f>
        <v>0</v>
      </c>
      <c r="J64" s="25">
        <f t="shared" si="3"/>
        <v>25344.835205236312</v>
      </c>
      <c r="K64" s="25">
        <f t="shared" si="4"/>
        <v>0</v>
      </c>
      <c r="L64" s="25"/>
      <c r="N64" s="25">
        <f>'Combined Retirement'!$C$18/12</f>
        <v>33932.660666666663</v>
      </c>
      <c r="O64" s="25">
        <f t="shared" si="5"/>
        <v>8587.8254614303496</v>
      </c>
      <c r="P64" s="25">
        <f t="shared" si="6"/>
        <v>25344.835205236312</v>
      </c>
      <c r="Q64" s="25">
        <f t="array" aca="1" ref="Q64" ca="1">INDEX('Isaac 401k'!L:L,MATCH('Retirement Calculator'!A64,'Isaac 401k'!N:N,0),0)</f>
        <v>2288256.1694235513</v>
      </c>
      <c r="R64" s="25">
        <f t="array" aca="1" ref="R64" ca="1">INDEX('Lorri 401b'!L:L,MATCH('Retirement Calculator'!A64,'Lorri 401b'!N:N,0),0)</f>
        <v>4091576.2407049993</v>
      </c>
      <c r="S64" s="25">
        <f t="shared" ca="1" si="7"/>
        <v>6379832.4101285506</v>
      </c>
    </row>
    <row r="65" spans="1:19" ht="15.75" customHeight="1" x14ac:dyDescent="0.3">
      <c r="A65" s="37">
        <v>52932</v>
      </c>
      <c r="B65" s="409">
        <f t="shared" ref="B65:C65" si="61">($A65-B$9)/365.25</f>
        <v>63.041752224503767</v>
      </c>
      <c r="C65" s="409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3525.4531757812501</v>
      </c>
      <c r="H65" s="25">
        <f>IF(B65&lt;62,0,'Combined Retirement'!$I$14)</f>
        <v>2192</v>
      </c>
      <c r="I65" s="25">
        <f>IF(C65&lt;62,0,'Combined Retirement'!$I$13)</f>
        <v>0</v>
      </c>
      <c r="J65" s="25">
        <f t="shared" si="3"/>
        <v>25344.835205236312</v>
      </c>
      <c r="K65" s="25">
        <f t="shared" si="4"/>
        <v>0</v>
      </c>
      <c r="L65" s="25"/>
      <c r="N65" s="25">
        <f>'Combined Retirement'!$C$18/12</f>
        <v>33932.660666666663</v>
      </c>
      <c r="O65" s="25">
        <f t="shared" si="5"/>
        <v>8587.8254614303496</v>
      </c>
      <c r="P65" s="25">
        <f t="shared" si="6"/>
        <v>25344.835205236312</v>
      </c>
      <c r="Q65" s="25">
        <f t="array" aca="1" ref="Q65" ca="1">INDEX('Isaac 401k'!L:L,MATCH('Retirement Calculator'!A65,'Isaac 401k'!N:N,0),0)</f>
        <v>2272340.1314442246</v>
      </c>
      <c r="R65" s="25">
        <f t="array" aca="1" ref="R65" ca="1">INDEX('Lorri 401b'!L:L,MATCH('Retirement Calculator'!A65,'Lorri 401b'!N:N,0),0)</f>
        <v>4108624.4750412703</v>
      </c>
      <c r="S65" s="25">
        <f t="shared" ca="1" si="7"/>
        <v>6380964.6064854953</v>
      </c>
    </row>
    <row r="66" spans="1:19" ht="15.75" customHeight="1" x14ac:dyDescent="0.3">
      <c r="A66" s="37">
        <v>52963</v>
      </c>
      <c r="B66" s="409">
        <f t="shared" ref="B66:C66" si="62">($A66-B$9)/365.25</f>
        <v>63.126625598904859</v>
      </c>
      <c r="C66" s="409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3525.4531757812501</v>
      </c>
      <c r="H66" s="25">
        <f>IF(B66&lt;62,0,'Combined Retirement'!$I$14)</f>
        <v>2192</v>
      </c>
      <c r="I66" s="25">
        <f>IF(C66&lt;62,0,'Combined Retirement'!$I$13)</f>
        <v>0</v>
      </c>
      <c r="J66" s="25">
        <f t="shared" si="3"/>
        <v>25344.835205236312</v>
      </c>
      <c r="K66" s="25">
        <f t="shared" si="4"/>
        <v>0</v>
      </c>
      <c r="L66" s="25"/>
      <c r="N66" s="25">
        <f>'Combined Retirement'!$C$18/12</f>
        <v>33932.660666666663</v>
      </c>
      <c r="O66" s="25">
        <f t="shared" si="5"/>
        <v>8587.8254614303496</v>
      </c>
      <c r="P66" s="25">
        <f t="shared" si="6"/>
        <v>25344.835205236312</v>
      </c>
      <c r="Q66" s="25">
        <f t="array" aca="1" ref="Q66" ca="1">INDEX('Isaac 401k'!L:L,MATCH('Retirement Calculator'!A66,'Isaac 401k'!N:N,0),0)</f>
        <v>2256357.776639984</v>
      </c>
      <c r="R66" s="25">
        <f t="array" aca="1" ref="R66" ca="1">INDEX('Lorri 401b'!L:L,MATCH('Retirement Calculator'!A66,'Lorri 401b'!N:N,0),0)</f>
        <v>4125743.7436872753</v>
      </c>
      <c r="S66" s="25">
        <f t="shared" ca="1" si="7"/>
        <v>6382101.5203272589</v>
      </c>
    </row>
    <row r="67" spans="1:19" ht="15.75" customHeight="1" x14ac:dyDescent="0.3">
      <c r="A67" s="37">
        <v>52994</v>
      </c>
      <c r="B67" s="409">
        <f t="shared" ref="B67:C67" si="63">($A67-B$9)/365.25</f>
        <v>63.211498973305957</v>
      </c>
      <c r="C67" s="409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3525.4531757812501</v>
      </c>
      <c r="H67" s="25">
        <f>IF(B67&lt;62,0,'Combined Retirement'!$I$14)</f>
        <v>2192</v>
      </c>
      <c r="I67" s="25">
        <f>IF(C67&lt;62,0,'Combined Retirement'!$I$13)</f>
        <v>0</v>
      </c>
      <c r="J67" s="25">
        <f t="shared" si="3"/>
        <v>25344.835205236312</v>
      </c>
      <c r="K67" s="25">
        <f t="shared" si="4"/>
        <v>0</v>
      </c>
      <c r="L67" s="25"/>
      <c r="N67" s="25">
        <f>'Combined Retirement'!$C$18/12</f>
        <v>33932.660666666663</v>
      </c>
      <c r="O67" s="25">
        <f t="shared" si="5"/>
        <v>8587.8254614303496</v>
      </c>
      <c r="P67" s="25">
        <f t="shared" si="6"/>
        <v>25344.835205236312</v>
      </c>
      <c r="Q67" s="25">
        <f t="array" aca="1" ref="Q67" ca="1">INDEX('Isaac 401k'!L:L,MATCH('Retirement Calculator'!A67,'Isaac 401k'!N:N,0),0)</f>
        <v>2240308.8286907258</v>
      </c>
      <c r="R67" s="25">
        <f t="array" aca="1" ref="R67" ca="1">INDEX('Lorri 401b'!L:L,MATCH('Retirement Calculator'!A67,'Lorri 401b'!N:N,0),0)</f>
        <v>4142934.3426193055</v>
      </c>
      <c r="S67" s="25">
        <f t="shared" ca="1" si="7"/>
        <v>6383243.1713100318</v>
      </c>
    </row>
    <row r="68" spans="1:19" ht="15.75" customHeight="1" x14ac:dyDescent="0.3">
      <c r="A68" s="37">
        <v>53022</v>
      </c>
      <c r="B68" s="409">
        <f t="shared" ref="B68:C68" si="64">($A68-B$9)/365.25</f>
        <v>63.288158795345652</v>
      </c>
      <c r="C68" s="409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3525.4531757812501</v>
      </c>
      <c r="H68" s="25">
        <f>IF(B68&lt;62,0,'Combined Retirement'!$I$14)</f>
        <v>2192</v>
      </c>
      <c r="I68" s="25">
        <f>IF(C68&lt;62,0,'Combined Retirement'!$I$13)</f>
        <v>0</v>
      </c>
      <c r="J68" s="25">
        <f t="shared" si="3"/>
        <v>25344.835205236312</v>
      </c>
      <c r="K68" s="25">
        <f t="shared" si="4"/>
        <v>0</v>
      </c>
      <c r="L68" s="25"/>
      <c r="N68" s="25">
        <f>'Combined Retirement'!$C$18/12</f>
        <v>33932.660666666663</v>
      </c>
      <c r="O68" s="25">
        <f t="shared" si="5"/>
        <v>8587.8254614303496</v>
      </c>
      <c r="P68" s="25">
        <f t="shared" si="6"/>
        <v>25344.835205236312</v>
      </c>
      <c r="Q68" s="25">
        <f t="array" aca="1" ref="Q68" ca="1">INDEX('Isaac 401k'!L:L,MATCH('Retirement Calculator'!A68,'Isaac 401k'!N:N,0),0)</f>
        <v>2224193.0101250121</v>
      </c>
      <c r="R68" s="25">
        <f t="array" aca="1" ref="R68" ca="1">INDEX('Lorri 401b'!L:L,MATCH('Retirement Calculator'!A68,'Lorri 401b'!N:N,0),0)</f>
        <v>4160196.5690468857</v>
      </c>
      <c r="S68" s="25">
        <f t="shared" ca="1" si="7"/>
        <v>6384389.5791718978</v>
      </c>
    </row>
    <row r="69" spans="1:19" ht="15.75" customHeight="1" x14ac:dyDescent="0.3">
      <c r="A69" s="37">
        <v>53053</v>
      </c>
      <c r="B69" s="409">
        <f t="shared" ref="B69:C69" si="65">($A69-B$9)/365.25</f>
        <v>63.37303216974675</v>
      </c>
      <c r="C69" s="409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3525.4531757812501</v>
      </c>
      <c r="H69" s="25">
        <f>IF(B69&lt;62,0,'Combined Retirement'!$I$14)</f>
        <v>2192</v>
      </c>
      <c r="I69" s="25">
        <f>IF(C69&lt;62,0,'Combined Retirement'!$I$13)</f>
        <v>0</v>
      </c>
      <c r="J69" s="25">
        <f t="shared" si="3"/>
        <v>25344.835205236312</v>
      </c>
      <c r="K69" s="25">
        <f t="shared" si="4"/>
        <v>0</v>
      </c>
      <c r="L69" s="25"/>
      <c r="N69" s="25">
        <f>'Combined Retirement'!$C$18/12</f>
        <v>33932.660666666663</v>
      </c>
      <c r="O69" s="25">
        <f t="shared" si="5"/>
        <v>8587.8254614303496</v>
      </c>
      <c r="P69" s="25">
        <f t="shared" si="6"/>
        <v>25344.835205236312</v>
      </c>
      <c r="Q69" s="25">
        <f t="array" aca="1" ref="Q69" ca="1">INDEX('Isaac 401k'!L:L,MATCH('Retirement Calculator'!A69,'Isaac 401k'!N:N,0),0)</f>
        <v>2208010.0423152749</v>
      </c>
      <c r="R69" s="25">
        <f t="array" aca="1" ref="R69" ca="1">INDEX('Lorri 401b'!L:L,MATCH('Retirement Calculator'!A69,'Lorri 401b'!N:N,0),0)</f>
        <v>4177530.7214179146</v>
      </c>
      <c r="S69" s="25">
        <f t="shared" ca="1" si="7"/>
        <v>6385540.7637331896</v>
      </c>
    </row>
    <row r="70" spans="1:19" ht="15.75" customHeight="1" x14ac:dyDescent="0.3">
      <c r="A70" s="37">
        <v>53083</v>
      </c>
      <c r="B70" s="409">
        <f t="shared" ref="B70:C70" si="66">($A70-B$9)/365.25</f>
        <v>63.455167693360714</v>
      </c>
      <c r="C70" s="409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3525.4531757812501</v>
      </c>
      <c r="H70" s="25">
        <f>IF(B70&lt;62,0,'Combined Retirement'!$I$14)</f>
        <v>2192</v>
      </c>
      <c r="I70" s="25">
        <f>IF(C70&lt;62,0,'Combined Retirement'!$I$13)</f>
        <v>0</v>
      </c>
      <c r="J70" s="25">
        <f t="shared" si="3"/>
        <v>25344.835205236312</v>
      </c>
      <c r="K70" s="25">
        <f t="shared" si="4"/>
        <v>0</v>
      </c>
      <c r="L70" s="25"/>
      <c r="N70" s="25">
        <f>'Combined Retirement'!$C$18/12</f>
        <v>33932.660666666663</v>
      </c>
      <c r="O70" s="25">
        <f t="shared" si="5"/>
        <v>8587.8254614303496</v>
      </c>
      <c r="P70" s="25">
        <f t="shared" si="6"/>
        <v>25344.835205236312</v>
      </c>
      <c r="Q70" s="25">
        <f t="array" aca="1" ref="Q70" ca="1">INDEX('Isaac 401k'!L:L,MATCH('Retirement Calculator'!A70,'Isaac 401k'!N:N,0),0)</f>
        <v>2191759.6454729969</v>
      </c>
      <c r="R70" s="25">
        <f t="array" aca="1" ref="R70" ca="1">INDEX('Lorri 401b'!L:L,MATCH('Retirement Calculator'!A70,'Lorri 401b'!N:N,0),0)</f>
        <v>4194937.0994238229</v>
      </c>
      <c r="S70" s="25">
        <f t="shared" ca="1" si="7"/>
        <v>6386696.7448968198</v>
      </c>
    </row>
    <row r="71" spans="1:19" ht="15.75" customHeight="1" x14ac:dyDescent="0.3">
      <c r="A71" s="37">
        <v>53114</v>
      </c>
      <c r="B71" s="409">
        <f t="shared" ref="B71:C71" si="67">($A71-B$9)/365.25</f>
        <v>63.540041067761805</v>
      </c>
      <c r="C71" s="409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3525.4531757812501</v>
      </c>
      <c r="H71" s="25">
        <f>IF(B71&lt;62,0,'Combined Retirement'!$I$14)</f>
        <v>2192</v>
      </c>
      <c r="I71" s="25">
        <f>IF(C71&lt;62,0,'Combined Retirement'!$I$13)</f>
        <v>0</v>
      </c>
      <c r="J71" s="25">
        <f t="shared" si="3"/>
        <v>25344.835205236312</v>
      </c>
      <c r="K71" s="25">
        <f t="shared" si="4"/>
        <v>0</v>
      </c>
      <c r="L71" s="25"/>
      <c r="N71" s="25">
        <f>'Combined Retirement'!$C$18/12</f>
        <v>33932.660666666663</v>
      </c>
      <c r="O71" s="25">
        <f t="shared" si="5"/>
        <v>8587.8254614303496</v>
      </c>
      <c r="P71" s="25">
        <f t="shared" si="6"/>
        <v>25344.835205236312</v>
      </c>
      <c r="Q71" s="25">
        <f t="array" aca="1" ref="Q71" ca="1">INDEX('Isaac 401k'!L:L,MATCH('Retirement Calculator'!A71,'Isaac 401k'!N:N,0),0)</f>
        <v>2175441.5386438761</v>
      </c>
      <c r="R71" s="25">
        <f t="array" aca="1" ref="R71" ca="1">INDEX('Lorri 401b'!L:L,MATCH('Retirement Calculator'!A71,'Lorri 401b'!N:N,0),0)</f>
        <v>4212416.004004756</v>
      </c>
      <c r="S71" s="25">
        <f t="shared" ca="1" si="7"/>
        <v>6387857.5426486321</v>
      </c>
    </row>
    <row r="72" spans="1:19" ht="15.75" customHeight="1" x14ac:dyDescent="0.3">
      <c r="A72" s="37">
        <v>53144</v>
      </c>
      <c r="B72" s="409">
        <f t="shared" ref="B72:C72" si="68">($A72-B$9)/365.25</f>
        <v>63.622176591375769</v>
      </c>
      <c r="C72" s="409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3525.4531757812501</v>
      </c>
      <c r="H72" s="25">
        <f>IF(B72&lt;62,0,'Combined Retirement'!$I$14)</f>
        <v>2192</v>
      </c>
      <c r="I72" s="25">
        <f>IF(C72&lt;62,0,'Combined Retirement'!$I$13)</f>
        <v>0</v>
      </c>
      <c r="J72" s="25">
        <f t="shared" si="3"/>
        <v>25344.835205236312</v>
      </c>
      <c r="K72" s="25">
        <f t="shared" si="4"/>
        <v>0</v>
      </c>
      <c r="L72" s="25"/>
      <c r="N72" s="25">
        <f>'Combined Retirement'!$C$18/12</f>
        <v>33932.660666666663</v>
      </c>
      <c r="O72" s="25">
        <f t="shared" si="5"/>
        <v>8587.8254614303496</v>
      </c>
      <c r="P72" s="25">
        <f t="shared" si="6"/>
        <v>25344.835205236312</v>
      </c>
      <c r="Q72" s="25">
        <f t="array" aca="1" ref="Q72" ca="1">INDEX('Isaac 401k'!L:L,MATCH('Retirement Calculator'!A72,'Isaac 401k'!N:N,0),0)</f>
        <v>2159055.4397029672</v>
      </c>
      <c r="R72" s="25">
        <f t="array" aca="1" ref="R72" ca="1">INDEX('Lorri 401b'!L:L,MATCH('Retirement Calculator'!A72,'Lorri 401b'!N:N,0),0)</f>
        <v>4229967.7373547759</v>
      </c>
      <c r="S72" s="25">
        <f t="shared" ca="1" si="7"/>
        <v>6389023.1770577431</v>
      </c>
    </row>
    <row r="73" spans="1:19" ht="15.75" customHeight="1" x14ac:dyDescent="0.3">
      <c r="A73" s="37">
        <v>53175</v>
      </c>
      <c r="B73" s="409">
        <f t="shared" ref="B73:C73" si="69">($A73-B$9)/365.25</f>
        <v>63.707049965776868</v>
      </c>
      <c r="C73" s="409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3525.4531757812501</v>
      </c>
      <c r="H73" s="25">
        <f>IF(B73&lt;62,0,'Combined Retirement'!$I$14)</f>
        <v>2192</v>
      </c>
      <c r="I73" s="25">
        <f>IF(C73&lt;62,0,'Combined Retirement'!$I$13)</f>
        <v>0</v>
      </c>
      <c r="J73" s="25">
        <f t="shared" si="3"/>
        <v>25344.835205236312</v>
      </c>
      <c r="K73" s="25">
        <f t="shared" si="4"/>
        <v>0</v>
      </c>
      <c r="L73" s="25"/>
      <c r="N73" s="25">
        <f>'Combined Retirement'!$C$18/12</f>
        <v>33932.660666666663</v>
      </c>
      <c r="O73" s="25">
        <f t="shared" si="5"/>
        <v>8587.8254614303496</v>
      </c>
      <c r="P73" s="25">
        <f t="shared" si="6"/>
        <v>25344.835205236312</v>
      </c>
      <c r="Q73" s="25">
        <f t="array" aca="1" ref="Q73" ca="1">INDEX('Isaac 401k'!L:L,MATCH('Retirement Calculator'!A73,'Isaac 401k'!N:N,0),0)</f>
        <v>2142601.0653498047</v>
      </c>
      <c r="R73" s="25">
        <f t="array" aca="1" ref="R73" ca="1">INDEX('Lorri 401b'!L:L,MATCH('Retirement Calculator'!A73,'Lorri 401b'!N:N,0),0)</f>
        <v>4247592.6029270878</v>
      </c>
      <c r="S73" s="25">
        <f t="shared" ca="1" si="7"/>
        <v>6390193.668276893</v>
      </c>
    </row>
    <row r="74" spans="1:19" ht="15.75" customHeight="1" x14ac:dyDescent="0.3">
      <c r="A74" s="37">
        <v>53206</v>
      </c>
      <c r="B74" s="409">
        <f t="shared" ref="B74:C74" si="70">($A74-B$9)/365.25</f>
        <v>63.791923340177959</v>
      </c>
      <c r="C74" s="409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3525.4531757812501</v>
      </c>
      <c r="H74" s="25">
        <f>IF(B74&lt;62,0,'Combined Retirement'!$I$14)</f>
        <v>2192</v>
      </c>
      <c r="I74" s="25">
        <f>IF(C74&lt;62,0,'Combined Retirement'!$I$13)</f>
        <v>0</v>
      </c>
      <c r="J74" s="25">
        <f t="shared" si="3"/>
        <v>25344.835205236312</v>
      </c>
      <c r="K74" s="25">
        <f t="shared" si="4"/>
        <v>0</v>
      </c>
      <c r="L74" s="25"/>
      <c r="N74" s="25">
        <f>'Combined Retirement'!$C$18/12</f>
        <v>33932.660666666663</v>
      </c>
      <c r="O74" s="25">
        <f t="shared" si="5"/>
        <v>8587.8254614303496</v>
      </c>
      <c r="P74" s="25">
        <f t="shared" si="6"/>
        <v>25344.835205236312</v>
      </c>
      <c r="Q74" s="25">
        <f t="array" aca="1" ref="Q74" ca="1">INDEX('Isaac 401k'!L:L,MATCH('Retirement Calculator'!A74,'Isaac 401k'!N:N,0),0)</f>
        <v>2126078.131103504</v>
      </c>
      <c r="R74" s="25">
        <f t="array" aca="1" ref="R74" ca="1">INDEX('Lorri 401b'!L:L,MATCH('Retirement Calculator'!A74,'Lorri 401b'!N:N,0),0)</f>
        <v>4265290.9054392837</v>
      </c>
      <c r="S74" s="25">
        <f t="shared" ca="1" si="7"/>
        <v>6391369.0365427881</v>
      </c>
    </row>
    <row r="75" spans="1:19" ht="15.75" customHeight="1" x14ac:dyDescent="0.3">
      <c r="A75" s="37">
        <v>53236</v>
      </c>
      <c r="B75" s="409">
        <f t="shared" ref="B75:C75" si="71">($A75-B$9)/365.25</f>
        <v>63.874058863791923</v>
      </c>
      <c r="C75" s="409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3525.4531757812501</v>
      </c>
      <c r="H75" s="25">
        <f>IF(B75&lt;62,0,'Combined Retirement'!$I$14)</f>
        <v>2192</v>
      </c>
      <c r="I75" s="25">
        <f>IF(C75&lt;62,0,'Combined Retirement'!$I$13)</f>
        <v>0</v>
      </c>
      <c r="J75" s="25">
        <f t="shared" si="3"/>
        <v>25344.835205236312</v>
      </c>
      <c r="K75" s="25">
        <f t="shared" si="4"/>
        <v>0</v>
      </c>
      <c r="L75" s="25"/>
      <c r="N75" s="25">
        <f>'Combined Retirement'!$C$18/12</f>
        <v>33932.660666666663</v>
      </c>
      <c r="O75" s="25">
        <f t="shared" si="5"/>
        <v>8587.8254614303496</v>
      </c>
      <c r="P75" s="25">
        <f t="shared" si="6"/>
        <v>25344.835205236312</v>
      </c>
      <c r="Q75" s="25">
        <f t="array" aca="1" ref="Q75" ca="1">INDEX('Isaac 401k'!L:L,MATCH('Retirement Calculator'!A75,'Isaac 401k'!N:N,0),0)</f>
        <v>2109486.3512978437</v>
      </c>
      <c r="R75" s="25">
        <f t="array" aca="1" ref="R75" ca="1">INDEX('Lorri 401b'!L:L,MATCH('Retirement Calculator'!A75,'Lorri 401b'!N:N,0),0)</f>
        <v>4283062.9508786136</v>
      </c>
      <c r="S75" s="25">
        <f t="shared" ca="1" si="7"/>
        <v>6392549.3021764569</v>
      </c>
    </row>
    <row r="76" spans="1:19" ht="15.75" customHeight="1" x14ac:dyDescent="0.3">
      <c r="A76" s="37">
        <v>53267</v>
      </c>
      <c r="B76" s="409">
        <f t="shared" ref="B76:C76" si="72">($A76-B$9)/365.25</f>
        <v>63.958932238193022</v>
      </c>
      <c r="C76" s="409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3525.4531757812501</v>
      </c>
      <c r="H76" s="25">
        <f>IF(B76&lt;62,0,'Combined Retirement'!$I$14)</f>
        <v>2192</v>
      </c>
      <c r="I76" s="25">
        <f>IF(C76&lt;62,0,'Combined Retirement'!$I$13)</f>
        <v>0</v>
      </c>
      <c r="J76" s="25">
        <f t="shared" si="3"/>
        <v>25344.835205236312</v>
      </c>
      <c r="K76" s="25">
        <f t="shared" si="4"/>
        <v>0</v>
      </c>
      <c r="L76" s="25"/>
      <c r="N76" s="25">
        <f>'Combined Retirement'!$C$18/12</f>
        <v>33932.660666666663</v>
      </c>
      <c r="O76" s="25">
        <f t="shared" si="5"/>
        <v>8587.8254614303496</v>
      </c>
      <c r="P76" s="25">
        <f t="shared" si="6"/>
        <v>25344.835205236312</v>
      </c>
      <c r="Q76" s="25">
        <f t="array" aca="1" ref="Q76" ca="1">INDEX('Isaac 401k'!L:L,MATCH('Retirement Calculator'!A76,'Isaac 401k'!N:N,0),0)</f>
        <v>2092825.4390763268</v>
      </c>
      <c r="R76" s="25">
        <f t="array" aca="1" ref="R76" ca="1">INDEX('Lorri 401b'!L:L,MATCH('Retirement Calculator'!A76,'Lorri 401b'!N:N,0),0)</f>
        <v>4300909.0465072747</v>
      </c>
      <c r="S76" s="25">
        <f t="shared" ca="1" si="7"/>
        <v>6393734.4855836015</v>
      </c>
    </row>
    <row r="77" spans="1:19" ht="15.75" customHeight="1" x14ac:dyDescent="0.3">
      <c r="A77" s="37">
        <v>53297</v>
      </c>
      <c r="B77" s="409">
        <f t="shared" ref="B77:C77" si="73">($A77-B$9)/365.25</f>
        <v>64.041067761806985</v>
      </c>
      <c r="C77" s="409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3525.4531757812501</v>
      </c>
      <c r="H77" s="25">
        <f>IF(B77&lt;62,0,'Combined Retirement'!$I$14)</f>
        <v>2192</v>
      </c>
      <c r="I77" s="25">
        <f>IF(C77&lt;62,0,'Combined Retirement'!$I$13)</f>
        <v>0</v>
      </c>
      <c r="J77" s="25">
        <f t="shared" si="3"/>
        <v>25344.835205236312</v>
      </c>
      <c r="K77" s="25">
        <f t="shared" si="4"/>
        <v>0</v>
      </c>
      <c r="L77" s="25"/>
      <c r="N77" s="25">
        <f>'Combined Retirement'!$C$18/12</f>
        <v>33932.660666666663</v>
      </c>
      <c r="O77" s="25">
        <f t="shared" si="5"/>
        <v>8587.8254614303496</v>
      </c>
      <c r="P77" s="25">
        <f t="shared" si="6"/>
        <v>25344.835205236312</v>
      </c>
      <c r="Q77" s="25">
        <f t="array" aca="1" ref="Q77" ca="1">INDEX('Isaac 401k'!L:L,MATCH('Retirement Calculator'!A77,'Isaac 401k'!N:N,0),0)</f>
        <v>2076095.1063872201</v>
      </c>
      <c r="R77" s="25">
        <f t="array" aca="1" ref="R77" ca="1">INDEX('Lorri 401b'!L:L,MATCH('Retirement Calculator'!A77,'Lorri 401b'!N:N,0),0)</f>
        <v>4318829.5008677216</v>
      </c>
      <c r="S77" s="25">
        <f t="shared" ca="1" si="7"/>
        <v>6394924.6072549419</v>
      </c>
    </row>
    <row r="78" spans="1:19" ht="15.75" customHeight="1" x14ac:dyDescent="0.3">
      <c r="A78" s="37">
        <v>53328</v>
      </c>
      <c r="B78" s="409">
        <f t="shared" ref="B78:C78" si="74">($A78-B$9)/365.25</f>
        <v>64.12594113620807</v>
      </c>
      <c r="C78" s="409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3525.4531757812501</v>
      </c>
      <c r="H78" s="25">
        <f>IF(B78&lt;62,0,'Combined Retirement'!$I$14)</f>
        <v>2192</v>
      </c>
      <c r="I78" s="25">
        <f>IF(C78&lt;62,0,'Combined Retirement'!$I$13)</f>
        <v>0</v>
      </c>
      <c r="J78" s="25">
        <f t="shared" si="3"/>
        <v>7080.840059638921</v>
      </c>
      <c r="K78" s="25">
        <f t="shared" si="4"/>
        <v>18263.995145597393</v>
      </c>
      <c r="L78" s="25"/>
      <c r="N78" s="25">
        <f>'Combined Retirement'!$C$18/12</f>
        <v>33932.660666666663</v>
      </c>
      <c r="O78" s="25">
        <f t="shared" si="5"/>
        <v>8587.8254614303496</v>
      </c>
      <c r="P78" s="25">
        <f t="shared" si="6"/>
        <v>25344.835205236312</v>
      </c>
      <c r="Q78" s="25">
        <f t="array" aca="1" ref="Q78" ca="1">INDEX('Isaac 401k'!L:L,MATCH('Retirement Calculator'!A78,'Isaac 401k'!N:N,0),0)</f>
        <v>2077635.1591039461</v>
      </c>
      <c r="R78" s="25">
        <f t="array" aca="1" ref="R78" ca="1">INDEX('Lorri 401b'!L:L,MATCH('Retirement Calculator'!A78,'Lorri 401b'!N:N,0),0)</f>
        <v>4318484.5286626332</v>
      </c>
      <c r="S78" s="25">
        <f t="shared" ca="1" si="7"/>
        <v>6396119.687766579</v>
      </c>
    </row>
    <row r="79" spans="1:19" ht="15.75" customHeight="1" x14ac:dyDescent="0.3">
      <c r="A79" s="37">
        <v>53359</v>
      </c>
      <c r="B79" s="409">
        <f t="shared" ref="B79:C79" si="75">($A79-B$9)/365.25</f>
        <v>64.210814510609168</v>
      </c>
      <c r="C79" s="409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3525.4531757812501</v>
      </c>
      <c r="H79" s="25">
        <f>IF(B79&lt;62,0,'Combined Retirement'!$I$14)</f>
        <v>2192</v>
      </c>
      <c r="I79" s="25">
        <f>IF(C79&lt;62,0,'Combined Retirement'!$I$13)</f>
        <v>0</v>
      </c>
      <c r="J79" s="25">
        <f t="shared" si="3"/>
        <v>7080.840059638921</v>
      </c>
      <c r="K79" s="25">
        <f t="shared" si="4"/>
        <v>18263.995145597393</v>
      </c>
      <c r="L79" s="25"/>
      <c r="N79" s="25">
        <f>'Combined Retirement'!$C$18/12</f>
        <v>33932.660666666663</v>
      </c>
      <c r="O79" s="25">
        <f t="shared" si="5"/>
        <v>8587.8254614303496</v>
      </c>
      <c r="P79" s="25">
        <f t="shared" si="6"/>
        <v>25344.835205236312</v>
      </c>
      <c r="Q79" s="25">
        <f t="array" aca="1" ref="Q79" ca="1">INDEX('Isaac 401k'!L:L,MATCH('Retirement Calculator'!A79,'Isaac 401k'!N:N,0),0)</f>
        <v>2079181.6287069917</v>
      </c>
      <c r="R79" s="25">
        <f t="array" aca="1" ref="R79" ca="1">INDEX('Lorri 401b'!L:L,MATCH('Retirement Calculator'!A79,'Lorri 401b'!N:N,0),0)</f>
        <v>4318138.1190733565</v>
      </c>
      <c r="S79" s="25">
        <f t="shared" ca="1" si="7"/>
        <v>6397319.7477803482</v>
      </c>
    </row>
    <row r="80" spans="1:19" ht="15.75" customHeight="1" x14ac:dyDescent="0.3">
      <c r="A80" s="37">
        <v>53387</v>
      </c>
      <c r="B80" s="409">
        <f t="shared" ref="B80:C80" si="76">($A80-B$9)/365.25</f>
        <v>64.28747433264887</v>
      </c>
      <c r="C80" s="409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3525.4531757812501</v>
      </c>
      <c r="H80" s="25">
        <f>IF(B80&lt;62,0,'Combined Retirement'!$I$14)</f>
        <v>2192</v>
      </c>
      <c r="I80" s="25">
        <f>IF(C80&lt;62,0,'Combined Retirement'!$I$13)</f>
        <v>0</v>
      </c>
      <c r="J80" s="25">
        <f t="shared" si="3"/>
        <v>7080.840059638921</v>
      </c>
      <c r="K80" s="25">
        <f t="shared" si="4"/>
        <v>18263.995145597393</v>
      </c>
      <c r="L80" s="25"/>
      <c r="N80" s="25">
        <f>'Combined Retirement'!$C$18/12</f>
        <v>33932.660666666663</v>
      </c>
      <c r="O80" s="25">
        <f t="shared" si="5"/>
        <v>8587.8254614303496</v>
      </c>
      <c r="P80" s="25">
        <f t="shared" si="6"/>
        <v>25344.835205236312</v>
      </c>
      <c r="Q80" s="25">
        <f t="array" aca="1" ref="Q80" ca="1">INDEX('Isaac 401k'!L:L,MATCH('Retirement Calculator'!A80,'Isaac 401k'!N:N,0),0)</f>
        <v>2080734.5419333833</v>
      </c>
      <c r="R80" s="25">
        <f t="array" aca="1" ref="R80" ca="1">INDEX('Lorri 401b'!L:L,MATCH('Retirement Calculator'!A80,'Lorri 401b'!N:N,0),0)</f>
        <v>4317790.2661107909</v>
      </c>
      <c r="S80" s="25">
        <f t="shared" ca="1" si="7"/>
        <v>6398524.8080441747</v>
      </c>
    </row>
    <row r="81" spans="1:19" ht="15.75" customHeight="1" x14ac:dyDescent="0.3">
      <c r="A81" s="37">
        <v>53418</v>
      </c>
      <c r="B81" s="409">
        <f t="shared" ref="B81:C81" si="77">($A81-B$9)/365.25</f>
        <v>64.372347707049968</v>
      </c>
      <c r="C81" s="409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3525.4531757812501</v>
      </c>
      <c r="H81" s="25">
        <f>IF(B81&lt;62,0,'Combined Retirement'!$I$14)</f>
        <v>2192</v>
      </c>
      <c r="I81" s="25">
        <f>IF(C81&lt;62,0,'Combined Retirement'!$I$13)</f>
        <v>0</v>
      </c>
      <c r="J81" s="25">
        <f t="shared" si="3"/>
        <v>7080.840059638921</v>
      </c>
      <c r="K81" s="25">
        <f t="shared" si="4"/>
        <v>18263.995145597393</v>
      </c>
      <c r="L81" s="25"/>
      <c r="N81" s="25">
        <f>'Combined Retirement'!$C$18/12</f>
        <v>33932.660666666663</v>
      </c>
      <c r="O81" s="25">
        <f t="shared" si="5"/>
        <v>8587.8254614303496</v>
      </c>
      <c r="P81" s="25">
        <f t="shared" si="6"/>
        <v>25344.835205236312</v>
      </c>
      <c r="Q81" s="25">
        <f t="array" aca="1" ref="Q81" ca="1">INDEX('Isaac 401k'!L:L,MATCH('Retirement Calculator'!A81,'Isaac 401k'!N:N,0),0)</f>
        <v>2082293.9256315515</v>
      </c>
      <c r="R81" s="25">
        <f t="array" aca="1" ref="R81" ca="1">INDEX('Lorri 401b'!L:L,MATCH('Retirement Calculator'!A81,'Lorri 401b'!N:N,0),0)</f>
        <v>4317440.9637608817</v>
      </c>
      <c r="S81" s="25">
        <f t="shared" ca="1" si="7"/>
        <v>6399734.8893924337</v>
      </c>
    </row>
    <row r="82" spans="1:19" ht="15.75" customHeight="1" x14ac:dyDescent="0.3">
      <c r="A82" s="37">
        <v>53448</v>
      </c>
      <c r="B82" s="409">
        <f t="shared" ref="B82:C82" si="78">($A82-B$9)/365.25</f>
        <v>64.454483230663925</v>
      </c>
      <c r="C82" s="409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3525.4531757812501</v>
      </c>
      <c r="H82" s="25">
        <f>IF(B82&lt;62,0,'Combined Retirement'!$I$14)</f>
        <v>2192</v>
      </c>
      <c r="I82" s="25">
        <f>IF(C82&lt;62,0,'Combined Retirement'!$I$13)</f>
        <v>0</v>
      </c>
      <c r="J82" s="25">
        <f t="shared" si="3"/>
        <v>7080.840059638921</v>
      </c>
      <c r="K82" s="25">
        <f t="shared" si="4"/>
        <v>18263.995145597393</v>
      </c>
      <c r="L82" s="25"/>
      <c r="N82" s="25">
        <f>'Combined Retirement'!$C$18/12</f>
        <v>33932.660666666663</v>
      </c>
      <c r="O82" s="25">
        <f t="shared" si="5"/>
        <v>8587.8254614303496</v>
      </c>
      <c r="P82" s="25">
        <f t="shared" si="6"/>
        <v>25344.835205236312</v>
      </c>
      <c r="Q82" s="25">
        <f t="array" aca="1" ref="Q82" ca="1">INDEX('Isaac 401k'!L:L,MATCH('Retirement Calculator'!A82,'Isaac 401k'!N:N,0),0)</f>
        <v>2083859.8067617957</v>
      </c>
      <c r="R82" s="25">
        <f t="array" aca="1" ref="R82" ca="1">INDEX('Lorri 401b'!L:L,MATCH('Retirement Calculator'!A82,'Lorri 401b'!N:N,0),0)</f>
        <v>4317090.2059845142</v>
      </c>
      <c r="S82" s="25">
        <f t="shared" ca="1" si="7"/>
        <v>6400950.0127463099</v>
      </c>
    </row>
    <row r="83" spans="1:19" ht="15.75" customHeight="1" x14ac:dyDescent="0.3">
      <c r="A83" s="37">
        <v>53479</v>
      </c>
      <c r="B83" s="409">
        <f t="shared" ref="B83:C83" si="79">($A83-B$9)/365.25</f>
        <v>64.539356605065024</v>
      </c>
      <c r="C83" s="409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3525.4531757812501</v>
      </c>
      <c r="H83" s="25">
        <f>IF(B83&lt;62,0,'Combined Retirement'!$I$14)</f>
        <v>2192</v>
      </c>
      <c r="I83" s="25">
        <f>IF(C83&lt;62,0,'Combined Retirement'!$I$13)</f>
        <v>0</v>
      </c>
      <c r="J83" s="25">
        <f t="shared" si="3"/>
        <v>7080.840059638921</v>
      </c>
      <c r="K83" s="25">
        <f t="shared" si="4"/>
        <v>18263.995145597393</v>
      </c>
      <c r="L83" s="25"/>
      <c r="N83" s="25">
        <f>'Combined Retirement'!$C$18/12</f>
        <v>33932.660666666663</v>
      </c>
      <c r="O83" s="25">
        <f t="shared" si="5"/>
        <v>8587.8254614303496</v>
      </c>
      <c r="P83" s="25">
        <f t="shared" si="6"/>
        <v>25344.835205236312</v>
      </c>
      <c r="Q83" s="25">
        <f t="array" aca="1" ref="Q83" ca="1">INDEX('Isaac 401k'!L:L,MATCH('Retirement Calculator'!A83,'Isaac 401k'!N:N,0),0)</f>
        <v>2085432.2123967491</v>
      </c>
      <c r="R83" s="25">
        <f t="array" aca="1" ref="R83" ca="1">INDEX('Lorri 401b'!L:L,MATCH('Retirement Calculator'!A83,'Lorri 401b'!N:N,0),0)</f>
        <v>4316737.9867174122</v>
      </c>
      <c r="S83" s="25">
        <f t="shared" ca="1" si="7"/>
        <v>6402170.1991141615</v>
      </c>
    </row>
    <row r="84" spans="1:19" ht="15.75" customHeight="1" x14ac:dyDescent="0.3">
      <c r="A84" s="37">
        <v>53509</v>
      </c>
      <c r="B84" s="409">
        <f t="shared" ref="B84:C84" si="80">($A84-B$9)/365.25</f>
        <v>64.62149212867898</v>
      </c>
      <c r="C84" s="409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3525.4531757812501</v>
      </c>
      <c r="H84" s="25">
        <f>IF(B84&lt;62,0,'Combined Retirement'!$I$14)</f>
        <v>2192</v>
      </c>
      <c r="I84" s="25">
        <f>IF(C84&lt;62,0,'Combined Retirement'!$I$13)</f>
        <v>0</v>
      </c>
      <c r="J84" s="25">
        <f t="shared" si="3"/>
        <v>7080.840059638921</v>
      </c>
      <c r="K84" s="25">
        <f t="shared" si="4"/>
        <v>18263.995145597393</v>
      </c>
      <c r="L84" s="25"/>
      <c r="N84" s="25">
        <f>'Combined Retirement'!$C$18/12</f>
        <v>33932.660666666663</v>
      </c>
      <c r="O84" s="25">
        <f t="shared" si="5"/>
        <v>8587.8254614303496</v>
      </c>
      <c r="P84" s="25">
        <f t="shared" si="6"/>
        <v>25344.835205236312</v>
      </c>
      <c r="Q84" s="25">
        <f t="array" aca="1" ref="Q84" ca="1">INDEX('Isaac 401k'!L:L,MATCH('Retirement Calculator'!A84,'Isaac 401k'!N:N,0),0)</f>
        <v>2087011.1697218481</v>
      </c>
      <c r="R84" s="25">
        <f t="array" aca="1" ref="R84" ca="1">INDEX('Lorri 401b'!L:L,MATCH('Retirement Calculator'!A84,'Lorri 401b'!N:N,0),0)</f>
        <v>4316384.299870031</v>
      </c>
      <c r="S84" s="25">
        <f t="shared" ca="1" si="7"/>
        <v>6403395.4695918793</v>
      </c>
    </row>
    <row r="85" spans="1:19" ht="15.75" customHeight="1" x14ac:dyDescent="0.3">
      <c r="A85" s="37">
        <v>53540</v>
      </c>
      <c r="B85" s="409">
        <f t="shared" ref="B85:C85" si="81">($A85-B$9)/365.25</f>
        <v>64.706365503080079</v>
      </c>
      <c r="C85" s="409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3525.4531757812501</v>
      </c>
      <c r="H85" s="25">
        <f>IF(B85&lt;62,0,'Combined Retirement'!$I$14)</f>
        <v>2192</v>
      </c>
      <c r="I85" s="25">
        <f>IF(C85&lt;62,0,'Combined Retirement'!$I$13)</f>
        <v>0</v>
      </c>
      <c r="J85" s="25">
        <f t="shared" si="3"/>
        <v>7080.840059638921</v>
      </c>
      <c r="K85" s="25">
        <f t="shared" si="4"/>
        <v>18263.995145597393</v>
      </c>
      <c r="L85" s="25"/>
      <c r="N85" s="25">
        <f>'Combined Retirement'!$C$18/12</f>
        <v>33932.660666666663</v>
      </c>
      <c r="O85" s="25">
        <f t="shared" si="5"/>
        <v>8587.8254614303496</v>
      </c>
      <c r="P85" s="25">
        <f t="shared" si="6"/>
        <v>25344.835205236312</v>
      </c>
      <c r="Q85" s="25">
        <f t="array" aca="1" ref="Q85" ca="1">INDEX('Isaac 401k'!L:L,MATCH('Retirement Calculator'!A85,'Isaac 401k'!N:N,0),0)</f>
        <v>2088596.7060358017</v>
      </c>
      <c r="R85" s="25">
        <f t="array" aca="1" ref="R85" ca="1">INDEX('Lorri 401b'!L:L,MATCH('Retirement Calculator'!A85,'Lorri 401b'!N:N,0),0)</f>
        <v>4316029.1393274516</v>
      </c>
      <c r="S85" s="25">
        <f t="shared" ca="1" si="7"/>
        <v>6404625.8453632537</v>
      </c>
    </row>
    <row r="86" spans="1:19" ht="15.75" customHeight="1" x14ac:dyDescent="0.3">
      <c r="A86" s="37">
        <v>53571</v>
      </c>
      <c r="B86" s="409">
        <f t="shared" ref="B86:C86" si="82">($A86-B$9)/365.25</f>
        <v>64.791238877481177</v>
      </c>
      <c r="C86" s="409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3525.4531757812501</v>
      </c>
      <c r="H86" s="25">
        <f>IF(B86&lt;62,0,'Combined Retirement'!$I$14)</f>
        <v>2192</v>
      </c>
      <c r="I86" s="25">
        <f>IF(C86&lt;62,0,'Combined Retirement'!$I$13)</f>
        <v>0</v>
      </c>
      <c r="J86" s="25">
        <f t="shared" si="3"/>
        <v>7080.840059638921</v>
      </c>
      <c r="K86" s="25">
        <f t="shared" si="4"/>
        <v>18263.995145597393</v>
      </c>
      <c r="L86" s="25"/>
      <c r="N86" s="25">
        <f>'Combined Retirement'!$C$18/12</f>
        <v>33932.660666666663</v>
      </c>
      <c r="O86" s="25">
        <f t="shared" si="5"/>
        <v>8587.8254614303496</v>
      </c>
      <c r="P86" s="25">
        <f t="shared" si="6"/>
        <v>25344.835205236312</v>
      </c>
      <c r="Q86" s="25">
        <f t="array" aca="1" ref="Q86" ca="1">INDEX('Isaac 401k'!L:L,MATCH('Retirement Calculator'!A86,'Isaac 401k'!N:N,0),0)</f>
        <v>2090188.8487510635</v>
      </c>
      <c r="R86" s="25">
        <f t="array" aca="1" ref="R86" ca="1">INDEX('Lorri 401b'!L:L,MATCH('Retirement Calculator'!A86,'Lorri 401b'!N:N,0),0)</f>
        <v>4315672.4989492781</v>
      </c>
      <c r="S86" s="25">
        <f t="shared" ca="1" si="7"/>
        <v>6405861.3477003416</v>
      </c>
    </row>
    <row r="87" spans="1:19" ht="15.75" customHeight="1" x14ac:dyDescent="0.3">
      <c r="A87" s="37">
        <v>53601</v>
      </c>
      <c r="B87" s="409">
        <f t="shared" ref="B87:C87" si="83">($A87-B$9)/365.25</f>
        <v>64.873374401095134</v>
      </c>
      <c r="C87" s="409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3525.4531757812501</v>
      </c>
      <c r="H87" s="25">
        <f>IF(B87&lt;62,0,'Combined Retirement'!$I$14)</f>
        <v>2192</v>
      </c>
      <c r="I87" s="25">
        <f>IF(C87&lt;62,0,'Combined Retirement'!$I$13)</f>
        <v>0</v>
      </c>
      <c r="J87" s="25">
        <f t="shared" si="3"/>
        <v>7080.840059638921</v>
      </c>
      <c r="K87" s="25">
        <f t="shared" si="4"/>
        <v>18263.995145597393</v>
      </c>
      <c r="L87" s="25"/>
      <c r="N87" s="25">
        <f>'Combined Retirement'!$C$18/12</f>
        <v>33932.660666666663</v>
      </c>
      <c r="O87" s="25">
        <f t="shared" si="5"/>
        <v>8587.8254614303496</v>
      </c>
      <c r="P87" s="25">
        <f t="shared" si="6"/>
        <v>25344.835205236312</v>
      </c>
      <c r="Q87" s="25">
        <f t="array" aca="1" ref="Q87" ca="1">INDEX('Isaac 401k'!L:L,MATCH('Retirement Calculator'!A87,'Isaac 401k'!N:N,0),0)</f>
        <v>2091787.6253943054</v>
      </c>
      <c r="R87" s="25">
        <f t="array" aca="1" ref="R87" ca="1">INDEX('Lorri 401b'!L:L,MATCH('Retirement Calculator'!A87,'Lorri 401b'!N:N,0),0)</f>
        <v>4315314.3725695293</v>
      </c>
      <c r="S87" s="25">
        <f t="shared" ca="1" si="7"/>
        <v>6407101.9979638346</v>
      </c>
    </row>
    <row r="88" spans="1:19" ht="15.75" customHeight="1" x14ac:dyDescent="0.3">
      <c r="A88" s="37">
        <v>53632</v>
      </c>
      <c r="B88" s="409">
        <f t="shared" ref="B88:C88" si="84">($A88-B$9)/365.25</f>
        <v>64.958247775496233</v>
      </c>
      <c r="C88" s="409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3525.4531757812501</v>
      </c>
      <c r="H88" s="25">
        <f>IF(B88&lt;62,0,'Combined Retirement'!$I$14)</f>
        <v>2192</v>
      </c>
      <c r="I88" s="25">
        <f>IF(C88&lt;62,0,'Combined Retirement'!$I$13)</f>
        <v>0</v>
      </c>
      <c r="J88" s="25">
        <f t="shared" si="3"/>
        <v>7080.840059638921</v>
      </c>
      <c r="K88" s="25">
        <f t="shared" si="4"/>
        <v>18263.995145597393</v>
      </c>
      <c r="L88" s="25"/>
      <c r="N88" s="25">
        <f>'Combined Retirement'!$C$18/12</f>
        <v>33932.660666666663</v>
      </c>
      <c r="O88" s="25">
        <f t="shared" si="5"/>
        <v>8587.8254614303496</v>
      </c>
      <c r="P88" s="25">
        <f t="shared" si="6"/>
        <v>25344.835205236312</v>
      </c>
      <c r="Q88" s="25">
        <f t="array" aca="1" ref="Q88" ca="1">INDEX('Isaac 401k'!L:L,MATCH('Retirement Calculator'!A88,'Isaac 401k'!N:N,0),0)</f>
        <v>2093393.0636068943</v>
      </c>
      <c r="R88" s="25">
        <f t="array" aca="1" ref="R88" ca="1">INDEX('Lorri 401b'!L:L,MATCH('Retirement Calculator'!A88,'Lorri 401b'!N:N,0),0)</f>
        <v>4314954.7539965315</v>
      </c>
      <c r="S88" s="25">
        <f t="shared" ca="1" si="7"/>
        <v>6408347.8176034261</v>
      </c>
    </row>
    <row r="89" spans="1:19" ht="15.75" customHeight="1" x14ac:dyDescent="0.3">
      <c r="A89" s="37">
        <v>53662</v>
      </c>
      <c r="B89" s="409">
        <f t="shared" ref="B89:C89" si="85">($A89-B$9)/365.25</f>
        <v>65.040383299110204</v>
      </c>
      <c r="C89" s="409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3525.4531757812501</v>
      </c>
      <c r="H89" s="25">
        <f>IF(B89&lt;62,0,'Combined Retirement'!$I$14)</f>
        <v>2192</v>
      </c>
      <c r="I89" s="25">
        <f>IF(C89&lt;62,0,'Combined Retirement'!$I$13)</f>
        <v>0</v>
      </c>
      <c r="J89" s="25">
        <f t="shared" si="3"/>
        <v>7080.840059638921</v>
      </c>
      <c r="K89" s="25">
        <f t="shared" si="4"/>
        <v>18263.995145597393</v>
      </c>
      <c r="L89" s="25"/>
      <c r="N89" s="25">
        <f>'Combined Retirement'!$C$18/12</f>
        <v>33932.660666666663</v>
      </c>
      <c r="O89" s="25">
        <f t="shared" si="5"/>
        <v>8587.8254614303496</v>
      </c>
      <c r="P89" s="25">
        <f t="shared" si="6"/>
        <v>25344.835205236312</v>
      </c>
      <c r="Q89" s="25">
        <f t="array" aca="1" ref="Q89" ca="1">INDEX('Isaac 401k'!L:L,MATCH('Retirement Calculator'!A89,'Isaac 401k'!N:N,0),0)</f>
        <v>2095005.1911453689</v>
      </c>
      <c r="R89" s="25">
        <f t="array" aca="1" ref="R89" ca="1">INDEX('Lorri 401b'!L:L,MATCH('Retirement Calculator'!A89,'Lorri 401b'!N:N,0),0)</f>
        <v>4314593.6370128132</v>
      </c>
      <c r="S89" s="25">
        <f t="shared" ca="1" si="7"/>
        <v>6409598.8281581821</v>
      </c>
    </row>
    <row r="90" spans="1:19" ht="15.75" customHeight="1" x14ac:dyDescent="0.3">
      <c r="A90" s="37">
        <v>53693</v>
      </c>
      <c r="B90" s="409">
        <f t="shared" ref="B90:C90" si="86">($A90-B$9)/365.25</f>
        <v>65.125256673511288</v>
      </c>
      <c r="C90" s="409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3525.4531757812501</v>
      </c>
      <c r="H90" s="25">
        <f>IF(B90&lt;62,0,'Combined Retirement'!$I$14)</f>
        <v>2192</v>
      </c>
      <c r="I90" s="25">
        <f>IF(C90&lt;62,0,'Combined Retirement'!$I$13)</f>
        <v>0</v>
      </c>
      <c r="J90" s="25">
        <f t="shared" si="3"/>
        <v>7080.840059638921</v>
      </c>
      <c r="K90" s="25">
        <f t="shared" si="4"/>
        <v>18263.995145597393</v>
      </c>
      <c r="L90" s="25"/>
      <c r="N90" s="25">
        <f>'Combined Retirement'!$C$18/12</f>
        <v>33932.660666666663</v>
      </c>
      <c r="O90" s="25">
        <f t="shared" si="5"/>
        <v>8587.8254614303496</v>
      </c>
      <c r="P90" s="25">
        <f t="shared" si="6"/>
        <v>25344.835205236312</v>
      </c>
      <c r="Q90" s="25">
        <f t="array" aca="1" ref="Q90" ca="1">INDEX('Isaac 401k'!L:L,MATCH('Retirement Calculator'!A90,'Isaac 401k'!N:N,0),0)</f>
        <v>2096624.0358819205</v>
      </c>
      <c r="R90" s="25">
        <f t="array" aca="1" ref="R90" ca="1">INDEX('Lorri 401b'!L:L,MATCH('Retirement Calculator'!A90,'Lorri 401b'!N:N,0),0)</f>
        <v>4314231.0153749958</v>
      </c>
      <c r="S90" s="25">
        <f t="shared" ca="1" si="7"/>
        <v>6410855.0512569165</v>
      </c>
    </row>
    <row r="91" spans="1:19" ht="15.75" customHeight="1" x14ac:dyDescent="0.3">
      <c r="A91" s="37">
        <v>53724</v>
      </c>
      <c r="B91" s="409">
        <f t="shared" ref="B91:C91" si="87">($A91-B$9)/365.25</f>
        <v>65.210130047912386</v>
      </c>
      <c r="C91" s="409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3525.4531757812501</v>
      </c>
      <c r="H91" s="25">
        <f>IF(B91&lt;62,0,'Combined Retirement'!$I$14)</f>
        <v>2192</v>
      </c>
      <c r="I91" s="25">
        <f>IF(C91&lt;62,0,'Combined Retirement'!$I$13)</f>
        <v>0</v>
      </c>
      <c r="J91" s="25">
        <f t="shared" si="3"/>
        <v>7080.840059638921</v>
      </c>
      <c r="K91" s="25">
        <f t="shared" si="4"/>
        <v>18263.995145597393</v>
      </c>
      <c r="L91" s="25"/>
      <c r="N91" s="25">
        <f>'Combined Retirement'!$C$18/12</f>
        <v>33932.660666666663</v>
      </c>
      <c r="O91" s="25">
        <f t="shared" si="5"/>
        <v>8587.8254614303496</v>
      </c>
      <c r="P91" s="25">
        <f t="shared" si="6"/>
        <v>25344.835205236312</v>
      </c>
      <c r="Q91" s="25">
        <f t="array" aca="1" ref="Q91" ca="1">INDEX('Isaac 401k'!L:L,MATCH('Retirement Calculator'!A91,'Isaac 401k'!N:N,0),0)</f>
        <v>2098249.6258048746</v>
      </c>
      <c r="R91" s="25">
        <f t="array" aca="1" ref="R91" ca="1">INDEX('Lorri 401b'!L:L,MATCH('Retirement Calculator'!A91,'Lorri 401b'!N:N,0),0)</f>
        <v>4313866.8828136874</v>
      </c>
      <c r="S91" s="25">
        <f t="shared" ca="1" si="7"/>
        <v>6412116.5086185616</v>
      </c>
    </row>
    <row r="92" spans="1:19" ht="15.75" customHeight="1" x14ac:dyDescent="0.3">
      <c r="A92" s="37">
        <v>53752</v>
      </c>
      <c r="B92" s="409">
        <f t="shared" ref="B92:C92" si="88">($A92-B$9)/365.25</f>
        <v>65.286789869952088</v>
      </c>
      <c r="C92" s="409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3525.4531757812501</v>
      </c>
      <c r="H92" s="25">
        <f>IF(B92&lt;62,0,'Combined Retirement'!$I$14)</f>
        <v>2192</v>
      </c>
      <c r="I92" s="25">
        <f>IF(C92&lt;62,0,'Combined Retirement'!$I$13)</f>
        <v>0</v>
      </c>
      <c r="J92" s="25">
        <f t="shared" si="3"/>
        <v>7080.840059638921</v>
      </c>
      <c r="K92" s="25">
        <f t="shared" si="4"/>
        <v>18263.995145597393</v>
      </c>
      <c r="L92" s="25"/>
      <c r="N92" s="25">
        <f>'Combined Retirement'!$C$18/12</f>
        <v>33932.660666666663</v>
      </c>
      <c r="O92" s="25">
        <f t="shared" si="5"/>
        <v>8587.8254614303496</v>
      </c>
      <c r="P92" s="25">
        <f t="shared" si="6"/>
        <v>25344.835205236312</v>
      </c>
      <c r="Q92" s="25">
        <f t="array" aca="1" ref="Q92" ca="1">INDEX('Isaac 401k'!L:L,MATCH('Retirement Calculator'!A92,'Isaac 401k'!N:N,0),0)</f>
        <v>2099881.9890191741</v>
      </c>
      <c r="R92" s="25">
        <f t="array" aca="1" ref="R92" ca="1">INDEX('Lorri 401b'!L:L,MATCH('Retirement Calculator'!A92,'Lorri 401b'!N:N,0),0)</f>
        <v>4313501.233033374</v>
      </c>
      <c r="S92" s="25">
        <f t="shared" ca="1" si="7"/>
        <v>6413383.2220525481</v>
      </c>
    </row>
    <row r="93" spans="1:19" ht="15.75" customHeight="1" x14ac:dyDescent="0.3">
      <c r="A93" s="37">
        <v>53783</v>
      </c>
      <c r="B93" s="409">
        <f t="shared" ref="B93:C93" si="89">($A93-B$9)/365.25</f>
        <v>65.371663244353186</v>
      </c>
      <c r="C93" s="409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3525.4531757812501</v>
      </c>
      <c r="H93" s="25">
        <f>IF(B93&lt;62,0,'Combined Retirement'!$I$14)</f>
        <v>2192</v>
      </c>
      <c r="I93" s="25">
        <f>IF(C93&lt;62,0,'Combined Retirement'!$I$13)</f>
        <v>0</v>
      </c>
      <c r="J93" s="25">
        <f t="shared" si="3"/>
        <v>7080.840059638921</v>
      </c>
      <c r="K93" s="25">
        <f t="shared" si="4"/>
        <v>18263.995145597393</v>
      </c>
      <c r="L93" s="25"/>
      <c r="N93" s="25">
        <f>'Combined Retirement'!$C$18/12</f>
        <v>33932.660666666663</v>
      </c>
      <c r="O93" s="25">
        <f t="shared" si="5"/>
        <v>8587.8254614303496</v>
      </c>
      <c r="P93" s="25">
        <f t="shared" si="6"/>
        <v>25344.835205236312</v>
      </c>
      <c r="Q93" s="25">
        <f t="array" aca="1" ref="Q93" ca="1">INDEX('Isaac 401k'!L:L,MATCH('Retirement Calculator'!A93,'Isaac 401k'!N:N,0),0)</f>
        <v>2101521.1537468666</v>
      </c>
      <c r="R93" s="25">
        <f t="array" aca="1" ref="R93" ca="1">INDEX('Lorri 401b'!L:L,MATCH('Retirement Calculator'!A93,'Lorri 401b'!N:N,0),0)</f>
        <v>4313134.0597123085</v>
      </c>
      <c r="S93" s="25">
        <f t="shared" ca="1" si="7"/>
        <v>6414655.2134591751</v>
      </c>
    </row>
    <row r="94" spans="1:19" ht="15.75" customHeight="1" x14ac:dyDescent="0.3">
      <c r="A94" s="37">
        <v>53813</v>
      </c>
      <c r="B94" s="409">
        <f t="shared" ref="B94:C94" si="90">($A94-B$9)/365.25</f>
        <v>65.453798767967143</v>
      </c>
      <c r="C94" s="409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3525.4531757812501</v>
      </c>
      <c r="H94" s="25">
        <f>IF(B94&lt;62,0,'Combined Retirement'!$I$14)</f>
        <v>2192</v>
      </c>
      <c r="I94" s="25">
        <f>IF(C94&lt;62,0,'Combined Retirement'!$I$13)</f>
        <v>0</v>
      </c>
      <c r="J94" s="25">
        <f t="shared" si="3"/>
        <v>7080.840059638921</v>
      </c>
      <c r="K94" s="25">
        <f t="shared" si="4"/>
        <v>18263.995145597393</v>
      </c>
      <c r="L94" s="25"/>
      <c r="N94" s="25">
        <f>'Combined Retirement'!$C$18/12</f>
        <v>33932.660666666663</v>
      </c>
      <c r="O94" s="25">
        <f t="shared" si="5"/>
        <v>8587.8254614303496</v>
      </c>
      <c r="P94" s="25">
        <f t="shared" si="6"/>
        <v>25344.835205236312</v>
      </c>
      <c r="Q94" s="25">
        <f t="array" aca="1" ref="Q94" ca="1">INDEX('Isaac 401k'!L:L,MATCH('Retirement Calculator'!A94,'Isaac 401k'!N:N,0),0)</f>
        <v>2103167.1483275909</v>
      </c>
      <c r="R94" s="25">
        <f t="array" aca="1" ref="R94" ca="1">INDEX('Lorri 401b'!L:L,MATCH('Retirement Calculator'!A94,'Lorri 401b'!N:N,0),0)</f>
        <v>4312765.3565024054</v>
      </c>
      <c r="S94" s="25">
        <f t="shared" ca="1" si="7"/>
        <v>6415932.5048299963</v>
      </c>
    </row>
    <row r="95" spans="1:19" ht="15.75" customHeight="1" x14ac:dyDescent="0.3">
      <c r="A95" s="37">
        <v>53844</v>
      </c>
      <c r="B95" s="409">
        <f t="shared" ref="B95:C95" si="91">($A95-B$9)/365.25</f>
        <v>65.538672142368242</v>
      </c>
      <c r="C95" s="409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3525.4531757812501</v>
      </c>
      <c r="H95" s="25">
        <f>IF(B95&lt;62,0,'Combined Retirement'!$I$14)</f>
        <v>2192</v>
      </c>
      <c r="I95" s="25">
        <f>IF(C95&lt;62,0,'Combined Retirement'!$I$13)</f>
        <v>0</v>
      </c>
      <c r="J95" s="25">
        <f t="shared" si="3"/>
        <v>7080.840059638921</v>
      </c>
      <c r="K95" s="25">
        <f t="shared" si="4"/>
        <v>18263.995145597393</v>
      </c>
      <c r="L95" s="25"/>
      <c r="N95" s="25">
        <f>'Combined Retirement'!$C$18/12</f>
        <v>33932.660666666663</v>
      </c>
      <c r="O95" s="25">
        <f t="shared" si="5"/>
        <v>8587.8254614303496</v>
      </c>
      <c r="P95" s="25">
        <f t="shared" si="6"/>
        <v>25344.835205236312</v>
      </c>
      <c r="Q95" s="25">
        <f t="array" aca="1" ref="Q95" ca="1">INDEX('Isaac 401k'!L:L,MATCH('Retirement Calculator'!A95,'Isaac 401k'!N:N,0),0)</f>
        <v>2104820.0012190682</v>
      </c>
      <c r="R95" s="25">
        <f t="array" aca="1" ref="R95" ca="1">INDEX('Lorri 401b'!L:L,MATCH('Retirement Calculator'!A95,'Lorri 401b'!N:N,0),0)</f>
        <v>4312395.1170291277</v>
      </c>
      <c r="S95" s="25">
        <f t="shared" ca="1" si="7"/>
        <v>6417215.1182481963</v>
      </c>
    </row>
    <row r="96" spans="1:19" ht="15.75" customHeight="1" x14ac:dyDescent="0.3">
      <c r="A96" s="37">
        <v>53874</v>
      </c>
      <c r="B96" s="409">
        <f t="shared" ref="B96:C96" si="92">($A96-B$9)/365.25</f>
        <v>65.620807665982198</v>
      </c>
      <c r="C96" s="409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3525.4531757812501</v>
      </c>
      <c r="H96" s="25">
        <f>IF(B96&lt;62,0,'Combined Retirement'!$I$14)</f>
        <v>2192</v>
      </c>
      <c r="I96" s="25">
        <f>IF(C96&lt;62,0,'Combined Retirement'!$I$13)</f>
        <v>0</v>
      </c>
      <c r="J96" s="25">
        <f t="shared" si="3"/>
        <v>7080.840059638921</v>
      </c>
      <c r="K96" s="25">
        <f t="shared" si="4"/>
        <v>18263.995145597393</v>
      </c>
      <c r="L96" s="25"/>
      <c r="N96" s="25">
        <f>'Combined Retirement'!$C$18/12</f>
        <v>33932.660666666663</v>
      </c>
      <c r="O96" s="25">
        <f t="shared" si="5"/>
        <v>8587.8254614303496</v>
      </c>
      <c r="P96" s="25">
        <f t="shared" si="6"/>
        <v>25344.835205236312</v>
      </c>
      <c r="Q96" s="25">
        <f t="array" aca="1" ref="Q96" ca="1">INDEX('Isaac 401k'!L:L,MATCH('Retirement Calculator'!A96,'Isaac 401k'!N:N,0),0)</f>
        <v>2106479.7409975934</v>
      </c>
      <c r="R96" s="25">
        <f t="array" aca="1" ref="R96" ca="1">INDEX('Lorri 401b'!L:L,MATCH('Retirement Calculator'!A96,'Lorri 401b'!N:N,0),0)</f>
        <v>4312023.3348913779</v>
      </c>
      <c r="S96" s="25">
        <f t="shared" ca="1" si="7"/>
        <v>6418503.0758889709</v>
      </c>
    </row>
    <row r="97" spans="1:19" ht="15.75" customHeight="1" x14ac:dyDescent="0.3">
      <c r="A97" s="37">
        <v>53905</v>
      </c>
      <c r="B97" s="409">
        <f t="shared" ref="B97:C97" si="93">($A97-B$9)/365.25</f>
        <v>65.705681040383297</v>
      </c>
      <c r="C97" s="409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3525.4531757812501</v>
      </c>
      <c r="H97" s="25">
        <f>IF(B97&lt;62,0,'Combined Retirement'!$I$14)</f>
        <v>2192</v>
      </c>
      <c r="I97" s="25">
        <f>IF(C97&lt;62,0,'Combined Retirement'!$I$13)</f>
        <v>0</v>
      </c>
      <c r="J97" s="25">
        <f t="shared" si="3"/>
        <v>7080.840059638921</v>
      </c>
      <c r="K97" s="25">
        <f t="shared" si="4"/>
        <v>18263.995145597393</v>
      </c>
      <c r="L97" s="25"/>
      <c r="N97" s="25">
        <f>'Combined Retirement'!$C$18/12</f>
        <v>33932.660666666663</v>
      </c>
      <c r="O97" s="25">
        <f t="shared" si="5"/>
        <v>8587.8254614303496</v>
      </c>
      <c r="P97" s="25">
        <f t="shared" si="6"/>
        <v>25344.835205236312</v>
      </c>
      <c r="Q97" s="25">
        <f t="array" aca="1" ref="Q97" ca="1">INDEX('Isaac 401k'!L:L,MATCH('Retirement Calculator'!A97,'Isaac 401k'!N:N,0),0)</f>
        <v>2108146.3963585291</v>
      </c>
      <c r="R97" s="25">
        <f t="array" aca="1" ref="R97" ca="1">INDEX('Lorri 401b'!L:L,MATCH('Retirement Calculator'!A97,'Lorri 401b'!N:N,0),0)</f>
        <v>4311650.0036613876</v>
      </c>
      <c r="S97" s="25">
        <f t="shared" ca="1" si="7"/>
        <v>6419796.4000199167</v>
      </c>
    </row>
    <row r="98" spans="1:19" ht="15.75" customHeight="1" x14ac:dyDescent="0.3">
      <c r="A98" s="37">
        <v>53936</v>
      </c>
      <c r="B98" s="409">
        <f t="shared" ref="B98:C98" si="94">($A98-B$9)/365.25</f>
        <v>65.790554414784395</v>
      </c>
      <c r="C98" s="409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3525.4531757812501</v>
      </c>
      <c r="H98" s="25">
        <f>IF(B98&lt;62,0,'Combined Retirement'!$I$14)</f>
        <v>2192</v>
      </c>
      <c r="I98" s="25">
        <f>IF(C98&lt;62,0,'Combined Retirement'!$I$13)</f>
        <v>0</v>
      </c>
      <c r="J98" s="25">
        <f t="shared" si="3"/>
        <v>7080.840059638921</v>
      </c>
      <c r="K98" s="25">
        <f t="shared" si="4"/>
        <v>18263.995145597393</v>
      </c>
      <c r="L98" s="25"/>
      <c r="N98" s="25">
        <f>'Combined Retirement'!$C$18/12</f>
        <v>33932.660666666663</v>
      </c>
      <c r="O98" s="25">
        <f t="shared" si="5"/>
        <v>8587.8254614303496</v>
      </c>
      <c r="P98" s="25">
        <f t="shared" si="6"/>
        <v>25344.835205236312</v>
      </c>
      <c r="Q98" s="25">
        <f t="array" aca="1" ref="Q98" ca="1">INDEX('Isaac 401k'!L:L,MATCH('Retirement Calculator'!A98,'Isaac 401k'!N:N,0),0)</f>
        <v>2109819.9961168021</v>
      </c>
      <c r="R98" s="25">
        <f t="array" aca="1" ref="R98" ca="1">INDEX('Lorri 401b'!L:L,MATCH('Retirement Calculator'!A98,'Lorri 401b'!N:N,0),0)</f>
        <v>4311275.116884606</v>
      </c>
      <c r="S98" s="25">
        <f t="shared" ca="1" si="7"/>
        <v>6421095.1130014081</v>
      </c>
    </row>
    <row r="99" spans="1:19" ht="15.75" customHeight="1" x14ac:dyDescent="0.3">
      <c r="A99" s="37">
        <v>53966</v>
      </c>
      <c r="B99" s="409">
        <f t="shared" ref="B99:C99" si="95">($A99-B$9)/365.25</f>
        <v>65.872689938398352</v>
      </c>
      <c r="C99" s="409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3525.4531757812501</v>
      </c>
      <c r="H99" s="25">
        <f>IF(B99&lt;62,0,'Combined Retirement'!$I$14)</f>
        <v>2192</v>
      </c>
      <c r="I99" s="25">
        <f>IF(C99&lt;62,0,'Combined Retirement'!$I$13)</f>
        <v>0</v>
      </c>
      <c r="J99" s="25">
        <f t="shared" si="3"/>
        <v>7080.840059638921</v>
      </c>
      <c r="K99" s="25">
        <f t="shared" si="4"/>
        <v>18263.995145597393</v>
      </c>
      <c r="L99" s="25"/>
      <c r="N99" s="25">
        <f>'Combined Retirement'!$C$18/12</f>
        <v>33932.660666666663</v>
      </c>
      <c r="O99" s="25">
        <f t="shared" si="5"/>
        <v>8587.8254614303496</v>
      </c>
      <c r="P99" s="25">
        <f t="shared" si="6"/>
        <v>25344.835205236312</v>
      </c>
      <c r="Q99" s="25">
        <f t="array" aca="1" ref="Q99" ca="1">INDEX('Isaac 401k'!L:L,MATCH('Retirement Calculator'!A99,'Isaac 401k'!N:N,0),0)</f>
        <v>2111500.5692074015</v>
      </c>
      <c r="R99" s="25">
        <f t="array" aca="1" ref="R99" ca="1">INDEX('Lorri 401b'!L:L,MATCH('Retirement Calculator'!A99,'Lorri 401b'!N:N,0),0)</f>
        <v>4310898.6680795876</v>
      </c>
      <c r="S99" s="25">
        <f t="shared" ca="1" si="7"/>
        <v>6422399.2372869886</v>
      </c>
    </row>
    <row r="100" spans="1:19" ht="15.75" customHeight="1" x14ac:dyDescent="0.3">
      <c r="A100" s="37">
        <v>53997</v>
      </c>
      <c r="B100" s="409">
        <f t="shared" ref="B100:C100" si="96">($A100-B$9)/365.25</f>
        <v>65.957563312799451</v>
      </c>
      <c r="C100" s="409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3525.4531757812501</v>
      </c>
      <c r="H100" s="25">
        <f>IF(B100&lt;62,0,'Combined Retirement'!$I$14)</f>
        <v>2192</v>
      </c>
      <c r="I100" s="25">
        <f>IF(C100&lt;62,0,'Combined Retirement'!$I$13)</f>
        <v>0</v>
      </c>
      <c r="J100" s="25">
        <f t="shared" si="3"/>
        <v>7080.840059638921</v>
      </c>
      <c r="K100" s="25">
        <f t="shared" si="4"/>
        <v>18263.995145597393</v>
      </c>
      <c r="L100" s="25"/>
      <c r="N100" s="25">
        <f>'Combined Retirement'!$C$18/12</f>
        <v>33932.660666666663</v>
      </c>
      <c r="O100" s="25">
        <f t="shared" si="5"/>
        <v>8587.8254614303496</v>
      </c>
      <c r="P100" s="25">
        <f t="shared" si="6"/>
        <v>25344.835205236312</v>
      </c>
      <c r="Q100" s="25">
        <f t="array" aca="1" ref="Q100" ca="1">INDEX('Isaac 401k'!L:L,MATCH('Retirement Calculator'!A100,'Isaac 401k'!N:N,0),0)</f>
        <v>2113188.1446858784</v>
      </c>
      <c r="R100" s="25">
        <f t="array" aca="1" ref="R100" ca="1">INDEX('Lorri 401b'!L:L,MATCH('Retirement Calculator'!A100,'Lorri 401b'!N:N,0),0)</f>
        <v>4310520.6507378817</v>
      </c>
      <c r="S100" s="25">
        <f t="shared" ca="1" si="7"/>
        <v>6423708.7954237601</v>
      </c>
    </row>
    <row r="101" spans="1:19" ht="15.75" customHeight="1" x14ac:dyDescent="0.3">
      <c r="A101" s="37">
        <v>54027</v>
      </c>
      <c r="B101" s="409">
        <f t="shared" ref="B101:C101" si="97">($A101-B$9)/365.25</f>
        <v>66.039698836413422</v>
      </c>
      <c r="C101" s="409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3525.4531757812501</v>
      </c>
      <c r="H101" s="25">
        <f>IF(B101&lt;62,0,'Combined Retirement'!$I$14)</f>
        <v>2192</v>
      </c>
      <c r="I101" s="25">
        <f>IF(C101&lt;62,0,'Combined Retirement'!$I$13)</f>
        <v>0</v>
      </c>
      <c r="J101" s="25">
        <f t="shared" si="3"/>
        <v>7080.840059638921</v>
      </c>
      <c r="K101" s="25">
        <f t="shared" si="4"/>
        <v>18263.995145597393</v>
      </c>
      <c r="L101" s="25"/>
      <c r="N101" s="25">
        <f>'Combined Retirement'!$C$18/12</f>
        <v>33932.660666666663</v>
      </c>
      <c r="O101" s="25">
        <f t="shared" si="5"/>
        <v>8587.8254614303496</v>
      </c>
      <c r="P101" s="25">
        <f t="shared" si="6"/>
        <v>25344.835205236312</v>
      </c>
      <c r="Q101" s="25">
        <f t="array" aca="1" ref="Q101" ca="1">INDEX('Isaac 401k'!L:L,MATCH('Retirement Calculator'!A101,'Isaac 401k'!N:N,0),0)</f>
        <v>2114882.751728849</v>
      </c>
      <c r="R101" s="25">
        <f t="array" aca="1" ref="R101" ca="1">INDEX('Lorri 401b'!L:L,MATCH('Retirement Calculator'!A101,'Lorri 401b'!N:N,0),0)</f>
        <v>4310141.0583239188</v>
      </c>
      <c r="S101" s="25">
        <f t="shared" ca="1" si="7"/>
        <v>6425023.8100527674</v>
      </c>
    </row>
    <row r="102" spans="1:19" ht="15.75" customHeight="1" x14ac:dyDescent="0.3">
      <c r="A102" s="37">
        <v>54058</v>
      </c>
      <c r="B102" s="409">
        <f t="shared" ref="B102:C102" si="98">($A102-B$9)/365.25</f>
        <v>66.124572210814506</v>
      </c>
      <c r="C102" s="409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3525.4531757812501</v>
      </c>
      <c r="H102" s="25">
        <f>IF(B102&lt;62,0,'Combined Retirement'!$I$14)</f>
        <v>2192</v>
      </c>
      <c r="I102" s="25">
        <f>IF(C102&lt;62,0,'Combined Retirement'!$I$13)</f>
        <v>0</v>
      </c>
      <c r="J102" s="25">
        <f t="shared" si="3"/>
        <v>7080.840059638921</v>
      </c>
      <c r="K102" s="25">
        <f t="shared" si="4"/>
        <v>18263.995145597393</v>
      </c>
      <c r="L102" s="25"/>
      <c r="N102" s="25">
        <f>'Combined Retirement'!$C$18/12</f>
        <v>33932.660666666663</v>
      </c>
      <c r="O102" s="25">
        <f t="shared" si="5"/>
        <v>8587.8254614303496</v>
      </c>
      <c r="P102" s="25">
        <f t="shared" si="6"/>
        <v>25344.835205236312</v>
      </c>
      <c r="Q102" s="25">
        <f t="array" aca="1" ref="Q102" ca="1">INDEX('Isaac 401k'!L:L,MATCH('Retirement Calculator'!A102,'Isaac 401k'!N:N,0),0)</f>
        <v>2116584.4196344987</v>
      </c>
      <c r="R102" s="25">
        <f t="array" aca="1" ref="R102" ca="1">INDEX('Lorri 401b'!L:L,MATCH('Retirement Calculator'!A102,'Lorri 401b'!N:N,0),0)</f>
        <v>4309759.8842748981</v>
      </c>
      <c r="S102" s="25">
        <f t="shared" ca="1" si="7"/>
        <v>6426344.3039093968</v>
      </c>
    </row>
    <row r="103" spans="1:19" ht="15.75" customHeight="1" x14ac:dyDescent="0.3">
      <c r="A103" s="37">
        <v>54089</v>
      </c>
      <c r="B103" s="409">
        <f t="shared" ref="B103:C103" si="99">($A103-B$9)/365.25</f>
        <v>66.209445585215605</v>
      </c>
      <c r="C103" s="409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3525.4531757812501</v>
      </c>
      <c r="H103" s="25">
        <f>IF(B103&lt;62,0,'Combined Retirement'!$I$14)</f>
        <v>2192</v>
      </c>
      <c r="I103" s="25">
        <f>IF(C103&lt;62,0,'Combined Retirement'!$I$13)</f>
        <v>0</v>
      </c>
      <c r="J103" s="25">
        <f t="shared" si="3"/>
        <v>7080.840059638921</v>
      </c>
      <c r="K103" s="25">
        <f t="shared" si="4"/>
        <v>18263.995145597393</v>
      </c>
      <c r="L103" s="25"/>
      <c r="N103" s="25">
        <f>'Combined Retirement'!$C$18/12</f>
        <v>33932.660666666663</v>
      </c>
      <c r="O103" s="25">
        <f t="shared" si="5"/>
        <v>8587.8254614303496</v>
      </c>
      <c r="P103" s="25">
        <f t="shared" si="6"/>
        <v>25344.835205236312</v>
      </c>
      <c r="Q103" s="25">
        <f t="array" aca="1" ref="Q103" ca="1">INDEX('Isaac 401k'!L:L,MATCH('Retirement Calculator'!A103,'Isaac 401k'!N:N,0),0)</f>
        <v>2118293.1778230881</v>
      </c>
      <c r="R103" s="25">
        <f t="array" aca="1" ref="R103" ca="1">INDEX('Lorri 401b'!L:L,MATCH('Retirement Calculator'!A103,'Lorri 401b'!N:N,0),0)</f>
        <v>4309377.1220006729</v>
      </c>
      <c r="S103" s="25">
        <f t="shared" ca="1" si="7"/>
        <v>6427670.299823761</v>
      </c>
    </row>
    <row r="104" spans="1:19" ht="15.75" customHeight="1" x14ac:dyDescent="0.3">
      <c r="A104" s="37">
        <v>54118</v>
      </c>
      <c r="B104" s="409">
        <f t="shared" ref="B104:C104" si="100">($A104-B$9)/365.25</f>
        <v>66.288843258042434</v>
      </c>
      <c r="C104" s="409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3525.4531757812501</v>
      </c>
      <c r="H104" s="25">
        <f>IF(B104&lt;62,0,'Combined Retirement'!$I$14)</f>
        <v>2192</v>
      </c>
      <c r="I104" s="25">
        <f>IF(C104&lt;62,0,'Combined Retirement'!$I$13)</f>
        <v>0</v>
      </c>
      <c r="J104" s="25">
        <f t="shared" si="3"/>
        <v>7080.840059638921</v>
      </c>
      <c r="K104" s="25">
        <f t="shared" si="4"/>
        <v>18263.995145597393</v>
      </c>
      <c r="L104" s="25"/>
      <c r="N104" s="25">
        <f>'Combined Retirement'!$C$18/12</f>
        <v>33932.660666666663</v>
      </c>
      <c r="O104" s="25">
        <f t="shared" si="5"/>
        <v>8587.8254614303496</v>
      </c>
      <c r="P104" s="25">
        <f t="shared" si="6"/>
        <v>25344.835205236312</v>
      </c>
      <c r="Q104" s="25">
        <f t="array" aca="1" ref="Q104" ca="1">INDEX('Isaac 401k'!L:L,MATCH('Retirement Calculator'!A104,'Isaac 401k'!N:N,0),0)</f>
        <v>2120009.0558374636</v>
      </c>
      <c r="R104" s="25">
        <f t="array" aca="1" ref="R104" ca="1">INDEX('Lorri 401b'!L:L,MATCH('Retirement Calculator'!A104,'Lorri 401b'!N:N,0),0)</f>
        <v>4308992.7648836384</v>
      </c>
      <c r="S104" s="25">
        <f t="shared" ca="1" si="7"/>
        <v>6429001.8207211019</v>
      </c>
    </row>
    <row r="105" spans="1:19" ht="15.75" customHeight="1" x14ac:dyDescent="0.3">
      <c r="A105" s="37">
        <v>54149</v>
      </c>
      <c r="B105" s="409">
        <f t="shared" ref="B105:C105" si="101">($A105-B$9)/365.25</f>
        <v>66.373716632443532</v>
      </c>
      <c r="C105" s="409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3525.4531757812501</v>
      </c>
      <c r="H105" s="25">
        <f>IF(B105&lt;62,0,'Combined Retirement'!$I$14)</f>
        <v>2192</v>
      </c>
      <c r="I105" s="25">
        <f>IF(C105&lt;62,0,'Combined Retirement'!$I$13)</f>
        <v>0</v>
      </c>
      <c r="J105" s="25">
        <f t="shared" si="3"/>
        <v>7080.840059638921</v>
      </c>
      <c r="K105" s="25">
        <f t="shared" si="4"/>
        <v>18263.995145597393</v>
      </c>
      <c r="L105" s="25"/>
      <c r="N105" s="25">
        <f>'Combined Retirement'!$C$18/12</f>
        <v>33932.660666666663</v>
      </c>
      <c r="O105" s="25">
        <f t="shared" si="5"/>
        <v>8587.8254614303496</v>
      </c>
      <c r="P105" s="25">
        <f t="shared" si="6"/>
        <v>25344.835205236312</v>
      </c>
      <c r="Q105" s="25">
        <f t="array" aca="1" ref="Q105" ca="1">INDEX('Isaac 401k'!L:L,MATCH('Retirement Calculator'!A105,'Isaac 401k'!N:N,0),0)</f>
        <v>2121732.0833435655</v>
      </c>
      <c r="R105" s="25">
        <f t="array" aca="1" ref="R105" ca="1">INDEX('Lorri 401b'!L:L,MATCH('Retirement Calculator'!A105,'Lorri 401b'!N:N,0),0)</f>
        <v>4308606.8062786162</v>
      </c>
      <c r="S105" s="25">
        <f t="shared" ca="1" si="7"/>
        <v>6430338.8896221817</v>
      </c>
    </row>
    <row r="106" spans="1:19" ht="15.75" customHeight="1" x14ac:dyDescent="0.3">
      <c r="A106" s="37">
        <v>54179</v>
      </c>
      <c r="B106" s="409">
        <f t="shared" ref="B106:C106" si="102">($A106-B$9)/365.25</f>
        <v>66.455852156057489</v>
      </c>
      <c r="C106" s="409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3525.4531757812501</v>
      </c>
      <c r="H106" s="25">
        <f>IF(B106&lt;62,0,'Combined Retirement'!$I$14)</f>
        <v>2192</v>
      </c>
      <c r="I106" s="25">
        <f>IF(C106&lt;62,0,'Combined Retirement'!$I$13)</f>
        <v>0</v>
      </c>
      <c r="J106" s="25">
        <f t="shared" si="3"/>
        <v>7080.840059638921</v>
      </c>
      <c r="K106" s="25">
        <f t="shared" si="4"/>
        <v>18263.995145597393</v>
      </c>
      <c r="L106" s="25"/>
      <c r="N106" s="25">
        <f>'Combined Retirement'!$C$18/12</f>
        <v>33932.660666666663</v>
      </c>
      <c r="O106" s="25">
        <f t="shared" si="5"/>
        <v>8587.8254614303496</v>
      </c>
      <c r="P106" s="25">
        <f t="shared" si="6"/>
        <v>25344.835205236312</v>
      </c>
      <c r="Q106" s="25">
        <f t="array" aca="1" ref="Q106" ca="1">INDEX('Isaac 401k'!L:L,MATCH('Retirement Calculator'!A106,'Isaac 401k'!N:N,0),0)</f>
        <v>2123462.2901309431</v>
      </c>
      <c r="R106" s="25">
        <f t="array" aca="1" ref="R106" ca="1">INDEX('Lorri 401b'!L:L,MATCH('Retirement Calculator'!A106,'Lorri 401b'!N:N,0),0)</f>
        <v>4308219.2395127397</v>
      </c>
      <c r="S106" s="25">
        <f t="shared" ca="1" si="7"/>
        <v>6431681.5296436828</v>
      </c>
    </row>
    <row r="107" spans="1:19" ht="15.75" customHeight="1" x14ac:dyDescent="0.3">
      <c r="A107" s="37">
        <v>54210</v>
      </c>
      <c r="B107" s="409">
        <f t="shared" ref="B107:C107" si="103">($A107-B$9)/365.25</f>
        <v>66.540725530458587</v>
      </c>
      <c r="C107" s="409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3525.4531757812501</v>
      </c>
      <c r="H107" s="25">
        <f>IF(B107&lt;62,0,'Combined Retirement'!$I$14)</f>
        <v>2192</v>
      </c>
      <c r="I107" s="25">
        <f>IF(C107&lt;62,0,'Combined Retirement'!$I$13)</f>
        <v>0</v>
      </c>
      <c r="J107" s="25">
        <f t="shared" si="3"/>
        <v>7080.840059638921</v>
      </c>
      <c r="K107" s="25">
        <f t="shared" si="4"/>
        <v>18263.995145597393</v>
      </c>
      <c r="L107" s="25"/>
      <c r="N107" s="25">
        <f>'Combined Retirement'!$C$18/12</f>
        <v>33932.660666666663</v>
      </c>
      <c r="O107" s="25">
        <f t="shared" si="5"/>
        <v>8587.8254614303496</v>
      </c>
      <c r="P107" s="25">
        <f t="shared" si="6"/>
        <v>25344.835205236312</v>
      </c>
      <c r="Q107" s="25">
        <f t="array" aca="1" ref="Q107" ca="1">INDEX('Isaac 401k'!L:L,MATCH('Retirement Calculator'!A107,'Isaac 401k'!N:N,0),0)</f>
        <v>2125199.7061132677</v>
      </c>
      <c r="R107" s="25">
        <f t="array" aca="1" ref="R107" ca="1">INDEX('Lorri 401b'!L:L,MATCH('Retirement Calculator'!A107,'Lorri 401b'!N:N,0),0)</f>
        <v>4307830.0578853386</v>
      </c>
      <c r="S107" s="25">
        <f t="shared" ca="1" si="7"/>
        <v>6433029.7639986062</v>
      </c>
    </row>
    <row r="108" spans="1:19" ht="15.75" customHeight="1" x14ac:dyDescent="0.3">
      <c r="A108" s="37">
        <v>54240</v>
      </c>
      <c r="B108" s="409">
        <f t="shared" ref="B108:C108" si="104">($A108-B$9)/365.25</f>
        <v>66.622861054072558</v>
      </c>
      <c r="C108" s="409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3525.4531757812501</v>
      </c>
      <c r="H108" s="25">
        <f>IF(B108&lt;62,0,'Combined Retirement'!$I$14)</f>
        <v>2192</v>
      </c>
      <c r="I108" s="25">
        <f>IF(C108&lt;62,0,'Combined Retirement'!$I$13)</f>
        <v>2420</v>
      </c>
      <c r="J108" s="25">
        <f t="shared" si="3"/>
        <v>6404.7404596389215</v>
      </c>
      <c r="K108" s="25">
        <f t="shared" si="4"/>
        <v>16520.094745597391</v>
      </c>
      <c r="L108" s="25"/>
      <c r="N108" s="25">
        <f>'Combined Retirement'!$C$18/12</f>
        <v>33932.660666666663</v>
      </c>
      <c r="O108" s="25">
        <f t="shared" si="5"/>
        <v>11007.82546143035</v>
      </c>
      <c r="P108" s="25">
        <f t="shared" si="6"/>
        <v>22924.835205236312</v>
      </c>
      <c r="Q108" s="25">
        <f t="array" aca="1" ref="Q108" ca="1">INDEX('Isaac 401k'!L:L,MATCH('Retirement Calculator'!A108,'Isaac 401k'!N:N,0),0)</f>
        <v>2127623.2780105188</v>
      </c>
      <c r="R108" s="25">
        <f t="array" aca="1" ref="R108" ca="1">INDEX('Lorri 401b'!L:L,MATCH('Retirement Calculator'!A108,'Lorri 401b'!N:N,0),0)</f>
        <v>4309190.4213194894</v>
      </c>
      <c r="S108" s="25">
        <f t="shared" ca="1" si="7"/>
        <v>6436813.6993300077</v>
      </c>
    </row>
    <row r="109" spans="1:19" ht="15.75" customHeight="1" x14ac:dyDescent="0.3">
      <c r="A109" s="37">
        <v>54271</v>
      </c>
      <c r="B109" s="409">
        <f t="shared" ref="B109:C109" si="105">($A109-B$9)/365.25</f>
        <v>66.707734428473643</v>
      </c>
      <c r="C109" s="409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3525.4531757812501</v>
      </c>
      <c r="H109" s="25">
        <f>IF(B109&lt;62,0,'Combined Retirement'!$I$14)</f>
        <v>2192</v>
      </c>
      <c r="I109" s="25">
        <f>IF(C109&lt;62,0,'Combined Retirement'!$I$13)</f>
        <v>2420</v>
      </c>
      <c r="J109" s="25">
        <f t="shared" si="3"/>
        <v>6404.7404596389215</v>
      </c>
      <c r="K109" s="25">
        <f t="shared" si="4"/>
        <v>16520.094745597391</v>
      </c>
      <c r="L109" s="25"/>
      <c r="N109" s="25">
        <f>'Combined Retirement'!$C$18/12</f>
        <v>33932.660666666663</v>
      </c>
      <c r="O109" s="25">
        <f t="shared" si="5"/>
        <v>11007.82546143035</v>
      </c>
      <c r="P109" s="25">
        <f t="shared" si="6"/>
        <v>22924.835205236312</v>
      </c>
      <c r="Q109" s="25">
        <f t="array" aca="1" ref="Q109" ca="1">INDEX('Isaac 401k'!L:L,MATCH('Retirement Calculator'!A109,'Isaac 401k'!N:N,0),0)</f>
        <v>2130056.9481240083</v>
      </c>
      <c r="R109" s="25">
        <f t="array" aca="1" ref="R109" ca="1">INDEX('Lorri 401b'!L:L,MATCH('Retirement Calculator'!A109,'Lorri 401b'!N:N,0),0)</f>
        <v>4310556.4529346162</v>
      </c>
      <c r="S109" s="25">
        <f t="shared" ca="1" si="7"/>
        <v>6440613.4010586245</v>
      </c>
    </row>
    <row r="110" spans="1:19" ht="15.75" customHeight="1" x14ac:dyDescent="0.3">
      <c r="A110" s="37">
        <v>54302</v>
      </c>
      <c r="B110" s="409">
        <f t="shared" ref="B110:C110" si="106">($A110-B$9)/365.25</f>
        <v>66.792607802874741</v>
      </c>
      <c r="C110" s="409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3525.4531757812501</v>
      </c>
      <c r="H110" s="25">
        <f>IF(B110&lt;62,0,'Combined Retirement'!$I$14)</f>
        <v>2192</v>
      </c>
      <c r="I110" s="25">
        <f>IF(C110&lt;62,0,'Combined Retirement'!$I$13)</f>
        <v>2420</v>
      </c>
      <c r="J110" s="25">
        <f t="shared" si="3"/>
        <v>6404.7404596389215</v>
      </c>
      <c r="K110" s="25">
        <f t="shared" si="4"/>
        <v>16520.094745597391</v>
      </c>
      <c r="L110" s="25"/>
      <c r="N110" s="25">
        <f>'Combined Retirement'!$C$18/12</f>
        <v>33932.660666666663</v>
      </c>
      <c r="O110" s="25">
        <f t="shared" si="5"/>
        <v>11007.82546143035</v>
      </c>
      <c r="P110" s="25">
        <f t="shared" si="6"/>
        <v>22924.835205236312</v>
      </c>
      <c r="Q110" s="25">
        <f t="array" aca="1" ref="Q110" ca="1">INDEX('Isaac 401k'!L:L,MATCH('Retirement Calculator'!A110,'Isaac 401k'!N:N,0),0)</f>
        <v>2132500.7585296375</v>
      </c>
      <c r="R110" s="25">
        <f t="array" aca="1" ref="R110" ca="1">INDEX('Lorri 401b'!L:L,MATCH('Retirement Calculator'!A110,'Lorri 401b'!N:N,0),0)</f>
        <v>4311928.1763481395</v>
      </c>
      <c r="S110" s="25">
        <f t="shared" ca="1" si="7"/>
        <v>6444428.9348777775</v>
      </c>
    </row>
    <row r="111" spans="1:19" ht="15.75" customHeight="1" x14ac:dyDescent="0.3">
      <c r="A111" s="37">
        <v>54332</v>
      </c>
      <c r="B111" s="409">
        <f t="shared" ref="B111:C111" si="107">($A111-B$9)/365.25</f>
        <v>66.874743326488712</v>
      </c>
      <c r="C111" s="409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3525.4531757812501</v>
      </c>
      <c r="H111" s="25">
        <f>IF(B111&lt;62,0,'Combined Retirement'!$I$14)</f>
        <v>2192</v>
      </c>
      <c r="I111" s="25">
        <f>IF(C111&lt;62,0,'Combined Retirement'!$I$13)</f>
        <v>2420</v>
      </c>
      <c r="J111" s="25">
        <f t="shared" si="3"/>
        <v>6404.7404596389215</v>
      </c>
      <c r="K111" s="25">
        <f t="shared" si="4"/>
        <v>16520.094745597391</v>
      </c>
      <c r="L111" s="25"/>
      <c r="N111" s="25">
        <f>'Combined Retirement'!$C$18/12</f>
        <v>33932.660666666663</v>
      </c>
      <c r="O111" s="25">
        <f t="shared" si="5"/>
        <v>11007.82546143035</v>
      </c>
      <c r="P111" s="25">
        <f t="shared" si="6"/>
        <v>22924.835205236312</v>
      </c>
      <c r="Q111" s="25">
        <f t="array" aca="1" ref="Q111" ca="1">INDEX('Isaac 401k'!L:L,MATCH('Retirement Calculator'!A111,'Isaac 401k'!N:N,0),0)</f>
        <v>2134954.7514786231</v>
      </c>
      <c r="R111" s="25">
        <f t="array" aca="1" ref="R111" ca="1">INDEX('Lorri 401b'!L:L,MATCH('Retirement Calculator'!A111,'Lorri 401b'!N:N,0),0)</f>
        <v>4313305.6152758859</v>
      </c>
      <c r="S111" s="25">
        <f t="shared" ca="1" si="7"/>
        <v>6448260.3667545095</v>
      </c>
    </row>
    <row r="112" spans="1:19" ht="15.75" customHeight="1" x14ac:dyDescent="0.3">
      <c r="A112" s="37">
        <v>54363</v>
      </c>
      <c r="B112" s="409">
        <f t="shared" ref="B112:C112" si="108">($A112-B$9)/365.25</f>
        <v>66.959616700889796</v>
      </c>
      <c r="C112" s="409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3525.4531757812501</v>
      </c>
      <c r="H112" s="25">
        <f>IF(B112&lt;62,0,'Combined Retirement'!$I$14)</f>
        <v>2192</v>
      </c>
      <c r="I112" s="25">
        <f>IF(C112&lt;62,0,'Combined Retirement'!$I$13)</f>
        <v>2420</v>
      </c>
      <c r="J112" s="25">
        <f t="shared" si="3"/>
        <v>6404.7404596389215</v>
      </c>
      <c r="K112" s="25">
        <f t="shared" si="4"/>
        <v>16520.094745597391</v>
      </c>
      <c r="L112" s="25"/>
      <c r="N112" s="25">
        <f>'Combined Retirement'!$C$18/12</f>
        <v>33932.660666666663</v>
      </c>
      <c r="O112" s="25">
        <f t="shared" si="5"/>
        <v>11007.82546143035</v>
      </c>
      <c r="P112" s="25">
        <f t="shared" si="6"/>
        <v>22924.835205236312</v>
      </c>
      <c r="Q112" s="25">
        <f t="array" aca="1" ref="Q112" ca="1">INDEX('Isaac 401k'!L:L,MATCH('Retirement Calculator'!A112,'Isaac 401k'!N:N,0),0)</f>
        <v>2137418.9693982298</v>
      </c>
      <c r="R112" s="25">
        <f t="array" aca="1" ref="R112" ca="1">INDEX('Lorri 401b'!L:L,MATCH('Retirement Calculator'!A112,'Lorri 401b'!N:N,0),0)</f>
        <v>4314688.7935324972</v>
      </c>
      <c r="S112" s="25">
        <f t="shared" ca="1" si="7"/>
        <v>6452107.7629307266</v>
      </c>
    </row>
    <row r="113" spans="1:19" ht="15.75" customHeight="1" x14ac:dyDescent="0.3">
      <c r="A113" s="37">
        <v>54393</v>
      </c>
      <c r="B113" s="409">
        <f t="shared" ref="B113:C113" si="109">($A113-B$9)/365.25</f>
        <v>67.041752224503767</v>
      </c>
      <c r="C113" s="409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3525.4531757812501</v>
      </c>
      <c r="H113" s="25">
        <f>IF(B113&lt;62,0,'Combined Retirement'!$I$14)</f>
        <v>2192</v>
      </c>
      <c r="I113" s="25">
        <f>IF(C113&lt;62,0,'Combined Retirement'!$I$13)</f>
        <v>2420</v>
      </c>
      <c r="J113" s="25">
        <f t="shared" si="3"/>
        <v>6404.7404596389215</v>
      </c>
      <c r="K113" s="25">
        <f t="shared" si="4"/>
        <v>16520.094745597391</v>
      </c>
      <c r="L113" s="25"/>
      <c r="N113" s="25">
        <f>'Combined Retirement'!$C$18/12</f>
        <v>33932.660666666663</v>
      </c>
      <c r="O113" s="25">
        <f t="shared" si="5"/>
        <v>11007.82546143035</v>
      </c>
      <c r="P113" s="25">
        <f t="shared" si="6"/>
        <v>22924.835205236312</v>
      </c>
      <c r="Q113" s="25">
        <f t="array" aca="1" ref="Q113" ca="1">INDEX('Isaac 401k'!L:L,MATCH('Retirement Calculator'!A113,'Isaac 401k'!N:N,0),0)</f>
        <v>2139893.4548925017</v>
      </c>
      <c r="R113" s="25">
        <f t="array" aca="1" ref="R113" ca="1">INDEX('Lorri 401b'!L:L,MATCH('Retirement Calculator'!A113,'Lorri 401b'!N:N,0),0)</f>
        <v>4316077.735031845</v>
      </c>
      <c r="S113" s="25">
        <f t="shared" ca="1" si="7"/>
        <v>6455971.1899243463</v>
      </c>
    </row>
    <row r="114" spans="1:19" ht="15.75" customHeight="1" x14ac:dyDescent="0.3">
      <c r="A114" s="37">
        <v>54424</v>
      </c>
      <c r="B114" s="409">
        <f t="shared" ref="B114:C114" si="110">($A114-B$9)/365.25</f>
        <v>67.126625598904866</v>
      </c>
      <c r="C114" s="409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3525.4531757812501</v>
      </c>
      <c r="H114" s="25">
        <f>IF(B114&lt;62,0,'Combined Retirement'!$I$14)</f>
        <v>2192</v>
      </c>
      <c r="I114" s="25">
        <f>IF(C114&lt;62,0,'Combined Retirement'!$I$13)</f>
        <v>2420</v>
      </c>
      <c r="J114" s="25">
        <f t="shared" si="3"/>
        <v>6404.7404596389215</v>
      </c>
      <c r="K114" s="25">
        <f t="shared" si="4"/>
        <v>16520.094745597391</v>
      </c>
      <c r="L114" s="25"/>
      <c r="N114" s="25">
        <f>'Combined Retirement'!$C$18/12</f>
        <v>33932.660666666663</v>
      </c>
      <c r="O114" s="25">
        <f t="shared" si="5"/>
        <v>11007.82546143035</v>
      </c>
      <c r="P114" s="25">
        <f t="shared" si="6"/>
        <v>22924.835205236312</v>
      </c>
      <c r="Q114" s="25">
        <f t="array" aca="1" ref="Q114" ca="1">INDEX('Isaac 401k'!L:L,MATCH('Retirement Calculator'!A114,'Isaac 401k'!N:N,0),0)</f>
        <v>2142378.2507429994</v>
      </c>
      <c r="R114" s="25">
        <f t="array" aca="1" ref="R114" ca="1">INDEX('Lorri 401b'!L:L,MATCH('Retirement Calculator'!A114,'Lorri 401b'!N:N,0),0)</f>
        <v>4317472.4637874402</v>
      </c>
      <c r="S114" s="25">
        <f t="shared" ca="1" si="7"/>
        <v>6459850.71453044</v>
      </c>
    </row>
    <row r="115" spans="1:19" ht="15.75" customHeight="1" x14ac:dyDescent="0.3">
      <c r="A115" s="37">
        <v>54455</v>
      </c>
      <c r="B115" s="409">
        <f t="shared" ref="B115:C115" si="111">($A115-B$9)/365.25</f>
        <v>67.21149897330595</v>
      </c>
      <c r="C115" s="409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3525.4531757812501</v>
      </c>
      <c r="H115" s="25">
        <f>IF(B115&lt;62,0,'Combined Retirement'!$I$14)</f>
        <v>2192</v>
      </c>
      <c r="I115" s="25">
        <f>IF(C115&lt;62,0,'Combined Retirement'!$I$13)</f>
        <v>2420</v>
      </c>
      <c r="J115" s="25">
        <f t="shared" si="3"/>
        <v>6404.7404596389215</v>
      </c>
      <c r="K115" s="25">
        <f t="shared" si="4"/>
        <v>16520.094745597391</v>
      </c>
      <c r="L115" s="25"/>
      <c r="N115" s="25">
        <f>'Combined Retirement'!$C$18/12</f>
        <v>33932.660666666663</v>
      </c>
      <c r="O115" s="25">
        <f t="shared" si="5"/>
        <v>11007.82546143035</v>
      </c>
      <c r="P115" s="25">
        <f t="shared" si="6"/>
        <v>22924.835205236312</v>
      </c>
      <c r="Q115" s="25">
        <f t="array" aca="1" ref="Q115" ca="1">INDEX('Isaac 401k'!L:L,MATCH('Retirement Calculator'!A115,'Isaac 401k'!N:N,0),0)</f>
        <v>2144873.399909541</v>
      </c>
      <c r="R115" s="25">
        <f t="array" aca="1" ref="R115" ca="1">INDEX('Lorri 401b'!L:L,MATCH('Retirement Calculator'!A115,'Lorri 401b'!N:N,0),0)</f>
        <v>4318873.0039128503</v>
      </c>
      <c r="S115" s="25">
        <f t="shared" ca="1" si="7"/>
        <v>6463746.4038223913</v>
      </c>
    </row>
    <row r="116" spans="1:19" ht="15.75" customHeight="1" x14ac:dyDescent="0.3">
      <c r="A116" s="37">
        <v>54483</v>
      </c>
      <c r="B116" s="409">
        <f t="shared" ref="B116:C116" si="112">($A116-B$9)/365.25</f>
        <v>67.288158795345652</v>
      </c>
      <c r="C116" s="409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3525.4531757812501</v>
      </c>
      <c r="H116" s="25">
        <f>IF(B116&lt;62,0,'Combined Retirement'!$I$14)</f>
        <v>2192</v>
      </c>
      <c r="I116" s="25">
        <f>IF(C116&lt;62,0,'Combined Retirement'!$I$13)</f>
        <v>2420</v>
      </c>
      <c r="J116" s="25">
        <f t="shared" si="3"/>
        <v>6404.7404596389215</v>
      </c>
      <c r="K116" s="25">
        <f t="shared" si="4"/>
        <v>16520.094745597391</v>
      </c>
      <c r="L116" s="25"/>
      <c r="N116" s="25">
        <f>'Combined Retirement'!$C$18/12</f>
        <v>33932.660666666663</v>
      </c>
      <c r="O116" s="25">
        <f t="shared" si="5"/>
        <v>11007.82546143035</v>
      </c>
      <c r="P116" s="25">
        <f t="shared" si="6"/>
        <v>22924.835205236312</v>
      </c>
      <c r="Q116" s="25">
        <f t="array" aca="1" ref="Q116" ca="1">INDEX('Isaac 401k'!L:L,MATCH('Retirement Calculator'!A116,'Isaac 401k'!N:N,0),0)</f>
        <v>2147378.9455309431</v>
      </c>
      <c r="R116" s="25">
        <f t="array" aca="1" ref="R116" ca="1">INDEX('Lorri 401b'!L:L,MATCH('Retirement Calculator'!A116,'Lorri 401b'!N:N,0),0)</f>
        <v>4320279.3796221158</v>
      </c>
      <c r="S116" s="25">
        <f t="shared" ca="1" si="7"/>
        <v>6467658.3251530584</v>
      </c>
    </row>
    <row r="117" spans="1:19" ht="15.75" customHeight="1" x14ac:dyDescent="0.3">
      <c r="A117" s="37">
        <v>54514</v>
      </c>
      <c r="B117" s="409">
        <f t="shared" ref="B117:C117" si="113">($A117-B$9)/365.25</f>
        <v>67.37303216974675</v>
      </c>
      <c r="C117" s="409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3525.4531757812501</v>
      </c>
      <c r="H117" s="25">
        <f>IF(B117&lt;62,0,'Combined Retirement'!$I$14)</f>
        <v>2192</v>
      </c>
      <c r="I117" s="25">
        <f>IF(C117&lt;62,0,'Combined Retirement'!$I$13)</f>
        <v>2420</v>
      </c>
      <c r="J117" s="25">
        <f t="shared" si="3"/>
        <v>6404.7404596389215</v>
      </c>
      <c r="K117" s="25">
        <f t="shared" si="4"/>
        <v>16520.094745597391</v>
      </c>
      <c r="L117" s="25"/>
      <c r="N117" s="25">
        <f>'Combined Retirement'!$C$18/12</f>
        <v>33932.660666666663</v>
      </c>
      <c r="O117" s="25">
        <f t="shared" si="5"/>
        <v>11007.82546143035</v>
      </c>
      <c r="P117" s="25">
        <f t="shared" si="6"/>
        <v>22924.835205236312</v>
      </c>
      <c r="Q117" s="25">
        <f t="array" aca="1" ref="Q117" ca="1">INDEX('Isaac 401k'!L:L,MATCH('Retirement Calculator'!A117,'Isaac 401k'!N:N,0),0)</f>
        <v>2149894.9309257679</v>
      </c>
      <c r="R117" s="25">
        <f t="array" aca="1" ref="R117" ca="1">INDEX('Lorri 401b'!L:L,MATCH('Retirement Calculator'!A117,'Lorri 401b'!N:N,0),0)</f>
        <v>4321691.6152301701</v>
      </c>
      <c r="S117" s="25">
        <f t="shared" ca="1" si="7"/>
        <v>6471586.5461559379</v>
      </c>
    </row>
    <row r="118" spans="1:19" ht="15.75" customHeight="1" x14ac:dyDescent="0.3">
      <c r="A118" s="37">
        <v>54544</v>
      </c>
      <c r="B118" s="409">
        <f t="shared" ref="B118:C118" si="114">($A118-B$9)/365.25</f>
        <v>67.455167693360707</v>
      </c>
      <c r="C118" s="409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3525.4531757812501</v>
      </c>
      <c r="H118" s="25">
        <f>IF(B118&lt;62,0,'Combined Retirement'!$I$14)</f>
        <v>2192</v>
      </c>
      <c r="I118" s="25">
        <f>IF(C118&lt;62,0,'Combined Retirement'!$I$13)</f>
        <v>2420</v>
      </c>
      <c r="J118" s="25">
        <f t="shared" si="3"/>
        <v>6404.7404596389215</v>
      </c>
      <c r="K118" s="25">
        <f t="shared" si="4"/>
        <v>16520.094745597391</v>
      </c>
      <c r="L118" s="25"/>
      <c r="N118" s="25">
        <f>'Combined Retirement'!$C$18/12</f>
        <v>33932.660666666663</v>
      </c>
      <c r="O118" s="25">
        <f t="shared" si="5"/>
        <v>11007.82546143035</v>
      </c>
      <c r="P118" s="25">
        <f t="shared" si="6"/>
        <v>22924.835205236312</v>
      </c>
      <c r="Q118" s="25">
        <f t="array" aca="1" ref="Q118" ca="1">INDEX('Isaac 401k'!L:L,MATCH('Retirement Calculator'!A118,'Isaac 401k'!N:N,0),0)</f>
        <v>2152421.3995930711</v>
      </c>
      <c r="R118" s="25">
        <f t="array" aca="1" ref="R118" ca="1">INDEX('Lorri 401b'!L:L,MATCH('Retirement Calculator'!A118,'Lorri 401b'!N:N,0),0)</f>
        <v>4323109.7351532578</v>
      </c>
      <c r="S118" s="25">
        <f t="shared" ca="1" si="7"/>
        <v>6475531.1347463289</v>
      </c>
    </row>
    <row r="119" spans="1:19" ht="15.75" customHeight="1" x14ac:dyDescent="0.3">
      <c r="A119" s="37">
        <v>54575</v>
      </c>
      <c r="B119" s="409">
        <f t="shared" ref="B119:C119" si="115">($A119-B$9)/365.25</f>
        <v>67.540041067761805</v>
      </c>
      <c r="C119" s="409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3525.4531757812501</v>
      </c>
      <c r="H119" s="25">
        <f>IF(B119&lt;62,0,'Combined Retirement'!$I$14)</f>
        <v>2192</v>
      </c>
      <c r="I119" s="25">
        <f>IF(C119&lt;62,0,'Combined Retirement'!$I$13)</f>
        <v>2420</v>
      </c>
      <c r="J119" s="25">
        <f t="shared" si="3"/>
        <v>6404.7404596389215</v>
      </c>
      <c r="K119" s="25">
        <f t="shared" si="4"/>
        <v>16520.094745597391</v>
      </c>
      <c r="L119" s="25"/>
      <c r="N119" s="25">
        <f>'Combined Retirement'!$C$18/12</f>
        <v>33932.660666666663</v>
      </c>
      <c r="O119" s="25">
        <f t="shared" si="5"/>
        <v>11007.82546143035</v>
      </c>
      <c r="P119" s="25">
        <f t="shared" si="6"/>
        <v>22924.835205236312</v>
      </c>
      <c r="Q119" s="25">
        <f t="array" aca="1" ref="Q119" ca="1">INDEX('Isaac 401k'!L:L,MATCH('Retirement Calculator'!A119,'Isaac 401k'!N:N,0),0)</f>
        <v>2154958.3952131546</v>
      </c>
      <c r="R119" s="25">
        <f t="array" aca="1" ref="R119" ca="1">INDEX('Lorri 401b'!L:L,MATCH('Retirement Calculator'!A119,'Lorri 401b'!N:N,0),0)</f>
        <v>4324533.7639093585</v>
      </c>
      <c r="S119" s="25">
        <f t="shared" ca="1" si="7"/>
        <v>6479492.1591225136</v>
      </c>
    </row>
    <row r="120" spans="1:19" ht="15.75" customHeight="1" x14ac:dyDescent="0.3">
      <c r="A120" s="37">
        <v>54605</v>
      </c>
      <c r="B120" s="409">
        <f t="shared" ref="B120:C120" si="116">($A120-B$9)/365.25</f>
        <v>67.622176591375776</v>
      </c>
      <c r="C120" s="409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3525.4531757812501</v>
      </c>
      <c r="H120" s="25">
        <f>IF(B120&lt;62,0,'Combined Retirement'!$I$14)</f>
        <v>2192</v>
      </c>
      <c r="I120" s="25">
        <f>IF(C120&lt;62,0,'Combined Retirement'!$I$13)</f>
        <v>2420</v>
      </c>
      <c r="J120" s="25">
        <f t="shared" si="3"/>
        <v>6404.7404596389215</v>
      </c>
      <c r="K120" s="25">
        <f t="shared" si="4"/>
        <v>16520.094745597391</v>
      </c>
      <c r="L120" s="25"/>
      <c r="N120" s="25">
        <f>'Combined Retirement'!$C$18/12</f>
        <v>33932.660666666663</v>
      </c>
      <c r="O120" s="25">
        <f t="shared" si="5"/>
        <v>11007.82546143035</v>
      </c>
      <c r="P120" s="25">
        <f t="shared" si="6"/>
        <v>22924.835205236312</v>
      </c>
      <c r="Q120" s="25">
        <f t="array" aca="1" ref="Q120" ca="1">INDEX('Isaac 401k'!L:L,MATCH('Retirement Calculator'!A120,'Isaac 401k'!N:N,0),0)</f>
        <v>2157505.9616483217</v>
      </c>
      <c r="R120" s="25">
        <f t="array" aca="1" ref="R120" ca="1">INDEX('Lorri 401b'!L:L,MATCH('Retirement Calculator'!A120,'Lorri 401b'!N:N,0),0)</f>
        <v>4325963.7261186093</v>
      </c>
      <c r="S120" s="25">
        <f t="shared" ca="1" si="7"/>
        <v>6483469.687766931</v>
      </c>
    </row>
    <row r="121" spans="1:19" ht="15.75" customHeight="1" x14ac:dyDescent="0.3">
      <c r="A121" s="37">
        <v>54636</v>
      </c>
      <c r="B121" s="409">
        <f t="shared" ref="B121:C121" si="117">($A121-B$9)/365.25</f>
        <v>67.707049965776861</v>
      </c>
      <c r="C121" s="409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3525.4531757812501</v>
      </c>
      <c r="H121" s="25">
        <f>IF(B121&lt;62,0,'Combined Retirement'!$I$14)</f>
        <v>2192</v>
      </c>
      <c r="I121" s="25">
        <f>IF(C121&lt;62,0,'Combined Retirement'!$I$13)</f>
        <v>2420</v>
      </c>
      <c r="J121" s="25">
        <f t="shared" si="3"/>
        <v>6404.7404596389215</v>
      </c>
      <c r="K121" s="25">
        <f t="shared" si="4"/>
        <v>16520.094745597391</v>
      </c>
      <c r="L121" s="25"/>
      <c r="N121" s="25">
        <f>'Combined Retirement'!$C$18/12</f>
        <v>33932.660666666663</v>
      </c>
      <c r="O121" s="25">
        <f t="shared" si="5"/>
        <v>11007.82546143035</v>
      </c>
      <c r="P121" s="25">
        <f t="shared" si="6"/>
        <v>22924.835205236312</v>
      </c>
      <c r="Q121" s="25">
        <f t="array" aca="1" ref="Q121" ca="1">INDEX('Isaac 401k'!L:L,MATCH('Retirement Calculator'!A121,'Isaac 401k'!N:N,0),0)</f>
        <v>2160064.1429436356</v>
      </c>
      <c r="R121" s="25">
        <f t="array" aca="1" ref="R121" ca="1">INDEX('Lorri 401b'!L:L,MATCH('Retirement Calculator'!A121,'Lorri 401b'!N:N,0),0)</f>
        <v>4327399.6465037325</v>
      </c>
      <c r="S121" s="25">
        <f t="shared" ca="1" si="7"/>
        <v>6487463.7894473681</v>
      </c>
    </row>
    <row r="122" spans="1:19" ht="15.75" customHeight="1" x14ac:dyDescent="0.3">
      <c r="A122" s="37">
        <v>54667</v>
      </c>
      <c r="B122" s="409">
        <f t="shared" ref="B122:C122" si="118">($A122-B$9)/365.25</f>
        <v>67.791923340177959</v>
      </c>
      <c r="C122" s="409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3525.4531757812501</v>
      </c>
      <c r="H122" s="25">
        <f>IF(B122&lt;62,0,'Combined Retirement'!$I$14)</f>
        <v>2192</v>
      </c>
      <c r="I122" s="25">
        <f>IF(C122&lt;62,0,'Combined Retirement'!$I$13)</f>
        <v>2420</v>
      </c>
      <c r="J122" s="25">
        <f t="shared" si="3"/>
        <v>6404.7404596389215</v>
      </c>
      <c r="K122" s="25">
        <f t="shared" si="4"/>
        <v>16520.094745597391</v>
      </c>
      <c r="L122" s="25"/>
      <c r="N122" s="25">
        <f>'Combined Retirement'!$C$18/12</f>
        <v>33932.660666666663</v>
      </c>
      <c r="O122" s="25">
        <f t="shared" si="5"/>
        <v>11007.82546143035</v>
      </c>
      <c r="P122" s="25">
        <f t="shared" si="6"/>
        <v>22924.835205236312</v>
      </c>
      <c r="Q122" s="25">
        <f t="array" aca="1" ref="Q122" ca="1">INDEX('Isaac 401k'!L:L,MATCH('Retirement Calculator'!A122,'Isaac 401k'!N:N,0),0)</f>
        <v>2162632.9833276798</v>
      </c>
      <c r="R122" s="25">
        <f t="array" aca="1" ref="R122" ca="1">INDEX('Lorri 401b'!L:L,MATCH('Retirement Calculator'!A122,'Lorri 401b'!N:N,0),0)</f>
        <v>4328841.5498904604</v>
      </c>
      <c r="S122" s="25">
        <f t="shared" ca="1" si="7"/>
        <v>6491474.5332181398</v>
      </c>
    </row>
    <row r="123" spans="1:19" ht="15.75" customHeight="1" x14ac:dyDescent="0.3">
      <c r="A123" s="37">
        <v>54697</v>
      </c>
      <c r="B123" s="409">
        <f t="shared" ref="B123:C123" si="119">($A123-B$9)/365.25</f>
        <v>67.87405886379193</v>
      </c>
      <c r="C123" s="409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3525.4531757812501</v>
      </c>
      <c r="H123" s="25">
        <f>IF(B123&lt;62,0,'Combined Retirement'!$I$14)</f>
        <v>2192</v>
      </c>
      <c r="I123" s="25">
        <f>IF(C123&lt;62,0,'Combined Retirement'!$I$13)</f>
        <v>2420</v>
      </c>
      <c r="J123" s="25">
        <f t="shared" si="3"/>
        <v>6404.7404596389215</v>
      </c>
      <c r="K123" s="25">
        <f t="shared" si="4"/>
        <v>16520.094745597391</v>
      </c>
      <c r="L123" s="25"/>
      <c r="N123" s="25">
        <f>'Combined Retirement'!$C$18/12</f>
        <v>33932.660666666663</v>
      </c>
      <c r="O123" s="25">
        <f t="shared" si="5"/>
        <v>11007.82546143035</v>
      </c>
      <c r="P123" s="25">
        <f t="shared" si="6"/>
        <v>22924.835205236312</v>
      </c>
      <c r="Q123" s="25">
        <f t="array" aca="1" ref="Q123" ca="1">INDEX('Isaac 401k'!L:L,MATCH('Retirement Calculator'!A123,'Isaac 401k'!N:N,0),0)</f>
        <v>2165212.5272133243</v>
      </c>
      <c r="R123" s="25">
        <f t="array" aca="1" ref="R123" ca="1">INDEX('Lorri 401b'!L:L,MATCH('Retirement Calculator'!A123,'Lorri 401b'!N:N,0),0)</f>
        <v>4330289.4612079663</v>
      </c>
      <c r="S123" s="25">
        <f t="shared" ca="1" si="7"/>
        <v>6495501.9884212911</v>
      </c>
    </row>
    <row r="124" spans="1:19" ht="15.75" customHeight="1" x14ac:dyDescent="0.3">
      <c r="A124" s="37">
        <v>54728</v>
      </c>
      <c r="B124" s="409">
        <f t="shared" ref="B124:C124" si="120">($A124-B$9)/365.25</f>
        <v>67.958932238193015</v>
      </c>
      <c r="C124" s="409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3525.4531757812501</v>
      </c>
      <c r="H124" s="25">
        <f>IF(B124&lt;62,0,'Combined Retirement'!$I$14)</f>
        <v>2192</v>
      </c>
      <c r="I124" s="25">
        <f>IF(C124&lt;62,0,'Combined Retirement'!$I$13)</f>
        <v>2420</v>
      </c>
      <c r="J124" s="25">
        <f t="shared" si="3"/>
        <v>6404.7404596389215</v>
      </c>
      <c r="K124" s="25">
        <f t="shared" si="4"/>
        <v>16520.094745597391</v>
      </c>
      <c r="L124" s="25"/>
      <c r="N124" s="25">
        <f>'Combined Retirement'!$C$18/12</f>
        <v>33932.660666666663</v>
      </c>
      <c r="O124" s="25">
        <f t="shared" si="5"/>
        <v>11007.82546143035</v>
      </c>
      <c r="P124" s="25">
        <f t="shared" si="6"/>
        <v>22924.835205236312</v>
      </c>
      <c r="Q124" s="25">
        <f t="array" aca="1" ref="Q124" ca="1">INDEX('Isaac 401k'!L:L,MATCH('Retirement Calculator'!A124,'Isaac 401k'!N:N,0),0)</f>
        <v>2167802.8191984924</v>
      </c>
      <c r="R124" s="25">
        <f t="array" aca="1" ref="R124" ca="1">INDEX('Lorri 401b'!L:L,MATCH('Retirement Calculator'!A124,'Lorri 401b'!N:N,0),0)</f>
        <v>4331743.4054892948</v>
      </c>
      <c r="S124" s="25">
        <f t="shared" ca="1" si="7"/>
        <v>6499546.2246877868</v>
      </c>
    </row>
    <row r="125" spans="1:19" ht="15.75" customHeight="1" x14ac:dyDescent="0.3">
      <c r="A125" s="37">
        <v>54758</v>
      </c>
      <c r="B125" s="409">
        <f t="shared" ref="B125:C125" si="121">($A125-B$9)/365.25</f>
        <v>68.041067761806985</v>
      </c>
      <c r="C125" s="409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3525.4531757812501</v>
      </c>
      <c r="H125" s="25">
        <f>IF(B125&lt;62,0,'Combined Retirement'!$I$14)</f>
        <v>2192</v>
      </c>
      <c r="I125" s="25">
        <f>IF(C125&lt;62,0,'Combined Retirement'!$I$13)</f>
        <v>2420</v>
      </c>
      <c r="J125" s="25">
        <f t="shared" si="3"/>
        <v>6404.7404596389215</v>
      </c>
      <c r="K125" s="25">
        <f t="shared" si="4"/>
        <v>16520.094745597391</v>
      </c>
      <c r="L125" s="25"/>
      <c r="N125" s="25">
        <f>'Combined Retirement'!$C$18/12</f>
        <v>33932.660666666663</v>
      </c>
      <c r="O125" s="25">
        <f t="shared" si="5"/>
        <v>11007.82546143035</v>
      </c>
      <c r="P125" s="25">
        <f t="shared" si="6"/>
        <v>22924.835205236312</v>
      </c>
      <c r="Q125" s="25">
        <f t="array" aca="1" ref="Q125" ca="1">INDEX('Isaac 401k'!L:L,MATCH('Retirement Calculator'!A125,'Isaac 401k'!N:N,0),0)</f>
        <v>2170403.9040669319</v>
      </c>
      <c r="R125" s="25">
        <f t="array" aca="1" ref="R125" ca="1">INDEX('Lorri 401b'!L:L,MATCH('Retirement Calculator'!A125,'Lorri 401b'!N:N,0),0)</f>
        <v>4333203.4078717958</v>
      </c>
      <c r="S125" s="25">
        <f t="shared" ca="1" si="7"/>
        <v>6503607.3119387273</v>
      </c>
    </row>
    <row r="126" spans="1:19" ht="15.75" customHeight="1" x14ac:dyDescent="0.3">
      <c r="A126" s="37">
        <v>54789</v>
      </c>
      <c r="B126" s="409">
        <f t="shared" ref="B126:C126" si="122">($A126-B$9)/365.25</f>
        <v>68.12594113620807</v>
      </c>
      <c r="C126" s="409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3525.4531757812501</v>
      </c>
      <c r="H126" s="25">
        <f>IF(B126&lt;62,0,'Combined Retirement'!$I$14)</f>
        <v>2192</v>
      </c>
      <c r="I126" s="25">
        <f>IF(C126&lt;62,0,'Combined Retirement'!$I$13)</f>
        <v>2420</v>
      </c>
      <c r="J126" s="25">
        <f t="shared" si="3"/>
        <v>6404.7404596389215</v>
      </c>
      <c r="K126" s="25">
        <f t="shared" si="4"/>
        <v>16520.094745597391</v>
      </c>
      <c r="L126" s="25"/>
      <c r="N126" s="25">
        <f>'Combined Retirement'!$C$18/12</f>
        <v>33932.660666666663</v>
      </c>
      <c r="O126" s="25">
        <f t="shared" si="5"/>
        <v>11007.82546143035</v>
      </c>
      <c r="P126" s="25">
        <f t="shared" si="6"/>
        <v>22924.835205236312</v>
      </c>
      <c r="Q126" s="25">
        <f t="array" aca="1" ref="Q126" ca="1">INDEX('Isaac 401k'!L:L,MATCH('Retirement Calculator'!A126,'Isaac 401k'!N:N,0),0)</f>
        <v>2173015.8267889898</v>
      </c>
      <c r="R126" s="25">
        <f t="array" aca="1" ref="R126" ca="1">INDEX('Lorri 401b'!L:L,MATCH('Retirement Calculator'!A126,'Lorri 401b'!N:N,0),0)</f>
        <v>4334669.4935975568</v>
      </c>
      <c r="S126" s="25">
        <f t="shared" ca="1" si="7"/>
        <v>6507685.3203865467</v>
      </c>
    </row>
    <row r="127" spans="1:19" ht="15.75" customHeight="1" x14ac:dyDescent="0.3">
      <c r="A127" s="37">
        <v>54820</v>
      </c>
      <c r="B127" s="409">
        <f t="shared" ref="B127:C127" si="123">($A127-B$9)/365.25</f>
        <v>68.210814510609168</v>
      </c>
      <c r="C127" s="409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3525.4531757812501</v>
      </c>
      <c r="H127" s="25">
        <f>IF(B127&lt;62,0,'Combined Retirement'!$I$14)</f>
        <v>2192</v>
      </c>
      <c r="I127" s="25">
        <f>IF(C127&lt;62,0,'Combined Retirement'!$I$13)</f>
        <v>2420</v>
      </c>
      <c r="J127" s="25">
        <f t="shared" si="3"/>
        <v>6404.7404596389215</v>
      </c>
      <c r="K127" s="25">
        <f t="shared" si="4"/>
        <v>16520.094745597391</v>
      </c>
      <c r="L127" s="25"/>
      <c r="N127" s="25">
        <f>'Combined Retirement'!$C$18/12</f>
        <v>33932.660666666663</v>
      </c>
      <c r="O127" s="25">
        <f t="shared" si="5"/>
        <v>11007.82546143035</v>
      </c>
      <c r="P127" s="25">
        <f t="shared" si="6"/>
        <v>22924.835205236312</v>
      </c>
      <c r="Q127" s="25">
        <f t="array" aca="1" ref="Q127" ca="1">INDEX('Isaac 401k'!L:L,MATCH('Retirement Calculator'!A127,'Isaac 401k'!N:N,0),0)</f>
        <v>2175638.6325223898</v>
      </c>
      <c r="R127" s="25">
        <f t="array" aca="1" ref="R127" ca="1">INDEX('Lorri 401b'!L:L,MATCH('Retirement Calculator'!A127,'Lorri 401b'!N:N,0),0)</f>
        <v>4336141.6880138423</v>
      </c>
      <c r="S127" s="25">
        <f t="shared" ca="1" si="7"/>
        <v>6511780.3205362316</v>
      </c>
    </row>
    <row r="128" spans="1:19" ht="15.75" customHeight="1" x14ac:dyDescent="0.3">
      <c r="A128" s="37">
        <v>54848</v>
      </c>
      <c r="B128" s="409">
        <f t="shared" ref="B128:C128" si="124">($A128-B$9)/365.25</f>
        <v>68.28747433264887</v>
      </c>
      <c r="C128" s="409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3525.4531757812501</v>
      </c>
      <c r="H128" s="25">
        <f>IF(B128&lt;62,0,'Combined Retirement'!$I$14)</f>
        <v>2192</v>
      </c>
      <c r="I128" s="25">
        <f>IF(C128&lt;62,0,'Combined Retirement'!$I$13)</f>
        <v>2420</v>
      </c>
      <c r="J128" s="25">
        <f t="shared" si="3"/>
        <v>6404.7404596389215</v>
      </c>
      <c r="K128" s="25">
        <f t="shared" si="4"/>
        <v>16520.094745597391</v>
      </c>
      <c r="L128" s="25"/>
      <c r="N128" s="25">
        <f>'Combined Retirement'!$C$18/12</f>
        <v>33932.660666666663</v>
      </c>
      <c r="O128" s="25">
        <f t="shared" si="5"/>
        <v>11007.82546143035</v>
      </c>
      <c r="P128" s="25">
        <f t="shared" si="6"/>
        <v>22924.835205236312</v>
      </c>
      <c r="Q128" s="25">
        <f t="array" aca="1" ref="Q128" ca="1">INDEX('Isaac 401k'!L:L,MATCH('Retirement Calculator'!A128,'Isaac 401k'!N:N,0),0)</f>
        <v>2178272.3666130123</v>
      </c>
      <c r="R128" s="25">
        <f t="array" aca="1" ref="R128" ca="1">INDEX('Lorri 401b'!L:L,MATCH('Retirement Calculator'!A128,'Lorri 401b'!N:N,0),0)</f>
        <v>4337620.0165735288</v>
      </c>
      <c r="S128" s="25">
        <f t="shared" ca="1" si="7"/>
        <v>6515892.3831865415</v>
      </c>
    </row>
    <row r="129" spans="1:19" ht="15.75" customHeight="1" x14ac:dyDescent="0.3">
      <c r="A129" s="37">
        <v>54879</v>
      </c>
      <c r="B129" s="409">
        <f t="shared" ref="B129:C129" si="125">($A129-B$9)/365.25</f>
        <v>68.372347707049968</v>
      </c>
      <c r="C129" s="409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3525.4531757812501</v>
      </c>
      <c r="H129" s="25">
        <f>IF(B129&lt;62,0,'Combined Retirement'!$I$14)</f>
        <v>2192</v>
      </c>
      <c r="I129" s="25">
        <f>IF(C129&lt;62,0,'Combined Retirement'!$I$13)</f>
        <v>2420</v>
      </c>
      <c r="J129" s="25">
        <f t="shared" si="3"/>
        <v>6404.7404596389215</v>
      </c>
      <c r="K129" s="25">
        <f t="shared" si="4"/>
        <v>16520.094745597391</v>
      </c>
      <c r="L129" s="25"/>
      <c r="N129" s="25">
        <f>'Combined Retirement'!$C$18/12</f>
        <v>33932.660666666663</v>
      </c>
      <c r="O129" s="25">
        <f t="shared" si="5"/>
        <v>11007.82546143035</v>
      </c>
      <c r="P129" s="25">
        <f t="shared" si="6"/>
        <v>22924.835205236312</v>
      </c>
      <c r="Q129" s="25">
        <f t="array" aca="1" ref="Q129" ca="1">INDEX('Isaac 401k'!L:L,MATCH('Retirement Calculator'!A129,'Isaac 401k'!N:N,0),0)</f>
        <v>2180917.0745956791</v>
      </c>
      <c r="R129" s="25">
        <f t="array" aca="1" ref="R129" ca="1">INDEX('Lorri 401b'!L:L,MATCH('Retirement Calculator'!A129,'Lorri 401b'!N:N,0),0)</f>
        <v>4339104.5048355469</v>
      </c>
      <c r="S129" s="25">
        <f t="shared" ca="1" si="7"/>
        <v>6520021.5794312265</v>
      </c>
    </row>
    <row r="130" spans="1:19" ht="15.75" customHeight="1" x14ac:dyDescent="0.3">
      <c r="A130" s="37">
        <v>54909</v>
      </c>
      <c r="B130" s="409">
        <f t="shared" ref="B130:C130" si="126">($A130-B$9)/365.25</f>
        <v>68.454483230663925</v>
      </c>
      <c r="C130" s="409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3525.4531757812501</v>
      </c>
      <c r="H130" s="25">
        <f>IF(B130&lt;62,0,'Combined Retirement'!$I$14)</f>
        <v>2192</v>
      </c>
      <c r="I130" s="25">
        <f>IF(C130&lt;62,0,'Combined Retirement'!$I$13)</f>
        <v>2420</v>
      </c>
      <c r="J130" s="25">
        <f t="shared" si="3"/>
        <v>6404.7404596389215</v>
      </c>
      <c r="K130" s="25">
        <f t="shared" si="4"/>
        <v>16520.094745597391</v>
      </c>
      <c r="L130" s="25"/>
      <c r="N130" s="25">
        <f>'Combined Retirement'!$C$18/12</f>
        <v>33932.660666666663</v>
      </c>
      <c r="O130" s="25">
        <f t="shared" si="5"/>
        <v>11007.82546143035</v>
      </c>
      <c r="P130" s="25">
        <f t="shared" si="6"/>
        <v>22924.835205236312</v>
      </c>
      <c r="Q130" s="25">
        <f t="array" aca="1" ref="Q130" ca="1">INDEX('Isaac 401k'!L:L,MATCH('Retirement Calculator'!A130,'Isaac 401k'!N:N,0),0)</f>
        <v>2183572.8021949399</v>
      </c>
      <c r="R130" s="25">
        <f t="array" aca="1" ref="R130" ca="1">INDEX('Lorri 401b'!L:L,MATCH('Retirement Calculator'!A130,'Lorri 401b'!N:N,0),0)</f>
        <v>4340595.1784653235</v>
      </c>
      <c r="S130" s="25">
        <f t="shared" ca="1" si="7"/>
        <v>6524167.9806602634</v>
      </c>
    </row>
    <row r="131" spans="1:19" ht="15.75" customHeight="1" x14ac:dyDescent="0.3">
      <c r="A131" s="37">
        <v>54940</v>
      </c>
      <c r="B131" s="409">
        <f t="shared" ref="B131:C131" si="127">($A131-B$9)/365.25</f>
        <v>68.539356605065024</v>
      </c>
      <c r="C131" s="409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3525.4531757812501</v>
      </c>
      <c r="H131" s="25">
        <f>IF(B131&lt;62,0,'Combined Retirement'!$I$14)</f>
        <v>2192</v>
      </c>
      <c r="I131" s="25">
        <f>IF(C131&lt;62,0,'Combined Retirement'!$I$13)</f>
        <v>2420</v>
      </c>
      <c r="J131" s="25">
        <f t="shared" si="3"/>
        <v>6404.7404596389215</v>
      </c>
      <c r="K131" s="25">
        <f t="shared" si="4"/>
        <v>16520.094745597391</v>
      </c>
      <c r="L131" s="25"/>
      <c r="N131" s="25">
        <f>'Combined Retirement'!$C$18/12</f>
        <v>33932.660666666663</v>
      </c>
      <c r="O131" s="25">
        <f t="shared" si="5"/>
        <v>11007.82546143035</v>
      </c>
      <c r="P131" s="25">
        <f t="shared" si="6"/>
        <v>22924.835205236312</v>
      </c>
      <c r="Q131" s="25">
        <f t="array" aca="1" ref="Q131" ca="1">INDEX('Isaac 401k'!L:L,MATCH('Retirement Calculator'!A131,'Isaac 401k'!N:N,0),0)</f>
        <v>2186239.5953258644</v>
      </c>
      <c r="R131" s="25">
        <f t="array" aca="1" ref="R131" ca="1">INDEX('Lorri 401b'!L:L,MATCH('Retirement Calculator'!A131,'Lorri 401b'!N:N,0),0)</f>
        <v>4342092.0632352242</v>
      </c>
      <c r="S131" s="25">
        <f t="shared" ca="1" si="7"/>
        <v>6528331.6585610881</v>
      </c>
    </row>
    <row r="132" spans="1:19" ht="15.75" customHeight="1" x14ac:dyDescent="0.3">
      <c r="A132" s="37">
        <v>54970</v>
      </c>
      <c r="B132" s="409">
        <f t="shared" ref="B132:C132" si="128">($A132-B$9)/365.25</f>
        <v>68.62149212867898</v>
      </c>
      <c r="C132" s="409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3525.4531757812501</v>
      </c>
      <c r="H132" s="25">
        <f>IF(B132&lt;62,0,'Combined Retirement'!$I$14)</f>
        <v>2192</v>
      </c>
      <c r="I132" s="25">
        <f>IF(C132&lt;62,0,'Combined Retirement'!$I$13)</f>
        <v>2420</v>
      </c>
      <c r="J132" s="25">
        <f t="shared" si="3"/>
        <v>6404.7404596389215</v>
      </c>
      <c r="K132" s="25">
        <f t="shared" si="4"/>
        <v>16520.094745597391</v>
      </c>
      <c r="L132" s="25"/>
      <c r="N132" s="25">
        <f>'Combined Retirement'!$C$18/12</f>
        <v>33932.660666666663</v>
      </c>
      <c r="O132" s="25">
        <f t="shared" si="5"/>
        <v>11007.82546143035</v>
      </c>
      <c r="P132" s="25">
        <f t="shared" si="6"/>
        <v>22924.835205236312</v>
      </c>
      <c r="Q132" s="25">
        <f t="array" aca="1" ref="Q132" ca="1">INDEX('Isaac 401k'!L:L,MATCH('Retirement Calculator'!A132,'Isaac 401k'!N:N,0),0)</f>
        <v>2188917.5000948347</v>
      </c>
      <c r="R132" s="25">
        <f t="array" aca="1" ref="R132" ca="1">INDEX('Lorri 401b'!L:L,MATCH('Retirement Calculator'!A132,'Lorri 401b'!N:N,0),0)</f>
        <v>4343595.185025</v>
      </c>
      <c r="S132" s="25">
        <f t="shared" ca="1" si="7"/>
        <v>6532512.6851198347</v>
      </c>
    </row>
    <row r="133" spans="1:19" ht="15.75" customHeight="1" x14ac:dyDescent="0.3">
      <c r="A133" s="37">
        <v>55001</v>
      </c>
      <c r="B133" s="409">
        <f t="shared" ref="B133:C133" si="129">($A133-B$9)/365.25</f>
        <v>68.706365503080079</v>
      </c>
      <c r="C133" s="409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3525.4531757812501</v>
      </c>
      <c r="H133" s="25">
        <f>IF(B133&lt;62,0,'Combined Retirement'!$I$14)</f>
        <v>2192</v>
      </c>
      <c r="I133" s="25">
        <f>IF(C133&lt;62,0,'Combined Retirement'!$I$13)</f>
        <v>2420</v>
      </c>
      <c r="J133" s="25">
        <f t="shared" si="3"/>
        <v>6404.7404596389215</v>
      </c>
      <c r="K133" s="25">
        <f t="shared" si="4"/>
        <v>16520.094745597391</v>
      </c>
      <c r="L133" s="25"/>
      <c r="N133" s="25">
        <f>'Combined Retirement'!$C$18/12</f>
        <v>33932.660666666663</v>
      </c>
      <c r="O133" s="25">
        <f t="shared" si="5"/>
        <v>11007.82546143035</v>
      </c>
      <c r="P133" s="25">
        <f t="shared" si="6"/>
        <v>22924.835205236312</v>
      </c>
      <c r="Q133" s="25">
        <f t="array" aca="1" ref="Q133" ca="1">INDEX('Isaac 401k'!L:L,MATCH('Retirement Calculator'!A133,'Isaac 401k'!N:N,0),0)</f>
        <v>2191606.5628003422</v>
      </c>
      <c r="R133" s="25">
        <f t="array" aca="1" ref="R133" ca="1">INDEX('Lorri 401b'!L:L,MATCH('Retirement Calculator'!A133,'Lorri 401b'!N:N,0),0)</f>
        <v>4345104.5698222332</v>
      </c>
      <c r="S133" s="25">
        <f t="shared" ca="1" si="7"/>
        <v>6536711.1326225754</v>
      </c>
    </row>
    <row r="134" spans="1:19" ht="15.75" customHeight="1" x14ac:dyDescent="0.3">
      <c r="A134" s="37">
        <v>55032</v>
      </c>
      <c r="B134" s="409">
        <f t="shared" ref="B134:C134" si="130">($A134-B$9)/365.25</f>
        <v>68.791238877481177</v>
      </c>
      <c r="C134" s="409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3525.4531757812501</v>
      </c>
      <c r="H134" s="25">
        <f>IF(B134&lt;62,0,'Combined Retirement'!$I$14)</f>
        <v>2192</v>
      </c>
      <c r="I134" s="25">
        <f>IF(C134&lt;62,0,'Combined Retirement'!$I$13)</f>
        <v>2420</v>
      </c>
      <c r="J134" s="25">
        <f t="shared" si="3"/>
        <v>6404.7404596389215</v>
      </c>
      <c r="K134" s="25">
        <f t="shared" si="4"/>
        <v>16520.094745597391</v>
      </c>
      <c r="L134" s="25"/>
      <c r="N134" s="25">
        <f>'Combined Retirement'!$C$18/12</f>
        <v>33932.660666666663</v>
      </c>
      <c r="O134" s="25">
        <f t="shared" si="5"/>
        <v>11007.82546143035</v>
      </c>
      <c r="P134" s="25">
        <f t="shared" si="6"/>
        <v>22924.835205236312</v>
      </c>
      <c r="Q134" s="25">
        <f t="array" aca="1" ref="Q134" ca="1">INDEX('Isaac 401k'!L:L,MATCH('Retirement Calculator'!A134,'Isaac 401k'!N:N,0),0)</f>
        <v>2194306.8299337896</v>
      </c>
      <c r="R134" s="25">
        <f t="array" aca="1" ref="R134" ca="1">INDEX('Lorri 401b'!L:L,MATCH('Retirement Calculator'!A134,'Lorri 401b'!N:N,0),0)</f>
        <v>4346620.2437227881</v>
      </c>
      <c r="S134" s="25">
        <f t="shared" ca="1" si="7"/>
        <v>6540927.0736565776</v>
      </c>
    </row>
    <row r="135" spans="1:19" ht="15.75" customHeight="1" x14ac:dyDescent="0.3">
      <c r="A135" s="37">
        <v>55062</v>
      </c>
      <c r="B135" s="409">
        <f t="shared" ref="B135:C135" si="131">($A135-B$9)/365.25</f>
        <v>68.873374401095134</v>
      </c>
      <c r="C135" s="409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3525.4531757812501</v>
      </c>
      <c r="H135" s="25">
        <f>IF(B135&lt;62,0,'Combined Retirement'!$I$14)</f>
        <v>2192</v>
      </c>
      <c r="I135" s="25">
        <f>IF(C135&lt;62,0,'Combined Retirement'!$I$13)</f>
        <v>2420</v>
      </c>
      <c r="J135" s="25">
        <f t="shared" si="3"/>
        <v>6404.7404596389215</v>
      </c>
      <c r="K135" s="25">
        <f t="shared" si="4"/>
        <v>16520.094745597391</v>
      </c>
      <c r="L135" s="25"/>
      <c r="N135" s="25">
        <f>'Combined Retirement'!$C$18/12</f>
        <v>33932.660666666663</v>
      </c>
      <c r="O135" s="25">
        <f t="shared" si="5"/>
        <v>11007.82546143035</v>
      </c>
      <c r="P135" s="25">
        <f t="shared" si="6"/>
        <v>22924.835205236312</v>
      </c>
      <c r="Q135" s="25">
        <f t="array" aca="1" ref="Q135" ca="1">INDEX('Isaac 401k'!L:L,MATCH('Retirement Calculator'!A135,'Isaac 401k'!N:N,0),0)</f>
        <v>2197018.3481802926</v>
      </c>
      <c r="R135" s="25">
        <f t="array" aca="1" ref="R135" ca="1">INDEX('Lorri 401b'!L:L,MATCH('Retirement Calculator'!A135,'Lorri 401b'!N:N,0),0)</f>
        <v>4348142.2329312619</v>
      </c>
      <c r="S135" s="25">
        <f t="shared" ca="1" si="7"/>
        <v>6545160.5811115541</v>
      </c>
    </row>
    <row r="136" spans="1:19" ht="15.75" customHeight="1" x14ac:dyDescent="0.3">
      <c r="A136" s="37">
        <v>55093</v>
      </c>
      <c r="B136" s="409">
        <f t="shared" ref="B136:C136" si="132">($A136-B$9)/365.25</f>
        <v>68.958247775496233</v>
      </c>
      <c r="C136" s="409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3525.4531757812501</v>
      </c>
      <c r="H136" s="25">
        <f>IF(B136&lt;62,0,'Combined Retirement'!$I$14)</f>
        <v>2192</v>
      </c>
      <c r="I136" s="25">
        <f>IF(C136&lt;62,0,'Combined Retirement'!$I$13)</f>
        <v>2420</v>
      </c>
      <c r="J136" s="25">
        <f t="shared" si="3"/>
        <v>6404.7404596389215</v>
      </c>
      <c r="K136" s="25">
        <f t="shared" si="4"/>
        <v>16520.094745597391</v>
      </c>
      <c r="L136" s="25"/>
      <c r="N136" s="25">
        <f>'Combined Retirement'!$C$18/12</f>
        <v>33932.660666666663</v>
      </c>
      <c r="O136" s="25">
        <f t="shared" si="5"/>
        <v>11007.82546143035</v>
      </c>
      <c r="P136" s="25">
        <f t="shared" si="6"/>
        <v>22924.835205236312</v>
      </c>
      <c r="Q136" s="25">
        <f t="array" aca="1" ref="Q136" ca="1">INDEX('Isaac 401k'!L:L,MATCH('Retirement Calculator'!A136,'Isaac 401k'!N:N,0),0)</f>
        <v>2199741.1644194894</v>
      </c>
      <c r="R136" s="25">
        <f t="array" aca="1" ref="R136" ca="1">INDEX('Lorri 401b'!L:L,MATCH('Retirement Calculator'!A136,'Lorri 401b'!N:N,0),0)</f>
        <v>4349670.5637614373</v>
      </c>
      <c r="S136" s="25">
        <f t="shared" ca="1" si="7"/>
        <v>6549411.7281809263</v>
      </c>
    </row>
    <row r="137" spans="1:19" ht="15.75" customHeight="1" x14ac:dyDescent="0.3">
      <c r="A137" s="37">
        <v>55123</v>
      </c>
      <c r="B137" s="409">
        <f t="shared" ref="B137:C137" si="133">($A137-B$9)/365.25</f>
        <v>69.040383299110204</v>
      </c>
      <c r="C137" s="409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3525.4531757812501</v>
      </c>
      <c r="H137" s="25">
        <f>IF(B137&lt;62,0,'Combined Retirement'!$I$14)</f>
        <v>2192</v>
      </c>
      <c r="I137" s="25">
        <f>IF(C137&lt;62,0,'Combined Retirement'!$I$13)</f>
        <v>2420</v>
      </c>
      <c r="J137" s="25">
        <f t="shared" si="3"/>
        <v>6404.7404596389215</v>
      </c>
      <c r="K137" s="25">
        <f t="shared" si="4"/>
        <v>16520.094745597391</v>
      </c>
      <c r="L137" s="25"/>
      <c r="N137" s="25">
        <f>'Combined Retirement'!$C$18/12</f>
        <v>33932.660666666663</v>
      </c>
      <c r="O137" s="25">
        <f t="shared" si="5"/>
        <v>11007.82546143035</v>
      </c>
      <c r="P137" s="25">
        <f t="shared" si="6"/>
        <v>22924.835205236312</v>
      </c>
      <c r="Q137" s="25">
        <f t="array" aca="1" ref="Q137" ca="1">INDEX('Isaac 401k'!L:L,MATCH('Retirement Calculator'!A137,'Isaac 401k'!N:N,0),0)</f>
        <v>2202475.3257263498</v>
      </c>
      <c r="R137" s="25">
        <f t="array" aca="1" ref="R137" ca="1">INDEX('Lorri 401b'!L:L,MATCH('Retirement Calculator'!A137,'Lorri 401b'!N:N,0),0)</f>
        <v>4351205.2626367388</v>
      </c>
      <c r="S137" s="25">
        <f t="shared" ca="1" si="7"/>
        <v>6553680.5883630887</v>
      </c>
    </row>
    <row r="138" spans="1:19" ht="15.75" customHeight="1" x14ac:dyDescent="0.3">
      <c r="A138" s="37">
        <v>55154</v>
      </c>
      <c r="B138" s="409">
        <f t="shared" ref="B138:C138" si="134">($A138-B$9)/365.25</f>
        <v>69.125256673511288</v>
      </c>
      <c r="C138" s="409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3525.4531757812501</v>
      </c>
      <c r="H138" s="25">
        <f>IF(B138&lt;62,0,'Combined Retirement'!$I$14)</f>
        <v>2192</v>
      </c>
      <c r="I138" s="25">
        <f>IF(C138&lt;62,0,'Combined Retirement'!$I$13)</f>
        <v>2420</v>
      </c>
      <c r="J138" s="25">
        <f t="shared" si="3"/>
        <v>6404.7404596389215</v>
      </c>
      <c r="K138" s="25">
        <f t="shared" si="4"/>
        <v>16520.094745597391</v>
      </c>
      <c r="L138" s="25"/>
      <c r="N138" s="25">
        <f>'Combined Retirement'!$C$18/12</f>
        <v>33932.660666666663</v>
      </c>
      <c r="O138" s="25">
        <f t="shared" si="5"/>
        <v>11007.82546143035</v>
      </c>
      <c r="P138" s="25">
        <f t="shared" si="6"/>
        <v>22924.835205236312</v>
      </c>
      <c r="Q138" s="25">
        <f t="array" aca="1" ref="Q138" ca="1">INDEX('Isaac 401k'!L:L,MATCH('Retirement Calculator'!A138,'Isaac 401k'!N:N,0),0)</f>
        <v>2205220.8793719886</v>
      </c>
      <c r="R138" s="25">
        <f t="array" aca="1" ref="R138" ca="1">INDEX('Lorri 401b'!L:L,MATCH('Retirement Calculator'!A138,'Lorri 401b'!N:N,0),0)</f>
        <v>4352746.3560906872</v>
      </c>
      <c r="S138" s="25">
        <f t="shared" ca="1" si="7"/>
        <v>6557967.2354626758</v>
      </c>
    </row>
    <row r="139" spans="1:19" ht="15.75" customHeight="1" x14ac:dyDescent="0.3">
      <c r="A139" s="37">
        <v>55185</v>
      </c>
      <c r="B139" s="409">
        <f t="shared" ref="B139:C139" si="135">($A139-B$9)/365.25</f>
        <v>69.210130047912386</v>
      </c>
      <c r="C139" s="409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3525.4531757812501</v>
      </c>
      <c r="H139" s="25">
        <f>IF(B139&lt;62,0,'Combined Retirement'!$I$14)</f>
        <v>2192</v>
      </c>
      <c r="I139" s="25">
        <f>IF(C139&lt;62,0,'Combined Retirement'!$I$13)</f>
        <v>2420</v>
      </c>
      <c r="J139" s="25">
        <f t="shared" si="3"/>
        <v>6404.7404596389215</v>
      </c>
      <c r="K139" s="25">
        <f t="shared" si="4"/>
        <v>16520.094745597391</v>
      </c>
      <c r="L139" s="25"/>
      <c r="N139" s="25">
        <f>'Combined Retirement'!$C$18/12</f>
        <v>33932.660666666663</v>
      </c>
      <c r="O139" s="25">
        <f t="shared" si="5"/>
        <v>11007.82546143035</v>
      </c>
      <c r="P139" s="25">
        <f t="shared" si="6"/>
        <v>22924.835205236312</v>
      </c>
      <c r="Q139" s="25">
        <f t="array" aca="1" ref="Q139" ca="1">INDEX('Isaac 401k'!L:L,MATCH('Retirement Calculator'!A139,'Isaac 401k'!N:N,0),0)</f>
        <v>2207977.8728244845</v>
      </c>
      <c r="R139" s="25">
        <f t="array" aca="1" ref="R139" ca="1">INDEX('Lorri 401b'!L:L,MATCH('Retirement Calculator'!A139,'Lorri 401b'!N:N,0),0)</f>
        <v>4354293.8707673606</v>
      </c>
      <c r="S139" s="25">
        <f t="shared" ca="1" si="7"/>
        <v>6562271.743591845</v>
      </c>
    </row>
    <row r="140" spans="1:19" ht="15.75" customHeight="1" x14ac:dyDescent="0.3">
      <c r="A140" s="37">
        <v>55213</v>
      </c>
      <c r="B140" s="409">
        <f t="shared" ref="B140:C140" si="136">($A140-B$9)/365.25</f>
        <v>69.286789869952088</v>
      </c>
      <c r="C140" s="409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3525.4531757812501</v>
      </c>
      <c r="H140" s="25">
        <f>IF(B140&lt;62,0,'Combined Retirement'!$I$14)</f>
        <v>2192</v>
      </c>
      <c r="I140" s="25">
        <f>IF(C140&lt;62,0,'Combined Retirement'!$I$13)</f>
        <v>2420</v>
      </c>
      <c r="J140" s="25">
        <f t="shared" si="3"/>
        <v>6404.7404596389215</v>
      </c>
      <c r="K140" s="25">
        <f t="shared" si="4"/>
        <v>16520.094745597391</v>
      </c>
      <c r="L140" s="25"/>
      <c r="N140" s="25">
        <f>'Combined Retirement'!$C$18/12</f>
        <v>33932.660666666663</v>
      </c>
      <c r="O140" s="25">
        <f t="shared" si="5"/>
        <v>11007.82546143035</v>
      </c>
      <c r="P140" s="25">
        <f t="shared" si="6"/>
        <v>22924.835205236312</v>
      </c>
      <c r="Q140" s="25">
        <f t="array" aca="1" ref="Q140" ca="1">INDEX('Isaac 401k'!L:L,MATCH('Retirement Calculator'!A140,'Isaac 401k'!N:N,0),0)</f>
        <v>2210746.353749699</v>
      </c>
      <c r="R140" s="25">
        <f t="array" aca="1" ref="R140" ca="1">INDEX('Lorri 401b'!L:L,MATCH('Retirement Calculator'!A140,'Lorri 401b'!N:N,0),0)</f>
        <v>4355847.8334218534</v>
      </c>
      <c r="S140" s="25">
        <f t="shared" ca="1" si="7"/>
        <v>6566594.1871715523</v>
      </c>
    </row>
    <row r="141" spans="1:19" ht="15.75" customHeight="1" x14ac:dyDescent="0.3">
      <c r="A141" s="37">
        <v>55244</v>
      </c>
      <c r="B141" s="409">
        <f t="shared" ref="B141:C141" si="137">($A141-B$9)/365.25</f>
        <v>69.371663244353186</v>
      </c>
      <c r="C141" s="409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3525.4531757812501</v>
      </c>
      <c r="H141" s="25">
        <f>IF(B141&lt;62,0,'Combined Retirement'!$I$14)</f>
        <v>2192</v>
      </c>
      <c r="I141" s="25">
        <f>IF(C141&lt;62,0,'Combined Retirement'!$I$13)</f>
        <v>2420</v>
      </c>
      <c r="J141" s="25">
        <f t="shared" si="3"/>
        <v>6404.7404596389215</v>
      </c>
      <c r="K141" s="25">
        <f t="shared" si="4"/>
        <v>16520.094745597391</v>
      </c>
      <c r="L141" s="25"/>
      <c r="N141" s="25">
        <f>'Combined Retirement'!$C$18/12</f>
        <v>33932.660666666663</v>
      </c>
      <c r="O141" s="25">
        <f t="shared" si="5"/>
        <v>11007.82546143035</v>
      </c>
      <c r="P141" s="25">
        <f t="shared" si="6"/>
        <v>22924.835205236312</v>
      </c>
      <c r="Q141" s="25">
        <f t="array" aca="1" ref="Q141" ca="1">INDEX('Isaac 401k'!L:L,MATCH('Retirement Calculator'!A141,'Isaac 401k'!N:N,0),0)</f>
        <v>2213526.3700121017</v>
      </c>
      <c r="R141" s="25">
        <f t="array" aca="1" ref="R141" ca="1">INDEX('Lorri 401b'!L:L,MATCH('Retirement Calculator'!A141,'Lorri 401b'!N:N,0),0)</f>
        <v>4357408.2709207395</v>
      </c>
      <c r="S141" s="25">
        <f t="shared" ca="1" si="7"/>
        <v>6570934.6409328412</v>
      </c>
    </row>
    <row r="142" spans="1:19" ht="15.75" customHeight="1" x14ac:dyDescent="0.3">
      <c r="A142" s="37">
        <v>55274</v>
      </c>
      <c r="B142" s="409">
        <f t="shared" ref="B142:C142" si="138">($A142-B$9)/365.25</f>
        <v>69.453798767967143</v>
      </c>
      <c r="C142" s="409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3525.4531757812501</v>
      </c>
      <c r="H142" s="25">
        <f>IF(B142&lt;62,0,'Combined Retirement'!$I$14)</f>
        <v>2192</v>
      </c>
      <c r="I142" s="25">
        <f>IF(C142&lt;62,0,'Combined Retirement'!$I$13)</f>
        <v>2420</v>
      </c>
      <c r="J142" s="25">
        <f t="shared" si="3"/>
        <v>6404.7404596389215</v>
      </c>
      <c r="K142" s="25">
        <f t="shared" si="4"/>
        <v>16520.094745597391</v>
      </c>
      <c r="L142" s="25"/>
      <c r="N142" s="25">
        <f>'Combined Retirement'!$C$18/12</f>
        <v>33932.660666666663</v>
      </c>
      <c r="O142" s="25">
        <f t="shared" si="5"/>
        <v>11007.82546143035</v>
      </c>
      <c r="P142" s="25">
        <f t="shared" si="6"/>
        <v>22924.835205236312</v>
      </c>
      <c r="Q142" s="25">
        <f t="array" aca="1" ref="Q142" ca="1">INDEX('Isaac 401k'!L:L,MATCH('Retirement Calculator'!A142,'Isaac 401k'!N:N,0),0)</f>
        <v>2216317.9696755977</v>
      </c>
      <c r="R142" s="25">
        <f t="array" aca="1" ref="R142" ca="1">INDEX('Lorri 401b'!L:L,MATCH('Retirement Calculator'!A142,'Lorri 401b'!N:N,0),0)</f>
        <v>4358975.2102425378</v>
      </c>
      <c r="S142" s="25">
        <f t="shared" ca="1" si="7"/>
        <v>6575293.1799181355</v>
      </c>
    </row>
    <row r="143" spans="1:19" ht="15.75" customHeight="1" x14ac:dyDescent="0.3">
      <c r="A143" s="37">
        <v>55305</v>
      </c>
      <c r="B143" s="409">
        <f t="shared" ref="B143:C143" si="139">($A143-B$9)/365.25</f>
        <v>69.538672142368242</v>
      </c>
      <c r="C143" s="409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3525.4531757812501</v>
      </c>
      <c r="H143" s="25">
        <f>IF(B143&lt;62,0,'Combined Retirement'!$I$14)</f>
        <v>2192</v>
      </c>
      <c r="I143" s="25">
        <f>IF(C143&lt;62,0,'Combined Retirement'!$I$13)</f>
        <v>2420</v>
      </c>
      <c r="J143" s="25">
        <f t="shared" si="3"/>
        <v>6404.7404596389215</v>
      </c>
      <c r="K143" s="25">
        <f t="shared" si="4"/>
        <v>16520.094745597391</v>
      </c>
      <c r="L143" s="25"/>
      <c r="N143" s="25">
        <f>'Combined Retirement'!$C$18/12</f>
        <v>33932.660666666663</v>
      </c>
      <c r="O143" s="25">
        <f t="shared" si="5"/>
        <v>11007.82546143035</v>
      </c>
      <c r="P143" s="25">
        <f t="shared" si="6"/>
        <v>22924.835205236312</v>
      </c>
      <c r="Q143" s="25">
        <f t="array" aca="1" ref="Q143" ca="1">INDEX('Isaac 401k'!L:L,MATCH('Retirement Calculator'!A143,'Isaac 401k'!N:N,0),0)</f>
        <v>2219121.2010043585</v>
      </c>
      <c r="R143" s="25">
        <f t="array" aca="1" ref="R143" ca="1">INDEX('Lorri 401b'!L:L,MATCH('Retirement Calculator'!A143,'Lorri 401b'!N:N,0),0)</f>
        <v>4360548.6784781776</v>
      </c>
      <c r="S143" s="25">
        <f t="shared" ca="1" si="7"/>
        <v>6579669.8794825356</v>
      </c>
    </row>
    <row r="144" spans="1:19" ht="15.75" customHeight="1" x14ac:dyDescent="0.3">
      <c r="A144" s="37">
        <v>55335</v>
      </c>
      <c r="B144" s="409">
        <f t="shared" ref="B144:C144" si="140">($A144-B$9)/365.25</f>
        <v>69.620807665982198</v>
      </c>
      <c r="C144" s="409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3525.4531757812501</v>
      </c>
      <c r="H144" s="25">
        <f>IF(B144&lt;62,0,'Combined Retirement'!$I$14)</f>
        <v>2192</v>
      </c>
      <c r="I144" s="25">
        <f>IF(C144&lt;62,0,'Combined Retirement'!$I$13)</f>
        <v>2420</v>
      </c>
      <c r="J144" s="25">
        <f t="shared" si="3"/>
        <v>6404.7404596389215</v>
      </c>
      <c r="K144" s="25">
        <f t="shared" si="4"/>
        <v>16520.094745597391</v>
      </c>
      <c r="L144" s="25"/>
      <c r="N144" s="25">
        <f>'Combined Retirement'!$C$18/12</f>
        <v>33932.660666666663</v>
      </c>
      <c r="O144" s="25">
        <f t="shared" si="5"/>
        <v>11007.82546143035</v>
      </c>
      <c r="P144" s="25">
        <f t="shared" si="6"/>
        <v>22924.835205236312</v>
      </c>
      <c r="Q144" s="25">
        <f t="array" aca="1" ref="Q144" ca="1">INDEX('Isaac 401k'!L:L,MATCH('Retirement Calculator'!A144,'Isaac 401k'!N:N,0),0)</f>
        <v>2221936.1124636559</v>
      </c>
      <c r="R144" s="25">
        <f t="array" aca="1" ref="R144" ca="1">INDEX('Lorri 401b'!L:L,MATCH('Retirement Calculator'!A144,'Lorri 401b'!N:N,0),0)</f>
        <v>4362128.7028314658</v>
      </c>
      <c r="S144" s="25">
        <f t="shared" ca="1" si="7"/>
        <v>6584064.8152951216</v>
      </c>
    </row>
    <row r="145" spans="1:19" ht="15.75" customHeight="1" x14ac:dyDescent="0.3">
      <c r="A145" s="37">
        <v>55366</v>
      </c>
      <c r="B145" s="409">
        <f t="shared" ref="B145:C145" si="141">($A145-B$9)/365.25</f>
        <v>69.705681040383297</v>
      </c>
      <c r="C145" s="409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3525.4531757812501</v>
      </c>
      <c r="H145" s="25">
        <f>IF(B145&lt;62,0,'Combined Retirement'!$I$14)</f>
        <v>2192</v>
      </c>
      <c r="I145" s="25">
        <f>IF(C145&lt;62,0,'Combined Retirement'!$I$13)</f>
        <v>2420</v>
      </c>
      <c r="J145" s="25">
        <f t="shared" si="3"/>
        <v>6404.7404596389215</v>
      </c>
      <c r="K145" s="25">
        <f t="shared" si="4"/>
        <v>16520.094745597391</v>
      </c>
      <c r="L145" s="25"/>
      <c r="N145" s="25">
        <f>'Combined Retirement'!$C$18/12</f>
        <v>33932.660666666663</v>
      </c>
      <c r="O145" s="25">
        <f t="shared" si="5"/>
        <v>11007.82546143035</v>
      </c>
      <c r="P145" s="25">
        <f t="shared" si="6"/>
        <v>22924.835205236312</v>
      </c>
      <c r="Q145" s="25">
        <f t="array" aca="1" ref="Q145" ca="1">INDEX('Isaac 401k'!L:L,MATCH('Retirement Calculator'!A145,'Isaac 401k'!N:N,0),0)</f>
        <v>2224762.7527207001</v>
      </c>
      <c r="R145" s="25">
        <f t="array" aca="1" ref="R145" ca="1">INDEX('Lorri 401b'!L:L,MATCH('Retirement Calculator'!A145,'Lorri 401b'!N:N,0),0)</f>
        <v>4363715.3106195591</v>
      </c>
      <c r="S145" s="25">
        <f t="shared" ca="1" si="7"/>
        <v>6588478.0633402597</v>
      </c>
    </row>
    <row r="146" spans="1:19" ht="15.75" customHeight="1" x14ac:dyDescent="0.3">
      <c r="A146" s="37">
        <v>55397</v>
      </c>
      <c r="B146" s="409">
        <f t="shared" ref="B146:C146" si="142">($A146-B$9)/365.25</f>
        <v>69.790554414784395</v>
      </c>
      <c r="C146" s="409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3525.4531757812501</v>
      </c>
      <c r="H146" s="25">
        <f>IF(B146&lt;62,0,'Combined Retirement'!$I$14)</f>
        <v>2192</v>
      </c>
      <c r="I146" s="25">
        <f>IF(C146&lt;62,0,'Combined Retirement'!$I$13)</f>
        <v>2420</v>
      </c>
      <c r="J146" s="25">
        <f t="shared" si="3"/>
        <v>6404.7404596389215</v>
      </c>
      <c r="K146" s="25">
        <f t="shared" si="4"/>
        <v>16520.094745597391</v>
      </c>
      <c r="L146" s="25"/>
      <c r="N146" s="25">
        <f>'Combined Retirement'!$C$18/12</f>
        <v>33932.660666666663</v>
      </c>
      <c r="O146" s="25">
        <f t="shared" si="5"/>
        <v>11007.82546143035</v>
      </c>
      <c r="P146" s="25">
        <f t="shared" si="6"/>
        <v>22924.835205236312</v>
      </c>
      <c r="Q146" s="25">
        <f t="array" aca="1" ref="Q146" ca="1">INDEX('Isaac 401k'!L:L,MATCH('Retirement Calculator'!A146,'Isaac 401k'!N:N,0),0)</f>
        <v>2227601.1706454819</v>
      </c>
      <c r="R146" s="25">
        <f t="array" aca="1" ref="R146" ca="1">INDEX('Lorri 401b'!L:L,MATCH('Retirement Calculator'!A146,'Lorri 401b'!N:N,0),0)</f>
        <v>4365308.5292734364</v>
      </c>
      <c r="S146" s="25">
        <f t="shared" ca="1" si="7"/>
        <v>6592909.6999189183</v>
      </c>
    </row>
    <row r="147" spans="1:19" ht="15.75" customHeight="1" x14ac:dyDescent="0.3">
      <c r="A147" s="37">
        <v>55427</v>
      </c>
      <c r="B147" s="409">
        <f t="shared" ref="B147:C147" si="143">($A147-B$9)/365.25</f>
        <v>69.872689938398352</v>
      </c>
      <c r="C147" s="409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3525.4531757812501</v>
      </c>
      <c r="H147" s="25">
        <f>IF(B147&lt;62,0,'Combined Retirement'!$I$14)</f>
        <v>2192</v>
      </c>
      <c r="I147" s="25">
        <f>IF(C147&lt;62,0,'Combined Retirement'!$I$13)</f>
        <v>2420</v>
      </c>
      <c r="J147" s="25">
        <f t="shared" si="3"/>
        <v>6404.7404596389215</v>
      </c>
      <c r="K147" s="25">
        <f t="shared" si="4"/>
        <v>16520.094745597391</v>
      </c>
      <c r="L147" s="25"/>
      <c r="N147" s="25">
        <f>'Combined Retirement'!$C$18/12</f>
        <v>33932.660666666663</v>
      </c>
      <c r="O147" s="25">
        <f t="shared" si="5"/>
        <v>11007.82546143035</v>
      </c>
      <c r="P147" s="25">
        <f t="shared" si="6"/>
        <v>22924.835205236312</v>
      </c>
      <c r="Q147" s="25">
        <f t="array" aca="1" ref="Q147" ca="1">INDEX('Isaac 401k'!L:L,MATCH('Retirement Calculator'!A147,'Isaac 401k'!N:N,0),0)</f>
        <v>2230451.4153116173</v>
      </c>
      <c r="R147" s="25">
        <f t="array" aca="1" ref="R147" ca="1">INDEX('Lorri 401b'!L:L,MATCH('Retirement Calculator'!A147,'Lorri 401b'!N:N,0),0)</f>
        <v>4366908.3863383709</v>
      </c>
      <c r="S147" s="25">
        <f t="shared" ca="1" si="7"/>
        <v>6597359.8016499877</v>
      </c>
    </row>
    <row r="148" spans="1:19" ht="15.75" customHeight="1" x14ac:dyDescent="0.3">
      <c r="A148" s="37">
        <v>55458</v>
      </c>
      <c r="B148" s="409">
        <f t="shared" ref="B148:C148" si="144">($A148-B$9)/365.25</f>
        <v>69.957563312799451</v>
      </c>
      <c r="C148" s="409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3525.4531757812501</v>
      </c>
      <c r="H148" s="25">
        <f>IF(B148&lt;62,0,'Combined Retirement'!$I$14)</f>
        <v>2192</v>
      </c>
      <c r="I148" s="25">
        <f>IF(C148&lt;62,0,'Combined Retirement'!$I$13)</f>
        <v>2420</v>
      </c>
      <c r="J148" s="25">
        <f t="shared" si="3"/>
        <v>6404.7404596389215</v>
      </c>
      <c r="K148" s="25">
        <f t="shared" si="4"/>
        <v>16520.094745597391</v>
      </c>
      <c r="L148" s="25"/>
      <c r="N148" s="25">
        <f>'Combined Retirement'!$C$18/12</f>
        <v>33932.660666666663</v>
      </c>
      <c r="O148" s="25">
        <f t="shared" si="5"/>
        <v>11007.82546143035</v>
      </c>
      <c r="P148" s="25">
        <f t="shared" si="6"/>
        <v>22924.835205236312</v>
      </c>
      <c r="Q148" s="25">
        <f t="array" aca="1" ref="Q148" ca="1">INDEX('Isaac 401k'!L:L,MATCH('Retirement Calculator'!A148,'Isaac 401k'!N:N,0),0)</f>
        <v>2233313.5359971947</v>
      </c>
      <c r="R148" s="25">
        <f t="array" aca="1" ref="R148" ca="1">INDEX('Lorri 401b'!L:L,MATCH('Retirement Calculator'!A148,'Lorri 401b'!N:N,0),0)</f>
        <v>4368514.9094744092</v>
      </c>
      <c r="S148" s="25">
        <f t="shared" ca="1" si="7"/>
        <v>6601828.4454716034</v>
      </c>
    </row>
    <row r="149" spans="1:19" ht="15.75" customHeight="1" x14ac:dyDescent="0.3">
      <c r="A149" s="37">
        <v>55488</v>
      </c>
      <c r="B149" s="409">
        <f t="shared" ref="B149:C149" si="145">($A149-B$9)/365.25</f>
        <v>70.039698836413422</v>
      </c>
      <c r="C149" s="409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3525.4531757812501</v>
      </c>
      <c r="H149" s="25">
        <f>IF(B149&lt;62,0,'Combined Retirement'!$I$14)</f>
        <v>2192</v>
      </c>
      <c r="I149" s="25">
        <f>IF(C149&lt;62,0,'Combined Retirement'!$I$13)</f>
        <v>2420</v>
      </c>
      <c r="J149" s="25">
        <f t="shared" si="3"/>
        <v>6404.7404596389215</v>
      </c>
      <c r="K149" s="25">
        <f t="shared" si="4"/>
        <v>16520.094745597391</v>
      </c>
      <c r="L149" s="25"/>
      <c r="N149" s="25">
        <f>'Combined Retirement'!$C$18/12</f>
        <v>33932.660666666663</v>
      </c>
      <c r="O149" s="25">
        <f t="shared" si="5"/>
        <v>11007.82546143035</v>
      </c>
      <c r="P149" s="25">
        <f t="shared" si="6"/>
        <v>22924.835205236312</v>
      </c>
      <c r="Q149" s="25">
        <f t="array" aca="1" ref="Q149" ca="1">INDEX('Isaac 401k'!L:L,MATCH('Retirement Calculator'!A149,'Isaac 401k'!N:N,0),0)</f>
        <v>2236187.5821856288</v>
      </c>
      <c r="R149" s="25">
        <f t="array" aca="1" ref="R149" ca="1">INDEX('Lorri 401b'!L:L,MATCH('Retirement Calculator'!A149,'Lorri 401b'!N:N,0),0)</f>
        <v>4370128.1264568483</v>
      </c>
      <c r="S149" s="25">
        <f t="shared" ca="1" si="7"/>
        <v>6606315.7086424772</v>
      </c>
    </row>
    <row r="150" spans="1:19" ht="15.75" customHeight="1" x14ac:dyDescent="0.3">
      <c r="A150" s="37">
        <v>55519</v>
      </c>
      <c r="B150" s="409">
        <f t="shared" ref="B150:C150" si="146">($A150-B$9)/365.25</f>
        <v>70.124572210814506</v>
      </c>
      <c r="C150" s="409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3525.4531757812501</v>
      </c>
      <c r="H150" s="25">
        <f>IF(B150&lt;62,0,'Combined Retirement'!$I$14)</f>
        <v>2192</v>
      </c>
      <c r="I150" s="25">
        <f>IF(C150&lt;62,0,'Combined Retirement'!$I$13)</f>
        <v>2420</v>
      </c>
      <c r="J150" s="25">
        <f t="shared" si="3"/>
        <v>6404.7404596389215</v>
      </c>
      <c r="K150" s="25">
        <f t="shared" si="4"/>
        <v>16520.094745597391</v>
      </c>
      <c r="L150" s="25"/>
      <c r="N150" s="25">
        <f>'Combined Retirement'!$C$18/12</f>
        <v>33932.660666666663</v>
      </c>
      <c r="O150" s="25">
        <f t="shared" si="5"/>
        <v>11007.82546143035</v>
      </c>
      <c r="P150" s="25">
        <f t="shared" si="6"/>
        <v>22924.835205236312</v>
      </c>
      <c r="Q150" s="25">
        <f t="array" aca="1" ref="Q150" ca="1">INDEX('Isaac 401k'!L:L,MATCH('Retirement Calculator'!A150,'Isaac 401k'!N:N,0),0)</f>
        <v>2239073.6035665148</v>
      </c>
      <c r="R150" s="25">
        <f t="array" aca="1" ref="R150" ca="1">INDEX('Lorri 401b'!L:L,MATCH('Retirement Calculator'!A150,'Lorri 401b'!N:N,0),0)</f>
        <v>4371748.0651767142</v>
      </c>
      <c r="S150" s="25">
        <f t="shared" ca="1" si="7"/>
        <v>6610821.6687432285</v>
      </c>
    </row>
    <row r="151" spans="1:19" ht="15.75" customHeight="1" x14ac:dyDescent="0.3">
      <c r="A151" s="37">
        <v>55550</v>
      </c>
      <c r="B151" s="409">
        <f t="shared" ref="B151:C151" si="147">($A151-B$9)/365.25</f>
        <v>70.209445585215605</v>
      </c>
      <c r="C151" s="409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3525.4531757812501</v>
      </c>
      <c r="H151" s="25">
        <f>IF(B151&lt;62,0,'Combined Retirement'!$I$14)</f>
        <v>2192</v>
      </c>
      <c r="I151" s="25">
        <f>IF(C151&lt;62,0,'Combined Retirement'!$I$13)</f>
        <v>2420</v>
      </c>
      <c r="J151" s="25">
        <f t="shared" si="3"/>
        <v>6404.7404596389215</v>
      </c>
      <c r="K151" s="25">
        <f t="shared" si="4"/>
        <v>16520.094745597391</v>
      </c>
      <c r="L151" s="25"/>
      <c r="N151" s="25">
        <f>'Combined Retirement'!$C$18/12</f>
        <v>33932.660666666663</v>
      </c>
      <c r="O151" s="25">
        <f t="shared" si="5"/>
        <v>11007.82546143035</v>
      </c>
      <c r="P151" s="25">
        <f t="shared" si="6"/>
        <v>22924.835205236312</v>
      </c>
      <c r="Q151" s="25">
        <f t="array" aca="1" ref="Q151" ca="1">INDEX('Isaac 401k'!L:L,MATCH('Retirement Calculator'!A151,'Isaac 401k'!N:N,0),0)</f>
        <v>2241971.6500364877</v>
      </c>
      <c r="R151" s="25">
        <f t="array" aca="1" ref="R151" ca="1">INDEX('Lorri 401b'!L:L,MATCH('Retirement Calculator'!A151,'Lorri 401b'!N:N,0),0)</f>
        <v>4373374.7536412459</v>
      </c>
      <c r="S151" s="25">
        <f t="shared" ca="1" si="7"/>
        <v>6615346.4036777336</v>
      </c>
    </row>
    <row r="152" spans="1:19" ht="15.75" customHeight="1" x14ac:dyDescent="0.3">
      <c r="A152" s="37">
        <v>55579</v>
      </c>
      <c r="B152" s="409">
        <f t="shared" ref="B152:C152" si="148">($A152-B$9)/365.25</f>
        <v>70.288843258042434</v>
      </c>
      <c r="C152" s="409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3525.4531757812501</v>
      </c>
      <c r="H152" s="25">
        <f>IF(B152&lt;62,0,'Combined Retirement'!$I$14)</f>
        <v>2192</v>
      </c>
      <c r="I152" s="25">
        <f>IF(C152&lt;62,0,'Combined Retirement'!$I$13)</f>
        <v>2420</v>
      </c>
      <c r="J152" s="25">
        <f t="shared" si="3"/>
        <v>6404.7404596389215</v>
      </c>
      <c r="K152" s="25">
        <f t="shared" si="4"/>
        <v>16520.094745597391</v>
      </c>
      <c r="L152" s="25"/>
      <c r="N152" s="25">
        <f>'Combined Retirement'!$C$18/12</f>
        <v>33932.660666666663</v>
      </c>
      <c r="O152" s="25">
        <f t="shared" si="5"/>
        <v>11007.82546143035</v>
      </c>
      <c r="P152" s="25">
        <f t="shared" si="6"/>
        <v>22924.835205236312</v>
      </c>
      <c r="Q152" s="25">
        <f t="array" aca="1" ref="Q152" ca="1">INDEX('Isaac 401k'!L:L,MATCH('Retirement Calculator'!A152,'Isaac 401k'!N:N,0),0)</f>
        <v>2244881.7717000856</v>
      </c>
      <c r="R152" s="25">
        <f t="array" aca="1" ref="R152" ca="1">INDEX('Lorri 401b'!L:L,MATCH('Retirement Calculator'!A152,'Lorri 401b'!N:N,0),0)</f>
        <v>4375008.21997438</v>
      </c>
      <c r="S152" s="25">
        <f t="shared" ca="1" si="7"/>
        <v>6619889.9916744661</v>
      </c>
    </row>
    <row r="153" spans="1:19" ht="15.75" customHeight="1" x14ac:dyDescent="0.3">
      <c r="A153" s="37">
        <v>55610</v>
      </c>
      <c r="B153" s="409">
        <f t="shared" ref="B153:C153" si="149">($A153-B$9)/365.25</f>
        <v>70.373716632443532</v>
      </c>
      <c r="C153" s="409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3525.4531757812501</v>
      </c>
      <c r="H153" s="25">
        <f>IF(B153&lt;62,0,'Combined Retirement'!$I$14)</f>
        <v>2192</v>
      </c>
      <c r="I153" s="25">
        <f>IF(C153&lt;62,0,'Combined Retirement'!$I$13)</f>
        <v>2420</v>
      </c>
      <c r="J153" s="25">
        <f t="shared" si="3"/>
        <v>6404.7404596389215</v>
      </c>
      <c r="K153" s="25">
        <f t="shared" si="4"/>
        <v>16520.094745597391</v>
      </c>
      <c r="L153" s="25"/>
      <c r="N153" s="25">
        <f>'Combined Retirement'!$C$18/12</f>
        <v>33932.660666666663</v>
      </c>
      <c r="O153" s="25">
        <f t="shared" si="5"/>
        <v>11007.82546143035</v>
      </c>
      <c r="P153" s="25">
        <f t="shared" si="6"/>
        <v>22924.835205236312</v>
      </c>
      <c r="Q153" s="25">
        <f t="array" aca="1" ref="Q153" ca="1">INDEX('Isaac 401k'!L:L,MATCH('Retirement Calculator'!A153,'Isaac 401k'!N:N,0),0)</f>
        <v>2247804.0188706149</v>
      </c>
      <c r="R153" s="25">
        <f t="array" aca="1" ref="R153" ca="1">INDEX('Lorri 401b'!L:L,MATCH('Retirement Calculator'!A153,'Lorri 401b'!N:N,0),0)</f>
        <v>4376648.4924172359</v>
      </c>
      <c r="S153" s="25">
        <f t="shared" ca="1" si="7"/>
        <v>6624452.5112878513</v>
      </c>
    </row>
    <row r="154" spans="1:19" ht="15.75" customHeight="1" x14ac:dyDescent="0.3">
      <c r="A154" s="37">
        <v>55640</v>
      </c>
      <c r="B154" s="409">
        <f t="shared" ref="B154:C154" si="150">($A154-B$9)/365.25</f>
        <v>70.455852156057489</v>
      </c>
      <c r="C154" s="409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3525.4531757812501</v>
      </c>
      <c r="H154" s="25">
        <f>IF(B154&lt;62,0,'Combined Retirement'!$I$14)</f>
        <v>2192</v>
      </c>
      <c r="I154" s="25">
        <f>IF(C154&lt;62,0,'Combined Retirement'!$I$13)</f>
        <v>2420</v>
      </c>
      <c r="J154" s="25">
        <f t="shared" si="3"/>
        <v>6404.7404596389215</v>
      </c>
      <c r="K154" s="25">
        <f t="shared" si="4"/>
        <v>16520.094745597391</v>
      </c>
      <c r="L154" s="25"/>
      <c r="N154" s="25">
        <f>'Combined Retirement'!$C$18/12</f>
        <v>33932.660666666663</v>
      </c>
      <c r="O154" s="25">
        <f t="shared" si="5"/>
        <v>11007.82546143035</v>
      </c>
      <c r="P154" s="25">
        <f t="shared" si="6"/>
        <v>22924.835205236312</v>
      </c>
      <c r="Q154" s="25">
        <f t="array" aca="1" ref="Q154" ca="1">INDEX('Isaac 401k'!L:L,MATCH('Retirement Calculator'!A154,'Isaac 401k'!N:N,0),0)</f>
        <v>2250738.4420710215</v>
      </c>
      <c r="R154" s="25">
        <f t="array" aca="1" ref="R154" ca="1">INDEX('Lorri 401b'!L:L,MATCH('Retirement Calculator'!A154,'Lorri 401b'!N:N,0),0)</f>
        <v>4378295.5993286036</v>
      </c>
      <c r="S154" s="25">
        <f t="shared" ca="1" si="7"/>
        <v>6629034.0413996251</v>
      </c>
    </row>
    <row r="155" spans="1:19" ht="15.75" customHeight="1" x14ac:dyDescent="0.3">
      <c r="A155" s="37">
        <v>55671</v>
      </c>
      <c r="B155" s="409">
        <f t="shared" ref="B155:C155" si="151">($A155-B$9)/365.25</f>
        <v>70.540725530458587</v>
      </c>
      <c r="C155" s="409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3525.4531757812501</v>
      </c>
      <c r="H155" s="25">
        <f>IF(B155&lt;62,0,'Combined Retirement'!$I$14)</f>
        <v>2192</v>
      </c>
      <c r="I155" s="25">
        <f>IF(C155&lt;62,0,'Combined Retirement'!$I$13)</f>
        <v>2420</v>
      </c>
      <c r="J155" s="25">
        <f t="shared" si="3"/>
        <v>6404.7404596389215</v>
      </c>
      <c r="K155" s="25">
        <f t="shared" si="4"/>
        <v>16520.094745597391</v>
      </c>
      <c r="L155" s="25"/>
      <c r="N155" s="25">
        <f>'Combined Retirement'!$C$18/12</f>
        <v>33932.660666666663</v>
      </c>
      <c r="O155" s="25">
        <f t="shared" si="5"/>
        <v>11007.82546143035</v>
      </c>
      <c r="P155" s="25">
        <f t="shared" si="6"/>
        <v>22924.835205236312</v>
      </c>
      <c r="Q155" s="25">
        <f t="array" aca="1" ref="Q155" ca="1">INDEX('Isaac 401k'!L:L,MATCH('Retirement Calculator'!A155,'Isaac 401k'!N:N,0),0)</f>
        <v>2253685.0920347632</v>
      </c>
      <c r="R155" s="25">
        <f t="array" aca="1" ref="R155" ca="1">INDEX('Lorri 401b'!L:L,MATCH('Retirement Calculator'!A155,'Lorri 401b'!N:N,0),0)</f>
        <v>4379949.5691854348</v>
      </c>
      <c r="S155" s="25">
        <f t="shared" ca="1" si="7"/>
        <v>6633634.6612201985</v>
      </c>
    </row>
    <row r="156" spans="1:19" ht="15.75" customHeight="1" x14ac:dyDescent="0.3">
      <c r="A156" s="37">
        <v>55701</v>
      </c>
      <c r="B156" s="409">
        <f t="shared" ref="B156:C156" si="152">($A156-B$9)/365.25</f>
        <v>70.622861054072558</v>
      </c>
      <c r="C156" s="409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3525.4531757812501</v>
      </c>
      <c r="H156" s="25">
        <f>IF(B156&lt;62,0,'Combined Retirement'!$I$14)</f>
        <v>2192</v>
      </c>
      <c r="I156" s="25">
        <f>IF(C156&lt;62,0,'Combined Retirement'!$I$13)</f>
        <v>2420</v>
      </c>
      <c r="J156" s="25">
        <f t="shared" si="3"/>
        <v>6404.7404596389215</v>
      </c>
      <c r="K156" s="25">
        <f t="shared" si="4"/>
        <v>16520.094745597391</v>
      </c>
      <c r="L156" s="25"/>
      <c r="N156" s="25">
        <f>'Combined Retirement'!$C$18/12</f>
        <v>33932.660666666663</v>
      </c>
      <c r="O156" s="25">
        <f t="shared" si="5"/>
        <v>11007.82546143035</v>
      </c>
      <c r="P156" s="25">
        <f t="shared" si="6"/>
        <v>22924.835205236312</v>
      </c>
      <c r="Q156" s="25">
        <f t="array" aca="1" ref="Q156" ca="1">INDEX('Isaac 401k'!L:L,MATCH('Retirement Calculator'!A156,'Isaac 401k'!N:N,0),0)</f>
        <v>2256644.019706687</v>
      </c>
      <c r="R156" s="25">
        <f t="array" aca="1" ref="R156" ca="1">INDEX('Lorri 401b'!L:L,MATCH('Retirement Calculator'!A156,'Lorri 401b'!N:N,0),0)</f>
        <v>4381610.4305833364</v>
      </c>
      <c r="S156" s="25">
        <f t="shared" ca="1" si="7"/>
        <v>6638254.4502900233</v>
      </c>
    </row>
    <row r="157" spans="1:19" ht="15.75" customHeight="1" x14ac:dyDescent="0.3">
      <c r="A157" s="37">
        <v>55732</v>
      </c>
      <c r="B157" s="409">
        <f t="shared" ref="B157:C157" si="153">($A157-B$9)/365.25</f>
        <v>70.707734428473643</v>
      </c>
      <c r="C157" s="409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3525.4531757812501</v>
      </c>
      <c r="H157" s="25">
        <f>IF(B157&lt;62,0,'Combined Retirement'!$I$14)</f>
        <v>2192</v>
      </c>
      <c r="I157" s="25">
        <f>IF(C157&lt;62,0,'Combined Retirement'!$I$13)</f>
        <v>2420</v>
      </c>
      <c r="J157" s="25">
        <f t="shared" si="3"/>
        <v>6404.7404596389215</v>
      </c>
      <c r="K157" s="25">
        <f t="shared" si="4"/>
        <v>16520.094745597391</v>
      </c>
      <c r="L157" s="25"/>
      <c r="N157" s="25">
        <f>'Combined Retirement'!$C$18/12</f>
        <v>33932.660666666663</v>
      </c>
      <c r="O157" s="25">
        <f t="shared" si="5"/>
        <v>11007.82546143035</v>
      </c>
      <c r="P157" s="25">
        <f t="shared" si="6"/>
        <v>22924.835205236312</v>
      </c>
      <c r="Q157" s="25">
        <f t="array" aca="1" ref="Q157" ca="1">INDEX('Isaac 401k'!L:L,MATCH('Retirement Calculator'!A157,'Isaac 401k'!N:N,0),0)</f>
        <v>2259615.2762439107</v>
      </c>
      <c r="R157" s="25">
        <f t="array" aca="1" ref="R157" ca="1">INDEX('Lorri 401b'!L:L,MATCH('Retirement Calculator'!A157,'Lorri 401b'!N:N,0),0)</f>
        <v>4383278.2122370629</v>
      </c>
      <c r="S157" s="25">
        <f t="shared" ca="1" si="7"/>
        <v>6642893.488480974</v>
      </c>
    </row>
    <row r="158" spans="1:19" ht="15.75" customHeight="1" x14ac:dyDescent="0.3">
      <c r="A158" s="37">
        <v>55763</v>
      </c>
      <c r="B158" s="409">
        <f t="shared" ref="B158:C158" si="154">($A158-B$9)/365.25</f>
        <v>70.792607802874741</v>
      </c>
      <c r="C158" s="409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3525.4531757812501</v>
      </c>
      <c r="H158" s="25">
        <f>IF(B158&lt;62,0,'Combined Retirement'!$I$14)</f>
        <v>2192</v>
      </c>
      <c r="I158" s="25">
        <f>IF(C158&lt;62,0,'Combined Retirement'!$I$13)</f>
        <v>2420</v>
      </c>
      <c r="J158" s="25">
        <f t="shared" si="3"/>
        <v>6404.7404596389215</v>
      </c>
      <c r="K158" s="25">
        <f t="shared" si="4"/>
        <v>16520.094745597391</v>
      </c>
      <c r="L158" s="25"/>
      <c r="N158" s="25">
        <f>'Combined Retirement'!$C$18/12</f>
        <v>33932.660666666663</v>
      </c>
      <c r="O158" s="25">
        <f t="shared" si="5"/>
        <v>11007.82546143035</v>
      </c>
      <c r="P158" s="25">
        <f t="shared" si="6"/>
        <v>22924.835205236312</v>
      </c>
      <c r="Q158" s="25">
        <f t="array" aca="1" ref="Q158" ca="1">INDEX('Isaac 401k'!L:L,MATCH('Retirement Calculator'!A158,'Isaac 401k'!N:N,0),0)</f>
        <v>2262598.9130167062</v>
      </c>
      <c r="R158" s="25">
        <f t="array" aca="1" ref="R158" ca="1">INDEX('Lorri 401b'!L:L,MATCH('Retirement Calculator'!A158,'Lorri 401b'!N:N,0),0)</f>
        <v>4384952.9429810131</v>
      </c>
      <c r="S158" s="25">
        <f t="shared" ca="1" si="7"/>
        <v>6647551.8559977189</v>
      </c>
    </row>
    <row r="159" spans="1:19" ht="15.75" customHeight="1" x14ac:dyDescent="0.3">
      <c r="A159" s="37">
        <v>55793</v>
      </c>
      <c r="B159" s="409">
        <f t="shared" ref="B159:C159" si="155">($A159-B$9)/365.25</f>
        <v>70.874743326488712</v>
      </c>
      <c r="C159" s="409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3525.4531757812501</v>
      </c>
      <c r="H159" s="25">
        <f>IF(B159&lt;62,0,'Combined Retirement'!$I$14)</f>
        <v>2192</v>
      </c>
      <c r="I159" s="25">
        <f>IF(C159&lt;62,0,'Combined Retirement'!$I$13)</f>
        <v>2420</v>
      </c>
      <c r="J159" s="25">
        <f t="shared" si="3"/>
        <v>6404.7404596389215</v>
      </c>
      <c r="K159" s="25">
        <f t="shared" si="4"/>
        <v>16520.094745597391</v>
      </c>
      <c r="L159" s="25"/>
      <c r="N159" s="25">
        <f>'Combined Retirement'!$C$18/12</f>
        <v>33932.660666666663</v>
      </c>
      <c r="O159" s="25">
        <f t="shared" si="5"/>
        <v>11007.82546143035</v>
      </c>
      <c r="P159" s="25">
        <f t="shared" si="6"/>
        <v>22924.835205236312</v>
      </c>
      <c r="Q159" s="25">
        <f t="array" aca="1" ref="Q159" ca="1">INDEX('Isaac 401k'!L:L,MATCH('Retirement Calculator'!A159,'Isaac 401k'!N:N,0),0)</f>
        <v>2265594.9816093883</v>
      </c>
      <c r="R159" s="25">
        <f t="array" aca="1" ref="R159" ca="1">INDEX('Lorri 401b'!L:L,MATCH('Retirement Calculator'!A159,'Lorri 401b'!N:N,0),0)</f>
        <v>4386634.6517697293</v>
      </c>
      <c r="S159" s="25">
        <f t="shared" ca="1" si="7"/>
        <v>6652229.6333791176</v>
      </c>
    </row>
    <row r="160" spans="1:19" ht="15.75" customHeight="1" x14ac:dyDescent="0.3">
      <c r="A160" s="37">
        <v>55824</v>
      </c>
      <c r="B160" s="409">
        <f t="shared" ref="B160:C160" si="156">($A160-B$9)/365.25</f>
        <v>70.959616700889796</v>
      </c>
      <c r="C160" s="409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3525.4531757812501</v>
      </c>
      <c r="H160" s="25">
        <f>IF(B160&lt;62,0,'Combined Retirement'!$I$14)</f>
        <v>2192</v>
      </c>
      <c r="I160" s="25">
        <f>IF(C160&lt;62,0,'Combined Retirement'!$I$13)</f>
        <v>2420</v>
      </c>
      <c r="J160" s="25">
        <f t="shared" si="3"/>
        <v>6404.7404596389215</v>
      </c>
      <c r="K160" s="25">
        <f t="shared" si="4"/>
        <v>16520.094745597391</v>
      </c>
      <c r="L160" s="25"/>
      <c r="N160" s="25">
        <f>'Combined Retirement'!$C$18/12</f>
        <v>33932.660666666663</v>
      </c>
      <c r="O160" s="25">
        <f t="shared" si="5"/>
        <v>11007.82546143035</v>
      </c>
      <c r="P160" s="25">
        <f t="shared" si="6"/>
        <v>22924.835205236312</v>
      </c>
      <c r="Q160" s="25">
        <f t="array" aca="1" ref="Q160" ca="1">INDEX('Isaac 401k'!L:L,MATCH('Retirement Calculator'!A160,'Isaac 401k'!N:N,0),0)</f>
        <v>2268603.5338212065</v>
      </c>
      <c r="R160" s="25">
        <f t="array" aca="1" ref="R160" ca="1">INDEX('Lorri 401b'!L:L,MATCH('Retirement Calculator'!A160,'Lorri 401b'!N:N,0),0)</f>
        <v>4388323.3676783992</v>
      </c>
      <c r="S160" s="25">
        <f t="shared" ca="1" si="7"/>
        <v>6656926.9014996057</v>
      </c>
    </row>
    <row r="161" spans="1:19" ht="15.75" customHeight="1" x14ac:dyDescent="0.3">
      <c r="A161" s="37">
        <v>55854</v>
      </c>
      <c r="B161" s="409">
        <f t="shared" ref="B161:C161" si="157">($A161-B$9)/365.25</f>
        <v>71.041752224503767</v>
      </c>
      <c r="C161" s="409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3525.4531757812501</v>
      </c>
      <c r="H161" s="25">
        <f>IF(B161&lt;62,0,'Combined Retirement'!$I$14)</f>
        <v>2192</v>
      </c>
      <c r="I161" s="25">
        <f>IF(C161&lt;62,0,'Combined Retirement'!$I$13)</f>
        <v>2420</v>
      </c>
      <c r="J161" s="25">
        <f t="shared" si="3"/>
        <v>6404.7404596389215</v>
      </c>
      <c r="K161" s="25">
        <f t="shared" si="4"/>
        <v>16520.094745597391</v>
      </c>
      <c r="L161" s="25"/>
      <c r="N161" s="25">
        <f>'Combined Retirement'!$C$18/12</f>
        <v>33932.660666666663</v>
      </c>
      <c r="O161" s="25">
        <f t="shared" si="5"/>
        <v>11007.82546143035</v>
      </c>
      <c r="P161" s="25">
        <f t="shared" si="6"/>
        <v>22924.835205236312</v>
      </c>
      <c r="Q161" s="25">
        <f t="array" aca="1" ref="Q161" ca="1">INDEX('Isaac 401k'!L:L,MATCH('Retirement Calculator'!A161,'Isaac 401k'!N:N,0),0)</f>
        <v>2271624.6216672407</v>
      </c>
      <c r="R161" s="25">
        <f t="array" aca="1" ref="R161" ca="1">INDEX('Lorri 401b'!L:L,MATCH('Retirement Calculator'!A161,'Lorri 401b'!N:N,0),0)</f>
        <v>4390019.1199033549</v>
      </c>
      <c r="S161" s="25">
        <f t="shared" ca="1" si="7"/>
        <v>6661643.7415705957</v>
      </c>
    </row>
    <row r="162" spans="1:19" ht="15.75" customHeight="1" x14ac:dyDescent="0.3">
      <c r="A162" s="37">
        <v>55885</v>
      </c>
      <c r="B162" s="409">
        <f t="shared" ref="B162:C162" si="158">($A162-B$9)/365.25</f>
        <v>71.126625598904866</v>
      </c>
      <c r="C162" s="409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3525.4531757812501</v>
      </c>
      <c r="H162" s="25">
        <f>IF(B162&lt;62,0,'Combined Retirement'!$I$14)</f>
        <v>2192</v>
      </c>
      <c r="I162" s="25">
        <f>IF(C162&lt;62,0,'Combined Retirement'!$I$13)</f>
        <v>2420</v>
      </c>
      <c r="J162" s="25">
        <f t="shared" si="3"/>
        <v>6404.7404596389215</v>
      </c>
      <c r="K162" s="25">
        <f t="shared" si="4"/>
        <v>16520.094745597391</v>
      </c>
      <c r="L162" s="25"/>
      <c r="N162" s="25">
        <f>'Combined Retirement'!$C$18/12</f>
        <v>33932.660666666663</v>
      </c>
      <c r="O162" s="25">
        <f t="shared" si="5"/>
        <v>11007.82546143035</v>
      </c>
      <c r="P162" s="25">
        <f t="shared" si="6"/>
        <v>22924.835205236312</v>
      </c>
      <c r="Q162" s="25">
        <f t="array" aca="1" ref="Q162" ca="1">INDEX('Isaac 401k'!L:L,MATCH('Retirement Calculator'!A162,'Isaac 401k'!N:N,0),0)</f>
        <v>2274658.2973793</v>
      </c>
      <c r="R162" s="25">
        <f t="array" aca="1" ref="R162" ca="1">INDEX('Lorri 401b'!L:L,MATCH('Retirement Calculator'!A162,'Lorri 401b'!N:N,0),0)</f>
        <v>4391721.9377625808</v>
      </c>
      <c r="S162" s="25">
        <f t="shared" ca="1" si="7"/>
        <v>6666380.2351418808</v>
      </c>
    </row>
    <row r="163" spans="1:19" ht="15.75" customHeight="1" x14ac:dyDescent="0.3">
      <c r="A163" s="37">
        <v>55916</v>
      </c>
      <c r="B163" s="409">
        <f t="shared" ref="B163:C163" si="159">($A163-B$9)/365.25</f>
        <v>71.21149897330595</v>
      </c>
      <c r="C163" s="409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3525.4531757812501</v>
      </c>
      <c r="H163" s="25">
        <f>IF(B163&lt;62,0,'Combined Retirement'!$I$14)</f>
        <v>2192</v>
      </c>
      <c r="I163" s="25">
        <f>IF(C163&lt;62,0,'Combined Retirement'!$I$13)</f>
        <v>2420</v>
      </c>
      <c r="J163" s="25">
        <f t="shared" si="3"/>
        <v>6404.7404596389215</v>
      </c>
      <c r="K163" s="25">
        <f t="shared" si="4"/>
        <v>16520.094745597391</v>
      </c>
      <c r="L163" s="25"/>
      <c r="N163" s="25">
        <f>'Combined Retirement'!$C$18/12</f>
        <v>33932.660666666663</v>
      </c>
      <c r="O163" s="25">
        <f t="shared" si="5"/>
        <v>11007.82546143035</v>
      </c>
      <c r="P163" s="25">
        <f t="shared" si="6"/>
        <v>22924.835205236312</v>
      </c>
      <c r="Q163" s="25">
        <f t="array" aca="1" ref="Q163" ca="1">INDEX('Isaac 401k'!L:L,MATCH('Retirement Calculator'!A163,'Isaac 401k'!N:N,0),0)</f>
        <v>2277704.6134068263</v>
      </c>
      <c r="R163" s="25">
        <f t="array" aca="1" ref="R163" ca="1">INDEX('Lorri 401b'!L:L,MATCH('Retirement Calculator'!A163,'Lorri 401b'!N:N,0),0)</f>
        <v>4393431.8506962201</v>
      </c>
      <c r="S163" s="25">
        <f t="shared" ca="1" si="7"/>
        <v>6671136.4641030468</v>
      </c>
    </row>
    <row r="164" spans="1:19" ht="15.75" customHeight="1" x14ac:dyDescent="0.3">
      <c r="A164" s="37">
        <v>55944</v>
      </c>
      <c r="B164" s="409">
        <f t="shared" ref="B164:C164" si="160">($A164-B$9)/365.25</f>
        <v>71.288158795345652</v>
      </c>
      <c r="C164" s="409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3525.4531757812501</v>
      </c>
      <c r="H164" s="25">
        <f>IF(B164&lt;62,0,'Combined Retirement'!$I$14)</f>
        <v>2192</v>
      </c>
      <c r="I164" s="25">
        <f>IF(C164&lt;62,0,'Combined Retirement'!$I$13)</f>
        <v>2420</v>
      </c>
      <c r="J164" s="25">
        <f t="shared" si="3"/>
        <v>6404.7404596389215</v>
      </c>
      <c r="K164" s="25">
        <f t="shared" si="4"/>
        <v>16520.094745597391</v>
      </c>
      <c r="L164" s="25"/>
      <c r="N164" s="25">
        <f>'Combined Retirement'!$C$18/12</f>
        <v>33932.660666666663</v>
      </c>
      <c r="O164" s="25">
        <f t="shared" si="5"/>
        <v>11007.82546143035</v>
      </c>
      <c r="P164" s="25">
        <f t="shared" si="6"/>
        <v>22924.835205236312</v>
      </c>
      <c r="Q164" s="25">
        <f t="array" aca="1" ref="Q164" ca="1">INDEX('Isaac 401k'!L:L,MATCH('Retirement Calculator'!A164,'Isaac 401k'!N:N,0),0)</f>
        <v>2280763.6224178006</v>
      </c>
      <c r="R164" s="25">
        <f t="array" aca="1" ref="R164" ca="1">INDEX('Lorri 401b'!L:L,MATCH('Retirement Calculator'!A164,'Lorri 401b'!N:N,0),0)</f>
        <v>4395148.8882670831</v>
      </c>
      <c r="S164" s="25">
        <f t="shared" ca="1" si="7"/>
        <v>6675912.5106848832</v>
      </c>
    </row>
    <row r="165" spans="1:19" ht="15.75" customHeight="1" x14ac:dyDescent="0.3">
      <c r="A165" s="37">
        <v>55975</v>
      </c>
      <c r="B165" s="409">
        <f t="shared" ref="B165:C165" si="161">($A165-B$9)/365.25</f>
        <v>71.37303216974675</v>
      </c>
      <c r="C165" s="409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3525.4531757812501</v>
      </c>
      <c r="H165" s="25">
        <f>IF(B165&lt;62,0,'Combined Retirement'!$I$14)</f>
        <v>2192</v>
      </c>
      <c r="I165" s="25">
        <f>IF(C165&lt;62,0,'Combined Retirement'!$I$13)</f>
        <v>2420</v>
      </c>
      <c r="J165" s="25">
        <f t="shared" si="3"/>
        <v>6404.7404596389215</v>
      </c>
      <c r="K165" s="25">
        <f t="shared" si="4"/>
        <v>16520.094745597391</v>
      </c>
      <c r="L165" s="25"/>
      <c r="N165" s="25">
        <f>'Combined Retirement'!$C$18/12</f>
        <v>33932.660666666663</v>
      </c>
      <c r="O165" s="25">
        <f t="shared" si="5"/>
        <v>11007.82546143035</v>
      </c>
      <c r="P165" s="25">
        <f t="shared" si="6"/>
        <v>22924.835205236312</v>
      </c>
      <c r="Q165" s="25">
        <f t="array" aca="1" ref="Q165" ca="1">INDEX('Isaac 401k'!L:L,MATCH('Retirement Calculator'!A165,'Isaac 401k'!N:N,0),0)</f>
        <v>2283835.3772996538</v>
      </c>
      <c r="R165" s="25">
        <f t="array" aca="1" ref="R165" ca="1">INDEX('Lorri 401b'!L:L,MATCH('Retirement Calculator'!A165,'Lorri 401b'!N:N,0),0)</f>
        <v>4396873.080161158</v>
      </c>
      <c r="S165" s="25">
        <f t="shared" ca="1" si="7"/>
        <v>6680708.4574608114</v>
      </c>
    </row>
    <row r="166" spans="1:19" ht="15.75" customHeight="1" x14ac:dyDescent="0.3">
      <c r="A166" s="37">
        <v>56005</v>
      </c>
      <c r="B166" s="409">
        <f t="shared" ref="B166:C166" si="162">($A166-B$9)/365.25</f>
        <v>71.455167693360707</v>
      </c>
      <c r="C166" s="409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3525.4531757812501</v>
      </c>
      <c r="H166" s="25">
        <f>IF(B166&lt;62,0,'Combined Retirement'!$I$14)</f>
        <v>2192</v>
      </c>
      <c r="I166" s="25">
        <f>IF(C166&lt;62,0,'Combined Retirement'!$I$13)</f>
        <v>2420</v>
      </c>
      <c r="J166" s="25">
        <f t="shared" si="3"/>
        <v>6404.7404596389215</v>
      </c>
      <c r="K166" s="25">
        <f t="shared" si="4"/>
        <v>16520.094745597391</v>
      </c>
      <c r="L166" s="25"/>
      <c r="N166" s="25">
        <f>'Combined Retirement'!$C$18/12</f>
        <v>33932.660666666663</v>
      </c>
      <c r="O166" s="25">
        <f t="shared" si="5"/>
        <v>11007.82546143035</v>
      </c>
      <c r="P166" s="25">
        <f t="shared" si="6"/>
        <v>22924.835205236312</v>
      </c>
      <c r="Q166" s="25">
        <f t="array" aca="1" ref="Q166" ca="1">INDEX('Isaac 401k'!L:L,MATCH('Retirement Calculator'!A166,'Isaac 401k'!N:N,0),0)</f>
        <v>2286919.9311601813</v>
      </c>
      <c r="R166" s="25">
        <f t="array" aca="1" ref="R166" ca="1">INDEX('Lorri 401b'!L:L,MATCH('Retirement Calculator'!A166,'Lorri 401b'!N:N,0),0)</f>
        <v>4398604.4561881246</v>
      </c>
      <c r="S166" s="25">
        <f t="shared" ca="1" si="7"/>
        <v>6685524.3873483054</v>
      </c>
    </row>
    <row r="167" spans="1:19" ht="15.75" customHeight="1" x14ac:dyDescent="0.3">
      <c r="A167" s="37">
        <v>56036</v>
      </c>
      <c r="B167" s="409">
        <f t="shared" ref="B167:C167" si="163">($A167-B$9)/365.25</f>
        <v>71.540041067761805</v>
      </c>
      <c r="C167" s="409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3525.4531757812501</v>
      </c>
      <c r="H167" s="25">
        <f>IF(B167&lt;62,0,'Combined Retirement'!$I$14)</f>
        <v>2192</v>
      </c>
      <c r="I167" s="25">
        <f>IF(C167&lt;62,0,'Combined Retirement'!$I$13)</f>
        <v>2420</v>
      </c>
      <c r="J167" s="25">
        <f t="shared" si="3"/>
        <v>6404.7404596389215</v>
      </c>
      <c r="K167" s="25">
        <f t="shared" si="4"/>
        <v>16520.094745597391</v>
      </c>
      <c r="L167" s="25"/>
      <c r="N167" s="25">
        <f>'Combined Retirement'!$C$18/12</f>
        <v>33932.660666666663</v>
      </c>
      <c r="O167" s="25">
        <f t="shared" si="5"/>
        <v>11007.82546143035</v>
      </c>
      <c r="P167" s="25">
        <f t="shared" si="6"/>
        <v>22924.835205236312</v>
      </c>
      <c r="Q167" s="25">
        <f t="array" aca="1" ref="Q167" ca="1">INDEX('Isaac 401k'!L:L,MATCH('Retirement Calculator'!A167,'Isaac 401k'!N:N,0),0)</f>
        <v>2290017.337328461</v>
      </c>
      <c r="R167" s="25">
        <f t="array" aca="1" ref="R167" ca="1">INDEX('Lorri 401b'!L:L,MATCH('Retirement Calculator'!A167,'Lorri 401b'!N:N,0),0)</f>
        <v>4400343.0462818705</v>
      </c>
      <c r="S167" s="25">
        <f t="shared" ca="1" si="7"/>
        <v>6690360.3836103315</v>
      </c>
    </row>
    <row r="168" spans="1:19" ht="15.75" customHeight="1" x14ac:dyDescent="0.3">
      <c r="A168" s="37">
        <v>56066</v>
      </c>
      <c r="B168" s="409">
        <f t="shared" ref="B168:C168" si="164">($A168-B$9)/365.25</f>
        <v>71.622176591375776</v>
      </c>
      <c r="C168" s="409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3525.4531757812501</v>
      </c>
      <c r="H168" s="25">
        <f>IF(B168&lt;62,0,'Combined Retirement'!$I$14)</f>
        <v>2192</v>
      </c>
      <c r="I168" s="25">
        <f>IF(C168&lt;62,0,'Combined Retirement'!$I$13)</f>
        <v>2420</v>
      </c>
      <c r="J168" s="25">
        <f t="shared" si="3"/>
        <v>6404.7404596389215</v>
      </c>
      <c r="K168" s="25">
        <f t="shared" si="4"/>
        <v>16520.094745597391</v>
      </c>
      <c r="L168" s="25"/>
      <c r="N168" s="25">
        <f>'Combined Retirement'!$C$18/12</f>
        <v>33932.660666666663</v>
      </c>
      <c r="O168" s="25">
        <f t="shared" si="5"/>
        <v>11007.82546143035</v>
      </c>
      <c r="P168" s="25">
        <f t="shared" si="6"/>
        <v>22924.835205236312</v>
      </c>
      <c r="Q168" s="25">
        <f t="array" aca="1" ref="Q168" ca="1">INDEX('Isaac 401k'!L:L,MATCH('Retirement Calculator'!A168,'Isaac 401k'!N:N,0),0)</f>
        <v>2293127.6493557752</v>
      </c>
      <c r="R168" s="25">
        <f t="array" aca="1" ref="R168" ca="1">INDEX('Lorri 401b'!L:L,MATCH('Retirement Calculator'!A168,'Lorri 401b'!N:N,0),0)</f>
        <v>4402088.8805010067</v>
      </c>
      <c r="S168" s="25">
        <f t="shared" ca="1" si="7"/>
        <v>6695216.5298567824</v>
      </c>
    </row>
    <row r="169" spans="1:19" ht="15.75" customHeight="1" x14ac:dyDescent="0.3">
      <c r="A169" s="37">
        <v>56097</v>
      </c>
      <c r="B169" s="409">
        <f t="shared" ref="B169:C169" si="165">($A169-B$9)/365.25</f>
        <v>71.707049965776861</v>
      </c>
      <c r="C169" s="409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3525.4531757812501</v>
      </c>
      <c r="H169" s="25">
        <f>IF(B169&lt;62,0,'Combined Retirement'!$I$14)</f>
        <v>2192</v>
      </c>
      <c r="I169" s="25">
        <f>IF(C169&lt;62,0,'Combined Retirement'!$I$13)</f>
        <v>2420</v>
      </c>
      <c r="J169" s="25">
        <f t="shared" si="3"/>
        <v>6404.7404596389215</v>
      </c>
      <c r="K169" s="25">
        <f t="shared" si="4"/>
        <v>16520.094745597391</v>
      </c>
      <c r="L169" s="25"/>
      <c r="N169" s="25">
        <f>'Combined Retirement'!$C$18/12</f>
        <v>33932.660666666663</v>
      </c>
      <c r="O169" s="25">
        <f t="shared" si="5"/>
        <v>11007.82546143035</v>
      </c>
      <c r="P169" s="25">
        <f t="shared" si="6"/>
        <v>22924.835205236312</v>
      </c>
      <c r="Q169" s="25">
        <f t="array" aca="1" ref="Q169" ca="1">INDEX('Isaac 401k'!L:L,MATCH('Retirement Calculator'!A169,'Isaac 401k'!N:N,0),0)</f>
        <v>2296250.9210165367</v>
      </c>
      <c r="R169" s="25">
        <f t="array" aca="1" ref="R169" ca="1">INDEX('Lorri 401b'!L:L,MATCH('Retirement Calculator'!A169,'Lorri 401b'!N:N,0),0)</f>
        <v>4403841.9890293898</v>
      </c>
      <c r="S169" s="25">
        <f t="shared" ca="1" si="7"/>
        <v>6700092.9100459265</v>
      </c>
    </row>
    <row r="170" spans="1:19" ht="15.75" customHeight="1" x14ac:dyDescent="0.3">
      <c r="A170" s="37">
        <v>56128</v>
      </c>
      <c r="B170" s="409">
        <f t="shared" ref="B170:C170" si="166">($A170-B$9)/365.25</f>
        <v>71.791923340177959</v>
      </c>
      <c r="C170" s="409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3525.4531757812501</v>
      </c>
      <c r="H170" s="25">
        <f>IF(B170&lt;62,0,'Combined Retirement'!$I$14)</f>
        <v>2192</v>
      </c>
      <c r="I170" s="25">
        <f>IF(C170&lt;62,0,'Combined Retirement'!$I$13)</f>
        <v>2420</v>
      </c>
      <c r="J170" s="25">
        <f t="shared" si="3"/>
        <v>6404.7404596389215</v>
      </c>
      <c r="K170" s="25">
        <f t="shared" si="4"/>
        <v>16520.094745597391</v>
      </c>
      <c r="L170" s="25"/>
      <c r="N170" s="25">
        <f>'Combined Retirement'!$C$18/12</f>
        <v>33932.660666666663</v>
      </c>
      <c r="O170" s="25">
        <f t="shared" si="5"/>
        <v>11007.82546143035</v>
      </c>
      <c r="P170" s="25">
        <f t="shared" si="6"/>
        <v>22924.835205236312</v>
      </c>
      <c r="Q170" s="25">
        <f t="array" aca="1" ref="Q170" ca="1">INDEX('Isaac 401k'!L:L,MATCH('Retirement Calculator'!A170,'Isaac 401k'!N:N,0),0)</f>
        <v>2299387.206309218</v>
      </c>
      <c r="R170" s="25">
        <f t="array" aca="1" ref="R170" ca="1">INDEX('Lorri 401b'!L:L,MATCH('Retirement Calculator'!A170,'Lorri 401b'!N:N,0),0)</f>
        <v>4405602.4021766409</v>
      </c>
      <c r="S170" s="25">
        <f t="shared" ca="1" si="7"/>
        <v>6704989.6084858589</v>
      </c>
    </row>
    <row r="171" spans="1:19" ht="15.75" customHeight="1" x14ac:dyDescent="0.3">
      <c r="A171" s="37">
        <v>56158</v>
      </c>
      <c r="B171" s="409">
        <f t="shared" ref="B171:C171" si="167">($A171-B$9)/365.25</f>
        <v>71.87405886379193</v>
      </c>
      <c r="C171" s="409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3525.4531757812501</v>
      </c>
      <c r="H171" s="25">
        <f>IF(B171&lt;62,0,'Combined Retirement'!$I$14)</f>
        <v>2192</v>
      </c>
      <c r="I171" s="25">
        <f>IF(C171&lt;62,0,'Combined Retirement'!$I$13)</f>
        <v>2420</v>
      </c>
      <c r="J171" s="25">
        <f t="shared" si="3"/>
        <v>6404.7404596389215</v>
      </c>
      <c r="K171" s="25">
        <f t="shared" si="4"/>
        <v>16520.094745597391</v>
      </c>
      <c r="L171" s="25"/>
      <c r="N171" s="25">
        <f>'Combined Retirement'!$C$18/12</f>
        <v>33932.660666666663</v>
      </c>
      <c r="O171" s="25">
        <f t="shared" si="5"/>
        <v>11007.82546143035</v>
      </c>
      <c r="P171" s="25">
        <f t="shared" si="6"/>
        <v>22924.835205236312</v>
      </c>
      <c r="Q171" s="25">
        <f t="array" aca="1" ref="Q171" ca="1">INDEX('Isaac 401k'!L:L,MATCH('Retirement Calculator'!A171,'Isaac 401k'!N:N,0),0)</f>
        <v>2302536.5594572853</v>
      </c>
      <c r="R171" s="25">
        <f t="array" aca="1" ref="R171" ca="1">INDEX('Lorri 401b'!L:L,MATCH('Retirement Calculator'!A171,'Lorri 401b'!N:N,0),0)</f>
        <v>4407370.1503786724</v>
      </c>
      <c r="S171" s="25">
        <f t="shared" ca="1" si="7"/>
        <v>6709906.7098359577</v>
      </c>
    </row>
    <row r="172" spans="1:19" ht="15.75" customHeight="1" x14ac:dyDescent="0.3">
      <c r="A172" s="37">
        <v>56189</v>
      </c>
      <c r="B172" s="409">
        <f t="shared" ref="B172:C172" si="168">($A172-B$9)/365.25</f>
        <v>71.958932238193015</v>
      </c>
      <c r="C172" s="409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3525.4531757812501</v>
      </c>
      <c r="H172" s="25">
        <f>IF(B172&lt;62,0,'Combined Retirement'!$I$14)</f>
        <v>2192</v>
      </c>
      <c r="I172" s="25">
        <f>IF(C172&lt;62,0,'Combined Retirement'!$I$13)</f>
        <v>2420</v>
      </c>
      <c r="J172" s="25">
        <f t="shared" si="3"/>
        <v>6404.7404596389215</v>
      </c>
      <c r="K172" s="25">
        <f t="shared" si="4"/>
        <v>16520.094745597391</v>
      </c>
      <c r="L172" s="25"/>
      <c r="N172" s="25">
        <f>'Combined Retirement'!$C$18/12</f>
        <v>33932.660666666663</v>
      </c>
      <c r="O172" s="25">
        <f t="shared" si="5"/>
        <v>11007.82546143035</v>
      </c>
      <c r="P172" s="25">
        <f t="shared" si="6"/>
        <v>22924.835205236312</v>
      </c>
      <c r="Q172" s="25">
        <f t="array" aca="1" ref="Q172" ca="1">INDEX('Isaac 401k'!L:L,MATCH('Retirement Calculator'!A172,'Isaac 401k'!N:N,0),0)</f>
        <v>2305699.0349101364</v>
      </c>
      <c r="R172" s="25">
        <f t="array" aca="1" ref="R172" ca="1">INDEX('Lorri 401b'!L:L,MATCH('Retirement Calculator'!A172,'Lorri 401b'!N:N,0),0)</f>
        <v>4409145.264198212</v>
      </c>
      <c r="S172" s="25">
        <f t="shared" ca="1" si="7"/>
        <v>6714844.2991083488</v>
      </c>
    </row>
    <row r="173" spans="1:19" ht="15.75" customHeight="1" x14ac:dyDescent="0.3">
      <c r="A173" s="37">
        <v>56219</v>
      </c>
      <c r="B173" s="409">
        <f t="shared" ref="B173:C173" si="169">($A173-B$9)/365.25</f>
        <v>72.041067761806985</v>
      </c>
      <c r="C173" s="409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3525.4531757812501</v>
      </c>
      <c r="H173" s="25">
        <f>IF(B173&lt;62,0,'Combined Retirement'!$I$14)</f>
        <v>2192</v>
      </c>
      <c r="I173" s="25">
        <f>IF(C173&lt;62,0,'Combined Retirement'!$I$13)</f>
        <v>2420</v>
      </c>
      <c r="J173" s="25">
        <f t="shared" si="3"/>
        <v>6404.7404596389215</v>
      </c>
      <c r="K173" s="25">
        <f t="shared" si="4"/>
        <v>16520.094745597391</v>
      </c>
      <c r="L173" s="25"/>
      <c r="N173" s="25">
        <f>'Combined Retirement'!$C$18/12</f>
        <v>33932.660666666663</v>
      </c>
      <c r="O173" s="25">
        <f t="shared" si="5"/>
        <v>11007.82546143035</v>
      </c>
      <c r="P173" s="25">
        <f t="shared" si="6"/>
        <v>22924.835205236312</v>
      </c>
      <c r="Q173" s="25">
        <f t="array" aca="1" ref="Q173" ca="1">INDEX('Isaac 401k'!L:L,MATCH('Retirement Calculator'!A173,'Isaac 401k'!N:N,0),0)</f>
        <v>2308874.6873440412</v>
      </c>
      <c r="R173" s="25">
        <f t="array" aca="1" ref="R173" ca="1">INDEX('Lorri 401b'!L:L,MATCH('Retirement Calculator'!A173,'Lorri 401b'!N:N,0),0)</f>
        <v>4410927.7743253335</v>
      </c>
      <c r="S173" s="25">
        <f t="shared" ca="1" si="7"/>
        <v>6719802.4616693743</v>
      </c>
    </row>
    <row r="174" spans="1:19" ht="15.75" customHeight="1" x14ac:dyDescent="0.3">
      <c r="A174" s="37">
        <v>56250</v>
      </c>
      <c r="B174" s="409">
        <f t="shared" ref="B174:C174" si="170">($A174-B$9)/365.25</f>
        <v>72.12594113620807</v>
      </c>
      <c r="C174" s="409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3525.4531757812501</v>
      </c>
      <c r="H174" s="25">
        <f>IF(B174&lt;62,0,'Combined Retirement'!$I$14)</f>
        <v>2192</v>
      </c>
      <c r="I174" s="25">
        <f>IF(C174&lt;62,0,'Combined Retirement'!$I$13)</f>
        <v>2420</v>
      </c>
      <c r="J174" s="25">
        <f t="shared" si="3"/>
        <v>6404.7404596389215</v>
      </c>
      <c r="K174" s="25">
        <f t="shared" si="4"/>
        <v>16520.094745597391</v>
      </c>
      <c r="L174" s="25"/>
      <c r="N174" s="25">
        <f>'Combined Retirement'!$C$18/12</f>
        <v>33932.660666666663</v>
      </c>
      <c r="O174" s="25">
        <f t="shared" si="5"/>
        <v>11007.82546143035</v>
      </c>
      <c r="P174" s="25">
        <f t="shared" si="6"/>
        <v>22924.835205236312</v>
      </c>
      <c r="Q174" s="25">
        <f t="array" aca="1" ref="Q174" ca="1">INDEX('Isaac 401k'!L:L,MATCH('Retirement Calculator'!A174,'Isaac 401k'!N:N,0),0)</f>
        <v>2312063.5716630872</v>
      </c>
      <c r="R174" s="25">
        <f t="array" aca="1" ref="R174" ca="1">INDEX('Lorri 401b'!L:L,MATCH('Retirement Calculator'!A174,'Lorri 401b'!N:N,0),0)</f>
        <v>4412717.7115779845</v>
      </c>
      <c r="S174" s="25">
        <f t="shared" ca="1" si="7"/>
        <v>6724781.2832410717</v>
      </c>
    </row>
    <row r="175" spans="1:19" ht="15.75" customHeight="1" x14ac:dyDescent="0.3">
      <c r="A175" s="37">
        <v>56281</v>
      </c>
      <c r="B175" s="409">
        <f t="shared" ref="B175:C175" si="171">($A175-B$9)/365.25</f>
        <v>72.210814510609168</v>
      </c>
      <c r="C175" s="409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3525.4531757812501</v>
      </c>
      <c r="H175" s="25">
        <f>IF(B175&lt;62,0,'Combined Retirement'!$I$14)</f>
        <v>2192</v>
      </c>
      <c r="I175" s="25">
        <f>IF(C175&lt;62,0,'Combined Retirement'!$I$13)</f>
        <v>2420</v>
      </c>
      <c r="J175" s="25">
        <f t="shared" si="3"/>
        <v>6404.7404596389215</v>
      </c>
      <c r="K175" s="25">
        <f t="shared" si="4"/>
        <v>16520.094745597391</v>
      </c>
      <c r="L175" s="25"/>
      <c r="N175" s="25">
        <f>'Combined Retirement'!$C$18/12</f>
        <v>33932.660666666663</v>
      </c>
      <c r="O175" s="25">
        <f t="shared" si="5"/>
        <v>11007.82546143035</v>
      </c>
      <c r="P175" s="25">
        <f t="shared" si="6"/>
        <v>22924.835205236312</v>
      </c>
      <c r="Q175" s="25">
        <f t="array" aca="1" ref="Q175" ca="1">INDEX('Isaac 401k'!L:L,MATCH('Retirement Calculator'!A175,'Isaac 401k'!N:N,0),0)</f>
        <v>2315265.7430001292</v>
      </c>
      <c r="R175" s="25">
        <f t="array" aca="1" ref="R175" ca="1">INDEX('Lorri 401b'!L:L,MATCH('Retirement Calculator'!A175,'Lorri 401b'!N:N,0),0)</f>
        <v>4414515.106902522</v>
      </c>
      <c r="S175" s="25">
        <f t="shared" ca="1" si="7"/>
        <v>6729780.8499026513</v>
      </c>
    </row>
    <row r="176" spans="1:19" ht="15.75" customHeight="1" x14ac:dyDescent="0.3">
      <c r="A176" s="37">
        <v>56309</v>
      </c>
      <c r="B176" s="409">
        <f t="shared" ref="B176:C176" si="172">($A176-B$9)/365.25</f>
        <v>72.28747433264887</v>
      </c>
      <c r="C176" s="409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3525.4531757812501</v>
      </c>
      <c r="H176" s="25">
        <f>IF(B176&lt;62,0,'Combined Retirement'!$I$14)</f>
        <v>2192</v>
      </c>
      <c r="I176" s="25">
        <f>IF(C176&lt;62,0,'Combined Retirement'!$I$13)</f>
        <v>2420</v>
      </c>
      <c r="J176" s="25">
        <f t="shared" si="3"/>
        <v>6404.7404596389215</v>
      </c>
      <c r="K176" s="25">
        <f t="shared" si="4"/>
        <v>16520.094745597391</v>
      </c>
      <c r="L176" s="25"/>
      <c r="N176" s="25">
        <f>'Combined Retirement'!$C$18/12</f>
        <v>33932.660666666663</v>
      </c>
      <c r="O176" s="25">
        <f t="shared" si="5"/>
        <v>11007.82546143035</v>
      </c>
      <c r="P176" s="25">
        <f t="shared" si="6"/>
        <v>22924.835205236312</v>
      </c>
      <c r="Q176" s="25">
        <f t="array" aca="1" ref="Q176" ca="1">INDEX('Isaac 401k'!L:L,MATCH('Retirement Calculator'!A176,'Isaac 401k'!N:N,0),0)</f>
        <v>2318481.256717742</v>
      </c>
      <c r="R176" s="25">
        <f t="array" aca="1" ref="R176" ca="1">INDEX('Lorri 401b'!L:L,MATCH('Retirement Calculator'!A176,'Lorri 401b'!N:N,0),0)</f>
        <v>4416319.9913742449</v>
      </c>
      <c r="S176" s="25">
        <f t="shared" ca="1" si="7"/>
        <v>6734801.2480919864</v>
      </c>
    </row>
    <row r="177" spans="1:19" ht="15.75" customHeight="1" x14ac:dyDescent="0.3">
      <c r="A177" s="37">
        <v>56340</v>
      </c>
      <c r="B177" s="409">
        <f t="shared" ref="B177:C177" si="173">($A177-B$9)/365.25</f>
        <v>72.372347707049968</v>
      </c>
      <c r="C177" s="409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3525.4531757812501</v>
      </c>
      <c r="H177" s="25">
        <f>IF(B177&lt;62,0,'Combined Retirement'!$I$14)</f>
        <v>2192</v>
      </c>
      <c r="I177" s="25">
        <f>IF(C177&lt;62,0,'Combined Retirement'!$I$13)</f>
        <v>2420</v>
      </c>
      <c r="J177" s="25">
        <f t="shared" si="3"/>
        <v>6404.7404596389215</v>
      </c>
      <c r="K177" s="25">
        <f t="shared" si="4"/>
        <v>16520.094745597391</v>
      </c>
      <c r="L177" s="25"/>
      <c r="N177" s="25">
        <f>'Combined Retirement'!$C$18/12</f>
        <v>33932.660666666663</v>
      </c>
      <c r="O177" s="25">
        <f t="shared" si="5"/>
        <v>11007.82546143035</v>
      </c>
      <c r="P177" s="25">
        <f t="shared" si="6"/>
        <v>22924.835205236312</v>
      </c>
      <c r="Q177" s="25">
        <f t="array" aca="1" ref="Q177" ca="1">INDEX('Isaac 401k'!L:L,MATCH('Retirement Calculator'!A177,'Isaac 401k'!N:N,0),0)</f>
        <v>2321710.1684091785</v>
      </c>
      <c r="R177" s="25">
        <f t="array" aca="1" ref="R177" ca="1">INDEX('Lorri 401b'!L:L,MATCH('Retirement Calculator'!A177,'Lorri 401b'!N:N,0),0)</f>
        <v>4418132.3961979328</v>
      </c>
      <c r="S177" s="25">
        <f t="shared" ca="1" si="7"/>
        <v>6739842.5646071117</v>
      </c>
    </row>
    <row r="178" spans="1:19" ht="15.75" customHeight="1" x14ac:dyDescent="0.3">
      <c r="A178" s="37">
        <v>56370</v>
      </c>
      <c r="B178" s="409">
        <f t="shared" ref="B178:C178" si="174">($A178-B$9)/365.25</f>
        <v>72.454483230663925</v>
      </c>
      <c r="C178" s="409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3525.4531757812501</v>
      </c>
      <c r="H178" s="25">
        <f>IF(B178&lt;62,0,'Combined Retirement'!$I$14)</f>
        <v>2192</v>
      </c>
      <c r="I178" s="25">
        <f>IF(C178&lt;62,0,'Combined Retirement'!$I$13)</f>
        <v>2420</v>
      </c>
      <c r="J178" s="25">
        <f t="shared" si="3"/>
        <v>6404.7404596389215</v>
      </c>
      <c r="K178" s="25">
        <f t="shared" si="4"/>
        <v>16520.094745597391</v>
      </c>
      <c r="L178" s="25"/>
      <c r="N178" s="25">
        <f>'Combined Retirement'!$C$18/12</f>
        <v>33932.660666666663</v>
      </c>
      <c r="O178" s="25">
        <f t="shared" si="5"/>
        <v>11007.82546143035</v>
      </c>
      <c r="P178" s="25">
        <f t="shared" si="6"/>
        <v>22924.835205236312</v>
      </c>
      <c r="Q178" s="25">
        <f t="array" aca="1" ref="Q178" ca="1">INDEX('Isaac 401k'!L:L,MATCH('Retirement Calculator'!A178,'Isaac 401k'!N:N,0),0)</f>
        <v>2324952.5338993291</v>
      </c>
      <c r="R178" s="25">
        <f t="array" aca="1" ref="R178" ca="1">INDEX('Lorri 401b'!L:L,MATCH('Retirement Calculator'!A178,'Lorri 401b'!N:N,0),0)</f>
        <v>4419952.3527083863</v>
      </c>
      <c r="S178" s="25">
        <f t="shared" ca="1" si="7"/>
        <v>6744904.8866077159</v>
      </c>
    </row>
    <row r="179" spans="1:19" ht="15.75" customHeight="1" x14ac:dyDescent="0.3">
      <c r="A179" s="37">
        <v>56401</v>
      </c>
      <c r="B179" s="409">
        <f t="shared" ref="B179:C179" si="175">($A179-B$9)/365.25</f>
        <v>72.539356605065024</v>
      </c>
      <c r="C179" s="409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3525.4531757812501</v>
      </c>
      <c r="H179" s="25">
        <f>IF(B179&lt;62,0,'Combined Retirement'!$I$14)</f>
        <v>2192</v>
      </c>
      <c r="I179" s="25">
        <f>IF(C179&lt;62,0,'Combined Retirement'!$I$13)</f>
        <v>2420</v>
      </c>
      <c r="J179" s="25">
        <f t="shared" si="3"/>
        <v>6404.7404596389215</v>
      </c>
      <c r="K179" s="25">
        <f t="shared" si="4"/>
        <v>16520.094745597391</v>
      </c>
      <c r="L179" s="25"/>
      <c r="N179" s="25">
        <f>'Combined Retirement'!$C$18/12</f>
        <v>33932.660666666663</v>
      </c>
      <c r="O179" s="25">
        <f t="shared" si="5"/>
        <v>11007.82546143035</v>
      </c>
      <c r="P179" s="25">
        <f t="shared" si="6"/>
        <v>22924.835205236312</v>
      </c>
      <c r="Q179" s="25">
        <f t="array" aca="1" ref="Q179" ca="1">INDEX('Isaac 401k'!L:L,MATCH('Retirement Calculator'!A179,'Isaac 401k'!N:N,0),0)</f>
        <v>2328208.4092456889</v>
      </c>
      <c r="R179" s="25">
        <f t="array" aca="1" ref="R179" ca="1">INDEX('Lorri 401b'!L:L,MATCH('Retirement Calculator'!A179,'Lorri 401b'!N:N,0),0)</f>
        <v>4421779.8923709672</v>
      </c>
      <c r="S179" s="25">
        <f t="shared" ca="1" si="7"/>
        <v>6749988.3016166557</v>
      </c>
    </row>
    <row r="180" spans="1:19" ht="15.75" customHeight="1" x14ac:dyDescent="0.3">
      <c r="A180" s="37">
        <v>56431</v>
      </c>
      <c r="B180" s="409">
        <f t="shared" ref="B180:C180" si="176">($A180-B$9)/365.25</f>
        <v>72.62149212867898</v>
      </c>
      <c r="C180" s="409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3525.4531757812501</v>
      </c>
      <c r="H180" s="25">
        <f>IF(B180&lt;62,0,'Combined Retirement'!$I$14)</f>
        <v>2192</v>
      </c>
      <c r="I180" s="25">
        <f>IF(C180&lt;62,0,'Combined Retirement'!$I$13)</f>
        <v>2420</v>
      </c>
      <c r="J180" s="25">
        <f t="shared" si="3"/>
        <v>6404.7404596389215</v>
      </c>
      <c r="K180" s="25">
        <f t="shared" si="4"/>
        <v>16520.094745597391</v>
      </c>
      <c r="L180" s="25"/>
      <c r="N180" s="25">
        <f>'Combined Retirement'!$C$18/12</f>
        <v>33932.660666666663</v>
      </c>
      <c r="O180" s="25">
        <f t="shared" si="5"/>
        <v>11007.82546143035</v>
      </c>
      <c r="P180" s="25">
        <f t="shared" si="6"/>
        <v>22924.835205236312</v>
      </c>
      <c r="Q180" s="25">
        <f t="array" aca="1" ref="Q180" ca="1">INDEX('Isaac 401k'!L:L,MATCH('Retirement Calculator'!A180,'Isaac 401k'!N:N,0),0)</f>
        <v>2331477.8507393249</v>
      </c>
      <c r="R180" s="25">
        <f t="array" aca="1" ref="R180" ca="1">INDEX('Lorri 401b'!L:L,MATCH('Retirement Calculator'!A180,'Lorri 401b'!N:N,0),0)</f>
        <v>4423615.0467821416</v>
      </c>
      <c r="S180" s="25">
        <f t="shared" ca="1" si="7"/>
        <v>6755092.897521466</v>
      </c>
    </row>
    <row r="181" spans="1:19" ht="15.75" customHeight="1" x14ac:dyDescent="0.3">
      <c r="A181" s="37">
        <v>56462</v>
      </c>
      <c r="B181" s="409">
        <f t="shared" ref="B181:C181" si="177">($A181-B$9)/365.25</f>
        <v>72.706365503080079</v>
      </c>
      <c r="C181" s="409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3525.4531757812501</v>
      </c>
      <c r="H181" s="25">
        <f>IF(B181&lt;62,0,'Combined Retirement'!$I$14)</f>
        <v>2192</v>
      </c>
      <c r="I181" s="25">
        <f>IF(C181&lt;62,0,'Combined Retirement'!$I$13)</f>
        <v>2420</v>
      </c>
      <c r="J181" s="25">
        <f t="shared" si="3"/>
        <v>6404.7404596389215</v>
      </c>
      <c r="K181" s="25">
        <f t="shared" si="4"/>
        <v>16520.094745597391</v>
      </c>
      <c r="L181" s="25"/>
      <c r="N181" s="25">
        <f>'Combined Retirement'!$C$18/12</f>
        <v>33932.660666666663</v>
      </c>
      <c r="O181" s="25">
        <f t="shared" si="5"/>
        <v>11007.82546143035</v>
      </c>
      <c r="P181" s="25">
        <f t="shared" si="6"/>
        <v>22924.835205236312</v>
      </c>
      <c r="Q181" s="25">
        <f t="array" aca="1" ref="Q181" ca="1">INDEX('Isaac 401k'!L:L,MATCH('Retirement Calculator'!A181,'Isaac 401k'!N:N,0),0)</f>
        <v>2334760.9149058512</v>
      </c>
      <c r="R181" s="25">
        <f t="array" aca="1" ref="R181" ca="1">INDEX('Lorri 401b'!L:L,MATCH('Retirement Calculator'!A181,'Lorri 401b'!N:N,0),0)</f>
        <v>4425457.8476700289</v>
      </c>
      <c r="S181" s="25">
        <f t="shared" ca="1" si="7"/>
        <v>6760218.7625758797</v>
      </c>
    </row>
    <row r="182" spans="1:19" ht="15.75" customHeight="1" x14ac:dyDescent="0.3">
      <c r="A182" s="37">
        <v>56493</v>
      </c>
      <c r="B182" s="409">
        <f t="shared" ref="B182:C182" si="178">($A182-B$9)/365.25</f>
        <v>72.791238877481177</v>
      </c>
      <c r="C182" s="409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3525.4531757812501</v>
      </c>
      <c r="H182" s="25">
        <f>IF(B182&lt;62,0,'Combined Retirement'!$I$14)</f>
        <v>2192</v>
      </c>
      <c r="I182" s="25">
        <f>IF(C182&lt;62,0,'Combined Retirement'!$I$13)</f>
        <v>2420</v>
      </c>
      <c r="J182" s="25">
        <f t="shared" si="3"/>
        <v>6404.7404596389215</v>
      </c>
      <c r="K182" s="25">
        <f t="shared" si="4"/>
        <v>16520.094745597391</v>
      </c>
      <c r="L182" s="25"/>
      <c r="N182" s="25">
        <f>'Combined Retirement'!$C$18/12</f>
        <v>33932.660666666663</v>
      </c>
      <c r="O182" s="25">
        <f t="shared" si="5"/>
        <v>11007.82546143035</v>
      </c>
      <c r="P182" s="25">
        <f t="shared" si="6"/>
        <v>22924.835205236312</v>
      </c>
      <c r="Q182" s="25">
        <f t="array" aca="1" ref="Q182" ca="1">INDEX('Isaac 401k'!L:L,MATCH('Retirement Calculator'!A182,'Isaac 401k'!N:N,0),0)</f>
        <v>2338057.6585064046</v>
      </c>
      <c r="R182" s="25">
        <f t="array" aca="1" ref="R182" ca="1">INDEX('Lorri 401b'!L:L,MATCH('Retirement Calculator'!A182,'Lorri 401b'!N:N,0),0)</f>
        <v>4427308.3268949492</v>
      </c>
      <c r="S182" s="25">
        <f t="shared" ca="1" si="7"/>
        <v>6765365.9854013538</v>
      </c>
    </row>
    <row r="183" spans="1:19" ht="15.75" customHeight="1" x14ac:dyDescent="0.3">
      <c r="A183" s="37">
        <v>56523</v>
      </c>
      <c r="B183" s="409">
        <f t="shared" ref="B183:C183" si="179">($A183-B$9)/365.25</f>
        <v>72.873374401095134</v>
      </c>
      <c r="C183" s="409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3525.4531757812501</v>
      </c>
      <c r="H183" s="25">
        <f>IF(B183&lt;62,0,'Combined Retirement'!$I$14)</f>
        <v>2192</v>
      </c>
      <c r="I183" s="25">
        <f>IF(C183&lt;62,0,'Combined Retirement'!$I$13)</f>
        <v>2420</v>
      </c>
      <c r="J183" s="25">
        <f t="shared" si="3"/>
        <v>6404.7404596389215</v>
      </c>
      <c r="K183" s="25">
        <f t="shared" si="4"/>
        <v>16520.094745597391</v>
      </c>
      <c r="L183" s="25"/>
      <c r="N183" s="25">
        <f>'Combined Retirement'!$C$18/12</f>
        <v>33932.660666666663</v>
      </c>
      <c r="O183" s="25">
        <f t="shared" si="5"/>
        <v>11007.82546143035</v>
      </c>
      <c r="P183" s="25">
        <f t="shared" si="6"/>
        <v>22924.835205236312</v>
      </c>
      <c r="Q183" s="25">
        <f t="array" aca="1" ref="Q183" ca="1">INDEX('Isaac 401k'!L:L,MATCH('Retirement Calculator'!A183,'Isaac 401k'!N:N,0),0)</f>
        <v>2341368.138538627</v>
      </c>
      <c r="R183" s="25">
        <f t="array" aca="1" ref="R183" ca="1">INDEX('Lorri 401b'!L:L,MATCH('Retirement Calculator'!A183,'Lorri 401b'!N:N,0),0)</f>
        <v>4429166.5164499739</v>
      </c>
      <c r="S183" s="25">
        <f t="shared" ca="1" si="7"/>
        <v>6770534.6549886009</v>
      </c>
    </row>
    <row r="184" spans="1:19" ht="15.75" customHeight="1" x14ac:dyDescent="0.3">
      <c r="A184" s="37">
        <v>56554</v>
      </c>
      <c r="B184" s="409">
        <f t="shared" ref="B184:C184" si="180">($A184-B$9)/365.25</f>
        <v>72.958247775496233</v>
      </c>
      <c r="C184" s="409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3525.4531757812501</v>
      </c>
      <c r="H184" s="25">
        <f>IF(B184&lt;62,0,'Combined Retirement'!$I$14)</f>
        <v>2192</v>
      </c>
      <c r="I184" s="25">
        <f>IF(C184&lt;62,0,'Combined Retirement'!$I$13)</f>
        <v>2420</v>
      </c>
      <c r="J184" s="25">
        <f t="shared" si="3"/>
        <v>6404.7404596389215</v>
      </c>
      <c r="K184" s="25">
        <f t="shared" si="4"/>
        <v>16520.094745597391</v>
      </c>
      <c r="L184" s="25"/>
      <c r="N184" s="25">
        <f>'Combined Retirement'!$C$18/12</f>
        <v>33932.660666666663</v>
      </c>
      <c r="O184" s="25">
        <f t="shared" si="5"/>
        <v>11007.82546143035</v>
      </c>
      <c r="P184" s="25">
        <f t="shared" si="6"/>
        <v>22924.835205236312</v>
      </c>
      <c r="Q184" s="25">
        <f t="array" aca="1" ref="Q184" ca="1">INDEX('Isaac 401k'!L:L,MATCH('Retirement Calculator'!A184,'Isaac 401k'!N:N,0),0)</f>
        <v>2344692.4122376502</v>
      </c>
      <c r="R184" s="25">
        <f t="array" aca="1" ref="R184" ca="1">INDEX('Lorri 401b'!L:L,MATCH('Retirement Calculator'!A184,'Lorri 401b'!N:N,0),0)</f>
        <v>4431032.4484614776</v>
      </c>
      <c r="S184" s="25">
        <f t="shared" ca="1" si="7"/>
        <v>6775724.8606991284</v>
      </c>
    </row>
    <row r="185" spans="1:19" ht="15.75" customHeight="1" x14ac:dyDescent="0.3">
      <c r="A185" s="37">
        <v>56584</v>
      </c>
      <c r="B185" s="409">
        <f t="shared" ref="B185:C185" si="181">($A185-B$9)/365.25</f>
        <v>73.040383299110204</v>
      </c>
      <c r="C185" s="409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3525.4531757812501</v>
      </c>
      <c r="H185" s="25">
        <f>IF(B185&lt;62,0,'Combined Retirement'!$I$14)</f>
        <v>2192</v>
      </c>
      <c r="I185" s="25">
        <f>IF(C185&lt;62,0,'Combined Retirement'!$I$13)</f>
        <v>2420</v>
      </c>
      <c r="J185" s="25">
        <f t="shared" si="3"/>
        <v>6404.7404596389215</v>
      </c>
      <c r="K185" s="25">
        <f t="shared" si="4"/>
        <v>16520.094745597391</v>
      </c>
      <c r="L185" s="25"/>
      <c r="N185" s="25">
        <f>'Combined Retirement'!$C$18/12</f>
        <v>33932.660666666663</v>
      </c>
      <c r="O185" s="25">
        <f t="shared" si="5"/>
        <v>11007.82546143035</v>
      </c>
      <c r="P185" s="25">
        <f t="shared" si="6"/>
        <v>22924.835205236312</v>
      </c>
      <c r="Q185" s="25">
        <f t="array" aca="1" ref="Q185" ca="1">INDEX('Isaac 401k'!L:L,MATCH('Retirement Calculator'!A185,'Isaac 401k'!N:N,0),0)</f>
        <v>2348030.537077086</v>
      </c>
      <c r="R185" s="25">
        <f t="array" aca="1" ref="R185" ca="1">INDEX('Lorri 401b'!L:L,MATCH('Retirement Calculator'!A185,'Lorri 401b'!N:N,0),0)</f>
        <v>4432906.1551896958</v>
      </c>
      <c r="S185" s="25">
        <f t="shared" ca="1" si="7"/>
        <v>6780936.6922667818</v>
      </c>
    </row>
    <row r="186" spans="1:19" ht="15.75" customHeight="1" x14ac:dyDescent="0.3">
      <c r="A186" s="37">
        <v>56615</v>
      </c>
      <c r="B186" s="409">
        <f t="shared" ref="B186:C186" si="182">($A186-B$9)/365.25</f>
        <v>73.125256673511288</v>
      </c>
      <c r="C186" s="409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3525.4531757812501</v>
      </c>
      <c r="H186" s="25">
        <f>IF(B186&lt;62,0,'Combined Retirement'!$I$14)</f>
        <v>2192</v>
      </c>
      <c r="I186" s="25">
        <f>IF(C186&lt;62,0,'Combined Retirement'!$I$13)</f>
        <v>2420</v>
      </c>
      <c r="J186" s="25">
        <f t="shared" si="3"/>
        <v>6404.7404596389215</v>
      </c>
      <c r="K186" s="25">
        <f t="shared" si="4"/>
        <v>16520.094745597391</v>
      </c>
      <c r="L186" s="25"/>
      <c r="N186" s="25">
        <f>'Combined Retirement'!$C$18/12</f>
        <v>33932.660666666663</v>
      </c>
      <c r="O186" s="25">
        <f t="shared" si="5"/>
        <v>11007.82546143035</v>
      </c>
      <c r="P186" s="25">
        <f t="shared" si="6"/>
        <v>22924.835205236312</v>
      </c>
      <c r="Q186" s="25">
        <f t="array" aca="1" ref="Q186" ca="1">INDEX('Isaac 401k'!L:L,MATCH('Retirement Calculator'!A186,'Isaac 401k'!N:N,0),0)</f>
        <v>2351382.5707700197</v>
      </c>
      <c r="R186" s="25">
        <f t="array" aca="1" ref="R186" ca="1">INDEX('Lorri 401b'!L:L,MATCH('Retirement Calculator'!A186,'Lorri 401b'!N:N,0),0)</f>
        <v>4434787.6690292815</v>
      </c>
      <c r="S186" s="25">
        <f t="shared" ca="1" si="7"/>
        <v>6786170.2397993011</v>
      </c>
    </row>
    <row r="187" spans="1:19" ht="15.75" customHeight="1" x14ac:dyDescent="0.3">
      <c r="A187" s="37">
        <v>56646</v>
      </c>
      <c r="B187" s="409">
        <f t="shared" ref="B187:C187" si="183">($A187-B$9)/365.25</f>
        <v>73.210130047912386</v>
      </c>
      <c r="C187" s="409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3525.4531757812501</v>
      </c>
      <c r="H187" s="25">
        <f>IF(B187&lt;62,0,'Combined Retirement'!$I$14)</f>
        <v>2192</v>
      </c>
      <c r="I187" s="25">
        <f>IF(C187&lt;62,0,'Combined Retirement'!$I$13)</f>
        <v>2420</v>
      </c>
      <c r="J187" s="25">
        <f t="shared" si="3"/>
        <v>6404.7404596389215</v>
      </c>
      <c r="K187" s="25">
        <f t="shared" si="4"/>
        <v>16520.094745597391</v>
      </c>
      <c r="L187" s="25"/>
      <c r="N187" s="25">
        <f>'Combined Retirement'!$C$18/12</f>
        <v>33932.660666666663</v>
      </c>
      <c r="O187" s="25">
        <f t="shared" si="5"/>
        <v>11007.82546143035</v>
      </c>
      <c r="P187" s="25">
        <f t="shared" si="6"/>
        <v>22924.835205236312</v>
      </c>
      <c r="Q187" s="25">
        <f t="array" aca="1" ref="Q187" ca="1">INDEX('Isaac 401k'!L:L,MATCH('Retirement Calculator'!A187,'Isaac 401k'!N:N,0),0)</f>
        <v>2354748.5712700072</v>
      </c>
      <c r="R187" s="25">
        <f t="array" aca="1" ref="R187" ca="1">INDEX('Lorri 401b'!L:L,MATCH('Retirement Calculator'!A187,'Lorri 401b'!N:N,0),0)</f>
        <v>4436677.0225098655</v>
      </c>
      <c r="S187" s="25">
        <f t="shared" ca="1" si="7"/>
        <v>6791425.5937798731</v>
      </c>
    </row>
    <row r="188" spans="1:19" ht="15.75" customHeight="1" x14ac:dyDescent="0.3">
      <c r="A188" s="37">
        <v>56674</v>
      </c>
      <c r="B188" s="409">
        <f t="shared" ref="B188:C188" si="184">($A188-B$9)/365.25</f>
        <v>73.286789869952088</v>
      </c>
      <c r="C188" s="409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3525.4531757812501</v>
      </c>
      <c r="H188" s="25">
        <f>IF(B188&lt;62,0,'Combined Retirement'!$I$14)</f>
        <v>2192</v>
      </c>
      <c r="I188" s="25">
        <f>IF(C188&lt;62,0,'Combined Retirement'!$I$13)</f>
        <v>2420</v>
      </c>
      <c r="J188" s="25">
        <f t="shared" si="3"/>
        <v>6404.7404596389215</v>
      </c>
      <c r="K188" s="25">
        <f t="shared" si="4"/>
        <v>16520.094745597391</v>
      </c>
      <c r="L188" s="25"/>
      <c r="N188" s="25">
        <f>'Combined Retirement'!$C$18/12</f>
        <v>33932.660666666663</v>
      </c>
      <c r="O188" s="25">
        <f t="shared" si="5"/>
        <v>11007.82546143035</v>
      </c>
      <c r="P188" s="25">
        <f t="shared" si="6"/>
        <v>22924.835205236312</v>
      </c>
      <c r="Q188" s="25">
        <f t="array" aca="1" ref="Q188" ca="1">INDEX('Isaac 401k'!L:L,MATCH('Retirement Calculator'!A188,'Isaac 401k'!N:N,0),0)</f>
        <v>2358128.596772078</v>
      </c>
      <c r="R188" s="25">
        <f t="array" aca="1" ref="R188" ca="1">INDEX('Lorri 401b'!L:L,MATCH('Retirement Calculator'!A188,'Lorri 401b'!N:N,0),0)</f>
        <v>4438574.2482966185</v>
      </c>
      <c r="S188" s="25">
        <f t="shared" ca="1" si="7"/>
        <v>6796702.8450686969</v>
      </c>
    </row>
    <row r="189" spans="1:19" ht="15.75" customHeight="1" x14ac:dyDescent="0.3">
      <c r="A189" s="37">
        <v>56705</v>
      </c>
      <c r="B189" s="409">
        <f t="shared" ref="B189:C189" si="185">($A189-B$9)/365.25</f>
        <v>73.371663244353186</v>
      </c>
      <c r="C189" s="409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3525.4531757812501</v>
      </c>
      <c r="H189" s="25">
        <f>IF(B189&lt;62,0,'Combined Retirement'!$I$14)</f>
        <v>2192</v>
      </c>
      <c r="I189" s="25">
        <f>IF(C189&lt;62,0,'Combined Retirement'!$I$13)</f>
        <v>2420</v>
      </c>
      <c r="J189" s="25">
        <f t="shared" si="3"/>
        <v>6404.7404596389215</v>
      </c>
      <c r="K189" s="25">
        <f t="shared" si="4"/>
        <v>16520.094745597391</v>
      </c>
      <c r="L189" s="25"/>
      <c r="N189" s="25">
        <f>'Combined Retirement'!$C$18/12</f>
        <v>33932.660666666663</v>
      </c>
      <c r="O189" s="25">
        <f t="shared" si="5"/>
        <v>11007.82546143035</v>
      </c>
      <c r="P189" s="25">
        <f t="shared" si="6"/>
        <v>22924.835205236312</v>
      </c>
      <c r="Q189" s="25">
        <f t="array" aca="1" ref="Q189" ca="1">INDEX('Isaac 401k'!L:L,MATCH('Retirement Calculator'!A189,'Isaac 401k'!N:N,0),0)</f>
        <v>2361522.7057137405</v>
      </c>
      <c r="R189" s="25">
        <f t="array" aca="1" ref="R189" ca="1">INDEX('Lorri 401b'!L:L,MATCH('Retirement Calculator'!A189,'Lorri 401b'!N:N,0),0)</f>
        <v>4440479.3791908165</v>
      </c>
      <c r="S189" s="25">
        <f t="shared" ca="1" si="7"/>
        <v>6802002.0849045571</v>
      </c>
    </row>
    <row r="190" spans="1:19" ht="15.75" customHeight="1" x14ac:dyDescent="0.3">
      <c r="A190" s="37">
        <v>56735</v>
      </c>
      <c r="B190" s="409">
        <f t="shared" ref="B190:C190" si="186">($A190-B$9)/365.25</f>
        <v>73.453798767967143</v>
      </c>
      <c r="C190" s="409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3525.4531757812501</v>
      </c>
      <c r="H190" s="25">
        <f>IF(B190&lt;62,0,'Combined Retirement'!$I$14)</f>
        <v>2192</v>
      </c>
      <c r="I190" s="25">
        <f>IF(C190&lt;62,0,'Combined Retirement'!$I$13)</f>
        <v>2420</v>
      </c>
      <c r="J190" s="25">
        <f t="shared" si="3"/>
        <v>6404.7404596389215</v>
      </c>
      <c r="K190" s="25">
        <f t="shared" si="4"/>
        <v>16520.094745597391</v>
      </c>
      <c r="L190" s="25"/>
      <c r="N190" s="25">
        <f>'Combined Retirement'!$C$18/12</f>
        <v>33932.660666666663</v>
      </c>
      <c r="O190" s="25">
        <f t="shared" si="5"/>
        <v>11007.82546143035</v>
      </c>
      <c r="P190" s="25">
        <f t="shared" si="6"/>
        <v>22924.835205236312</v>
      </c>
      <c r="Q190" s="25">
        <f t="array" aca="1" ref="Q190" ca="1">INDEX('Isaac 401k'!L:L,MATCH('Retirement Calculator'!A190,'Isaac 401k'!N:N,0),0)</f>
        <v>2364930.9567759936</v>
      </c>
      <c r="R190" s="25">
        <f t="array" aca="1" ref="R190" ca="1">INDEX('Lorri 401b'!L:L,MATCH('Retirement Calculator'!A190,'Lorri 401b'!N:N,0),0)</f>
        <v>4442392.4481304074</v>
      </c>
      <c r="S190" s="25">
        <f t="shared" ca="1" si="7"/>
        <v>6807323.4049064014</v>
      </c>
    </row>
    <row r="191" spans="1:19" ht="15.75" customHeight="1" x14ac:dyDescent="0.3">
      <c r="A191" s="37">
        <v>56766</v>
      </c>
      <c r="B191" s="409">
        <f t="shared" ref="B191:C191" si="187">($A191-B$9)/365.25</f>
        <v>73.538672142368242</v>
      </c>
      <c r="C191" s="409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3525.4531757812501</v>
      </c>
      <c r="H191" s="25">
        <f>IF(B191&lt;62,0,'Combined Retirement'!$I$14)</f>
        <v>2192</v>
      </c>
      <c r="I191" s="25">
        <f>IF(C191&lt;62,0,'Combined Retirement'!$I$13)</f>
        <v>2420</v>
      </c>
      <c r="J191" s="25">
        <f t="shared" si="3"/>
        <v>6404.7404596389215</v>
      </c>
      <c r="K191" s="25">
        <f t="shared" si="4"/>
        <v>16520.094745597391</v>
      </c>
      <c r="L191" s="25"/>
      <c r="N191" s="25">
        <f>'Combined Retirement'!$C$18/12</f>
        <v>33932.660666666663</v>
      </c>
      <c r="O191" s="25">
        <f t="shared" si="5"/>
        <v>11007.82546143035</v>
      </c>
      <c r="P191" s="25">
        <f t="shared" si="6"/>
        <v>22924.835205236312</v>
      </c>
      <c r="Q191" s="25">
        <f t="array" aca="1" ref="Q191" ca="1">INDEX('Isaac 401k'!L:L,MATCH('Retirement Calculator'!A191,'Isaac 401k'!N:N,0),0)</f>
        <v>2368353.4088843395</v>
      </c>
      <c r="R191" s="25">
        <f t="array" aca="1" ref="R191" ca="1">INDEX('Lorri 401b'!L:L,MATCH('Retirement Calculator'!A191,'Lorri 401b'!N:N,0),0)</f>
        <v>4444313.4881905792</v>
      </c>
      <c r="S191" s="25">
        <f t="shared" ca="1" si="7"/>
        <v>6812666.8970749192</v>
      </c>
    </row>
    <row r="192" spans="1:19" ht="15.75" customHeight="1" x14ac:dyDescent="0.3">
      <c r="A192" s="37">
        <v>56796</v>
      </c>
      <c r="B192" s="409">
        <f t="shared" ref="B192:C192" si="188">($A192-B$9)/365.25</f>
        <v>73.620807665982198</v>
      </c>
      <c r="C192" s="409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3525.4531757812501</v>
      </c>
      <c r="H192" s="25">
        <f>IF(B192&lt;62,0,'Combined Retirement'!$I$14)</f>
        <v>2192</v>
      </c>
      <c r="I192" s="25">
        <f>IF(C192&lt;62,0,'Combined Retirement'!$I$13)</f>
        <v>2420</v>
      </c>
      <c r="J192" s="25">
        <f t="shared" si="3"/>
        <v>6404.7404596389215</v>
      </c>
      <c r="K192" s="25">
        <f t="shared" si="4"/>
        <v>16520.094745597391</v>
      </c>
      <c r="L192" s="25"/>
      <c r="N192" s="25">
        <f>'Combined Retirement'!$C$18/12</f>
        <v>33932.660666666663</v>
      </c>
      <c r="O192" s="25">
        <f t="shared" si="5"/>
        <v>11007.82546143035</v>
      </c>
      <c r="P192" s="25">
        <f t="shared" si="6"/>
        <v>22924.835205236312</v>
      </c>
      <c r="Q192" s="25">
        <f t="array" aca="1" ref="Q192" ca="1">INDEX('Isaac 401k'!L:L,MATCH('Retirement Calculator'!A192,'Isaac 401k'!N:N,0),0)</f>
        <v>2371790.1212098035</v>
      </c>
      <c r="R192" s="25">
        <f t="array" aca="1" ref="R192" ca="1">INDEX('Lorri 401b'!L:L,MATCH('Retirement Calculator'!A192,'Lorri 401b'!N:N,0),0)</f>
        <v>4446242.5325843357</v>
      </c>
      <c r="S192" s="25">
        <f t="shared" ca="1" si="7"/>
        <v>6818032.6537941396</v>
      </c>
    </row>
    <row r="193" spans="1:19" ht="15.75" customHeight="1" x14ac:dyDescent="0.3">
      <c r="A193" s="37">
        <v>56827</v>
      </c>
      <c r="B193" s="409">
        <f t="shared" ref="B193:C193" si="189">($A193-B$9)/365.25</f>
        <v>73.705681040383297</v>
      </c>
      <c r="C193" s="409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3525.4531757812501</v>
      </c>
      <c r="H193" s="25">
        <f>IF(B193&lt;62,0,'Combined Retirement'!$I$14)</f>
        <v>2192</v>
      </c>
      <c r="I193" s="25">
        <f>IF(C193&lt;62,0,'Combined Retirement'!$I$13)</f>
        <v>2420</v>
      </c>
      <c r="J193" s="25">
        <f t="shared" si="3"/>
        <v>6404.7404596389215</v>
      </c>
      <c r="K193" s="25">
        <f t="shared" si="4"/>
        <v>16520.094745597391</v>
      </c>
      <c r="L193" s="25"/>
      <c r="N193" s="25">
        <f>'Combined Retirement'!$C$18/12</f>
        <v>33932.660666666663</v>
      </c>
      <c r="O193" s="25">
        <f t="shared" si="5"/>
        <v>11007.82546143035</v>
      </c>
      <c r="P193" s="25">
        <f t="shared" si="6"/>
        <v>22924.835205236312</v>
      </c>
      <c r="Q193" s="25">
        <f t="array" aca="1" ref="Q193" ca="1">INDEX('Isaac 401k'!L:L,MATCH('Retirement Calculator'!A193,'Isaac 401k'!N:N,0),0)</f>
        <v>2375241.1531699565</v>
      </c>
      <c r="R193" s="25">
        <f t="array" aca="1" ref="R193" ca="1">INDEX('Lorri 401b'!L:L,MATCH('Retirement Calculator'!A193,'Lorri 401b'!N:N,0),0)</f>
        <v>4448179.6146630663</v>
      </c>
      <c r="S193" s="25">
        <f t="shared" ca="1" si="7"/>
        <v>6823420.7678330224</v>
      </c>
    </row>
    <row r="194" spans="1:19" ht="15.75" customHeight="1" x14ac:dyDescent="0.3">
      <c r="A194" s="37">
        <v>56858</v>
      </c>
      <c r="B194" s="409">
        <f t="shared" ref="B194:C194" si="190">($A194-B$9)/365.25</f>
        <v>73.790554414784395</v>
      </c>
      <c r="C194" s="409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3525.4531757812501</v>
      </c>
      <c r="H194" s="25">
        <f>IF(B194&lt;62,0,'Combined Retirement'!$I$14)</f>
        <v>2192</v>
      </c>
      <c r="I194" s="25">
        <f>IF(C194&lt;62,0,'Combined Retirement'!$I$13)</f>
        <v>2420</v>
      </c>
      <c r="J194" s="25">
        <f t="shared" si="3"/>
        <v>6404.7404596389215</v>
      </c>
      <c r="K194" s="25">
        <f t="shared" si="4"/>
        <v>16520.094745597391</v>
      </c>
      <c r="L194" s="25"/>
      <c r="N194" s="25">
        <f>'Combined Retirement'!$C$18/12</f>
        <v>33932.660666666663</v>
      </c>
      <c r="O194" s="25">
        <f t="shared" si="5"/>
        <v>11007.82546143035</v>
      </c>
      <c r="P194" s="25">
        <f t="shared" si="6"/>
        <v>22924.835205236312</v>
      </c>
      <c r="Q194" s="25">
        <f t="array" aca="1" ref="Q194" ca="1">INDEX('Isaac 401k'!L:L,MATCH('Retirement Calculator'!A194,'Isaac 401k'!N:N,0),0)</f>
        <v>2378706.5644299439</v>
      </c>
      <c r="R194" s="25">
        <f t="array" aca="1" ref="R194" ca="1">INDEX('Lorri 401b'!L:L,MATCH('Retirement Calculator'!A194,'Lorri 401b'!N:N,0),0)</f>
        <v>4450124.7679171246</v>
      </c>
      <c r="S194" s="25">
        <f t="shared" ca="1" si="7"/>
        <v>6828831.3323470689</v>
      </c>
    </row>
    <row r="195" spans="1:19" ht="15.75" customHeight="1" x14ac:dyDescent="0.3">
      <c r="A195" s="37">
        <v>56888</v>
      </c>
      <c r="B195" s="409">
        <f t="shared" ref="B195:C195" si="191">($A195-B$9)/365.25</f>
        <v>73.872689938398352</v>
      </c>
      <c r="C195" s="409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3525.4531757812501</v>
      </c>
      <c r="H195" s="25">
        <f>IF(B195&lt;62,0,'Combined Retirement'!$I$14)</f>
        <v>2192</v>
      </c>
      <c r="I195" s="25">
        <f>IF(C195&lt;62,0,'Combined Retirement'!$I$13)</f>
        <v>2420</v>
      </c>
      <c r="J195" s="25">
        <f t="shared" si="3"/>
        <v>6404.7404596389215</v>
      </c>
      <c r="K195" s="25">
        <f t="shared" si="4"/>
        <v>16520.094745597391</v>
      </c>
      <c r="L195" s="25"/>
      <c r="N195" s="25">
        <f>'Combined Retirement'!$C$18/12</f>
        <v>33932.660666666663</v>
      </c>
      <c r="O195" s="25">
        <f t="shared" si="5"/>
        <v>11007.82546143035</v>
      </c>
      <c r="P195" s="25">
        <f t="shared" si="6"/>
        <v>22924.835205236312</v>
      </c>
      <c r="Q195" s="25">
        <f t="array" aca="1" ref="Q195" ca="1">INDEX('Isaac 401k'!L:L,MATCH('Retirement Calculator'!A195,'Isaac 401k'!N:N,0),0)</f>
        <v>2382186.4149035146</v>
      </c>
      <c r="R195" s="25">
        <f t="array" aca="1" ref="R195" ca="1">INDEX('Lorri 401b'!L:L,MATCH('Retirement Calculator'!A195,'Lorri 401b'!N:N,0),0)</f>
        <v>4452078.0259764083</v>
      </c>
      <c r="S195" s="25">
        <f t="shared" ca="1" si="7"/>
        <v>6834264.4408799224</v>
      </c>
    </row>
    <row r="196" spans="1:19" ht="15.75" customHeight="1" x14ac:dyDescent="0.3">
      <c r="A196" s="37">
        <v>56919</v>
      </c>
      <c r="B196" s="409">
        <f t="shared" ref="B196:C196" si="192">($A196-B$9)/365.25</f>
        <v>73.957563312799451</v>
      </c>
      <c r="C196" s="409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3525.4531757812501</v>
      </c>
      <c r="H196" s="25">
        <f>IF(B196&lt;62,0,'Combined Retirement'!$I$14)</f>
        <v>2192</v>
      </c>
      <c r="I196" s="25">
        <f>IF(C196&lt;62,0,'Combined Retirement'!$I$13)</f>
        <v>2420</v>
      </c>
      <c r="J196" s="25">
        <f t="shared" si="3"/>
        <v>6404.7404596389215</v>
      </c>
      <c r="K196" s="25">
        <f t="shared" si="4"/>
        <v>16520.094745597391</v>
      </c>
      <c r="L196" s="25"/>
      <c r="N196" s="25">
        <f>'Combined Retirement'!$C$18/12</f>
        <v>33932.660666666663</v>
      </c>
      <c r="O196" s="25">
        <f t="shared" si="5"/>
        <v>11007.82546143035</v>
      </c>
      <c r="P196" s="25">
        <f t="shared" si="6"/>
        <v>22924.835205236312</v>
      </c>
      <c r="Q196" s="25">
        <f t="array" aca="1" ref="Q196" ca="1">INDEX('Isaac 401k'!L:L,MATCH('Retirement Calculator'!A196,'Isaac 401k'!N:N,0),0)</f>
        <v>2385680.7647540583</v>
      </c>
      <c r="R196" s="25">
        <f t="array" aca="1" ref="R196" ca="1">INDEX('Lorri 401b'!L:L,MATCH('Retirement Calculator'!A196,'Lorri 401b'!N:N,0),0)</f>
        <v>4454039.4226109385</v>
      </c>
      <c r="S196" s="25">
        <f t="shared" ca="1" si="7"/>
        <v>6839720.1873649973</v>
      </c>
    </row>
    <row r="197" spans="1:19" ht="15.75" customHeight="1" x14ac:dyDescent="0.3">
      <c r="A197" s="37">
        <v>56949</v>
      </c>
      <c r="B197" s="409">
        <f t="shared" ref="B197:C197" si="193">($A197-B$9)/365.25</f>
        <v>74.039698836413422</v>
      </c>
      <c r="C197" s="409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3525.4531757812501</v>
      </c>
      <c r="H197" s="25">
        <f>IF(B197&lt;62,0,'Combined Retirement'!$I$14)</f>
        <v>2192</v>
      </c>
      <c r="I197" s="25">
        <f>IF(C197&lt;62,0,'Combined Retirement'!$I$13)</f>
        <v>2420</v>
      </c>
      <c r="J197" s="25">
        <f t="shared" si="3"/>
        <v>6404.7404596389215</v>
      </c>
      <c r="K197" s="25">
        <f t="shared" si="4"/>
        <v>16520.094745597391</v>
      </c>
      <c r="L197" s="25"/>
      <c r="N197" s="25">
        <f>'Combined Retirement'!$C$18/12</f>
        <v>33932.660666666663</v>
      </c>
      <c r="O197" s="25">
        <f t="shared" si="5"/>
        <v>11007.82546143035</v>
      </c>
      <c r="P197" s="25">
        <f t="shared" si="6"/>
        <v>22924.835205236312</v>
      </c>
      <c r="Q197" s="25">
        <f t="array" aca="1" ref="Q197" ca="1">INDEX('Isaac 401k'!L:L,MATCH('Retirement Calculator'!A197,'Isaac 401k'!N:N,0),0)</f>
        <v>2389189.674395646</v>
      </c>
      <c r="R197" s="25">
        <f t="array" aca="1" ref="R197" ca="1">INDEX('Lorri 401b'!L:L,MATCH('Retirement Calculator'!A197,'Lorri 401b'!N:N,0),0)</f>
        <v>4456008.9917314462</v>
      </c>
      <c r="S197" s="25">
        <f t="shared" ca="1" si="7"/>
        <v>6845198.6661270922</v>
      </c>
    </row>
    <row r="198" spans="1:19" ht="15.75" customHeight="1" x14ac:dyDescent="0.3">
      <c r="A198" s="37">
        <v>56980</v>
      </c>
      <c r="B198" s="409">
        <f t="shared" ref="B198:C198" si="194">($A198-B$9)/365.25</f>
        <v>74.124572210814506</v>
      </c>
      <c r="C198" s="409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3525.4531757812501</v>
      </c>
      <c r="H198" s="25">
        <f>IF(B198&lt;62,0,'Combined Retirement'!$I$14)</f>
        <v>2192</v>
      </c>
      <c r="I198" s="25">
        <f>IF(C198&lt;62,0,'Combined Retirement'!$I$13)</f>
        <v>2420</v>
      </c>
      <c r="J198" s="25">
        <f t="shared" si="3"/>
        <v>6404.7404596389215</v>
      </c>
      <c r="K198" s="25">
        <f t="shared" si="4"/>
        <v>16520.094745597391</v>
      </c>
      <c r="L198" s="25"/>
      <c r="N198" s="25">
        <f>'Combined Retirement'!$C$18/12</f>
        <v>33932.660666666663</v>
      </c>
      <c r="O198" s="25">
        <f t="shared" si="5"/>
        <v>11007.82546143035</v>
      </c>
      <c r="P198" s="25">
        <f t="shared" si="6"/>
        <v>22924.835205236312</v>
      </c>
      <c r="Q198" s="25">
        <f t="array" aca="1" ref="Q198" ca="1">INDEX('Isaac 401k'!L:L,MATCH('Retirement Calculator'!A198,'Isaac 401k'!N:N,0),0)</f>
        <v>2392713.2044940735</v>
      </c>
      <c r="R198" s="25">
        <f t="array" aca="1" ref="R198" ca="1">INDEX('Lorri 401b'!L:L,MATCH('Retirement Calculator'!A198,'Lorri 401b'!N:N,0),0)</f>
        <v>4457986.7673899559</v>
      </c>
      <c r="S198" s="25">
        <f t="shared" ca="1" si="7"/>
        <v>6850699.971884029</v>
      </c>
    </row>
    <row r="199" spans="1:19" ht="15.75" customHeight="1" x14ac:dyDescent="0.3">
      <c r="A199" s="37">
        <v>57011</v>
      </c>
      <c r="B199" s="409">
        <f t="shared" ref="B199:C199" si="195">($A199-B$9)/365.25</f>
        <v>74.209445585215605</v>
      </c>
      <c r="C199" s="409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3525.4531757812501</v>
      </c>
      <c r="H199" s="25">
        <f>IF(B199&lt;62,0,'Combined Retirement'!$I$14)</f>
        <v>2192</v>
      </c>
      <c r="I199" s="25">
        <f>IF(C199&lt;62,0,'Combined Retirement'!$I$13)</f>
        <v>2420</v>
      </c>
      <c r="J199" s="25">
        <f t="shared" si="3"/>
        <v>6404.7404596389215</v>
      </c>
      <c r="K199" s="25">
        <f t="shared" si="4"/>
        <v>16520.094745597391</v>
      </c>
      <c r="L199" s="25"/>
      <c r="N199" s="25">
        <f>'Combined Retirement'!$C$18/12</f>
        <v>33932.660666666663</v>
      </c>
      <c r="O199" s="25">
        <f t="shared" si="5"/>
        <v>11007.82546143035</v>
      </c>
      <c r="P199" s="25">
        <f t="shared" si="6"/>
        <v>22924.835205236312</v>
      </c>
      <c r="Q199" s="25">
        <f t="array" aca="1" ref="Q199" ca="1">INDEX('Isaac 401k'!L:L,MATCH('Retirement Calculator'!A199,'Isaac 401k'!N:N,0),0)</f>
        <v>2396251.415967911</v>
      </c>
      <c r="R199" s="25">
        <f t="array" aca="1" ref="R199" ca="1">INDEX('Lorri 401b'!L:L,MATCH('Retirement Calculator'!A199,'Lorri 401b'!N:N,0),0)</f>
        <v>4459972.7837803764</v>
      </c>
      <c r="S199" s="25">
        <f t="shared" ca="1" si="7"/>
        <v>6856224.199748287</v>
      </c>
    </row>
    <row r="200" spans="1:19" ht="15.75" customHeight="1" x14ac:dyDescent="0.3">
      <c r="A200" s="37">
        <v>57040</v>
      </c>
      <c r="B200" s="409">
        <f t="shared" ref="B200:C200" si="196">($A200-B$9)/365.25</f>
        <v>74.288843258042434</v>
      </c>
      <c r="C200" s="409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3525.4531757812501</v>
      </c>
      <c r="H200" s="25">
        <f>IF(B200&lt;62,0,'Combined Retirement'!$I$14)</f>
        <v>2192</v>
      </c>
      <c r="I200" s="25">
        <f>IF(C200&lt;62,0,'Combined Retirement'!$I$13)</f>
        <v>2420</v>
      </c>
      <c r="J200" s="25">
        <f t="shared" si="3"/>
        <v>6404.7404596389215</v>
      </c>
      <c r="K200" s="25">
        <f t="shared" si="4"/>
        <v>16520.094745597391</v>
      </c>
      <c r="L200" s="25"/>
      <c r="N200" s="25">
        <f>'Combined Retirement'!$C$18/12</f>
        <v>33932.660666666663</v>
      </c>
      <c r="O200" s="25">
        <f t="shared" si="5"/>
        <v>11007.82546143035</v>
      </c>
      <c r="P200" s="25">
        <f t="shared" si="6"/>
        <v>22924.835205236312</v>
      </c>
      <c r="Q200" s="25">
        <f t="array" aca="1" ref="Q200" ca="1">INDEX('Isaac 401k'!L:L,MATCH('Retirement Calculator'!A200,'Isaac 401k'!N:N,0),0)</f>
        <v>2399804.3699895563</v>
      </c>
      <c r="R200" s="25">
        <f t="array" aca="1" ref="R200" ca="1">INDEX('Lorri 401b'!L:L,MATCH('Retirement Calculator'!A200,'Lorri 401b'!N:N,0),0)</f>
        <v>4461967.0752390902</v>
      </c>
      <c r="S200" s="25">
        <f t="shared" ca="1" si="7"/>
        <v>6861771.4452286465</v>
      </c>
    </row>
    <row r="201" spans="1:19" ht="15.75" customHeight="1" x14ac:dyDescent="0.3">
      <c r="A201" s="37">
        <v>57071</v>
      </c>
      <c r="B201" s="409">
        <f t="shared" ref="B201:C201" si="197">($A201-B$9)/365.25</f>
        <v>74.373716632443532</v>
      </c>
      <c r="C201" s="409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3525.4531757812501</v>
      </c>
      <c r="H201" s="25">
        <f>IF(B201&lt;62,0,'Combined Retirement'!$I$14)</f>
        <v>2192</v>
      </c>
      <c r="I201" s="25">
        <f>IF(C201&lt;62,0,'Combined Retirement'!$I$13)</f>
        <v>2420</v>
      </c>
      <c r="J201" s="25">
        <f t="shared" si="3"/>
        <v>6404.7404596389215</v>
      </c>
      <c r="K201" s="25">
        <f t="shared" si="4"/>
        <v>16520.094745597391</v>
      </c>
      <c r="L201" s="25"/>
      <c r="N201" s="25">
        <f>'Combined Retirement'!$C$18/12</f>
        <v>33932.660666666663</v>
      </c>
      <c r="O201" s="25">
        <f t="shared" si="5"/>
        <v>11007.82546143035</v>
      </c>
      <c r="P201" s="25">
        <f t="shared" si="6"/>
        <v>22924.835205236312</v>
      </c>
      <c r="Q201" s="25">
        <f t="array" aca="1" ref="Q201" ca="1">INDEX('Isaac 401k'!L:L,MATCH('Retirement Calculator'!A201,'Isaac 401k'!N:N,0),0)</f>
        <v>2403372.1279862919</v>
      </c>
      <c r="R201" s="25">
        <f t="array" aca="1" ref="R201" ca="1">INDEX('Lorri 401b'!L:L,MATCH('Retirement Calculator'!A201,'Lorri 401b'!N:N,0),0)</f>
        <v>4463969.6762455488</v>
      </c>
      <c r="S201" s="25">
        <f t="shared" ca="1" si="7"/>
        <v>6867341.8042318411</v>
      </c>
    </row>
    <row r="202" spans="1:19" ht="15.75" customHeight="1" x14ac:dyDescent="0.3">
      <c r="A202" s="37">
        <v>57101</v>
      </c>
      <c r="B202" s="409">
        <f t="shared" ref="B202:C202" si="198">($A202-B$9)/365.25</f>
        <v>74.455852156057489</v>
      </c>
      <c r="C202" s="409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3525.4531757812501</v>
      </c>
      <c r="H202" s="25">
        <f>IF(B202&lt;62,0,'Combined Retirement'!$I$14)</f>
        <v>2192</v>
      </c>
      <c r="I202" s="25">
        <f>IF(C202&lt;62,0,'Combined Retirement'!$I$13)</f>
        <v>2420</v>
      </c>
      <c r="J202" s="25">
        <f t="shared" si="3"/>
        <v>6404.7404596389215</v>
      </c>
      <c r="K202" s="25">
        <f t="shared" si="4"/>
        <v>16520.094745597391</v>
      </c>
      <c r="L202" s="25"/>
      <c r="N202" s="25">
        <f>'Combined Retirement'!$C$18/12</f>
        <v>33932.660666666663</v>
      </c>
      <c r="O202" s="25">
        <f t="shared" si="5"/>
        <v>11007.82546143035</v>
      </c>
      <c r="P202" s="25">
        <f t="shared" si="6"/>
        <v>22924.835205236312</v>
      </c>
      <c r="Q202" s="25">
        <f t="array" aca="1" ref="Q202" ca="1">INDEX('Isaac 401k'!L:L,MATCH('Retirement Calculator'!A202,'Isaac 401k'!N:N,0),0)</f>
        <v>2406954.7516413471</v>
      </c>
      <c r="R202" s="25">
        <f t="array" aca="1" ref="R202" ca="1">INDEX('Lorri 401b'!L:L,MATCH('Retirement Calculator'!A202,'Lorri 401b'!N:N,0),0)</f>
        <v>4465980.6214228673</v>
      </c>
      <c r="S202" s="25">
        <f t="shared" ca="1" si="7"/>
        <v>6872935.3730642144</v>
      </c>
    </row>
    <row r="203" spans="1:19" ht="15.75" customHeight="1" x14ac:dyDescent="0.3">
      <c r="A203" s="37">
        <v>57132</v>
      </c>
      <c r="B203" s="409">
        <f t="shared" ref="B203:C203" si="199">($A203-B$9)/365.25</f>
        <v>74.540725530458587</v>
      </c>
      <c r="C203" s="409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3525.4531757812501</v>
      </c>
      <c r="H203" s="25">
        <f>IF(B203&lt;62,0,'Combined Retirement'!$I$14)</f>
        <v>2192</v>
      </c>
      <c r="I203" s="25">
        <f>IF(C203&lt;62,0,'Combined Retirement'!$I$13)</f>
        <v>2420</v>
      </c>
      <c r="J203" s="25">
        <f t="shared" si="3"/>
        <v>6404.7404596389215</v>
      </c>
      <c r="K203" s="25">
        <f t="shared" si="4"/>
        <v>16520.094745597391</v>
      </c>
      <c r="L203" s="25"/>
      <c r="N203" s="25">
        <f>'Combined Retirement'!$C$18/12</f>
        <v>33932.660666666663</v>
      </c>
      <c r="O203" s="25">
        <f t="shared" si="5"/>
        <v>11007.82546143035</v>
      </c>
      <c r="P203" s="25">
        <f t="shared" si="6"/>
        <v>22924.835205236312</v>
      </c>
      <c r="Q203" s="25">
        <f t="array" aca="1" ref="Q203" ca="1">INDEX('Isaac 401k'!L:L,MATCH('Retirement Calculator'!A203,'Isaac 401k'!N:N,0),0)</f>
        <v>2410552.3028949653</v>
      </c>
      <c r="R203" s="25">
        <f t="array" aca="1" ref="R203" ca="1">INDEX('Lorri 401b'!L:L,MATCH('Retirement Calculator'!A203,'Lorri 401b'!N:N,0),0)</f>
        <v>4467999.9455384249</v>
      </c>
      <c r="S203" s="25">
        <f t="shared" ca="1" si="7"/>
        <v>6878552.2484333906</v>
      </c>
    </row>
    <row r="204" spans="1:19" ht="15.75" customHeight="1" x14ac:dyDescent="0.3">
      <c r="A204" s="37">
        <v>57162</v>
      </c>
      <c r="B204" s="409">
        <f t="shared" ref="B204:C204" si="200">($A204-B$9)/365.25</f>
        <v>74.622861054072558</v>
      </c>
      <c r="C204" s="409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3525.4531757812501</v>
      </c>
      <c r="H204" s="25">
        <f>IF(B204&lt;62,0,'Combined Retirement'!$I$14)</f>
        <v>2192</v>
      </c>
      <c r="I204" s="25">
        <f>IF(C204&lt;62,0,'Combined Retirement'!$I$13)</f>
        <v>2420</v>
      </c>
      <c r="J204" s="25">
        <f t="shared" si="3"/>
        <v>6404.7404596389215</v>
      </c>
      <c r="K204" s="25">
        <f t="shared" si="4"/>
        <v>16520.094745597391</v>
      </c>
      <c r="L204" s="25"/>
      <c r="N204" s="25">
        <f>'Combined Retirement'!$C$18/12</f>
        <v>33932.660666666663</v>
      </c>
      <c r="O204" s="25">
        <f t="shared" si="5"/>
        <v>11007.82546143035</v>
      </c>
      <c r="P204" s="25">
        <f t="shared" si="6"/>
        <v>22924.835205236312</v>
      </c>
      <c r="Q204" s="25">
        <f t="array" aca="1" ref="Q204" ca="1">INDEX('Isaac 401k'!L:L,MATCH('Retirement Calculator'!A204,'Isaac 401k'!N:N,0),0)</f>
        <v>2414164.8439454734</v>
      </c>
      <c r="R204" s="25">
        <f t="array" aca="1" ref="R204" ca="1">INDEX('Lorri 401b'!L:L,MATCH('Retirement Calculator'!A204,'Lorri 401b'!N:N,0),0)</f>
        <v>4470027.6835044641</v>
      </c>
      <c r="S204" s="25">
        <f t="shared" ca="1" si="7"/>
        <v>6884192.5274499375</v>
      </c>
    </row>
    <row r="205" spans="1:19" ht="15.75" customHeight="1" x14ac:dyDescent="0.3">
      <c r="A205" s="37">
        <v>57193</v>
      </c>
      <c r="B205" s="409">
        <f t="shared" ref="B205:C205" si="201">($A205-B$9)/365.25</f>
        <v>74.707734428473643</v>
      </c>
      <c r="C205" s="409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3525.4531757812501</v>
      </c>
      <c r="H205" s="25">
        <f>IF(B205&lt;62,0,'Combined Retirement'!$I$14)</f>
        <v>2192</v>
      </c>
      <c r="I205" s="25">
        <f>IF(C205&lt;62,0,'Combined Retirement'!$I$13)</f>
        <v>2420</v>
      </c>
      <c r="J205" s="25">
        <f t="shared" si="3"/>
        <v>6404.7404596389215</v>
      </c>
      <c r="K205" s="25">
        <f t="shared" si="4"/>
        <v>16520.094745597391</v>
      </c>
      <c r="L205" s="25"/>
      <c r="N205" s="25">
        <f>'Combined Retirement'!$C$18/12</f>
        <v>33932.660666666663</v>
      </c>
      <c r="O205" s="25">
        <f t="shared" si="5"/>
        <v>11007.82546143035</v>
      </c>
      <c r="P205" s="25">
        <f t="shared" si="6"/>
        <v>22924.835205236312</v>
      </c>
      <c r="Q205" s="25">
        <f t="array" aca="1" ref="Q205" ca="1">INDEX('Isaac 401k'!L:L,MATCH('Retirement Calculator'!A205,'Isaac 401k'!N:N,0),0)</f>
        <v>2417792.4372503585</v>
      </c>
      <c r="R205" s="25">
        <f t="array" aca="1" ref="R205" ca="1">INDEX('Lorri 401b'!L:L,MATCH('Retirement Calculator'!A205,'Lorri 401b'!N:N,0),0)</f>
        <v>4472063.8703786945</v>
      </c>
      <c r="S205" s="25">
        <f t="shared" ca="1" si="7"/>
        <v>6889856.3076290525</v>
      </c>
    </row>
    <row r="206" spans="1:19" ht="15.75" customHeight="1" x14ac:dyDescent="0.3">
      <c r="A206" s="37">
        <v>57224</v>
      </c>
      <c r="B206" s="409">
        <f t="shared" ref="B206:C206" si="202">($A206-B$9)/365.25</f>
        <v>74.792607802874741</v>
      </c>
      <c r="C206" s="409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3525.4531757812501</v>
      </c>
      <c r="H206" s="25">
        <f>IF(B206&lt;62,0,'Combined Retirement'!$I$14)</f>
        <v>2192</v>
      </c>
      <c r="I206" s="25">
        <f>IF(C206&lt;62,0,'Combined Retirement'!$I$13)</f>
        <v>2420</v>
      </c>
      <c r="J206" s="25">
        <f t="shared" si="3"/>
        <v>6404.7404596389215</v>
      </c>
      <c r="K206" s="25">
        <f t="shared" si="4"/>
        <v>16520.094745597391</v>
      </c>
      <c r="L206" s="25"/>
      <c r="N206" s="25">
        <f>'Combined Retirement'!$C$18/12</f>
        <v>33932.660666666663</v>
      </c>
      <c r="O206" s="25">
        <f t="shared" si="5"/>
        <v>11007.82546143035</v>
      </c>
      <c r="P206" s="25">
        <f t="shared" si="6"/>
        <v>22924.835205236312</v>
      </c>
      <c r="Q206" s="25">
        <f t="array" aca="1" ref="Q206" ca="1">INDEX('Isaac 401k'!L:L,MATCH('Retirement Calculator'!A206,'Isaac 401k'!N:N,0),0)</f>
        <v>2421435.1455273475</v>
      </c>
      <c r="R206" s="25">
        <f t="array" aca="1" ref="R206" ca="1">INDEX('Lorri 401b'!L:L,MATCH('Retirement Calculator'!A206,'Lorri 401b'!N:N,0),0)</f>
        <v>4474108.5413649017</v>
      </c>
      <c r="S206" s="25">
        <f t="shared" ca="1" si="7"/>
        <v>6895543.6868922487</v>
      </c>
    </row>
    <row r="207" spans="1:19" ht="15.75" customHeight="1" x14ac:dyDescent="0.3">
      <c r="A207" s="37">
        <v>57254</v>
      </c>
      <c r="B207" s="409">
        <f t="shared" ref="B207:C207" si="203">($A207-B$9)/365.25</f>
        <v>74.874743326488712</v>
      </c>
      <c r="C207" s="409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3525.4531757812501</v>
      </c>
      <c r="H207" s="25">
        <f>IF(B207&lt;62,0,'Combined Retirement'!$I$14)</f>
        <v>2192</v>
      </c>
      <c r="I207" s="25">
        <f>IF(C207&lt;62,0,'Combined Retirement'!$I$13)</f>
        <v>2420</v>
      </c>
      <c r="J207" s="25">
        <f t="shared" si="3"/>
        <v>6404.7404596389215</v>
      </c>
      <c r="K207" s="25">
        <f t="shared" si="4"/>
        <v>16520.094745597391</v>
      </c>
      <c r="L207" s="25"/>
      <c r="N207" s="25">
        <f>'Combined Retirement'!$C$18/12</f>
        <v>33932.660666666663</v>
      </c>
      <c r="O207" s="25">
        <f t="shared" si="5"/>
        <v>11007.82546143035</v>
      </c>
      <c r="P207" s="25">
        <f t="shared" si="6"/>
        <v>22924.835205236312</v>
      </c>
      <c r="Q207" s="25">
        <f t="array" aca="1" ref="Q207" ca="1">INDEX('Isaac 401k'!L:L,MATCH('Retirement Calculator'!A207,'Isaac 401k'!N:N,0),0)</f>
        <v>2425093.0317554902</v>
      </c>
      <c r="R207" s="25">
        <f t="array" aca="1" ref="R207" ca="1">INDEX('Lorri 401b'!L:L,MATCH('Retirement Calculator'!A207,'Lorri 401b'!N:N,0),0)</f>
        <v>4476161.7318135509</v>
      </c>
      <c r="S207" s="25">
        <f t="shared" ca="1" si="7"/>
        <v>6901254.7635690412</v>
      </c>
    </row>
    <row r="208" spans="1:19" ht="15.75" customHeight="1" x14ac:dyDescent="0.3">
      <c r="A208" s="37">
        <v>57285</v>
      </c>
      <c r="B208" s="409">
        <f t="shared" ref="B208:C208" si="204">($A208-B$9)/365.25</f>
        <v>74.959616700889796</v>
      </c>
      <c r="C208" s="409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3525.4531757812501</v>
      </c>
      <c r="H208" s="25">
        <f>IF(B208&lt;62,0,'Combined Retirement'!$I$14)</f>
        <v>2192</v>
      </c>
      <c r="I208" s="25">
        <f>IF(C208&lt;62,0,'Combined Retirement'!$I$13)</f>
        <v>2420</v>
      </c>
      <c r="J208" s="25">
        <f t="shared" si="3"/>
        <v>6404.7404596389215</v>
      </c>
      <c r="K208" s="25">
        <f t="shared" si="4"/>
        <v>16520.094745597391</v>
      </c>
      <c r="L208" s="25"/>
      <c r="N208" s="25">
        <f>'Combined Retirement'!$C$18/12</f>
        <v>33932.660666666663</v>
      </c>
      <c r="O208" s="25">
        <f t="shared" si="5"/>
        <v>11007.82546143035</v>
      </c>
      <c r="P208" s="25">
        <f t="shared" si="6"/>
        <v>22924.835205236312</v>
      </c>
      <c r="Q208" s="25">
        <f t="array" aca="1" ref="Q208" ca="1">INDEX('Isaac 401k'!L:L,MATCH('Retirement Calculator'!A208,'Isaac 401k'!N:N,0),0)</f>
        <v>2428766.1591762505</v>
      </c>
      <c r="R208" s="25">
        <f t="array" aca="1" ref="R208" ca="1">INDEX('Lorri 401b'!L:L,MATCH('Retirement Calculator'!A208,'Lorri 401b'!N:N,0),0)</f>
        <v>4478223.4772224026</v>
      </c>
      <c r="S208" s="25">
        <f t="shared" ca="1" si="7"/>
        <v>6906989.6363986526</v>
      </c>
    </row>
    <row r="209" spans="1:19" ht="15.75" customHeight="1" x14ac:dyDescent="0.3">
      <c r="A209" s="37">
        <v>57315</v>
      </c>
      <c r="B209" s="409">
        <f t="shared" ref="B209:C209" si="205">($A209-B$9)/365.25</f>
        <v>75.041752224503767</v>
      </c>
      <c r="C209" s="409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3525.4531757812501</v>
      </c>
      <c r="H209" s="25">
        <f>IF(B209&lt;62,0,'Combined Retirement'!$I$14)</f>
        <v>2192</v>
      </c>
      <c r="I209" s="25">
        <f>IF(C209&lt;62,0,'Combined Retirement'!$I$13)</f>
        <v>2420</v>
      </c>
      <c r="J209" s="25">
        <f t="shared" si="3"/>
        <v>6404.7404596389215</v>
      </c>
      <c r="K209" s="25">
        <f t="shared" si="4"/>
        <v>16520.094745597391</v>
      </c>
      <c r="L209" s="25"/>
      <c r="N209" s="25">
        <f>'Combined Retirement'!$C$18/12</f>
        <v>33932.660666666663</v>
      </c>
      <c r="O209" s="25">
        <f t="shared" si="5"/>
        <v>11007.82546143035</v>
      </c>
      <c r="P209" s="25">
        <f t="shared" si="6"/>
        <v>22924.835205236312</v>
      </c>
      <c r="Q209" s="25">
        <f t="array" aca="1" ref="Q209" ca="1">INDEX('Isaac 401k'!L:L,MATCH('Retirement Calculator'!A209,'Isaac 401k'!N:N,0),0)</f>
        <v>2432454.5912945974</v>
      </c>
      <c r="R209" s="25">
        <f t="array" aca="1" ref="R209" ca="1">INDEX('Lorri 401b'!L:L,MATCH('Retirement Calculator'!A209,'Lorri 401b'!N:N,0),0)</f>
        <v>4480293.8132371251</v>
      </c>
      <c r="S209" s="25">
        <f t="shared" ca="1" si="7"/>
        <v>6912748.4045317229</v>
      </c>
    </row>
    <row r="210" spans="1:19" ht="15.75" customHeight="1" x14ac:dyDescent="0.3">
      <c r="A210" s="37">
        <v>57346</v>
      </c>
      <c r="B210" s="409">
        <f t="shared" ref="B210:C210" si="206">($A210-B$9)/365.25</f>
        <v>75.126625598904866</v>
      </c>
      <c r="C210" s="409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3525.4531757812501</v>
      </c>
      <c r="H210" s="25">
        <f>IF(B210&lt;62,0,'Combined Retirement'!$I$14)</f>
        <v>2192</v>
      </c>
      <c r="I210" s="25">
        <f>IF(C210&lt;62,0,'Combined Retirement'!$I$13)</f>
        <v>2420</v>
      </c>
      <c r="J210" s="25">
        <f t="shared" si="3"/>
        <v>6404.7404596389215</v>
      </c>
      <c r="K210" s="25">
        <f t="shared" si="4"/>
        <v>16520.094745597391</v>
      </c>
      <c r="L210" s="25"/>
      <c r="N210" s="25">
        <f>'Combined Retirement'!$C$18/12</f>
        <v>33932.660666666663</v>
      </c>
      <c r="O210" s="25">
        <f t="shared" si="5"/>
        <v>11007.82546143035</v>
      </c>
      <c r="P210" s="25">
        <f t="shared" si="6"/>
        <v>22924.835205236312</v>
      </c>
      <c r="Q210" s="25">
        <f t="array" aca="1" ref="Q210" ca="1">INDEX('Isaac 401k'!L:L,MATCH('Retirement Calculator'!A210,'Isaac 401k'!N:N,0),0)</f>
        <v>2436158.3918801039</v>
      </c>
      <c r="R210" s="25">
        <f t="array" aca="1" ref="R210" ca="1">INDEX('Lorri 401b'!L:L,MATCH('Retirement Calculator'!A210,'Lorri 401b'!N:N,0),0)</f>
        <v>4482372.7756519085</v>
      </c>
      <c r="S210" s="25">
        <f t="shared" ca="1" si="7"/>
        <v>6918531.1675320119</v>
      </c>
    </row>
    <row r="211" spans="1:19" ht="15.75" customHeight="1" x14ac:dyDescent="0.3">
      <c r="A211" s="37">
        <v>57377</v>
      </c>
      <c r="B211" s="409">
        <f t="shared" ref="B211:C211" si="207">($A211-B$9)/365.25</f>
        <v>75.21149897330595</v>
      </c>
      <c r="C211" s="409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3525.4531757812501</v>
      </c>
      <c r="H211" s="25">
        <f>IF(B211&lt;62,0,'Combined Retirement'!$I$14)</f>
        <v>2192</v>
      </c>
      <c r="I211" s="25">
        <f>IF(C211&lt;62,0,'Combined Retirement'!$I$13)</f>
        <v>2420</v>
      </c>
      <c r="J211" s="25">
        <f t="shared" si="3"/>
        <v>6404.7404596389215</v>
      </c>
      <c r="K211" s="25">
        <f t="shared" si="4"/>
        <v>16520.094745597391</v>
      </c>
      <c r="L211" s="25"/>
      <c r="N211" s="25">
        <f>'Combined Retirement'!$C$18/12</f>
        <v>33932.660666666663</v>
      </c>
      <c r="O211" s="25">
        <f t="shared" si="5"/>
        <v>11007.82546143035</v>
      </c>
      <c r="P211" s="25">
        <f t="shared" si="6"/>
        <v>22924.835205236312</v>
      </c>
      <c r="Q211" s="25">
        <f t="array" aca="1" ref="Q211" ca="1">INDEX('Isaac 401k'!L:L,MATCH('Retirement Calculator'!A211,'Isaac 401k'!N:N,0),0)</f>
        <v>2439877.62496805</v>
      </c>
      <c r="R211" s="25">
        <f t="array" aca="1" ref="R211" ca="1">INDEX('Lorri 401b'!L:L,MATCH('Retirement Calculator'!A211,'Lorri 401b'!N:N,0),0)</f>
        <v>4484460.4004100868</v>
      </c>
      <c r="S211" s="25">
        <f t="shared" ca="1" si="7"/>
        <v>6924338.0253781369</v>
      </c>
    </row>
    <row r="212" spans="1:19" ht="15.75" customHeight="1" x14ac:dyDescent="0.3">
      <c r="A212" s="37">
        <v>57405</v>
      </c>
      <c r="B212" s="409">
        <f t="shared" ref="B212:C212" si="208">($A212-B$9)/365.25</f>
        <v>75.288158795345652</v>
      </c>
      <c r="C212" s="409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3525.4531757812501</v>
      </c>
      <c r="H212" s="25">
        <f>IF(B212&lt;62,0,'Combined Retirement'!$I$14)</f>
        <v>2192</v>
      </c>
      <c r="I212" s="25">
        <f>IF(C212&lt;62,0,'Combined Retirement'!$I$13)</f>
        <v>2420</v>
      </c>
      <c r="J212" s="25">
        <f t="shared" si="3"/>
        <v>6404.7404596389215</v>
      </c>
      <c r="K212" s="25">
        <f t="shared" si="4"/>
        <v>16520.094745597391</v>
      </c>
      <c r="L212" s="25"/>
      <c r="N212" s="25">
        <f>'Combined Retirement'!$C$18/12</f>
        <v>33932.660666666663</v>
      </c>
      <c r="O212" s="25">
        <f t="shared" si="5"/>
        <v>11007.82546143035</v>
      </c>
      <c r="P212" s="25">
        <f t="shared" si="6"/>
        <v>22924.835205236312</v>
      </c>
      <c r="Q212" s="25">
        <f t="array" aca="1" ref="Q212" ca="1">INDEX('Isaac 401k'!L:L,MATCH('Retirement Calculator'!A212,'Isaac 401k'!N:N,0),0)</f>
        <v>2443612.3548605293</v>
      </c>
      <c r="R212" s="25">
        <f t="array" aca="1" ref="R212" ca="1">INDEX('Lorri 401b'!L:L,MATCH('Retirement Calculator'!A212,'Lorri 401b'!N:N,0),0)</f>
        <v>4486556.7236047573</v>
      </c>
      <c r="S212" s="25">
        <f t="shared" ca="1" si="7"/>
        <v>6930169.0784652866</v>
      </c>
    </row>
    <row r="213" spans="1:19" ht="15.75" customHeight="1" x14ac:dyDescent="0.3">
      <c r="A213" s="37">
        <v>57436</v>
      </c>
      <c r="B213" s="409">
        <f t="shared" ref="B213:C213" si="209">($A213-B$9)/365.25</f>
        <v>75.37303216974675</v>
      </c>
      <c r="C213" s="409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3525.4531757812501</v>
      </c>
      <c r="H213" s="25">
        <f>IF(B213&lt;62,0,'Combined Retirement'!$I$14)</f>
        <v>2192</v>
      </c>
      <c r="I213" s="25">
        <f>IF(C213&lt;62,0,'Combined Retirement'!$I$13)</f>
        <v>2420</v>
      </c>
      <c r="J213" s="25">
        <f t="shared" si="3"/>
        <v>6404.7404596389215</v>
      </c>
      <c r="K213" s="25">
        <f t="shared" si="4"/>
        <v>16520.094745597391</v>
      </c>
      <c r="L213" s="25"/>
      <c r="N213" s="25">
        <f>'Combined Retirement'!$C$18/12</f>
        <v>33932.660666666663</v>
      </c>
      <c r="O213" s="25">
        <f t="shared" si="5"/>
        <v>11007.82546143035</v>
      </c>
      <c r="P213" s="25">
        <f t="shared" si="6"/>
        <v>22924.835205236312</v>
      </c>
      <c r="Q213" s="25">
        <f t="array" aca="1" ref="Q213" ca="1">INDEX('Isaac 401k'!L:L,MATCH('Retirement Calculator'!A213,'Isaac 401k'!N:N,0),0)</f>
        <v>2447362.6461275606</v>
      </c>
      <c r="R213" s="25">
        <f t="array" aca="1" ref="R213" ca="1">INDEX('Lorri 401b'!L:L,MATCH('Retirement Calculator'!A213,'Lorri 401b'!N:N,0),0)</f>
        <v>4488661.7814794062</v>
      </c>
      <c r="S213" s="25">
        <f t="shared" ca="1" si="7"/>
        <v>6936024.4276069663</v>
      </c>
    </row>
    <row r="214" spans="1:19" ht="15.75" customHeight="1" x14ac:dyDescent="0.3">
      <c r="A214" s="37">
        <v>57466</v>
      </c>
      <c r="B214" s="409">
        <f t="shared" ref="B214:C214" si="210">($A214-B$9)/365.25</f>
        <v>75.455167693360707</v>
      </c>
      <c r="C214" s="409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3525.4531757812501</v>
      </c>
      <c r="H214" s="25">
        <f>IF(B214&lt;62,0,'Combined Retirement'!$I$14)</f>
        <v>2192</v>
      </c>
      <c r="I214" s="25">
        <f>IF(C214&lt;62,0,'Combined Retirement'!$I$13)</f>
        <v>2420</v>
      </c>
      <c r="J214" s="25">
        <f t="shared" si="3"/>
        <v>6404.7404596389215</v>
      </c>
      <c r="K214" s="25">
        <f t="shared" si="4"/>
        <v>16520.094745597391</v>
      </c>
      <c r="L214" s="25"/>
      <c r="N214" s="25">
        <f>'Combined Retirement'!$C$18/12</f>
        <v>33932.660666666663</v>
      </c>
      <c r="O214" s="25">
        <f t="shared" si="5"/>
        <v>11007.82546143035</v>
      </c>
      <c r="P214" s="25">
        <f t="shared" si="6"/>
        <v>22924.835205236312</v>
      </c>
      <c r="Q214" s="25">
        <f t="array" aca="1" ref="Q214" ca="1">INDEX('Isaac 401k'!L:L,MATCH('Retirement Calculator'!A214,'Isaac 401k'!N:N,0),0)</f>
        <v>2451128.5636082045</v>
      </c>
      <c r="R214" s="25">
        <f t="array" aca="1" ref="R214" ca="1">INDEX('Lorri 401b'!L:L,MATCH('Retirement Calculator'!A214,'Lorri 401b'!N:N,0),0)</f>
        <v>4490775.6104285326</v>
      </c>
      <c r="S214" s="25">
        <f t="shared" ca="1" si="7"/>
        <v>6941904.1740367375</v>
      </c>
    </row>
    <row r="215" spans="1:19" ht="15.75" customHeight="1" x14ac:dyDescent="0.3">
      <c r="A215" s="37">
        <v>57497</v>
      </c>
      <c r="B215" s="409">
        <f t="shared" ref="B215:C215" si="211">($A215-B$9)/365.25</f>
        <v>75.540041067761805</v>
      </c>
      <c r="C215" s="409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3525.4531757812501</v>
      </c>
      <c r="H215" s="25">
        <f>IF(B215&lt;62,0,'Combined Retirement'!$I$14)</f>
        <v>2192</v>
      </c>
      <c r="I215" s="25">
        <f>IF(C215&lt;62,0,'Combined Retirement'!$I$13)</f>
        <v>2420</v>
      </c>
      <c r="J215" s="25">
        <f t="shared" si="3"/>
        <v>6404.7404596389215</v>
      </c>
      <c r="K215" s="25">
        <f t="shared" si="4"/>
        <v>16520.094745597391</v>
      </c>
      <c r="L215" s="25"/>
      <c r="N215" s="25">
        <f>'Combined Retirement'!$C$18/12</f>
        <v>33932.660666666663</v>
      </c>
      <c r="O215" s="25">
        <f t="shared" si="5"/>
        <v>11007.82546143035</v>
      </c>
      <c r="P215" s="25">
        <f t="shared" si="6"/>
        <v>22924.835205236312</v>
      </c>
      <c r="Q215" s="25">
        <f t="array" aca="1" ref="Q215" ca="1">INDEX('Isaac 401k'!L:L,MATCH('Retirement Calculator'!A215,'Isaac 401k'!N:N,0),0)</f>
        <v>2454910.1724116844</v>
      </c>
      <c r="R215" s="25">
        <f t="array" aca="1" ref="R215" ca="1">INDEX('Lorri 401b'!L:L,MATCH('Retirement Calculator'!A215,'Lorri 401b'!N:N,0),0)</f>
        <v>4492898.2469982803</v>
      </c>
      <c r="S215" s="25">
        <f t="shared" ca="1" si="7"/>
        <v>6947808.4194099642</v>
      </c>
    </row>
    <row r="216" spans="1:19" ht="15.75" customHeight="1" x14ac:dyDescent="0.3">
      <c r="A216" s="37">
        <v>57527</v>
      </c>
      <c r="B216" s="409">
        <f t="shared" ref="B216:C216" si="212">($A216-B$9)/365.25</f>
        <v>75.622176591375776</v>
      </c>
      <c r="C216" s="409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3525.4531757812501</v>
      </c>
      <c r="H216" s="25">
        <f>IF(B216&lt;62,0,'Combined Retirement'!$I$14)</f>
        <v>2192</v>
      </c>
      <c r="I216" s="25">
        <f>IF(C216&lt;62,0,'Combined Retirement'!$I$13)</f>
        <v>2420</v>
      </c>
      <c r="J216" s="25">
        <f t="shared" si="3"/>
        <v>6404.7404596389215</v>
      </c>
      <c r="K216" s="25">
        <f t="shared" si="4"/>
        <v>16520.094745597391</v>
      </c>
      <c r="L216" s="25"/>
      <c r="N216" s="25">
        <f>'Combined Retirement'!$C$18/12</f>
        <v>33932.660666666663</v>
      </c>
      <c r="O216" s="25">
        <f t="shared" si="5"/>
        <v>11007.82546143035</v>
      </c>
      <c r="P216" s="25">
        <f t="shared" si="6"/>
        <v>22924.835205236312</v>
      </c>
      <c r="Q216" s="25">
        <f t="array" aca="1" ref="Q216" ca="1">INDEX('Isaac 401k'!L:L,MATCH('Retirement Calculator'!A216,'Isaac 401k'!N:N,0),0)</f>
        <v>2458707.5379185122</v>
      </c>
      <c r="R216" s="25">
        <f t="array" aca="1" ref="R216" ca="1">INDEX('Lorri 401b'!L:L,MATCH('Retirement Calculator'!A216,'Lorri 401b'!N:N,0),0)</f>
        <v>4495029.7278870689</v>
      </c>
      <c r="S216" s="25">
        <f t="shared" ca="1" si="7"/>
        <v>6953737.2658055816</v>
      </c>
    </row>
    <row r="217" spans="1:19" ht="15.75" customHeight="1" x14ac:dyDescent="0.3">
      <c r="A217" s="37">
        <v>57558</v>
      </c>
      <c r="B217" s="409">
        <f t="shared" ref="B217:C217" si="213">($A217-B$9)/365.25</f>
        <v>75.707049965776861</v>
      </c>
      <c r="C217" s="409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3525.4531757812501</v>
      </c>
      <c r="H217" s="25">
        <f>IF(B217&lt;62,0,'Combined Retirement'!$I$14)</f>
        <v>2192</v>
      </c>
      <c r="I217" s="25">
        <f>IF(C217&lt;62,0,'Combined Retirement'!$I$13)</f>
        <v>2420</v>
      </c>
      <c r="J217" s="25">
        <f t="shared" si="3"/>
        <v>6404.7404596389215</v>
      </c>
      <c r="K217" s="25">
        <f t="shared" si="4"/>
        <v>16520.094745597391</v>
      </c>
      <c r="L217" s="25"/>
      <c r="N217" s="25">
        <f>'Combined Retirement'!$C$18/12</f>
        <v>33932.660666666663</v>
      </c>
      <c r="O217" s="25">
        <f t="shared" si="5"/>
        <v>11007.82546143035</v>
      </c>
      <c r="P217" s="25">
        <f t="shared" si="6"/>
        <v>22924.835205236312</v>
      </c>
      <c r="Q217" s="25">
        <f t="array" aca="1" ref="Q217" ca="1">INDEX('Isaac 401k'!L:L,MATCH('Retirement Calculator'!A217,'Isaac 401k'!N:N,0),0)</f>
        <v>2462520.7257816186</v>
      </c>
      <c r="R217" s="25">
        <f t="array" aca="1" ref="R217" ca="1">INDEX('Lorri 401b'!L:L,MATCH('Retirement Calculator'!A217,'Lorri 401b'!N:N,0),0)</f>
        <v>4497170.0899462271</v>
      </c>
      <c r="S217" s="25">
        <f t="shared" ca="1" si="7"/>
        <v>6959690.8157278458</v>
      </c>
    </row>
    <row r="218" spans="1:19" ht="15.75" customHeight="1" x14ac:dyDescent="0.3">
      <c r="A218" s="37">
        <v>57589</v>
      </c>
      <c r="B218" s="409">
        <f t="shared" ref="B218:C218" si="214">($A218-B$9)/365.25</f>
        <v>75.791923340177959</v>
      </c>
      <c r="C218" s="409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3525.4531757812501</v>
      </c>
      <c r="H218" s="25">
        <f>IF(B218&lt;62,0,'Combined Retirement'!$I$14)</f>
        <v>2192</v>
      </c>
      <c r="I218" s="25">
        <f>IF(C218&lt;62,0,'Combined Retirement'!$I$13)</f>
        <v>2420</v>
      </c>
      <c r="J218" s="25">
        <f t="shared" si="3"/>
        <v>6404.7404596389215</v>
      </c>
      <c r="K218" s="25">
        <f t="shared" si="4"/>
        <v>16520.094745597391</v>
      </c>
      <c r="L218" s="25"/>
      <c r="N218" s="25">
        <f>'Combined Retirement'!$C$18/12</f>
        <v>33932.660666666663</v>
      </c>
      <c r="O218" s="25">
        <f t="shared" si="5"/>
        <v>11007.82546143035</v>
      </c>
      <c r="P218" s="25">
        <f t="shared" si="6"/>
        <v>22924.835205236312</v>
      </c>
      <c r="Q218" s="25">
        <f t="array" aca="1" ref="Q218" ca="1">INDEX('Isaac 401k'!L:L,MATCH('Retirement Calculator'!A218,'Isaac 401k'!N:N,0),0)</f>
        <v>2466349.8019274878</v>
      </c>
      <c r="R218" s="25">
        <f t="array" aca="1" ref="R218" ca="1">INDEX('Lorri 401b'!L:L,MATCH('Retirement Calculator'!A218,'Lorri 401b'!N:N,0),0)</f>
        <v>4499319.370180632</v>
      </c>
      <c r="S218" s="25">
        <f t="shared" ca="1" si="7"/>
        <v>6965669.1721081194</v>
      </c>
    </row>
    <row r="219" spans="1:19" ht="15.75" customHeight="1" x14ac:dyDescent="0.3">
      <c r="A219" s="37">
        <v>57619</v>
      </c>
      <c r="B219" s="409">
        <f t="shared" ref="B219:C219" si="215">($A219-B$9)/365.25</f>
        <v>75.87405886379193</v>
      </c>
      <c r="C219" s="409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3525.4531757812501</v>
      </c>
      <c r="H219" s="25">
        <f>IF(B219&lt;62,0,'Combined Retirement'!$I$14)</f>
        <v>2192</v>
      </c>
      <c r="I219" s="25">
        <f>IF(C219&lt;62,0,'Combined Retirement'!$I$13)</f>
        <v>2420</v>
      </c>
      <c r="J219" s="25">
        <f t="shared" si="3"/>
        <v>6404.7404596389215</v>
      </c>
      <c r="K219" s="25">
        <f t="shared" si="4"/>
        <v>16520.094745597391</v>
      </c>
      <c r="L219" s="25"/>
      <c r="N219" s="25">
        <f>'Combined Retirement'!$C$18/12</f>
        <v>33932.660666666663</v>
      </c>
      <c r="O219" s="25">
        <f t="shared" si="5"/>
        <v>11007.82546143035</v>
      </c>
      <c r="P219" s="25">
        <f t="shared" si="6"/>
        <v>22924.835205236312</v>
      </c>
      <c r="Q219" s="25">
        <f t="array" aca="1" ref="Q219" ca="1">INDEX('Isaac 401k'!L:L,MATCH('Retirement Calculator'!A219,'Isaac 401k'!N:N,0),0)</f>
        <v>2470194.8325572982</v>
      </c>
      <c r="R219" s="25">
        <f t="array" aca="1" ref="R219" ca="1">INDEX('Lorri 401b'!L:L,MATCH('Retirement Calculator'!A219,'Lorri 401b'!N:N,0),0)</f>
        <v>4501477.6057493472</v>
      </c>
      <c r="S219" s="25">
        <f t="shared" ca="1" si="7"/>
        <v>6971672.4383066455</v>
      </c>
    </row>
    <row r="220" spans="1:19" ht="15.75" customHeight="1" x14ac:dyDescent="0.3">
      <c r="A220" s="37">
        <v>57650</v>
      </c>
      <c r="B220" s="409">
        <f t="shared" ref="B220:C220" si="216">($A220-B$9)/365.25</f>
        <v>75.958932238193015</v>
      </c>
      <c r="C220" s="409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3525.4531757812501</v>
      </c>
      <c r="H220" s="25">
        <f>IF(B220&lt;62,0,'Combined Retirement'!$I$14)</f>
        <v>2192</v>
      </c>
      <c r="I220" s="25">
        <f>IF(C220&lt;62,0,'Combined Retirement'!$I$13)</f>
        <v>2420</v>
      </c>
      <c r="J220" s="25">
        <f t="shared" si="3"/>
        <v>6404.7404596389215</v>
      </c>
      <c r="K220" s="25">
        <f t="shared" si="4"/>
        <v>16520.094745597391</v>
      </c>
      <c r="L220" s="25"/>
      <c r="N220" s="25">
        <f>'Combined Retirement'!$C$18/12</f>
        <v>33932.660666666663</v>
      </c>
      <c r="O220" s="25">
        <f t="shared" si="5"/>
        <v>11007.82546143035</v>
      </c>
      <c r="P220" s="25">
        <f t="shared" si="6"/>
        <v>22924.835205236312</v>
      </c>
      <c r="Q220" s="25">
        <f t="array" aca="1" ref="Q220" ca="1">INDEX('Isaac 401k'!L:L,MATCH('Retirement Calculator'!A220,'Isaac 401k'!N:N,0),0)</f>
        <v>2474055.8841480659</v>
      </c>
      <c r="R220" s="25">
        <f t="array" aca="1" ref="R220" ca="1">INDEX('Lorri 401b'!L:L,MATCH('Retirement Calculator'!A220,'Lorri 401b'!N:N,0),0)</f>
        <v>4503644.8339662654</v>
      </c>
      <c r="S220" s="25">
        <f t="shared" ca="1" si="7"/>
        <v>6977700.7181143314</v>
      </c>
    </row>
    <row r="221" spans="1:19" ht="15.75" customHeight="1" x14ac:dyDescent="0.3">
      <c r="A221" s="37">
        <v>57680</v>
      </c>
      <c r="B221" s="409">
        <f t="shared" ref="B221:C221" si="217">($A221-B$9)/365.25</f>
        <v>76.041067761806985</v>
      </c>
      <c r="C221" s="409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3525.4531757812501</v>
      </c>
      <c r="H221" s="25">
        <f>IF(B221&lt;62,0,'Combined Retirement'!$I$14)</f>
        <v>2192</v>
      </c>
      <c r="I221" s="25">
        <f>IF(C221&lt;62,0,'Combined Retirement'!$I$13)</f>
        <v>2420</v>
      </c>
      <c r="J221" s="25">
        <f t="shared" si="3"/>
        <v>6404.7404596389215</v>
      </c>
      <c r="K221" s="25">
        <f t="shared" si="4"/>
        <v>16520.094745597391</v>
      </c>
      <c r="L221" s="25"/>
      <c r="N221" s="25">
        <f>'Combined Retirement'!$C$18/12</f>
        <v>33932.660666666663</v>
      </c>
      <c r="O221" s="25">
        <f t="shared" si="5"/>
        <v>11007.82546143035</v>
      </c>
      <c r="P221" s="25">
        <f t="shared" si="6"/>
        <v>22924.835205236312</v>
      </c>
      <c r="Q221" s="25">
        <f t="array" aca="1" ref="Q221" ca="1">INDEX('Isaac 401k'!L:L,MATCH('Retirement Calculator'!A221,'Isaac 401k'!N:N,0),0)</f>
        <v>2477933.0234537954</v>
      </c>
      <c r="R221" s="25">
        <f t="array" aca="1" ref="R221" ca="1">INDEX('Lorri 401b'!L:L,MATCH('Retirement Calculator'!A221,'Lorri 401b'!N:N,0),0)</f>
        <v>4505821.092300754</v>
      </c>
      <c r="S221" s="25">
        <f t="shared" ca="1" si="7"/>
        <v>6983754.1157545494</v>
      </c>
    </row>
    <row r="222" spans="1:19" ht="15.75" customHeight="1" x14ac:dyDescent="0.3">
      <c r="A222" s="37">
        <v>57711</v>
      </c>
      <c r="B222" s="409">
        <f t="shared" ref="B222:C222" si="218">($A222-B$9)/365.25</f>
        <v>76.12594113620807</v>
      </c>
      <c r="C222" s="409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3525.4531757812501</v>
      </c>
      <c r="H222" s="25">
        <f>IF(B222&lt;62,0,'Combined Retirement'!$I$14)</f>
        <v>2192</v>
      </c>
      <c r="I222" s="25">
        <f>IF(C222&lt;62,0,'Combined Retirement'!$I$13)</f>
        <v>2420</v>
      </c>
      <c r="J222" s="25">
        <f t="shared" si="3"/>
        <v>6404.7404596389215</v>
      </c>
      <c r="K222" s="25">
        <f t="shared" si="4"/>
        <v>16520.094745597391</v>
      </c>
      <c r="L222" s="25"/>
      <c r="N222" s="25">
        <f>'Combined Retirement'!$C$18/12</f>
        <v>33932.660666666663</v>
      </c>
      <c r="O222" s="25">
        <f t="shared" si="5"/>
        <v>11007.82546143035</v>
      </c>
      <c r="P222" s="25">
        <f t="shared" si="6"/>
        <v>22924.835205236312</v>
      </c>
      <c r="Q222" s="25">
        <f t="array" aca="1" ref="Q222" ca="1">INDEX('Isaac 401k'!L:L,MATCH('Retirement Calculator'!A222,'Isaac 401k'!N:N,0),0)</f>
        <v>2481826.3175066318</v>
      </c>
      <c r="R222" s="25">
        <f t="array" aca="1" ref="R222" ca="1">INDEX('Lorri 401b'!L:L,MATCH('Retirement Calculator'!A222,'Lorri 401b'!N:N,0),0)</f>
        <v>4508006.4183783028</v>
      </c>
      <c r="S222" s="25">
        <f t="shared" ca="1" si="7"/>
        <v>6989832.7358849347</v>
      </c>
    </row>
    <row r="223" spans="1:19" ht="15.75" customHeight="1" x14ac:dyDescent="0.3">
      <c r="A223" s="37">
        <v>57742</v>
      </c>
      <c r="B223" s="409">
        <f t="shared" ref="B223:C223" si="219">($A223-B$9)/365.25</f>
        <v>76.210814510609168</v>
      </c>
      <c r="C223" s="409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3525.4531757812501</v>
      </c>
      <c r="H223" s="25">
        <f>IF(B223&lt;62,0,'Combined Retirement'!$I$14)</f>
        <v>2192</v>
      </c>
      <c r="I223" s="25">
        <f>IF(C223&lt;62,0,'Combined Retirement'!$I$13)</f>
        <v>2420</v>
      </c>
      <c r="J223" s="25">
        <f t="shared" si="3"/>
        <v>6404.7404596389215</v>
      </c>
      <c r="K223" s="25">
        <f t="shared" si="4"/>
        <v>16520.094745597391</v>
      </c>
      <c r="L223" s="25"/>
      <c r="N223" s="25">
        <f>'Combined Retirement'!$C$18/12</f>
        <v>33932.660666666663</v>
      </c>
      <c r="O223" s="25">
        <f t="shared" si="5"/>
        <v>11007.82546143035</v>
      </c>
      <c r="P223" s="25">
        <f t="shared" si="6"/>
        <v>22924.835205236312</v>
      </c>
      <c r="Q223" s="25">
        <f t="array" aca="1" ref="Q223" ca="1">INDEX('Isaac 401k'!L:L,MATCH('Retirement Calculator'!A223,'Isaac 401k'!N:N,0),0)</f>
        <v>2485735.833618022</v>
      </c>
      <c r="R223" s="25">
        <f t="array" aca="1" ref="R223" ca="1">INDEX('Lorri 401b'!L:L,MATCH('Retirement Calculator'!A223,'Lorri 401b'!N:N,0),0)</f>
        <v>4510200.8499811748</v>
      </c>
      <c r="S223" s="25">
        <f t="shared" ca="1" si="7"/>
        <v>6995936.6835991964</v>
      </c>
    </row>
    <row r="224" spans="1:19" ht="15.75" customHeight="1" x14ac:dyDescent="0.3">
      <c r="A224" s="37">
        <v>57770</v>
      </c>
      <c r="B224" s="409">
        <f t="shared" ref="B224:C224" si="220">($A224-B$9)/365.25</f>
        <v>76.28747433264887</v>
      </c>
      <c r="C224" s="409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3525.4531757812501</v>
      </c>
      <c r="H224" s="25">
        <f>IF(B224&lt;62,0,'Combined Retirement'!$I$14)</f>
        <v>2192</v>
      </c>
      <c r="I224" s="25">
        <f>IF(C224&lt;62,0,'Combined Retirement'!$I$13)</f>
        <v>2420</v>
      </c>
      <c r="J224" s="25">
        <f t="shared" si="3"/>
        <v>6404.7404596389215</v>
      </c>
      <c r="K224" s="25">
        <f t="shared" si="4"/>
        <v>16520.094745597391</v>
      </c>
      <c r="L224" s="25"/>
      <c r="N224" s="25">
        <f>'Combined Retirement'!$C$18/12</f>
        <v>33932.660666666663</v>
      </c>
      <c r="O224" s="25">
        <f t="shared" si="5"/>
        <v>11007.82546143035</v>
      </c>
      <c r="P224" s="25">
        <f t="shared" si="6"/>
        <v>22924.835205236312</v>
      </c>
      <c r="Q224" s="25">
        <f t="array" aca="1" ref="Q224" ca="1">INDEX('Isaac 401k'!L:L,MATCH('Retirement Calculator'!A224,'Isaac 401k'!N:N,0),0)</f>
        <v>2489661.6393798762</v>
      </c>
      <c r="R224" s="25">
        <f t="array" aca="1" ref="R224" ca="1">INDEX('Lorri 401b'!L:L,MATCH('Retirement Calculator'!A224,'Lorri 401b'!N:N,0),0)</f>
        <v>4512404.4250490582</v>
      </c>
      <c r="S224" s="25">
        <f t="shared" ca="1" si="7"/>
        <v>7002066.0644289348</v>
      </c>
    </row>
    <row r="225" spans="1:19" ht="15.75" customHeight="1" x14ac:dyDescent="0.3">
      <c r="A225" s="37">
        <v>57801</v>
      </c>
      <c r="B225" s="409">
        <f t="shared" ref="B225:C225" si="221">($A225-B$9)/365.25</f>
        <v>76.372347707049968</v>
      </c>
      <c r="C225" s="409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3525.4531757812501</v>
      </c>
      <c r="H225" s="25">
        <f>IF(B225&lt;62,0,'Combined Retirement'!$I$14)</f>
        <v>2192</v>
      </c>
      <c r="I225" s="25">
        <f>IF(C225&lt;62,0,'Combined Retirement'!$I$13)</f>
        <v>2420</v>
      </c>
      <c r="J225" s="25">
        <f t="shared" si="3"/>
        <v>6404.7404596389215</v>
      </c>
      <c r="K225" s="25">
        <f t="shared" si="4"/>
        <v>16520.094745597391</v>
      </c>
      <c r="L225" s="25"/>
      <c r="N225" s="25">
        <f>'Combined Retirement'!$C$18/12</f>
        <v>33932.660666666663</v>
      </c>
      <c r="O225" s="25">
        <f t="shared" si="5"/>
        <v>11007.82546143035</v>
      </c>
      <c r="P225" s="25">
        <f t="shared" si="6"/>
        <v>22924.835205236312</v>
      </c>
      <c r="Q225" s="25">
        <f t="array" aca="1" ref="Q225" ca="1">INDEX('Isaac 401k'!L:L,MATCH('Retirement Calculator'!A225,'Isaac 401k'!N:N,0),0)</f>
        <v>2493603.8026657379</v>
      </c>
      <c r="R225" s="25">
        <f t="array" aca="1" ref="R225" ca="1">INDEX('Lorri 401b'!L:L,MATCH('Retirement Calculator'!A225,'Lorri 401b'!N:N,0),0)</f>
        <v>4514617.1816797247</v>
      </c>
      <c r="S225" s="25">
        <f t="shared" ca="1" si="7"/>
        <v>7008220.9843454622</v>
      </c>
    </row>
    <row r="226" spans="1:19" ht="15.75" customHeight="1" x14ac:dyDescent="0.3">
      <c r="A226" s="37">
        <v>57831</v>
      </c>
      <c r="B226" s="409">
        <f t="shared" ref="B226:C226" si="222">($A226-B$9)/365.25</f>
        <v>76.454483230663925</v>
      </c>
      <c r="C226" s="409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3525.4531757812501</v>
      </c>
      <c r="H226" s="25">
        <f>IF(B226&lt;62,0,'Combined Retirement'!$I$14)</f>
        <v>2192</v>
      </c>
      <c r="I226" s="25">
        <f>IF(C226&lt;62,0,'Combined Retirement'!$I$13)</f>
        <v>2420</v>
      </c>
      <c r="J226" s="25">
        <f t="shared" si="3"/>
        <v>6404.7404596389215</v>
      </c>
      <c r="K226" s="25">
        <f t="shared" si="4"/>
        <v>16520.094745597391</v>
      </c>
      <c r="L226" s="25"/>
      <c r="N226" s="25">
        <f>'Combined Retirement'!$C$18/12</f>
        <v>33932.660666666663</v>
      </c>
      <c r="O226" s="25">
        <f t="shared" si="5"/>
        <v>11007.82546143035</v>
      </c>
      <c r="P226" s="25">
        <f t="shared" si="6"/>
        <v>22924.835205236312</v>
      </c>
      <c r="Q226" s="25">
        <f t="array" aca="1" ref="Q226" ca="1">INDEX('Isaac 401k'!L:L,MATCH('Retirement Calculator'!A226,'Isaac 401k'!N:N,0),0)</f>
        <v>2497562.3916319576</v>
      </c>
      <c r="R226" s="25">
        <f t="array" aca="1" ref="R226" ca="1">INDEX('Lorri 401b'!L:L,MATCH('Retirement Calculator'!A226,'Lorri 401b'!N:N,0),0)</f>
        <v>4516839.1581296856</v>
      </c>
      <c r="S226" s="25">
        <f t="shared" ca="1" si="7"/>
        <v>7014401.5497616436</v>
      </c>
    </row>
    <row r="227" spans="1:19" ht="15.75" customHeight="1" x14ac:dyDescent="0.3">
      <c r="A227" s="37">
        <v>57862</v>
      </c>
      <c r="B227" s="409">
        <f t="shared" ref="B227:C227" si="223">($A227-B$9)/365.25</f>
        <v>76.539356605065024</v>
      </c>
      <c r="C227" s="409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3525.4531757812501</v>
      </c>
      <c r="H227" s="25">
        <f>IF(B227&lt;62,0,'Combined Retirement'!$I$14)</f>
        <v>2192</v>
      </c>
      <c r="I227" s="25">
        <f>IF(C227&lt;62,0,'Combined Retirement'!$I$13)</f>
        <v>2420</v>
      </c>
      <c r="J227" s="25">
        <f t="shared" si="3"/>
        <v>6404.7404596389215</v>
      </c>
      <c r="K227" s="25">
        <f t="shared" si="4"/>
        <v>16520.094745597391</v>
      </c>
      <c r="L227" s="25"/>
      <c r="N227" s="25">
        <f>'Combined Retirement'!$C$18/12</f>
        <v>33932.660666666663</v>
      </c>
      <c r="O227" s="25">
        <f t="shared" si="5"/>
        <v>11007.82546143035</v>
      </c>
      <c r="P227" s="25">
        <f t="shared" si="6"/>
        <v>22924.835205236312</v>
      </c>
      <c r="Q227" s="25">
        <f t="array" aca="1" ref="Q227" ca="1">INDEX('Isaac 401k'!L:L,MATCH('Retirement Calculator'!A227,'Isaac 401k'!N:N,0),0)</f>
        <v>2501537.4747188697</v>
      </c>
      <c r="R227" s="25">
        <f t="array" aca="1" ref="R227" ca="1">INDEX('Lorri 401b'!L:L,MATCH('Retirement Calculator'!A227,'Lorri 401b'!N:N,0),0)</f>
        <v>4519070.3928148551</v>
      </c>
      <c r="S227" s="25">
        <f t="shared" ca="1" si="7"/>
        <v>7020607.8675337248</v>
      </c>
    </row>
    <row r="228" spans="1:19" ht="15.75" customHeight="1" x14ac:dyDescent="0.3">
      <c r="A228" s="37">
        <v>57892</v>
      </c>
      <c r="B228" s="409">
        <f t="shared" ref="B228:C228" si="224">($A228-B$9)/365.25</f>
        <v>76.62149212867898</v>
      </c>
      <c r="C228" s="409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3525.4531757812501</v>
      </c>
      <c r="H228" s="25">
        <f>IF(B228&lt;62,0,'Combined Retirement'!$I$14)</f>
        <v>2192</v>
      </c>
      <c r="I228" s="25">
        <f>IF(C228&lt;62,0,'Combined Retirement'!$I$13)</f>
        <v>2420</v>
      </c>
      <c r="J228" s="25">
        <f t="shared" si="3"/>
        <v>6404.7404596389215</v>
      </c>
      <c r="K228" s="25">
        <f t="shared" si="4"/>
        <v>16520.094745597391</v>
      </c>
      <c r="L228" s="25"/>
      <c r="N228" s="25">
        <f>'Combined Retirement'!$C$18/12</f>
        <v>33932.660666666663</v>
      </c>
      <c r="O228" s="25">
        <f t="shared" si="5"/>
        <v>11007.82546143035</v>
      </c>
      <c r="P228" s="25">
        <f t="shared" si="6"/>
        <v>22924.835205236312</v>
      </c>
      <c r="Q228" s="25">
        <f t="array" aca="1" ref="Q228" ca="1">INDEX('Isaac 401k'!L:L,MATCH('Retirement Calculator'!A228,'Isaac 401k'!N:N,0),0)</f>
        <v>2505529.1206519771</v>
      </c>
      <c r="R228" s="25">
        <f t="array" aca="1" ref="R228" ca="1">INDEX('Lorri 401b'!L:L,MATCH('Retirement Calculator'!A228,'Lorri 401b'!N:N,0),0)</f>
        <v>4521310.9243112123</v>
      </c>
      <c r="S228" s="25">
        <f t="shared" ca="1" si="7"/>
        <v>7026840.0449631894</v>
      </c>
    </row>
    <row r="229" spans="1:19" ht="15.75" customHeight="1" x14ac:dyDescent="0.3">
      <c r="A229" s="37">
        <v>57923</v>
      </c>
      <c r="B229" s="409">
        <f t="shared" ref="B229:C229" si="225">($A229-B$9)/365.25</f>
        <v>76.706365503080079</v>
      </c>
      <c r="C229" s="409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3525.4531757812501</v>
      </c>
      <c r="H229" s="25">
        <f>IF(B229&lt;62,0,'Combined Retirement'!$I$14)</f>
        <v>2192</v>
      </c>
      <c r="I229" s="25">
        <f>IF(C229&lt;62,0,'Combined Retirement'!$I$13)</f>
        <v>2420</v>
      </c>
      <c r="J229" s="25">
        <f t="shared" si="3"/>
        <v>6404.7404596389215</v>
      </c>
      <c r="K229" s="25">
        <f t="shared" si="4"/>
        <v>16520.094745597391</v>
      </c>
      <c r="L229" s="25"/>
      <c r="N229" s="25">
        <f>'Combined Retirement'!$C$18/12</f>
        <v>33932.660666666663</v>
      </c>
      <c r="O229" s="25">
        <f t="shared" si="5"/>
        <v>11007.82546143035</v>
      </c>
      <c r="P229" s="25">
        <f t="shared" si="6"/>
        <v>22924.835205236312</v>
      </c>
      <c r="Q229" s="25">
        <f t="array" aca="1" ref="Q229" ca="1">INDEX('Isaac 401k'!L:L,MATCH('Retirement Calculator'!A229,'Isaac 401k'!N:N,0),0)</f>
        <v>2509537.3984431396</v>
      </c>
      <c r="R229" s="25">
        <f t="array" aca="1" ref="R229" ca="1">INDEX('Lorri 401b'!L:L,MATCH('Retirement Calculator'!A229,'Lorri 401b'!N:N,0),0)</f>
        <v>4523560.7913554711</v>
      </c>
      <c r="S229" s="25">
        <f t="shared" ca="1" si="7"/>
        <v>7033098.1897986103</v>
      </c>
    </row>
    <row r="230" spans="1:19" ht="15.75" customHeight="1" x14ac:dyDescent="0.3">
      <c r="A230" s="37">
        <v>57954</v>
      </c>
      <c r="B230" s="409">
        <f t="shared" ref="B230:C230" si="226">($A230-B$9)/365.25</f>
        <v>76.791238877481177</v>
      </c>
      <c r="C230" s="409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3525.4531757812501</v>
      </c>
      <c r="H230" s="25">
        <f>IF(B230&lt;62,0,'Combined Retirement'!$I$14)</f>
        <v>2192</v>
      </c>
      <c r="I230" s="25">
        <f>IF(C230&lt;62,0,'Combined Retirement'!$I$13)</f>
        <v>2420</v>
      </c>
      <c r="J230" s="25">
        <f t="shared" si="3"/>
        <v>6404.7404596389215</v>
      </c>
      <c r="K230" s="25">
        <f t="shared" si="4"/>
        <v>16520.094745597391</v>
      </c>
      <c r="L230" s="25"/>
      <c r="N230" s="25">
        <f>'Combined Retirement'!$C$18/12</f>
        <v>33932.660666666663</v>
      </c>
      <c r="O230" s="25">
        <f t="shared" si="5"/>
        <v>11007.82546143035</v>
      </c>
      <c r="P230" s="25">
        <f t="shared" si="6"/>
        <v>22924.835205236312</v>
      </c>
      <c r="Q230" s="25">
        <f t="array" aca="1" ref="Q230" ca="1">INDEX('Isaac 401k'!L:L,MATCH('Retirement Calculator'!A230,'Isaac 401k'!N:N,0),0)</f>
        <v>2513562.3773917649</v>
      </c>
      <c r="R230" s="25">
        <f t="array" aca="1" ref="R230" ca="1">INDEX('Lorri 401b'!L:L,MATCH('Retirement Calculator'!A230,'Lorri 401b'!N:N,0),0)</f>
        <v>4525820.0328457477</v>
      </c>
      <c r="S230" s="25">
        <f t="shared" ca="1" si="7"/>
        <v>7039382.4102375126</v>
      </c>
    </row>
    <row r="231" spans="1:19" ht="15.75" customHeight="1" x14ac:dyDescent="0.3">
      <c r="A231" s="37">
        <v>57984</v>
      </c>
      <c r="B231" s="409">
        <f t="shared" ref="B231:C231" si="227">($A231-B$9)/365.25</f>
        <v>76.873374401095134</v>
      </c>
      <c r="C231" s="409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3525.4531757812501</v>
      </c>
      <c r="H231" s="25">
        <f>IF(B231&lt;62,0,'Combined Retirement'!$I$14)</f>
        <v>2192</v>
      </c>
      <c r="I231" s="25">
        <f>IF(C231&lt;62,0,'Combined Retirement'!$I$13)</f>
        <v>2420</v>
      </c>
      <c r="J231" s="25">
        <f t="shared" si="3"/>
        <v>6404.7404596389215</v>
      </c>
      <c r="K231" s="25">
        <f t="shared" si="4"/>
        <v>16520.094745597391</v>
      </c>
      <c r="L231" s="25"/>
      <c r="N231" s="25">
        <f>'Combined Retirement'!$C$18/12</f>
        <v>33932.660666666663</v>
      </c>
      <c r="O231" s="25">
        <f t="shared" si="5"/>
        <v>11007.82546143035</v>
      </c>
      <c r="P231" s="25">
        <f t="shared" si="6"/>
        <v>22924.835205236312</v>
      </c>
      <c r="Q231" s="25">
        <f t="array" aca="1" ref="Q231" ca="1">INDEX('Isaac 401k'!L:L,MATCH('Retirement Calculator'!A231,'Isaac 401k'!N:N,0),0)</f>
        <v>2517604.1270860098</v>
      </c>
      <c r="R231" s="25">
        <f t="array" aca="1" ref="R231" ca="1">INDEX('Lorri 401b'!L:L,MATCH('Retirement Calculator'!A231,'Lorri 401b'!N:N,0),0)</f>
        <v>4528088.687842234</v>
      </c>
      <c r="S231" s="25">
        <f t="shared" ca="1" si="7"/>
        <v>7045692.8149282439</v>
      </c>
    </row>
    <row r="232" spans="1:19" ht="15.75" customHeight="1" x14ac:dyDescent="0.3">
      <c r="A232" s="37">
        <v>58015</v>
      </c>
      <c r="B232" s="409">
        <f t="shared" ref="B232:C232" si="228">($A232-B$9)/365.25</f>
        <v>76.958247775496233</v>
      </c>
      <c r="C232" s="409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3525.4531757812501</v>
      </c>
      <c r="H232" s="25">
        <f>IF(B232&lt;62,0,'Combined Retirement'!$I$14)</f>
        <v>2192</v>
      </c>
      <c r="I232" s="25">
        <f>IF(C232&lt;62,0,'Combined Retirement'!$I$13)</f>
        <v>2420</v>
      </c>
      <c r="J232" s="25">
        <f t="shared" si="3"/>
        <v>6404.7404596389215</v>
      </c>
      <c r="K232" s="25">
        <f t="shared" si="4"/>
        <v>16520.094745597391</v>
      </c>
      <c r="L232" s="25"/>
      <c r="N232" s="25">
        <f>'Combined Retirement'!$C$18/12</f>
        <v>33932.660666666663</v>
      </c>
      <c r="O232" s="25">
        <f t="shared" si="5"/>
        <v>11007.82546143035</v>
      </c>
      <c r="P232" s="25">
        <f t="shared" si="6"/>
        <v>22924.835205236312</v>
      </c>
      <c r="Q232" s="25">
        <f t="array" aca="1" ref="Q232" ca="1">INDEX('Isaac 401k'!L:L,MATCH('Retirement Calculator'!A232,'Isaac 401k'!N:N,0),0)</f>
        <v>2521662.7174039804</v>
      </c>
      <c r="R232" s="25">
        <f t="array" aca="1" ref="R232" ca="1">INDEX('Lorri 401b'!L:L,MATCH('Retirement Calculator'!A232,'Lorri 401b'!N:N,0),0)</f>
        <v>4530366.795567872</v>
      </c>
      <c r="S232" s="25">
        <f t="shared" ca="1" si="7"/>
        <v>7052029.512971852</v>
      </c>
    </row>
    <row r="233" spans="1:19" ht="15.75" customHeight="1" x14ac:dyDescent="0.3">
      <c r="A233" s="37">
        <v>58045</v>
      </c>
      <c r="B233" s="409">
        <f t="shared" ref="B233:C233" si="229">($A233-B$9)/365.25</f>
        <v>77.040383299110204</v>
      </c>
      <c r="C233" s="409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3525.4531757812501</v>
      </c>
      <c r="H233" s="25">
        <f>IF(B233&lt;62,0,'Combined Retirement'!$I$14)</f>
        <v>2192</v>
      </c>
      <c r="I233" s="25">
        <f>IF(C233&lt;62,0,'Combined Retirement'!$I$13)</f>
        <v>2420</v>
      </c>
      <c r="J233" s="25">
        <f t="shared" si="3"/>
        <v>6404.7404596389215</v>
      </c>
      <c r="K233" s="25">
        <f t="shared" si="4"/>
        <v>16520.094745597391</v>
      </c>
      <c r="L233" s="25"/>
      <c r="N233" s="25">
        <f>'Combined Retirement'!$C$18/12</f>
        <v>33932.660666666663</v>
      </c>
      <c r="O233" s="25">
        <f t="shared" si="5"/>
        <v>11007.82546143035</v>
      </c>
      <c r="P233" s="25">
        <f t="shared" si="6"/>
        <v>22924.835205236312</v>
      </c>
      <c r="Q233" s="25">
        <f t="array" aca="1" ref="Q233" ca="1">INDEX('Isaac 401k'!L:L,MATCH('Retirement Calculator'!A233,'Isaac 401k'!N:N,0),0)</f>
        <v>2525738.2185149426</v>
      </c>
      <c r="R233" s="25">
        <f t="array" aca="1" ref="R233" ca="1">INDEX('Lorri 401b'!L:L,MATCH('Retirement Calculator'!A233,'Lorri 401b'!N:N,0),0)</f>
        <v>4532654.3954090336</v>
      </c>
      <c r="S233" s="25">
        <f t="shared" ca="1" si="7"/>
        <v>7058392.6139239762</v>
      </c>
    </row>
    <row r="234" spans="1:19" ht="15.75" customHeight="1" x14ac:dyDescent="0.3">
      <c r="A234" s="37">
        <v>58076</v>
      </c>
      <c r="B234" s="409">
        <f t="shared" ref="B234:C234" si="230">($A234-B$9)/365.25</f>
        <v>77.125256673511288</v>
      </c>
      <c r="C234" s="409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3525.4531757812501</v>
      </c>
      <c r="H234" s="25">
        <f>IF(B234&lt;62,0,'Combined Retirement'!$I$14)</f>
        <v>2192</v>
      </c>
      <c r="I234" s="25">
        <f>IF(C234&lt;62,0,'Combined Retirement'!$I$13)</f>
        <v>2420</v>
      </c>
      <c r="J234" s="25">
        <f t="shared" si="3"/>
        <v>6404.7404596389215</v>
      </c>
      <c r="K234" s="25">
        <f t="shared" si="4"/>
        <v>16520.094745597391</v>
      </c>
      <c r="L234" s="25"/>
      <c r="N234" s="25">
        <f>'Combined Retirement'!$C$18/12</f>
        <v>33932.660666666663</v>
      </c>
      <c r="O234" s="25">
        <f t="shared" si="5"/>
        <v>11007.82546143035</v>
      </c>
      <c r="P234" s="25">
        <f t="shared" si="6"/>
        <v>22924.835205236312</v>
      </c>
      <c r="Q234" s="25">
        <f t="array" aca="1" ref="Q234" ca="1">INDEX('Isaac 401k'!L:L,MATCH('Retirement Calculator'!A234,'Isaac 401k'!N:N,0),0)</f>
        <v>2529830.700880534</v>
      </c>
      <c r="R234" s="25">
        <f t="array" aca="1" ref="R234" ca="1">INDEX('Lorri 401b'!L:L,MATCH('Retirement Calculator'!A234,'Lorri 401b'!N:N,0),0)</f>
        <v>4534951.5269162003</v>
      </c>
      <c r="S234" s="25">
        <f t="shared" ca="1" si="7"/>
        <v>7064782.2277967343</v>
      </c>
    </row>
    <row r="235" spans="1:19" ht="15.75" customHeight="1" x14ac:dyDescent="0.3">
      <c r="A235" s="37">
        <v>58107</v>
      </c>
      <c r="B235" s="409">
        <f t="shared" ref="B235:C235" si="231">($A235-B$9)/365.25</f>
        <v>77.210130047912386</v>
      </c>
      <c r="C235" s="409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3525.4531757812501</v>
      </c>
      <c r="H235" s="25">
        <f>IF(B235&lt;62,0,'Combined Retirement'!$I$14)</f>
        <v>2192</v>
      </c>
      <c r="I235" s="25">
        <f>IF(C235&lt;62,0,'Combined Retirement'!$I$13)</f>
        <v>2420</v>
      </c>
      <c r="J235" s="25">
        <f t="shared" si="3"/>
        <v>6404.7404596389215</v>
      </c>
      <c r="K235" s="25">
        <f t="shared" si="4"/>
        <v>16520.094745597391</v>
      </c>
      <c r="L235" s="25"/>
      <c r="N235" s="25">
        <f>'Combined Retirement'!$C$18/12</f>
        <v>33932.660666666663</v>
      </c>
      <c r="O235" s="25">
        <f t="shared" si="5"/>
        <v>11007.82546143035</v>
      </c>
      <c r="P235" s="25">
        <f t="shared" si="6"/>
        <v>22924.835205236312</v>
      </c>
      <c r="Q235" s="25">
        <f t="array" aca="1" ref="Q235" ca="1">INDEX('Isaac 401k'!L:L,MATCH('Retirement Calculator'!A235,'Isaac 401k'!N:N,0),0)</f>
        <v>2533940.2352559818</v>
      </c>
      <c r="R235" s="25">
        <f t="array" aca="1" ref="R235" ca="1">INDEX('Lorri 401b'!L:L,MATCH('Retirement Calculator'!A235,'Lorri 401b'!N:N,0),0)</f>
        <v>4537258.2298046462</v>
      </c>
      <c r="S235" s="25">
        <f t="shared" ca="1" si="7"/>
        <v>7071198.465060628</v>
      </c>
    </row>
    <row r="236" spans="1:19" ht="15.75" customHeight="1" x14ac:dyDescent="0.3">
      <c r="A236" s="37">
        <v>58135</v>
      </c>
      <c r="B236" s="409">
        <f t="shared" ref="B236:C236" si="232">($A236-B$9)/365.25</f>
        <v>77.286789869952088</v>
      </c>
      <c r="C236" s="409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3525.4531757812501</v>
      </c>
      <c r="H236" s="25">
        <f>IF(B236&lt;62,0,'Combined Retirement'!$I$14)</f>
        <v>2192</v>
      </c>
      <c r="I236" s="25">
        <f>IF(C236&lt;62,0,'Combined Retirement'!$I$13)</f>
        <v>2420</v>
      </c>
      <c r="J236" s="25">
        <f t="shared" si="3"/>
        <v>6404.7404596389215</v>
      </c>
      <c r="K236" s="25">
        <f t="shared" si="4"/>
        <v>16520.094745597391</v>
      </c>
      <c r="L236" s="25"/>
      <c r="N236" s="25">
        <f>'Combined Retirement'!$C$18/12</f>
        <v>33932.660666666663</v>
      </c>
      <c r="O236" s="25">
        <f t="shared" si="5"/>
        <v>11007.82546143035</v>
      </c>
      <c r="P236" s="25">
        <f t="shared" si="6"/>
        <v>22924.835205236312</v>
      </c>
      <c r="Q236" s="25">
        <f t="array" aca="1" ref="Q236" ca="1">INDEX('Isaac 401k'!L:L,MATCH('Retirement Calculator'!A236,'Isaac 401k'!N:N,0),0)</f>
        <v>2538066.8926913273</v>
      </c>
      <c r="R236" s="25">
        <f t="array" aca="1" ref="R236" ca="1">INDEX('Lorri 401b'!L:L,MATCH('Retirement Calculator'!A236,'Lorri 401b'!N:N,0),0)</f>
        <v>4539574.5439551277</v>
      </c>
      <c r="S236" s="25">
        <f t="shared" ca="1" si="7"/>
        <v>7077641.436646455</v>
      </c>
    </row>
    <row r="237" spans="1:19" ht="15.75" customHeight="1" x14ac:dyDescent="0.3">
      <c r="A237" s="37">
        <v>58166</v>
      </c>
      <c r="B237" s="409">
        <f t="shared" ref="B237:C237" si="233">($A237-B$9)/365.25</f>
        <v>77.371663244353186</v>
      </c>
      <c r="C237" s="409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3525.4531757812501</v>
      </c>
      <c r="H237" s="25">
        <f>IF(B237&lt;62,0,'Combined Retirement'!$I$14)</f>
        <v>2192</v>
      </c>
      <c r="I237" s="25">
        <f>IF(C237&lt;62,0,'Combined Retirement'!$I$13)</f>
        <v>2420</v>
      </c>
      <c r="J237" s="25">
        <f t="shared" si="3"/>
        <v>6404.7404596389215</v>
      </c>
      <c r="K237" s="25">
        <f t="shared" si="4"/>
        <v>16520.094745597391</v>
      </c>
      <c r="L237" s="25"/>
      <c r="N237" s="25">
        <f>'Combined Retirement'!$C$18/12</f>
        <v>33932.660666666663</v>
      </c>
      <c r="O237" s="25">
        <f t="shared" si="5"/>
        <v>11007.82546143035</v>
      </c>
      <c r="P237" s="25">
        <f t="shared" si="6"/>
        <v>22924.835205236312</v>
      </c>
      <c r="Q237" s="25">
        <f t="array" aca="1" ref="Q237" ca="1">INDEX('Isaac 401k'!L:L,MATCH('Retirement Calculator'!A237,'Isaac 401k'!N:N,0),0)</f>
        <v>2542210.7445326536</v>
      </c>
      <c r="R237" s="25">
        <f t="array" aca="1" ref="R237" ca="1">INDEX('Lorri 401b'!L:L,MATCH('Retirement Calculator'!A237,'Lorri 401b'!N:N,0),0)</f>
        <v>4541900.5094145695</v>
      </c>
      <c r="S237" s="25">
        <f t="shared" ca="1" si="7"/>
        <v>7084111.2539472226</v>
      </c>
    </row>
    <row r="238" spans="1:19" ht="15.75" customHeight="1" x14ac:dyDescent="0.3">
      <c r="A238" s="37">
        <v>58196</v>
      </c>
      <c r="B238" s="409">
        <f t="shared" ref="B238:C238" si="234">($A238-B$9)/365.25</f>
        <v>77.453798767967143</v>
      </c>
      <c r="C238" s="409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3525.4531757812501</v>
      </c>
      <c r="H238" s="25">
        <f>IF(B238&lt;62,0,'Combined Retirement'!$I$14)</f>
        <v>2192</v>
      </c>
      <c r="I238" s="25">
        <f>IF(C238&lt;62,0,'Combined Retirement'!$I$13)</f>
        <v>2420</v>
      </c>
      <c r="J238" s="25">
        <f t="shared" si="3"/>
        <v>6404.7404596389215</v>
      </c>
      <c r="K238" s="25">
        <f t="shared" si="4"/>
        <v>16520.094745597391</v>
      </c>
      <c r="L238" s="25"/>
      <c r="N238" s="25">
        <f>'Combined Retirement'!$C$18/12</f>
        <v>33932.660666666663</v>
      </c>
      <c r="O238" s="25">
        <f t="shared" si="5"/>
        <v>11007.82546143035</v>
      </c>
      <c r="P238" s="25">
        <f t="shared" si="6"/>
        <v>22924.835205236312</v>
      </c>
      <c r="Q238" s="25">
        <f t="array" aca="1" ref="Q238" ca="1">INDEX('Isaac 401k'!L:L,MATCH('Retirement Calculator'!A238,'Isaac 401k'!N:N,0),0)</f>
        <v>2546371.8624233189</v>
      </c>
      <c r="R238" s="25">
        <f t="array" aca="1" ref="R238" ca="1">INDEX('Lorri 401b'!L:L,MATCH('Retirement Calculator'!A238,'Lorri 401b'!N:N,0),0)</f>
        <v>4544236.1663967595</v>
      </c>
      <c r="S238" s="25">
        <f t="shared" ca="1" si="7"/>
        <v>7090608.0288200788</v>
      </c>
    </row>
    <row r="239" spans="1:19" ht="15.75" customHeight="1" x14ac:dyDescent="0.3">
      <c r="A239" s="37">
        <v>58227</v>
      </c>
      <c r="B239" s="409">
        <f t="shared" ref="B239:C239" si="235">($A239-B$9)/365.25</f>
        <v>77.538672142368242</v>
      </c>
      <c r="C239" s="409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3525.4531757812501</v>
      </c>
      <c r="H239" s="25">
        <f>IF(B239&lt;62,0,'Combined Retirement'!$I$14)</f>
        <v>2192</v>
      </c>
      <c r="I239" s="25">
        <f>IF(C239&lt;62,0,'Combined Retirement'!$I$13)</f>
        <v>2420</v>
      </c>
      <c r="J239" s="25">
        <f t="shared" si="3"/>
        <v>6404.7404596389215</v>
      </c>
      <c r="K239" s="25">
        <f t="shared" si="4"/>
        <v>16520.094745597391</v>
      </c>
      <c r="L239" s="25"/>
      <c r="N239" s="25">
        <f>'Combined Retirement'!$C$18/12</f>
        <v>33932.660666666663</v>
      </c>
      <c r="O239" s="25">
        <f t="shared" si="5"/>
        <v>11007.82546143035</v>
      </c>
      <c r="P239" s="25">
        <f t="shared" si="6"/>
        <v>22924.835205236312</v>
      </c>
      <c r="Q239" s="25">
        <f t="array" aca="1" ref="Q239" ca="1">INDEX('Isaac 401k'!L:L,MATCH('Retirement Calculator'!A239,'Isaac 401k'!N:N,0),0)</f>
        <v>2550550.3183051953</v>
      </c>
      <c r="R239" s="25">
        <f t="array" aca="1" ref="R239" ca="1">INDEX('Lorri 401b'!L:L,MATCH('Retirement Calculator'!A239,'Lorri 401b'!N:N,0),0)</f>
        <v>4546581.5552830417</v>
      </c>
      <c r="S239" s="25">
        <f t="shared" ca="1" si="7"/>
        <v>7097131.873588237</v>
      </c>
    </row>
    <row r="240" spans="1:19" ht="15.75" customHeight="1" x14ac:dyDescent="0.3">
      <c r="A240" s="37">
        <v>58257</v>
      </c>
      <c r="B240" s="409">
        <f t="shared" ref="B240:C240" si="236">($A240-B$9)/365.25</f>
        <v>77.620807665982198</v>
      </c>
      <c r="C240" s="409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3525.4531757812501</v>
      </c>
      <c r="H240" s="25">
        <f>IF(B240&lt;62,0,'Combined Retirement'!$I$14)</f>
        <v>2192</v>
      </c>
      <c r="I240" s="25">
        <f>IF(C240&lt;62,0,'Combined Retirement'!$I$13)</f>
        <v>2420</v>
      </c>
      <c r="J240" s="25">
        <f t="shared" si="3"/>
        <v>6404.7404596389215</v>
      </c>
      <c r="K240" s="25">
        <f t="shared" si="4"/>
        <v>16520.094745597391</v>
      </c>
      <c r="L240" s="25"/>
      <c r="N240" s="25">
        <f>'Combined Retirement'!$C$18/12</f>
        <v>33932.660666666663</v>
      </c>
      <c r="O240" s="25">
        <f t="shared" si="5"/>
        <v>11007.82546143035</v>
      </c>
      <c r="P240" s="25">
        <f t="shared" si="6"/>
        <v>22924.835205236312</v>
      </c>
      <c r="Q240" s="25">
        <f t="array" aca="1" ref="Q240" ca="1">INDEX('Isaac 401k'!L:L,MATCH('Retirement Calculator'!A240,'Isaac 401k'!N:N,0),0)</f>
        <v>2554746.1844199128</v>
      </c>
      <c r="R240" s="25">
        <f t="array" aca="1" ref="R240" ca="1">INDEX('Lorri 401b'!L:L,MATCH('Retirement Calculator'!A240,'Lorri 401b'!N:N,0),0)</f>
        <v>4548936.7166230166</v>
      </c>
      <c r="S240" s="25">
        <f t="shared" ca="1" si="7"/>
        <v>7103682.9010429289</v>
      </c>
    </row>
    <row r="241" spans="1:19" ht="15.75" customHeight="1" x14ac:dyDescent="0.3">
      <c r="A241" s="37">
        <v>58288</v>
      </c>
      <c r="B241" s="409">
        <f t="shared" ref="B241:C241" si="237">($A241-B$9)/365.25</f>
        <v>77.705681040383297</v>
      </c>
      <c r="C241" s="409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3525.4531757812501</v>
      </c>
      <c r="H241" s="25">
        <f>IF(B241&lt;62,0,'Combined Retirement'!$I$14)</f>
        <v>2192</v>
      </c>
      <c r="I241" s="25">
        <f>IF(C241&lt;62,0,'Combined Retirement'!$I$13)</f>
        <v>2420</v>
      </c>
      <c r="J241" s="25">
        <f t="shared" si="3"/>
        <v>6404.7404596389215</v>
      </c>
      <c r="K241" s="25">
        <f t="shared" si="4"/>
        <v>16520.094745597391</v>
      </c>
      <c r="L241" s="25"/>
      <c r="N241" s="25">
        <f>'Combined Retirement'!$C$18/12</f>
        <v>33932.660666666663</v>
      </c>
      <c r="O241" s="25">
        <f t="shared" si="5"/>
        <v>11007.82546143035</v>
      </c>
      <c r="P241" s="25">
        <f t="shared" si="6"/>
        <v>22924.835205236312</v>
      </c>
      <c r="Q241" s="25">
        <f t="array" aca="1" ref="Q241" ca="1">INDEX('Isaac 401k'!L:L,MATCH('Retirement Calculator'!A241,'Isaac 401k'!N:N,0),0)</f>
        <v>2558959.5333101079</v>
      </c>
      <c r="R241" s="25">
        <f t="array" aca="1" ref="R241" ca="1">INDEX('Lorri 401b'!L:L,MATCH('Retirement Calculator'!A241,'Lorri 401b'!N:N,0),0)</f>
        <v>4551301.6911352417</v>
      </c>
      <c r="S241" s="25">
        <f t="shared" ca="1" si="7"/>
        <v>7110261.2244453495</v>
      </c>
    </row>
    <row r="242" spans="1:19" ht="15.75" customHeight="1" x14ac:dyDescent="0.3">
      <c r="A242" s="37">
        <v>58319</v>
      </c>
      <c r="B242" s="409">
        <f t="shared" ref="B242:C242" si="238">($A242-B$9)/365.25</f>
        <v>77.790554414784395</v>
      </c>
      <c r="C242" s="409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3525.4531757812501</v>
      </c>
      <c r="H242" s="25">
        <f>IF(B242&lt;62,0,'Combined Retirement'!$I$14)</f>
        <v>2192</v>
      </c>
      <c r="I242" s="25">
        <f>IF(C242&lt;62,0,'Combined Retirement'!$I$13)</f>
        <v>2420</v>
      </c>
      <c r="J242" s="25">
        <f t="shared" si="3"/>
        <v>6404.7404596389215</v>
      </c>
      <c r="K242" s="25">
        <f t="shared" si="4"/>
        <v>16520.094745597391</v>
      </c>
      <c r="L242" s="25"/>
      <c r="N242" s="25">
        <f>'Combined Retirement'!$C$18/12</f>
        <v>33932.660666666663</v>
      </c>
      <c r="O242" s="25">
        <f t="shared" si="5"/>
        <v>11007.82546143035</v>
      </c>
      <c r="P242" s="25">
        <f t="shared" si="6"/>
        <v>22924.835205236312</v>
      </c>
      <c r="Q242" s="25">
        <f t="array" aca="1" ref="Q242" ca="1">INDEX('Isaac 401k'!L:L,MATCH('Retirement Calculator'!A242,'Isaac 401k'!N:N,0),0)</f>
        <v>2563190.437820679</v>
      </c>
      <c r="R242" s="25">
        <f t="array" aca="1" ref="R242" ca="1">INDEX('Lorri 401b'!L:L,MATCH('Retirement Calculator'!A242,'Lorri 401b'!N:N,0),0)</f>
        <v>4553676.519707934</v>
      </c>
      <c r="S242" s="25">
        <f t="shared" ca="1" si="7"/>
        <v>7116866.9575286135</v>
      </c>
    </row>
    <row r="243" spans="1:19" ht="15.75" customHeight="1" x14ac:dyDescent="0.3">
      <c r="A243" s="37">
        <v>58349</v>
      </c>
      <c r="B243" s="409">
        <f t="shared" ref="B243:C243" si="239">($A243-B$9)/365.25</f>
        <v>77.872689938398352</v>
      </c>
      <c r="C243" s="409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3525.4531757812501</v>
      </c>
      <c r="H243" s="25">
        <f>IF(B243&lt;62,0,'Combined Retirement'!$I$14)</f>
        <v>2192</v>
      </c>
      <c r="I243" s="25">
        <f>IF(C243&lt;62,0,'Combined Retirement'!$I$13)</f>
        <v>2420</v>
      </c>
      <c r="J243" s="25">
        <f t="shared" si="3"/>
        <v>6404.7404596389215</v>
      </c>
      <c r="K243" s="25">
        <f t="shared" si="4"/>
        <v>16520.094745597391</v>
      </c>
      <c r="L243" s="25"/>
      <c r="N243" s="25">
        <f>'Combined Retirement'!$C$18/12</f>
        <v>33932.660666666663</v>
      </c>
      <c r="O243" s="25">
        <f t="shared" si="5"/>
        <v>11007.82546143035</v>
      </c>
      <c r="P243" s="25">
        <f t="shared" si="6"/>
        <v>22924.835205236312</v>
      </c>
      <c r="Q243" s="25">
        <f t="array" aca="1" ref="Q243" ca="1">INDEX('Isaac 401k'!L:L,MATCH('Retirement Calculator'!A243,'Isaac 401k'!N:N,0),0)</f>
        <v>2567438.9711000444</v>
      </c>
      <c r="R243" s="25">
        <f t="array" aca="1" ref="R243" ca="1">INDEX('Lorri 401b'!L:L,MATCH('Retirement Calculator'!A243,'Lorri 401b'!N:N,0),0)</f>
        <v>4556061.2433996797</v>
      </c>
      <c r="S243" s="25">
        <f t="shared" ca="1" si="7"/>
        <v>7123500.2144997241</v>
      </c>
    </row>
    <row r="244" spans="1:19" ht="15.75" customHeight="1" x14ac:dyDescent="0.3">
      <c r="A244" s="37">
        <v>58380</v>
      </c>
      <c r="B244" s="409">
        <f t="shared" ref="B244:C244" si="240">($A244-B$9)/365.25</f>
        <v>77.957563312799451</v>
      </c>
      <c r="C244" s="409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3525.4531757812501</v>
      </c>
      <c r="H244" s="25">
        <f>IF(B244&lt;62,0,'Combined Retirement'!$I$14)</f>
        <v>2192</v>
      </c>
      <c r="I244" s="25">
        <f>IF(C244&lt;62,0,'Combined Retirement'!$I$13)</f>
        <v>2420</v>
      </c>
      <c r="J244" s="25">
        <f t="shared" si="3"/>
        <v>6404.7404596389215</v>
      </c>
      <c r="K244" s="25">
        <f t="shared" si="4"/>
        <v>16520.094745597391</v>
      </c>
      <c r="L244" s="25"/>
      <c r="N244" s="25">
        <f>'Combined Retirement'!$C$18/12</f>
        <v>33932.660666666663</v>
      </c>
      <c r="O244" s="25">
        <f t="shared" si="5"/>
        <v>11007.82546143035</v>
      </c>
      <c r="P244" s="25">
        <f t="shared" si="6"/>
        <v>22924.835205236312</v>
      </c>
      <c r="Q244" s="25">
        <f t="array" aca="1" ref="Q244" ca="1">INDEX('Isaac 401k'!L:L,MATCH('Retirement Calculator'!A244,'Isaac 401k'!N:N,0),0)</f>
        <v>2571705.2066014069</v>
      </c>
      <c r="R244" s="25">
        <f t="array" aca="1" ref="R244" ca="1">INDEX('Lorri 401b'!L:L,MATCH('Retirement Calculator'!A244,'Lorri 401b'!N:N,0),0)</f>
        <v>4558455.9034401402</v>
      </c>
      <c r="S244" s="25">
        <f t="shared" ca="1" si="7"/>
        <v>7130161.1100415476</v>
      </c>
    </row>
    <row r="245" spans="1:19" ht="15.75" customHeight="1" x14ac:dyDescent="0.3">
      <c r="A245" s="37">
        <v>58410</v>
      </c>
      <c r="B245" s="409">
        <f t="shared" ref="B245:C245" si="241">($A245-B$9)/365.25</f>
        <v>78.039698836413422</v>
      </c>
      <c r="C245" s="409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3525.4531757812501</v>
      </c>
      <c r="H245" s="25">
        <f>IF(B245&lt;62,0,'Combined Retirement'!$I$14)</f>
        <v>2192</v>
      </c>
      <c r="I245" s="25">
        <f>IF(C245&lt;62,0,'Combined Retirement'!$I$13)</f>
        <v>2420</v>
      </c>
      <c r="J245" s="25">
        <f t="shared" si="3"/>
        <v>6404.7404596389215</v>
      </c>
      <c r="K245" s="25">
        <f t="shared" si="4"/>
        <v>16520.094745597391</v>
      </c>
      <c r="L245" s="25"/>
      <c r="N245" s="25">
        <f>'Combined Retirement'!$C$18/12</f>
        <v>33932.660666666663</v>
      </c>
      <c r="O245" s="25">
        <f t="shared" si="5"/>
        <v>11007.82546143035</v>
      </c>
      <c r="P245" s="25">
        <f t="shared" si="6"/>
        <v>22924.835205236312</v>
      </c>
      <c r="Q245" s="25">
        <f t="array" aca="1" ref="Q245" ca="1">INDEX('Isaac 401k'!L:L,MATCH('Retirement Calculator'!A245,'Isaac 401k'!N:N,0),0)</f>
        <v>2575989.2180840252</v>
      </c>
      <c r="R245" s="25">
        <f t="array" aca="1" ref="R245" ca="1">INDEX('Lorri 401b'!L:L,MATCH('Retirement Calculator'!A245,'Lorri 401b'!N:N,0),0)</f>
        <v>4560860.5412307698</v>
      </c>
      <c r="S245" s="25">
        <f t="shared" ca="1" si="7"/>
        <v>7136849.759314795</v>
      </c>
    </row>
    <row r="246" spans="1:19" ht="15.75" customHeight="1" x14ac:dyDescent="0.3">
      <c r="A246" s="37">
        <v>58441</v>
      </c>
      <c r="B246" s="409">
        <f t="shared" ref="B246:C246" si="242">($A246-B$9)/365.25</f>
        <v>78.124572210814506</v>
      </c>
      <c r="C246" s="409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3525.4531757812501</v>
      </c>
      <c r="H246" s="25">
        <f>IF(B246&lt;62,0,'Combined Retirement'!$I$14)</f>
        <v>2192</v>
      </c>
      <c r="I246" s="25">
        <f>IF(C246&lt;62,0,'Combined Retirement'!$I$13)</f>
        <v>2420</v>
      </c>
      <c r="J246" s="25">
        <f t="shared" si="3"/>
        <v>6404.7404596389215</v>
      </c>
      <c r="K246" s="25">
        <f t="shared" si="4"/>
        <v>16520.094745597391</v>
      </c>
      <c r="L246" s="25"/>
      <c r="N246" s="25">
        <f>'Combined Retirement'!$C$18/12</f>
        <v>33932.660666666663</v>
      </c>
      <c r="O246" s="25">
        <f t="shared" si="5"/>
        <v>11007.82546143035</v>
      </c>
      <c r="P246" s="25">
        <f t="shared" si="6"/>
        <v>22924.835205236312</v>
      </c>
      <c r="Q246" s="25">
        <f t="array" aca="1" ref="Q246" ca="1">INDEX('Isaac 401k'!L:L,MATCH('Retirement Calculator'!A246,'Isaac 401k'!N:N,0),0)</f>
        <v>2580291.0796144875</v>
      </c>
      <c r="R246" s="25">
        <f t="array" aca="1" ref="R246" ca="1">INDEX('Lorri 401b'!L:L,MATCH('Retirement Calculator'!A246,'Lorri 401b'!N:N,0),0)</f>
        <v>4563275.1983455271</v>
      </c>
      <c r="S246" s="25">
        <f t="shared" ca="1" si="7"/>
        <v>7143566.2779600145</v>
      </c>
    </row>
    <row r="247" spans="1:19" ht="15.75" customHeight="1" x14ac:dyDescent="0.3">
      <c r="A247" s="37">
        <v>58472</v>
      </c>
      <c r="B247" s="409">
        <f t="shared" ref="B247:C247" si="243">($A247-B$9)/365.25</f>
        <v>78.209445585215605</v>
      </c>
      <c r="C247" s="409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3525.4531757812501</v>
      </c>
      <c r="H247" s="25">
        <f>IF(B247&lt;62,0,'Combined Retirement'!$I$14)</f>
        <v>2192</v>
      </c>
      <c r="I247" s="25">
        <f>IF(C247&lt;62,0,'Combined Retirement'!$I$13)</f>
        <v>2420</v>
      </c>
      <c r="J247" s="25">
        <f t="shared" si="3"/>
        <v>6404.7404596389215</v>
      </c>
      <c r="K247" s="25">
        <f t="shared" si="4"/>
        <v>16520.094745597391</v>
      </c>
      <c r="L247" s="25"/>
      <c r="N247" s="25">
        <f>'Combined Retirement'!$C$18/12</f>
        <v>33932.660666666663</v>
      </c>
      <c r="O247" s="25">
        <f t="shared" si="5"/>
        <v>11007.82546143035</v>
      </c>
      <c r="P247" s="25">
        <f t="shared" si="6"/>
        <v>22924.835205236312</v>
      </c>
      <c r="Q247" s="25">
        <f t="array" aca="1" ref="Q247" ca="1">INDEX('Isaac 401k'!L:L,MATCH('Retirement Calculator'!A247,'Isaac 401k'!N:N,0),0)</f>
        <v>2584610.8655679934</v>
      </c>
      <c r="R247" s="25">
        <f t="array" aca="1" ref="R247" ca="1">INDEX('Lorri 401b'!L:L,MATCH('Retirement Calculator'!A247,'Lorri 401b'!N:N,0),0)</f>
        <v>4565699.9165315954</v>
      </c>
      <c r="S247" s="25">
        <f t="shared" ca="1" si="7"/>
        <v>7150310.7820995888</v>
      </c>
    </row>
    <row r="248" spans="1:19" ht="15.75" customHeight="1" x14ac:dyDescent="0.3">
      <c r="A248" s="37">
        <v>58501</v>
      </c>
      <c r="B248" s="409">
        <f t="shared" ref="B248:C248" si="244">($A248-B$9)/365.25</f>
        <v>78.288843258042434</v>
      </c>
      <c r="C248" s="409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3525.4531757812501</v>
      </c>
      <c r="H248" s="25">
        <f>IF(B248&lt;62,0,'Combined Retirement'!$I$14)</f>
        <v>2192</v>
      </c>
      <c r="I248" s="25">
        <f>IF(C248&lt;62,0,'Combined Retirement'!$I$13)</f>
        <v>2420</v>
      </c>
      <c r="J248" s="25">
        <f t="shared" si="3"/>
        <v>6404.7404596389215</v>
      </c>
      <c r="K248" s="25">
        <f t="shared" si="4"/>
        <v>16520.094745597391</v>
      </c>
      <c r="L248" s="25"/>
      <c r="N248" s="25">
        <f>'Combined Retirement'!$C$18/12</f>
        <v>33932.660666666663</v>
      </c>
      <c r="O248" s="25">
        <f t="shared" si="5"/>
        <v>11007.82546143035</v>
      </c>
      <c r="P248" s="25">
        <f t="shared" si="6"/>
        <v>22924.835205236312</v>
      </c>
      <c r="Q248" s="25">
        <f t="array" aca="1" ref="Q248" ca="1">INDEX('Isaac 401k'!L:L,MATCH('Retirement Calculator'!A248,'Isaac 401k'!N:N,0),0)</f>
        <v>2588948.6506296392</v>
      </c>
      <c r="R248" s="25">
        <f t="array" aca="1" ref="R248" ca="1">INDEX('Lorri 401b'!L:L,MATCH('Retirement Calculator'!A248,'Lorri 401b'!N:N,0),0)</f>
        <v>4568134.7377101062</v>
      </c>
      <c r="S248" s="25">
        <f t="shared" ca="1" si="7"/>
        <v>7157083.3883397449</v>
      </c>
    </row>
    <row r="249" spans="1:19" ht="15.75" customHeight="1" x14ac:dyDescent="0.3">
      <c r="A249" s="37">
        <v>58532</v>
      </c>
      <c r="B249" s="409">
        <f t="shared" ref="B249:C249" si="245">($A249-B$9)/365.25</f>
        <v>78.373716632443532</v>
      </c>
      <c r="C249" s="409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3525.4531757812501</v>
      </c>
      <c r="H249" s="25">
        <f>IF(B249&lt;62,0,'Combined Retirement'!$I$14)</f>
        <v>2192</v>
      </c>
      <c r="I249" s="25">
        <f>IF(C249&lt;62,0,'Combined Retirement'!$I$13)</f>
        <v>2420</v>
      </c>
      <c r="J249" s="25">
        <f t="shared" si="3"/>
        <v>6404.7404596389215</v>
      </c>
      <c r="K249" s="25">
        <f t="shared" si="4"/>
        <v>16520.094745597391</v>
      </c>
      <c r="L249" s="25"/>
      <c r="N249" s="25">
        <f>'Combined Retirement'!$C$18/12</f>
        <v>33932.660666666663</v>
      </c>
      <c r="O249" s="25">
        <f t="shared" si="5"/>
        <v>11007.82546143035</v>
      </c>
      <c r="P249" s="25">
        <f t="shared" si="6"/>
        <v>22924.835205236312</v>
      </c>
      <c r="Q249" s="25">
        <f t="array" aca="1" ref="Q249" ca="1">INDEX('Isaac 401k'!L:L,MATCH('Retirement Calculator'!A249,'Isaac 401k'!N:N,0),0)</f>
        <v>2593304.5097957086</v>
      </c>
      <c r="R249" s="25">
        <f t="array" aca="1" ref="R249" ca="1">INDEX('Lorri 401b'!L:L,MATCH('Retirement Calculator'!A249,'Lorri 401b'!N:N,0),0)</f>
        <v>4570579.7039768603</v>
      </c>
      <c r="S249" s="25">
        <f t="shared" ca="1" si="7"/>
        <v>7163884.2137725689</v>
      </c>
    </row>
    <row r="250" spans="1:19" ht="15.75" customHeight="1" x14ac:dyDescent="0.3">
      <c r="A250" s="37">
        <v>58562</v>
      </c>
      <c r="B250" s="409">
        <f t="shared" ref="B250:C250" si="246">($A250-B$9)/365.25</f>
        <v>78.455852156057489</v>
      </c>
      <c r="C250" s="409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3525.4531757812501</v>
      </c>
      <c r="H250" s="25">
        <f>IF(B250&lt;62,0,'Combined Retirement'!$I$14)</f>
        <v>2192</v>
      </c>
      <c r="I250" s="25">
        <f>IF(C250&lt;62,0,'Combined Retirement'!$I$13)</f>
        <v>2420</v>
      </c>
      <c r="J250" s="25">
        <f t="shared" si="3"/>
        <v>6404.7404596389215</v>
      </c>
      <c r="K250" s="25">
        <f t="shared" si="4"/>
        <v>16520.094745597391</v>
      </c>
      <c r="L250" s="25"/>
      <c r="N250" s="25">
        <f>'Combined Retirement'!$C$18/12</f>
        <v>33932.660666666663</v>
      </c>
      <c r="O250" s="25">
        <f t="shared" si="5"/>
        <v>11007.82546143035</v>
      </c>
      <c r="P250" s="25">
        <f t="shared" si="6"/>
        <v>22924.835205236312</v>
      </c>
      <c r="Q250" s="25">
        <f t="array" aca="1" ref="Q250" ca="1">INDEX('Isaac 401k'!L:L,MATCH('Retirement Calculator'!A250,'Isaac 401k'!N:N,0),0)</f>
        <v>2597678.5183749697</v>
      </c>
      <c r="R250" s="25">
        <f t="array" aca="1" ref="R250" ca="1">INDEX('Lorri 401b'!L:L,MATCH('Retirement Calculator'!A250,'Lorri 401b'!N:N,0),0)</f>
        <v>4573034.8576030592</v>
      </c>
      <c r="S250" s="25">
        <f t="shared" ca="1" si="7"/>
        <v>7170713.3759780284</v>
      </c>
    </row>
    <row r="251" spans="1:19" ht="15.75" customHeight="1" x14ac:dyDescent="0.3">
      <c r="A251" s="37">
        <v>58593</v>
      </c>
      <c r="B251" s="409">
        <f t="shared" ref="B251:C251" si="247">($A251-B$9)/365.25</f>
        <v>78.540725530458587</v>
      </c>
      <c r="C251" s="409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3525.4531757812501</v>
      </c>
      <c r="H251" s="25">
        <f>IF(B251&lt;62,0,'Combined Retirement'!$I$14)</f>
        <v>2192</v>
      </c>
      <c r="I251" s="25">
        <f>IF(C251&lt;62,0,'Combined Retirement'!$I$13)</f>
        <v>2420</v>
      </c>
      <c r="J251" s="25">
        <f t="shared" si="3"/>
        <v>6404.7404596389215</v>
      </c>
      <c r="K251" s="25">
        <f t="shared" si="4"/>
        <v>16520.094745597391</v>
      </c>
      <c r="L251" s="25"/>
      <c r="N251" s="25">
        <f>'Combined Retirement'!$C$18/12</f>
        <v>33932.660666666663</v>
      </c>
      <c r="O251" s="25">
        <f t="shared" si="5"/>
        <v>11007.82546143035</v>
      </c>
      <c r="P251" s="25">
        <f t="shared" si="6"/>
        <v>22924.835205236312</v>
      </c>
      <c r="Q251" s="25">
        <f t="array" aca="1" ref="Q251" ca="1">INDEX('Isaac 401k'!L:L,MATCH('Retirement Calculator'!A251,'Isaac 401k'!N:N,0),0)</f>
        <v>2602070.7519899779</v>
      </c>
      <c r="R251" s="25">
        <f t="array" aca="1" ref="R251" ca="1">INDEX('Lorri 401b'!L:L,MATCH('Retirement Calculator'!A251,'Lorri 401b'!N:N,0),0)</f>
        <v>4575500.2410360342</v>
      </c>
      <c r="S251" s="25">
        <f t="shared" ca="1" si="7"/>
        <v>7177570.9930260126</v>
      </c>
    </row>
    <row r="252" spans="1:19" ht="15.75" customHeight="1" x14ac:dyDescent="0.3">
      <c r="A252" s="37">
        <v>58623</v>
      </c>
      <c r="B252" s="409">
        <f t="shared" ref="B252:C252" si="248">($A252-B$9)/365.25</f>
        <v>78.622861054072558</v>
      </c>
      <c r="C252" s="409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3525.4531757812501</v>
      </c>
      <c r="H252" s="25">
        <f>IF(B252&lt;62,0,'Combined Retirement'!$I$14)</f>
        <v>2192</v>
      </c>
      <c r="I252" s="25">
        <f>IF(C252&lt;62,0,'Combined Retirement'!$I$13)</f>
        <v>2420</v>
      </c>
      <c r="J252" s="25">
        <f t="shared" si="3"/>
        <v>6404.7404596389215</v>
      </c>
      <c r="K252" s="25">
        <f t="shared" si="4"/>
        <v>16520.094745597391</v>
      </c>
      <c r="L252" s="25"/>
      <c r="N252" s="25">
        <f>'Combined Retirement'!$C$18/12</f>
        <v>33932.660666666663</v>
      </c>
      <c r="O252" s="25">
        <f t="shared" si="5"/>
        <v>11007.82546143035</v>
      </c>
      <c r="P252" s="25">
        <f t="shared" si="6"/>
        <v>22924.835205236312</v>
      </c>
      <c r="Q252" s="25">
        <f t="array" aca="1" ref="Q252" ca="1">INDEX('Isaac 401k'!L:L,MATCH('Retirement Calculator'!A252,'Isaac 401k'!N:N,0),0)</f>
        <v>2606481.2865783819</v>
      </c>
      <c r="R252" s="25">
        <f t="array" aca="1" ref="R252" ca="1">INDEX('Lorri 401b'!L:L,MATCH('Retirement Calculator'!A252,'Lorri 401b'!N:N,0),0)</f>
        <v>4577975.8968999796</v>
      </c>
      <c r="S252" s="25">
        <f t="shared" ca="1" si="7"/>
        <v>7184457.183478361</v>
      </c>
    </row>
    <row r="253" spans="1:19" ht="15.75" customHeight="1" x14ac:dyDescent="0.3">
      <c r="A253" s="37">
        <v>58654</v>
      </c>
      <c r="B253" s="409">
        <f t="shared" ref="B253:C253" si="249">($A253-B$9)/365.25</f>
        <v>78.707734428473643</v>
      </c>
      <c r="C253" s="409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3525.4531757812501</v>
      </c>
      <c r="H253" s="25">
        <f>IF(B253&lt;62,0,'Combined Retirement'!$I$14)</f>
        <v>2192</v>
      </c>
      <c r="I253" s="25">
        <f>IF(C253&lt;62,0,'Combined Retirement'!$I$13)</f>
        <v>2420</v>
      </c>
      <c r="J253" s="25">
        <f t="shared" si="3"/>
        <v>6404.7404596389215</v>
      </c>
      <c r="K253" s="25">
        <f t="shared" si="4"/>
        <v>16520.094745597391</v>
      </c>
      <c r="L253" s="25"/>
      <c r="N253" s="25">
        <f>'Combined Retirement'!$C$18/12</f>
        <v>33932.660666666663</v>
      </c>
      <c r="O253" s="25">
        <f t="shared" si="5"/>
        <v>11007.82546143035</v>
      </c>
      <c r="P253" s="25">
        <f t="shared" si="6"/>
        <v>22924.835205236312</v>
      </c>
      <c r="Q253" s="25">
        <f t="array" aca="1" ref="Q253" ca="1">INDEX('Isaac 401k'!L:L,MATCH('Retirement Calculator'!A253,'Isaac 401k'!N:N,0),0)</f>
        <v>2610910.1983942376</v>
      </c>
      <c r="R253" s="25">
        <f t="array" aca="1" ref="R253" ca="1">INDEX('Lorri 401b'!L:L,MATCH('Retirement Calculator'!A253,'Lorri 401b'!N:N,0),0)</f>
        <v>4580461.8679966917</v>
      </c>
      <c r="S253" s="25">
        <f t="shared" ca="1" si="7"/>
        <v>7191372.0663909297</v>
      </c>
    </row>
    <row r="254" spans="1:19" ht="15.75" customHeight="1" x14ac:dyDescent="0.3">
      <c r="A254" s="37">
        <v>58685</v>
      </c>
      <c r="B254" s="409">
        <f t="shared" ref="B254:C254" si="250">($A254-B$9)/365.25</f>
        <v>78.792607802874741</v>
      </c>
      <c r="C254" s="409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3525.4531757812501</v>
      </c>
      <c r="H254" s="25">
        <f>IF(B254&lt;62,0,'Combined Retirement'!$I$14)</f>
        <v>2192</v>
      </c>
      <c r="I254" s="25">
        <f>IF(C254&lt;62,0,'Combined Retirement'!$I$13)</f>
        <v>2420</v>
      </c>
      <c r="J254" s="25">
        <f t="shared" si="3"/>
        <v>6404.7404596389215</v>
      </c>
      <c r="K254" s="25">
        <f t="shared" si="4"/>
        <v>16520.094745597391</v>
      </c>
      <c r="L254" s="25"/>
      <c r="N254" s="25">
        <f>'Combined Retirement'!$C$18/12</f>
        <v>33932.660666666663</v>
      </c>
      <c r="O254" s="25">
        <f t="shared" si="5"/>
        <v>11007.82546143035</v>
      </c>
      <c r="P254" s="25">
        <f t="shared" si="6"/>
        <v>22924.835205236312</v>
      </c>
      <c r="Q254" s="25">
        <f t="array" aca="1" ref="Q254" ca="1">INDEX('Isaac 401k'!L:L,MATCH('Retirement Calculator'!A254,'Isaac 401k'!N:N,0),0)</f>
        <v>2615357.564009326</v>
      </c>
      <c r="R254" s="25">
        <f t="array" aca="1" ref="R254" ca="1">INDEX('Lorri 401b'!L:L,MATCH('Retirement Calculator'!A254,'Lorri 401b'!N:N,0),0)</f>
        <v>4582958.197306307</v>
      </c>
      <c r="S254" s="25">
        <f t="shared" ca="1" si="7"/>
        <v>7198315.7613156326</v>
      </c>
    </row>
    <row r="255" spans="1:19" ht="15.75" customHeight="1" x14ac:dyDescent="0.3">
      <c r="A255" s="37">
        <v>58715</v>
      </c>
      <c r="B255" s="409">
        <f t="shared" ref="B255:C255" si="251">($A255-B$9)/365.25</f>
        <v>78.874743326488712</v>
      </c>
      <c r="C255" s="409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3525.4531757812501</v>
      </c>
      <c r="H255" s="25">
        <f>IF(B255&lt;62,0,'Combined Retirement'!$I$14)</f>
        <v>2192</v>
      </c>
      <c r="I255" s="25">
        <f>IF(C255&lt;62,0,'Combined Retirement'!$I$13)</f>
        <v>2420</v>
      </c>
      <c r="J255" s="25">
        <f t="shared" si="3"/>
        <v>6404.7404596389215</v>
      </c>
      <c r="K255" s="25">
        <f t="shared" si="4"/>
        <v>16520.094745597391</v>
      </c>
      <c r="L255" s="25"/>
      <c r="N255" s="25">
        <f>'Combined Retirement'!$C$18/12</f>
        <v>33932.660666666663</v>
      </c>
      <c r="O255" s="25">
        <f t="shared" si="5"/>
        <v>11007.82546143035</v>
      </c>
      <c r="P255" s="25">
        <f t="shared" si="6"/>
        <v>22924.835205236312</v>
      </c>
      <c r="Q255" s="25">
        <f t="array" aca="1" ref="Q255" ca="1">INDEX('Isaac 401k'!L:L,MATCH('Retirement Calculator'!A255,'Isaac 401k'!N:N,0),0)</f>
        <v>2619823.4603144773</v>
      </c>
      <c r="R255" s="25">
        <f t="array" aca="1" ref="R255" ca="1">INDEX('Lorri 401b'!L:L,MATCH('Retirement Calculator'!A255,'Lorri 401b'!N:N,0),0)</f>
        <v>4585464.9279880458</v>
      </c>
      <c r="S255" s="25">
        <f t="shared" ca="1" si="7"/>
        <v>7205288.3883025236</v>
      </c>
    </row>
    <row r="256" spans="1:19" ht="15.75" customHeight="1" x14ac:dyDescent="0.3">
      <c r="A256" s="37">
        <v>58746</v>
      </c>
      <c r="B256" s="409">
        <f t="shared" ref="B256:C256" si="252">($A256-B$9)/365.25</f>
        <v>78.959616700889796</v>
      </c>
      <c r="C256" s="409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3525.4531757812501</v>
      </c>
      <c r="H256" s="25">
        <f>IF(B256&lt;62,0,'Combined Retirement'!$I$14)</f>
        <v>2192</v>
      </c>
      <c r="I256" s="25">
        <f>IF(C256&lt;62,0,'Combined Retirement'!$I$13)</f>
        <v>2420</v>
      </c>
      <c r="J256" s="25">
        <f t="shared" si="3"/>
        <v>6404.7404596389215</v>
      </c>
      <c r="K256" s="25">
        <f t="shared" si="4"/>
        <v>16520.094745597391</v>
      </c>
      <c r="L256" s="25"/>
      <c r="N256" s="25">
        <f>'Combined Retirement'!$C$18/12</f>
        <v>33932.660666666663</v>
      </c>
      <c r="O256" s="25">
        <f t="shared" si="5"/>
        <v>11007.82546143035</v>
      </c>
      <c r="P256" s="25">
        <f t="shared" si="6"/>
        <v>22924.835205236312</v>
      </c>
      <c r="Q256" s="25">
        <f t="array" aca="1" ref="Q256" ca="1">INDEX('Isaac 401k'!L:L,MATCH('Retirement Calculator'!A256,'Isaac 401k'!N:N,0),0)</f>
        <v>2624307.9645209</v>
      </c>
      <c r="R256" s="25">
        <f t="array" aca="1" ref="R256" ca="1">INDEX('Lorri 401b'!L:L,MATCH('Retirement Calculator'!A256,'Lorri 401b'!N:N,0),0)</f>
        <v>4587982.1033809585</v>
      </c>
      <c r="S256" s="25">
        <f t="shared" ca="1" si="7"/>
        <v>7212290.0679018591</v>
      </c>
    </row>
    <row r="257" spans="1:19" ht="15.75" customHeight="1" x14ac:dyDescent="0.3">
      <c r="A257" s="37">
        <v>58776</v>
      </c>
      <c r="B257" s="409">
        <f t="shared" ref="B257:C257" si="253">($A257-B$9)/365.25</f>
        <v>79.041752224503767</v>
      </c>
      <c r="C257" s="409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3525.4531757812501</v>
      </c>
      <c r="H257" s="25">
        <f>IF(B257&lt;62,0,'Combined Retirement'!$I$14)</f>
        <v>2192</v>
      </c>
      <c r="I257" s="25">
        <f>IF(C257&lt;62,0,'Combined Retirement'!$I$13)</f>
        <v>2420</v>
      </c>
      <c r="J257" s="25">
        <f t="shared" si="3"/>
        <v>6404.7404596389215</v>
      </c>
      <c r="K257" s="25">
        <f t="shared" si="4"/>
        <v>16520.094745597391</v>
      </c>
      <c r="L257" s="25"/>
      <c r="N257" s="25">
        <f>'Combined Retirement'!$C$18/12</f>
        <v>33932.660666666663</v>
      </c>
      <c r="O257" s="25">
        <f t="shared" si="5"/>
        <v>11007.82546143035</v>
      </c>
      <c r="P257" s="25">
        <f t="shared" si="6"/>
        <v>22924.835205236312</v>
      </c>
      <c r="Q257" s="25">
        <f t="array" aca="1" ref="Q257" ca="1">INDEX('Isaac 401k'!L:L,MATCH('Retirement Calculator'!A257,'Isaac 401k'!N:N,0),0)</f>
        <v>2628811.1541615161</v>
      </c>
      <c r="R257" s="25">
        <f t="array" aca="1" ref="R257" ca="1">INDEX('Lorri 401b'!L:L,MATCH('Retirement Calculator'!A257,'Lorri 401b'!N:N,0),0)</f>
        <v>4590509.7670046743</v>
      </c>
      <c r="S257" s="25">
        <f t="shared" ca="1" si="7"/>
        <v>7219320.9211661909</v>
      </c>
    </row>
    <row r="258" spans="1:19" ht="15.75" customHeight="1" x14ac:dyDescent="0.3">
      <c r="A258" s="37">
        <v>58807</v>
      </c>
      <c r="B258" s="409">
        <f t="shared" ref="B258:C258" si="254">($A258-B$9)/365.25</f>
        <v>79.126625598904866</v>
      </c>
      <c r="C258" s="409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3525.4531757812501</v>
      </c>
      <c r="H258" s="25">
        <f>IF(B258&lt;62,0,'Combined Retirement'!$I$14)</f>
        <v>2192</v>
      </c>
      <c r="I258" s="25">
        <f>IF(C258&lt;62,0,'Combined Retirement'!$I$13)</f>
        <v>2420</v>
      </c>
      <c r="J258" s="25">
        <f t="shared" si="3"/>
        <v>6404.7404596389215</v>
      </c>
      <c r="K258" s="25">
        <f t="shared" si="4"/>
        <v>16520.094745597391</v>
      </c>
      <c r="L258" s="25"/>
      <c r="N258" s="25">
        <f>'Combined Retirement'!$C$18/12</f>
        <v>33932.660666666663</v>
      </c>
      <c r="O258" s="25">
        <f t="shared" si="5"/>
        <v>11007.82546143035</v>
      </c>
      <c r="P258" s="25">
        <f t="shared" si="6"/>
        <v>22924.835205236312</v>
      </c>
      <c r="Q258" s="25">
        <f t="array" aca="1" ref="Q258" ca="1">INDEX('Isaac 401k'!L:L,MATCH('Retirement Calculator'!A258,'Isaac 401k'!N:N,0),0)</f>
        <v>2633333.1070923014</v>
      </c>
      <c r="R258" s="25">
        <f t="array" aca="1" ref="R258" ca="1">INDEX('Lorri 401b'!L:L,MATCH('Retirement Calculator'!A258,'Lorri 401b'!N:N,0),0)</f>
        <v>4593047.9625601564</v>
      </c>
      <c r="S258" s="25">
        <f t="shared" ca="1" si="7"/>
        <v>7226381.0696524577</v>
      </c>
    </row>
    <row r="259" spans="1:19" ht="15.75" customHeight="1" x14ac:dyDescent="0.3">
      <c r="A259" s="37">
        <v>58838</v>
      </c>
      <c r="B259" s="409">
        <f t="shared" ref="B259:C259" si="255">($A259-B$9)/365.25</f>
        <v>79.21149897330595</v>
      </c>
      <c r="C259" s="409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3525.4531757812501</v>
      </c>
      <c r="H259" s="25">
        <f>IF(B259&lt;62,0,'Combined Retirement'!$I$14)</f>
        <v>2192</v>
      </c>
      <c r="I259" s="25">
        <f>IF(C259&lt;62,0,'Combined Retirement'!$I$13)</f>
        <v>2420</v>
      </c>
      <c r="J259" s="25">
        <f t="shared" si="3"/>
        <v>6404.7404596389215</v>
      </c>
      <c r="K259" s="25">
        <f t="shared" si="4"/>
        <v>16520.094745597391</v>
      </c>
      <c r="L259" s="25"/>
      <c r="N259" s="25">
        <f>'Combined Retirement'!$C$18/12</f>
        <v>33932.660666666663</v>
      </c>
      <c r="O259" s="25">
        <f t="shared" si="5"/>
        <v>11007.82546143035</v>
      </c>
      <c r="P259" s="25">
        <f t="shared" si="6"/>
        <v>22924.835205236312</v>
      </c>
      <c r="Q259" s="25">
        <f t="array" aca="1" ref="Q259" ca="1">INDEX('Isaac 401k'!L:L,MATCH('Retirement Calculator'!A259,'Isaac 401k'!N:N,0),0)</f>
        <v>2637873.9014936318</v>
      </c>
      <c r="R259" s="25">
        <f t="array" aca="1" ref="R259" ca="1">INDEX('Lorri 401b'!L:L,MATCH('Retirement Calculator'!A259,'Lorri 401b'!N:N,0),0)</f>
        <v>4595596.7339304527</v>
      </c>
      <c r="S259" s="25">
        <f t="shared" ca="1" si="7"/>
        <v>7233470.635424085</v>
      </c>
    </row>
    <row r="260" spans="1:19" ht="15.75" customHeight="1" x14ac:dyDescent="0.3">
      <c r="A260" s="37">
        <v>58866</v>
      </c>
      <c r="B260" s="409">
        <f t="shared" ref="B260:C260" si="256">($A260-B$9)/365.25</f>
        <v>79.288158795345652</v>
      </c>
      <c r="C260" s="409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3525.4531757812501</v>
      </c>
      <c r="H260" s="25">
        <f>IF(B260&lt;62,0,'Combined Retirement'!$I$14)</f>
        <v>2192</v>
      </c>
      <c r="I260" s="25">
        <f>IF(C260&lt;62,0,'Combined Retirement'!$I$13)</f>
        <v>2420</v>
      </c>
      <c r="J260" s="25">
        <f t="shared" si="3"/>
        <v>6404.7404596389215</v>
      </c>
      <c r="K260" s="25">
        <f t="shared" si="4"/>
        <v>16520.094745597391</v>
      </c>
      <c r="L260" s="25"/>
      <c r="N260" s="25">
        <f>'Combined Retirement'!$C$18/12</f>
        <v>33932.660666666663</v>
      </c>
      <c r="O260" s="25">
        <f t="shared" si="5"/>
        <v>11007.82546143035</v>
      </c>
      <c r="P260" s="25">
        <f t="shared" si="6"/>
        <v>22924.835205236312</v>
      </c>
      <c r="Q260" s="25">
        <f t="array" aca="1" ref="Q260" ca="1">INDEX('Isaac 401k'!L:L,MATCH('Retirement Calculator'!A260,'Isaac 401k'!N:N,0),0)</f>
        <v>2642433.6158716343</v>
      </c>
      <c r="R260" s="25">
        <f t="array" aca="1" ref="R260" ca="1">INDEX('Lorri 401b'!L:L,MATCH('Retirement Calculator'!A260,'Lorri 401b'!N:N,0),0)</f>
        <v>4598156.1251814589</v>
      </c>
      <c r="S260" s="25">
        <f t="shared" ca="1" si="7"/>
        <v>7240589.7410530932</v>
      </c>
    </row>
    <row r="261" spans="1:19" ht="15.75" customHeight="1" x14ac:dyDescent="0.3">
      <c r="A261" s="37">
        <v>58897</v>
      </c>
      <c r="B261" s="409">
        <f t="shared" ref="B261:C261" si="257">($A261-B$9)/365.25</f>
        <v>79.37303216974675</v>
      </c>
      <c r="C261" s="409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3525.4531757812501</v>
      </c>
      <c r="H261" s="25">
        <f>IF(B261&lt;62,0,'Combined Retirement'!$I$14)</f>
        <v>2192</v>
      </c>
      <c r="I261" s="25">
        <f>IF(C261&lt;62,0,'Combined Retirement'!$I$13)</f>
        <v>2420</v>
      </c>
      <c r="J261" s="25">
        <f t="shared" si="3"/>
        <v>6404.7404596389215</v>
      </c>
      <c r="K261" s="25">
        <f t="shared" si="4"/>
        <v>16520.094745597391</v>
      </c>
      <c r="L261" s="25"/>
      <c r="N261" s="25">
        <f>'Combined Retirement'!$C$18/12</f>
        <v>33932.660666666663</v>
      </c>
      <c r="O261" s="25">
        <f t="shared" si="5"/>
        <v>11007.82546143035</v>
      </c>
      <c r="P261" s="25">
        <f t="shared" si="6"/>
        <v>22924.835205236312</v>
      </c>
      <c r="Q261" s="25">
        <f t="array" aca="1" ref="Q261" ca="1">INDEX('Isaac 401k'!L:L,MATCH('Retirement Calculator'!A261,'Isaac 401k'!N:N,0),0)</f>
        <v>2647012.3290595454</v>
      </c>
      <c r="R261" s="25">
        <f t="array" aca="1" ref="R261" ca="1">INDEX('Lorri 401b'!L:L,MATCH('Retirement Calculator'!A261,'Lorri 401b'!N:N,0),0)</f>
        <v>4600726.1805626769</v>
      </c>
      <c r="S261" s="25">
        <f t="shared" ca="1" si="7"/>
        <v>7247738.5096222218</v>
      </c>
    </row>
    <row r="262" spans="1:19" ht="15.75" customHeight="1" x14ac:dyDescent="0.3">
      <c r="A262" s="37">
        <v>58927</v>
      </c>
      <c r="B262" s="409">
        <f t="shared" ref="B262:C262" si="258">($A262-B$9)/365.25</f>
        <v>79.455167693360707</v>
      </c>
      <c r="C262" s="409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3525.4531757812501</v>
      </c>
      <c r="H262" s="25">
        <f>IF(B262&lt;62,0,'Combined Retirement'!$I$14)</f>
        <v>2192</v>
      </c>
      <c r="I262" s="25">
        <f>IF(C262&lt;62,0,'Combined Retirement'!$I$13)</f>
        <v>2420</v>
      </c>
      <c r="J262" s="25">
        <f t="shared" si="3"/>
        <v>6404.7404596389215</v>
      </c>
      <c r="K262" s="25">
        <f t="shared" si="4"/>
        <v>16520.094745597391</v>
      </c>
      <c r="L262" s="25"/>
      <c r="N262" s="25">
        <f>'Combined Retirement'!$C$18/12</f>
        <v>33932.660666666663</v>
      </c>
      <c r="O262" s="25">
        <f t="shared" si="5"/>
        <v>11007.82546143035</v>
      </c>
      <c r="P262" s="25">
        <f t="shared" si="6"/>
        <v>22924.835205236312</v>
      </c>
      <c r="Q262" s="25">
        <f t="array" aca="1" ref="Q262" ca="1">INDEX('Isaac 401k'!L:L,MATCH('Retirement Calculator'!A262,'Isaac 401k'!N:N,0),0)</f>
        <v>2651610.1202190728</v>
      </c>
      <c r="R262" s="25">
        <f t="array" aca="1" ref="R262" ca="1">INDEX('Lorri 401b'!L:L,MATCH('Retirement Calculator'!A262,'Lorri 401b'!N:N,0),0)</f>
        <v>4603306.9445079835</v>
      </c>
      <c r="S262" s="25">
        <f t="shared" ca="1" si="7"/>
        <v>7254917.0647270568</v>
      </c>
    </row>
    <row r="263" spans="1:19" ht="15.75" customHeight="1" x14ac:dyDescent="0.3">
      <c r="A263" s="37">
        <v>58958</v>
      </c>
      <c r="B263" s="409">
        <f t="shared" ref="B263:C263" si="259">($A263-B$9)/365.25</f>
        <v>79.540041067761805</v>
      </c>
      <c r="C263" s="409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3525.4531757812501</v>
      </c>
      <c r="H263" s="25">
        <f>IF(B263&lt;62,0,'Combined Retirement'!$I$14)</f>
        <v>2192</v>
      </c>
      <c r="I263" s="25">
        <f>IF(C263&lt;62,0,'Combined Retirement'!$I$13)</f>
        <v>2420</v>
      </c>
      <c r="J263" s="25">
        <f t="shared" si="3"/>
        <v>6404.7404596389215</v>
      </c>
      <c r="K263" s="25">
        <f t="shared" si="4"/>
        <v>16520.094745597391</v>
      </c>
      <c r="L263" s="25"/>
      <c r="N263" s="25">
        <f>'Combined Retirement'!$C$18/12</f>
        <v>33932.660666666663</v>
      </c>
      <c r="O263" s="25">
        <f t="shared" si="5"/>
        <v>11007.82546143035</v>
      </c>
      <c r="P263" s="25">
        <f t="shared" si="6"/>
        <v>22924.835205236312</v>
      </c>
      <c r="Q263" s="25">
        <f t="array" aca="1" ref="Q263" ca="1">INDEX('Isaac 401k'!L:L,MATCH('Retirement Calculator'!A263,'Isaac 401k'!N:N,0),0)</f>
        <v>2656227.0688417647</v>
      </c>
      <c r="R263" s="25">
        <f t="array" aca="1" ref="R263" ca="1">INDEX('Lorri 401b'!L:L,MATCH('Retirement Calculator'!A263,'Lorri 401b'!N:N,0),0)</f>
        <v>4605898.4616363952</v>
      </c>
      <c r="S263" s="25">
        <f t="shared" ca="1" si="7"/>
        <v>7262125.5304781599</v>
      </c>
    </row>
    <row r="264" spans="1:19" ht="15.75" customHeight="1" x14ac:dyDescent="0.3">
      <c r="A264" s="37">
        <v>58988</v>
      </c>
      <c r="B264" s="409">
        <f t="shared" ref="B264:C264" si="260">($A264-B$9)/365.25</f>
        <v>79.622176591375776</v>
      </c>
      <c r="C264" s="409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3525.4531757812501</v>
      </c>
      <c r="H264" s="25">
        <f>IF(B264&lt;62,0,'Combined Retirement'!$I$14)</f>
        <v>2192</v>
      </c>
      <c r="I264" s="25">
        <f>IF(C264&lt;62,0,'Combined Retirement'!$I$13)</f>
        <v>2420</v>
      </c>
      <c r="J264" s="25">
        <f t="shared" si="3"/>
        <v>6404.7404596389215</v>
      </c>
      <c r="K264" s="25">
        <f t="shared" si="4"/>
        <v>16520.094745597391</v>
      </c>
      <c r="L264" s="25"/>
      <c r="N264" s="25">
        <f>'Combined Retirement'!$C$18/12</f>
        <v>33932.660666666663</v>
      </c>
      <c r="O264" s="25">
        <f t="shared" si="5"/>
        <v>11007.82546143035</v>
      </c>
      <c r="P264" s="25">
        <f t="shared" si="6"/>
        <v>22924.835205236312</v>
      </c>
      <c r="Q264" s="25">
        <f t="array" aca="1" ref="Q264" ca="1">INDEX('Isaac 401k'!L:L,MATCH('Retirement Calculator'!A264,'Isaac 401k'!N:N,0),0)</f>
        <v>2660863.2547503845</v>
      </c>
      <c r="R264" s="25">
        <f t="array" aca="1" ref="R264" ca="1">INDEX('Lorri 401b'!L:L,MATCH('Retirement Calculator'!A264,'Lorri 401b'!N:N,0),0)</f>
        <v>4608500.7767528426</v>
      </c>
      <c r="S264" s="25">
        <f t="shared" ca="1" si="7"/>
        <v>7269364.0315032266</v>
      </c>
    </row>
    <row r="265" spans="1:19" ht="15.75" customHeight="1" x14ac:dyDescent="0.3">
      <c r="A265" s="37">
        <v>59019</v>
      </c>
      <c r="B265" s="409">
        <f t="shared" ref="B265:C265" si="261">($A265-B$9)/365.25</f>
        <v>79.707049965776861</v>
      </c>
      <c r="C265" s="409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3525.4531757812501</v>
      </c>
      <c r="H265" s="25">
        <f>IF(B265&lt;62,0,'Combined Retirement'!$I$14)</f>
        <v>2192</v>
      </c>
      <c r="I265" s="25">
        <f>IF(C265&lt;62,0,'Combined Retirement'!$I$13)</f>
        <v>2420</v>
      </c>
      <c r="J265" s="25">
        <f t="shared" si="3"/>
        <v>6404.7404596389215</v>
      </c>
      <c r="K265" s="25">
        <f t="shared" si="4"/>
        <v>16520.094745597391</v>
      </c>
      <c r="L265" s="25"/>
      <c r="N265" s="25">
        <f>'Combined Retirement'!$C$18/12</f>
        <v>33932.660666666663</v>
      </c>
      <c r="O265" s="25">
        <f t="shared" si="5"/>
        <v>11007.82546143035</v>
      </c>
      <c r="P265" s="25">
        <f t="shared" si="6"/>
        <v>22924.835205236312</v>
      </c>
      <c r="Q265" s="25">
        <f t="array" aca="1" ref="Q265" ca="1">INDEX('Isaac 401k'!L:L,MATCH('Retirement Calculator'!A265,'Isaac 401k'!N:N,0),0)</f>
        <v>2665518.7581002903</v>
      </c>
      <c r="R265" s="25">
        <f t="array" aca="1" ref="R265" ca="1">INDEX('Lorri 401b'!L:L,MATCH('Retirement Calculator'!A265,'Lorri 401b'!N:N,0),0)</f>
        <v>4611113.9348489419</v>
      </c>
      <c r="S265" s="25">
        <f t="shared" ca="1" si="7"/>
        <v>7276632.6929492317</v>
      </c>
    </row>
    <row r="266" spans="1:19" ht="15.75" customHeight="1" x14ac:dyDescent="0.3">
      <c r="A266" s="37">
        <v>59050</v>
      </c>
      <c r="B266" s="409">
        <f t="shared" ref="B266:C266" si="262">($A266-B$9)/365.25</f>
        <v>79.791923340177959</v>
      </c>
      <c r="C266" s="409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3525.4531757812501</v>
      </c>
      <c r="H266" s="25">
        <f>IF(B266&lt;62,0,'Combined Retirement'!$I$14)</f>
        <v>2192</v>
      </c>
      <c r="I266" s="25">
        <f>IF(C266&lt;62,0,'Combined Retirement'!$I$13)</f>
        <v>2420</v>
      </c>
      <c r="J266" s="25">
        <f t="shared" ref="J266:J520" si="263">IF(C266&lt;59.5,P266,P266*$J$7)</f>
        <v>6404.7404596389215</v>
      </c>
      <c r="K266" s="25">
        <f t="shared" ref="K266:K520" si="264">IF(C266&lt;59.5,0,IF(C266&lt;$B$7,0,P266*$K$7))</f>
        <v>16520.094745597391</v>
      </c>
      <c r="L266" s="25"/>
      <c r="N266" s="25">
        <f>'Combined Retirement'!$C$18/12</f>
        <v>33932.660666666663</v>
      </c>
      <c r="O266" s="25">
        <f t="shared" ref="O266:O520" si="265">SUM(E266:I266)</f>
        <v>11007.82546143035</v>
      </c>
      <c r="P266" s="25">
        <f t="shared" ref="P266:P520" si="266">N266-O266</f>
        <v>22924.835205236312</v>
      </c>
      <c r="Q266" s="25">
        <f t="array" aca="1" ref="Q266" ca="1">INDEX('Isaac 401k'!L:L,MATCH('Retirement Calculator'!A266,'Isaac 401k'!N:N,0),0)</f>
        <v>2670193.6593808206</v>
      </c>
      <c r="R266" s="25">
        <f t="array" aca="1" ref="R266" ca="1">INDEX('Lorri 401b'!L:L,MATCH('Retirement Calculator'!A266,'Lorri 401b'!N:N,0),0)</f>
        <v>4613737.9811037751</v>
      </c>
      <c r="S266" s="25">
        <f t="shared" ref="S266:S520" ca="1" si="267">SUM(Q266:R266)</f>
        <v>7283931.6404845957</v>
      </c>
    </row>
    <row r="267" spans="1:19" ht="15.75" customHeight="1" x14ac:dyDescent="0.3">
      <c r="A267" s="37">
        <v>59080</v>
      </c>
      <c r="B267" s="409">
        <f t="shared" ref="B267:C267" si="268">($A267-B$9)/365.25</f>
        <v>79.87405886379193</v>
      </c>
      <c r="C267" s="409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3525.4531757812501</v>
      </c>
      <c r="H267" s="25">
        <f>IF(B267&lt;62,0,'Combined Retirement'!$I$14)</f>
        <v>2192</v>
      </c>
      <c r="I267" s="25">
        <f>IF(C267&lt;62,0,'Combined Retirement'!$I$13)</f>
        <v>2420</v>
      </c>
      <c r="J267" s="25">
        <f t="shared" si="263"/>
        <v>6404.7404596389215</v>
      </c>
      <c r="K267" s="25">
        <f t="shared" si="264"/>
        <v>16520.094745597391</v>
      </c>
      <c r="L267" s="25"/>
      <c r="N267" s="25">
        <f>'Combined Retirement'!$C$18/12</f>
        <v>33932.660666666663</v>
      </c>
      <c r="O267" s="25">
        <f t="shared" si="265"/>
        <v>11007.82546143035</v>
      </c>
      <c r="P267" s="25">
        <f t="shared" si="266"/>
        <v>22924.835205236312</v>
      </c>
      <c r="Q267" s="25">
        <f t="array" aca="1" ref="Q267" ca="1">INDEX('Isaac 401k'!L:L,MATCH('Retirement Calculator'!A267,'Isaac 401k'!N:N,0),0)</f>
        <v>2674888.0394166862</v>
      </c>
      <c r="R267" s="25">
        <f t="array" aca="1" ref="R267" ca="1">INDEX('Lorri 401b'!L:L,MATCH('Retirement Calculator'!A267,'Lorri 401b'!N:N,0),0)</f>
        <v>4616372.9608846698</v>
      </c>
      <c r="S267" s="25">
        <f t="shared" ca="1" si="267"/>
        <v>7291261.0003013555</v>
      </c>
    </row>
    <row r="268" spans="1:19" ht="15.75" customHeight="1" x14ac:dyDescent="0.3">
      <c r="A268" s="37">
        <v>59111</v>
      </c>
      <c r="B268" s="409">
        <f t="shared" ref="B268:C268" si="269">($A268-B$9)/365.25</f>
        <v>79.958932238193015</v>
      </c>
      <c r="C268" s="409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3525.4531757812501</v>
      </c>
      <c r="H268" s="25">
        <f>IF(B268&lt;62,0,'Combined Retirement'!$I$14)</f>
        <v>2192</v>
      </c>
      <c r="I268" s="25">
        <f>IF(C268&lt;62,0,'Combined Retirement'!$I$13)</f>
        <v>2420</v>
      </c>
      <c r="J268" s="25">
        <f t="shared" si="263"/>
        <v>6404.7404596389215</v>
      </c>
      <c r="K268" s="25">
        <f t="shared" si="264"/>
        <v>16520.094745597391</v>
      </c>
      <c r="L268" s="25"/>
      <c r="N268" s="25">
        <f>'Combined Retirement'!$C$18/12</f>
        <v>33932.660666666663</v>
      </c>
      <c r="O268" s="25">
        <f t="shared" si="265"/>
        <v>11007.82546143035</v>
      </c>
      <c r="P268" s="25">
        <f t="shared" si="266"/>
        <v>22924.835205236312</v>
      </c>
      <c r="Q268" s="25">
        <f t="array" aca="1" ref="Q268" ca="1">INDEX('Isaac 401k'!L:L,MATCH('Retirement Calculator'!A268,'Isaac 401k'!N:N,0),0)</f>
        <v>2679601.9793693679</v>
      </c>
      <c r="R268" s="25">
        <f t="array" aca="1" ref="R268" ca="1">INDEX('Lorri 401b'!L:L,MATCH('Retirement Calculator'!A268,'Lorri 401b'!N:N,0),0)</f>
        <v>4619018.919747985</v>
      </c>
      <c r="S268" s="25">
        <f t="shared" ca="1" si="267"/>
        <v>7298620.8991173524</v>
      </c>
    </row>
    <row r="269" spans="1:19" ht="15.75" customHeight="1" x14ac:dyDescent="0.3">
      <c r="A269" s="37">
        <v>59141</v>
      </c>
      <c r="B269" s="409">
        <f t="shared" ref="B269:C269" si="270">($A269-B$9)/365.25</f>
        <v>80.041067761806985</v>
      </c>
      <c r="C269" s="409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3525.4531757812501</v>
      </c>
      <c r="H269" s="25">
        <f>IF(B269&lt;62,0,'Combined Retirement'!$I$14)</f>
        <v>2192</v>
      </c>
      <c r="I269" s="25">
        <f>IF(C269&lt;62,0,'Combined Retirement'!$I$13)</f>
        <v>2420</v>
      </c>
      <c r="J269" s="25">
        <f t="shared" si="263"/>
        <v>6404.7404596389215</v>
      </c>
      <c r="K269" s="25">
        <f t="shared" si="264"/>
        <v>16520.094745597391</v>
      </c>
      <c r="L269" s="25"/>
      <c r="N269" s="25">
        <f>'Combined Retirement'!$C$18/12</f>
        <v>33932.660666666663</v>
      </c>
      <c r="O269" s="25">
        <f t="shared" si="265"/>
        <v>11007.82546143035</v>
      </c>
      <c r="P269" s="25">
        <f t="shared" si="266"/>
        <v>22924.835205236312</v>
      </c>
      <c r="Q269" s="25">
        <f t="array" aca="1" ref="Q269" ca="1">INDEX('Isaac 401k'!L:L,MATCH('Retirement Calculator'!A269,'Isaac 401k'!N:N,0),0)</f>
        <v>2684335.5607385193</v>
      </c>
      <c r="R269" s="25">
        <f t="array" aca="1" ref="R269" ca="1">INDEX('Lorri 401b'!L:L,MATCH('Retirement Calculator'!A269,'Lorri 401b'!N:N,0),0)</f>
        <v>4621675.9034398971</v>
      </c>
      <c r="S269" s="25">
        <f t="shared" ca="1" si="267"/>
        <v>7306011.4641784169</v>
      </c>
    </row>
    <row r="270" spans="1:19" ht="15.75" customHeight="1" x14ac:dyDescent="0.3">
      <c r="A270" s="37">
        <v>59172</v>
      </c>
      <c r="B270" s="409">
        <f t="shared" ref="B270:C270" si="271">($A270-B$9)/365.25</f>
        <v>80.12594113620807</v>
      </c>
      <c r="C270" s="409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3525.4531757812501</v>
      </c>
      <c r="H270" s="25">
        <f>IF(B270&lt;62,0,'Combined Retirement'!$I$14)</f>
        <v>2192</v>
      </c>
      <c r="I270" s="25">
        <f>IF(C270&lt;62,0,'Combined Retirement'!$I$13)</f>
        <v>2420</v>
      </c>
      <c r="J270" s="25">
        <f t="shared" si="263"/>
        <v>6404.7404596389215</v>
      </c>
      <c r="K270" s="25">
        <f t="shared" si="264"/>
        <v>16520.094745597391</v>
      </c>
      <c r="L270" s="25"/>
      <c r="N270" s="25">
        <f>'Combined Retirement'!$C$18/12</f>
        <v>33932.660666666663</v>
      </c>
      <c r="O270" s="25">
        <f t="shared" si="265"/>
        <v>11007.82546143035</v>
      </c>
      <c r="P270" s="25">
        <f t="shared" si="266"/>
        <v>22924.835205236312</v>
      </c>
      <c r="Q270" s="25">
        <f t="array" aca="1" ref="Q270" ca="1">INDEX('Isaac 401k'!L:L,MATCH('Retirement Calculator'!A270,'Isaac 401k'!N:N,0),0)</f>
        <v>2689088.8653633757</v>
      </c>
      <c r="R270" s="25">
        <f t="array" aca="1" ref="R270" ca="1">INDEX('Lorri 401b'!L:L,MATCH('Retirement Calculator'!A270,'Lorri 401b'!N:N,0),0)</f>
        <v>4624343.9578971919</v>
      </c>
      <c r="S270" s="25">
        <f t="shared" ca="1" si="267"/>
        <v>7313432.8232605681</v>
      </c>
    </row>
    <row r="271" spans="1:19" ht="15.75" customHeight="1" x14ac:dyDescent="0.3">
      <c r="A271" s="37">
        <v>59203</v>
      </c>
      <c r="B271" s="409">
        <f t="shared" ref="B271:C271" si="272">($A271-B$9)/365.25</f>
        <v>80.210814510609168</v>
      </c>
      <c r="C271" s="409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3525.4531757812501</v>
      </c>
      <c r="H271" s="25">
        <f>IF(B271&lt;62,0,'Combined Retirement'!$I$14)</f>
        <v>2192</v>
      </c>
      <c r="I271" s="25">
        <f>IF(C271&lt;62,0,'Combined Retirement'!$I$13)</f>
        <v>2420</v>
      </c>
      <c r="J271" s="25">
        <f t="shared" si="263"/>
        <v>6404.7404596389215</v>
      </c>
      <c r="K271" s="25">
        <f t="shared" si="264"/>
        <v>16520.094745597391</v>
      </c>
      <c r="L271" s="25"/>
      <c r="N271" s="25">
        <f>'Combined Retirement'!$C$18/12</f>
        <v>33932.660666666663</v>
      </c>
      <c r="O271" s="25">
        <f t="shared" si="265"/>
        <v>11007.82546143035</v>
      </c>
      <c r="P271" s="25">
        <f t="shared" si="266"/>
        <v>22924.835205236312</v>
      </c>
      <c r="Q271" s="25">
        <f t="array" aca="1" ref="Q271" ca="1">INDEX('Isaac 401k'!L:L,MATCH('Retirement Calculator'!A271,'Isaac 401k'!N:N,0),0)</f>
        <v>2693861.9754241691</v>
      </c>
      <c r="R271" s="25">
        <f t="array" aca="1" ref="R271" ca="1">INDEX('Lorri 401b'!L:L,MATCH('Retirement Calculator'!A271,'Lorri 401b'!N:N,0),0)</f>
        <v>4627023.1292480594</v>
      </c>
      <c r="S271" s="25">
        <f t="shared" ca="1" si="267"/>
        <v>7320885.1046722289</v>
      </c>
    </row>
    <row r="272" spans="1:19" ht="15.75" customHeight="1" x14ac:dyDescent="0.3">
      <c r="A272" s="37">
        <v>59231</v>
      </c>
      <c r="B272" s="409">
        <f t="shared" ref="B272:C272" si="273">($A272-B$9)/365.25</f>
        <v>80.28747433264887</v>
      </c>
      <c r="C272" s="409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3525.4531757812501</v>
      </c>
      <c r="H272" s="25">
        <f>IF(B272&lt;62,0,'Combined Retirement'!$I$14)</f>
        <v>2192</v>
      </c>
      <c r="I272" s="25">
        <f>IF(C272&lt;62,0,'Combined Retirement'!$I$13)</f>
        <v>2420</v>
      </c>
      <c r="J272" s="25">
        <f t="shared" si="263"/>
        <v>6404.7404596389215</v>
      </c>
      <c r="K272" s="25">
        <f t="shared" si="264"/>
        <v>16520.094745597391</v>
      </c>
      <c r="L272" s="25"/>
      <c r="N272" s="25">
        <f>'Combined Retirement'!$C$18/12</f>
        <v>33932.660666666663</v>
      </c>
      <c r="O272" s="25">
        <f t="shared" si="265"/>
        <v>11007.82546143035</v>
      </c>
      <c r="P272" s="25">
        <f t="shared" si="266"/>
        <v>22924.835205236312</v>
      </c>
      <c r="Q272" s="25">
        <f t="array" aca="1" ref="Q272" ca="1">INDEX('Isaac 401k'!L:L,MATCH('Retirement Calculator'!A272,'Isaac 401k'!N:N,0),0)</f>
        <v>2698654.9734435487</v>
      </c>
      <c r="R272" s="25">
        <f t="array" aca="1" ref="R272" ca="1">INDEX('Lorri 401b'!L:L,MATCH('Retirement Calculator'!A272,'Lorri 401b'!N:N,0),0)</f>
        <v>4629713.4638128886</v>
      </c>
      <c r="S272" s="25">
        <f t="shared" ca="1" si="267"/>
        <v>7328368.4372564368</v>
      </c>
    </row>
    <row r="273" spans="1:19" ht="15.75" customHeight="1" x14ac:dyDescent="0.3">
      <c r="A273" s="37">
        <v>59262</v>
      </c>
      <c r="B273" s="409">
        <f t="shared" ref="B273:C273" si="274">($A273-B$9)/365.25</f>
        <v>80.372347707049968</v>
      </c>
      <c r="C273" s="409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3525.4531757812501</v>
      </c>
      <c r="H273" s="25">
        <f>IF(B273&lt;62,0,'Combined Retirement'!$I$14)</f>
        <v>2192</v>
      </c>
      <c r="I273" s="25">
        <f>IF(C273&lt;62,0,'Combined Retirement'!$I$13)</f>
        <v>2420</v>
      </c>
      <c r="J273" s="25">
        <f t="shared" si="263"/>
        <v>6404.7404596389215</v>
      </c>
      <c r="K273" s="25">
        <f t="shared" si="264"/>
        <v>16520.094745597391</v>
      </c>
      <c r="L273" s="25"/>
      <c r="N273" s="25">
        <f>'Combined Retirement'!$C$18/12</f>
        <v>33932.660666666663</v>
      </c>
      <c r="O273" s="25">
        <f t="shared" si="265"/>
        <v>11007.82546143035</v>
      </c>
      <c r="P273" s="25">
        <f t="shared" si="266"/>
        <v>22924.835205236312</v>
      </c>
      <c r="Q273" s="25">
        <f t="array" aca="1" ref="Q273" ca="1">INDEX('Isaac 401k'!L:L,MATCH('Retirement Calculator'!A273,'Isaac 401k'!N:N,0),0)</f>
        <v>2703467.942288009</v>
      </c>
      <c r="R273" s="25">
        <f t="array" aca="1" ref="R273" ca="1">INDEX('Lorri 401b'!L:L,MATCH('Retirement Calculator'!A273,'Lorri 401b'!N:N,0),0)</f>
        <v>4632415.0081050713</v>
      </c>
      <c r="S273" s="25">
        <f t="shared" ca="1" si="267"/>
        <v>7335882.9503930807</v>
      </c>
    </row>
    <row r="274" spans="1:19" ht="15.75" customHeight="1" x14ac:dyDescent="0.3">
      <c r="A274" s="37">
        <v>59292</v>
      </c>
      <c r="B274" s="409">
        <f t="shared" ref="B274:C274" si="275">($A274-B$9)/365.25</f>
        <v>80.454483230663925</v>
      </c>
      <c r="C274" s="409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3525.4531757812501</v>
      </c>
      <c r="H274" s="25">
        <f>IF(B274&lt;62,0,'Combined Retirement'!$I$14)</f>
        <v>2192</v>
      </c>
      <c r="I274" s="25">
        <f>IF(C274&lt;62,0,'Combined Retirement'!$I$13)</f>
        <v>2420</v>
      </c>
      <c r="J274" s="25">
        <f t="shared" si="263"/>
        <v>6404.7404596389215</v>
      </c>
      <c r="K274" s="25">
        <f t="shared" si="264"/>
        <v>16520.094745597391</v>
      </c>
      <c r="L274" s="25"/>
      <c r="N274" s="25">
        <f>'Combined Retirement'!$C$18/12</f>
        <v>33932.660666666663</v>
      </c>
      <c r="O274" s="25">
        <f t="shared" si="265"/>
        <v>11007.82546143035</v>
      </c>
      <c r="P274" s="25">
        <f t="shared" si="266"/>
        <v>22924.835205236312</v>
      </c>
      <c r="Q274" s="25">
        <f t="array" aca="1" ref="Q274" ca="1">INDEX('Isaac 401k'!L:L,MATCH('Retirement Calculator'!A274,'Isaac 401k'!N:N,0),0)</f>
        <v>2708300.9651693213</v>
      </c>
      <c r="R274" s="25">
        <f t="array" aca="1" ref="R274" ca="1">INDEX('Lorri 401b'!L:L,MATCH('Retirement Calculator'!A274,'Lorri 401b'!N:N,0),0)</f>
        <v>4635127.8088318044</v>
      </c>
      <c r="S274" s="25">
        <f t="shared" ca="1" si="267"/>
        <v>7343428.7740011252</v>
      </c>
    </row>
    <row r="275" spans="1:19" ht="15.75" customHeight="1" x14ac:dyDescent="0.3">
      <c r="A275" s="37">
        <v>59323</v>
      </c>
      <c r="B275" s="409">
        <f t="shared" ref="B275:C275" si="276">($A275-B$9)/365.25</f>
        <v>80.539356605065024</v>
      </c>
      <c r="C275" s="409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3525.4531757812501</v>
      </c>
      <c r="H275" s="25">
        <f>IF(B275&lt;62,0,'Combined Retirement'!$I$14)</f>
        <v>2192</v>
      </c>
      <c r="I275" s="25">
        <f>IF(C275&lt;62,0,'Combined Retirement'!$I$13)</f>
        <v>2420</v>
      </c>
      <c r="J275" s="25">
        <f t="shared" si="263"/>
        <v>6404.7404596389215</v>
      </c>
      <c r="K275" s="25">
        <f t="shared" si="264"/>
        <v>16520.094745597391</v>
      </c>
      <c r="L275" s="25"/>
      <c r="N275" s="25">
        <f>'Combined Retirement'!$C$18/12</f>
        <v>33932.660666666663</v>
      </c>
      <c r="O275" s="25">
        <f t="shared" si="265"/>
        <v>11007.82546143035</v>
      </c>
      <c r="P275" s="25">
        <f t="shared" si="266"/>
        <v>22924.835205236312</v>
      </c>
      <c r="Q275" s="25">
        <f t="array" aca="1" ref="Q275" ca="1">INDEX('Isaac 401k'!L:L,MATCH('Retirement Calculator'!A275,'Isaac 401k'!N:N,0),0)</f>
        <v>2713154.1256459723</v>
      </c>
      <c r="R275" s="25">
        <f t="array" aca="1" ref="R275" ca="1">INDEX('Lorri 401b'!L:L,MATCH('Retirement Calculator'!A275,'Lorri 401b'!N:N,0),0)</f>
        <v>4637851.912894899</v>
      </c>
      <c r="S275" s="25">
        <f t="shared" ca="1" si="267"/>
        <v>7351006.0385408718</v>
      </c>
    </row>
    <row r="276" spans="1:19" ht="15.75" customHeight="1" x14ac:dyDescent="0.3">
      <c r="A276" s="37">
        <v>59353</v>
      </c>
      <c r="B276" s="409">
        <f t="shared" ref="B276:C276" si="277">($A276-B$9)/365.25</f>
        <v>80.62149212867898</v>
      </c>
      <c r="C276" s="409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3525.4531757812501</v>
      </c>
      <c r="H276" s="25">
        <f>IF(B276&lt;62,0,'Combined Retirement'!$I$14)</f>
        <v>2192</v>
      </c>
      <c r="I276" s="25">
        <f>IF(C276&lt;62,0,'Combined Retirement'!$I$13)</f>
        <v>2420</v>
      </c>
      <c r="J276" s="25">
        <f t="shared" si="263"/>
        <v>6404.7404596389215</v>
      </c>
      <c r="K276" s="25">
        <f t="shared" si="264"/>
        <v>16520.094745597391</v>
      </c>
      <c r="L276" s="25"/>
      <c r="N276" s="25">
        <f>'Combined Retirement'!$C$18/12</f>
        <v>33932.660666666663</v>
      </c>
      <c r="O276" s="25">
        <f t="shared" si="265"/>
        <v>11007.82546143035</v>
      </c>
      <c r="P276" s="25">
        <f t="shared" si="266"/>
        <v>22924.835205236312</v>
      </c>
      <c r="Q276" s="25">
        <f t="array" aca="1" ref="Q276" ca="1">INDEX('Isaac 401k'!L:L,MATCH('Retirement Calculator'!A276,'Isaac 401k'!N:N,0),0)</f>
        <v>2718027.5076246094</v>
      </c>
      <c r="R276" s="25">
        <f t="array" aca="1" ref="R276" ca="1">INDEX('Lorri 401b'!L:L,MATCH('Retirement Calculator'!A276,'Lorri 401b'!N:N,0),0)</f>
        <v>4640587.36739159</v>
      </c>
      <c r="S276" s="25">
        <f t="shared" ca="1" si="267"/>
        <v>7358614.8750161994</v>
      </c>
    </row>
    <row r="277" spans="1:19" ht="15.75" customHeight="1" x14ac:dyDescent="0.3">
      <c r="A277" s="37">
        <v>59384</v>
      </c>
      <c r="B277" s="409">
        <f t="shared" ref="B277:C277" si="278">($A277-B$9)/365.25</f>
        <v>80.706365503080079</v>
      </c>
      <c r="C277" s="409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3525.4531757812501</v>
      </c>
      <c r="H277" s="25">
        <f>IF(B277&lt;62,0,'Combined Retirement'!$I$14)</f>
        <v>2192</v>
      </c>
      <c r="I277" s="25">
        <f>IF(C277&lt;62,0,'Combined Retirement'!$I$13)</f>
        <v>2420</v>
      </c>
      <c r="J277" s="25">
        <f t="shared" si="263"/>
        <v>6404.7404596389215</v>
      </c>
      <c r="K277" s="25">
        <f t="shared" si="264"/>
        <v>16520.094745597391</v>
      </c>
      <c r="L277" s="25"/>
      <c r="N277" s="25">
        <f>'Combined Retirement'!$C$18/12</f>
        <v>33932.660666666663</v>
      </c>
      <c r="O277" s="25">
        <f t="shared" si="265"/>
        <v>11007.82546143035</v>
      </c>
      <c r="P277" s="25">
        <f t="shared" si="266"/>
        <v>22924.835205236312</v>
      </c>
      <c r="Q277" s="25">
        <f t="array" aca="1" ref="Q277" ca="1">INDEX('Isaac 401k'!L:L,MATCH('Retirement Calculator'!A277,'Isaac 401k'!N:N,0),0)</f>
        <v>2722921.1953614908</v>
      </c>
      <c r="R277" s="25">
        <f t="array" aca="1" ref="R277" ca="1">INDEX('Lorri 401b'!L:L,MATCH('Retirement Calculator'!A277,'Lorri 401b'!N:N,0),0)</f>
        <v>4643334.2196153505</v>
      </c>
      <c r="S277" s="25">
        <f t="shared" ca="1" si="267"/>
        <v>7366255.4149768408</v>
      </c>
    </row>
    <row r="278" spans="1:19" ht="15.75" customHeight="1" x14ac:dyDescent="0.3">
      <c r="A278" s="37">
        <v>59415</v>
      </c>
      <c r="B278" s="409">
        <f t="shared" ref="B278:C278" si="279">($A278-B$9)/365.25</f>
        <v>80.791238877481177</v>
      </c>
      <c r="C278" s="409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3525.4531757812501</v>
      </c>
      <c r="H278" s="25">
        <f>IF(B278&lt;62,0,'Combined Retirement'!$I$14)</f>
        <v>2192</v>
      </c>
      <c r="I278" s="25">
        <f>IF(C278&lt;62,0,'Combined Retirement'!$I$13)</f>
        <v>2420</v>
      </c>
      <c r="J278" s="25">
        <f t="shared" si="263"/>
        <v>6404.7404596389215</v>
      </c>
      <c r="K278" s="25">
        <f t="shared" si="264"/>
        <v>16520.094745597391</v>
      </c>
      <c r="L278" s="25"/>
      <c r="N278" s="25">
        <f>'Combined Retirement'!$C$18/12</f>
        <v>33932.660666666663</v>
      </c>
      <c r="O278" s="25">
        <f t="shared" si="265"/>
        <v>11007.82546143035</v>
      </c>
      <c r="P278" s="25">
        <f t="shared" si="266"/>
        <v>22924.835205236312</v>
      </c>
      <c r="Q278" s="25">
        <f t="array" aca="1" ref="Q278" ca="1">INDEX('Isaac 401k'!L:L,MATCH('Retirement Calculator'!A278,'Isaac 401k'!N:N,0),0)</f>
        <v>2727835.2734639426</v>
      </c>
      <c r="R278" s="25">
        <f t="array" aca="1" ref="R278" ca="1">INDEX('Lorri 401b'!L:L,MATCH('Retirement Calculator'!A278,'Lorri 401b'!N:N,0),0)</f>
        <v>4646092.5170567101</v>
      </c>
      <c r="S278" s="25">
        <f t="shared" ca="1" si="267"/>
        <v>7373927.7905206531</v>
      </c>
    </row>
    <row r="279" spans="1:19" ht="15.75" customHeight="1" x14ac:dyDescent="0.3">
      <c r="A279" s="37">
        <v>59445</v>
      </c>
      <c r="B279" s="409">
        <f t="shared" ref="B279:C279" si="280">($A279-B$9)/365.25</f>
        <v>80.873374401095134</v>
      </c>
      <c r="C279" s="409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3525.4531757812501</v>
      </c>
      <c r="H279" s="25">
        <f>IF(B279&lt;62,0,'Combined Retirement'!$I$14)</f>
        <v>2192</v>
      </c>
      <c r="I279" s="25">
        <f>IF(C279&lt;62,0,'Combined Retirement'!$I$13)</f>
        <v>2420</v>
      </c>
      <c r="J279" s="25">
        <f t="shared" si="263"/>
        <v>6404.7404596389215</v>
      </c>
      <c r="K279" s="25">
        <f t="shared" si="264"/>
        <v>16520.094745597391</v>
      </c>
      <c r="L279" s="25"/>
      <c r="N279" s="25">
        <f>'Combined Retirement'!$C$18/12</f>
        <v>33932.660666666663</v>
      </c>
      <c r="O279" s="25">
        <f t="shared" si="265"/>
        <v>11007.82546143035</v>
      </c>
      <c r="P279" s="25">
        <f t="shared" si="266"/>
        <v>22924.835205236312</v>
      </c>
      <c r="Q279" s="25">
        <f t="array" aca="1" ref="Q279" ca="1">INDEX('Isaac 401k'!L:L,MATCH('Retirement Calculator'!A279,'Isaac 401k'!N:N,0),0)</f>
        <v>2732769.8268918213</v>
      </c>
      <c r="R279" s="25">
        <f t="array" aca="1" ref="R279" ca="1">INDEX('Lorri 401b'!L:L,MATCH('Retirement Calculator'!A279,'Lorri 401b'!N:N,0),0)</f>
        <v>4648862.3074040748</v>
      </c>
      <c r="S279" s="25">
        <f t="shared" ca="1" si="267"/>
        <v>7381632.1342958957</v>
      </c>
    </row>
    <row r="280" spans="1:19" ht="15.75" customHeight="1" x14ac:dyDescent="0.3">
      <c r="A280" s="37">
        <v>59476</v>
      </c>
      <c r="B280" s="409">
        <f t="shared" ref="B280:C280" si="281">($A280-B$9)/365.25</f>
        <v>80.958247775496233</v>
      </c>
      <c r="C280" s="409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3525.4531757812501</v>
      </c>
      <c r="H280" s="25">
        <f>IF(B280&lt;62,0,'Combined Retirement'!$I$14)</f>
        <v>2192</v>
      </c>
      <c r="I280" s="25">
        <f>IF(C280&lt;62,0,'Combined Retirement'!$I$13)</f>
        <v>2420</v>
      </c>
      <c r="J280" s="25">
        <f t="shared" si="263"/>
        <v>6404.7404596389215</v>
      </c>
      <c r="K280" s="25">
        <f t="shared" si="264"/>
        <v>16520.094745597391</v>
      </c>
      <c r="L280" s="25"/>
      <c r="N280" s="25">
        <f>'Combined Retirement'!$C$18/12</f>
        <v>33932.660666666663</v>
      </c>
      <c r="O280" s="25">
        <f t="shared" si="265"/>
        <v>11007.82546143035</v>
      </c>
      <c r="P280" s="25">
        <f t="shared" si="266"/>
        <v>22924.835205236312</v>
      </c>
      <c r="Q280" s="25">
        <f t="array" aca="1" ref="Q280" ca="1">INDEX('Isaac 401k'!L:L,MATCH('Retirement Calculator'!A280,'Isaac 401k'!N:N,0),0)</f>
        <v>2737724.9409589828</v>
      </c>
      <c r="R280" s="25">
        <f t="array" aca="1" ref="R280" ca="1">INDEX('Lorri 401b'!L:L,MATCH('Retirement Calculator'!A280,'Lorri 401b'!N:N,0),0)</f>
        <v>4651643.6385445539</v>
      </c>
      <c r="S280" s="25">
        <f t="shared" ca="1" si="267"/>
        <v>7389368.5795035362</v>
      </c>
    </row>
    <row r="281" spans="1:19" ht="15.75" customHeight="1" x14ac:dyDescent="0.3">
      <c r="A281" s="37">
        <v>59506</v>
      </c>
      <c r="B281" s="409">
        <f t="shared" ref="B281:C281" si="282">($A281-B$9)/365.25</f>
        <v>81.040383299110204</v>
      </c>
      <c r="C281" s="409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3525.4531757812501</v>
      </c>
      <c r="H281" s="25">
        <f>IF(B281&lt;62,0,'Combined Retirement'!$I$14)</f>
        <v>2192</v>
      </c>
      <c r="I281" s="25">
        <f>IF(C281&lt;62,0,'Combined Retirement'!$I$13)</f>
        <v>2420</v>
      </c>
      <c r="J281" s="25">
        <f t="shared" si="263"/>
        <v>6404.7404596389215</v>
      </c>
      <c r="K281" s="25">
        <f t="shared" si="264"/>
        <v>16520.094745597391</v>
      </c>
      <c r="L281" s="25"/>
      <c r="N281" s="25">
        <f>'Combined Retirement'!$C$18/12</f>
        <v>33932.660666666663</v>
      </c>
      <c r="O281" s="25">
        <f t="shared" si="265"/>
        <v>11007.82546143035</v>
      </c>
      <c r="P281" s="25">
        <f t="shared" si="266"/>
        <v>22924.835205236312</v>
      </c>
      <c r="Q281" s="25">
        <f t="array" aca="1" ref="Q281" ca="1">INDEX('Isaac 401k'!L:L,MATCH('Retirement Calculator'!A281,'Isaac 401k'!N:N,0),0)</f>
        <v>2742700.7013347577</v>
      </c>
      <c r="R281" s="25">
        <f t="array" aca="1" ref="R281" ca="1">INDEX('Lorri 401b'!L:L,MATCH('Retirement Calculator'!A281,'Lorri 401b'!N:N,0),0)</f>
        <v>4654436.5585647849</v>
      </c>
      <c r="S281" s="25">
        <f t="shared" ca="1" si="267"/>
        <v>7397137.2598995427</v>
      </c>
    </row>
    <row r="282" spans="1:19" ht="15.75" customHeight="1" x14ac:dyDescent="0.3">
      <c r="A282" s="37">
        <v>59537</v>
      </c>
      <c r="B282" s="409">
        <f t="shared" ref="B282:C282" si="283">($A282-B$9)/365.25</f>
        <v>81.125256673511288</v>
      </c>
      <c r="C282" s="409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3525.4531757812501</v>
      </c>
      <c r="H282" s="25">
        <f>IF(B282&lt;62,0,'Combined Retirement'!$I$14)</f>
        <v>2192</v>
      </c>
      <c r="I282" s="25">
        <f>IF(C282&lt;62,0,'Combined Retirement'!$I$13)</f>
        <v>2420</v>
      </c>
      <c r="J282" s="25">
        <f t="shared" si="263"/>
        <v>6404.7404596389215</v>
      </c>
      <c r="K282" s="25">
        <f t="shared" si="264"/>
        <v>16520.094745597391</v>
      </c>
      <c r="L282" s="25"/>
      <c r="N282" s="25">
        <f>'Combined Retirement'!$C$18/12</f>
        <v>33932.660666666663</v>
      </c>
      <c r="O282" s="25">
        <f t="shared" si="265"/>
        <v>11007.82546143035</v>
      </c>
      <c r="P282" s="25">
        <f t="shared" si="266"/>
        <v>22924.835205236312</v>
      </c>
      <c r="Q282" s="25">
        <f t="array" aca="1" ref="Q282" ca="1">INDEX('Isaac 401k'!L:L,MATCH('Retirement Calculator'!A282,'Isaac 401k'!N:N,0),0)</f>
        <v>2747697.1940454314</v>
      </c>
      <c r="R282" s="25">
        <f t="array" aca="1" ref="R282" ca="1">INDEX('Lorri 401b'!L:L,MATCH('Retirement Calculator'!A282,'Lorri 401b'!N:N,0),0)</f>
        <v>4657241.1157517675</v>
      </c>
      <c r="S282" s="25">
        <f t="shared" ca="1" si="267"/>
        <v>7404938.3097971994</v>
      </c>
    </row>
    <row r="283" spans="1:19" ht="15.75" customHeight="1" x14ac:dyDescent="0.3">
      <c r="A283" s="37">
        <v>59568</v>
      </c>
      <c r="B283" s="409">
        <f t="shared" ref="B283:C283" si="284">($A283-B$9)/365.25</f>
        <v>81.210130047912386</v>
      </c>
      <c r="C283" s="409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3525.4531757812501</v>
      </c>
      <c r="H283" s="25">
        <f>IF(B283&lt;62,0,'Combined Retirement'!$I$14)</f>
        <v>2192</v>
      </c>
      <c r="I283" s="25">
        <f>IF(C283&lt;62,0,'Combined Retirement'!$I$13)</f>
        <v>2420</v>
      </c>
      <c r="J283" s="25">
        <f t="shared" si="263"/>
        <v>6404.7404596389215</v>
      </c>
      <c r="K283" s="25">
        <f t="shared" si="264"/>
        <v>16520.094745597391</v>
      </c>
      <c r="L283" s="25"/>
      <c r="N283" s="25">
        <f>'Combined Retirement'!$C$18/12</f>
        <v>33932.660666666663</v>
      </c>
      <c r="O283" s="25">
        <f t="shared" si="265"/>
        <v>11007.82546143035</v>
      </c>
      <c r="P283" s="25">
        <f t="shared" si="266"/>
        <v>22924.835205236312</v>
      </c>
      <c r="Q283" s="25">
        <f t="array" aca="1" ref="Q283" ca="1">INDEX('Isaac 401k'!L:L,MATCH('Retirement Calculator'!A283,'Isaac 401k'!N:N,0),0)</f>
        <v>2752714.505475733</v>
      </c>
      <c r="R283" s="25">
        <f t="array" aca="1" ref="R283" ca="1">INDEX('Lorri 401b'!L:L,MATCH('Retirement Calculator'!A283,'Lorri 401b'!N:N,0),0)</f>
        <v>4660057.3585936958</v>
      </c>
      <c r="S283" s="25">
        <f t="shared" ca="1" si="267"/>
        <v>7412771.8640694283</v>
      </c>
    </row>
    <row r="284" spans="1:19" ht="15.75" customHeight="1" x14ac:dyDescent="0.3">
      <c r="A284" s="37">
        <v>59596</v>
      </c>
      <c r="B284" s="409">
        <f t="shared" ref="B284:C284" si="285">($A284-B$9)/365.25</f>
        <v>81.286789869952088</v>
      </c>
      <c r="C284" s="409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3525.4531757812501</v>
      </c>
      <c r="H284" s="25">
        <f>IF(B284&lt;62,0,'Combined Retirement'!$I$14)</f>
        <v>2192</v>
      </c>
      <c r="I284" s="25">
        <f>IF(C284&lt;62,0,'Combined Retirement'!$I$13)</f>
        <v>2420</v>
      </c>
      <c r="J284" s="25">
        <f t="shared" si="263"/>
        <v>6404.7404596389215</v>
      </c>
      <c r="K284" s="25">
        <f t="shared" si="264"/>
        <v>16520.094745597391</v>
      </c>
      <c r="L284" s="25"/>
      <c r="N284" s="25">
        <f>'Combined Retirement'!$C$18/12</f>
        <v>33932.660666666663</v>
      </c>
      <c r="O284" s="25">
        <f t="shared" si="265"/>
        <v>11007.82546143035</v>
      </c>
      <c r="P284" s="25">
        <f t="shared" si="266"/>
        <v>22924.835205236312</v>
      </c>
      <c r="Q284" s="25">
        <f t="array" aca="1" ref="Q284" ca="1">INDEX('Isaac 401k'!L:L,MATCH('Retirement Calculator'!A284,'Isaac 401k'!N:N,0),0)</f>
        <v>2757752.7223703275</v>
      </c>
      <c r="R284" s="25">
        <f t="array" aca="1" ref="R284" ca="1">INDEX('Lorri 401b'!L:L,MATCH('Retirement Calculator'!A284,'Lorri 401b'!N:N,0),0)</f>
        <v>4662885.3357807985</v>
      </c>
      <c r="S284" s="25">
        <f t="shared" ca="1" si="267"/>
        <v>7420638.0581511259</v>
      </c>
    </row>
    <row r="285" spans="1:19" ht="15.75" customHeight="1" x14ac:dyDescent="0.3">
      <c r="A285" s="37">
        <v>59627</v>
      </c>
      <c r="B285" s="409">
        <f t="shared" ref="B285:C285" si="286">($A285-B$9)/365.25</f>
        <v>81.371663244353186</v>
      </c>
      <c r="C285" s="409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3525.4531757812501</v>
      </c>
      <c r="H285" s="25">
        <f>IF(B285&lt;62,0,'Combined Retirement'!$I$14)</f>
        <v>2192</v>
      </c>
      <c r="I285" s="25">
        <f>IF(C285&lt;62,0,'Combined Retirement'!$I$13)</f>
        <v>2420</v>
      </c>
      <c r="J285" s="25">
        <f t="shared" si="263"/>
        <v>6404.7404596389215</v>
      </c>
      <c r="K285" s="25">
        <f t="shared" si="264"/>
        <v>16520.094745597391</v>
      </c>
      <c r="L285" s="25"/>
      <c r="N285" s="25">
        <f>'Combined Retirement'!$C$18/12</f>
        <v>33932.660666666663</v>
      </c>
      <c r="O285" s="25">
        <f t="shared" si="265"/>
        <v>11007.82546143035</v>
      </c>
      <c r="P285" s="25">
        <f t="shared" si="266"/>
        <v>22924.835205236312</v>
      </c>
      <c r="Q285" s="25">
        <f t="array" aca="1" ref="Q285" ca="1">INDEX('Isaac 401k'!L:L,MATCH('Retirement Calculator'!A285,'Isaac 401k'!N:N,0),0)</f>
        <v>2762811.9318353161</v>
      </c>
      <c r="R285" s="25">
        <f t="array" aca="1" ref="R285" ca="1">INDEX('Lorri 401b'!L:L,MATCH('Retirement Calculator'!A285,'Lorri 401b'!N:N,0),0)</f>
        <v>4665725.0962061808</v>
      </c>
      <c r="S285" s="25">
        <f t="shared" ca="1" si="267"/>
        <v>7428537.0280414969</v>
      </c>
    </row>
    <row r="286" spans="1:19" ht="15.75" customHeight="1" x14ac:dyDescent="0.3">
      <c r="A286" s="37">
        <v>59657</v>
      </c>
      <c r="B286" s="409">
        <f t="shared" ref="B286:C286" si="287">($A286-B$9)/365.25</f>
        <v>81.453798767967143</v>
      </c>
      <c r="C286" s="409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3525.4531757812501</v>
      </c>
      <c r="H286" s="25">
        <f>IF(B286&lt;62,0,'Combined Retirement'!$I$14)</f>
        <v>2192</v>
      </c>
      <c r="I286" s="25">
        <f>IF(C286&lt;62,0,'Combined Retirement'!$I$13)</f>
        <v>2420</v>
      </c>
      <c r="J286" s="25">
        <f t="shared" si="263"/>
        <v>6404.7404596389215</v>
      </c>
      <c r="K286" s="25">
        <f t="shared" si="264"/>
        <v>16520.094745597391</v>
      </c>
      <c r="L286" s="25"/>
      <c r="N286" s="25">
        <f>'Combined Retirement'!$C$18/12</f>
        <v>33932.660666666663</v>
      </c>
      <c r="O286" s="25">
        <f t="shared" si="265"/>
        <v>11007.82546143035</v>
      </c>
      <c r="P286" s="25">
        <f t="shared" si="266"/>
        <v>22924.835205236312</v>
      </c>
      <c r="Q286" s="25">
        <f t="array" aca="1" ref="Q286" ca="1">INDEX('Isaac 401k'!L:L,MATCH('Retirement Calculator'!A286,'Isaac 401k'!N:N,0),0)</f>
        <v>2767892.2213397422</v>
      </c>
      <c r="R286" s="25">
        <f t="array" aca="1" ref="R286" ca="1">INDEX('Lorri 401b'!L:L,MATCH('Retirement Calculator'!A286,'Lorri 401b'!N:N,0),0)</f>
        <v>4668576.6889666691</v>
      </c>
      <c r="S286" s="25">
        <f t="shared" ca="1" si="267"/>
        <v>7436468.9103064109</v>
      </c>
    </row>
    <row r="287" spans="1:19" ht="15.75" customHeight="1" x14ac:dyDescent="0.3">
      <c r="A287" s="37">
        <v>59688</v>
      </c>
      <c r="B287" s="409">
        <f t="shared" ref="B287:C287" si="288">($A287-B$9)/365.25</f>
        <v>81.538672142368242</v>
      </c>
      <c r="C287" s="409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3525.4531757812501</v>
      </c>
      <c r="H287" s="25">
        <f>IF(B287&lt;62,0,'Combined Retirement'!$I$14)</f>
        <v>2192</v>
      </c>
      <c r="I287" s="25">
        <f>IF(C287&lt;62,0,'Combined Retirement'!$I$13)</f>
        <v>2420</v>
      </c>
      <c r="J287" s="25">
        <f t="shared" si="263"/>
        <v>6404.7404596389215</v>
      </c>
      <c r="K287" s="25">
        <f t="shared" si="264"/>
        <v>16520.094745597391</v>
      </c>
      <c r="L287" s="25"/>
      <c r="N287" s="25">
        <f>'Combined Retirement'!$C$18/12</f>
        <v>33932.660666666663</v>
      </c>
      <c r="O287" s="25">
        <f t="shared" si="265"/>
        <v>11007.82546143035</v>
      </c>
      <c r="P287" s="25">
        <f t="shared" si="266"/>
        <v>22924.835205236312</v>
      </c>
      <c r="Q287" s="25">
        <f t="array" aca="1" ref="Q287" ca="1">INDEX('Isaac 401k'!L:L,MATCH('Retirement Calculator'!A287,'Isaac 401k'!N:N,0),0)</f>
        <v>2772993.6787171033</v>
      </c>
      <c r="R287" s="25">
        <f t="array" aca="1" ref="R287" ca="1">INDEX('Lorri 401b'!L:L,MATCH('Retirement Calculator'!A287,'Lorri 401b'!N:N,0),0)</f>
        <v>4671440.1633636588</v>
      </c>
      <c r="S287" s="25">
        <f t="shared" ca="1" si="267"/>
        <v>7444433.8420807626</v>
      </c>
    </row>
    <row r="288" spans="1:19" ht="15.75" customHeight="1" x14ac:dyDescent="0.3">
      <c r="A288" s="37">
        <v>59718</v>
      </c>
      <c r="B288" s="409">
        <f t="shared" ref="B288:C288" si="289">($A288-B$9)/365.25</f>
        <v>81.620807665982198</v>
      </c>
      <c r="C288" s="409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3525.4531757812501</v>
      </c>
      <c r="H288" s="25">
        <f>IF(B288&lt;62,0,'Combined Retirement'!$I$14)</f>
        <v>2192</v>
      </c>
      <c r="I288" s="25">
        <f>IF(C288&lt;62,0,'Combined Retirement'!$I$13)</f>
        <v>2420</v>
      </c>
      <c r="J288" s="25">
        <f t="shared" si="263"/>
        <v>6404.7404596389215</v>
      </c>
      <c r="K288" s="25">
        <f t="shared" si="264"/>
        <v>16520.094745597391</v>
      </c>
      <c r="L288" s="25"/>
      <c r="N288" s="25">
        <f>'Combined Retirement'!$C$18/12</f>
        <v>33932.660666666663</v>
      </c>
      <c r="O288" s="25">
        <f t="shared" si="265"/>
        <v>11007.82546143035</v>
      </c>
      <c r="P288" s="25">
        <f t="shared" si="266"/>
        <v>22924.835205236312</v>
      </c>
      <c r="Q288" s="25">
        <f t="array" aca="1" ref="Q288" ca="1">INDEX('Isaac 401k'!L:L,MATCH('Retirement Calculator'!A288,'Isaac 401k'!N:N,0),0)</f>
        <v>2778116.3921668702</v>
      </c>
      <c r="R288" s="25">
        <f t="array" aca="1" ref="R288" ca="1">INDEX('Lorri 401b'!L:L,MATCH('Retirement Calculator'!A288,'Lorri 401b'!N:N,0),0)</f>
        <v>4674315.5689039696</v>
      </c>
      <c r="S288" s="25">
        <f t="shared" ca="1" si="267"/>
        <v>7452431.9610708393</v>
      </c>
    </row>
    <row r="289" spans="1:19" ht="15.75" customHeight="1" x14ac:dyDescent="0.3">
      <c r="A289" s="37">
        <v>59749</v>
      </c>
      <c r="B289" s="409">
        <f t="shared" ref="B289:C289" si="290">($A289-B$9)/365.25</f>
        <v>81.705681040383297</v>
      </c>
      <c r="C289" s="409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3525.4531757812501</v>
      </c>
      <c r="H289" s="25">
        <f>IF(B289&lt;62,0,'Combined Retirement'!$I$14)</f>
        <v>2192</v>
      </c>
      <c r="I289" s="25">
        <f>IF(C289&lt;62,0,'Combined Retirement'!$I$13)</f>
        <v>2420</v>
      </c>
      <c r="J289" s="25">
        <f t="shared" si="263"/>
        <v>6404.7404596389215</v>
      </c>
      <c r="K289" s="25">
        <f t="shared" si="264"/>
        <v>16520.094745597391</v>
      </c>
      <c r="L289" s="25"/>
      <c r="N289" s="25">
        <f>'Combined Retirement'!$C$18/12</f>
        <v>33932.660666666663</v>
      </c>
      <c r="O289" s="25">
        <f t="shared" si="265"/>
        <v>11007.82546143035</v>
      </c>
      <c r="P289" s="25">
        <f t="shared" si="266"/>
        <v>22924.835205236312</v>
      </c>
      <c r="Q289" s="25">
        <f t="array" aca="1" ref="Q289" ca="1">INDEX('Isaac 401k'!L:L,MATCH('Retirement Calculator'!A289,'Isaac 401k'!N:N,0),0)</f>
        <v>2783260.450256011</v>
      </c>
      <c r="R289" s="25">
        <f t="array" aca="1" ref="R289" ca="1">INDEX('Lorri 401b'!L:L,MATCH('Retirement Calculator'!A289,'Lorri 401b'!N:N,0),0)</f>
        <v>4677202.9553006981</v>
      </c>
      <c r="S289" s="25">
        <f t="shared" ca="1" si="267"/>
        <v>7460463.4055567086</v>
      </c>
    </row>
    <row r="290" spans="1:19" ht="15.75" customHeight="1" x14ac:dyDescent="0.3">
      <c r="A290" s="37">
        <v>59780</v>
      </c>
      <c r="B290" s="409">
        <f t="shared" ref="B290:C290" si="291">($A290-B$9)/365.25</f>
        <v>81.790554414784395</v>
      </c>
      <c r="C290" s="409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3525.4531757812501</v>
      </c>
      <c r="H290" s="25">
        <f>IF(B290&lt;62,0,'Combined Retirement'!$I$14)</f>
        <v>2192</v>
      </c>
      <c r="I290" s="25">
        <f>IF(C290&lt;62,0,'Combined Retirement'!$I$13)</f>
        <v>2420</v>
      </c>
      <c r="J290" s="25">
        <f t="shared" si="263"/>
        <v>6404.7404596389215</v>
      </c>
      <c r="K290" s="25">
        <f t="shared" si="264"/>
        <v>16520.094745597391</v>
      </c>
      <c r="L290" s="25"/>
      <c r="N290" s="25">
        <f>'Combined Retirement'!$C$18/12</f>
        <v>33932.660666666663</v>
      </c>
      <c r="O290" s="25">
        <f t="shared" si="265"/>
        <v>11007.82546143035</v>
      </c>
      <c r="P290" s="25">
        <f t="shared" si="266"/>
        <v>22924.835205236312</v>
      </c>
      <c r="Q290" s="25">
        <f t="array" aca="1" ref="Q290" ca="1">INDEX('Isaac 401k'!L:L,MATCH('Retirement Calculator'!A290,'Isaac 401k'!N:N,0),0)</f>
        <v>2788425.9419205235</v>
      </c>
      <c r="R290" s="25">
        <f t="array" aca="1" ref="R290" ca="1">INDEX('Lorri 401b'!L:L,MATCH('Retirement Calculator'!A290,'Lorri 401b'!N:N,0),0)</f>
        <v>4680102.37247408</v>
      </c>
      <c r="S290" s="25">
        <f t="shared" ca="1" si="267"/>
        <v>7468528.3143946035</v>
      </c>
    </row>
    <row r="291" spans="1:19" ht="15.75" customHeight="1" x14ac:dyDescent="0.3">
      <c r="A291" s="37">
        <v>59810</v>
      </c>
      <c r="B291" s="409">
        <f t="shared" ref="B291:C291" si="292">($A291-B$9)/365.25</f>
        <v>81.872689938398352</v>
      </c>
      <c r="C291" s="409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3525.4531757812501</v>
      </c>
      <c r="H291" s="25">
        <f>IF(B291&lt;62,0,'Combined Retirement'!$I$14)</f>
        <v>2192</v>
      </c>
      <c r="I291" s="25">
        <f>IF(C291&lt;62,0,'Combined Retirement'!$I$13)</f>
        <v>2420</v>
      </c>
      <c r="J291" s="25">
        <f t="shared" si="263"/>
        <v>6404.7404596389215</v>
      </c>
      <c r="K291" s="25">
        <f t="shared" si="264"/>
        <v>16520.094745597391</v>
      </c>
      <c r="L291" s="25"/>
      <c r="N291" s="25">
        <f>'Combined Retirement'!$C$18/12</f>
        <v>33932.660666666663</v>
      </c>
      <c r="O291" s="25">
        <f t="shared" si="265"/>
        <v>11007.82546143035</v>
      </c>
      <c r="P291" s="25">
        <f t="shared" si="266"/>
        <v>22924.835205236312</v>
      </c>
      <c r="Q291" s="25">
        <f t="array" aca="1" ref="Q291" ca="1">INDEX('Isaac 401k'!L:L,MATCH('Retirement Calculator'!A291,'Isaac 401k'!N:N,0),0)</f>
        <v>2793612.9564669714</v>
      </c>
      <c r="R291" s="25">
        <f t="array" aca="1" ref="R291" ca="1">INDEX('Lorri 401b'!L:L,MATCH('Retirement Calculator'!A291,'Lorri 401b'!N:N,0),0)</f>
        <v>4683013.8705523508</v>
      </c>
      <c r="S291" s="25">
        <f t="shared" ca="1" si="267"/>
        <v>7476626.8270193227</v>
      </c>
    </row>
    <row r="292" spans="1:19" ht="15.75" customHeight="1" x14ac:dyDescent="0.3">
      <c r="A292" s="37">
        <v>59841</v>
      </c>
      <c r="B292" s="409">
        <f t="shared" ref="B292:C292" si="293">($A292-B$9)/365.25</f>
        <v>81.957563312799451</v>
      </c>
      <c r="C292" s="409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3525.4531757812501</v>
      </c>
      <c r="H292" s="25">
        <f>IF(B292&lt;62,0,'Combined Retirement'!$I$14)</f>
        <v>2192</v>
      </c>
      <c r="I292" s="25">
        <f>IF(C292&lt;62,0,'Combined Retirement'!$I$13)</f>
        <v>2420</v>
      </c>
      <c r="J292" s="25">
        <f t="shared" si="263"/>
        <v>6404.7404596389215</v>
      </c>
      <c r="K292" s="25">
        <f t="shared" si="264"/>
        <v>16520.094745597391</v>
      </c>
      <c r="L292" s="25"/>
      <c r="N292" s="25">
        <f>'Combined Retirement'!$C$18/12</f>
        <v>33932.660666666663</v>
      </c>
      <c r="O292" s="25">
        <f t="shared" si="265"/>
        <v>11007.82546143035</v>
      </c>
      <c r="P292" s="25">
        <f t="shared" si="266"/>
        <v>22924.835205236312</v>
      </c>
      <c r="Q292" s="25">
        <f t="array" aca="1" ref="Q292" ca="1">INDEX('Isaac 401k'!L:L,MATCH('Retirement Calculator'!A292,'Isaac 401k'!N:N,0),0)</f>
        <v>2798821.5835740296</v>
      </c>
      <c r="R292" s="25">
        <f t="array" aca="1" ref="R292" ca="1">INDEX('Lorri 401b'!L:L,MATCH('Retirement Calculator'!A292,'Lorri 401b'!N:N,0),0)</f>
        <v>4685937.4998726146</v>
      </c>
      <c r="S292" s="25">
        <f t="shared" ca="1" si="267"/>
        <v>7484759.0834466442</v>
      </c>
    </row>
    <row r="293" spans="1:19" ht="15.75" customHeight="1" x14ac:dyDescent="0.3">
      <c r="A293" s="37">
        <v>59871</v>
      </c>
      <c r="B293" s="409">
        <f t="shared" ref="B293:C293" si="294">($A293-B$9)/365.25</f>
        <v>82.039698836413422</v>
      </c>
      <c r="C293" s="409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3525.4531757812501</v>
      </c>
      <c r="H293" s="25">
        <f>IF(B293&lt;62,0,'Combined Retirement'!$I$14)</f>
        <v>2192</v>
      </c>
      <c r="I293" s="25">
        <f>IF(C293&lt;62,0,'Combined Retirement'!$I$13)</f>
        <v>2420</v>
      </c>
      <c r="J293" s="25">
        <f t="shared" si="263"/>
        <v>6404.7404596389215</v>
      </c>
      <c r="K293" s="25">
        <f t="shared" si="264"/>
        <v>16520.094745597391</v>
      </c>
      <c r="L293" s="25"/>
      <c r="N293" s="25">
        <f>'Combined Retirement'!$C$18/12</f>
        <v>33932.660666666663</v>
      </c>
      <c r="O293" s="25">
        <f t="shared" si="265"/>
        <v>11007.82546143035</v>
      </c>
      <c r="P293" s="25">
        <f t="shared" si="266"/>
        <v>22924.835205236312</v>
      </c>
      <c r="Q293" s="25">
        <f t="array" aca="1" ref="Q293" ca="1">INDEX('Isaac 401k'!L:L,MATCH('Retirement Calculator'!A293,'Isaac 401k'!N:N,0),0)</f>
        <v>2804051.9132940336</v>
      </c>
      <c r="R293" s="25">
        <f t="array" aca="1" ref="R293" ca="1">INDEX('Lorri 401b'!L:L,MATCH('Retirement Calculator'!A293,'Lorri 401b'!N:N,0),0)</f>
        <v>4688873.3109817123</v>
      </c>
      <c r="S293" s="25">
        <f t="shared" ca="1" si="267"/>
        <v>7492925.2242757455</v>
      </c>
    </row>
    <row r="294" spans="1:19" ht="15.75" customHeight="1" x14ac:dyDescent="0.3">
      <c r="A294" s="37">
        <v>59902</v>
      </c>
      <c r="B294" s="409">
        <f t="shared" ref="B294:C294" si="295">($A294-B$9)/365.25</f>
        <v>82.124572210814506</v>
      </c>
      <c r="C294" s="409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3525.4531757812501</v>
      </c>
      <c r="H294" s="25">
        <f>IF(B294&lt;62,0,'Combined Retirement'!$I$14)</f>
        <v>2192</v>
      </c>
      <c r="I294" s="25">
        <f>IF(C294&lt;62,0,'Combined Retirement'!$I$13)</f>
        <v>2420</v>
      </c>
      <c r="J294" s="25">
        <f t="shared" si="263"/>
        <v>6404.7404596389215</v>
      </c>
      <c r="K294" s="25">
        <f t="shared" si="264"/>
        <v>16520.094745597391</v>
      </c>
      <c r="L294" s="25"/>
      <c r="N294" s="25">
        <f>'Combined Retirement'!$C$18/12</f>
        <v>33932.660666666663</v>
      </c>
      <c r="O294" s="25">
        <f t="shared" si="265"/>
        <v>11007.82546143035</v>
      </c>
      <c r="P294" s="25">
        <f t="shared" si="266"/>
        <v>22924.835205236312</v>
      </c>
      <c r="Q294" s="25">
        <f t="array" aca="1" ref="Q294" ca="1">INDEX('Isaac 401k'!L:L,MATCH('Retirement Calculator'!A294,'Isaac 401k'!N:N,0),0)</f>
        <v>2809304.0360545376</v>
      </c>
      <c r="R294" s="25">
        <f t="array" aca="1" ref="R294" ca="1">INDEX('Lorri 401b'!L:L,MATCH('Retirement Calculator'!A294,'Lorri 401b'!N:N,0),0)</f>
        <v>4691821.3546370985</v>
      </c>
      <c r="S294" s="25">
        <f t="shared" ca="1" si="267"/>
        <v>7501125.3906916361</v>
      </c>
    </row>
    <row r="295" spans="1:19" ht="15.75" customHeight="1" x14ac:dyDescent="0.3">
      <c r="A295" s="37">
        <v>59933</v>
      </c>
      <c r="B295" s="409">
        <f t="shared" ref="B295:C295" si="296">($A295-B$9)/365.25</f>
        <v>82.209445585215605</v>
      </c>
      <c r="C295" s="409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3525.4531757812501</v>
      </c>
      <c r="H295" s="25">
        <f>IF(B295&lt;62,0,'Combined Retirement'!$I$14)</f>
        <v>2192</v>
      </c>
      <c r="I295" s="25">
        <f>IF(C295&lt;62,0,'Combined Retirement'!$I$13)</f>
        <v>2420</v>
      </c>
      <c r="J295" s="25">
        <f t="shared" si="263"/>
        <v>6404.7404596389215</v>
      </c>
      <c r="K295" s="25">
        <f t="shared" si="264"/>
        <v>16520.094745597391</v>
      </c>
      <c r="L295" s="25"/>
      <c r="N295" s="25">
        <f>'Combined Retirement'!$C$18/12</f>
        <v>33932.660666666663</v>
      </c>
      <c r="O295" s="25">
        <f t="shared" si="265"/>
        <v>11007.82546143035</v>
      </c>
      <c r="P295" s="25">
        <f t="shared" si="266"/>
        <v>22924.835205236312</v>
      </c>
      <c r="Q295" s="25">
        <f t="array" aca="1" ref="Q295" ca="1">INDEX('Isaac 401k'!L:L,MATCH('Retirement Calculator'!A295,'Isaac 401k'!N:N,0),0)</f>
        <v>2814578.0426598773</v>
      </c>
      <c r="R295" s="25">
        <f t="array" aca="1" ref="R295" ca="1">INDEX('Lorri 401b'!L:L,MATCH('Retirement Calculator'!A295,'Lorri 401b'!N:N,0),0)</f>
        <v>4694781.6818077154</v>
      </c>
      <c r="S295" s="25">
        <f t="shared" ca="1" si="267"/>
        <v>7509359.7244675923</v>
      </c>
    </row>
    <row r="296" spans="1:19" ht="15.75" customHeight="1" x14ac:dyDescent="0.3">
      <c r="A296" s="37">
        <v>59962</v>
      </c>
      <c r="B296" s="409">
        <f t="shared" ref="B296:C296" si="297">($A296-B$9)/365.25</f>
        <v>82.288843258042434</v>
      </c>
      <c r="C296" s="409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3525.4531757812501</v>
      </c>
      <c r="H296" s="25">
        <f>IF(B296&lt;62,0,'Combined Retirement'!$I$14)</f>
        <v>2192</v>
      </c>
      <c r="I296" s="25">
        <f>IF(C296&lt;62,0,'Combined Retirement'!$I$13)</f>
        <v>2420</v>
      </c>
      <c r="J296" s="25">
        <f t="shared" si="263"/>
        <v>6404.7404596389215</v>
      </c>
      <c r="K296" s="25">
        <f t="shared" si="264"/>
        <v>16520.094745597391</v>
      </c>
      <c r="L296" s="25"/>
      <c r="N296" s="25">
        <f>'Combined Retirement'!$C$18/12</f>
        <v>33932.660666666663</v>
      </c>
      <c r="O296" s="25">
        <f t="shared" si="265"/>
        <v>11007.82546143035</v>
      </c>
      <c r="P296" s="25">
        <f t="shared" si="266"/>
        <v>22924.835205236312</v>
      </c>
      <c r="Q296" s="25">
        <f t="array" aca="1" ref="Q296" ca="1">INDEX('Isaac 401k'!L:L,MATCH('Retirement Calculator'!A296,'Isaac 401k'!N:N,0),0)</f>
        <v>2819874.0242927391</v>
      </c>
      <c r="R296" s="25">
        <f t="array" aca="1" ref="R296" ca="1">INDEX('Lorri 401b'!L:L,MATCH('Retirement Calculator'!A296,'Lorri 401b'!N:N,0),0)</f>
        <v>4697754.3436748767</v>
      </c>
      <c r="S296" s="25">
        <f t="shared" ca="1" si="267"/>
        <v>7517628.3679676158</v>
      </c>
    </row>
    <row r="297" spans="1:19" ht="15.75" customHeight="1" x14ac:dyDescent="0.3">
      <c r="A297" s="37">
        <v>59993</v>
      </c>
      <c r="B297" s="409">
        <f t="shared" ref="B297:C297" si="298">($A297-B$9)/365.25</f>
        <v>82.373716632443532</v>
      </c>
      <c r="C297" s="409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3525.4531757812501</v>
      </c>
      <c r="H297" s="25">
        <f>IF(B297&lt;62,0,'Combined Retirement'!$I$14)</f>
        <v>2192</v>
      </c>
      <c r="I297" s="25">
        <f>IF(C297&lt;62,0,'Combined Retirement'!$I$13)</f>
        <v>2420</v>
      </c>
      <c r="J297" s="25">
        <f t="shared" si="263"/>
        <v>6404.7404596389215</v>
      </c>
      <c r="K297" s="25">
        <f t="shared" si="264"/>
        <v>16520.094745597391</v>
      </c>
      <c r="L297" s="25"/>
      <c r="N297" s="25">
        <f>'Combined Retirement'!$C$18/12</f>
        <v>33932.660666666663</v>
      </c>
      <c r="O297" s="25">
        <f t="shared" si="265"/>
        <v>11007.82546143035</v>
      </c>
      <c r="P297" s="25">
        <f t="shared" si="266"/>
        <v>22924.835205236312</v>
      </c>
      <c r="Q297" s="25">
        <f t="array" aca="1" ref="Q297" ca="1">INDEX('Isaac 401k'!L:L,MATCH('Retirement Calculator'!A297,'Isaac 401k'!N:N,0),0)</f>
        <v>2825192.0725157377</v>
      </c>
      <c r="R297" s="25">
        <f t="array" aca="1" ref="R297" ca="1">INDEX('Lorri 401b'!L:L,MATCH('Retirement Calculator'!A297,'Lorri 401b'!N:N,0),0)</f>
        <v>4700739.3916331511</v>
      </c>
      <c r="S297" s="25">
        <f t="shared" ca="1" si="267"/>
        <v>7525931.4641488884</v>
      </c>
    </row>
    <row r="298" spans="1:19" ht="15.75" customHeight="1" x14ac:dyDescent="0.3">
      <c r="A298" s="37">
        <v>60023</v>
      </c>
      <c r="B298" s="409">
        <f t="shared" ref="B298:C298" si="299">($A298-B$9)/365.25</f>
        <v>82.455852156057489</v>
      </c>
      <c r="C298" s="409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3525.4531757812501</v>
      </c>
      <c r="H298" s="25">
        <f>IF(B298&lt;62,0,'Combined Retirement'!$I$14)</f>
        <v>2192</v>
      </c>
      <c r="I298" s="25">
        <f>IF(C298&lt;62,0,'Combined Retirement'!$I$13)</f>
        <v>2420</v>
      </c>
      <c r="J298" s="25">
        <f t="shared" si="263"/>
        <v>6404.7404596389215</v>
      </c>
      <c r="K298" s="25">
        <f t="shared" si="264"/>
        <v>16520.094745597391</v>
      </c>
      <c r="L298" s="25"/>
      <c r="N298" s="25">
        <f>'Combined Retirement'!$C$18/12</f>
        <v>33932.660666666663</v>
      </c>
      <c r="O298" s="25">
        <f t="shared" si="265"/>
        <v>11007.82546143035</v>
      </c>
      <c r="P298" s="25">
        <f t="shared" si="266"/>
        <v>22924.835205236312</v>
      </c>
      <c r="Q298" s="25">
        <f t="array" aca="1" ref="Q298" ca="1">INDEX('Isaac 401k'!L:L,MATCH('Retirement Calculator'!A298,'Isaac 401k'!N:N,0),0)</f>
        <v>2830532.2792729991</v>
      </c>
      <c r="R298" s="25">
        <f t="array" aca="1" ref="R298" ca="1">INDEX('Lorri 401b'!L:L,MATCH('Retirement Calculator'!A298,'Lorri 401b'!N:N,0),0)</f>
        <v>4703736.877291251</v>
      </c>
      <c r="S298" s="25">
        <f t="shared" ca="1" si="267"/>
        <v>7534269.1565642506</v>
      </c>
    </row>
    <row r="299" spans="1:19" ht="15.75" customHeight="1" x14ac:dyDescent="0.3">
      <c r="A299" s="37">
        <v>60054</v>
      </c>
      <c r="B299" s="409">
        <f t="shared" ref="B299:C299" si="300">($A299-B$9)/365.25</f>
        <v>82.540725530458587</v>
      </c>
      <c r="C299" s="409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3525.4531757812501</v>
      </c>
      <c r="H299" s="25">
        <f>IF(B299&lt;62,0,'Combined Retirement'!$I$14)</f>
        <v>2192</v>
      </c>
      <c r="I299" s="25">
        <f>IF(C299&lt;62,0,'Combined Retirement'!$I$13)</f>
        <v>2420</v>
      </c>
      <c r="J299" s="25">
        <f t="shared" si="263"/>
        <v>6404.7404596389215</v>
      </c>
      <c r="K299" s="25">
        <f t="shared" si="264"/>
        <v>16520.094745597391</v>
      </c>
      <c r="L299" s="25"/>
      <c r="N299" s="25">
        <f>'Combined Retirement'!$C$18/12</f>
        <v>33932.660666666663</v>
      </c>
      <c r="O299" s="25">
        <f t="shared" si="265"/>
        <v>11007.82546143035</v>
      </c>
      <c r="P299" s="25">
        <f t="shared" si="266"/>
        <v>22924.835205236312</v>
      </c>
      <c r="Q299" s="25">
        <f t="array" aca="1" ref="Q299" ca="1">INDEX('Isaac 401k'!L:L,MATCH('Retirement Calculator'!A299,'Isaac 401k'!N:N,0),0)</f>
        <v>2835894.7368917488</v>
      </c>
      <c r="R299" s="25">
        <f t="array" aca="1" ref="R299" ca="1">INDEX('Lorri 401b'!L:L,MATCH('Retirement Calculator'!A299,'Lorri 401b'!N:N,0),0)</f>
        <v>4706746.8524729265</v>
      </c>
      <c r="S299" s="25">
        <f t="shared" ca="1" si="267"/>
        <v>7542641.5893646758</v>
      </c>
    </row>
    <row r="300" spans="1:19" ht="15.75" customHeight="1" x14ac:dyDescent="0.3">
      <c r="A300" s="37">
        <v>60084</v>
      </c>
      <c r="B300" s="409">
        <f t="shared" ref="B300:C300" si="301">($A300-B$9)/365.25</f>
        <v>82.622861054072558</v>
      </c>
      <c r="C300" s="409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3525.4531757812501</v>
      </c>
      <c r="H300" s="25">
        <f>IF(B300&lt;62,0,'Combined Retirement'!$I$14)</f>
        <v>2192</v>
      </c>
      <c r="I300" s="25">
        <f>IF(C300&lt;62,0,'Combined Retirement'!$I$13)</f>
        <v>2420</v>
      </c>
      <c r="J300" s="25">
        <f t="shared" si="263"/>
        <v>6404.7404596389215</v>
      </c>
      <c r="K300" s="25">
        <f t="shared" si="264"/>
        <v>16520.094745597391</v>
      </c>
      <c r="L300" s="25"/>
      <c r="N300" s="25">
        <f>'Combined Retirement'!$C$18/12</f>
        <v>33932.660666666663</v>
      </c>
      <c r="O300" s="25">
        <f t="shared" si="265"/>
        <v>11007.82546143035</v>
      </c>
      <c r="P300" s="25">
        <f t="shared" si="266"/>
        <v>22924.835205236312</v>
      </c>
      <c r="Q300" s="25">
        <f t="array" aca="1" ref="Q300" ca="1">INDEX('Isaac 401k'!L:L,MATCH('Retirement Calculator'!A300,'Isaac 401k'!N:N,0),0)</f>
        <v>2841279.53808391</v>
      </c>
      <c r="R300" s="25">
        <f t="array" aca="1" ref="R300" ca="1">INDEX('Lorri 401b'!L:L,MATCH('Retirement Calculator'!A300,'Lorri 401b'!N:N,0),0)</f>
        <v>4709769.3692178596</v>
      </c>
      <c r="S300" s="25">
        <f t="shared" ca="1" si="267"/>
        <v>7551048.9073017696</v>
      </c>
    </row>
    <row r="301" spans="1:19" ht="15.75" customHeight="1" x14ac:dyDescent="0.3">
      <c r="A301" s="37">
        <v>60115</v>
      </c>
      <c r="B301" s="409">
        <f t="shared" ref="B301:C301" si="302">($A301-B$9)/365.25</f>
        <v>82.707734428473643</v>
      </c>
      <c r="C301" s="409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3525.4531757812501</v>
      </c>
      <c r="H301" s="25">
        <f>IF(B301&lt;62,0,'Combined Retirement'!$I$14)</f>
        <v>2192</v>
      </c>
      <c r="I301" s="25">
        <f>IF(C301&lt;62,0,'Combined Retirement'!$I$13)</f>
        <v>2420</v>
      </c>
      <c r="J301" s="25">
        <f t="shared" si="263"/>
        <v>6404.7404596389215</v>
      </c>
      <c r="K301" s="25">
        <f t="shared" si="264"/>
        <v>16520.094745597391</v>
      </c>
      <c r="L301" s="25"/>
      <c r="N301" s="25">
        <f>'Combined Retirement'!$C$18/12</f>
        <v>33932.660666666663</v>
      </c>
      <c r="O301" s="25">
        <f t="shared" si="265"/>
        <v>11007.82546143035</v>
      </c>
      <c r="P301" s="25">
        <f t="shared" si="266"/>
        <v>22924.835205236312</v>
      </c>
      <c r="Q301" s="25">
        <f t="array" aca="1" ref="Q301" ca="1">INDEX('Isaac 401k'!L:L,MATCH('Retirement Calculator'!A301,'Isaac 401k'!N:N,0),0)</f>
        <v>2846686.7759477054</v>
      </c>
      <c r="R301" s="25">
        <f t="array" aca="1" ref="R301" ca="1">INDEX('Lorri 401b'!L:L,MATCH('Retirement Calculator'!A301,'Lorri 401b'!N:N,0),0)</f>
        <v>4712804.4797825627</v>
      </c>
      <c r="S301" s="25">
        <f t="shared" ca="1" si="267"/>
        <v>7559491.2557302676</v>
      </c>
    </row>
    <row r="302" spans="1:19" ht="15.75" customHeight="1" x14ac:dyDescent="0.3">
      <c r="A302" s="37">
        <v>60146</v>
      </c>
      <c r="B302" s="409">
        <f t="shared" ref="B302:C302" si="303">($A302-B$9)/365.25</f>
        <v>82.792607802874741</v>
      </c>
      <c r="C302" s="409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3525.4531757812501</v>
      </c>
      <c r="H302" s="25">
        <f>IF(B302&lt;62,0,'Combined Retirement'!$I$14)</f>
        <v>2192</v>
      </c>
      <c r="I302" s="25">
        <f>IF(C302&lt;62,0,'Combined Retirement'!$I$13)</f>
        <v>2420</v>
      </c>
      <c r="J302" s="25">
        <f t="shared" si="263"/>
        <v>6404.7404596389215</v>
      </c>
      <c r="K302" s="25">
        <f t="shared" si="264"/>
        <v>16520.094745597391</v>
      </c>
      <c r="L302" s="25"/>
      <c r="N302" s="25">
        <f>'Combined Retirement'!$C$18/12</f>
        <v>33932.660666666663</v>
      </c>
      <c r="O302" s="25">
        <f t="shared" si="265"/>
        <v>11007.82546143035</v>
      </c>
      <c r="P302" s="25">
        <f t="shared" si="266"/>
        <v>22924.835205236312</v>
      </c>
      <c r="Q302" s="25">
        <f t="array" aca="1" ref="Q302" ca="1">INDEX('Isaac 401k'!L:L,MATCH('Retirement Calculator'!A302,'Isaac 401k'!N:N,0),0)</f>
        <v>2852116.5439692666</v>
      </c>
      <c r="R302" s="25">
        <f t="array" aca="1" ref="R302" ca="1">INDEX('Lorri 401b'!L:L,MATCH('Retirement Calculator'!A302,'Lorri 401b'!N:N,0),0)</f>
        <v>4715852.2366412859</v>
      </c>
      <c r="S302" s="25">
        <f t="shared" ca="1" si="267"/>
        <v>7567968.7806105521</v>
      </c>
    </row>
    <row r="303" spans="1:19" ht="15.75" customHeight="1" x14ac:dyDescent="0.3">
      <c r="A303" s="37">
        <v>60176</v>
      </c>
      <c r="B303" s="409">
        <f t="shared" ref="B303:C303" si="304">($A303-B$9)/365.25</f>
        <v>82.874743326488712</v>
      </c>
      <c r="C303" s="409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3525.4531757812501</v>
      </c>
      <c r="H303" s="25">
        <f>IF(B303&lt;62,0,'Combined Retirement'!$I$14)</f>
        <v>2192</v>
      </c>
      <c r="I303" s="25">
        <f>IF(C303&lt;62,0,'Combined Retirement'!$I$13)</f>
        <v>2420</v>
      </c>
      <c r="J303" s="25">
        <f t="shared" si="263"/>
        <v>6404.7404596389215</v>
      </c>
      <c r="K303" s="25">
        <f t="shared" si="264"/>
        <v>16520.094745597391</v>
      </c>
      <c r="L303" s="25"/>
      <c r="N303" s="25">
        <f>'Combined Retirement'!$C$18/12</f>
        <v>33932.660666666663</v>
      </c>
      <c r="O303" s="25">
        <f t="shared" si="265"/>
        <v>11007.82546143035</v>
      </c>
      <c r="P303" s="25">
        <f t="shared" si="266"/>
        <v>22924.835205236312</v>
      </c>
      <c r="Q303" s="25">
        <f t="array" aca="1" ref="Q303" ca="1">INDEX('Isaac 401k'!L:L,MATCH('Retirement Calculator'!A303,'Isaac 401k'!N:N,0),0)</f>
        <v>2857568.9360242509</v>
      </c>
      <c r="R303" s="25">
        <f t="array" aca="1" ref="R303" ca="1">INDEX('Lorri 401b'!L:L,MATCH('Retirement Calculator'!A303,'Lorri 401b'!N:N,0),0)</f>
        <v>4718912.6924869204</v>
      </c>
      <c r="S303" s="25">
        <f t="shared" ca="1" si="267"/>
        <v>7576481.6285111718</v>
      </c>
    </row>
    <row r="304" spans="1:19" ht="15.75" customHeight="1" x14ac:dyDescent="0.3">
      <c r="A304" s="37">
        <v>60207</v>
      </c>
      <c r="B304" s="409">
        <f t="shared" ref="B304:C304" si="305">($A304-B$9)/365.25</f>
        <v>82.959616700889796</v>
      </c>
      <c r="C304" s="409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3525.4531757812501</v>
      </c>
      <c r="H304" s="25">
        <f>IF(B304&lt;62,0,'Combined Retirement'!$I$14)</f>
        <v>2192</v>
      </c>
      <c r="I304" s="25">
        <f>IF(C304&lt;62,0,'Combined Retirement'!$I$13)</f>
        <v>2420</v>
      </c>
      <c r="J304" s="25">
        <f t="shared" si="263"/>
        <v>6404.7404596389215</v>
      </c>
      <c r="K304" s="25">
        <f t="shared" si="264"/>
        <v>16520.094745597391</v>
      </c>
      <c r="L304" s="25"/>
      <c r="N304" s="25">
        <f>'Combined Retirement'!$C$18/12</f>
        <v>33932.660666666663</v>
      </c>
      <c r="O304" s="25">
        <f t="shared" si="265"/>
        <v>11007.82546143035</v>
      </c>
      <c r="P304" s="25">
        <f t="shared" si="266"/>
        <v>22924.835205236312</v>
      </c>
      <c r="Q304" s="25">
        <f t="array" aca="1" ref="Q304" ca="1">INDEX('Isaac 401k'!L:L,MATCH('Retirement Calculator'!A304,'Isaac 401k'!N:N,0),0)</f>
        <v>2863044.0463794642</v>
      </c>
      <c r="R304" s="25">
        <f t="array" aca="1" ref="R304" ca="1">INDEX('Lorri 401b'!L:L,MATCH('Retirement Calculator'!A304,'Lorri 401b'!N:N,0),0)</f>
        <v>4721985.9002319118</v>
      </c>
      <c r="S304" s="25">
        <f t="shared" ca="1" si="267"/>
        <v>7585029.9466113765</v>
      </c>
    </row>
    <row r="305" spans="1:19" ht="15.75" customHeight="1" x14ac:dyDescent="0.3">
      <c r="A305" s="37">
        <v>60237</v>
      </c>
      <c r="B305" s="409">
        <f t="shared" ref="B305:C305" si="306">($A305-B$9)/365.25</f>
        <v>83.041752224503767</v>
      </c>
      <c r="C305" s="409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3525.4531757812501</v>
      </c>
      <c r="H305" s="25">
        <f>IF(B305&lt;62,0,'Combined Retirement'!$I$14)</f>
        <v>2192</v>
      </c>
      <c r="I305" s="25">
        <f>IF(C305&lt;62,0,'Combined Retirement'!$I$13)</f>
        <v>2420</v>
      </c>
      <c r="J305" s="25">
        <f t="shared" si="263"/>
        <v>6404.7404596389215</v>
      </c>
      <c r="K305" s="25">
        <f t="shared" si="264"/>
        <v>16520.094745597391</v>
      </c>
      <c r="L305" s="25"/>
      <c r="N305" s="25">
        <f>'Combined Retirement'!$C$18/12</f>
        <v>33932.660666666663</v>
      </c>
      <c r="O305" s="25">
        <f t="shared" si="265"/>
        <v>11007.82546143035</v>
      </c>
      <c r="P305" s="25">
        <f t="shared" si="266"/>
        <v>22924.835205236312</v>
      </c>
      <c r="Q305" s="25">
        <f t="array" aca="1" ref="Q305" ca="1">INDEX('Isaac 401k'!L:L,MATCH('Retirement Calculator'!A305,'Isaac 401k'!N:N,0),0)</f>
        <v>2868541.969694491</v>
      </c>
      <c r="R305" s="25">
        <f t="array" aca="1" ref="R305" ca="1">INDEX('Lorri 401b'!L:L,MATCH('Retirement Calculator'!A305,'Lorri 401b'!N:N,0),0)</f>
        <v>4725071.9130091732</v>
      </c>
      <c r="S305" s="25">
        <f t="shared" ca="1" si="267"/>
        <v>7593613.8827036638</v>
      </c>
    </row>
    <row r="306" spans="1:19" ht="15.75" customHeight="1" x14ac:dyDescent="0.3">
      <c r="A306" s="37">
        <v>60268</v>
      </c>
      <c r="B306" s="409">
        <f t="shared" ref="B306:C306" si="307">($A306-B$9)/365.25</f>
        <v>83.126625598904866</v>
      </c>
      <c r="C306" s="409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3525.4531757812501</v>
      </c>
      <c r="H306" s="25">
        <f>IF(B306&lt;62,0,'Combined Retirement'!$I$14)</f>
        <v>2192</v>
      </c>
      <c r="I306" s="25">
        <f>IF(C306&lt;62,0,'Combined Retirement'!$I$13)</f>
        <v>2420</v>
      </c>
      <c r="J306" s="25">
        <f t="shared" si="263"/>
        <v>6404.7404596389215</v>
      </c>
      <c r="K306" s="25">
        <f t="shared" si="264"/>
        <v>16520.094745597391</v>
      </c>
      <c r="L306" s="25"/>
      <c r="N306" s="25">
        <f>'Combined Retirement'!$C$18/12</f>
        <v>33932.660666666663</v>
      </c>
      <c r="O306" s="25">
        <f t="shared" si="265"/>
        <v>11007.82546143035</v>
      </c>
      <c r="P306" s="25">
        <f t="shared" si="266"/>
        <v>22924.835205236312</v>
      </c>
      <c r="Q306" s="25">
        <f t="array" aca="1" ref="Q306" ca="1">INDEX('Isaac 401k'!L:L,MATCH('Retirement Calculator'!A306,'Isaac 401k'!N:N,0),0)</f>
        <v>2874062.8010233305</v>
      </c>
      <c r="R306" s="25">
        <f t="array" aca="1" ref="R306" ca="1">INDEX('Lorri 401b'!L:L,MATCH('Retirement Calculator'!A306,'Lorri 401b'!N:N,0),0)</f>
        <v>4728170.7841730071</v>
      </c>
      <c r="S306" s="25">
        <f t="shared" ca="1" si="267"/>
        <v>7602233.5851963377</v>
      </c>
    </row>
    <row r="307" spans="1:19" ht="15.75" customHeight="1" x14ac:dyDescent="0.3">
      <c r="A307" s="37">
        <v>60299</v>
      </c>
      <c r="B307" s="409">
        <f t="shared" ref="B307:C307" si="308">($A307-B$9)/365.25</f>
        <v>83.21149897330595</v>
      </c>
      <c r="C307" s="409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3525.4531757812501</v>
      </c>
      <c r="H307" s="25">
        <f>IF(B307&lt;62,0,'Combined Retirement'!$I$14)</f>
        <v>2192</v>
      </c>
      <c r="I307" s="25">
        <f>IF(C307&lt;62,0,'Combined Retirement'!$I$13)</f>
        <v>2420</v>
      </c>
      <c r="J307" s="25">
        <f t="shared" si="263"/>
        <v>6404.7404596389215</v>
      </c>
      <c r="K307" s="25">
        <f t="shared" si="264"/>
        <v>16520.094745597391</v>
      </c>
      <c r="L307" s="25"/>
      <c r="N307" s="25">
        <f>'Combined Retirement'!$C$18/12</f>
        <v>33932.660666666663</v>
      </c>
      <c r="O307" s="25">
        <f t="shared" si="265"/>
        <v>11007.82546143035</v>
      </c>
      <c r="P307" s="25">
        <f t="shared" si="266"/>
        <v>22924.835205236312</v>
      </c>
      <c r="Q307" s="25">
        <f t="array" aca="1" ref="Q307" ca="1">INDEX('Isaac 401k'!L:L,MATCH('Retirement Calculator'!A307,'Isaac 401k'!N:N,0),0)</f>
        <v>2879606.63581604</v>
      </c>
      <c r="R307" s="25">
        <f t="array" aca="1" ref="R307" ca="1">INDEX('Lorri 401b'!L:L,MATCH('Retirement Calculator'!A307,'Lorri 401b'!N:N,0),0)</f>
        <v>4731282.5673000235</v>
      </c>
      <c r="S307" s="25">
        <f t="shared" ca="1" si="267"/>
        <v>7610889.203116063</v>
      </c>
    </row>
    <row r="308" spans="1:19" ht="15.75" customHeight="1" x14ac:dyDescent="0.3">
      <c r="A308" s="37">
        <v>60327</v>
      </c>
      <c r="B308" s="409">
        <f t="shared" ref="B308:C308" si="309">($A308-B$9)/365.25</f>
        <v>83.288158795345652</v>
      </c>
      <c r="C308" s="409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3525.4531757812501</v>
      </c>
      <c r="H308" s="25">
        <f>IF(B308&lt;62,0,'Combined Retirement'!$I$14)</f>
        <v>2192</v>
      </c>
      <c r="I308" s="25">
        <f>IF(C308&lt;62,0,'Combined Retirement'!$I$13)</f>
        <v>2420</v>
      </c>
      <c r="J308" s="25">
        <f t="shared" si="263"/>
        <v>6404.7404596389215</v>
      </c>
      <c r="K308" s="25">
        <f t="shared" si="264"/>
        <v>16520.094745597391</v>
      </c>
      <c r="L308" s="25"/>
      <c r="N308" s="25">
        <f>'Combined Retirement'!$C$18/12</f>
        <v>33932.660666666663</v>
      </c>
      <c r="O308" s="25">
        <f t="shared" si="265"/>
        <v>11007.82546143035</v>
      </c>
      <c r="P308" s="25">
        <f t="shared" si="266"/>
        <v>22924.835205236312</v>
      </c>
      <c r="Q308" s="25">
        <f t="array" aca="1" ref="Q308" ca="1">INDEX('Isaac 401k'!L:L,MATCH('Retirement Calculator'!A308,'Isaac 401k'!N:N,0),0)</f>
        <v>2885173.5699203857</v>
      </c>
      <c r="R308" s="25">
        <f t="array" aca="1" ref="R308" ca="1">INDEX('Lorri 401b'!L:L,MATCH('Retirement Calculator'!A308,'Lorri 401b'!N:N,0),0)</f>
        <v>4734407.3161900695</v>
      </c>
      <c r="S308" s="25">
        <f t="shared" ca="1" si="267"/>
        <v>7619580.8861104548</v>
      </c>
    </row>
    <row r="309" spans="1:19" ht="15.75" customHeight="1" x14ac:dyDescent="0.3">
      <c r="A309" s="37">
        <v>60358</v>
      </c>
      <c r="B309" s="409">
        <f t="shared" ref="B309:C309" si="310">($A309-B$9)/365.25</f>
        <v>83.37303216974675</v>
      </c>
      <c r="C309" s="409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3525.4531757812501</v>
      </c>
      <c r="H309" s="25">
        <f>IF(B309&lt;62,0,'Combined Retirement'!$I$14)</f>
        <v>2192</v>
      </c>
      <c r="I309" s="25">
        <f>IF(C309&lt;62,0,'Combined Retirement'!$I$13)</f>
        <v>2420</v>
      </c>
      <c r="J309" s="25">
        <f t="shared" si="263"/>
        <v>6404.7404596389215</v>
      </c>
      <c r="K309" s="25">
        <f t="shared" si="264"/>
        <v>16520.094745597391</v>
      </c>
      <c r="L309" s="25"/>
      <c r="N309" s="25">
        <f>'Combined Retirement'!$C$18/12</f>
        <v>33932.660666666663</v>
      </c>
      <c r="O309" s="25">
        <f t="shared" si="265"/>
        <v>11007.82546143035</v>
      </c>
      <c r="P309" s="25">
        <f t="shared" si="266"/>
        <v>22924.835205236312</v>
      </c>
      <c r="Q309" s="25">
        <f t="array" aca="1" ref="Q309" ca="1">INDEX('Isaac 401k'!L:L,MATCH('Retirement Calculator'!A309,'Isaac 401k'!N:N,0),0)</f>
        <v>2890763.6995834997</v>
      </c>
      <c r="R309" s="25">
        <f t="array" aca="1" ref="R309" ca="1">INDEX('Lorri 401b'!L:L,MATCH('Retirement Calculator'!A309,'Lorri 401b'!N:N,0),0)</f>
        <v>4737545.084867157</v>
      </c>
      <c r="S309" s="25">
        <f t="shared" ca="1" si="267"/>
        <v>7628308.7844506567</v>
      </c>
    </row>
    <row r="310" spans="1:19" ht="15.75" customHeight="1" x14ac:dyDescent="0.3">
      <c r="A310" s="37">
        <v>60388</v>
      </c>
      <c r="B310" s="409">
        <f t="shared" ref="B310:C310" si="311">($A310-B$9)/365.25</f>
        <v>83.455167693360707</v>
      </c>
      <c r="C310" s="409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3525.4531757812501</v>
      </c>
      <c r="H310" s="25">
        <f>IF(B310&lt;62,0,'Combined Retirement'!$I$14)</f>
        <v>2192</v>
      </c>
      <c r="I310" s="25">
        <f>IF(C310&lt;62,0,'Combined Retirement'!$I$13)</f>
        <v>2420</v>
      </c>
      <c r="J310" s="25">
        <f t="shared" si="263"/>
        <v>6404.7404596389215</v>
      </c>
      <c r="K310" s="25">
        <f t="shared" si="264"/>
        <v>16520.094745597391</v>
      </c>
      <c r="L310" s="25"/>
      <c r="N310" s="25">
        <f>'Combined Retirement'!$C$18/12</f>
        <v>33932.660666666663</v>
      </c>
      <c r="O310" s="25">
        <f t="shared" si="265"/>
        <v>11007.82546143035</v>
      </c>
      <c r="P310" s="25">
        <f t="shared" si="266"/>
        <v>22924.835205236312</v>
      </c>
      <c r="Q310" s="25">
        <f t="array" aca="1" ref="Q310" ca="1">INDEX('Isaac 401k'!L:L,MATCH('Retirement Calculator'!A310,'Isaac 401k'!N:N,0),0)</f>
        <v>2896377.1214535432</v>
      </c>
      <c r="R310" s="25">
        <f t="array" aca="1" ref="R310" ca="1">INDEX('Lorri 401b'!L:L,MATCH('Retirement Calculator'!A310,'Lorri 401b'!N:N,0),0)</f>
        <v>4740695.9275803994</v>
      </c>
      <c r="S310" s="25">
        <f t="shared" ca="1" si="267"/>
        <v>7637073.0490339426</v>
      </c>
    </row>
    <row r="311" spans="1:19" ht="15.75" customHeight="1" x14ac:dyDescent="0.3">
      <c r="A311" s="37">
        <v>60419</v>
      </c>
      <c r="B311" s="409">
        <f t="shared" ref="B311:C311" si="312">($A311-B$9)/365.25</f>
        <v>83.540041067761805</v>
      </c>
      <c r="C311" s="409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3525.4531757812501</v>
      </c>
      <c r="H311" s="25">
        <f>IF(B311&lt;62,0,'Combined Retirement'!$I$14)</f>
        <v>2192</v>
      </c>
      <c r="I311" s="25">
        <f>IF(C311&lt;62,0,'Combined Retirement'!$I$13)</f>
        <v>2420</v>
      </c>
      <c r="J311" s="25">
        <f t="shared" si="263"/>
        <v>6404.7404596389215</v>
      </c>
      <c r="K311" s="25">
        <f t="shared" si="264"/>
        <v>16520.094745597391</v>
      </c>
      <c r="L311" s="25"/>
      <c r="N311" s="25">
        <f>'Combined Retirement'!$C$18/12</f>
        <v>33932.660666666663</v>
      </c>
      <c r="O311" s="25">
        <f t="shared" si="265"/>
        <v>11007.82546143035</v>
      </c>
      <c r="P311" s="25">
        <f t="shared" si="266"/>
        <v>22924.835205236312</v>
      </c>
      <c r="Q311" s="25">
        <f t="array" aca="1" ref="Q311" ca="1">INDEX('Isaac 401k'!L:L,MATCH('Retirement Calculator'!A311,'Isaac 401k'!N:N,0),0)</f>
        <v>2902013.9325813786</v>
      </c>
      <c r="R311" s="25">
        <f t="array" aca="1" ref="R311" ca="1">INDEX('Lorri 401b'!L:L,MATCH('Retirement Calculator'!A311,'Lorri 401b'!N:N,0),0)</f>
        <v>4743859.8988049468</v>
      </c>
      <c r="S311" s="25">
        <f t="shared" ca="1" si="267"/>
        <v>7645873.8313863259</v>
      </c>
    </row>
    <row r="312" spans="1:19" ht="15.75" customHeight="1" x14ac:dyDescent="0.3">
      <c r="A312" s="37">
        <v>60449</v>
      </c>
      <c r="B312" s="409">
        <f t="shared" ref="B312:C312" si="313">($A312-B$9)/365.25</f>
        <v>83.622176591375776</v>
      </c>
      <c r="C312" s="409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3525.4531757812501</v>
      </c>
      <c r="H312" s="25">
        <f>IF(B312&lt;62,0,'Combined Retirement'!$I$14)</f>
        <v>2192</v>
      </c>
      <c r="I312" s="25">
        <f>IF(C312&lt;62,0,'Combined Retirement'!$I$13)</f>
        <v>2420</v>
      </c>
      <c r="J312" s="25">
        <f t="shared" si="263"/>
        <v>6404.7404596389215</v>
      </c>
      <c r="K312" s="25">
        <f t="shared" si="264"/>
        <v>16520.094745597391</v>
      </c>
      <c r="L312" s="25"/>
      <c r="N312" s="25">
        <f>'Combined Retirement'!$C$18/12</f>
        <v>33932.660666666663</v>
      </c>
      <c r="O312" s="25">
        <f t="shared" si="265"/>
        <v>11007.82546143035</v>
      </c>
      <c r="P312" s="25">
        <f t="shared" si="266"/>
        <v>22924.835205236312</v>
      </c>
      <c r="Q312" s="25">
        <f t="array" aca="1" ref="Q312" ca="1">INDEX('Isaac 401k'!L:L,MATCH('Retirement Calculator'!A312,'Isaac 401k'!N:N,0),0)</f>
        <v>2907674.2304222467</v>
      </c>
      <c r="R312" s="25">
        <f t="array" aca="1" ref="R312" ca="1">INDEX('Lorri 401b'!L:L,MATCH('Retirement Calculator'!A312,'Lorri 401b'!N:N,0),0)</f>
        <v>4747037.0532429293</v>
      </c>
      <c r="S312" s="25">
        <f t="shared" ca="1" si="267"/>
        <v>7654711.2836651765</v>
      </c>
    </row>
    <row r="313" spans="1:19" ht="15.75" customHeight="1" x14ac:dyDescent="0.3">
      <c r="A313" s="37">
        <v>60480</v>
      </c>
      <c r="B313" s="409">
        <f t="shared" ref="B313:C313" si="314">($A313-B$9)/365.25</f>
        <v>83.707049965776861</v>
      </c>
      <c r="C313" s="409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3525.4531757812501</v>
      </c>
      <c r="H313" s="25">
        <f>IF(B313&lt;62,0,'Combined Retirement'!$I$14)</f>
        <v>2192</v>
      </c>
      <c r="I313" s="25">
        <f>IF(C313&lt;62,0,'Combined Retirement'!$I$13)</f>
        <v>2420</v>
      </c>
      <c r="J313" s="25">
        <f t="shared" si="263"/>
        <v>6404.7404596389215</v>
      </c>
      <c r="K313" s="25">
        <f t="shared" si="264"/>
        <v>16520.094745597391</v>
      </c>
      <c r="L313" s="25"/>
      <c r="N313" s="25">
        <f>'Combined Retirement'!$C$18/12</f>
        <v>33932.660666666663</v>
      </c>
      <c r="O313" s="25">
        <f t="shared" si="265"/>
        <v>11007.82546143035</v>
      </c>
      <c r="P313" s="25">
        <f t="shared" si="266"/>
        <v>22924.835205236312</v>
      </c>
      <c r="Q313" s="25">
        <f t="array" aca="1" ref="Q313" ca="1">INDEX('Isaac 401k'!L:L,MATCH('Retirement Calculator'!A313,'Isaac 401k'!N:N,0),0)</f>
        <v>2913358.112837452</v>
      </c>
      <c r="R313" s="25">
        <f t="array" aca="1" ref="R313" ca="1">INDEX('Lorri 401b'!L:L,MATCH('Retirement Calculator'!A313,'Lorri 401b'!N:N,0),0)</f>
        <v>4750227.4458244033</v>
      </c>
      <c r="S313" s="25">
        <f t="shared" ca="1" si="267"/>
        <v>7663585.5586618558</v>
      </c>
    </row>
    <row r="314" spans="1:19" ht="15.75" customHeight="1" x14ac:dyDescent="0.3">
      <c r="A314" s="37">
        <v>60511</v>
      </c>
      <c r="B314" s="409">
        <f t="shared" ref="B314:C314" si="315">($A314-B$9)/365.25</f>
        <v>83.791923340177959</v>
      </c>
      <c r="C314" s="409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3525.4531757812501</v>
      </c>
      <c r="H314" s="25">
        <f>IF(B314&lt;62,0,'Combined Retirement'!$I$14)</f>
        <v>2192</v>
      </c>
      <c r="I314" s="25">
        <f>IF(C314&lt;62,0,'Combined Retirement'!$I$13)</f>
        <v>2420</v>
      </c>
      <c r="J314" s="25">
        <f t="shared" si="263"/>
        <v>6404.7404596389215</v>
      </c>
      <c r="K314" s="25">
        <f t="shared" si="264"/>
        <v>16520.094745597391</v>
      </c>
      <c r="L314" s="25"/>
      <c r="N314" s="25">
        <f>'Combined Retirement'!$C$18/12</f>
        <v>33932.660666666663</v>
      </c>
      <c r="O314" s="25">
        <f t="shared" si="265"/>
        <v>11007.82546143035</v>
      </c>
      <c r="P314" s="25">
        <f t="shared" si="266"/>
        <v>22924.835205236312</v>
      </c>
      <c r="Q314" s="25">
        <f t="array" aca="1" ref="Q314" ca="1">INDEX('Isaac 401k'!L:L,MATCH('Retirement Calculator'!A314,'Isaac 401k'!N:N,0),0)</f>
        <v>2919065.6780960537</v>
      </c>
      <c r="R314" s="25">
        <f t="array" aca="1" ref="R314" ca="1">INDEX('Lorri 401b'!L:L,MATCH('Retirement Calculator'!A314,'Lorri 401b'!N:N,0),0)</f>
        <v>4753431.1317083007</v>
      </c>
      <c r="S314" s="25">
        <f t="shared" ca="1" si="267"/>
        <v>7672496.8098043539</v>
      </c>
    </row>
    <row r="315" spans="1:19" ht="15.75" customHeight="1" x14ac:dyDescent="0.3">
      <c r="A315" s="37">
        <v>60541</v>
      </c>
      <c r="B315" s="409">
        <f t="shared" ref="B315:C315" si="316">($A315-B$9)/365.25</f>
        <v>83.87405886379193</v>
      </c>
      <c r="C315" s="409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3525.4531757812501</v>
      </c>
      <c r="H315" s="25">
        <f>IF(B315&lt;62,0,'Combined Retirement'!$I$14)</f>
        <v>2192</v>
      </c>
      <c r="I315" s="25">
        <f>IF(C315&lt;62,0,'Combined Retirement'!$I$13)</f>
        <v>2420</v>
      </c>
      <c r="J315" s="25">
        <f t="shared" si="263"/>
        <v>6404.7404596389215</v>
      </c>
      <c r="K315" s="25">
        <f t="shared" si="264"/>
        <v>16520.094745597391</v>
      </c>
      <c r="L315" s="25"/>
      <c r="N315" s="25">
        <f>'Combined Retirement'!$C$18/12</f>
        <v>33932.660666666663</v>
      </c>
      <c r="O315" s="25">
        <f t="shared" si="265"/>
        <v>11007.82546143035</v>
      </c>
      <c r="P315" s="25">
        <f t="shared" si="266"/>
        <v>22924.835205236312</v>
      </c>
      <c r="Q315" s="25">
        <f t="array" aca="1" ref="Q315" ca="1">INDEX('Isaac 401k'!L:L,MATCH('Retirement Calculator'!A315,'Isaac 401k'!N:N,0),0)</f>
        <v>2924797.0248765661</v>
      </c>
      <c r="R315" s="25">
        <f t="array" aca="1" ref="R315" ca="1">INDEX('Lorri 401b'!L:L,MATCH('Retirement Calculator'!A315,'Lorri 401b'!N:N,0),0)</f>
        <v>4756648.1662833812</v>
      </c>
      <c r="S315" s="25">
        <f t="shared" ca="1" si="267"/>
        <v>7681445.1911599468</v>
      </c>
    </row>
    <row r="316" spans="1:19" ht="15.75" customHeight="1" x14ac:dyDescent="0.3">
      <c r="A316" s="37">
        <v>60572</v>
      </c>
      <c r="B316" s="409">
        <f t="shared" ref="B316:C316" si="317">($A316-B$9)/365.25</f>
        <v>83.958932238193015</v>
      </c>
      <c r="C316" s="409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3525.4531757812501</v>
      </c>
      <c r="H316" s="25">
        <f>IF(B316&lt;62,0,'Combined Retirement'!$I$14)</f>
        <v>2192</v>
      </c>
      <c r="I316" s="25">
        <f>IF(C316&lt;62,0,'Combined Retirement'!$I$13)</f>
        <v>2420</v>
      </c>
      <c r="J316" s="25">
        <f t="shared" si="263"/>
        <v>6404.7404596389215</v>
      </c>
      <c r="K316" s="25">
        <f t="shared" si="264"/>
        <v>16520.094745597391</v>
      </c>
      <c r="L316" s="25"/>
      <c r="N316" s="25">
        <f>'Combined Retirement'!$C$18/12</f>
        <v>33932.660666666663</v>
      </c>
      <c r="O316" s="25">
        <f t="shared" si="265"/>
        <v>11007.82546143035</v>
      </c>
      <c r="P316" s="25">
        <f t="shared" si="266"/>
        <v>22924.835205236312</v>
      </c>
      <c r="Q316" s="25">
        <f t="array" aca="1" ref="Q316" ca="1">INDEX('Isaac 401k'!L:L,MATCH('Retirement Calculator'!A316,'Isaac 401k'!N:N,0),0)</f>
        <v>2930552.2522686641</v>
      </c>
      <c r="R316" s="25">
        <f t="array" aca="1" ref="R316" ca="1">INDEX('Lorri 401b'!L:L,MATCH('Retirement Calculator'!A316,'Lorri 401b'!N:N,0),0)</f>
        <v>4759878.605169191</v>
      </c>
      <c r="S316" s="25">
        <f t="shared" ca="1" si="267"/>
        <v>7690430.8574378546</v>
      </c>
    </row>
    <row r="317" spans="1:19" ht="15.75" customHeight="1" x14ac:dyDescent="0.3">
      <c r="A317" s="37">
        <v>60602</v>
      </c>
      <c r="B317" s="409">
        <f t="shared" ref="B317:C317" si="318">($A317-B$9)/365.25</f>
        <v>84.041067761806985</v>
      </c>
      <c r="C317" s="409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3525.4531757812501</v>
      </c>
      <c r="H317" s="25">
        <f>IF(B317&lt;62,0,'Combined Retirement'!$I$14)</f>
        <v>2192</v>
      </c>
      <c r="I317" s="25">
        <f>IF(C317&lt;62,0,'Combined Retirement'!$I$13)</f>
        <v>2420</v>
      </c>
      <c r="J317" s="25">
        <f t="shared" si="263"/>
        <v>6404.7404596389215</v>
      </c>
      <c r="K317" s="25">
        <f t="shared" si="264"/>
        <v>16520.094745597391</v>
      </c>
      <c r="L317" s="25"/>
      <c r="N317" s="25">
        <f>'Combined Retirement'!$C$18/12</f>
        <v>33932.660666666663</v>
      </c>
      <c r="O317" s="25">
        <f t="shared" si="265"/>
        <v>11007.82546143035</v>
      </c>
      <c r="P317" s="25">
        <f t="shared" si="266"/>
        <v>22924.835205236312</v>
      </c>
      <c r="Q317" s="25">
        <f t="array" aca="1" ref="Q317" ca="1">INDEX('Isaac 401k'!L:L,MATCH('Retirement Calculator'!A317,'Isaac 401k'!N:N,0),0)</f>
        <v>2936331.459774896</v>
      </c>
      <c r="R317" s="25">
        <f t="array" aca="1" ref="R317" ca="1">INDEX('Lorri 401b'!L:L,MATCH('Retirement Calculator'!A317,'Lorri 401b'!N:N,0),0)</f>
        <v>4763122.5042170249</v>
      </c>
      <c r="S317" s="25">
        <f t="shared" ca="1" si="267"/>
        <v>7699453.9639919214</v>
      </c>
    </row>
    <row r="318" spans="1:19" ht="15.75" customHeight="1" x14ac:dyDescent="0.3">
      <c r="A318" s="37">
        <v>60633</v>
      </c>
      <c r="B318" s="409">
        <f t="shared" ref="B318:C318" si="319">($A318-B$9)/365.25</f>
        <v>84.12594113620807</v>
      </c>
      <c r="C318" s="409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3525.4531757812501</v>
      </c>
      <c r="H318" s="25">
        <f>IF(B318&lt;62,0,'Combined Retirement'!$I$14)</f>
        <v>2192</v>
      </c>
      <c r="I318" s="25">
        <f>IF(C318&lt;62,0,'Combined Retirement'!$I$13)</f>
        <v>2420</v>
      </c>
      <c r="J318" s="25">
        <f t="shared" si="263"/>
        <v>6404.7404596389215</v>
      </c>
      <c r="K318" s="25">
        <f t="shared" si="264"/>
        <v>16520.094745597391</v>
      </c>
      <c r="L318" s="25"/>
      <c r="N318" s="25">
        <f>'Combined Retirement'!$C$18/12</f>
        <v>33932.660666666663</v>
      </c>
      <c r="O318" s="25">
        <f t="shared" si="265"/>
        <v>11007.82546143035</v>
      </c>
      <c r="P318" s="25">
        <f t="shared" si="266"/>
        <v>22924.835205236312</v>
      </c>
      <c r="Q318" s="25">
        <f t="array" aca="1" ref="Q318" ca="1">INDEX('Isaac 401k'!L:L,MATCH('Retirement Calculator'!A318,'Isaac 401k'!N:N,0),0)</f>
        <v>2942134.7473124037</v>
      </c>
      <c r="R318" s="25">
        <f t="array" aca="1" ref="R318" ca="1">INDEX('Lorri 401b'!L:L,MATCH('Retirement Calculator'!A318,'Lorri 401b'!N:N,0),0)</f>
        <v>4766379.9195108917</v>
      </c>
      <c r="S318" s="25">
        <f t="shared" ca="1" si="267"/>
        <v>7708514.6668232959</v>
      </c>
    </row>
    <row r="319" spans="1:19" ht="15.75" customHeight="1" x14ac:dyDescent="0.3">
      <c r="A319" s="37">
        <v>60664</v>
      </c>
      <c r="B319" s="409">
        <f t="shared" ref="B319:C319" si="320">($A319-B$9)/365.25</f>
        <v>84.210814510609168</v>
      </c>
      <c r="C319" s="409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3525.4531757812501</v>
      </c>
      <c r="H319" s="25">
        <f>IF(B319&lt;62,0,'Combined Retirement'!$I$14)</f>
        <v>2192</v>
      </c>
      <c r="I319" s="25">
        <f>IF(C319&lt;62,0,'Combined Retirement'!$I$13)</f>
        <v>2420</v>
      </c>
      <c r="J319" s="25">
        <f t="shared" si="263"/>
        <v>6404.7404596389215</v>
      </c>
      <c r="K319" s="25">
        <f t="shared" si="264"/>
        <v>16520.094745597391</v>
      </c>
      <c r="L319" s="25"/>
      <c r="N319" s="25">
        <f>'Combined Retirement'!$C$18/12</f>
        <v>33932.660666666663</v>
      </c>
      <c r="O319" s="25">
        <f t="shared" si="265"/>
        <v>11007.82546143035</v>
      </c>
      <c r="P319" s="25">
        <f t="shared" si="266"/>
        <v>22924.835205236312</v>
      </c>
      <c r="Q319" s="25">
        <f t="array" aca="1" ref="Q319" ca="1">INDEX('Isaac 401k'!L:L,MATCH('Retirement Calculator'!A319,'Isaac 401k'!N:N,0),0)</f>
        <v>2947962.2152146511</v>
      </c>
      <c r="R319" s="25">
        <f t="array" aca="1" ref="R319" ca="1">INDEX('Lorri 401b'!L:L,MATCH('Retirement Calculator'!A319,'Lorri 401b'!N:N,0),0)</f>
        <v>4769650.907368483</v>
      </c>
      <c r="S319" s="25">
        <f t="shared" ca="1" si="267"/>
        <v>7717613.1225831341</v>
      </c>
    </row>
    <row r="320" spans="1:19" ht="15.75" customHeight="1" x14ac:dyDescent="0.3">
      <c r="A320" s="37">
        <v>60692</v>
      </c>
      <c r="B320" s="409">
        <f t="shared" ref="B320:C320" si="321">($A320-B$9)/365.25</f>
        <v>84.28747433264887</v>
      </c>
      <c r="C320" s="409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3525.4531757812501</v>
      </c>
      <c r="H320" s="25">
        <f>IF(B320&lt;62,0,'Combined Retirement'!$I$14)</f>
        <v>2192</v>
      </c>
      <c r="I320" s="25">
        <f>IF(C320&lt;62,0,'Combined Retirement'!$I$13)</f>
        <v>2420</v>
      </c>
      <c r="J320" s="25">
        <f t="shared" si="263"/>
        <v>6404.7404596389215</v>
      </c>
      <c r="K320" s="25">
        <f t="shared" si="264"/>
        <v>16520.094745597391</v>
      </c>
      <c r="L320" s="25"/>
      <c r="N320" s="25">
        <f>'Combined Retirement'!$C$18/12</f>
        <v>33932.660666666663</v>
      </c>
      <c r="O320" s="25">
        <f t="shared" si="265"/>
        <v>11007.82546143035</v>
      </c>
      <c r="P320" s="25">
        <f t="shared" si="266"/>
        <v>22924.835205236312</v>
      </c>
      <c r="Q320" s="25">
        <f t="array" aca="1" ref="Q320" ca="1">INDEX('Isaac 401k'!L:L,MATCH('Retirement Calculator'!A320,'Isaac 401k'!N:N,0),0)</f>
        <v>2953813.9642331577</v>
      </c>
      <c r="R320" s="25">
        <f t="array" aca="1" ref="R320" ca="1">INDEX('Lorri 401b'!L:L,MATCH('Retirement Calculator'!A320,'Lorri 401b'!N:N,0),0)</f>
        <v>4772935.5243421476</v>
      </c>
      <c r="S320" s="25">
        <f t="shared" ca="1" si="267"/>
        <v>7726749.4885753058</v>
      </c>
    </row>
    <row r="321" spans="1:19" ht="15.75" customHeight="1" x14ac:dyDescent="0.3">
      <c r="A321" s="37">
        <v>60723</v>
      </c>
      <c r="B321" s="409">
        <f t="shared" ref="B321:C321" si="322">($A321-B$9)/365.25</f>
        <v>84.372347707049968</v>
      </c>
      <c r="C321" s="409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3525.4531757812501</v>
      </c>
      <c r="H321" s="25">
        <f>IF(B321&lt;62,0,'Combined Retirement'!$I$14)</f>
        <v>2192</v>
      </c>
      <c r="I321" s="25">
        <f>IF(C321&lt;62,0,'Combined Retirement'!$I$13)</f>
        <v>2420</v>
      </c>
      <c r="J321" s="25">
        <f t="shared" si="263"/>
        <v>6404.7404596389215</v>
      </c>
      <c r="K321" s="25">
        <f t="shared" si="264"/>
        <v>16520.094745597391</v>
      </c>
      <c r="L321" s="25"/>
      <c r="N321" s="25">
        <f>'Combined Retirement'!$C$18/12</f>
        <v>33932.660666666663</v>
      </c>
      <c r="O321" s="25">
        <f t="shared" si="265"/>
        <v>11007.82546143035</v>
      </c>
      <c r="P321" s="25">
        <f t="shared" si="266"/>
        <v>22924.835205236312</v>
      </c>
      <c r="Q321" s="25">
        <f t="array" aca="1" ref="Q321" ca="1">INDEX('Isaac 401k'!L:L,MATCH('Retirement Calculator'!A321,'Isaac 401k'!N:N,0),0)</f>
        <v>2959690.0955392416</v>
      </c>
      <c r="R321" s="25">
        <f t="array" aca="1" ref="R321" ca="1">INDEX('Lorri 401b'!L:L,MATCH('Retirement Calculator'!A321,'Lorri 401b'!N:N,0),0)</f>
        <v>4776233.827219869</v>
      </c>
      <c r="S321" s="25">
        <f t="shared" ca="1" si="267"/>
        <v>7735923.9227591101</v>
      </c>
    </row>
    <row r="322" spans="1:19" ht="15.75" customHeight="1" x14ac:dyDescent="0.3">
      <c r="A322" s="37">
        <v>60753</v>
      </c>
      <c r="B322" s="409">
        <f t="shared" ref="B322:C322" si="323">($A322-B$9)/365.25</f>
        <v>84.454483230663925</v>
      </c>
      <c r="C322" s="409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3525.4531757812501</v>
      </c>
      <c r="H322" s="25">
        <f>IF(B322&lt;62,0,'Combined Retirement'!$I$14)</f>
        <v>2192</v>
      </c>
      <c r="I322" s="25">
        <f>IF(C322&lt;62,0,'Combined Retirement'!$I$13)</f>
        <v>2420</v>
      </c>
      <c r="J322" s="25">
        <f t="shared" si="263"/>
        <v>6404.7404596389215</v>
      </c>
      <c r="K322" s="25">
        <f t="shared" si="264"/>
        <v>16520.094745597391</v>
      </c>
      <c r="L322" s="25"/>
      <c r="N322" s="25">
        <f>'Combined Retirement'!$C$18/12</f>
        <v>33932.660666666663</v>
      </c>
      <c r="O322" s="25">
        <f t="shared" si="265"/>
        <v>11007.82546143035</v>
      </c>
      <c r="P322" s="25">
        <f t="shared" si="266"/>
        <v>22924.835205236312</v>
      </c>
      <c r="Q322" s="25">
        <f t="array" aca="1" ref="Q322" ca="1">INDEX('Isaac 401k'!L:L,MATCH('Retirement Calculator'!A322,'Isaac 401k'!N:N,0),0)</f>
        <v>2965590.7107257675</v>
      </c>
      <c r="R322" s="25">
        <f t="array" aca="1" ref="R322" ca="1">INDEX('Lorri 401b'!L:L,MATCH('Retirement Calculator'!A322,'Lorri 401b'!N:N,0),0)</f>
        <v>4779545.8730262471</v>
      </c>
      <c r="S322" s="25">
        <f t="shared" ca="1" si="267"/>
        <v>7745136.5837520147</v>
      </c>
    </row>
    <row r="323" spans="1:19" ht="15.75" customHeight="1" x14ac:dyDescent="0.3">
      <c r="A323" s="37">
        <v>60784</v>
      </c>
      <c r="B323" s="409">
        <f t="shared" ref="B323:C323" si="324">($A323-B$9)/365.25</f>
        <v>84.539356605065024</v>
      </c>
      <c r="C323" s="409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3525.4531757812501</v>
      </c>
      <c r="H323" s="25">
        <f>IF(B323&lt;62,0,'Combined Retirement'!$I$14)</f>
        <v>2192</v>
      </c>
      <c r="I323" s="25">
        <f>IF(C323&lt;62,0,'Combined Retirement'!$I$13)</f>
        <v>2420</v>
      </c>
      <c r="J323" s="25">
        <f t="shared" si="263"/>
        <v>6404.7404596389215</v>
      </c>
      <c r="K323" s="25">
        <f t="shared" si="264"/>
        <v>16520.094745597391</v>
      </c>
      <c r="L323" s="25"/>
      <c r="N323" s="25">
        <f>'Combined Retirement'!$C$18/12</f>
        <v>33932.660666666663</v>
      </c>
      <c r="O323" s="25">
        <f t="shared" si="265"/>
        <v>11007.82546143035</v>
      </c>
      <c r="P323" s="25">
        <f t="shared" si="266"/>
        <v>22924.835205236312</v>
      </c>
      <c r="Q323" s="25">
        <f t="array" aca="1" ref="Q323" ca="1">INDEX('Isaac 401k'!L:L,MATCH('Retirement Calculator'!A323,'Isaac 401k'!N:N,0),0)</f>
        <v>2971515.9118089038</v>
      </c>
      <c r="R323" s="25">
        <f t="array" aca="1" ref="R323" ca="1">INDEX('Lorri 401b'!L:L,MATCH('Retirement Calculator'!A323,'Lorri 401b'!N:N,0),0)</f>
        <v>4782871.7190234857</v>
      </c>
      <c r="S323" s="25">
        <f t="shared" ca="1" si="267"/>
        <v>7754387.630832389</v>
      </c>
    </row>
    <row r="324" spans="1:19" ht="15.75" customHeight="1" x14ac:dyDescent="0.3">
      <c r="A324" s="37">
        <v>60814</v>
      </c>
      <c r="B324" s="409">
        <f t="shared" ref="B324:C324" si="325">($A324-B$9)/365.25</f>
        <v>84.62149212867898</v>
      </c>
      <c r="C324" s="409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3525.4531757812501</v>
      </c>
      <c r="H324" s="25">
        <f>IF(B324&lt;62,0,'Combined Retirement'!$I$14)</f>
        <v>2192</v>
      </c>
      <c r="I324" s="25">
        <f>IF(C324&lt;62,0,'Combined Retirement'!$I$13)</f>
        <v>2420</v>
      </c>
      <c r="J324" s="25">
        <f t="shared" si="263"/>
        <v>6404.7404596389215</v>
      </c>
      <c r="K324" s="25">
        <f t="shared" si="264"/>
        <v>16520.094745597391</v>
      </c>
      <c r="L324" s="25"/>
      <c r="N324" s="25">
        <f>'Combined Retirement'!$C$18/12</f>
        <v>33932.660666666663</v>
      </c>
      <c r="O324" s="25">
        <f t="shared" si="265"/>
        <v>11007.82546143035</v>
      </c>
      <c r="P324" s="25">
        <f t="shared" si="266"/>
        <v>22924.835205236312</v>
      </c>
      <c r="Q324" s="25">
        <f t="array" aca="1" ref="Q324" ca="1">INDEX('Isaac 401k'!L:L,MATCH('Retirement Calculator'!A324,'Isaac 401k'!N:N,0),0)</f>
        <v>2977465.8012298867</v>
      </c>
      <c r="R324" s="25">
        <f t="array" aca="1" ref="R324" ca="1">INDEX('Lorri 401b'!L:L,MATCH('Retirement Calculator'!A324,'Lorri 401b'!N:N,0),0)</f>
        <v>4786211.4227123791</v>
      </c>
      <c r="S324" s="25">
        <f t="shared" ca="1" si="267"/>
        <v>7763677.2239422658</v>
      </c>
    </row>
    <row r="325" spans="1:19" ht="15.75" customHeight="1" x14ac:dyDescent="0.3">
      <c r="A325" s="37">
        <v>60845</v>
      </c>
      <c r="B325" s="409">
        <f t="shared" ref="B325:C325" si="326">($A325-B$9)/365.25</f>
        <v>84.706365503080079</v>
      </c>
      <c r="C325" s="409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3525.4531757812501</v>
      </c>
      <c r="H325" s="25">
        <f>IF(B325&lt;62,0,'Combined Retirement'!$I$14)</f>
        <v>2192</v>
      </c>
      <c r="I325" s="25">
        <f>IF(C325&lt;62,0,'Combined Retirement'!$I$13)</f>
        <v>2420</v>
      </c>
      <c r="J325" s="25">
        <f t="shared" si="263"/>
        <v>6404.7404596389215</v>
      </c>
      <c r="K325" s="25">
        <f t="shared" si="264"/>
        <v>16520.094745597391</v>
      </c>
      <c r="L325" s="25"/>
      <c r="N325" s="25">
        <f>'Combined Retirement'!$C$18/12</f>
        <v>33932.660666666663</v>
      </c>
      <c r="O325" s="25">
        <f t="shared" si="265"/>
        <v>11007.82546143035</v>
      </c>
      <c r="P325" s="25">
        <f t="shared" si="266"/>
        <v>22924.835205236312</v>
      </c>
      <c r="Q325" s="25">
        <f t="array" aca="1" ref="Q325" ca="1">INDEX('Isaac 401k'!L:L,MATCH('Retirement Calculator'!A325,'Isaac 401k'!N:N,0),0)</f>
        <v>2983440.4818567904</v>
      </c>
      <c r="R325" s="25">
        <f t="array" aca="1" ref="R325" ca="1">INDEX('Lorri 401b'!L:L,MATCH('Retirement Calculator'!A325,'Lorri 401b'!N:N,0),0)</f>
        <v>4789565.0418333095</v>
      </c>
      <c r="S325" s="25">
        <f t="shared" ca="1" si="267"/>
        <v>7773005.5236900998</v>
      </c>
    </row>
    <row r="326" spans="1:19" ht="15.75" customHeight="1" x14ac:dyDescent="0.3">
      <c r="A326" s="37">
        <v>60876</v>
      </c>
      <c r="B326" s="409">
        <f t="shared" ref="B326:C326" si="327">($A326-B$9)/365.25</f>
        <v>84.791238877481177</v>
      </c>
      <c r="C326" s="409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3525.4531757812501</v>
      </c>
      <c r="H326" s="25">
        <f>IF(B326&lt;62,0,'Combined Retirement'!$I$14)</f>
        <v>2192</v>
      </c>
      <c r="I326" s="25">
        <f>IF(C326&lt;62,0,'Combined Retirement'!$I$13)</f>
        <v>2420</v>
      </c>
      <c r="J326" s="25">
        <f t="shared" si="263"/>
        <v>6404.7404596389215</v>
      </c>
      <c r="K326" s="25">
        <f t="shared" si="264"/>
        <v>16520.094745597391</v>
      </c>
      <c r="L326" s="25"/>
      <c r="N326" s="25">
        <f>'Combined Retirement'!$C$18/12</f>
        <v>33932.660666666663</v>
      </c>
      <c r="O326" s="25">
        <f t="shared" si="265"/>
        <v>11007.82546143035</v>
      </c>
      <c r="P326" s="25">
        <f t="shared" si="266"/>
        <v>22924.835205236312</v>
      </c>
      <c r="Q326" s="25">
        <f t="array" aca="1" ref="Q326" ca="1">INDEX('Isaac 401k'!L:L,MATCH('Retirement Calculator'!A326,'Isaac 401k'!N:N,0),0)</f>
        <v>2989440.0569863059</v>
      </c>
      <c r="R326" s="25">
        <f t="array" aca="1" ref="R326" ca="1">INDEX('Lorri 401b'!L:L,MATCH('Retirement Calculator'!A326,'Lorri 401b'!N:N,0),0)</f>
        <v>4792932.6343672434</v>
      </c>
      <c r="S326" s="25">
        <f t="shared" ca="1" si="267"/>
        <v>7782372.6913535492</v>
      </c>
    </row>
    <row r="327" spans="1:19" ht="15.75" customHeight="1" x14ac:dyDescent="0.3">
      <c r="A327" s="37">
        <v>60906</v>
      </c>
      <c r="B327" s="409">
        <f t="shared" ref="B327:C327" si="328">($A327-B$9)/365.25</f>
        <v>84.873374401095134</v>
      </c>
      <c r="C327" s="409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3525.4531757812501</v>
      </c>
      <c r="H327" s="25">
        <f>IF(B327&lt;62,0,'Combined Retirement'!$I$14)</f>
        <v>2192</v>
      </c>
      <c r="I327" s="25">
        <f>IF(C327&lt;62,0,'Combined Retirement'!$I$13)</f>
        <v>2420</v>
      </c>
      <c r="J327" s="25">
        <f t="shared" si="263"/>
        <v>6404.7404596389215</v>
      </c>
      <c r="K327" s="25">
        <f t="shared" si="264"/>
        <v>16520.094745597391</v>
      </c>
      <c r="L327" s="25"/>
      <c r="N327" s="25">
        <f>'Combined Retirement'!$C$18/12</f>
        <v>33932.660666666663</v>
      </c>
      <c r="O327" s="25">
        <f t="shared" si="265"/>
        <v>11007.82546143035</v>
      </c>
      <c r="P327" s="25">
        <f t="shared" si="266"/>
        <v>22924.835205236312</v>
      </c>
      <c r="Q327" s="25">
        <f t="array" aca="1" ref="Q327" ca="1">INDEX('Isaac 401k'!L:L,MATCH('Retirement Calculator'!A327,'Isaac 401k'!N:N,0),0)</f>
        <v>2995464.630345528</v>
      </c>
      <c r="R327" s="25">
        <f t="array" aca="1" ref="R327" ca="1">INDEX('Lorri 401b'!L:L,MATCH('Retirement Calculator'!A327,'Lorri 401b'!N:N,0),0)</f>
        <v>4796314.2585367355</v>
      </c>
      <c r="S327" s="25">
        <f t="shared" ca="1" si="267"/>
        <v>7791778.8888822636</v>
      </c>
    </row>
    <row r="328" spans="1:19" ht="15.75" customHeight="1" x14ac:dyDescent="0.3">
      <c r="A328" s="37">
        <v>60937</v>
      </c>
      <c r="B328" s="409">
        <f t="shared" ref="B328:C328" si="329">($A328-B$9)/365.25</f>
        <v>84.958247775496233</v>
      </c>
      <c r="C328" s="409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3525.4531757812501</v>
      </c>
      <c r="H328" s="25">
        <f>IF(B328&lt;62,0,'Combined Retirement'!$I$14)</f>
        <v>2192</v>
      </c>
      <c r="I328" s="25">
        <f>IF(C328&lt;62,0,'Combined Retirement'!$I$13)</f>
        <v>2420</v>
      </c>
      <c r="J328" s="25">
        <f t="shared" si="263"/>
        <v>6404.7404596389215</v>
      </c>
      <c r="K328" s="25">
        <f t="shared" si="264"/>
        <v>16520.094745597391</v>
      </c>
      <c r="L328" s="25"/>
      <c r="N328" s="25">
        <f>'Combined Retirement'!$C$18/12</f>
        <v>33932.660666666663</v>
      </c>
      <c r="O328" s="25">
        <f t="shared" si="265"/>
        <v>11007.82546143035</v>
      </c>
      <c r="P328" s="25">
        <f t="shared" si="266"/>
        <v>22924.835205236312</v>
      </c>
      <c r="Q328" s="25">
        <f t="array" aca="1" ref="Q328" ca="1">INDEX('Isaac 401k'!L:L,MATCH('Retirement Calculator'!A328,'Isaac 401k'!N:N,0),0)</f>
        <v>3001514.3060937468</v>
      </c>
      <c r="R328" s="25">
        <f t="array" aca="1" ref="R328" ca="1">INDEX('Lorri 401b'!L:L,MATCH('Retirement Calculator'!A328,'Lorri 401b'!N:N,0),0)</f>
        <v>4799709.9728069343</v>
      </c>
      <c r="S328" s="25">
        <f t="shared" ca="1" si="267"/>
        <v>7801224.2789006811</v>
      </c>
    </row>
    <row r="329" spans="1:19" ht="15.75" customHeight="1" x14ac:dyDescent="0.3">
      <c r="A329" s="37">
        <v>60967</v>
      </c>
      <c r="B329" s="409">
        <f t="shared" ref="B329:C329" si="330">($A329-B$9)/365.25</f>
        <v>85.040383299110204</v>
      </c>
      <c r="C329" s="409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3525.4531757812501</v>
      </c>
      <c r="H329" s="25">
        <f>IF(B329&lt;62,0,'Combined Retirement'!$I$14)</f>
        <v>2192</v>
      </c>
      <c r="I329" s="25">
        <f>IF(C329&lt;62,0,'Combined Retirement'!$I$13)</f>
        <v>2420</v>
      </c>
      <c r="J329" s="25">
        <f t="shared" si="263"/>
        <v>6404.7404596389215</v>
      </c>
      <c r="K329" s="25">
        <f t="shared" si="264"/>
        <v>16520.094745597391</v>
      </c>
      <c r="L329" s="25"/>
      <c r="N329" s="25">
        <f>'Combined Retirement'!$C$18/12</f>
        <v>33932.660666666663</v>
      </c>
      <c r="O329" s="25">
        <f t="shared" si="265"/>
        <v>11007.82546143035</v>
      </c>
      <c r="P329" s="25">
        <f t="shared" si="266"/>
        <v>22924.835205236312</v>
      </c>
      <c r="Q329" s="25">
        <f t="array" aca="1" ref="Q329" ca="1">INDEX('Isaac 401k'!L:L,MATCH('Retirement Calculator'!A329,'Isaac 401k'!N:N,0),0)</f>
        <v>3007589.1888242499</v>
      </c>
      <c r="R329" s="25">
        <f t="array" aca="1" ref="R329" ca="1">INDEX('Lorri 401b'!L:L,MATCH('Retirement Calculator'!A329,'Lorri 401b'!N:N,0),0)</f>
        <v>4803119.835886592</v>
      </c>
      <c r="S329" s="25">
        <f t="shared" ca="1" si="267"/>
        <v>7810709.0247108415</v>
      </c>
    </row>
    <row r="330" spans="1:19" ht="15.75" customHeight="1" x14ac:dyDescent="0.3">
      <c r="A330" s="37">
        <v>60998</v>
      </c>
      <c r="B330" s="409">
        <f t="shared" ref="B330:C330" si="331">($A330-B$9)/365.25</f>
        <v>85.125256673511288</v>
      </c>
      <c r="C330" s="409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3525.4531757812501</v>
      </c>
      <c r="H330" s="25">
        <f>IF(B330&lt;62,0,'Combined Retirement'!$I$14)</f>
        <v>2192</v>
      </c>
      <c r="I330" s="25">
        <f>IF(C330&lt;62,0,'Combined Retirement'!$I$13)</f>
        <v>2420</v>
      </c>
      <c r="J330" s="25">
        <f t="shared" si="263"/>
        <v>6404.7404596389215</v>
      </c>
      <c r="K330" s="25">
        <f t="shared" si="264"/>
        <v>16520.094745597391</v>
      </c>
      <c r="L330" s="25"/>
      <c r="N330" s="25">
        <f>'Combined Retirement'!$C$18/12</f>
        <v>33932.660666666663</v>
      </c>
      <c r="O330" s="25">
        <f t="shared" si="265"/>
        <v>11007.82546143035</v>
      </c>
      <c r="P330" s="25">
        <f t="shared" si="266"/>
        <v>22924.835205236312</v>
      </c>
      <c r="Q330" s="25">
        <f t="array" aca="1" ref="Q330" ca="1">INDEX('Isaac 401k'!L:L,MATCH('Retirement Calculator'!A330,'Isaac 401k'!N:N,0),0)</f>
        <v>3013689.38356613</v>
      </c>
      <c r="R330" s="25">
        <f t="array" aca="1" ref="R330" ca="1">INDEX('Lorri 401b'!L:L,MATCH('Retirement Calculator'!A330,'Lorri 401b'!N:N,0),0)</f>
        <v>4806543.9067290816</v>
      </c>
      <c r="S330" s="25">
        <f t="shared" ca="1" si="267"/>
        <v>7820233.2902952116</v>
      </c>
    </row>
    <row r="331" spans="1:19" ht="15.75" customHeight="1" x14ac:dyDescent="0.3">
      <c r="A331" s="37">
        <v>61029</v>
      </c>
      <c r="B331" s="409">
        <f t="shared" ref="B331:C331" si="332">($A331-B$9)/365.25</f>
        <v>85.210130047912386</v>
      </c>
      <c r="C331" s="409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3525.4531757812501</v>
      </c>
      <c r="H331" s="25">
        <f>IF(B331&lt;62,0,'Combined Retirement'!$I$14)</f>
        <v>2192</v>
      </c>
      <c r="I331" s="25">
        <f>IF(C331&lt;62,0,'Combined Retirement'!$I$13)</f>
        <v>2420</v>
      </c>
      <c r="J331" s="25">
        <f t="shared" si="263"/>
        <v>6404.7404596389215</v>
      </c>
      <c r="K331" s="25">
        <f t="shared" si="264"/>
        <v>16520.094745597391</v>
      </c>
      <c r="L331" s="25"/>
      <c r="N331" s="25">
        <f>'Combined Retirement'!$C$18/12</f>
        <v>33932.660666666663</v>
      </c>
      <c r="O331" s="25">
        <f t="shared" si="265"/>
        <v>11007.82546143035</v>
      </c>
      <c r="P331" s="25">
        <f t="shared" si="266"/>
        <v>22924.835205236312</v>
      </c>
      <c r="Q331" s="25">
        <f t="array" aca="1" ref="Q331" ca="1">INDEX('Isaac 401k'!L:L,MATCH('Retirement Calculator'!A331,'Isaac 401k'!N:N,0),0)</f>
        <v>3019814.9957861011</v>
      </c>
      <c r="R331" s="25">
        <f t="array" aca="1" ref="R331" ca="1">INDEX('Lorri 401b'!L:L,MATCH('Retirement Calculator'!A331,'Lorri 401b'!N:N,0),0)</f>
        <v>4809982.244533415</v>
      </c>
      <c r="S331" s="25">
        <f t="shared" ca="1" si="267"/>
        <v>7829797.2403195165</v>
      </c>
    </row>
    <row r="332" spans="1:19" ht="15.75" customHeight="1" x14ac:dyDescent="0.3">
      <c r="A332" s="37">
        <v>61057</v>
      </c>
      <c r="B332" s="409">
        <f t="shared" ref="B332:C332" si="333">($A332-B$9)/365.25</f>
        <v>85.286789869952088</v>
      </c>
      <c r="C332" s="409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3525.4531757812501</v>
      </c>
      <c r="H332" s="25">
        <f>IF(B332&lt;62,0,'Combined Retirement'!$I$14)</f>
        <v>2192</v>
      </c>
      <c r="I332" s="25">
        <f>IF(C332&lt;62,0,'Combined Retirement'!$I$13)</f>
        <v>2420</v>
      </c>
      <c r="J332" s="25">
        <f t="shared" si="263"/>
        <v>6404.7404596389215</v>
      </c>
      <c r="K332" s="25">
        <f t="shared" si="264"/>
        <v>16520.094745597391</v>
      </c>
      <c r="L332" s="25"/>
      <c r="N332" s="25">
        <f>'Combined Retirement'!$C$18/12</f>
        <v>33932.660666666663</v>
      </c>
      <c r="O332" s="25">
        <f t="shared" si="265"/>
        <v>11007.82546143035</v>
      </c>
      <c r="P332" s="25">
        <f t="shared" si="266"/>
        <v>22924.835205236312</v>
      </c>
      <c r="Q332" s="25">
        <f t="array" aca="1" ref="Q332" ca="1">INDEX('Isaac 401k'!L:L,MATCH('Retirement Calculator'!A332,'Isaac 401k'!N:N,0),0)</f>
        <v>3025966.1313903225</v>
      </c>
      <c r="R332" s="25">
        <f t="array" aca="1" ref="R332" ca="1">INDEX('Lorri 401b'!L:L,MATCH('Retirement Calculator'!A332,'Lorri 401b'!N:N,0),0)</f>
        <v>4813434.9087452665</v>
      </c>
      <c r="S332" s="25">
        <f t="shared" ca="1" si="267"/>
        <v>7839401.0401355885</v>
      </c>
    </row>
    <row r="333" spans="1:19" ht="15.75" customHeight="1" x14ac:dyDescent="0.3">
      <c r="A333" s="37">
        <v>61088</v>
      </c>
      <c r="B333" s="409">
        <f t="shared" ref="B333:C333" si="334">($A333-B$9)/365.25</f>
        <v>85.371663244353186</v>
      </c>
      <c r="C333" s="409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3525.4531757812501</v>
      </c>
      <c r="H333" s="25">
        <f>IF(B333&lt;62,0,'Combined Retirement'!$I$14)</f>
        <v>2192</v>
      </c>
      <c r="I333" s="25">
        <f>IF(C333&lt;62,0,'Combined Retirement'!$I$13)</f>
        <v>2420</v>
      </c>
      <c r="J333" s="25">
        <f t="shared" si="263"/>
        <v>6404.7404596389215</v>
      </c>
      <c r="K333" s="25">
        <f t="shared" si="264"/>
        <v>16520.094745597391</v>
      </c>
      <c r="L333" s="25"/>
      <c r="N333" s="25">
        <f>'Combined Retirement'!$C$18/12</f>
        <v>33932.660666666663</v>
      </c>
      <c r="O333" s="25">
        <f t="shared" si="265"/>
        <v>11007.82546143035</v>
      </c>
      <c r="P333" s="25">
        <f t="shared" si="266"/>
        <v>22924.835205236312</v>
      </c>
      <c r="Q333" s="25">
        <f t="array" aca="1" ref="Q333" ca="1">INDEX('Isaac 401k'!L:L,MATCH('Retirement Calculator'!A333,'Isaac 401k'!N:N,0),0)</f>
        <v>3032142.8967262278</v>
      </c>
      <c r="R333" s="25">
        <f t="array" aca="1" ref="R333" ca="1">INDEX('Lorri 401b'!L:L,MATCH('Retirement Calculator'!A333,'Lorri 401b'!N:N,0),0)</f>
        <v>4816901.9590580007</v>
      </c>
      <c r="S333" s="25">
        <f t="shared" ca="1" si="267"/>
        <v>7849044.8557842281</v>
      </c>
    </row>
    <row r="334" spans="1:19" ht="15.75" customHeight="1" x14ac:dyDescent="0.3">
      <c r="A334" s="37">
        <v>61118</v>
      </c>
      <c r="B334" s="409">
        <f t="shared" ref="B334:C334" si="335">($A334-B$9)/365.25</f>
        <v>85.453798767967143</v>
      </c>
      <c r="C334" s="409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3525.4531757812501</v>
      </c>
      <c r="H334" s="25">
        <f>IF(B334&lt;62,0,'Combined Retirement'!$I$14)</f>
        <v>2192</v>
      </c>
      <c r="I334" s="25">
        <f>IF(C334&lt;62,0,'Combined Retirement'!$I$13)</f>
        <v>2420</v>
      </c>
      <c r="J334" s="25">
        <f t="shared" si="263"/>
        <v>6404.7404596389215</v>
      </c>
      <c r="K334" s="25">
        <f t="shared" si="264"/>
        <v>16520.094745597391</v>
      </c>
      <c r="L334" s="25"/>
      <c r="N334" s="25">
        <f>'Combined Retirement'!$C$18/12</f>
        <v>33932.660666666663</v>
      </c>
      <c r="O334" s="25">
        <f t="shared" si="265"/>
        <v>11007.82546143035</v>
      </c>
      <c r="P334" s="25">
        <f t="shared" si="266"/>
        <v>22924.835205236312</v>
      </c>
      <c r="Q334" s="25">
        <f t="array" aca="1" ref="Q334" ca="1">INDEX('Isaac 401k'!L:L,MATCH('Retirement Calculator'!A334,'Isaac 401k'!N:N,0),0)</f>
        <v>3038345.3985843663</v>
      </c>
      <c r="R334" s="25">
        <f t="array" aca="1" ref="R334" ca="1">INDEX('Lorri 401b'!L:L,MATCH('Retirement Calculator'!A334,'Lorri 401b'!N:N,0),0)</f>
        <v>4820383.4554137047</v>
      </c>
      <c r="S334" s="25">
        <f t="shared" ca="1" si="267"/>
        <v>7858728.8539980706</v>
      </c>
    </row>
    <row r="335" spans="1:19" ht="15.75" customHeight="1" x14ac:dyDescent="0.3">
      <c r="A335" s="37">
        <v>61149</v>
      </c>
      <c r="B335" s="409">
        <f t="shared" ref="B335:C335" si="336">($A335-B$9)/365.25</f>
        <v>85.538672142368242</v>
      </c>
      <c r="C335" s="409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3525.4531757812501</v>
      </c>
      <c r="H335" s="25">
        <f>IF(B335&lt;62,0,'Combined Retirement'!$I$14)</f>
        <v>2192</v>
      </c>
      <c r="I335" s="25">
        <f>IF(C335&lt;62,0,'Combined Retirement'!$I$13)</f>
        <v>2420</v>
      </c>
      <c r="J335" s="25">
        <f t="shared" si="263"/>
        <v>6404.7404596389215</v>
      </c>
      <c r="K335" s="25">
        <f t="shared" si="264"/>
        <v>16520.094745597391</v>
      </c>
      <c r="L335" s="25"/>
      <c r="N335" s="25">
        <f>'Combined Retirement'!$C$18/12</f>
        <v>33932.660666666663</v>
      </c>
      <c r="O335" s="25">
        <f t="shared" si="265"/>
        <v>11007.82546143035</v>
      </c>
      <c r="P335" s="25">
        <f t="shared" si="266"/>
        <v>22924.835205236312</v>
      </c>
      <c r="Q335" s="25">
        <f t="array" aca="1" ref="Q335" ca="1">INDEX('Isaac 401k'!L:L,MATCH('Retirement Calculator'!A335,'Isaac 401k'!N:N,0),0)</f>
        <v>3044573.7442002469</v>
      </c>
      <c r="R335" s="25">
        <f t="array" aca="1" ref="R335" ca="1">INDEX('Lorri 401b'!L:L,MATCH('Retirement Calculator'!A335,'Lorri 401b'!N:N,0),0)</f>
        <v>4823879.4580042241</v>
      </c>
      <c r="S335" s="25">
        <f t="shared" ca="1" si="267"/>
        <v>7868453.2022044715</v>
      </c>
    </row>
    <row r="336" spans="1:19" ht="15.75" customHeight="1" x14ac:dyDescent="0.3">
      <c r="A336" s="37">
        <v>61179</v>
      </c>
      <c r="B336" s="409">
        <f t="shared" ref="B336:C336" si="337">($A336-B$9)/365.25</f>
        <v>85.620807665982198</v>
      </c>
      <c r="C336" s="409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3525.4531757812501</v>
      </c>
      <c r="H336" s="25">
        <f>IF(B336&lt;62,0,'Combined Retirement'!$I$14)</f>
        <v>2192</v>
      </c>
      <c r="I336" s="25">
        <f>IF(C336&lt;62,0,'Combined Retirement'!$I$13)</f>
        <v>2420</v>
      </c>
      <c r="J336" s="25">
        <f t="shared" si="263"/>
        <v>6404.7404596389215</v>
      </c>
      <c r="K336" s="25">
        <f t="shared" si="264"/>
        <v>16520.094745597391</v>
      </c>
      <c r="L336" s="25"/>
      <c r="N336" s="25">
        <f>'Combined Retirement'!$C$18/12</f>
        <v>33932.660666666663</v>
      </c>
      <c r="O336" s="25">
        <f t="shared" si="265"/>
        <v>11007.82546143035</v>
      </c>
      <c r="P336" s="25">
        <f t="shared" si="266"/>
        <v>22924.835205236312</v>
      </c>
      <c r="Q336" s="25">
        <f t="array" aca="1" ref="Q336" ca="1">INDEX('Isaac 401k'!L:L,MATCH('Retirement Calculator'!A336,'Isaac 401k'!N:N,0),0)</f>
        <v>3050828.0412561935</v>
      </c>
      <c r="R336" s="25">
        <f t="array" aca="1" ref="R336" ca="1">INDEX('Lorri 401b'!L:L,MATCH('Retirement Calculator'!A336,'Lorri 401b'!N:N,0),0)</f>
        <v>4827390.0272722039</v>
      </c>
      <c r="S336" s="25">
        <f t="shared" ca="1" si="267"/>
        <v>7878218.068528397</v>
      </c>
    </row>
    <row r="337" spans="1:19" ht="15.75" customHeight="1" x14ac:dyDescent="0.3">
      <c r="A337" s="37">
        <v>61210</v>
      </c>
      <c r="B337" s="409">
        <f t="shared" ref="B337:C337" si="338">($A337-B$9)/365.25</f>
        <v>85.705681040383297</v>
      </c>
      <c r="C337" s="409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3525.4531757812501</v>
      </c>
      <c r="H337" s="25">
        <f>IF(B337&lt;62,0,'Combined Retirement'!$I$14)</f>
        <v>2192</v>
      </c>
      <c r="I337" s="25">
        <f>IF(C337&lt;62,0,'Combined Retirement'!$I$13)</f>
        <v>2420</v>
      </c>
      <c r="J337" s="25">
        <f t="shared" si="263"/>
        <v>6404.7404596389215</v>
      </c>
      <c r="K337" s="25">
        <f t="shared" si="264"/>
        <v>16520.094745597391</v>
      </c>
      <c r="L337" s="25"/>
      <c r="N337" s="25">
        <f>'Combined Retirement'!$C$18/12</f>
        <v>33932.660666666663</v>
      </c>
      <c r="O337" s="25">
        <f t="shared" si="265"/>
        <v>11007.82546143035</v>
      </c>
      <c r="P337" s="25">
        <f t="shared" si="266"/>
        <v>22924.835205236312</v>
      </c>
      <c r="Q337" s="25">
        <f t="array" aca="1" ref="Q337" ca="1">INDEX('Isaac 401k'!L:L,MATCH('Retirement Calculator'!A337,'Isaac 401k'!N:N,0),0)</f>
        <v>3057108.3978832066</v>
      </c>
      <c r="R337" s="25">
        <f t="array" aca="1" ref="R337" ca="1">INDEX('Lorri 401b'!L:L,MATCH('Retirement Calculator'!A337,'Lorri 401b'!N:N,0),0)</f>
        <v>4830915.2239121338</v>
      </c>
      <c r="S337" s="25">
        <f t="shared" ca="1" si="267"/>
        <v>7888023.6217953404</v>
      </c>
    </row>
    <row r="338" spans="1:19" ht="15.75" customHeight="1" x14ac:dyDescent="0.3">
      <c r="A338" s="37">
        <v>61241</v>
      </c>
      <c r="B338" s="409">
        <f t="shared" ref="B338:C338" si="339">($A338-B$9)/365.25</f>
        <v>85.790554414784395</v>
      </c>
      <c r="C338" s="409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3525.4531757812501</v>
      </c>
      <c r="H338" s="25">
        <f>IF(B338&lt;62,0,'Combined Retirement'!$I$14)</f>
        <v>2192</v>
      </c>
      <c r="I338" s="25">
        <f>IF(C338&lt;62,0,'Combined Retirement'!$I$13)</f>
        <v>2420</v>
      </c>
      <c r="J338" s="25">
        <f t="shared" si="263"/>
        <v>6404.7404596389215</v>
      </c>
      <c r="K338" s="25">
        <f t="shared" si="264"/>
        <v>16520.094745597391</v>
      </c>
      <c r="L338" s="25"/>
      <c r="N338" s="25">
        <f>'Combined Retirement'!$C$18/12</f>
        <v>33932.660666666663</v>
      </c>
      <c r="O338" s="25">
        <f t="shared" si="265"/>
        <v>11007.82546143035</v>
      </c>
      <c r="P338" s="25">
        <f t="shared" si="266"/>
        <v>22924.835205236312</v>
      </c>
      <c r="Q338" s="25">
        <f t="array" aca="1" ref="Q338" ca="1">INDEX('Isaac 401k'!L:L,MATCH('Retirement Calculator'!A338,'Isaac 401k'!N:N,0),0)</f>
        <v>3063414.9226628323</v>
      </c>
      <c r="R338" s="25">
        <f t="array" aca="1" ref="R338" ca="1">INDEX('Lorri 401b'!L:L,MATCH('Retirement Calculator'!A338,'Lorri 401b'!N:N,0),0)</f>
        <v>4834455.1088713966</v>
      </c>
      <c r="S338" s="25">
        <f t="shared" ca="1" si="267"/>
        <v>7897870.0315342285</v>
      </c>
    </row>
    <row r="339" spans="1:19" ht="15.75" customHeight="1" x14ac:dyDescent="0.3">
      <c r="A339" s="37">
        <v>61271</v>
      </c>
      <c r="B339" s="409">
        <f t="shared" ref="B339:C339" si="340">($A339-B$9)/365.25</f>
        <v>85.872689938398352</v>
      </c>
      <c r="C339" s="409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3525.4531757812501</v>
      </c>
      <c r="H339" s="25">
        <f>IF(B339&lt;62,0,'Combined Retirement'!$I$14)</f>
        <v>2192</v>
      </c>
      <c r="I339" s="25">
        <f>IF(C339&lt;62,0,'Combined Retirement'!$I$13)</f>
        <v>2420</v>
      </c>
      <c r="J339" s="25">
        <f t="shared" si="263"/>
        <v>6404.7404596389215</v>
      </c>
      <c r="K339" s="25">
        <f t="shared" si="264"/>
        <v>16520.094745597391</v>
      </c>
      <c r="L339" s="25"/>
      <c r="N339" s="25">
        <f>'Combined Retirement'!$C$18/12</f>
        <v>33932.660666666663</v>
      </c>
      <c r="O339" s="25">
        <f t="shared" si="265"/>
        <v>11007.82546143035</v>
      </c>
      <c r="P339" s="25">
        <f t="shared" si="266"/>
        <v>22924.835205236312</v>
      </c>
      <c r="Q339" s="25">
        <f t="array" aca="1" ref="Q339" ca="1">INDEX('Isaac 401k'!L:L,MATCH('Retirement Calculator'!A339,'Isaac 401k'!N:N,0),0)</f>
        <v>3069747.7246290399</v>
      </c>
      <c r="R339" s="25">
        <f t="array" aca="1" ref="R339" ca="1">INDEX('Lorri 401b'!L:L,MATCH('Retirement Calculator'!A339,'Lorri 401b'!N:N,0),0)</f>
        <v>4838009.7433513226</v>
      </c>
      <c r="S339" s="25">
        <f t="shared" ca="1" si="267"/>
        <v>7907757.4679803625</v>
      </c>
    </row>
    <row r="340" spans="1:19" ht="15.75" customHeight="1" x14ac:dyDescent="0.3">
      <c r="A340" s="37">
        <v>61302</v>
      </c>
      <c r="B340" s="409">
        <f t="shared" ref="B340:C340" si="341">($A340-B$9)/365.25</f>
        <v>85.957563312799451</v>
      </c>
      <c r="C340" s="409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3525.4531757812501</v>
      </c>
      <c r="H340" s="25">
        <f>IF(B340&lt;62,0,'Combined Retirement'!$I$14)</f>
        <v>2192</v>
      </c>
      <c r="I340" s="25">
        <f>IF(C340&lt;62,0,'Combined Retirement'!$I$13)</f>
        <v>2420</v>
      </c>
      <c r="J340" s="25">
        <f t="shared" si="263"/>
        <v>6404.7404596389215</v>
      </c>
      <c r="K340" s="25">
        <f t="shared" si="264"/>
        <v>16520.094745597391</v>
      </c>
      <c r="L340" s="25"/>
      <c r="N340" s="25">
        <f>'Combined Retirement'!$C$18/12</f>
        <v>33932.660666666663</v>
      </c>
      <c r="O340" s="25">
        <f t="shared" si="265"/>
        <v>11007.82546143035</v>
      </c>
      <c r="P340" s="25">
        <f t="shared" si="266"/>
        <v>22924.835205236312</v>
      </c>
      <c r="Q340" s="25">
        <f t="array" aca="1" ref="Q340" ca="1">INDEX('Isaac 401k'!L:L,MATCH('Retirement Calculator'!A340,'Isaac 401k'!N:N,0),0)</f>
        <v>3076106.9132701065</v>
      </c>
      <c r="R340" s="25">
        <f t="array" aca="1" ref="R340" ca="1">INDEX('Lorri 401b'!L:L,MATCH('Retirement Calculator'!A340,'Lorri 401b'!N:N,0),0)</f>
        <v>4841579.1888082484</v>
      </c>
      <c r="S340" s="25">
        <f t="shared" ca="1" si="267"/>
        <v>7917686.1020783549</v>
      </c>
    </row>
    <row r="341" spans="1:19" ht="15.75" customHeight="1" x14ac:dyDescent="0.3">
      <c r="A341" s="37">
        <v>61332</v>
      </c>
      <c r="B341" s="409">
        <f t="shared" ref="B341:C341" si="342">($A341-B$9)/365.25</f>
        <v>86.039698836413422</v>
      </c>
      <c r="C341" s="409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3525.4531757812501</v>
      </c>
      <c r="H341" s="25">
        <f>IF(B341&lt;62,0,'Combined Retirement'!$I$14)</f>
        <v>2192</v>
      </c>
      <c r="I341" s="25">
        <f>IF(C341&lt;62,0,'Combined Retirement'!$I$13)</f>
        <v>2420</v>
      </c>
      <c r="J341" s="25">
        <f t="shared" si="263"/>
        <v>6404.7404596389215</v>
      </c>
      <c r="K341" s="25">
        <f t="shared" si="264"/>
        <v>16520.094745597391</v>
      </c>
      <c r="L341" s="25"/>
      <c r="N341" s="25">
        <f>'Combined Retirement'!$C$18/12</f>
        <v>33932.660666666663</v>
      </c>
      <c r="O341" s="25">
        <f t="shared" si="265"/>
        <v>11007.82546143035</v>
      </c>
      <c r="P341" s="25">
        <f t="shared" si="266"/>
        <v>22924.835205236312</v>
      </c>
      <c r="Q341" s="25">
        <f t="array" aca="1" ref="Q341" ca="1">INDEX('Isaac 401k'!L:L,MATCH('Retirement Calculator'!A341,'Isaac 401k'!N:N,0),0)</f>
        <v>3082492.5985305109</v>
      </c>
      <c r="R341" s="25">
        <f t="array" aca="1" ref="R341" ca="1">INDEX('Lorri 401b'!L:L,MATCH('Retirement Calculator'!A341,'Lorri 401b'!N:N,0),0)</f>
        <v>4845163.5069545787</v>
      </c>
      <c r="S341" s="25">
        <f t="shared" ca="1" si="267"/>
        <v>7927656.1054850891</v>
      </c>
    </row>
    <row r="342" spans="1:19" ht="15.75" customHeight="1" x14ac:dyDescent="0.3">
      <c r="A342" s="37">
        <v>61363</v>
      </c>
      <c r="B342" s="409">
        <f t="shared" ref="B342:C342" si="343">($A342-B$9)/365.25</f>
        <v>86.124572210814506</v>
      </c>
      <c r="C342" s="409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3525.4531757812501</v>
      </c>
      <c r="H342" s="25">
        <f>IF(B342&lt;62,0,'Combined Retirement'!$I$14)</f>
        <v>2192</v>
      </c>
      <c r="I342" s="25">
        <f>IF(C342&lt;62,0,'Combined Retirement'!$I$13)</f>
        <v>2420</v>
      </c>
      <c r="J342" s="25">
        <f t="shared" si="263"/>
        <v>6404.7404596389215</v>
      </c>
      <c r="K342" s="25">
        <f t="shared" si="264"/>
        <v>16520.094745597391</v>
      </c>
      <c r="L342" s="25"/>
      <c r="N342" s="25">
        <f>'Combined Retirement'!$C$18/12</f>
        <v>33932.660666666663</v>
      </c>
      <c r="O342" s="25">
        <f t="shared" si="265"/>
        <v>11007.82546143035</v>
      </c>
      <c r="P342" s="25">
        <f t="shared" si="266"/>
        <v>22924.835205236312</v>
      </c>
      <c r="Q342" s="25">
        <f t="array" aca="1" ref="Q342" ca="1">INDEX('Isaac 401k'!L:L,MATCH('Retirement Calculator'!A342,'Isaac 401k'!N:N,0),0)</f>
        <v>3088904.8908128338</v>
      </c>
      <c r="R342" s="25">
        <f t="array" aca="1" ref="R342" ca="1">INDEX('Lorri 401b'!L:L,MATCH('Retirement Calculator'!A342,'Lorri 401b'!N:N,0),0)</f>
        <v>4848762.7597598517</v>
      </c>
      <c r="S342" s="25">
        <f t="shared" ca="1" si="267"/>
        <v>7937667.6505726855</v>
      </c>
    </row>
    <row r="343" spans="1:19" ht="15.75" customHeight="1" x14ac:dyDescent="0.3">
      <c r="A343" s="37">
        <v>61394</v>
      </c>
      <c r="B343" s="409">
        <f t="shared" ref="B343:C343" si="344">($A343-B$9)/365.25</f>
        <v>86.209445585215605</v>
      </c>
      <c r="C343" s="409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3525.4531757812501</v>
      </c>
      <c r="H343" s="25">
        <f>IF(B343&lt;62,0,'Combined Retirement'!$I$14)</f>
        <v>2192</v>
      </c>
      <c r="I343" s="25">
        <f>IF(C343&lt;62,0,'Combined Retirement'!$I$13)</f>
        <v>2420</v>
      </c>
      <c r="J343" s="25">
        <f t="shared" si="263"/>
        <v>6404.7404596389215</v>
      </c>
      <c r="K343" s="25">
        <f t="shared" si="264"/>
        <v>16520.094745597391</v>
      </c>
      <c r="L343" s="25"/>
      <c r="N343" s="25">
        <f>'Combined Retirement'!$C$18/12</f>
        <v>33932.660666666663</v>
      </c>
      <c r="O343" s="25">
        <f t="shared" si="265"/>
        <v>11007.82546143035</v>
      </c>
      <c r="P343" s="25">
        <f t="shared" si="266"/>
        <v>22924.835205236312</v>
      </c>
      <c r="Q343" s="25">
        <f t="array" aca="1" ref="Q343" ca="1">INDEX('Isaac 401k'!L:L,MATCH('Retirement Calculator'!A343,'Isaac 401k'!N:N,0),0)</f>
        <v>3095343.9009796665</v>
      </c>
      <c r="R343" s="25">
        <f t="array" aca="1" ref="R343" ca="1">INDEX('Lorri 401b'!L:L,MATCH('Retirement Calculator'!A343,'Lorri 401b'!N:N,0),0)</f>
        <v>4852377.0094518131</v>
      </c>
      <c r="S343" s="25">
        <f t="shared" ca="1" si="267"/>
        <v>7947720.91043148</v>
      </c>
    </row>
    <row r="344" spans="1:19" ht="15.75" customHeight="1" x14ac:dyDescent="0.3">
      <c r="A344" s="37">
        <v>61423</v>
      </c>
      <c r="B344" s="409">
        <f t="shared" ref="B344:C344" si="345">($A344-B$9)/365.25</f>
        <v>86.288843258042434</v>
      </c>
      <c r="C344" s="409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3525.4531757812501</v>
      </c>
      <c r="H344" s="25">
        <f>IF(B344&lt;62,0,'Combined Retirement'!$I$14)</f>
        <v>2192</v>
      </c>
      <c r="I344" s="25">
        <f>IF(C344&lt;62,0,'Combined Retirement'!$I$13)</f>
        <v>2420</v>
      </c>
      <c r="J344" s="25">
        <f t="shared" si="263"/>
        <v>6404.7404596389215</v>
      </c>
      <c r="K344" s="25">
        <f t="shared" si="264"/>
        <v>16520.094745597391</v>
      </c>
      <c r="L344" s="25"/>
      <c r="N344" s="25">
        <f>'Combined Retirement'!$C$18/12</f>
        <v>33932.660666666663</v>
      </c>
      <c r="O344" s="25">
        <f t="shared" si="265"/>
        <v>11007.82546143035</v>
      </c>
      <c r="P344" s="25">
        <f t="shared" si="266"/>
        <v>22924.835205236312</v>
      </c>
      <c r="Q344" s="25">
        <f t="array" aca="1" ref="Q344" ca="1">INDEX('Isaac 401k'!L:L,MATCH('Retirement Calculator'!A344,'Isaac 401k'!N:N,0),0)</f>
        <v>3101809.7403555275</v>
      </c>
      <c r="R344" s="25">
        <f t="array" aca="1" ref="R344" ca="1">INDEX('Lorri 401b'!L:L,MATCH('Retirement Calculator'!A344,'Lorri 401b'!N:N,0),0)</f>
        <v>4856006.3185174912</v>
      </c>
      <c r="S344" s="25">
        <f t="shared" ca="1" si="267"/>
        <v>7957816.0588730182</v>
      </c>
    </row>
    <row r="345" spans="1:19" ht="15.75" customHeight="1" x14ac:dyDescent="0.3">
      <c r="A345" s="37">
        <v>61454</v>
      </c>
      <c r="B345" s="409">
        <f t="shared" ref="B345:C345" si="346">($A345-B$9)/365.25</f>
        <v>86.373716632443532</v>
      </c>
      <c r="C345" s="409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3525.4531757812501</v>
      </c>
      <c r="H345" s="25">
        <f>IF(B345&lt;62,0,'Combined Retirement'!$I$14)</f>
        <v>2192</v>
      </c>
      <c r="I345" s="25">
        <f>IF(C345&lt;62,0,'Combined Retirement'!$I$13)</f>
        <v>2420</v>
      </c>
      <c r="J345" s="25">
        <f t="shared" si="263"/>
        <v>6404.7404596389215</v>
      </c>
      <c r="K345" s="25">
        <f t="shared" si="264"/>
        <v>16520.094745597391</v>
      </c>
      <c r="L345" s="25"/>
      <c r="N345" s="25">
        <f>'Combined Retirement'!$C$18/12</f>
        <v>33932.660666666663</v>
      </c>
      <c r="O345" s="25">
        <f t="shared" si="265"/>
        <v>11007.82546143035</v>
      </c>
      <c r="P345" s="25">
        <f t="shared" si="266"/>
        <v>22924.835205236312</v>
      </c>
      <c r="Q345" s="25">
        <f t="array" aca="1" ref="Q345" ca="1">INDEX('Isaac 401k'!L:L,MATCH('Retirement Calculator'!A345,'Isaac 401k'!N:N,0),0)</f>
        <v>3108302.5207287879</v>
      </c>
      <c r="R345" s="25">
        <f t="array" aca="1" ref="R345" ca="1">INDEX('Lorri 401b'!L:L,MATCH('Retirement Calculator'!A345,'Lorri 401b'!N:N,0),0)</f>
        <v>4859650.7497042762</v>
      </c>
      <c r="S345" s="25">
        <f t="shared" ca="1" si="267"/>
        <v>7967953.2704330646</v>
      </c>
    </row>
    <row r="346" spans="1:19" ht="15.75" customHeight="1" x14ac:dyDescent="0.3">
      <c r="A346" s="37">
        <v>61484</v>
      </c>
      <c r="B346" s="409">
        <f t="shared" ref="B346:C346" si="347">($A346-B$9)/365.25</f>
        <v>86.455852156057489</v>
      </c>
      <c r="C346" s="409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3525.4531757812501</v>
      </c>
      <c r="H346" s="25">
        <f>IF(B346&lt;62,0,'Combined Retirement'!$I$14)</f>
        <v>2192</v>
      </c>
      <c r="I346" s="25">
        <f>IF(C346&lt;62,0,'Combined Retirement'!$I$13)</f>
        <v>2420</v>
      </c>
      <c r="J346" s="25">
        <f t="shared" si="263"/>
        <v>6404.7404596389215</v>
      </c>
      <c r="K346" s="25">
        <f t="shared" si="264"/>
        <v>16520.094745597391</v>
      </c>
      <c r="L346" s="25"/>
      <c r="N346" s="25">
        <f>'Combined Retirement'!$C$18/12</f>
        <v>33932.660666666663</v>
      </c>
      <c r="O346" s="25">
        <f t="shared" si="265"/>
        <v>11007.82546143035</v>
      </c>
      <c r="P346" s="25">
        <f t="shared" si="266"/>
        <v>22924.835205236312</v>
      </c>
      <c r="Q346" s="25">
        <f t="array" aca="1" ref="Q346" ca="1">INDEX('Isaac 401k'!L:L,MATCH('Retirement Calculator'!A346,'Isaac 401k'!N:N,0),0)</f>
        <v>3114822.3543536034</v>
      </c>
      <c r="R346" s="25">
        <f t="array" aca="1" ref="R346" ca="1">INDEX('Lorri 401b'!L:L,MATCH('Retirement Calculator'!A346,'Lorri 401b'!N:N,0),0)</f>
        <v>4863310.3660210064</v>
      </c>
      <c r="S346" s="25">
        <f t="shared" ca="1" si="267"/>
        <v>7978132.7203746103</v>
      </c>
    </row>
    <row r="347" spans="1:19" ht="15.75" customHeight="1" x14ac:dyDescent="0.3">
      <c r="A347" s="37">
        <v>61515</v>
      </c>
      <c r="B347" s="409">
        <f t="shared" ref="B347:C347" si="348">($A347-B$9)/365.25</f>
        <v>86.540725530458587</v>
      </c>
      <c r="C347" s="409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3525.4531757812501</v>
      </c>
      <c r="H347" s="25">
        <f>IF(B347&lt;62,0,'Combined Retirement'!$I$14)</f>
        <v>2192</v>
      </c>
      <c r="I347" s="25">
        <f>IF(C347&lt;62,0,'Combined Retirement'!$I$13)</f>
        <v>2420</v>
      </c>
      <c r="J347" s="25">
        <f t="shared" si="263"/>
        <v>6404.7404596389215</v>
      </c>
      <c r="K347" s="25">
        <f t="shared" si="264"/>
        <v>16520.094745597391</v>
      </c>
      <c r="L347" s="25"/>
      <c r="N347" s="25">
        <f>'Combined Retirement'!$C$18/12</f>
        <v>33932.660666666663</v>
      </c>
      <c r="O347" s="25">
        <f t="shared" si="265"/>
        <v>11007.82546143035</v>
      </c>
      <c r="P347" s="25">
        <f t="shared" si="266"/>
        <v>22924.835205236312</v>
      </c>
      <c r="Q347" s="25">
        <f t="array" aca="1" ref="Q347" ca="1">INDEX('Isaac 401k'!L:L,MATCH('Retirement Calculator'!A347,'Isaac 401k'!N:N,0),0)</f>
        <v>3121369.353951856</v>
      </c>
      <c r="R347" s="25">
        <f t="array" aca="1" ref="R347" ca="1">INDEX('Lorri 401b'!L:L,MATCH('Retirement Calculator'!A347,'Lorri 401b'!N:N,0),0)</f>
        <v>4866985.2307390561</v>
      </c>
      <c r="S347" s="25">
        <f t="shared" ca="1" si="267"/>
        <v>7988354.5846909117</v>
      </c>
    </row>
    <row r="348" spans="1:19" ht="15.75" customHeight="1" x14ac:dyDescent="0.3">
      <c r="A348" s="37">
        <v>61545</v>
      </c>
      <c r="B348" s="409">
        <f t="shared" ref="B348:C348" si="349">($A348-B$9)/365.25</f>
        <v>86.622861054072558</v>
      </c>
      <c r="C348" s="409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3525.4531757812501</v>
      </c>
      <c r="H348" s="25">
        <f>IF(B348&lt;62,0,'Combined Retirement'!$I$14)</f>
        <v>2192</v>
      </c>
      <c r="I348" s="25">
        <f>IF(C348&lt;62,0,'Combined Retirement'!$I$13)</f>
        <v>2420</v>
      </c>
      <c r="J348" s="25">
        <f t="shared" si="263"/>
        <v>6404.7404596389215</v>
      </c>
      <c r="K348" s="25">
        <f t="shared" si="264"/>
        <v>16520.094745597391</v>
      </c>
      <c r="L348" s="25"/>
      <c r="N348" s="25">
        <f>'Combined Retirement'!$C$18/12</f>
        <v>33932.660666666663</v>
      </c>
      <c r="O348" s="25">
        <f t="shared" si="265"/>
        <v>11007.82546143035</v>
      </c>
      <c r="P348" s="25">
        <f t="shared" si="266"/>
        <v>22924.835205236312</v>
      </c>
      <c r="Q348" s="25">
        <f t="array" aca="1" ref="Q348" ca="1">INDEX('Isaac 401k'!L:L,MATCH('Retirement Calculator'!A348,'Isaac 401k'!N:N,0),0)</f>
        <v>3127943.6327151014</v>
      </c>
      <c r="R348" s="25">
        <f t="array" aca="1" ref="R348" ca="1">INDEX('Lorri 401b'!L:L,MATCH('Retirement Calculator'!A348,'Lorri 401b'!N:N,0),0)</f>
        <v>4870675.4073934313</v>
      </c>
      <c r="S348" s="25">
        <f t="shared" ca="1" si="267"/>
        <v>7998619.0401085326</v>
      </c>
    </row>
    <row r="349" spans="1:19" ht="15.75" customHeight="1" x14ac:dyDescent="0.3">
      <c r="A349" s="37">
        <v>61576</v>
      </c>
      <c r="B349" s="409">
        <f t="shared" ref="B349:C349" si="350">($A349-B$9)/365.25</f>
        <v>86.707734428473643</v>
      </c>
      <c r="C349" s="409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3525.4531757812501</v>
      </c>
      <c r="H349" s="25">
        <f>IF(B349&lt;62,0,'Combined Retirement'!$I$14)</f>
        <v>2192</v>
      </c>
      <c r="I349" s="25">
        <f>IF(C349&lt;62,0,'Combined Retirement'!$I$13)</f>
        <v>2420</v>
      </c>
      <c r="J349" s="25">
        <f t="shared" si="263"/>
        <v>6404.7404596389215</v>
      </c>
      <c r="K349" s="25">
        <f t="shared" si="264"/>
        <v>16520.094745597391</v>
      </c>
      <c r="L349" s="25"/>
      <c r="N349" s="25">
        <f>'Combined Retirement'!$C$18/12</f>
        <v>33932.660666666663</v>
      </c>
      <c r="O349" s="25">
        <f t="shared" si="265"/>
        <v>11007.82546143035</v>
      </c>
      <c r="P349" s="25">
        <f t="shared" si="266"/>
        <v>22924.835205236312</v>
      </c>
      <c r="Q349" s="25">
        <f t="array" aca="1" ref="Q349" ca="1">INDEX('Isaac 401k'!L:L,MATCH('Retirement Calculator'!A349,'Isaac 401k'!N:N,0),0)</f>
        <v>3134545.3043065267</v>
      </c>
      <c r="R349" s="25">
        <f t="array" aca="1" ref="R349" ca="1">INDEX('Lorri 401b'!L:L,MATCH('Retirement Calculator'!A349,'Lorri 401b'!N:N,0),0)</f>
        <v>4874380.9597838661</v>
      </c>
      <c r="S349" s="25">
        <f t="shared" ca="1" si="267"/>
        <v>8008926.2640903927</v>
      </c>
    </row>
    <row r="350" spans="1:19" ht="15.75" customHeight="1" x14ac:dyDescent="0.3">
      <c r="A350" s="37">
        <v>61607</v>
      </c>
      <c r="B350" s="409">
        <f t="shared" ref="B350:C350" si="351">($A350-B$9)/365.25</f>
        <v>86.792607802874741</v>
      </c>
      <c r="C350" s="409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3525.4531757812501</v>
      </c>
      <c r="H350" s="25">
        <f>IF(B350&lt;62,0,'Combined Retirement'!$I$14)</f>
        <v>2192</v>
      </c>
      <c r="I350" s="25">
        <f>IF(C350&lt;62,0,'Combined Retirement'!$I$13)</f>
        <v>2420</v>
      </c>
      <c r="J350" s="25">
        <f t="shared" si="263"/>
        <v>6404.7404596389215</v>
      </c>
      <c r="K350" s="25">
        <f t="shared" si="264"/>
        <v>16520.094745597391</v>
      </c>
      <c r="L350" s="25"/>
      <c r="N350" s="25">
        <f>'Combined Retirement'!$C$18/12</f>
        <v>33932.660666666663</v>
      </c>
      <c r="O350" s="25">
        <f t="shared" si="265"/>
        <v>11007.82546143035</v>
      </c>
      <c r="P350" s="25">
        <f t="shared" si="266"/>
        <v>22924.835205236312</v>
      </c>
      <c r="Q350" s="25">
        <f t="array" aca="1" ref="Q350" ca="1">INDEX('Isaac 401k'!L:L,MATCH('Retirement Calculator'!A350,'Isaac 401k'!N:N,0),0)</f>
        <v>3141174.4828629163</v>
      </c>
      <c r="R350" s="25">
        <f t="array" aca="1" ref="R350" ca="1">INDEX('Lorri 401b'!L:L,MATCH('Retirement Calculator'!A350,'Lorri 401b'!N:N,0),0)</f>
        <v>4878101.9519759277</v>
      </c>
      <c r="S350" s="25">
        <f t="shared" ca="1" si="267"/>
        <v>8019276.4348388445</v>
      </c>
    </row>
    <row r="351" spans="1:19" ht="15.75" customHeight="1" x14ac:dyDescent="0.3">
      <c r="A351" s="37">
        <v>61637</v>
      </c>
      <c r="B351" s="409">
        <f t="shared" ref="B351:C351" si="352">($A351-B$9)/365.25</f>
        <v>86.874743326488712</v>
      </c>
      <c r="C351" s="409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3525.4531757812501</v>
      </c>
      <c r="H351" s="25">
        <f>IF(B351&lt;62,0,'Combined Retirement'!$I$14)</f>
        <v>2192</v>
      </c>
      <c r="I351" s="25">
        <f>IF(C351&lt;62,0,'Combined Retirement'!$I$13)</f>
        <v>2420</v>
      </c>
      <c r="J351" s="25">
        <f t="shared" si="263"/>
        <v>6404.7404596389215</v>
      </c>
      <c r="K351" s="25">
        <f t="shared" si="264"/>
        <v>16520.094745597391</v>
      </c>
      <c r="L351" s="25"/>
      <c r="N351" s="25">
        <f>'Combined Retirement'!$C$18/12</f>
        <v>33932.660666666663</v>
      </c>
      <c r="O351" s="25">
        <f t="shared" si="265"/>
        <v>11007.82546143035</v>
      </c>
      <c r="P351" s="25">
        <f t="shared" si="266"/>
        <v>22924.835205236312</v>
      </c>
      <c r="Q351" s="25">
        <f t="array" aca="1" ref="Q351" ca="1">INDEX('Isaac 401k'!L:L,MATCH('Retirement Calculator'!A351,'Isaac 401k'!N:N,0),0)</f>
        <v>3147831.2829966242</v>
      </c>
      <c r="R351" s="25">
        <f t="array" aca="1" ref="R351" ca="1">INDEX('Lorri 401b'!L:L,MATCH('Retirement Calculator'!A351,'Lorri 401b'!N:N,0),0)</f>
        <v>4881838.4483021228</v>
      </c>
      <c r="S351" s="25">
        <f t="shared" ca="1" si="267"/>
        <v>8029669.7312987465</v>
      </c>
    </row>
    <row r="352" spans="1:19" ht="15.75" customHeight="1" x14ac:dyDescent="0.3">
      <c r="A352" s="37">
        <v>61668</v>
      </c>
      <c r="B352" s="409">
        <f t="shared" ref="B352:C352" si="353">($A352-B$9)/365.25</f>
        <v>86.959616700889796</v>
      </c>
      <c r="C352" s="409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3525.4531757812501</v>
      </c>
      <c r="H352" s="25">
        <f>IF(B352&lt;62,0,'Combined Retirement'!$I$14)</f>
        <v>2192</v>
      </c>
      <c r="I352" s="25">
        <f>IF(C352&lt;62,0,'Combined Retirement'!$I$13)</f>
        <v>2420</v>
      </c>
      <c r="J352" s="25">
        <f t="shared" si="263"/>
        <v>6404.7404596389215</v>
      </c>
      <c r="K352" s="25">
        <f t="shared" si="264"/>
        <v>16520.094745597391</v>
      </c>
      <c r="L352" s="25"/>
      <c r="N352" s="25">
        <f>'Combined Retirement'!$C$18/12</f>
        <v>33932.660666666663</v>
      </c>
      <c r="O352" s="25">
        <f t="shared" si="265"/>
        <v>11007.82546143035</v>
      </c>
      <c r="P352" s="25">
        <f t="shared" si="266"/>
        <v>22924.835205236312</v>
      </c>
      <c r="Q352" s="25">
        <f t="array" aca="1" ref="Q352" ca="1">INDEX('Isaac 401k'!L:L,MATCH('Retirement Calculator'!A352,'Isaac 401k'!N:N,0),0)</f>
        <v>3154515.8197975559</v>
      </c>
      <c r="R352" s="25">
        <f t="array" aca="1" ref="R352" ca="1">INDEX('Lorri 401b'!L:L,MATCH('Retirement Calculator'!A352,'Lorri 401b'!N:N,0),0)</f>
        <v>4885590.5133630103</v>
      </c>
      <c r="S352" s="25">
        <f t="shared" ca="1" si="267"/>
        <v>8040106.3331605662</v>
      </c>
    </row>
    <row r="353" spans="1:19" ht="15.75" customHeight="1" x14ac:dyDescent="0.3">
      <c r="A353" s="37">
        <v>61698</v>
      </c>
      <c r="B353" s="409">
        <f t="shared" ref="B353:C353" si="354">($A353-B$9)/365.25</f>
        <v>87.041752224503767</v>
      </c>
      <c r="C353" s="409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3525.4531757812501</v>
      </c>
      <c r="H353" s="25">
        <f>IF(B353&lt;62,0,'Combined Retirement'!$I$14)</f>
        <v>2192</v>
      </c>
      <c r="I353" s="25">
        <f>IF(C353&lt;62,0,'Combined Retirement'!$I$13)</f>
        <v>2420</v>
      </c>
      <c r="J353" s="25">
        <f t="shared" si="263"/>
        <v>6404.7404596389215</v>
      </c>
      <c r="K353" s="25">
        <f t="shared" si="264"/>
        <v>16520.094745597391</v>
      </c>
      <c r="L353" s="25"/>
      <c r="N353" s="25">
        <f>'Combined Retirement'!$C$18/12</f>
        <v>33932.660666666663</v>
      </c>
      <c r="O353" s="25">
        <f t="shared" si="265"/>
        <v>11007.82546143035</v>
      </c>
      <c r="P353" s="25">
        <f t="shared" si="266"/>
        <v>22924.835205236312</v>
      </c>
      <c r="Q353" s="25">
        <f t="array" aca="1" ref="Q353" ca="1">INDEX('Isaac 401k'!L:L,MATCH('Retirement Calculator'!A353,'Isaac 401k'!N:N,0),0)</f>
        <v>3161228.208835158</v>
      </c>
      <c r="R353" s="25">
        <f t="array" aca="1" ref="R353" ca="1">INDEX('Lorri 401b'!L:L,MATCH('Retirement Calculator'!A353,'Lorri 401b'!N:N,0),0)</f>
        <v>4889358.2120283181</v>
      </c>
      <c r="S353" s="25">
        <f t="shared" ca="1" si="267"/>
        <v>8050586.4208634757</v>
      </c>
    </row>
    <row r="354" spans="1:19" ht="15.75" customHeight="1" x14ac:dyDescent="0.3">
      <c r="A354" s="37">
        <v>61729</v>
      </c>
      <c r="B354" s="409">
        <f t="shared" ref="B354:C354" si="355">($A354-B$9)/365.25</f>
        <v>87.126625598904866</v>
      </c>
      <c r="C354" s="409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3525.4531757812501</v>
      </c>
      <c r="H354" s="25">
        <f>IF(B354&lt;62,0,'Combined Retirement'!$I$14)</f>
        <v>2192</v>
      </c>
      <c r="I354" s="25">
        <f>IF(C354&lt;62,0,'Combined Retirement'!$I$13)</f>
        <v>2420</v>
      </c>
      <c r="J354" s="25">
        <f t="shared" si="263"/>
        <v>6404.7404596389215</v>
      </c>
      <c r="K354" s="25">
        <f t="shared" si="264"/>
        <v>16520.094745597391</v>
      </c>
      <c r="L354" s="25"/>
      <c r="N354" s="25">
        <f>'Combined Retirement'!$C$18/12</f>
        <v>33932.660666666663</v>
      </c>
      <c r="O354" s="25">
        <f t="shared" si="265"/>
        <v>11007.82546143035</v>
      </c>
      <c r="P354" s="25">
        <f t="shared" si="266"/>
        <v>22924.835205236312</v>
      </c>
      <c r="Q354" s="25">
        <f t="array" aca="1" ref="Q354" ca="1">INDEX('Isaac 401k'!L:L,MATCH('Retirement Calculator'!A354,'Isaac 401k'!N:N,0),0)</f>
        <v>3167968.5661604167</v>
      </c>
      <c r="R354" s="25">
        <f t="array" aca="1" ref="R354" ca="1">INDEX('Lorri 401b'!L:L,MATCH('Retirement Calculator'!A354,'Lorri 401b'!N:N,0),0)</f>
        <v>4893141.6094380645</v>
      </c>
      <c r="S354" s="25">
        <f t="shared" ca="1" si="267"/>
        <v>8061110.1755984817</v>
      </c>
    </row>
    <row r="355" spans="1:19" ht="15.75" customHeight="1" x14ac:dyDescent="0.3">
      <c r="A355" s="37">
        <v>61760</v>
      </c>
      <c r="B355" s="409">
        <f t="shared" ref="B355:C355" si="356">($A355-B$9)/365.25</f>
        <v>87.21149897330595</v>
      </c>
      <c r="C355" s="409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3525.4531757812501</v>
      </c>
      <c r="H355" s="25">
        <f>IF(B355&lt;62,0,'Combined Retirement'!$I$14)</f>
        <v>2192</v>
      </c>
      <c r="I355" s="25">
        <f>IF(C355&lt;62,0,'Combined Retirement'!$I$13)</f>
        <v>2420</v>
      </c>
      <c r="J355" s="25">
        <f t="shared" si="263"/>
        <v>6404.7404596389215</v>
      </c>
      <c r="K355" s="25">
        <f t="shared" si="264"/>
        <v>16520.094745597391</v>
      </c>
      <c r="L355" s="25"/>
      <c r="N355" s="25">
        <f>'Combined Retirement'!$C$18/12</f>
        <v>33932.660666666663</v>
      </c>
      <c r="O355" s="25">
        <f t="shared" si="265"/>
        <v>11007.82546143035</v>
      </c>
      <c r="P355" s="25">
        <f t="shared" si="266"/>
        <v>22924.835205236312</v>
      </c>
      <c r="Q355" s="25">
        <f t="array" aca="1" ref="Q355" ca="1">INDEX('Isaac 401k'!L:L,MATCH('Retirement Calculator'!A355,'Isaac 401k'!N:N,0),0)</f>
        <v>3174737.008307864</v>
      </c>
      <c r="R355" s="25">
        <f t="array" aca="1" ref="R355" ca="1">INDEX('Lorri 401b'!L:L,MATCH('Retirement Calculator'!A355,'Lorri 401b'!N:N,0),0)</f>
        <v>4896940.771003685</v>
      </c>
      <c r="S355" s="25">
        <f t="shared" ca="1" si="267"/>
        <v>8071677.7793115489</v>
      </c>
    </row>
    <row r="356" spans="1:19" ht="15.75" customHeight="1" x14ac:dyDescent="0.3">
      <c r="A356" s="37">
        <v>61788</v>
      </c>
      <c r="B356" s="409">
        <f t="shared" ref="B356:C356" si="357">($A356-B$9)/365.25</f>
        <v>87.288158795345652</v>
      </c>
      <c r="C356" s="409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3525.4531757812501</v>
      </c>
      <c r="H356" s="25">
        <f>IF(B356&lt;62,0,'Combined Retirement'!$I$14)</f>
        <v>2192</v>
      </c>
      <c r="I356" s="25">
        <f>IF(C356&lt;62,0,'Combined Retirement'!$I$13)</f>
        <v>2420</v>
      </c>
      <c r="J356" s="25">
        <f t="shared" si="263"/>
        <v>6404.7404596389215</v>
      </c>
      <c r="K356" s="25">
        <f t="shared" si="264"/>
        <v>16520.094745597391</v>
      </c>
      <c r="L356" s="25"/>
      <c r="N356" s="25">
        <f>'Combined Retirement'!$C$18/12</f>
        <v>33932.660666666663</v>
      </c>
      <c r="O356" s="25">
        <f t="shared" si="265"/>
        <v>11007.82546143035</v>
      </c>
      <c r="P356" s="25">
        <f t="shared" si="266"/>
        <v>22924.835205236312</v>
      </c>
      <c r="Q356" s="25">
        <f t="array" aca="1" ref="Q356" ca="1">INDEX('Isaac 401k'!L:L,MATCH('Retirement Calculator'!A356,'Isaac 401k'!N:N,0),0)</f>
        <v>3181533.6522975923</v>
      </c>
      <c r="R356" s="25">
        <f t="array" aca="1" ref="R356" ca="1">INDEX('Lorri 401b'!L:L,MATCH('Retirement Calculator'!A356,'Lorri 401b'!N:N,0),0)</f>
        <v>4900755.7624091627</v>
      </c>
      <c r="S356" s="25">
        <f t="shared" ca="1" si="267"/>
        <v>8082289.4147067554</v>
      </c>
    </row>
    <row r="357" spans="1:19" ht="15.75" customHeight="1" x14ac:dyDescent="0.3">
      <c r="A357" s="37">
        <v>61819</v>
      </c>
      <c r="B357" s="409">
        <f t="shared" ref="B357:C357" si="358">($A357-B$9)/365.25</f>
        <v>87.37303216974675</v>
      </c>
      <c r="C357" s="409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3525.4531757812501</v>
      </c>
      <c r="H357" s="25">
        <f>IF(B357&lt;62,0,'Combined Retirement'!$I$14)</f>
        <v>2192</v>
      </c>
      <c r="I357" s="25">
        <f>IF(C357&lt;62,0,'Combined Retirement'!$I$13)</f>
        <v>2420</v>
      </c>
      <c r="J357" s="25">
        <f t="shared" si="263"/>
        <v>6404.7404596389215</v>
      </c>
      <c r="K357" s="25">
        <f t="shared" si="264"/>
        <v>16520.094745597391</v>
      </c>
      <c r="L357" s="25"/>
      <c r="N357" s="25">
        <f>'Combined Retirement'!$C$18/12</f>
        <v>33932.660666666663</v>
      </c>
      <c r="O357" s="25">
        <f t="shared" si="265"/>
        <v>11007.82546143035</v>
      </c>
      <c r="P357" s="25">
        <f t="shared" si="266"/>
        <v>22924.835205236312</v>
      </c>
      <c r="Q357" s="25">
        <f t="array" aca="1" ref="Q357" ca="1">INDEX('Isaac 401k'!L:L,MATCH('Retirement Calculator'!A357,'Isaac 401k'!N:N,0),0)</f>
        <v>3188358.6156372777</v>
      </c>
      <c r="R357" s="25">
        <f t="array" aca="1" ref="R357" ca="1">INDEX('Lorri 401b'!L:L,MATCH('Retirement Calculator'!A357,'Lorri 401b'!N:N,0),0)</f>
        <v>4904586.6496121632</v>
      </c>
      <c r="S357" s="25">
        <f t="shared" ca="1" si="267"/>
        <v>8092945.2652494404</v>
      </c>
    </row>
    <row r="358" spans="1:19" ht="15.75" customHeight="1" x14ac:dyDescent="0.3">
      <c r="A358" s="37">
        <v>61849</v>
      </c>
      <c r="B358" s="409">
        <f t="shared" ref="B358:C358" si="359">($A358-B$9)/365.25</f>
        <v>87.455167693360707</v>
      </c>
      <c r="C358" s="409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3525.4531757812501</v>
      </c>
      <c r="H358" s="25">
        <f>IF(B358&lt;62,0,'Combined Retirement'!$I$14)</f>
        <v>2192</v>
      </c>
      <c r="I358" s="25">
        <f>IF(C358&lt;62,0,'Combined Retirement'!$I$13)</f>
        <v>2420</v>
      </c>
      <c r="J358" s="25">
        <f t="shared" si="263"/>
        <v>6404.7404596389215</v>
      </c>
      <c r="K358" s="25">
        <f t="shared" si="264"/>
        <v>16520.094745597391</v>
      </c>
      <c r="L358" s="25"/>
      <c r="N358" s="25">
        <f>'Combined Retirement'!$C$18/12</f>
        <v>33932.660666666663</v>
      </c>
      <c r="O358" s="25">
        <f t="shared" si="265"/>
        <v>11007.82546143035</v>
      </c>
      <c r="P358" s="25">
        <f t="shared" si="266"/>
        <v>22924.835205236312</v>
      </c>
      <c r="Q358" s="25">
        <f t="array" aca="1" ref="Q358" ca="1">INDEX('Isaac 401k'!L:L,MATCH('Retirement Calculator'!A358,'Isaac 401k'!N:N,0),0)</f>
        <v>3195212.0163242123</v>
      </c>
      <c r="R358" s="25">
        <f t="array" aca="1" ref="R358" ca="1">INDEX('Lorri 401b'!L:L,MATCH('Retirement Calculator'!A358,'Lorri 401b'!N:N,0),0)</f>
        <v>4908433.4988451758</v>
      </c>
      <c r="S358" s="25">
        <f t="shared" ca="1" si="267"/>
        <v>8103645.5151693877</v>
      </c>
    </row>
    <row r="359" spans="1:19" ht="15.75" customHeight="1" x14ac:dyDescent="0.3">
      <c r="A359" s="37">
        <v>61880</v>
      </c>
      <c r="B359" s="409">
        <f t="shared" ref="B359:C359" si="360">($A359-B$9)/365.25</f>
        <v>87.540041067761805</v>
      </c>
      <c r="C359" s="409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3525.4531757812501</v>
      </c>
      <c r="H359" s="25">
        <f>IF(B359&lt;62,0,'Combined Retirement'!$I$14)</f>
        <v>2192</v>
      </c>
      <c r="I359" s="25">
        <f>IF(C359&lt;62,0,'Combined Retirement'!$I$13)</f>
        <v>2420</v>
      </c>
      <c r="J359" s="25">
        <f t="shared" si="263"/>
        <v>6404.7404596389215</v>
      </c>
      <c r="K359" s="25">
        <f t="shared" si="264"/>
        <v>16520.094745597391</v>
      </c>
      <c r="L359" s="25"/>
      <c r="N359" s="25">
        <f>'Combined Retirement'!$C$18/12</f>
        <v>33932.660666666663</v>
      </c>
      <c r="O359" s="25">
        <f t="shared" si="265"/>
        <v>11007.82546143035</v>
      </c>
      <c r="P359" s="25">
        <f t="shared" si="266"/>
        <v>22924.835205236312</v>
      </c>
      <c r="Q359" s="25">
        <f t="array" aca="1" ref="Q359" ca="1">INDEX('Isaac 401k'!L:L,MATCH('Retirement Calculator'!A359,'Isaac 401k'!N:N,0),0)</f>
        <v>3202093.972847342</v>
      </c>
      <c r="R359" s="25">
        <f t="array" aca="1" ref="R359" ca="1">INDEX('Lorri 401b'!L:L,MATCH('Retirement Calculator'!A359,'Lorri 401b'!N:N,0),0)</f>
        <v>4912296.3766166596</v>
      </c>
      <c r="S359" s="25">
        <f t="shared" ca="1" si="267"/>
        <v>8114390.3494640011</v>
      </c>
    </row>
    <row r="360" spans="1:19" ht="15.75" customHeight="1" x14ac:dyDescent="0.3">
      <c r="A360" s="37">
        <v>61910</v>
      </c>
      <c r="B360" s="409">
        <f t="shared" ref="B360:C360" si="361">($A360-B$9)/365.25</f>
        <v>87.622176591375776</v>
      </c>
      <c r="C360" s="409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3525.4531757812501</v>
      </c>
      <c r="H360" s="25">
        <f>IF(B360&lt;62,0,'Combined Retirement'!$I$14)</f>
        <v>2192</v>
      </c>
      <c r="I360" s="25">
        <f>IF(C360&lt;62,0,'Combined Retirement'!$I$13)</f>
        <v>2420</v>
      </c>
      <c r="J360" s="25">
        <f t="shared" si="263"/>
        <v>6404.7404596389215</v>
      </c>
      <c r="K360" s="25">
        <f t="shared" si="264"/>
        <v>16520.094745597391</v>
      </c>
      <c r="L360" s="25"/>
      <c r="N360" s="25">
        <f>'Combined Retirement'!$C$18/12</f>
        <v>33932.660666666663</v>
      </c>
      <c r="O360" s="25">
        <f t="shared" si="265"/>
        <v>11007.82546143035</v>
      </c>
      <c r="P360" s="25">
        <f t="shared" si="266"/>
        <v>22924.835205236312</v>
      </c>
      <c r="Q360" s="25">
        <f t="array" aca="1" ref="Q360" ca="1">INDEX('Isaac 401k'!L:L,MATCH('Retirement Calculator'!A360,'Isaac 401k'!N:N,0),0)</f>
        <v>3209004.6041893181</v>
      </c>
      <c r="R360" s="25">
        <f t="array" aca="1" ref="R360" ca="1">INDEX('Lorri 401b'!L:L,MATCH('Retirement Calculator'!A360,'Lorri 401b'!N:N,0),0)</f>
        <v>4916175.3497121911</v>
      </c>
      <c r="S360" s="25">
        <f t="shared" ca="1" si="267"/>
        <v>8125179.9539015088</v>
      </c>
    </row>
    <row r="361" spans="1:19" ht="15.75" customHeight="1" x14ac:dyDescent="0.3">
      <c r="A361" s="37">
        <v>61941</v>
      </c>
      <c r="B361" s="409">
        <f t="shared" ref="B361:C361" si="362">($A361-B$9)/365.25</f>
        <v>87.707049965776861</v>
      </c>
      <c r="C361" s="409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3525.4531757812501</v>
      </c>
      <c r="H361" s="25">
        <f>IF(B361&lt;62,0,'Combined Retirement'!$I$14)</f>
        <v>2192</v>
      </c>
      <c r="I361" s="25">
        <f>IF(C361&lt;62,0,'Combined Retirement'!$I$13)</f>
        <v>2420</v>
      </c>
      <c r="J361" s="25">
        <f t="shared" si="263"/>
        <v>6404.7404596389215</v>
      </c>
      <c r="K361" s="25">
        <f t="shared" si="264"/>
        <v>16520.094745597391</v>
      </c>
      <c r="L361" s="25"/>
      <c r="N361" s="25">
        <f>'Combined Retirement'!$C$18/12</f>
        <v>33932.660666666663</v>
      </c>
      <c r="O361" s="25">
        <f t="shared" si="265"/>
        <v>11007.82546143035</v>
      </c>
      <c r="P361" s="25">
        <f t="shared" si="266"/>
        <v>22924.835205236312</v>
      </c>
      <c r="Q361" s="25">
        <f t="array" aca="1" ref="Q361" ca="1">INDEX('Isaac 401k'!L:L,MATCH('Retirement Calculator'!A361,'Isaac 401k'!N:N,0),0)</f>
        <v>3215944.0298285526</v>
      </c>
      <c r="R361" s="25">
        <f t="array" aca="1" ref="R361" ca="1">INDEX('Lorri 401b'!L:L,MATCH('Retirement Calculator'!A361,'Lorri 401b'!N:N,0),0)</f>
        <v>4920070.4851956209</v>
      </c>
      <c r="S361" s="25">
        <f t="shared" ca="1" si="267"/>
        <v>8136014.515024174</v>
      </c>
    </row>
    <row r="362" spans="1:19" ht="15.75" customHeight="1" x14ac:dyDescent="0.3">
      <c r="A362" s="37">
        <v>61972</v>
      </c>
      <c r="B362" s="409">
        <f t="shared" ref="B362:C362" si="363">($A362-B$9)/365.25</f>
        <v>87.791923340177959</v>
      </c>
      <c r="C362" s="409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3525.4531757812501</v>
      </c>
      <c r="H362" s="25">
        <f>IF(B362&lt;62,0,'Combined Retirement'!$I$14)</f>
        <v>2192</v>
      </c>
      <c r="I362" s="25">
        <f>IF(C362&lt;62,0,'Combined Retirement'!$I$13)</f>
        <v>2420</v>
      </c>
      <c r="J362" s="25">
        <f t="shared" si="263"/>
        <v>6404.7404596389215</v>
      </c>
      <c r="K362" s="25">
        <f t="shared" si="264"/>
        <v>16520.094745597391</v>
      </c>
      <c r="L362" s="25"/>
      <c r="N362" s="25">
        <f>'Combined Retirement'!$C$18/12</f>
        <v>33932.660666666663</v>
      </c>
      <c r="O362" s="25">
        <f t="shared" si="265"/>
        <v>11007.82546143035</v>
      </c>
      <c r="P362" s="25">
        <f t="shared" si="266"/>
        <v>22924.835205236312</v>
      </c>
      <c r="Q362" s="25">
        <f t="array" aca="1" ref="Q362" ca="1">INDEX('Isaac 401k'!L:L,MATCH('Retirement Calculator'!A362,'Isaac 401k'!N:N,0),0)</f>
        <v>3222912.3697412838</v>
      </c>
      <c r="R362" s="25">
        <f t="array" aca="1" ref="R362" ca="1">INDEX('Lorri 401b'!L:L,MATCH('Retirement Calculator'!A362,'Lorri 401b'!N:N,0),0)</f>
        <v>4923981.8504102314</v>
      </c>
      <c r="S362" s="25">
        <f t="shared" ca="1" si="267"/>
        <v>8146894.2201515157</v>
      </c>
    </row>
    <row r="363" spans="1:19" ht="15.75" customHeight="1" x14ac:dyDescent="0.3">
      <c r="A363" s="37">
        <v>62002</v>
      </c>
      <c r="B363" s="409">
        <f t="shared" ref="B363:C363" si="364">($A363-B$9)/365.25</f>
        <v>87.87405886379193</v>
      </c>
      <c r="C363" s="409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3525.4531757812501</v>
      </c>
      <c r="H363" s="25">
        <f>IF(B363&lt;62,0,'Combined Retirement'!$I$14)</f>
        <v>2192</v>
      </c>
      <c r="I363" s="25">
        <f>IF(C363&lt;62,0,'Combined Retirement'!$I$13)</f>
        <v>2420</v>
      </c>
      <c r="J363" s="25">
        <f t="shared" si="263"/>
        <v>6404.7404596389215</v>
      </c>
      <c r="K363" s="25">
        <f t="shared" si="264"/>
        <v>16520.094745597391</v>
      </c>
      <c r="L363" s="25"/>
      <c r="N363" s="25">
        <f>'Combined Retirement'!$C$18/12</f>
        <v>33932.660666666663</v>
      </c>
      <c r="O363" s="25">
        <f t="shared" si="265"/>
        <v>11007.82546143035</v>
      </c>
      <c r="P363" s="25">
        <f t="shared" si="266"/>
        <v>22924.835205236312</v>
      </c>
      <c r="Q363" s="25">
        <f t="array" aca="1" ref="Q363" ca="1">INDEX('Isaac 401k'!L:L,MATCH('Retirement Calculator'!A363,'Isaac 401k'!N:N,0),0)</f>
        <v>3229909.7444036514</v>
      </c>
      <c r="R363" s="25">
        <f t="array" aca="1" ref="R363" ca="1">INDEX('Lorri 401b'!L:L,MATCH('Retirement Calculator'!A363,'Lorri 401b'!N:N,0),0)</f>
        <v>4927909.5129799033</v>
      </c>
      <c r="S363" s="25">
        <f t="shared" ca="1" si="267"/>
        <v>8157819.2573835552</v>
      </c>
    </row>
    <row r="364" spans="1:19" ht="15.75" customHeight="1" x14ac:dyDescent="0.3">
      <c r="A364" s="37">
        <v>62033</v>
      </c>
      <c r="B364" s="409">
        <f t="shared" ref="B364:C364" si="365">($A364-B$9)/365.25</f>
        <v>87.958932238193015</v>
      </c>
      <c r="C364" s="409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3525.4531757812501</v>
      </c>
      <c r="H364" s="25">
        <f>IF(B364&lt;62,0,'Combined Retirement'!$I$14)</f>
        <v>2192</v>
      </c>
      <c r="I364" s="25">
        <f>IF(C364&lt;62,0,'Combined Retirement'!$I$13)</f>
        <v>2420</v>
      </c>
      <c r="J364" s="25">
        <f t="shared" si="263"/>
        <v>6404.7404596389215</v>
      </c>
      <c r="K364" s="25">
        <f t="shared" si="264"/>
        <v>16520.094745597391</v>
      </c>
      <c r="L364" s="25"/>
      <c r="N364" s="25">
        <f>'Combined Retirement'!$C$18/12</f>
        <v>33932.660666666663</v>
      </c>
      <c r="O364" s="25">
        <f t="shared" si="265"/>
        <v>11007.82546143035</v>
      </c>
      <c r="P364" s="25">
        <f t="shared" si="266"/>
        <v>22924.835205236312</v>
      </c>
      <c r="Q364" s="25">
        <f t="array" aca="1" ref="Q364" ca="1">INDEX('Isaac 401k'!L:L,MATCH('Retirement Calculator'!A364,'Isaac 401k'!N:N,0),0)</f>
        <v>3236936.274793779</v>
      </c>
      <c r="R364" s="25">
        <f t="array" aca="1" ref="R364" ca="1">INDEX('Lorri 401b'!L:L,MATCH('Retirement Calculator'!A364,'Lorri 401b'!N:N,0),0)</f>
        <v>4931853.5408102814</v>
      </c>
      <c r="S364" s="25">
        <f t="shared" ca="1" si="267"/>
        <v>8168789.8156040609</v>
      </c>
    </row>
    <row r="365" spans="1:19" ht="15.75" customHeight="1" x14ac:dyDescent="0.3">
      <c r="A365" s="37">
        <v>62063</v>
      </c>
      <c r="B365" s="409">
        <f t="shared" ref="B365:C365" si="366">($A365-B$9)/365.25</f>
        <v>88.041067761806985</v>
      </c>
      <c r="C365" s="409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3525.4531757812501</v>
      </c>
      <c r="H365" s="25">
        <f>IF(B365&lt;62,0,'Combined Retirement'!$I$14)</f>
        <v>2192</v>
      </c>
      <c r="I365" s="25">
        <f>IF(C365&lt;62,0,'Combined Retirement'!$I$13)</f>
        <v>2420</v>
      </c>
      <c r="J365" s="25">
        <f t="shared" si="263"/>
        <v>6404.7404596389215</v>
      </c>
      <c r="K365" s="25">
        <f t="shared" si="264"/>
        <v>16520.094745597391</v>
      </c>
      <c r="L365" s="25"/>
      <c r="N365" s="25">
        <f>'Combined Retirement'!$C$18/12</f>
        <v>33932.660666666663</v>
      </c>
      <c r="O365" s="25">
        <f t="shared" si="265"/>
        <v>11007.82546143035</v>
      </c>
      <c r="P365" s="25">
        <f t="shared" si="266"/>
        <v>22924.835205236312</v>
      </c>
      <c r="Q365" s="25">
        <f t="array" aca="1" ref="Q365" ca="1">INDEX('Isaac 401k'!L:L,MATCH('Retirement Calculator'!A365,'Isaac 401k'!N:N,0),0)</f>
        <v>3243992.0823938656</v>
      </c>
      <c r="R365" s="25">
        <f t="array" aca="1" ref="R365" ca="1">INDEX('Lorri 401b'!L:L,MATCH('Retirement Calculator'!A365,'Lorri 401b'!N:N,0),0)</f>
        <v>4935814.0020899531</v>
      </c>
      <c r="S365" s="25">
        <f t="shared" ca="1" si="267"/>
        <v>8179806.0844838191</v>
      </c>
    </row>
    <row r="366" spans="1:19" ht="15.75" customHeight="1" x14ac:dyDescent="0.3">
      <c r="A366" s="37">
        <v>62094</v>
      </c>
      <c r="B366" s="409">
        <f t="shared" ref="B366:C366" si="367">($A366-B$9)/365.25</f>
        <v>88.12594113620807</v>
      </c>
      <c r="C366" s="409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3525.4531757812501</v>
      </c>
      <c r="H366" s="25">
        <f>IF(B366&lt;62,0,'Combined Retirement'!$I$14)</f>
        <v>2192</v>
      </c>
      <c r="I366" s="25">
        <f>IF(C366&lt;62,0,'Combined Retirement'!$I$13)</f>
        <v>2420</v>
      </c>
      <c r="J366" s="25">
        <f t="shared" si="263"/>
        <v>6404.7404596389215</v>
      </c>
      <c r="K366" s="25">
        <f t="shared" si="264"/>
        <v>16520.094745597391</v>
      </c>
      <c r="L366" s="25"/>
      <c r="N366" s="25">
        <f>'Combined Retirement'!$C$18/12</f>
        <v>33932.660666666663</v>
      </c>
      <c r="O366" s="25">
        <f t="shared" si="265"/>
        <v>11007.82546143035</v>
      </c>
      <c r="P366" s="25">
        <f t="shared" si="266"/>
        <v>22924.835205236312</v>
      </c>
      <c r="Q366" s="25">
        <f t="array" aca="1" ref="Q366" ca="1">INDEX('Isaac 401k'!L:L,MATCH('Retirement Calculator'!A366,'Isaac 401k'!N:N,0),0)</f>
        <v>3251077.2891922859</v>
      </c>
      <c r="R366" s="25">
        <f t="array" aca="1" ref="R366" ca="1">INDEX('Lorri 401b'!L:L,MATCH('Retirement Calculator'!A366,'Lorri 401b'!N:N,0),0)</f>
        <v>4939790.965291623</v>
      </c>
      <c r="S366" s="25">
        <f t="shared" ca="1" si="267"/>
        <v>8190868.2544839084</v>
      </c>
    </row>
    <row r="367" spans="1:19" ht="15.75" customHeight="1" x14ac:dyDescent="0.3">
      <c r="A367" s="37">
        <v>62125</v>
      </c>
      <c r="B367" s="409">
        <f t="shared" ref="B367:C367" si="368">($A367-B$9)/365.25</f>
        <v>88.210814510609168</v>
      </c>
      <c r="C367" s="409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3525.4531757812501</v>
      </c>
      <c r="H367" s="25">
        <f>IF(B367&lt;62,0,'Combined Retirement'!$I$14)</f>
        <v>2192</v>
      </c>
      <c r="I367" s="25">
        <f>IF(C367&lt;62,0,'Combined Retirement'!$I$13)</f>
        <v>2420</v>
      </c>
      <c r="J367" s="25">
        <f t="shared" si="263"/>
        <v>6404.7404596389215</v>
      </c>
      <c r="K367" s="25">
        <f t="shared" si="264"/>
        <v>16520.094745597391</v>
      </c>
      <c r="L367" s="25"/>
      <c r="N367" s="25">
        <f>'Combined Retirement'!$C$18/12</f>
        <v>33932.660666666663</v>
      </c>
      <c r="O367" s="25">
        <f t="shared" si="265"/>
        <v>11007.82546143035</v>
      </c>
      <c r="P367" s="25">
        <f t="shared" si="266"/>
        <v>22924.835205236312</v>
      </c>
      <c r="Q367" s="25">
        <f t="array" aca="1" ref="Q367" ca="1">INDEX('Isaac 401k'!L:L,MATCH('Retirement Calculator'!A367,'Isaac 401k'!N:N,0),0)</f>
        <v>3258192.0176856993</v>
      </c>
      <c r="R367" s="25">
        <f t="array" aca="1" ref="R367" ca="1">INDEX('Lorri 401b'!L:L,MATCH('Retirement Calculator'!A367,'Lorri 401b'!N:N,0),0)</f>
        <v>4943784.4991733003</v>
      </c>
      <c r="S367" s="25">
        <f t="shared" ca="1" si="267"/>
        <v>8201976.5168589996</v>
      </c>
    </row>
    <row r="368" spans="1:19" ht="15.75" customHeight="1" x14ac:dyDescent="0.3">
      <c r="A368" s="37">
        <v>62153</v>
      </c>
      <c r="B368" s="409">
        <f t="shared" ref="B368:C368" si="369">($A368-B$9)/365.25</f>
        <v>88.28747433264887</v>
      </c>
      <c r="C368" s="409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3525.4531757812501</v>
      </c>
      <c r="H368" s="25">
        <f>IF(B368&lt;62,0,'Combined Retirement'!$I$14)</f>
        <v>2192</v>
      </c>
      <c r="I368" s="25">
        <f>IF(C368&lt;62,0,'Combined Retirement'!$I$13)</f>
        <v>2420</v>
      </c>
      <c r="J368" s="25">
        <f t="shared" si="263"/>
        <v>6404.7404596389215</v>
      </c>
      <c r="K368" s="25">
        <f t="shared" si="264"/>
        <v>16520.094745597391</v>
      </c>
      <c r="L368" s="25"/>
      <c r="N368" s="25">
        <f>'Combined Retirement'!$C$18/12</f>
        <v>33932.660666666663</v>
      </c>
      <c r="O368" s="25">
        <f t="shared" si="265"/>
        <v>11007.82546143035</v>
      </c>
      <c r="P368" s="25">
        <f t="shared" si="266"/>
        <v>22924.835205236312</v>
      </c>
      <c r="Q368" s="25">
        <f t="array" aca="1" ref="Q368" ca="1">INDEX('Isaac 401k'!L:L,MATCH('Retirement Calculator'!A368,'Isaac 401k'!N:N,0),0)</f>
        <v>3265336.3908811687</v>
      </c>
      <c r="R368" s="25">
        <f t="array" aca="1" ref="R368" ca="1">INDEX('Lorri 401b'!L:L,MATCH('Retirement Calculator'!A368,'Lorri 401b'!N:N,0),0)</f>
        <v>4947794.6727794847</v>
      </c>
      <c r="S368" s="25">
        <f t="shared" ca="1" si="267"/>
        <v>8213131.0636606533</v>
      </c>
    </row>
    <row r="369" spans="1:19" ht="15.75" customHeight="1" x14ac:dyDescent="0.3">
      <c r="A369" s="37">
        <v>62184</v>
      </c>
      <c r="B369" s="409">
        <f t="shared" ref="B369:C369" si="370">($A369-B$9)/365.25</f>
        <v>88.372347707049968</v>
      </c>
      <c r="C369" s="409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3525.4531757812501</v>
      </c>
      <c r="H369" s="25">
        <f>IF(B369&lt;62,0,'Combined Retirement'!$I$14)</f>
        <v>2192</v>
      </c>
      <c r="I369" s="25">
        <f>IF(C369&lt;62,0,'Combined Retirement'!$I$13)</f>
        <v>2420</v>
      </c>
      <c r="J369" s="25">
        <f t="shared" si="263"/>
        <v>6404.7404596389215</v>
      </c>
      <c r="K369" s="25">
        <f t="shared" si="264"/>
        <v>16520.094745597391</v>
      </c>
      <c r="L369" s="25"/>
      <c r="N369" s="25">
        <f>'Combined Retirement'!$C$18/12</f>
        <v>33932.660666666663</v>
      </c>
      <c r="O369" s="25">
        <f t="shared" si="265"/>
        <v>11007.82546143035</v>
      </c>
      <c r="P369" s="25">
        <f t="shared" si="266"/>
        <v>22924.835205236312</v>
      </c>
      <c r="Q369" s="25">
        <f t="array" aca="1" ref="Q369" ca="1">INDEX('Isaac 401k'!L:L,MATCH('Retirement Calculator'!A369,'Isaac 401k'!N:N,0),0)</f>
        <v>3272510.532298286</v>
      </c>
      <c r="R369" s="25">
        <f t="array" aca="1" ref="R369" ca="1">INDEX('Lorri 401b'!L:L,MATCH('Retirement Calculator'!A369,'Lorri 401b'!N:N,0),0)</f>
        <v>4951821.5554423612</v>
      </c>
      <c r="S369" s="25">
        <f t="shared" ca="1" si="267"/>
        <v>8224332.0877406467</v>
      </c>
    </row>
    <row r="370" spans="1:19" ht="15.75" customHeight="1" x14ac:dyDescent="0.3">
      <c r="A370" s="37">
        <v>62214</v>
      </c>
      <c r="B370" s="409">
        <f t="shared" ref="B370:C370" si="371">($A370-B$9)/365.25</f>
        <v>88.454483230663925</v>
      </c>
      <c r="C370" s="409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3525.4531757812501</v>
      </c>
      <c r="H370" s="25">
        <f>IF(B370&lt;62,0,'Combined Retirement'!$I$14)</f>
        <v>2192</v>
      </c>
      <c r="I370" s="25">
        <f>IF(C370&lt;62,0,'Combined Retirement'!$I$13)</f>
        <v>2420</v>
      </c>
      <c r="J370" s="25">
        <f t="shared" si="263"/>
        <v>6404.7404596389215</v>
      </c>
      <c r="K370" s="25">
        <f t="shared" si="264"/>
        <v>16520.094745597391</v>
      </c>
      <c r="L370" s="25"/>
      <c r="N370" s="25">
        <f>'Combined Retirement'!$C$18/12</f>
        <v>33932.660666666663</v>
      </c>
      <c r="O370" s="25">
        <f t="shared" si="265"/>
        <v>11007.82546143035</v>
      </c>
      <c r="P370" s="25">
        <f t="shared" si="266"/>
        <v>22924.835205236312</v>
      </c>
      <c r="Q370" s="25">
        <f t="array" aca="1" ref="Q370" ca="1">INDEX('Isaac 401k'!L:L,MATCH('Retirement Calculator'!A370,'Isaac 401k'!N:N,0),0)</f>
        <v>3279714.5659713079</v>
      </c>
      <c r="R370" s="25">
        <f t="array" aca="1" ref="R370" ca="1">INDEX('Lorri 401b'!L:L,MATCH('Retirement Calculator'!A370,'Lorri 401b'!N:N,0),0)</f>
        <v>4955865.2167830002</v>
      </c>
      <c r="S370" s="25">
        <f t="shared" ca="1" si="267"/>
        <v>8235579.7827543076</v>
      </c>
    </row>
    <row r="371" spans="1:19" ht="15.75" customHeight="1" x14ac:dyDescent="0.3">
      <c r="A371" s="37">
        <v>62245</v>
      </c>
      <c r="B371" s="409">
        <f t="shared" ref="B371:C371" si="372">($A371-B$9)/365.25</f>
        <v>88.539356605065024</v>
      </c>
      <c r="C371" s="409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3525.4531757812501</v>
      </c>
      <c r="H371" s="25">
        <f>IF(B371&lt;62,0,'Combined Retirement'!$I$14)</f>
        <v>2192</v>
      </c>
      <c r="I371" s="25">
        <f>IF(C371&lt;62,0,'Combined Retirement'!$I$13)</f>
        <v>2420</v>
      </c>
      <c r="J371" s="25">
        <f t="shared" si="263"/>
        <v>6404.7404596389215</v>
      </c>
      <c r="K371" s="25">
        <f t="shared" si="264"/>
        <v>16520.094745597391</v>
      </c>
      <c r="L371" s="25"/>
      <c r="N371" s="25">
        <f>'Combined Retirement'!$C$18/12</f>
        <v>33932.660666666663</v>
      </c>
      <c r="O371" s="25">
        <f t="shared" si="265"/>
        <v>11007.82546143035</v>
      </c>
      <c r="P371" s="25">
        <f t="shared" si="266"/>
        <v>22924.835205236312</v>
      </c>
      <c r="Q371" s="25">
        <f t="array" aca="1" ref="Q371" ca="1">INDEX('Isaac 401k'!L:L,MATCH('Retirement Calculator'!A371,'Isaac 401k'!N:N,0),0)</f>
        <v>3286948.6164513007</v>
      </c>
      <c r="R371" s="25">
        <f t="array" aca="1" ref="R371" ca="1">INDEX('Lorri 401b'!L:L,MATCH('Retirement Calculator'!A371,'Lorri 401b'!N:N,0),0)</f>
        <v>4959925.7267125584</v>
      </c>
      <c r="S371" s="25">
        <f t="shared" ca="1" si="267"/>
        <v>8246874.3431638591</v>
      </c>
    </row>
    <row r="372" spans="1:19" ht="15.75" customHeight="1" x14ac:dyDescent="0.3">
      <c r="A372" s="37">
        <v>62275</v>
      </c>
      <c r="B372" s="409">
        <f t="shared" ref="B372:C372" si="373">($A372-B$9)/365.25</f>
        <v>88.62149212867898</v>
      </c>
      <c r="C372" s="409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3525.4531757812501</v>
      </c>
      <c r="H372" s="25">
        <f>IF(B372&lt;62,0,'Combined Retirement'!$I$14)</f>
        <v>2192</v>
      </c>
      <c r="I372" s="25">
        <f>IF(C372&lt;62,0,'Combined Retirement'!$I$13)</f>
        <v>2420</v>
      </c>
      <c r="J372" s="25">
        <f t="shared" si="263"/>
        <v>6404.7404596389215</v>
      </c>
      <c r="K372" s="25">
        <f t="shared" si="264"/>
        <v>16520.094745597391</v>
      </c>
      <c r="L372" s="25"/>
      <c r="N372" s="25">
        <f>'Combined Retirement'!$C$18/12</f>
        <v>33932.660666666663</v>
      </c>
      <c r="O372" s="25">
        <f t="shared" si="265"/>
        <v>11007.82546143035</v>
      </c>
      <c r="P372" s="25">
        <f t="shared" si="266"/>
        <v>22924.835205236312</v>
      </c>
      <c r="Q372" s="25">
        <f t="array" aca="1" ref="Q372" ca="1">INDEX('Isaac 401k'!L:L,MATCH('Retirement Calculator'!A372,'Isaac 401k'!N:N,0),0)</f>
        <v>3294212.8088082937</v>
      </c>
      <c r="R372" s="25">
        <f t="array" aca="1" ref="R372" ca="1">INDEX('Lorri 401b'!L:L,MATCH('Retirement Calculator'!A372,'Lorri 401b'!N:N,0),0)</f>
        <v>4964003.1554334899</v>
      </c>
      <c r="S372" s="25">
        <f t="shared" ca="1" si="267"/>
        <v>8258215.9642417841</v>
      </c>
    </row>
    <row r="373" spans="1:19" ht="15.75" customHeight="1" x14ac:dyDescent="0.3">
      <c r="A373" s="37">
        <v>62306</v>
      </c>
      <c r="B373" s="409">
        <f t="shared" ref="B373:C373" si="374">($A373-B$9)/365.25</f>
        <v>88.706365503080079</v>
      </c>
      <c r="C373" s="409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3525.4531757812501</v>
      </c>
      <c r="H373" s="25">
        <f>IF(B373&lt;62,0,'Combined Retirement'!$I$14)</f>
        <v>2192</v>
      </c>
      <c r="I373" s="25">
        <f>IF(C373&lt;62,0,'Combined Retirement'!$I$13)</f>
        <v>2420</v>
      </c>
      <c r="J373" s="25">
        <f t="shared" si="263"/>
        <v>6404.7404596389215</v>
      </c>
      <c r="K373" s="25">
        <f t="shared" si="264"/>
        <v>16520.094745597391</v>
      </c>
      <c r="L373" s="25"/>
      <c r="N373" s="25">
        <f>'Combined Retirement'!$C$18/12</f>
        <v>33932.660666666663</v>
      </c>
      <c r="O373" s="25">
        <f t="shared" si="265"/>
        <v>11007.82546143035</v>
      </c>
      <c r="P373" s="25">
        <f t="shared" si="266"/>
        <v>22924.835205236312</v>
      </c>
      <c r="Q373" s="25">
        <f t="array" aca="1" ref="Q373" ca="1">INDEX('Isaac 401k'!L:L,MATCH('Retirement Calculator'!A373,'Isaac 401k'!N:N,0),0)</f>
        <v>3301507.2686334406</v>
      </c>
      <c r="R373" s="25">
        <f t="array" aca="1" ref="R373" ca="1">INDEX('Lorri 401b'!L:L,MATCH('Retirement Calculator'!A373,'Lorri 401b'!N:N,0),0)</f>
        <v>4968097.5734407585</v>
      </c>
      <c r="S373" s="25">
        <f t="shared" ca="1" si="267"/>
        <v>8269604.8420741986</v>
      </c>
    </row>
    <row r="374" spans="1:19" ht="15.75" customHeight="1" x14ac:dyDescent="0.3">
      <c r="A374" s="37">
        <v>62337</v>
      </c>
      <c r="B374" s="409">
        <f t="shared" ref="B374:C374" si="375">($A374-B$9)/365.25</f>
        <v>88.791238877481177</v>
      </c>
      <c r="C374" s="409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3525.4531757812501</v>
      </c>
      <c r="H374" s="25">
        <f>IF(B374&lt;62,0,'Combined Retirement'!$I$14)</f>
        <v>2192</v>
      </c>
      <c r="I374" s="25">
        <f>IF(C374&lt;62,0,'Combined Retirement'!$I$13)</f>
        <v>2420</v>
      </c>
      <c r="J374" s="25">
        <f t="shared" si="263"/>
        <v>6404.7404596389215</v>
      </c>
      <c r="K374" s="25">
        <f t="shared" si="264"/>
        <v>16520.094745597391</v>
      </c>
      <c r="L374" s="25"/>
      <c r="N374" s="25">
        <f>'Combined Retirement'!$C$18/12</f>
        <v>33932.660666666663</v>
      </c>
      <c r="O374" s="25">
        <f t="shared" si="265"/>
        <v>11007.82546143035</v>
      </c>
      <c r="P374" s="25">
        <f t="shared" si="266"/>
        <v>22924.835205236312</v>
      </c>
      <c r="Q374" s="25">
        <f t="array" aca="1" ref="Q374" ca="1">INDEX('Isaac 401k'!L:L,MATCH('Retirement Calculator'!A374,'Isaac 401k'!N:N,0),0)</f>
        <v>3308832.1220411924</v>
      </c>
      <c r="R374" s="25">
        <f t="array" aca="1" ref="R374" ca="1">INDEX('Lorri 401b'!L:L,MATCH('Retirement Calculator'!A374,'Lorri 401b'!N:N,0),0)</f>
        <v>4972209.0515230568</v>
      </c>
      <c r="S374" s="25">
        <f t="shared" ca="1" si="267"/>
        <v>8281041.1735642496</v>
      </c>
    </row>
    <row r="375" spans="1:19" ht="15.75" customHeight="1" x14ac:dyDescent="0.3">
      <c r="A375" s="37">
        <v>62367</v>
      </c>
      <c r="B375" s="409">
        <f t="shared" ref="B375:C375" si="376">($A375-B$9)/365.25</f>
        <v>88.873374401095134</v>
      </c>
      <c r="C375" s="409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3525.4531757812501</v>
      </c>
      <c r="H375" s="25">
        <f>IF(B375&lt;62,0,'Combined Retirement'!$I$14)</f>
        <v>2192</v>
      </c>
      <c r="I375" s="25">
        <f>IF(C375&lt;62,0,'Combined Retirement'!$I$13)</f>
        <v>2420</v>
      </c>
      <c r="J375" s="25">
        <f t="shared" si="263"/>
        <v>6404.7404596389215</v>
      </c>
      <c r="K375" s="25">
        <f t="shared" si="264"/>
        <v>16520.094745597391</v>
      </c>
      <c r="L375" s="25"/>
      <c r="N375" s="25">
        <f>'Combined Retirement'!$C$18/12</f>
        <v>33932.660666666663</v>
      </c>
      <c r="O375" s="25">
        <f t="shared" si="265"/>
        <v>11007.82546143035</v>
      </c>
      <c r="P375" s="25">
        <f t="shared" si="266"/>
        <v>22924.835205236312</v>
      </c>
      <c r="Q375" s="25">
        <f t="array" aca="1" ref="Q375" ca="1">INDEX('Isaac 401k'!L:L,MATCH('Retirement Calculator'!A375,'Isaac 401k'!N:N,0),0)</f>
        <v>3316187.4956714762</v>
      </c>
      <c r="R375" s="25">
        <f t="array" aca="1" ref="R375" ca="1">INDEX('Lorri 401b'!L:L,MATCH('Retirement Calculator'!A375,'Lorri 401b'!N:N,0),0)</f>
        <v>4976337.660764032</v>
      </c>
      <c r="S375" s="25">
        <f t="shared" ca="1" si="267"/>
        <v>8292525.1564355083</v>
      </c>
    </row>
    <row r="376" spans="1:19" ht="15.75" customHeight="1" x14ac:dyDescent="0.3">
      <c r="A376" s="37">
        <v>62398</v>
      </c>
      <c r="B376" s="409">
        <f t="shared" ref="B376:C376" si="377">($A376-B$9)/365.25</f>
        <v>88.958247775496233</v>
      </c>
      <c r="C376" s="409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3525.4531757812501</v>
      </c>
      <c r="H376" s="25">
        <f>IF(B376&lt;62,0,'Combined Retirement'!$I$14)</f>
        <v>2192</v>
      </c>
      <c r="I376" s="25">
        <f>IF(C376&lt;62,0,'Combined Retirement'!$I$13)</f>
        <v>2420</v>
      </c>
      <c r="J376" s="25">
        <f t="shared" si="263"/>
        <v>6404.7404596389215</v>
      </c>
      <c r="K376" s="25">
        <f t="shared" si="264"/>
        <v>16520.094745597391</v>
      </c>
      <c r="L376" s="25"/>
      <c r="N376" s="25">
        <f>'Combined Retirement'!$C$18/12</f>
        <v>33932.660666666663</v>
      </c>
      <c r="O376" s="25">
        <f t="shared" si="265"/>
        <v>11007.82546143035</v>
      </c>
      <c r="P376" s="25">
        <f t="shared" si="266"/>
        <v>22924.835205236312</v>
      </c>
      <c r="Q376" s="25">
        <f t="array" aca="1" ref="Q376" ca="1">INDEX('Isaac 401k'!L:L,MATCH('Retirement Calculator'!A376,'Isaac 401k'!N:N,0),0)</f>
        <v>3323573.5166918864</v>
      </c>
      <c r="R376" s="25">
        <f t="array" aca="1" ref="R376" ca="1">INDEX('Lorri 401b'!L:L,MATCH('Retirement Calculator'!A376,'Lorri 401b'!N:N,0),0)</f>
        <v>4980483.4725435106</v>
      </c>
      <c r="S376" s="25">
        <f t="shared" ca="1" si="267"/>
        <v>8304056.9892353974</v>
      </c>
    </row>
    <row r="377" spans="1:19" ht="15.75" customHeight="1" x14ac:dyDescent="0.3">
      <c r="A377" s="37">
        <v>62428</v>
      </c>
      <c r="B377" s="409">
        <f t="shared" ref="B377:C377" si="378">($A377-B$9)/365.25</f>
        <v>89.040383299110204</v>
      </c>
      <c r="C377" s="409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3525.4531757812501</v>
      </c>
      <c r="H377" s="25">
        <f>IF(B377&lt;62,0,'Combined Retirement'!$I$14)</f>
        <v>2192</v>
      </c>
      <c r="I377" s="25">
        <f>IF(C377&lt;62,0,'Combined Retirement'!$I$13)</f>
        <v>2420</v>
      </c>
      <c r="J377" s="25">
        <f t="shared" si="263"/>
        <v>6404.7404596389215</v>
      </c>
      <c r="K377" s="25">
        <f t="shared" si="264"/>
        <v>16520.094745597391</v>
      </c>
      <c r="L377" s="25"/>
      <c r="N377" s="25">
        <f>'Combined Retirement'!$C$18/12</f>
        <v>33932.660666666663</v>
      </c>
      <c r="O377" s="25">
        <f t="shared" si="265"/>
        <v>11007.82546143035</v>
      </c>
      <c r="P377" s="25">
        <f t="shared" si="266"/>
        <v>22924.835205236312</v>
      </c>
      <c r="Q377" s="25">
        <f t="array" aca="1" ref="Q377" ca="1">INDEX('Isaac 401k'!L:L,MATCH('Retirement Calculator'!A377,'Isaac 401k'!N:N,0),0)</f>
        <v>3330990.3127998817</v>
      </c>
      <c r="R377" s="25">
        <f t="array" aca="1" ref="R377" ca="1">INDEX('Lorri 401b'!L:L,MATCH('Retirement Calculator'!A377,'Lorri 401b'!N:N,0),0)</f>
        <v>4984646.5585387377</v>
      </c>
      <c r="S377" s="25">
        <f t="shared" ca="1" si="267"/>
        <v>8315636.8713386189</v>
      </c>
    </row>
    <row r="378" spans="1:19" ht="15.75" customHeight="1" x14ac:dyDescent="0.3">
      <c r="A378" s="37">
        <v>62459</v>
      </c>
      <c r="B378" s="409">
        <f t="shared" ref="B378:C378" si="379">($A378-B$9)/365.25</f>
        <v>89.125256673511288</v>
      </c>
      <c r="C378" s="409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3525.4531757812501</v>
      </c>
      <c r="H378" s="25">
        <f>IF(B378&lt;62,0,'Combined Retirement'!$I$14)</f>
        <v>2192</v>
      </c>
      <c r="I378" s="25">
        <f>IF(C378&lt;62,0,'Combined Retirement'!$I$13)</f>
        <v>2420</v>
      </c>
      <c r="J378" s="25">
        <f t="shared" si="263"/>
        <v>6404.7404596389215</v>
      </c>
      <c r="K378" s="25">
        <f t="shared" si="264"/>
        <v>16520.094745597391</v>
      </c>
      <c r="L378" s="25"/>
      <c r="N378" s="25">
        <f>'Combined Retirement'!$C$18/12</f>
        <v>33932.660666666663</v>
      </c>
      <c r="O378" s="25">
        <f t="shared" si="265"/>
        <v>11007.82546143035</v>
      </c>
      <c r="P378" s="25">
        <f t="shared" si="266"/>
        <v>22924.835205236312</v>
      </c>
      <c r="Q378" s="25">
        <f t="array" aca="1" ref="Q378" ca="1">INDEX('Isaac 401k'!L:L,MATCH('Retirement Calculator'!A378,'Isaac 401k'!N:N,0),0)</f>
        <v>3338438.0122249937</v>
      </c>
      <c r="R378" s="25">
        <f t="array" aca="1" ref="R378" ca="1">INDEX('Lorri 401b'!L:L,MATCH('Retirement Calculator'!A378,'Lorri 401b'!N:N,0),0)</f>
        <v>4988826.9907256113</v>
      </c>
      <c r="S378" s="25">
        <f t="shared" ca="1" si="267"/>
        <v>8327265.002950605</v>
      </c>
    </row>
    <row r="379" spans="1:19" ht="15.75" customHeight="1" x14ac:dyDescent="0.3">
      <c r="A379" s="37">
        <v>62490</v>
      </c>
      <c r="B379" s="409">
        <f t="shared" ref="B379:C379" si="380">($A379-B$9)/365.25</f>
        <v>89.210130047912386</v>
      </c>
      <c r="C379" s="409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3525.4531757812501</v>
      </c>
      <c r="H379" s="25">
        <f>IF(B379&lt;62,0,'Combined Retirement'!$I$14)</f>
        <v>2192</v>
      </c>
      <c r="I379" s="25">
        <f>IF(C379&lt;62,0,'Combined Retirement'!$I$13)</f>
        <v>2420</v>
      </c>
      <c r="J379" s="25">
        <f t="shared" si="263"/>
        <v>6404.7404596389215</v>
      </c>
      <c r="K379" s="25">
        <f t="shared" si="264"/>
        <v>16520.094745597391</v>
      </c>
      <c r="L379" s="25"/>
      <c r="N379" s="25">
        <f>'Combined Retirement'!$C$18/12</f>
        <v>33932.660666666663</v>
      </c>
      <c r="O379" s="25">
        <f t="shared" si="265"/>
        <v>11007.82546143035</v>
      </c>
      <c r="P379" s="25">
        <f t="shared" si="266"/>
        <v>22924.835205236312</v>
      </c>
      <c r="Q379" s="25">
        <f t="array" aca="1" ref="Q379" ca="1">INDEX('Isaac 401k'!L:L,MATCH('Retirement Calculator'!A379,'Isaac 401k'!N:N,0),0)</f>
        <v>3345916.7437310433</v>
      </c>
      <c r="R379" s="25">
        <f t="array" aca="1" ref="R379" ca="1">INDEX('Lorri 401b'!L:L,MATCH('Retirement Calculator'!A379,'Lorri 401b'!N:N,0),0)</f>
        <v>4993024.8413799303</v>
      </c>
      <c r="S379" s="25">
        <f t="shared" ca="1" si="267"/>
        <v>8338941.5851109736</v>
      </c>
    </row>
    <row r="380" spans="1:19" ht="15.75" customHeight="1" x14ac:dyDescent="0.3">
      <c r="A380" s="37">
        <v>62518</v>
      </c>
      <c r="B380" s="409">
        <f t="shared" ref="B380:C380" si="381">($A380-B$9)/365.25</f>
        <v>89.286789869952088</v>
      </c>
      <c r="C380" s="409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3525.4531757812501</v>
      </c>
      <c r="H380" s="25">
        <f>IF(B380&lt;62,0,'Combined Retirement'!$I$14)</f>
        <v>2192</v>
      </c>
      <c r="I380" s="25">
        <f>IF(C380&lt;62,0,'Combined Retirement'!$I$13)</f>
        <v>2420</v>
      </c>
      <c r="J380" s="25">
        <f t="shared" si="263"/>
        <v>6404.7404596389215</v>
      </c>
      <c r="K380" s="25">
        <f t="shared" si="264"/>
        <v>16520.094745597391</v>
      </c>
      <c r="L380" s="25"/>
      <c r="N380" s="25">
        <f>'Combined Retirement'!$C$18/12</f>
        <v>33932.660666666663</v>
      </c>
      <c r="O380" s="25">
        <f t="shared" si="265"/>
        <v>11007.82546143035</v>
      </c>
      <c r="P380" s="25">
        <f t="shared" si="266"/>
        <v>22924.835205236312</v>
      </c>
      <c r="Q380" s="25">
        <f t="array" aca="1" ref="Q380" ca="1">INDEX('Isaac 401k'!L:L,MATCH('Retirement Calculator'!A380,'Isaac 401k'!N:N,0),0)</f>
        <v>3353426.6366183683</v>
      </c>
      <c r="R380" s="25">
        <f t="array" aca="1" ref="R380" ca="1">INDEX('Lorri 401b'!L:L,MATCH('Retirement Calculator'!A380,'Lorri 401b'!N:N,0),0)</f>
        <v>4997240.183078642</v>
      </c>
      <c r="S380" s="25">
        <f t="shared" ca="1" si="267"/>
        <v>8350666.8196970103</v>
      </c>
    </row>
    <row r="381" spans="1:19" ht="15.75" customHeight="1" x14ac:dyDescent="0.3">
      <c r="A381" s="37">
        <v>62549</v>
      </c>
      <c r="B381" s="409">
        <f t="shared" ref="B381:C381" si="382">($A381-B$9)/365.25</f>
        <v>89.371663244353186</v>
      </c>
      <c r="C381" s="409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3525.4531757812501</v>
      </c>
      <c r="H381" s="25">
        <f>IF(B381&lt;62,0,'Combined Retirement'!$I$14)</f>
        <v>2192</v>
      </c>
      <c r="I381" s="25">
        <f>IF(C381&lt;62,0,'Combined Retirement'!$I$13)</f>
        <v>2420</v>
      </c>
      <c r="J381" s="25">
        <f t="shared" si="263"/>
        <v>6404.7404596389215</v>
      </c>
      <c r="K381" s="25">
        <f t="shared" si="264"/>
        <v>16520.094745597391</v>
      </c>
      <c r="L381" s="25"/>
      <c r="N381" s="25">
        <f>'Combined Retirement'!$C$18/12</f>
        <v>33932.660666666663</v>
      </c>
      <c r="O381" s="25">
        <f t="shared" si="265"/>
        <v>11007.82546143035</v>
      </c>
      <c r="P381" s="25">
        <f t="shared" si="266"/>
        <v>22924.835205236312</v>
      </c>
      <c r="Q381" s="25">
        <f t="array" aca="1" ref="Q381" ca="1">INDEX('Isaac 401k'!L:L,MATCH('Retirement Calculator'!A381,'Isaac 401k'!N:N,0),0)</f>
        <v>3360967.820726057</v>
      </c>
      <c r="R381" s="25">
        <f t="array" aca="1" ref="R381" ca="1">INDEX('Lorri 401b'!L:L,MATCH('Retirement Calculator'!A381,'Lorri 401b'!N:N,0),0)</f>
        <v>5001473.0887010982</v>
      </c>
      <c r="S381" s="25">
        <f t="shared" ca="1" si="267"/>
        <v>8362440.9094271548</v>
      </c>
    </row>
    <row r="382" spans="1:19" ht="15.75" customHeight="1" x14ac:dyDescent="0.3">
      <c r="A382" s="37">
        <v>62579</v>
      </c>
      <c r="B382" s="409">
        <f t="shared" ref="B382:C382" si="383">($A382-B$9)/365.25</f>
        <v>89.453798767967143</v>
      </c>
      <c r="C382" s="409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3525.4531757812501</v>
      </c>
      <c r="H382" s="25">
        <f>IF(B382&lt;62,0,'Combined Retirement'!$I$14)</f>
        <v>2192</v>
      </c>
      <c r="I382" s="25">
        <f>IF(C382&lt;62,0,'Combined Retirement'!$I$13)</f>
        <v>2420</v>
      </c>
      <c r="J382" s="25">
        <f t="shared" si="263"/>
        <v>6404.7404596389215</v>
      </c>
      <c r="K382" s="25">
        <f t="shared" si="264"/>
        <v>16520.094745597391</v>
      </c>
      <c r="L382" s="25"/>
      <c r="N382" s="25">
        <f>'Combined Retirement'!$C$18/12</f>
        <v>33932.660666666663</v>
      </c>
      <c r="O382" s="25">
        <f t="shared" si="265"/>
        <v>11007.82546143035</v>
      </c>
      <c r="P382" s="25">
        <f t="shared" si="266"/>
        <v>22924.835205236312</v>
      </c>
      <c r="Q382" s="25">
        <f t="array" aca="1" ref="Q382" ca="1">INDEX('Isaac 401k'!L:L,MATCH('Retirement Calculator'!A382,'Isaac 401k'!N:N,0),0)</f>
        <v>3368540.4264341947</v>
      </c>
      <c r="R382" s="25">
        <f t="array" aca="1" ref="R382" ca="1">INDEX('Lorri 401b'!L:L,MATCH('Retirement Calculator'!A382,'Lorri 401b'!N:N,0),0)</f>
        <v>5005723.6314303149</v>
      </c>
      <c r="S382" s="25">
        <f t="shared" ca="1" si="267"/>
        <v>8374264.0578645095</v>
      </c>
    </row>
    <row r="383" spans="1:19" ht="15.75" customHeight="1" x14ac:dyDescent="0.3">
      <c r="A383" s="37">
        <v>62610</v>
      </c>
      <c r="B383" s="409">
        <f t="shared" ref="B383:C383" si="384">($A383-B$9)/365.25</f>
        <v>89.538672142368242</v>
      </c>
      <c r="C383" s="409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3525.4531757812501</v>
      </c>
      <c r="H383" s="25">
        <f>IF(B383&lt;62,0,'Combined Retirement'!$I$14)</f>
        <v>2192</v>
      </c>
      <c r="I383" s="25">
        <f>IF(C383&lt;62,0,'Combined Retirement'!$I$13)</f>
        <v>2420</v>
      </c>
      <c r="J383" s="25">
        <f t="shared" si="263"/>
        <v>6404.7404596389215</v>
      </c>
      <c r="K383" s="25">
        <f t="shared" si="264"/>
        <v>16520.094745597391</v>
      </c>
      <c r="L383" s="25"/>
      <c r="N383" s="25">
        <f>'Combined Retirement'!$C$18/12</f>
        <v>33932.660666666663</v>
      </c>
      <c r="O383" s="25">
        <f t="shared" si="265"/>
        <v>11007.82546143035</v>
      </c>
      <c r="P383" s="25">
        <f t="shared" si="266"/>
        <v>22924.835205236312</v>
      </c>
      <c r="Q383" s="25">
        <f t="array" aca="1" ref="Q383" ca="1">INDEX('Isaac 401k'!L:L,MATCH('Retirement Calculator'!A383,'Isaac 401k'!N:N,0),0)</f>
        <v>3376144.5846661162</v>
      </c>
      <c r="R383" s="25">
        <f t="array" aca="1" ref="R383" ca="1">INDEX('Lorri 401b'!L:L,MATCH('Retirement Calculator'!A383,'Lorri 401b'!N:N,0),0)</f>
        <v>5009991.8847542368</v>
      </c>
      <c r="S383" s="25">
        <f t="shared" ca="1" si="267"/>
        <v>8386136.469420353</v>
      </c>
    </row>
    <row r="384" spans="1:19" ht="15.75" customHeight="1" x14ac:dyDescent="0.3">
      <c r="A384" s="37">
        <v>62640</v>
      </c>
      <c r="B384" s="409">
        <f t="shared" ref="B384:C384" si="385">($A384-B$9)/365.25</f>
        <v>89.620807665982198</v>
      </c>
      <c r="C384" s="409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3525.4531757812501</v>
      </c>
      <c r="H384" s="25">
        <f>IF(B384&lt;62,0,'Combined Retirement'!$I$14)</f>
        <v>2192</v>
      </c>
      <c r="I384" s="25">
        <f>IF(C384&lt;62,0,'Combined Retirement'!$I$13)</f>
        <v>2420</v>
      </c>
      <c r="J384" s="25">
        <f t="shared" si="263"/>
        <v>6404.7404596389215</v>
      </c>
      <c r="K384" s="25">
        <f t="shared" si="264"/>
        <v>16520.094745597391</v>
      </c>
      <c r="L384" s="25"/>
      <c r="N384" s="25">
        <f>'Combined Retirement'!$C$18/12</f>
        <v>33932.660666666663</v>
      </c>
      <c r="O384" s="25">
        <f t="shared" si="265"/>
        <v>11007.82546143035</v>
      </c>
      <c r="P384" s="25">
        <f t="shared" si="266"/>
        <v>22924.835205236312</v>
      </c>
      <c r="Q384" s="25">
        <f t="array" aca="1" ref="Q384" ca="1">INDEX('Isaac 401k'!L:L,MATCH('Retirement Calculator'!A384,'Isaac 401k'!N:N,0),0)</f>
        <v>3383780.4268906708</v>
      </c>
      <c r="R384" s="25">
        <f t="array" aca="1" ref="R384" ca="1">INDEX('Lorri 401b'!L:L,MATCH('Retirement Calculator'!A384,'Lorri 401b'!N:N,0),0)</f>
        <v>5014277.9224670082</v>
      </c>
      <c r="S384" s="25">
        <f t="shared" ca="1" si="267"/>
        <v>8398058.3493576795</v>
      </c>
    </row>
    <row r="385" spans="1:19" ht="15.75" customHeight="1" x14ac:dyDescent="0.3">
      <c r="A385" s="37">
        <v>62671</v>
      </c>
      <c r="B385" s="409">
        <f t="shared" ref="B385:C385" si="386">($A385-B$9)/365.25</f>
        <v>89.705681040383297</v>
      </c>
      <c r="C385" s="409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3525.4531757812501</v>
      </c>
      <c r="H385" s="25">
        <f>IF(B385&lt;62,0,'Combined Retirement'!$I$14)</f>
        <v>2192</v>
      </c>
      <c r="I385" s="25">
        <f>IF(C385&lt;62,0,'Combined Retirement'!$I$13)</f>
        <v>2420</v>
      </c>
      <c r="J385" s="25">
        <f t="shared" si="263"/>
        <v>6404.7404596389215</v>
      </c>
      <c r="K385" s="25">
        <f t="shared" si="264"/>
        <v>16520.094745597391</v>
      </c>
      <c r="L385" s="25"/>
      <c r="N385" s="25">
        <f>'Combined Retirement'!$C$18/12</f>
        <v>33932.660666666663</v>
      </c>
      <c r="O385" s="25">
        <f t="shared" si="265"/>
        <v>11007.82546143035</v>
      </c>
      <c r="P385" s="25">
        <f t="shared" si="266"/>
        <v>22924.835205236312</v>
      </c>
      <c r="Q385" s="25">
        <f t="array" aca="1" ref="Q385" ca="1">INDEX('Isaac 401k'!L:L,MATCH('Retirement Calculator'!A385,'Isaac 401k'!N:N,0),0)</f>
        <v>3391448.0851244945</v>
      </c>
      <c r="R385" s="25">
        <f t="array" aca="1" ref="R385" ca="1">INDEX('Lorri 401b'!L:L,MATCH('Retirement Calculator'!A385,'Lorri 401b'!N:N,0),0)</f>
        <v>5018581.8186702495</v>
      </c>
      <c r="S385" s="25">
        <f t="shared" ca="1" si="267"/>
        <v>8410029.9037947431</v>
      </c>
    </row>
    <row r="386" spans="1:19" ht="15.75" customHeight="1" x14ac:dyDescent="0.3">
      <c r="A386" s="37">
        <v>62702</v>
      </c>
      <c r="B386" s="409">
        <f t="shared" ref="B386:C386" si="387">($A386-B$9)/365.25</f>
        <v>89.790554414784395</v>
      </c>
      <c r="C386" s="409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3525.4531757812501</v>
      </c>
      <c r="H386" s="25">
        <f>IF(B386&lt;62,0,'Combined Retirement'!$I$14)</f>
        <v>2192</v>
      </c>
      <c r="I386" s="25">
        <f>IF(C386&lt;62,0,'Combined Retirement'!$I$13)</f>
        <v>2420</v>
      </c>
      <c r="J386" s="25">
        <f t="shared" si="263"/>
        <v>6404.7404596389215</v>
      </c>
      <c r="K386" s="25">
        <f t="shared" si="264"/>
        <v>16520.094745597391</v>
      </c>
      <c r="L386" s="25"/>
      <c r="N386" s="25">
        <f>'Combined Retirement'!$C$18/12</f>
        <v>33932.660666666663</v>
      </c>
      <c r="O386" s="25">
        <f t="shared" si="265"/>
        <v>11007.82546143035</v>
      </c>
      <c r="P386" s="25">
        <f t="shared" si="266"/>
        <v>22924.835205236312</v>
      </c>
      <c r="Q386" s="25">
        <f t="array" aca="1" ref="Q386" ca="1">INDEX('Isaac 401k'!L:L,MATCH('Retirement Calculator'!A386,'Isaac 401k'!N:N,0),0)</f>
        <v>3399147.6919342922</v>
      </c>
      <c r="R386" s="25">
        <f t="array" aca="1" ref="R386" ca="1">INDEX('Lorri 401b'!L:L,MATCH('Retirement Calculator'!A386,'Lorri 401b'!N:N,0),0)</f>
        <v>5022903.6477743378</v>
      </c>
      <c r="S386" s="25">
        <f t="shared" ca="1" si="267"/>
        <v>8422051.33970863</v>
      </c>
    </row>
    <row r="387" spans="1:19" ht="15.75" customHeight="1" x14ac:dyDescent="0.3">
      <c r="A387" s="37">
        <v>62732</v>
      </c>
      <c r="B387" s="409">
        <f t="shared" ref="B387:C387" si="388">($A387-B$9)/365.25</f>
        <v>89.872689938398352</v>
      </c>
      <c r="C387" s="409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3525.4531757812501</v>
      </c>
      <c r="H387" s="25">
        <f>IF(B387&lt;62,0,'Combined Retirement'!$I$14)</f>
        <v>2192</v>
      </c>
      <c r="I387" s="25">
        <f>IF(C387&lt;62,0,'Combined Retirement'!$I$13)</f>
        <v>2420</v>
      </c>
      <c r="J387" s="25">
        <f t="shared" si="263"/>
        <v>6404.7404596389215</v>
      </c>
      <c r="K387" s="25">
        <f t="shared" si="264"/>
        <v>16520.094745597391</v>
      </c>
      <c r="L387" s="25"/>
      <c r="N387" s="25">
        <f>'Combined Retirement'!$C$18/12</f>
        <v>33932.660666666663</v>
      </c>
      <c r="O387" s="25">
        <f t="shared" si="265"/>
        <v>11007.82546143035</v>
      </c>
      <c r="P387" s="25">
        <f t="shared" si="266"/>
        <v>22924.835205236312</v>
      </c>
      <c r="Q387" s="25">
        <f t="array" aca="1" ref="Q387" ca="1">INDEX('Isaac 401k'!L:L,MATCH('Retirement Calculator'!A387,'Isaac 401k'!N:N,0),0)</f>
        <v>3406879.3804391306</v>
      </c>
      <c r="R387" s="25">
        <f t="array" aca="1" ref="R387" ca="1">INDEX('Lorri 401b'!L:L,MATCH('Retirement Calculator'!A387,'Lorri 401b'!N:N,0),0)</f>
        <v>5027243.4844996929</v>
      </c>
      <c r="S387" s="25">
        <f t="shared" ca="1" si="267"/>
        <v>8434122.8649388235</v>
      </c>
    </row>
    <row r="388" spans="1:19" ht="15.75" customHeight="1" x14ac:dyDescent="0.3">
      <c r="A388" s="37">
        <v>62763</v>
      </c>
      <c r="B388" s="409">
        <f t="shared" ref="B388:C388" si="389">($A388-B$9)/365.25</f>
        <v>89.957563312799451</v>
      </c>
      <c r="C388" s="409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3525.4531757812501</v>
      </c>
      <c r="H388" s="25">
        <f>IF(B388&lt;62,0,'Combined Retirement'!$I$14)</f>
        <v>2192</v>
      </c>
      <c r="I388" s="25">
        <f>IF(C388&lt;62,0,'Combined Retirement'!$I$13)</f>
        <v>2420</v>
      </c>
      <c r="J388" s="25">
        <f t="shared" si="263"/>
        <v>6404.7404596389215</v>
      </c>
      <c r="K388" s="25">
        <f t="shared" si="264"/>
        <v>16520.094745597391</v>
      </c>
      <c r="L388" s="25"/>
      <c r="N388" s="25">
        <f>'Combined Retirement'!$C$18/12</f>
        <v>33932.660666666663</v>
      </c>
      <c r="O388" s="25">
        <f t="shared" si="265"/>
        <v>11007.82546143035</v>
      </c>
      <c r="P388" s="25">
        <f t="shared" si="266"/>
        <v>22924.835205236312</v>
      </c>
      <c r="Q388" s="25">
        <f t="array" aca="1" ref="Q388" ca="1">INDEX('Isaac 401k'!L:L,MATCH('Retirement Calculator'!A388,'Isaac 401k'!N:N,0),0)</f>
        <v>3414643.2843127395</v>
      </c>
      <c r="R388" s="25">
        <f t="array" aca="1" ref="R388" ca="1">INDEX('Lorri 401b'!L:L,MATCH('Retirement Calculator'!A388,'Lorri 401b'!N:N,0),0)</f>
        <v>5031601.4038780704</v>
      </c>
      <c r="S388" s="25">
        <f t="shared" ca="1" si="267"/>
        <v>8446244.6881908104</v>
      </c>
    </row>
    <row r="389" spans="1:19" ht="15.75" customHeight="1" x14ac:dyDescent="0.3">
      <c r="A389" s="37">
        <v>62793</v>
      </c>
      <c r="B389" s="409">
        <f t="shared" ref="B389:C389" si="390">($A389-B$9)/365.25</f>
        <v>90.039698836413422</v>
      </c>
      <c r="C389" s="409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3525.4531757812501</v>
      </c>
      <c r="H389" s="25">
        <f>IF(B389&lt;62,0,'Combined Retirement'!$I$14)</f>
        <v>2192</v>
      </c>
      <c r="I389" s="25">
        <f>IF(C389&lt;62,0,'Combined Retirement'!$I$13)</f>
        <v>2420</v>
      </c>
      <c r="J389" s="25">
        <f t="shared" si="263"/>
        <v>6404.7404596389215</v>
      </c>
      <c r="K389" s="25">
        <f t="shared" si="264"/>
        <v>16520.094745597391</v>
      </c>
      <c r="L389" s="25"/>
      <c r="N389" s="25">
        <f>'Combined Retirement'!$C$18/12</f>
        <v>33932.660666666663</v>
      </c>
      <c r="O389" s="25">
        <f t="shared" si="265"/>
        <v>11007.82546143035</v>
      </c>
      <c r="P389" s="25">
        <f t="shared" si="266"/>
        <v>22924.835205236312</v>
      </c>
      <c r="Q389" s="25">
        <f t="array" aca="1" ref="Q389" ca="1">INDEX('Isaac 401k'!L:L,MATCH('Retirement Calculator'!A389,'Isaac 401k'!N:N,0),0)</f>
        <v>3422439.5377858216</v>
      </c>
      <c r="R389" s="25">
        <f t="array" aca="1" ref="R389" ca="1">INDEX('Lorri 401b'!L:L,MATCH('Retirement Calculator'!A389,'Lorri 401b'!N:N,0),0)</f>
        <v>5035977.4812538577</v>
      </c>
      <c r="S389" s="25">
        <f t="shared" ca="1" si="267"/>
        <v>8458417.0190396793</v>
      </c>
    </row>
    <row r="390" spans="1:19" ht="15.75" customHeight="1" x14ac:dyDescent="0.3">
      <c r="A390" s="37">
        <v>62824</v>
      </c>
      <c r="B390" s="409">
        <f t="shared" ref="B390:C390" si="391">($A390-B$9)/365.25</f>
        <v>90.124572210814506</v>
      </c>
      <c r="C390" s="409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3525.4531757812501</v>
      </c>
      <c r="H390" s="25">
        <f>IF(B390&lt;62,0,'Combined Retirement'!$I$14)</f>
        <v>2192</v>
      </c>
      <c r="I390" s="25">
        <f>IF(C390&lt;62,0,'Combined Retirement'!$I$13)</f>
        <v>2420</v>
      </c>
      <c r="J390" s="25">
        <f t="shared" si="263"/>
        <v>6404.7404596389215</v>
      </c>
      <c r="K390" s="25">
        <f t="shared" si="264"/>
        <v>16520.094745597391</v>
      </c>
      <c r="L390" s="25"/>
      <c r="N390" s="25">
        <f>'Combined Retirement'!$C$18/12</f>
        <v>33932.660666666663</v>
      </c>
      <c r="O390" s="25">
        <f t="shared" si="265"/>
        <v>11007.82546143035</v>
      </c>
      <c r="P390" s="25">
        <f t="shared" si="266"/>
        <v>22924.835205236312</v>
      </c>
      <c r="Q390" s="25">
        <f t="array" aca="1" ref="Q390" ca="1">INDEX('Isaac 401k'!L:L,MATCH('Retirement Calculator'!A390,'Isaac 401k'!N:N,0),0)</f>
        <v>3430268.275648375</v>
      </c>
      <c r="R390" s="25">
        <f t="array" aca="1" ref="R390" ca="1">INDEX('Lorri 401b'!L:L,MATCH('Retirement Calculator'!A390,'Lorri 401b'!N:N,0),0)</f>
        <v>5040371.7922853781</v>
      </c>
      <c r="S390" s="25">
        <f t="shared" ca="1" si="267"/>
        <v>8470640.0679337531</v>
      </c>
    </row>
    <row r="391" spans="1:19" ht="15.75" customHeight="1" x14ac:dyDescent="0.3">
      <c r="A391" s="37">
        <v>62855</v>
      </c>
      <c r="B391" s="409">
        <f t="shared" ref="B391:C391" si="392">($A391-B$9)/365.25</f>
        <v>90.209445585215605</v>
      </c>
      <c r="C391" s="409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3525.4531757812501</v>
      </c>
      <c r="H391" s="25">
        <f>IF(B391&lt;62,0,'Combined Retirement'!$I$14)</f>
        <v>2192</v>
      </c>
      <c r="I391" s="25">
        <f>IF(C391&lt;62,0,'Combined Retirement'!$I$13)</f>
        <v>2420</v>
      </c>
      <c r="J391" s="25">
        <f t="shared" si="263"/>
        <v>6404.7404596389215</v>
      </c>
      <c r="K391" s="25">
        <f t="shared" si="264"/>
        <v>16520.094745597391</v>
      </c>
      <c r="L391" s="25"/>
      <c r="N391" s="25">
        <f>'Combined Retirement'!$C$18/12</f>
        <v>33932.660666666663</v>
      </c>
      <c r="O391" s="25">
        <f t="shared" si="265"/>
        <v>11007.82546143035</v>
      </c>
      <c r="P391" s="25">
        <f t="shared" si="266"/>
        <v>22924.835205236312</v>
      </c>
      <c r="Q391" s="25">
        <f t="array" aca="1" ref="Q391" ca="1">INDEX('Isaac 401k'!L:L,MATCH('Retirement Calculator'!A391,'Isaac 401k'!N:N,0),0)</f>
        <v>3438129.6332520223</v>
      </c>
      <c r="R391" s="25">
        <f t="array" aca="1" ref="R391" ca="1">INDEX('Lorri 401b'!L:L,MATCH('Retirement Calculator'!A391,'Lorri 401b'!N:N,0),0)</f>
        <v>5044784.4129461963</v>
      </c>
      <c r="S391" s="25">
        <f t="shared" ca="1" si="267"/>
        <v>8482914.0461982191</v>
      </c>
    </row>
    <row r="392" spans="1:19" ht="15.75" customHeight="1" x14ac:dyDescent="0.3">
      <c r="A392" s="37">
        <v>62884</v>
      </c>
      <c r="B392" s="409">
        <f t="shared" ref="B392:C392" si="393">($A392-B$9)/365.25</f>
        <v>90.288843258042434</v>
      </c>
      <c r="C392" s="409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3525.4531757812501</v>
      </c>
      <c r="H392" s="25">
        <f>IF(B392&lt;62,0,'Combined Retirement'!$I$14)</f>
        <v>2192</v>
      </c>
      <c r="I392" s="25">
        <f>IF(C392&lt;62,0,'Combined Retirement'!$I$13)</f>
        <v>2420</v>
      </c>
      <c r="J392" s="25">
        <f t="shared" si="263"/>
        <v>6404.7404596389215</v>
      </c>
      <c r="K392" s="25">
        <f t="shared" si="264"/>
        <v>16520.094745597391</v>
      </c>
      <c r="L392" s="25"/>
      <c r="N392" s="25">
        <f>'Combined Retirement'!$C$18/12</f>
        <v>33932.660666666663</v>
      </c>
      <c r="O392" s="25">
        <f t="shared" si="265"/>
        <v>11007.82546143035</v>
      </c>
      <c r="P392" s="25">
        <f t="shared" si="266"/>
        <v>22924.835205236312</v>
      </c>
      <c r="Q392" s="25">
        <f t="array" aca="1" ref="Q392" ca="1">INDEX('Isaac 401k'!L:L,MATCH('Retirement Calculator'!A392,'Isaac 401k'!N:N,0),0)</f>
        <v>3446023.7465123516</v>
      </c>
      <c r="R392" s="25">
        <f t="array" aca="1" ref="R392" ca="1">INDEX('Lorri 401b'!L:L,MATCH('Retirement Calculator'!A392,'Lorri 401b'!N:N,0),0)</f>
        <v>5049215.4195264345</v>
      </c>
      <c r="S392" s="25">
        <f t="shared" ca="1" si="267"/>
        <v>8495239.1660387851</v>
      </c>
    </row>
    <row r="393" spans="1:19" ht="15.75" customHeight="1" x14ac:dyDescent="0.3">
      <c r="A393" s="37">
        <v>62915</v>
      </c>
      <c r="B393" s="409">
        <f t="shared" ref="B393:C393" si="394">($A393-B$9)/365.25</f>
        <v>90.373716632443532</v>
      </c>
      <c r="C393" s="409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3525.4531757812501</v>
      </c>
      <c r="H393" s="25">
        <f>IF(B393&lt;62,0,'Combined Retirement'!$I$14)</f>
        <v>2192</v>
      </c>
      <c r="I393" s="25">
        <f>IF(C393&lt;62,0,'Combined Retirement'!$I$13)</f>
        <v>2420</v>
      </c>
      <c r="J393" s="25">
        <f t="shared" si="263"/>
        <v>6404.7404596389215</v>
      </c>
      <c r="K393" s="25">
        <f t="shared" si="264"/>
        <v>16520.094745597391</v>
      </c>
      <c r="L393" s="25"/>
      <c r="N393" s="25">
        <f>'Combined Retirement'!$C$18/12</f>
        <v>33932.660666666663</v>
      </c>
      <c r="O393" s="25">
        <f t="shared" si="265"/>
        <v>11007.82546143035</v>
      </c>
      <c r="P393" s="25">
        <f t="shared" si="266"/>
        <v>22924.835205236312</v>
      </c>
      <c r="Q393" s="25">
        <f t="array" aca="1" ref="Q393" ca="1">INDEX('Isaac 401k'!L:L,MATCH('Retirement Calculator'!A393,'Isaac 401k'!N:N,0),0)</f>
        <v>3453950.7519112653</v>
      </c>
      <c r="R393" s="25">
        <f t="array" aca="1" ref="R393" ca="1">INDEX('Lorri 401b'!L:L,MATCH('Retirement Calculator'!A393,'Lorri 401b'!N:N,0),0)</f>
        <v>5053664.8886340903</v>
      </c>
      <c r="S393" s="25">
        <f t="shared" ca="1" si="267"/>
        <v>8507615.6405453552</v>
      </c>
    </row>
    <row r="394" spans="1:19" ht="15.75" customHeight="1" x14ac:dyDescent="0.3">
      <c r="A394" s="37">
        <v>62945</v>
      </c>
      <c r="B394" s="409">
        <f t="shared" ref="B394:C394" si="395">($A394-B$9)/365.25</f>
        <v>90.455852156057489</v>
      </c>
      <c r="C394" s="409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3525.4531757812501</v>
      </c>
      <c r="H394" s="25">
        <f>IF(B394&lt;62,0,'Combined Retirement'!$I$14)</f>
        <v>2192</v>
      </c>
      <c r="I394" s="25">
        <f>IF(C394&lt;62,0,'Combined Retirement'!$I$13)</f>
        <v>2420</v>
      </c>
      <c r="J394" s="25">
        <f t="shared" si="263"/>
        <v>6404.7404596389215</v>
      </c>
      <c r="K394" s="25">
        <f t="shared" si="264"/>
        <v>16520.094745597391</v>
      </c>
      <c r="L394" s="25"/>
      <c r="N394" s="25">
        <f>'Combined Retirement'!$C$18/12</f>
        <v>33932.660666666663</v>
      </c>
      <c r="O394" s="25">
        <f t="shared" si="265"/>
        <v>11007.82546143035</v>
      </c>
      <c r="P394" s="25">
        <f t="shared" si="266"/>
        <v>22924.835205236312</v>
      </c>
      <c r="Q394" s="25">
        <f t="array" aca="1" ref="Q394" ca="1">INDEX('Isaac 401k'!L:L,MATCH('Retirement Calculator'!A394,'Isaac 401k'!N:N,0),0)</f>
        <v>3461910.7864993415</v>
      </c>
      <c r="R394" s="25">
        <f t="array" aca="1" ref="R394" ca="1">INDEX('Lorri 401b'!L:L,MATCH('Retirement Calculator'!A394,'Lorri 401b'!N:N,0),0)</f>
        <v>5058132.8971963609</v>
      </c>
      <c r="S394" s="25">
        <f t="shared" ca="1" si="267"/>
        <v>8520043.6836957019</v>
      </c>
    </row>
    <row r="395" spans="1:19" ht="15.75" customHeight="1" x14ac:dyDescent="0.3">
      <c r="A395" s="37">
        <v>62976</v>
      </c>
      <c r="B395" s="409">
        <f t="shared" ref="B395:C395" si="396">($A395-B$9)/365.25</f>
        <v>90.540725530458587</v>
      </c>
      <c r="C395" s="409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3525.4531757812501</v>
      </c>
      <c r="H395" s="25">
        <f>IF(B395&lt;62,0,'Combined Retirement'!$I$14)</f>
        <v>2192</v>
      </c>
      <c r="I395" s="25">
        <f>IF(C395&lt;62,0,'Combined Retirement'!$I$13)</f>
        <v>2420</v>
      </c>
      <c r="J395" s="25">
        <f t="shared" si="263"/>
        <v>6404.7404596389215</v>
      </c>
      <c r="K395" s="25">
        <f t="shared" si="264"/>
        <v>16520.094745597391</v>
      </c>
      <c r="L395" s="25"/>
      <c r="N395" s="25">
        <f>'Combined Retirement'!$C$18/12</f>
        <v>33932.660666666663</v>
      </c>
      <c r="O395" s="25">
        <f t="shared" si="265"/>
        <v>11007.82546143035</v>
      </c>
      <c r="P395" s="25">
        <f t="shared" si="266"/>
        <v>22924.835205236312</v>
      </c>
      <c r="Q395" s="25">
        <f t="array" aca="1" ref="Q395" ca="1">INDEX('Isaac 401k'!L:L,MATCH('Retirement Calculator'!A395,'Isaac 401k'!N:N,0),0)</f>
        <v>3469903.9878982012</v>
      </c>
      <c r="R395" s="25">
        <f t="array" aca="1" ref="R395" ca="1">INDEX('Lorri 401b'!L:L,MATCH('Retirement Calculator'!A395,'Lorri 401b'!N:N,0),0)</f>
        <v>5062619.5224609748</v>
      </c>
      <c r="S395" s="25">
        <f t="shared" ca="1" si="267"/>
        <v>8532523.5103591755</v>
      </c>
    </row>
    <row r="396" spans="1:19" ht="15.75" customHeight="1" x14ac:dyDescent="0.3">
      <c r="A396" s="37">
        <v>63006</v>
      </c>
      <c r="B396" s="409">
        <f t="shared" ref="B396:C396" si="397">($A396-B$9)/365.25</f>
        <v>90.622861054072558</v>
      </c>
      <c r="C396" s="409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3525.4531757812501</v>
      </c>
      <c r="H396" s="25">
        <f>IF(B396&lt;62,0,'Combined Retirement'!$I$14)</f>
        <v>2192</v>
      </c>
      <c r="I396" s="25">
        <f>IF(C396&lt;62,0,'Combined Retirement'!$I$13)</f>
        <v>2420</v>
      </c>
      <c r="J396" s="25">
        <f t="shared" si="263"/>
        <v>6404.7404596389215</v>
      </c>
      <c r="K396" s="25">
        <f t="shared" si="264"/>
        <v>16520.094745597391</v>
      </c>
      <c r="L396" s="25"/>
      <c r="N396" s="25">
        <f>'Combined Retirement'!$C$18/12</f>
        <v>33932.660666666663</v>
      </c>
      <c r="O396" s="25">
        <f t="shared" si="265"/>
        <v>11007.82546143035</v>
      </c>
      <c r="P396" s="25">
        <f t="shared" si="266"/>
        <v>22924.835205236312</v>
      </c>
      <c r="Q396" s="25">
        <f t="array" aca="1" ref="Q396" ca="1">INDEX('Isaac 401k'!L:L,MATCH('Retirement Calculator'!A396,'Isaac 401k'!N:N,0),0)</f>
        <v>3477930.4943028893</v>
      </c>
      <c r="R396" s="25">
        <f t="array" aca="1" ref="R396" ca="1">INDEX('Lorri 401b'!L:L,MATCH('Retirement Calculator'!A396,'Lorri 401b'!N:N,0),0)</f>
        <v>5067124.8419975247</v>
      </c>
      <c r="S396" s="25">
        <f t="shared" ca="1" si="267"/>
        <v>8545055.3363004141</v>
      </c>
    </row>
    <row r="397" spans="1:19" ht="15.75" customHeight="1" x14ac:dyDescent="0.3">
      <c r="A397" s="37">
        <v>63037</v>
      </c>
      <c r="B397" s="409">
        <f t="shared" ref="B397:C397" si="398">($A397-B$9)/365.25</f>
        <v>90.707734428473643</v>
      </c>
      <c r="C397" s="409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3525.4531757812501</v>
      </c>
      <c r="H397" s="25">
        <f>IF(B397&lt;62,0,'Combined Retirement'!$I$14)</f>
        <v>2192</v>
      </c>
      <c r="I397" s="25">
        <f>IF(C397&lt;62,0,'Combined Retirement'!$I$13)</f>
        <v>2420</v>
      </c>
      <c r="J397" s="25">
        <f t="shared" si="263"/>
        <v>6404.7404596389215</v>
      </c>
      <c r="K397" s="25">
        <f t="shared" si="264"/>
        <v>16520.094745597391</v>
      </c>
      <c r="L397" s="25"/>
      <c r="N397" s="25">
        <f>'Combined Retirement'!$C$18/12</f>
        <v>33932.660666666663</v>
      </c>
      <c r="O397" s="25">
        <f t="shared" si="265"/>
        <v>11007.82546143035</v>
      </c>
      <c r="P397" s="25">
        <f t="shared" si="266"/>
        <v>22924.835205236312</v>
      </c>
      <c r="Q397" s="25">
        <f t="array" aca="1" ref="Q397" ca="1">INDEX('Isaac 401k'!L:L,MATCH('Retirement Calculator'!A397,'Isaac 401k'!N:N,0),0)</f>
        <v>3485990.4444842637</v>
      </c>
      <c r="R397" s="25">
        <f t="array" aca="1" ref="R397" ca="1">INDEX('Lorri 401b'!L:L,MATCH('Retirement Calculator'!A397,'Lorri 401b'!N:N,0),0)</f>
        <v>5071648.9336988097</v>
      </c>
      <c r="S397" s="25">
        <f t="shared" ca="1" si="267"/>
        <v>8557639.3781830743</v>
      </c>
    </row>
    <row r="398" spans="1:19" ht="15.75" customHeight="1" x14ac:dyDescent="0.3">
      <c r="A398" s="37">
        <v>63068</v>
      </c>
      <c r="B398" s="409">
        <f t="shared" ref="B398:C398" si="399">($A398-B$9)/365.25</f>
        <v>90.792607802874741</v>
      </c>
      <c r="C398" s="409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3525.4531757812501</v>
      </c>
      <c r="H398" s="25">
        <f>IF(B398&lt;62,0,'Combined Retirement'!$I$14)</f>
        <v>2192</v>
      </c>
      <c r="I398" s="25">
        <f>IF(C398&lt;62,0,'Combined Retirement'!$I$13)</f>
        <v>2420</v>
      </c>
      <c r="J398" s="25">
        <f t="shared" si="263"/>
        <v>6404.7404596389215</v>
      </c>
      <c r="K398" s="25">
        <f t="shared" si="264"/>
        <v>16520.094745597391</v>
      </c>
      <c r="L398" s="25"/>
      <c r="N398" s="25">
        <f>'Combined Retirement'!$C$18/12</f>
        <v>33932.660666666663</v>
      </c>
      <c r="O398" s="25">
        <f t="shared" si="265"/>
        <v>11007.82546143035</v>
      </c>
      <c r="P398" s="25">
        <f t="shared" si="266"/>
        <v>22924.835205236312</v>
      </c>
      <c r="Q398" s="25">
        <f t="array" aca="1" ref="Q398" ca="1">INDEX('Isaac 401k'!L:L,MATCH('Retirement Calculator'!A398,'Isaac 401k'!N:N,0),0)</f>
        <v>3494083.9777913936</v>
      </c>
      <c r="R398" s="25">
        <f t="array" aca="1" ref="R398" ca="1">INDEX('Lorri 401b'!L:L,MATCH('Retirement Calculator'!A398,'Lorri 401b'!N:N,0),0)</f>
        <v>5076191.8757821834</v>
      </c>
      <c r="S398" s="25">
        <f t="shared" ca="1" si="267"/>
        <v>8570275.8535735775</v>
      </c>
    </row>
    <row r="399" spans="1:19" ht="15.75" customHeight="1" x14ac:dyDescent="0.3">
      <c r="A399" s="37">
        <v>63098</v>
      </c>
      <c r="B399" s="409">
        <f t="shared" ref="B399:C399" si="400">($A399-B$9)/365.25</f>
        <v>90.874743326488712</v>
      </c>
      <c r="C399" s="409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3525.4531757812501</v>
      </c>
      <c r="H399" s="25">
        <f>IF(B399&lt;62,0,'Combined Retirement'!$I$14)</f>
        <v>2192</v>
      </c>
      <c r="I399" s="25">
        <f>IF(C399&lt;62,0,'Combined Retirement'!$I$13)</f>
        <v>2420</v>
      </c>
      <c r="J399" s="25">
        <f t="shared" si="263"/>
        <v>6404.7404596389215</v>
      </c>
      <c r="K399" s="25">
        <f t="shared" si="264"/>
        <v>16520.094745597391</v>
      </c>
      <c r="L399" s="25"/>
      <c r="N399" s="25">
        <f>'Combined Retirement'!$C$18/12</f>
        <v>33932.660666666663</v>
      </c>
      <c r="O399" s="25">
        <f t="shared" si="265"/>
        <v>11007.82546143035</v>
      </c>
      <c r="P399" s="25">
        <f t="shared" si="266"/>
        <v>22924.835205236312</v>
      </c>
      <c r="Q399" s="25">
        <f t="array" aca="1" ref="Q399" ca="1">INDEX('Isaac 401k'!L:L,MATCH('Retirement Calculator'!A399,'Isaac 401k'!N:N,0),0)</f>
        <v>3502211.2341539701</v>
      </c>
      <c r="R399" s="25">
        <f t="array" aca="1" ref="R399" ca="1">INDEX('Lorri 401b'!L:L,MATCH('Retirement Calculator'!A399,'Lorri 401b'!N:N,0),0)</f>
        <v>5080753.7467909046</v>
      </c>
      <c r="S399" s="25">
        <f t="shared" ca="1" si="267"/>
        <v>8582964.9809448756</v>
      </c>
    </row>
    <row r="400" spans="1:19" ht="15.75" customHeight="1" x14ac:dyDescent="0.3">
      <c r="A400" s="37">
        <v>63129</v>
      </c>
      <c r="B400" s="409">
        <f t="shared" ref="B400:C400" si="401">($A400-B$9)/365.25</f>
        <v>90.959616700889796</v>
      </c>
      <c r="C400" s="409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3525.4531757812501</v>
      </c>
      <c r="H400" s="25">
        <f>IF(B400&lt;62,0,'Combined Retirement'!$I$14)</f>
        <v>2192</v>
      </c>
      <c r="I400" s="25">
        <f>IF(C400&lt;62,0,'Combined Retirement'!$I$13)</f>
        <v>2420</v>
      </c>
      <c r="J400" s="25">
        <f t="shared" si="263"/>
        <v>6404.7404596389215</v>
      </c>
      <c r="K400" s="25">
        <f t="shared" si="264"/>
        <v>16520.094745597391</v>
      </c>
      <c r="L400" s="25"/>
      <c r="N400" s="25">
        <f>'Combined Retirement'!$C$18/12</f>
        <v>33932.660666666663</v>
      </c>
      <c r="O400" s="25">
        <f t="shared" si="265"/>
        <v>11007.82546143035</v>
      </c>
      <c r="P400" s="25">
        <f t="shared" si="266"/>
        <v>22924.835205236312</v>
      </c>
      <c r="Q400" s="25">
        <f t="array" aca="1" ref="Q400" ca="1">INDEX('Isaac 401k'!L:L,MATCH('Retirement Calculator'!A400,'Isaac 401k'!N:N,0),0)</f>
        <v>3510372.3540847241</v>
      </c>
      <c r="R400" s="25">
        <f t="array" aca="1" ref="R400" ca="1">INDEX('Lorri 401b'!L:L,MATCH('Retirement Calculator'!A400,'Lorri 401b'!N:N,0),0)</f>
        <v>5085334.6255954951</v>
      </c>
      <c r="S400" s="25">
        <f t="shared" ca="1" si="267"/>
        <v>8595706.9796802197</v>
      </c>
    </row>
    <row r="401" spans="1:19" ht="15.75" customHeight="1" x14ac:dyDescent="0.3">
      <c r="A401" s="37">
        <v>63159</v>
      </c>
      <c r="B401" s="409">
        <f t="shared" ref="B401:C401" si="402">($A401-B$9)/365.25</f>
        <v>91.041752224503767</v>
      </c>
      <c r="C401" s="409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3525.4531757812501</v>
      </c>
      <c r="H401" s="25">
        <f>IF(B401&lt;62,0,'Combined Retirement'!$I$14)</f>
        <v>2192</v>
      </c>
      <c r="I401" s="25">
        <f>IF(C401&lt;62,0,'Combined Retirement'!$I$13)</f>
        <v>2420</v>
      </c>
      <c r="J401" s="25">
        <f t="shared" si="263"/>
        <v>6404.7404596389215</v>
      </c>
      <c r="K401" s="25">
        <f t="shared" si="264"/>
        <v>16520.094745597391</v>
      </c>
      <c r="L401" s="25"/>
      <c r="N401" s="25">
        <f>'Combined Retirement'!$C$18/12</f>
        <v>33932.660666666663</v>
      </c>
      <c r="O401" s="25">
        <f t="shared" si="265"/>
        <v>11007.82546143035</v>
      </c>
      <c r="P401" s="25">
        <f t="shared" si="266"/>
        <v>22924.835205236312</v>
      </c>
      <c r="Q401" s="25">
        <f t="array" aca="1" ref="Q401" ca="1">INDEX('Isaac 401k'!L:L,MATCH('Retirement Calculator'!A401,'Isaac 401k'!N:N,0),0)</f>
        <v>3518567.4786818563</v>
      </c>
      <c r="R401" s="25">
        <f t="array" aca="1" ref="R401" ca="1">INDEX('Lorri 401b'!L:L,MATCH('Retirement Calculator'!A401,'Lorri 401b'!N:N,0),0)</f>
        <v>5089934.5913951052</v>
      </c>
      <c r="S401" s="25">
        <f t="shared" ca="1" si="267"/>
        <v>8608502.0700769611</v>
      </c>
    </row>
    <row r="402" spans="1:19" ht="15.75" customHeight="1" x14ac:dyDescent="0.3">
      <c r="A402" s="37">
        <v>63190</v>
      </c>
      <c r="B402" s="409">
        <f t="shared" ref="B402:C402" si="403">($A402-B$9)/365.25</f>
        <v>91.126625598904866</v>
      </c>
      <c r="C402" s="409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3525.4531757812501</v>
      </c>
      <c r="H402" s="25">
        <f>IF(B402&lt;62,0,'Combined Retirement'!$I$14)</f>
        <v>2192</v>
      </c>
      <c r="I402" s="25">
        <f>IF(C402&lt;62,0,'Combined Retirement'!$I$13)</f>
        <v>2420</v>
      </c>
      <c r="J402" s="25">
        <f t="shared" si="263"/>
        <v>6404.7404596389215</v>
      </c>
      <c r="K402" s="25">
        <f t="shared" si="264"/>
        <v>16520.094745597391</v>
      </c>
      <c r="L402" s="25"/>
      <c r="N402" s="25">
        <f>'Combined Retirement'!$C$18/12</f>
        <v>33932.660666666663</v>
      </c>
      <c r="O402" s="25">
        <f t="shared" si="265"/>
        <v>11007.82546143035</v>
      </c>
      <c r="P402" s="25">
        <f t="shared" si="266"/>
        <v>22924.835205236312</v>
      </c>
      <c r="Q402" s="25">
        <f t="array" aca="1" ref="Q402" ca="1">INDEX('Isaac 401k'!L:L,MATCH('Retirement Calculator'!A402,'Isaac 401k'!N:N,0),0)</f>
        <v>3526796.7496314766</v>
      </c>
      <c r="R402" s="25">
        <f t="array" aca="1" ref="R402" ca="1">INDEX('Lorri 401b'!L:L,MATCH('Retirement Calculator'!A402,'Lorri 401b'!N:N,0),0)</f>
        <v>5094553.7237188807</v>
      </c>
      <c r="S402" s="25">
        <f t="shared" ca="1" si="267"/>
        <v>8621350.4733503573</v>
      </c>
    </row>
    <row r="403" spans="1:19" ht="15.75" customHeight="1" x14ac:dyDescent="0.3">
      <c r="A403" s="37">
        <v>63221</v>
      </c>
      <c r="B403" s="409">
        <f t="shared" ref="B403:C403" si="404">($A403-B$9)/365.25</f>
        <v>91.21149897330595</v>
      </c>
      <c r="C403" s="409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3525.4531757812501</v>
      </c>
      <c r="H403" s="25">
        <f>IF(B403&lt;62,0,'Combined Retirement'!$I$14)</f>
        <v>2192</v>
      </c>
      <c r="I403" s="25">
        <f>IF(C403&lt;62,0,'Combined Retirement'!$I$13)</f>
        <v>2420</v>
      </c>
      <c r="J403" s="25">
        <f t="shared" si="263"/>
        <v>6404.7404596389215</v>
      </c>
      <c r="K403" s="25">
        <f t="shared" si="264"/>
        <v>16520.094745597391</v>
      </c>
      <c r="L403" s="25"/>
      <c r="N403" s="25">
        <f>'Combined Retirement'!$C$18/12</f>
        <v>33932.660666666663</v>
      </c>
      <c r="O403" s="25">
        <f t="shared" si="265"/>
        <v>11007.82546143035</v>
      </c>
      <c r="P403" s="25">
        <f t="shared" si="266"/>
        <v>22924.835205236312</v>
      </c>
      <c r="Q403" s="25">
        <f t="array" aca="1" ref="Q403" ca="1">INDEX('Isaac 401k'!L:L,MATCH('Retirement Calculator'!A403,'Isaac 401k'!N:N,0),0)</f>
        <v>3535060.3092100536</v>
      </c>
      <c r="R403" s="25">
        <f t="array" aca="1" ref="R403" ca="1">INDEX('Lorri 401b'!L:L,MATCH('Retirement Calculator'!A403,'Lorri 401b'!N:N,0),0)</f>
        <v>5099192.1024273382</v>
      </c>
      <c r="S403" s="25">
        <f t="shared" ca="1" si="267"/>
        <v>8634252.4116373919</v>
      </c>
    </row>
    <row r="404" spans="1:19" ht="15.75" customHeight="1" x14ac:dyDescent="0.3">
      <c r="A404" s="37">
        <v>63249</v>
      </c>
      <c r="B404" s="409">
        <f t="shared" ref="B404:C404" si="405">($A404-B$9)/365.25</f>
        <v>91.288158795345652</v>
      </c>
      <c r="C404" s="409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3525.4531757812501</v>
      </c>
      <c r="H404" s="25">
        <f>IF(B404&lt;62,0,'Combined Retirement'!$I$14)</f>
        <v>2192</v>
      </c>
      <c r="I404" s="25">
        <f>IF(C404&lt;62,0,'Combined Retirement'!$I$13)</f>
        <v>2420</v>
      </c>
      <c r="J404" s="25">
        <f t="shared" si="263"/>
        <v>6404.7404596389215</v>
      </c>
      <c r="K404" s="25">
        <f t="shared" si="264"/>
        <v>16520.094745597391</v>
      </c>
      <c r="L404" s="25"/>
      <c r="N404" s="25">
        <f>'Combined Retirement'!$C$18/12</f>
        <v>33932.660666666663</v>
      </c>
      <c r="O404" s="25">
        <f t="shared" si="265"/>
        <v>11007.82546143035</v>
      </c>
      <c r="P404" s="25">
        <f t="shared" si="266"/>
        <v>22924.835205236312</v>
      </c>
      <c r="Q404" s="25">
        <f t="array" aca="1" ref="Q404" ca="1">INDEX('Isaac 401k'!L:L,MATCH('Retirement Calculator'!A404,'Isaac 401k'!N:N,0),0)</f>
        <v>3543358.3002868746</v>
      </c>
      <c r="R404" s="25">
        <f t="array" aca="1" ref="R404" ca="1">INDEX('Lorri 401b'!L:L,MATCH('Retirement Calculator'!A404,'Lorri 401b'!N:N,0),0)</f>
        <v>5103849.807713748</v>
      </c>
      <c r="S404" s="25">
        <f t="shared" ca="1" si="267"/>
        <v>8647208.1080006231</v>
      </c>
    </row>
    <row r="405" spans="1:19" ht="15.75" customHeight="1" x14ac:dyDescent="0.3">
      <c r="A405" s="37">
        <v>63280</v>
      </c>
      <c r="B405" s="409">
        <f t="shared" ref="B405:C405" si="406">($A405-B$9)/365.25</f>
        <v>91.37303216974675</v>
      </c>
      <c r="C405" s="409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3525.4531757812501</v>
      </c>
      <c r="H405" s="25">
        <f>IF(B405&lt;62,0,'Combined Retirement'!$I$14)</f>
        <v>2192</v>
      </c>
      <c r="I405" s="25">
        <f>IF(C405&lt;62,0,'Combined Retirement'!$I$13)</f>
        <v>2420</v>
      </c>
      <c r="J405" s="25">
        <f t="shared" si="263"/>
        <v>6404.7404596389215</v>
      </c>
      <c r="K405" s="25">
        <f t="shared" si="264"/>
        <v>16520.094745597391</v>
      </c>
      <c r="L405" s="25"/>
      <c r="N405" s="25">
        <f>'Combined Retirement'!$C$18/12</f>
        <v>33932.660666666663</v>
      </c>
      <c r="O405" s="25">
        <f t="shared" si="265"/>
        <v>11007.82546143035</v>
      </c>
      <c r="P405" s="25">
        <f t="shared" si="266"/>
        <v>22924.835205236312</v>
      </c>
      <c r="Q405" s="25">
        <f t="array" aca="1" ref="Q405" ca="1">INDEX('Isaac 401k'!L:L,MATCH('Retirement Calculator'!A405,'Isaac 401k'!N:N,0),0)</f>
        <v>3551690.8663265156</v>
      </c>
      <c r="R405" s="25">
        <f t="array" aca="1" ref="R405" ca="1">INDEX('Lorri 401b'!L:L,MATCH('Retirement Calculator'!A405,'Lorri 401b'!N:N,0),0)</f>
        <v>5108526.9201055178</v>
      </c>
      <c r="S405" s="25">
        <f t="shared" ca="1" si="267"/>
        <v>8660217.7864320334</v>
      </c>
    </row>
    <row r="406" spans="1:19" ht="15.75" customHeight="1" x14ac:dyDescent="0.3">
      <c r="A406" s="37">
        <v>63310</v>
      </c>
      <c r="B406" s="409">
        <f t="shared" ref="B406:C406" si="407">($A406-B$9)/365.25</f>
        <v>91.455167693360707</v>
      </c>
      <c r="C406" s="409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3525.4531757812501</v>
      </c>
      <c r="H406" s="25">
        <f>IF(B406&lt;62,0,'Combined Retirement'!$I$14)</f>
        <v>2192</v>
      </c>
      <c r="I406" s="25">
        <f>IF(C406&lt;62,0,'Combined Retirement'!$I$13)</f>
        <v>2420</v>
      </c>
      <c r="J406" s="25">
        <f t="shared" si="263"/>
        <v>6404.7404596389215</v>
      </c>
      <c r="K406" s="25">
        <f t="shared" si="264"/>
        <v>16520.094745597391</v>
      </c>
      <c r="L406" s="25"/>
      <c r="N406" s="25">
        <f>'Combined Retirement'!$C$18/12</f>
        <v>33932.660666666663</v>
      </c>
      <c r="O406" s="25">
        <f t="shared" si="265"/>
        <v>11007.82546143035</v>
      </c>
      <c r="P406" s="25">
        <f t="shared" si="266"/>
        <v>22924.835205236312</v>
      </c>
      <c r="Q406" s="25">
        <f t="array" aca="1" ref="Q406" ca="1">INDEX('Isaac 401k'!L:L,MATCH('Retirement Calculator'!A406,'Isaac 401k'!N:N,0),0)</f>
        <v>3560058.1513913218</v>
      </c>
      <c r="R406" s="25">
        <f t="array" aca="1" ref="R406" ca="1">INDEX('Lorri 401b'!L:L,MATCH('Retirement Calculator'!A406,'Lorri 401b'!N:N,0),0)</f>
        <v>5113223.5204655863</v>
      </c>
      <c r="S406" s="25">
        <f t="shared" ca="1" si="267"/>
        <v>8673281.6718569081</v>
      </c>
    </row>
    <row r="407" spans="1:19" ht="15.75" customHeight="1" x14ac:dyDescent="0.3">
      <c r="A407" s="37">
        <v>63341</v>
      </c>
      <c r="B407" s="409">
        <f t="shared" ref="B407:C407" si="408">($A407-B$9)/365.25</f>
        <v>91.540041067761805</v>
      </c>
      <c r="C407" s="409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3525.4531757812501</v>
      </c>
      <c r="H407" s="25">
        <f>IF(B407&lt;62,0,'Combined Retirement'!$I$14)</f>
        <v>2192</v>
      </c>
      <c r="I407" s="25">
        <f>IF(C407&lt;62,0,'Combined Retirement'!$I$13)</f>
        <v>2420</v>
      </c>
      <c r="J407" s="25">
        <f t="shared" si="263"/>
        <v>6404.7404596389215</v>
      </c>
      <c r="K407" s="25">
        <f t="shared" si="264"/>
        <v>16520.094745597391</v>
      </c>
      <c r="L407" s="25"/>
      <c r="N407" s="25">
        <f>'Combined Retirement'!$C$18/12</f>
        <v>33932.660666666663</v>
      </c>
      <c r="O407" s="25">
        <f t="shared" si="265"/>
        <v>11007.82546143035</v>
      </c>
      <c r="P407" s="25">
        <f t="shared" si="266"/>
        <v>22924.835205236312</v>
      </c>
      <c r="Q407" s="25">
        <f t="array" aca="1" ref="Q407" ca="1">INDEX('Isaac 401k'!L:L,MATCH('Retirement Calculator'!A407,'Isaac 401k'!N:N,0),0)</f>
        <v>3568460.300143898</v>
      </c>
      <c r="R407" s="25">
        <f t="array" aca="1" ref="R407" ca="1">INDEX('Lorri 401b'!L:L,MATCH('Retirement Calculator'!A407,'Lorri 401b'!N:N,0),0)</f>
        <v>5117939.689993822</v>
      </c>
      <c r="S407" s="25">
        <f t="shared" ca="1" si="267"/>
        <v>8686399.9901377205</v>
      </c>
    </row>
    <row r="408" spans="1:19" ht="15.75" customHeight="1" x14ac:dyDescent="0.3">
      <c r="A408" s="37">
        <v>63371</v>
      </c>
      <c r="B408" s="409">
        <f t="shared" ref="B408:C408" si="409">($A408-B$9)/365.25</f>
        <v>91.622176591375776</v>
      </c>
      <c r="C408" s="409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3525.4531757812501</v>
      </c>
      <c r="H408" s="25">
        <f>IF(B408&lt;62,0,'Combined Retirement'!$I$14)</f>
        <v>2192</v>
      </c>
      <c r="I408" s="25">
        <f>IF(C408&lt;62,0,'Combined Retirement'!$I$13)</f>
        <v>2420</v>
      </c>
      <c r="J408" s="25">
        <f t="shared" si="263"/>
        <v>6404.7404596389215</v>
      </c>
      <c r="K408" s="25">
        <f t="shared" si="264"/>
        <v>16520.094745597391</v>
      </c>
      <c r="L408" s="25"/>
      <c r="N408" s="25">
        <f>'Combined Retirement'!$C$18/12</f>
        <v>33932.660666666663</v>
      </c>
      <c r="O408" s="25">
        <f t="shared" si="265"/>
        <v>11007.82546143035</v>
      </c>
      <c r="P408" s="25">
        <f t="shared" si="266"/>
        <v>22924.835205236312</v>
      </c>
      <c r="Q408" s="25">
        <f t="array" aca="1" ref="Q408" ca="1">INDEX('Isaac 401k'!L:L,MATCH('Retirement Calculator'!A408,'Isaac 401k'!N:N,0),0)</f>
        <v>3576897.4578496101</v>
      </c>
      <c r="R408" s="25">
        <f t="array" aca="1" ref="R408" ca="1">INDEX('Lorri 401b'!L:L,MATCH('Retirement Calculator'!A408,'Lorri 401b'!N:N,0),0)</f>
        <v>5122675.5102284253</v>
      </c>
      <c r="S408" s="25">
        <f t="shared" ca="1" si="267"/>
        <v>8699572.9680780359</v>
      </c>
    </row>
    <row r="409" spans="1:19" ht="15.75" customHeight="1" x14ac:dyDescent="0.3">
      <c r="A409" s="37">
        <v>63402</v>
      </c>
      <c r="B409" s="409">
        <f t="shared" ref="B409:C409" si="410">($A409-B$9)/365.25</f>
        <v>91.707049965776861</v>
      </c>
      <c r="C409" s="409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3525.4531757812501</v>
      </c>
      <c r="H409" s="25">
        <f>IF(B409&lt;62,0,'Combined Retirement'!$I$14)</f>
        <v>2192</v>
      </c>
      <c r="I409" s="25">
        <f>IF(C409&lt;62,0,'Combined Retirement'!$I$13)</f>
        <v>2420</v>
      </c>
      <c r="J409" s="25">
        <f t="shared" si="263"/>
        <v>6404.7404596389215</v>
      </c>
      <c r="K409" s="25">
        <f t="shared" si="264"/>
        <v>16520.094745597391</v>
      </c>
      <c r="L409" s="25"/>
      <c r="N409" s="25">
        <f>'Combined Retirement'!$C$18/12</f>
        <v>33932.660666666663</v>
      </c>
      <c r="O409" s="25">
        <f t="shared" si="265"/>
        <v>11007.82546143035</v>
      </c>
      <c r="P409" s="25">
        <f t="shared" si="266"/>
        <v>22924.835205236312</v>
      </c>
      <c r="Q409" s="25">
        <f t="array" aca="1" ref="Q409" ca="1">INDEX('Isaac 401k'!L:L,MATCH('Retirement Calculator'!A409,'Isaac 401k'!N:N,0),0)</f>
        <v>3585369.7703790958</v>
      </c>
      <c r="R409" s="25">
        <f t="array" aca="1" ref="R409" ca="1">INDEX('Lorri 401b'!L:L,MATCH('Retirement Calculator'!A409,'Lorri 401b'!N:N,0),0)</f>
        <v>5127431.0630473392</v>
      </c>
      <c r="S409" s="25">
        <f t="shared" ca="1" si="267"/>
        <v>8712800.8334264345</v>
      </c>
    </row>
    <row r="410" spans="1:19" ht="15.75" customHeight="1" x14ac:dyDescent="0.3">
      <c r="A410" s="37">
        <v>63433</v>
      </c>
      <c r="B410" s="409">
        <f t="shared" ref="B410:C410" si="411">($A410-B$9)/365.25</f>
        <v>91.791923340177959</v>
      </c>
      <c r="C410" s="409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3525.4531757812501</v>
      </c>
      <c r="H410" s="25">
        <f>IF(B410&lt;62,0,'Combined Retirement'!$I$14)</f>
        <v>2192</v>
      </c>
      <c r="I410" s="25">
        <f>IF(C410&lt;62,0,'Combined Retirement'!$I$13)</f>
        <v>2420</v>
      </c>
      <c r="J410" s="25">
        <f t="shared" si="263"/>
        <v>6404.7404596389215</v>
      </c>
      <c r="K410" s="25">
        <f t="shared" si="264"/>
        <v>16520.094745597391</v>
      </c>
      <c r="L410" s="25"/>
      <c r="N410" s="25">
        <f>'Combined Retirement'!$C$18/12</f>
        <v>33932.660666666663</v>
      </c>
      <c r="O410" s="25">
        <f t="shared" si="265"/>
        <v>11007.82546143035</v>
      </c>
      <c r="P410" s="25">
        <f t="shared" si="266"/>
        <v>22924.835205236312</v>
      </c>
      <c r="Q410" s="25">
        <f t="array" aca="1" ref="Q410" ca="1">INDEX('Isaac 401k'!L:L,MATCH('Retirement Calculator'!A410,'Isaac 401k'!N:N,0),0)</f>
        <v>3593877.3842107877</v>
      </c>
      <c r="R410" s="25">
        <f t="array" aca="1" ref="R410" ca="1">INDEX('Lorri 401b'!L:L,MATCH('Retirement Calculator'!A410,'Lorri 401b'!N:N,0),0)</f>
        <v>5132206.4306696653</v>
      </c>
      <c r="S410" s="25">
        <f t="shared" ca="1" si="267"/>
        <v>8726083.8148804531</v>
      </c>
    </row>
    <row r="411" spans="1:19" ht="15.75" customHeight="1" x14ac:dyDescent="0.3">
      <c r="A411" s="37">
        <v>63463</v>
      </c>
      <c r="B411" s="409">
        <f t="shared" ref="B411:C411" si="412">($A411-B$9)/365.25</f>
        <v>91.87405886379193</v>
      </c>
      <c r="C411" s="409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3525.4531757812501</v>
      </c>
      <c r="H411" s="25">
        <f>IF(B411&lt;62,0,'Combined Retirement'!$I$14)</f>
        <v>2192</v>
      </c>
      <c r="I411" s="25">
        <f>IF(C411&lt;62,0,'Combined Retirement'!$I$13)</f>
        <v>2420</v>
      </c>
      <c r="J411" s="25">
        <f t="shared" si="263"/>
        <v>6404.7404596389215</v>
      </c>
      <c r="K411" s="25">
        <f t="shared" si="264"/>
        <v>16520.094745597391</v>
      </c>
      <c r="L411" s="25"/>
      <c r="N411" s="25">
        <f>'Combined Retirement'!$C$18/12</f>
        <v>33932.660666666663</v>
      </c>
      <c r="O411" s="25">
        <f t="shared" si="265"/>
        <v>11007.82546143035</v>
      </c>
      <c r="P411" s="25">
        <f t="shared" si="266"/>
        <v>22924.835205236312</v>
      </c>
      <c r="Q411" s="25">
        <f t="array" aca="1" ref="Q411" ca="1">INDEX('Isaac 401k'!L:L,MATCH('Retirement Calculator'!A411,'Isaac 401k'!N:N,0),0)</f>
        <v>3602420.446433445</v>
      </c>
      <c r="R411" s="25">
        <f t="array" aca="1" ref="R411" ca="1">INDEX('Lorri 401b'!L:L,MATCH('Retirement Calculator'!A411,'Lorri 401b'!N:N,0),0)</f>
        <v>5137001.6956570847</v>
      </c>
      <c r="S411" s="25">
        <f t="shared" ca="1" si="267"/>
        <v>8739422.1420905292</v>
      </c>
    </row>
    <row r="412" spans="1:19" ht="15.75" customHeight="1" x14ac:dyDescent="0.3">
      <c r="A412" s="37">
        <v>63494</v>
      </c>
      <c r="B412" s="409">
        <f t="shared" ref="B412:C412" si="413">($A412-B$9)/365.25</f>
        <v>91.958932238193015</v>
      </c>
      <c r="C412" s="409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3525.4531757812501</v>
      </c>
      <c r="H412" s="25">
        <f>IF(B412&lt;62,0,'Combined Retirement'!$I$14)</f>
        <v>2192</v>
      </c>
      <c r="I412" s="25">
        <f>IF(C412&lt;62,0,'Combined Retirement'!$I$13)</f>
        <v>2420</v>
      </c>
      <c r="J412" s="25">
        <f t="shared" si="263"/>
        <v>6404.7404596389215</v>
      </c>
      <c r="K412" s="25">
        <f t="shared" si="264"/>
        <v>16520.094745597391</v>
      </c>
      <c r="L412" s="25"/>
      <c r="N412" s="25">
        <f>'Combined Retirement'!$C$18/12</f>
        <v>33932.660666666663</v>
      </c>
      <c r="O412" s="25">
        <f t="shared" si="265"/>
        <v>11007.82546143035</v>
      </c>
      <c r="P412" s="25">
        <f t="shared" si="266"/>
        <v>22924.835205236312</v>
      </c>
      <c r="Q412" s="25">
        <f t="array" aca="1" ref="Q412" ca="1">INDEX('Isaac 401k'!L:L,MATCH('Retirement Calculator'!A412,'Isaac 401k'!N:N,0),0)</f>
        <v>3610999.1047486966</v>
      </c>
      <c r="R412" s="25">
        <f t="array" aca="1" ref="R412" ca="1">INDEX('Lorri 401b'!L:L,MATCH('Retirement Calculator'!A412,'Lorri 401b'!N:N,0),0)</f>
        <v>5141816.9409152847</v>
      </c>
      <c r="S412" s="25">
        <f t="shared" ca="1" si="267"/>
        <v>8752816.0456639808</v>
      </c>
    </row>
    <row r="413" spans="1:19" ht="15.75" customHeight="1" x14ac:dyDescent="0.3">
      <c r="A413" s="37">
        <v>63524</v>
      </c>
      <c r="B413" s="409">
        <f t="shared" ref="B413:C413" si="414">($A413-B$9)/365.25</f>
        <v>92.041067761806985</v>
      </c>
      <c r="C413" s="409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3525.4531757812501</v>
      </c>
      <c r="H413" s="25">
        <f>IF(B413&lt;62,0,'Combined Retirement'!$I$14)</f>
        <v>2192</v>
      </c>
      <c r="I413" s="25">
        <f>IF(C413&lt;62,0,'Combined Retirement'!$I$13)</f>
        <v>2420</v>
      </c>
      <c r="J413" s="25">
        <f t="shared" si="263"/>
        <v>6404.7404596389215</v>
      </c>
      <c r="K413" s="25">
        <f t="shared" si="264"/>
        <v>16520.094745597391</v>
      </c>
      <c r="L413" s="25"/>
      <c r="N413" s="25">
        <f>'Combined Retirement'!$C$18/12</f>
        <v>33932.660666666663</v>
      </c>
      <c r="O413" s="25">
        <f t="shared" si="265"/>
        <v>11007.82546143035</v>
      </c>
      <c r="P413" s="25">
        <f t="shared" si="266"/>
        <v>22924.835205236312</v>
      </c>
      <c r="Q413" s="25">
        <f t="array" aca="1" ref="Q413" ca="1">INDEX('Isaac 401k'!L:L,MATCH('Retirement Calculator'!A413,'Isaac 401k'!N:N,0),0)</f>
        <v>3619613.507473595</v>
      </c>
      <c r="R413" s="25">
        <f t="array" aca="1" ref="R413" ca="1">INDEX('Lorri 401b'!L:L,MATCH('Retirement Calculator'!A413,'Lorri 401b'!N:N,0),0)</f>
        <v>5146652.2496953942</v>
      </c>
      <c r="S413" s="25">
        <f t="shared" ca="1" si="267"/>
        <v>8766265.7571689896</v>
      </c>
    </row>
    <row r="414" spans="1:19" ht="15.75" customHeight="1" x14ac:dyDescent="0.3">
      <c r="A414" s="37">
        <v>63555</v>
      </c>
      <c r="B414" s="409">
        <f t="shared" ref="B414:C414" si="415">($A414-B$9)/365.25</f>
        <v>92.12594113620807</v>
      </c>
      <c r="C414" s="409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3525.4531757812501</v>
      </c>
      <c r="H414" s="25">
        <f>IF(B414&lt;62,0,'Combined Retirement'!$I$14)</f>
        <v>2192</v>
      </c>
      <c r="I414" s="25">
        <f>IF(C414&lt;62,0,'Combined Retirement'!$I$13)</f>
        <v>2420</v>
      </c>
      <c r="J414" s="25">
        <f t="shared" si="263"/>
        <v>6404.7404596389215</v>
      </c>
      <c r="K414" s="25">
        <f t="shared" si="264"/>
        <v>16520.094745597391</v>
      </c>
      <c r="L414" s="25"/>
      <c r="N414" s="25">
        <f>'Combined Retirement'!$C$18/12</f>
        <v>33932.660666666663</v>
      </c>
      <c r="O414" s="25">
        <f t="shared" si="265"/>
        <v>11007.82546143035</v>
      </c>
      <c r="P414" s="25">
        <f t="shared" si="266"/>
        <v>22924.835205236312</v>
      </c>
      <c r="Q414" s="25">
        <f t="array" aca="1" ref="Q414" ca="1">INDEX('Isaac 401k'!L:L,MATCH('Retirement Calculator'!A414,'Isaac 401k'!N:N,0),0)</f>
        <v>3628263.8035431807</v>
      </c>
      <c r="R414" s="25">
        <f t="array" aca="1" ref="R414" ca="1">INDEX('Lorri 401b'!L:L,MATCH('Retirement Calculator'!A414,'Lorri 401b'!N:N,0),0)</f>
        <v>5151507.7055954207</v>
      </c>
      <c r="S414" s="25">
        <f t="shared" ca="1" si="267"/>
        <v>8779771.5091386009</v>
      </c>
    </row>
    <row r="415" spans="1:19" ht="15.75" customHeight="1" x14ac:dyDescent="0.3">
      <c r="A415" s="37">
        <v>63586</v>
      </c>
      <c r="B415" s="409">
        <f t="shared" ref="B415:C415" si="416">($A415-B$9)/365.25</f>
        <v>92.210814510609168</v>
      </c>
      <c r="C415" s="409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3525.4531757812501</v>
      </c>
      <c r="H415" s="25">
        <f>IF(B415&lt;62,0,'Combined Retirement'!$I$14)</f>
        <v>2192</v>
      </c>
      <c r="I415" s="25">
        <f>IF(C415&lt;62,0,'Combined Retirement'!$I$13)</f>
        <v>2420</v>
      </c>
      <c r="J415" s="25">
        <f t="shared" si="263"/>
        <v>6404.7404596389215</v>
      </c>
      <c r="K415" s="25">
        <f t="shared" si="264"/>
        <v>16520.094745597391</v>
      </c>
      <c r="L415" s="25"/>
      <c r="N415" s="25">
        <f>'Combined Retirement'!$C$18/12</f>
        <v>33932.660666666663</v>
      </c>
      <c r="O415" s="25">
        <f t="shared" si="265"/>
        <v>11007.82546143035</v>
      </c>
      <c r="P415" s="25">
        <f t="shared" si="266"/>
        <v>22924.835205236312</v>
      </c>
      <c r="Q415" s="25">
        <f t="array" aca="1" ref="Q415" ca="1">INDEX('Isaac 401k'!L:L,MATCH('Retirement Calculator'!A415,'Isaac 401k'!N:N,0),0)</f>
        <v>3636950.1425130563</v>
      </c>
      <c r="R415" s="25">
        <f t="array" aca="1" ref="R415" ca="1">INDEX('Lorri 401b'!L:L,MATCH('Retirement Calculator'!A415,'Lorri 401b'!N:N,0),0)</f>
        <v>5156383.3925616974</v>
      </c>
      <c r="S415" s="25">
        <f t="shared" ca="1" si="267"/>
        <v>8793333.5350747537</v>
      </c>
    </row>
    <row r="416" spans="1:19" ht="15.75" customHeight="1" x14ac:dyDescent="0.3">
      <c r="A416" s="37">
        <v>63614</v>
      </c>
      <c r="B416" s="409">
        <f t="shared" ref="B416:C416" si="417">($A416-B$9)/365.25</f>
        <v>92.28747433264887</v>
      </c>
      <c r="C416" s="409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3525.4531757812501</v>
      </c>
      <c r="H416" s="25">
        <f>IF(B416&lt;62,0,'Combined Retirement'!$I$14)</f>
        <v>2192</v>
      </c>
      <c r="I416" s="25">
        <f>IF(C416&lt;62,0,'Combined Retirement'!$I$13)</f>
        <v>2420</v>
      </c>
      <c r="J416" s="25">
        <f t="shared" si="263"/>
        <v>6404.7404596389215</v>
      </c>
      <c r="K416" s="25">
        <f t="shared" si="264"/>
        <v>16520.094745597391</v>
      </c>
      <c r="L416" s="25"/>
      <c r="N416" s="25">
        <f>'Combined Retirement'!$C$18/12</f>
        <v>33932.660666666663</v>
      </c>
      <c r="O416" s="25">
        <f t="shared" si="265"/>
        <v>11007.82546143035</v>
      </c>
      <c r="P416" s="25">
        <f t="shared" si="266"/>
        <v>22924.835205236312</v>
      </c>
      <c r="Q416" s="25">
        <f t="array" aca="1" ref="Q416" ca="1">INDEX('Isaac 401k'!L:L,MATCH('Retirement Calculator'!A416,'Isaac 401k'!N:N,0),0)</f>
        <v>3645672.6745619732</v>
      </c>
      <c r="R416" s="25">
        <f t="array" aca="1" ref="R416" ca="1">INDEX('Lorri 401b'!L:L,MATCH('Retirement Calculator'!A416,'Lorri 401b'!N:N,0),0)</f>
        <v>5161279.3948903335</v>
      </c>
      <c r="S416" s="25">
        <f t="shared" ca="1" si="267"/>
        <v>8806952.0694523063</v>
      </c>
    </row>
    <row r="417" spans="1:19" ht="15.75" customHeight="1" x14ac:dyDescent="0.3">
      <c r="A417" s="37">
        <v>63645</v>
      </c>
      <c r="B417" s="409">
        <f t="shared" ref="B417:C417" si="418">($A417-B$9)/365.25</f>
        <v>92.372347707049968</v>
      </c>
      <c r="C417" s="409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3525.4531757812501</v>
      </c>
      <c r="H417" s="25">
        <f>IF(B417&lt;62,0,'Combined Retirement'!$I$14)</f>
        <v>2192</v>
      </c>
      <c r="I417" s="25">
        <f>IF(C417&lt;62,0,'Combined Retirement'!$I$13)</f>
        <v>2420</v>
      </c>
      <c r="J417" s="25">
        <f t="shared" si="263"/>
        <v>6404.7404596389215</v>
      </c>
      <c r="K417" s="25">
        <f t="shared" si="264"/>
        <v>16520.094745597391</v>
      </c>
      <c r="L417" s="25"/>
      <c r="N417" s="25">
        <f>'Combined Retirement'!$C$18/12</f>
        <v>33932.660666666663</v>
      </c>
      <c r="O417" s="25">
        <f t="shared" si="265"/>
        <v>11007.82546143035</v>
      </c>
      <c r="P417" s="25">
        <f t="shared" si="266"/>
        <v>22924.835205236312</v>
      </c>
      <c r="Q417" s="25">
        <f t="array" aca="1" ref="Q417" ca="1">INDEX('Isaac 401k'!L:L,MATCH('Retirement Calculator'!A417,'Isaac 401k'!N:N,0),0)</f>
        <v>3654431.5504944273</v>
      </c>
      <c r="R417" s="25">
        <f t="array" aca="1" ref="R417" ca="1">INDEX('Lorri 401b'!L:L,MATCH('Retirement Calculator'!A417,'Lorri 401b'!N:N,0),0)</f>
        <v>5166195.7972286725</v>
      </c>
      <c r="S417" s="25">
        <f t="shared" ca="1" si="267"/>
        <v>8820627.3477231003</v>
      </c>
    </row>
    <row r="418" spans="1:19" ht="15.75" customHeight="1" x14ac:dyDescent="0.3">
      <c r="A418" s="37">
        <v>63675</v>
      </c>
      <c r="B418" s="409">
        <f t="shared" ref="B418:C418" si="419">($A418-B$9)/365.25</f>
        <v>92.454483230663925</v>
      </c>
      <c r="C418" s="409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3525.4531757812501</v>
      </c>
      <c r="H418" s="25">
        <f>IF(B418&lt;62,0,'Combined Retirement'!$I$14)</f>
        <v>2192</v>
      </c>
      <c r="I418" s="25">
        <f>IF(C418&lt;62,0,'Combined Retirement'!$I$13)</f>
        <v>2420</v>
      </c>
      <c r="J418" s="25">
        <f t="shared" si="263"/>
        <v>6404.7404596389215</v>
      </c>
      <c r="K418" s="25">
        <f t="shared" si="264"/>
        <v>16520.094745597391</v>
      </c>
      <c r="L418" s="25"/>
      <c r="N418" s="25">
        <f>'Combined Retirement'!$C$18/12</f>
        <v>33932.660666666663</v>
      </c>
      <c r="O418" s="25">
        <f t="shared" si="265"/>
        <v>11007.82546143035</v>
      </c>
      <c r="P418" s="25">
        <f t="shared" si="266"/>
        <v>22924.835205236312</v>
      </c>
      <c r="Q418" s="25">
        <f t="array" aca="1" ref="Q418" ca="1">INDEX('Isaac 401k'!L:L,MATCH('Retirement Calculator'!A418,'Isaac 401k'!N:N,0),0)</f>
        <v>3663226.9217432663</v>
      </c>
      <c r="R418" s="25">
        <f t="array" aca="1" ref="R418" ca="1">INDEX('Lorri 401b'!L:L,MATCH('Retirement Calculator'!A418,'Lorri 401b'!N:N,0),0)</f>
        <v>5171132.6845767545</v>
      </c>
      <c r="S418" s="25">
        <f t="shared" ca="1" si="267"/>
        <v>8834359.6063200198</v>
      </c>
    </row>
    <row r="419" spans="1:19" ht="15.75" customHeight="1" x14ac:dyDescent="0.3">
      <c r="A419" s="37">
        <v>63706</v>
      </c>
      <c r="B419" s="409">
        <f t="shared" ref="B419:C419" si="420">($A419-B$9)/365.25</f>
        <v>92.539356605065024</v>
      </c>
      <c r="C419" s="409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3525.4531757812501</v>
      </c>
      <c r="H419" s="25">
        <f>IF(B419&lt;62,0,'Combined Retirement'!$I$14)</f>
        <v>2192</v>
      </c>
      <c r="I419" s="25">
        <f>IF(C419&lt;62,0,'Combined Retirement'!$I$13)</f>
        <v>2420</v>
      </c>
      <c r="J419" s="25">
        <f t="shared" si="263"/>
        <v>6404.7404596389215</v>
      </c>
      <c r="K419" s="25">
        <f t="shared" si="264"/>
        <v>16520.094745597391</v>
      </c>
      <c r="L419" s="25"/>
      <c r="N419" s="25">
        <f>'Combined Retirement'!$C$18/12</f>
        <v>33932.660666666663</v>
      </c>
      <c r="O419" s="25">
        <f t="shared" si="265"/>
        <v>11007.82546143035</v>
      </c>
      <c r="P419" s="25">
        <f t="shared" si="266"/>
        <v>22924.835205236312</v>
      </c>
      <c r="Q419" s="25">
        <f t="array" aca="1" ref="Q419" ca="1">INDEX('Isaac 401k'!L:L,MATCH('Retirement Calculator'!A419,'Isaac 401k'!N:N,0),0)</f>
        <v>3672058.9403723092</v>
      </c>
      <c r="R419" s="25">
        <f t="array" aca="1" ref="R419" ca="1">INDEX('Lorri 401b'!L:L,MATCH('Retirement Calculator'!A419,'Lorri 401b'!N:N,0),0)</f>
        <v>5176090.1422887864</v>
      </c>
      <c r="S419" s="25">
        <f t="shared" ca="1" si="267"/>
        <v>8848149.082661096</v>
      </c>
    </row>
    <row r="420" spans="1:19" ht="15.75" customHeight="1" x14ac:dyDescent="0.3">
      <c r="A420" s="37">
        <v>63736</v>
      </c>
      <c r="B420" s="409">
        <f t="shared" ref="B420:C420" si="421">($A420-B$9)/365.25</f>
        <v>92.62149212867898</v>
      </c>
      <c r="C420" s="409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3525.4531757812501</v>
      </c>
      <c r="H420" s="25">
        <f>IF(B420&lt;62,0,'Combined Retirement'!$I$14)</f>
        <v>2192</v>
      </c>
      <c r="I420" s="25">
        <f>IF(C420&lt;62,0,'Combined Retirement'!$I$13)</f>
        <v>2420</v>
      </c>
      <c r="J420" s="25">
        <f t="shared" si="263"/>
        <v>6404.7404596389215</v>
      </c>
      <c r="K420" s="25">
        <f t="shared" si="264"/>
        <v>16520.094745597391</v>
      </c>
      <c r="L420" s="25"/>
      <c r="N420" s="25">
        <f>'Combined Retirement'!$C$18/12</f>
        <v>33932.660666666663</v>
      </c>
      <c r="O420" s="25">
        <f t="shared" si="265"/>
        <v>11007.82546143035</v>
      </c>
      <c r="P420" s="25">
        <f t="shared" si="266"/>
        <v>22924.835205236312</v>
      </c>
      <c r="Q420" s="25">
        <f t="array" aca="1" ref="Q420" ca="1">INDEX('Isaac 401k'!L:L,MATCH('Retirement Calculator'!A420,'Isaac 401k'!N:N,0),0)</f>
        <v>3680927.759078973</v>
      </c>
      <c r="R420" s="25">
        <f t="array" aca="1" ref="R420" ca="1">INDEX('Lorri 401b'!L:L,MATCH('Retirement Calculator'!A420,'Lorri 401b'!N:N,0),0)</f>
        <v>5181068.2560746185</v>
      </c>
      <c r="S420" s="25">
        <f t="shared" ca="1" si="267"/>
        <v>8861996.0151535906</v>
      </c>
    </row>
    <row r="421" spans="1:19" ht="15.75" customHeight="1" x14ac:dyDescent="0.3">
      <c r="A421" s="37">
        <v>63767</v>
      </c>
      <c r="B421" s="409">
        <f t="shared" ref="B421:C421" si="422">($A421-B$9)/365.25</f>
        <v>92.706365503080079</v>
      </c>
      <c r="C421" s="409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3525.4531757812501</v>
      </c>
      <c r="H421" s="25">
        <f>IF(B421&lt;62,0,'Combined Retirement'!$I$14)</f>
        <v>2192</v>
      </c>
      <c r="I421" s="25">
        <f>IF(C421&lt;62,0,'Combined Retirement'!$I$13)</f>
        <v>2420</v>
      </c>
      <c r="J421" s="25">
        <f t="shared" si="263"/>
        <v>6404.7404596389215</v>
      </c>
      <c r="K421" s="25">
        <f t="shared" si="264"/>
        <v>16520.094745597391</v>
      </c>
      <c r="L421" s="25"/>
      <c r="N421" s="25">
        <f>'Combined Retirement'!$C$18/12</f>
        <v>33932.660666666663</v>
      </c>
      <c r="O421" s="25">
        <f t="shared" si="265"/>
        <v>11007.82546143035</v>
      </c>
      <c r="P421" s="25">
        <f t="shared" si="266"/>
        <v>22924.835205236312</v>
      </c>
      <c r="Q421" s="25">
        <f t="array" aca="1" ref="Q421" ca="1">INDEX('Isaac 401k'!L:L,MATCH('Retirement Calculator'!A421,'Isaac 401k'!N:N,0),0)</f>
        <v>3689833.5311969146</v>
      </c>
      <c r="R421" s="25">
        <f t="array" aca="1" ref="R421" ca="1">INDEX('Lorri 401b'!L:L,MATCH('Retirement Calculator'!A421,'Lorri 401b'!N:N,0),0)</f>
        <v>5186067.1120012254</v>
      </c>
      <c r="S421" s="25">
        <f t="shared" ca="1" si="267"/>
        <v>8875900.64319814</v>
      </c>
    </row>
    <row r="422" spans="1:19" ht="15.75" customHeight="1" x14ac:dyDescent="0.3">
      <c r="A422" s="37">
        <v>63798</v>
      </c>
      <c r="B422" s="409">
        <f t="shared" ref="B422:C422" si="423">($A422-B$9)/365.25</f>
        <v>92.791238877481177</v>
      </c>
      <c r="C422" s="409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3525.4531757812501</v>
      </c>
      <c r="H422" s="25">
        <f>IF(B422&lt;62,0,'Combined Retirement'!$I$14)</f>
        <v>2192</v>
      </c>
      <c r="I422" s="25">
        <f>IF(C422&lt;62,0,'Combined Retirement'!$I$13)</f>
        <v>2420</v>
      </c>
      <c r="J422" s="25">
        <f t="shared" si="263"/>
        <v>6404.7404596389215</v>
      </c>
      <c r="K422" s="25">
        <f t="shared" si="264"/>
        <v>16520.094745597391</v>
      </c>
      <c r="L422" s="25"/>
      <c r="N422" s="25">
        <f>'Combined Retirement'!$C$18/12</f>
        <v>33932.660666666663</v>
      </c>
      <c r="O422" s="25">
        <f t="shared" si="265"/>
        <v>11007.82546143035</v>
      </c>
      <c r="P422" s="25">
        <f t="shared" si="266"/>
        <v>22924.835205236312</v>
      </c>
      <c r="Q422" s="25">
        <f t="array" aca="1" ref="Q422" ca="1">INDEX('Isaac 401k'!L:L,MATCH('Retirement Calculator'!A422,'Isaac 401k'!N:N,0),0)</f>
        <v>3698776.4106986807</v>
      </c>
      <c r="R422" s="25">
        <f t="array" aca="1" ref="R422" ca="1">INDEX('Lorri 401b'!L:L,MATCH('Retirement Calculator'!A422,'Lorri 401b'!N:N,0),0)</f>
        <v>5191086.7964941924</v>
      </c>
      <c r="S422" s="25">
        <f t="shared" ca="1" si="267"/>
        <v>8889863.2071928736</v>
      </c>
    </row>
    <row r="423" spans="1:19" ht="15.75" customHeight="1" x14ac:dyDescent="0.3">
      <c r="A423" s="37">
        <v>63828</v>
      </c>
      <c r="B423" s="409">
        <f t="shared" ref="B423:C423" si="424">($A423-B$9)/365.25</f>
        <v>92.873374401095134</v>
      </c>
      <c r="C423" s="409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3525.4531757812501</v>
      </c>
      <c r="H423" s="25">
        <f>IF(B423&lt;62,0,'Combined Retirement'!$I$14)</f>
        <v>2192</v>
      </c>
      <c r="I423" s="25">
        <f>IF(C423&lt;62,0,'Combined Retirement'!$I$13)</f>
        <v>2420</v>
      </c>
      <c r="J423" s="25">
        <f t="shared" si="263"/>
        <v>6404.7404596389215</v>
      </c>
      <c r="K423" s="25">
        <f t="shared" si="264"/>
        <v>16520.094745597391</v>
      </c>
      <c r="L423" s="25"/>
      <c r="N423" s="25">
        <f>'Combined Retirement'!$C$18/12</f>
        <v>33932.660666666663</v>
      </c>
      <c r="O423" s="25">
        <f t="shared" si="265"/>
        <v>11007.82546143035</v>
      </c>
      <c r="P423" s="25">
        <f t="shared" si="266"/>
        <v>22924.835205236312</v>
      </c>
      <c r="Q423" s="25">
        <f t="array" aca="1" ref="Q423" ca="1">INDEX('Isaac 401k'!L:L,MATCH('Retirement Calculator'!A423,'Isaac 401k'!N:N,0),0)</f>
        <v>3707756.5521983709</v>
      </c>
      <c r="R423" s="25">
        <f t="array" aca="1" ref="R423" ca="1">INDEX('Lorri 401b'!L:L,MATCH('Retirement Calculator'!A423,'Lorri 401b'!N:N,0),0)</f>
        <v>5196127.3963392135</v>
      </c>
      <c r="S423" s="25">
        <f t="shared" ca="1" si="267"/>
        <v>8903883.9485375844</v>
      </c>
    </row>
    <row r="424" spans="1:19" ht="15.75" customHeight="1" x14ac:dyDescent="0.3">
      <c r="A424" s="37">
        <v>63859</v>
      </c>
      <c r="B424" s="409">
        <f t="shared" ref="B424:C424" si="425">($A424-B$9)/365.25</f>
        <v>92.958247775496233</v>
      </c>
      <c r="C424" s="409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3525.4531757812501</v>
      </c>
      <c r="H424" s="25">
        <f>IF(B424&lt;62,0,'Combined Retirement'!$I$14)</f>
        <v>2192</v>
      </c>
      <c r="I424" s="25">
        <f>IF(C424&lt;62,0,'Combined Retirement'!$I$13)</f>
        <v>2420</v>
      </c>
      <c r="J424" s="25">
        <f t="shared" si="263"/>
        <v>6404.7404596389215</v>
      </c>
      <c r="K424" s="25">
        <f t="shared" si="264"/>
        <v>16520.094745597391</v>
      </c>
      <c r="L424" s="25"/>
      <c r="N424" s="25">
        <f>'Combined Retirement'!$C$18/12</f>
        <v>33932.660666666663</v>
      </c>
      <c r="O424" s="25">
        <f t="shared" si="265"/>
        <v>11007.82546143035</v>
      </c>
      <c r="P424" s="25">
        <f t="shared" si="266"/>
        <v>22924.835205236312</v>
      </c>
      <c r="Q424" s="25">
        <f t="array" aca="1" ref="Q424" ca="1">INDEX('Isaac 401k'!L:L,MATCH('Retirement Calculator'!A424,'Isaac 401k'!N:N,0),0)</f>
        <v>3716774.1109543098</v>
      </c>
      <c r="R424" s="25">
        <f t="array" aca="1" ref="R424" ca="1">INDEX('Lorri 401b'!L:L,MATCH('Retirement Calculator'!A424,'Lorri 401b'!N:N,0),0)</f>
        <v>5201188.9986835895</v>
      </c>
      <c r="S424" s="25">
        <f t="shared" ca="1" si="267"/>
        <v>8917963.1096378993</v>
      </c>
    </row>
    <row r="425" spans="1:19" ht="15.75" customHeight="1" x14ac:dyDescent="0.3">
      <c r="A425" s="37">
        <v>63889</v>
      </c>
      <c r="B425" s="409">
        <f t="shared" ref="B425:C425" si="426">($A425-B$9)/365.25</f>
        <v>93.040383299110204</v>
      </c>
      <c r="C425" s="409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3525.4531757812501</v>
      </c>
      <c r="H425" s="25">
        <f>IF(B425&lt;62,0,'Combined Retirement'!$I$14)</f>
        <v>2192</v>
      </c>
      <c r="I425" s="25">
        <f>IF(C425&lt;62,0,'Combined Retirement'!$I$13)</f>
        <v>2420</v>
      </c>
      <c r="J425" s="25">
        <f t="shared" si="263"/>
        <v>6404.7404596389215</v>
      </c>
      <c r="K425" s="25">
        <f t="shared" si="264"/>
        <v>16520.094745597391</v>
      </c>
      <c r="L425" s="25"/>
      <c r="N425" s="25">
        <f>'Combined Retirement'!$C$18/12</f>
        <v>33932.660666666663</v>
      </c>
      <c r="O425" s="25">
        <f t="shared" si="265"/>
        <v>11007.82546143035</v>
      </c>
      <c r="P425" s="25">
        <f t="shared" si="266"/>
        <v>22924.835205236312</v>
      </c>
      <c r="Q425" s="25">
        <f t="array" aca="1" ref="Q425" ca="1">INDEX('Isaac 401k'!L:L,MATCH('Retirement Calculator'!A425,'Isaac 401k'!N:N,0),0)</f>
        <v>3725829.242871732</v>
      </c>
      <c r="R425" s="25">
        <f t="array" aca="1" ref="R425" ca="1">INDEX('Lorri 401b'!L:L,MATCH('Retirement Calculator'!A425,'Lorri 401b'!N:N,0),0)</f>
        <v>5206271.6910377331</v>
      </c>
      <c r="S425" s="25">
        <f t="shared" ca="1" si="267"/>
        <v>8932100.9339094646</v>
      </c>
    </row>
    <row r="426" spans="1:19" ht="15.75" customHeight="1" x14ac:dyDescent="0.3">
      <c r="A426" s="37">
        <v>63920</v>
      </c>
      <c r="B426" s="409">
        <f t="shared" ref="B426:C426" si="427">($A426-B$9)/365.25</f>
        <v>93.125256673511288</v>
      </c>
      <c r="C426" s="409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3525.4531757812501</v>
      </c>
      <c r="H426" s="25">
        <f>IF(B426&lt;62,0,'Combined Retirement'!$I$14)</f>
        <v>2192</v>
      </c>
      <c r="I426" s="25">
        <f>IF(C426&lt;62,0,'Combined Retirement'!$I$13)</f>
        <v>2420</v>
      </c>
      <c r="J426" s="25">
        <f t="shared" si="263"/>
        <v>6404.7404596389215</v>
      </c>
      <c r="K426" s="25">
        <f t="shared" si="264"/>
        <v>16520.094745597391</v>
      </c>
      <c r="L426" s="25"/>
      <c r="N426" s="25">
        <f>'Combined Retirement'!$C$18/12</f>
        <v>33932.660666666663</v>
      </c>
      <c r="O426" s="25">
        <f t="shared" si="265"/>
        <v>11007.82546143035</v>
      </c>
      <c r="P426" s="25">
        <f t="shared" si="266"/>
        <v>22924.835205236312</v>
      </c>
      <c r="Q426" s="25">
        <f t="array" aca="1" ref="Q426" ca="1">INDEX('Isaac 401k'!L:L,MATCH('Retirement Calculator'!A426,'Isaac 401k'!N:N,0),0)</f>
        <v>3734922.1045054765</v>
      </c>
      <c r="R426" s="25">
        <f t="array" aca="1" ref="R426" ca="1">INDEX('Lorri 401b'!L:L,MATCH('Retirement Calculator'!A426,'Lorri 401b'!N:N,0),0)</f>
        <v>5211375.5612766854</v>
      </c>
      <c r="S426" s="25">
        <f t="shared" ca="1" si="267"/>
        <v>8946297.6657821611</v>
      </c>
    </row>
    <row r="427" spans="1:19" ht="15.75" customHeight="1" x14ac:dyDescent="0.3">
      <c r="A427" s="37">
        <v>63951</v>
      </c>
      <c r="B427" s="409">
        <f t="shared" ref="B427:C427" si="428">($A427-B$9)/365.25</f>
        <v>93.210130047912386</v>
      </c>
      <c r="C427" s="409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3525.4531757812501</v>
      </c>
      <c r="H427" s="25">
        <f>IF(B427&lt;62,0,'Combined Retirement'!$I$14)</f>
        <v>2192</v>
      </c>
      <c r="I427" s="25">
        <f>IF(C427&lt;62,0,'Combined Retirement'!$I$13)</f>
        <v>2420</v>
      </c>
      <c r="J427" s="25">
        <f t="shared" si="263"/>
        <v>6404.7404596389215</v>
      </c>
      <c r="K427" s="25">
        <f t="shared" si="264"/>
        <v>16520.094745597391</v>
      </c>
      <c r="L427" s="25"/>
      <c r="N427" s="25">
        <f>'Combined Retirement'!$C$18/12</f>
        <v>33932.660666666663</v>
      </c>
      <c r="O427" s="25">
        <f t="shared" si="265"/>
        <v>11007.82546143035</v>
      </c>
      <c r="P427" s="25">
        <f t="shared" si="266"/>
        <v>22924.835205236312</v>
      </c>
      <c r="Q427" s="25">
        <f t="array" aca="1" ref="Q427" ca="1">INDEX('Isaac 401k'!L:L,MATCH('Retirement Calculator'!A427,'Isaac 401k'!N:N,0),0)</f>
        <v>3744052.8530626949</v>
      </c>
      <c r="R427" s="25">
        <f t="array" aca="1" ref="R427" ca="1">INDEX('Lorri 401b'!L:L,MATCH('Retirement Calculator'!A427,'Lorri 401b'!N:N,0),0)</f>
        <v>5216500.6976416335</v>
      </c>
      <c r="S427" s="25">
        <f t="shared" ca="1" si="267"/>
        <v>8960553.5507043283</v>
      </c>
    </row>
    <row r="428" spans="1:19" ht="15.75" customHeight="1" x14ac:dyDescent="0.3">
      <c r="A428" s="37">
        <v>63979</v>
      </c>
      <c r="B428" s="409">
        <f t="shared" ref="B428:C428" si="429">($A428-B$9)/365.25</f>
        <v>93.286789869952088</v>
      </c>
      <c r="C428" s="409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3525.4531757812501</v>
      </c>
      <c r="H428" s="25">
        <f>IF(B428&lt;62,0,'Combined Retirement'!$I$14)</f>
        <v>2192</v>
      </c>
      <c r="I428" s="25">
        <f>IF(C428&lt;62,0,'Combined Retirement'!$I$13)</f>
        <v>2420</v>
      </c>
      <c r="J428" s="25">
        <f t="shared" si="263"/>
        <v>6404.7404596389215</v>
      </c>
      <c r="K428" s="25">
        <f t="shared" si="264"/>
        <v>16520.094745597391</v>
      </c>
      <c r="L428" s="25"/>
      <c r="N428" s="25">
        <f>'Combined Retirement'!$C$18/12</f>
        <v>33932.660666666663</v>
      </c>
      <c r="O428" s="25">
        <f t="shared" si="265"/>
        <v>11007.82546143035</v>
      </c>
      <c r="P428" s="25">
        <f t="shared" si="266"/>
        <v>22924.835205236312</v>
      </c>
      <c r="Q428" s="25">
        <f t="array" aca="1" ref="Q428" ca="1">INDEX('Isaac 401k'!L:L,MATCH('Retirement Calculator'!A428,'Isaac 401k'!N:N,0),0)</f>
        <v>3753221.6464055683</v>
      </c>
      <c r="R428" s="25">
        <f t="array" aca="1" ref="R428" ca="1">INDEX('Lorri 401b'!L:L,MATCH('Retirement Calculator'!A428,'Lorri 401b'!N:N,0),0)</f>
        <v>5221647.1887414362</v>
      </c>
      <c r="S428" s="25">
        <f t="shared" ca="1" si="267"/>
        <v>8974868.8351470046</v>
      </c>
    </row>
    <row r="429" spans="1:19" ht="15.75" customHeight="1" x14ac:dyDescent="0.3">
      <c r="A429" s="37">
        <v>64010</v>
      </c>
      <c r="B429" s="409">
        <f t="shared" ref="B429:C429" si="430">($A429-B$9)/365.25</f>
        <v>93.371663244353186</v>
      </c>
      <c r="C429" s="409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3525.4531757812501</v>
      </c>
      <c r="H429" s="25">
        <f>IF(B429&lt;62,0,'Combined Retirement'!$I$14)</f>
        <v>2192</v>
      </c>
      <c r="I429" s="25">
        <f>IF(C429&lt;62,0,'Combined Retirement'!$I$13)</f>
        <v>2420</v>
      </c>
      <c r="J429" s="25">
        <f t="shared" si="263"/>
        <v>6404.7404596389215</v>
      </c>
      <c r="K429" s="25">
        <f t="shared" si="264"/>
        <v>16520.094745597391</v>
      </c>
      <c r="L429" s="25"/>
      <c r="N429" s="25">
        <f>'Combined Retirement'!$C$18/12</f>
        <v>33932.660666666663</v>
      </c>
      <c r="O429" s="25">
        <f t="shared" si="265"/>
        <v>11007.82546143035</v>
      </c>
      <c r="P429" s="25">
        <f t="shared" si="266"/>
        <v>22924.835205236312</v>
      </c>
      <c r="Q429" s="25">
        <f t="array" aca="1" ref="Q429" ca="1">INDEX('Isaac 401k'!L:L,MATCH('Retirement Calculator'!A429,'Isaac 401k'!N:N,0),0)</f>
        <v>3762428.6430540374</v>
      </c>
      <c r="R429" s="25">
        <f t="array" aca="1" ref="R429" ca="1">INDEX('Lorri 401b'!L:L,MATCH('Retirement Calculator'!A429,'Lorri 401b'!N:N,0),0)</f>
        <v>5226815.1235541543</v>
      </c>
      <c r="S429" s="25">
        <f t="shared" ca="1" si="267"/>
        <v>8989243.7666081917</v>
      </c>
    </row>
    <row r="430" spans="1:19" ht="15.75" customHeight="1" x14ac:dyDescent="0.3">
      <c r="A430" s="37">
        <v>64040</v>
      </c>
      <c r="B430" s="409">
        <f t="shared" ref="B430:C430" si="431">($A430-B$9)/365.25</f>
        <v>93.453798767967143</v>
      </c>
      <c r="C430" s="409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3525.4531757812501</v>
      </c>
      <c r="H430" s="25">
        <f>IF(B430&lt;62,0,'Combined Retirement'!$I$14)</f>
        <v>2192</v>
      </c>
      <c r="I430" s="25">
        <f>IF(C430&lt;62,0,'Combined Retirement'!$I$13)</f>
        <v>2420</v>
      </c>
      <c r="J430" s="25">
        <f t="shared" si="263"/>
        <v>6404.7404596389215</v>
      </c>
      <c r="K430" s="25">
        <f t="shared" si="264"/>
        <v>16520.094745597391</v>
      </c>
      <c r="L430" s="25"/>
      <c r="N430" s="25">
        <f>'Combined Retirement'!$C$18/12</f>
        <v>33932.660666666663</v>
      </c>
      <c r="O430" s="25">
        <f t="shared" si="265"/>
        <v>11007.82546143035</v>
      </c>
      <c r="P430" s="25">
        <f t="shared" si="266"/>
        <v>22924.835205236312</v>
      </c>
      <c r="Q430" s="25">
        <f t="array" aca="1" ref="Q430" ca="1">INDEX('Isaac 401k'!L:L,MATCH('Retirement Calculator'!A430,'Isaac 401k'!N:N,0),0)</f>
        <v>3771674.0021885415</v>
      </c>
      <c r="R430" s="25">
        <f t="array" aca="1" ref="R430" ca="1">INDEX('Lorri 401b'!L:L,MATCH('Retirement Calculator'!A430,'Lorri 401b'!N:N,0),0)</f>
        <v>5232004.5914285919</v>
      </c>
      <c r="S430" s="25">
        <f t="shared" ca="1" si="267"/>
        <v>9003678.5936171338</v>
      </c>
    </row>
    <row r="431" spans="1:19" ht="15.75" customHeight="1" x14ac:dyDescent="0.3">
      <c r="A431" s="37">
        <v>64071</v>
      </c>
      <c r="B431" s="409">
        <f t="shared" ref="B431:C431" si="432">($A431-B$9)/365.25</f>
        <v>93.538672142368242</v>
      </c>
      <c r="C431" s="409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3525.4531757812501</v>
      </c>
      <c r="H431" s="25">
        <f>IF(B431&lt;62,0,'Combined Retirement'!$I$14)</f>
        <v>2192</v>
      </c>
      <c r="I431" s="25">
        <f>IF(C431&lt;62,0,'Combined Retirement'!$I$13)</f>
        <v>2420</v>
      </c>
      <c r="J431" s="25">
        <f t="shared" si="263"/>
        <v>6404.7404596389215</v>
      </c>
      <c r="K431" s="25">
        <f t="shared" si="264"/>
        <v>16520.094745597391</v>
      </c>
      <c r="L431" s="25"/>
      <c r="N431" s="25">
        <f>'Combined Retirement'!$C$18/12</f>
        <v>33932.660666666663</v>
      </c>
      <c r="O431" s="25">
        <f t="shared" si="265"/>
        <v>11007.82546143035</v>
      </c>
      <c r="P431" s="25">
        <f t="shared" si="266"/>
        <v>22924.835205236312</v>
      </c>
      <c r="Q431" s="25">
        <f t="array" aca="1" ref="Q431" ca="1">INDEX('Isaac 401k'!L:L,MATCH('Retirement Calculator'!A431,'Isaac 401k'!N:N,0),0)</f>
        <v>3780957.8836527728</v>
      </c>
      <c r="R431" s="25">
        <f t="array" aca="1" ref="R431" ca="1">INDEX('Lorri 401b'!L:L,MATCH('Retirement Calculator'!A431,'Lorri 401b'!N:N,0),0)</f>
        <v>5237215.68208584</v>
      </c>
      <c r="S431" s="25">
        <f t="shared" ca="1" si="267"/>
        <v>9018173.5657386128</v>
      </c>
    </row>
    <row r="432" spans="1:19" ht="15.75" customHeight="1" x14ac:dyDescent="0.3">
      <c r="A432" s="37">
        <v>64101</v>
      </c>
      <c r="B432" s="409">
        <f t="shared" ref="B432:C432" si="433">($A432-B$9)/365.25</f>
        <v>93.620807665982198</v>
      </c>
      <c r="C432" s="409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3525.4531757812501</v>
      </c>
      <c r="H432" s="25">
        <f>IF(B432&lt;62,0,'Combined Retirement'!$I$14)</f>
        <v>2192</v>
      </c>
      <c r="I432" s="25">
        <f>IF(C432&lt;62,0,'Combined Retirement'!$I$13)</f>
        <v>2420</v>
      </c>
      <c r="J432" s="25">
        <f t="shared" si="263"/>
        <v>6404.7404596389215</v>
      </c>
      <c r="K432" s="25">
        <f t="shared" si="264"/>
        <v>16520.094745597391</v>
      </c>
      <c r="L432" s="25"/>
      <c r="N432" s="25">
        <f>'Combined Retirement'!$C$18/12</f>
        <v>33932.660666666663</v>
      </c>
      <c r="O432" s="25">
        <f t="shared" si="265"/>
        <v>11007.82546143035</v>
      </c>
      <c r="P432" s="25">
        <f t="shared" si="266"/>
        <v>22924.835205236312</v>
      </c>
      <c r="Q432" s="25">
        <f t="array" aca="1" ref="Q432" ca="1">INDEX('Isaac 401k'!L:L,MATCH('Retirement Calculator'!A432,'Isaac 401k'!N:N,0),0)</f>
        <v>3790280.4479564382</v>
      </c>
      <c r="R432" s="25">
        <f t="array" aca="1" ref="R432" ca="1">INDEX('Lorri 401b'!L:L,MATCH('Retirement Calculator'!A432,'Lorri 401b'!N:N,0),0)</f>
        <v>5242448.4856208265</v>
      </c>
      <c r="S432" s="25">
        <f t="shared" ca="1" si="267"/>
        <v>9032728.9335772656</v>
      </c>
    </row>
    <row r="433" spans="1:19" ht="15.75" customHeight="1" x14ac:dyDescent="0.3">
      <c r="A433" s="37">
        <v>64132</v>
      </c>
      <c r="B433" s="409">
        <f t="shared" ref="B433:C433" si="434">($A433-B$9)/365.25</f>
        <v>93.705681040383297</v>
      </c>
      <c r="C433" s="409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3525.4531757812501</v>
      </c>
      <c r="H433" s="25">
        <f>IF(B433&lt;62,0,'Combined Retirement'!$I$14)</f>
        <v>2192</v>
      </c>
      <c r="I433" s="25">
        <f>IF(C433&lt;62,0,'Combined Retirement'!$I$13)</f>
        <v>2420</v>
      </c>
      <c r="J433" s="25">
        <f t="shared" si="263"/>
        <v>6404.7404596389215</v>
      </c>
      <c r="K433" s="25">
        <f t="shared" si="264"/>
        <v>16520.094745597391</v>
      </c>
      <c r="L433" s="25"/>
      <c r="N433" s="25">
        <f>'Combined Retirement'!$C$18/12</f>
        <v>33932.660666666663</v>
      </c>
      <c r="O433" s="25">
        <f t="shared" si="265"/>
        <v>11007.82546143035</v>
      </c>
      <c r="P433" s="25">
        <f t="shared" si="266"/>
        <v>22924.835205236312</v>
      </c>
      <c r="Q433" s="25">
        <f t="array" aca="1" ref="Q433" ca="1">INDEX('Isaac 401k'!L:L,MATCH('Retirement Calculator'!A433,'Isaac 401k'!N:N,0),0)</f>
        <v>3799641.8562780358</v>
      </c>
      <c r="R433" s="25">
        <f t="array" aca="1" ref="R433" ca="1">INDEX('Lorri 401b'!L:L,MATCH('Retirement Calculator'!A433,'Lorri 401b'!N:N,0),0)</f>
        <v>5247703.0925038755</v>
      </c>
      <c r="S433" s="25">
        <f t="shared" ca="1" si="267"/>
        <v>9047344.9487819113</v>
      </c>
    </row>
    <row r="434" spans="1:19" ht="15.75" customHeight="1" x14ac:dyDescent="0.3">
      <c r="A434" s="37">
        <v>64163</v>
      </c>
      <c r="B434" s="409">
        <f t="shared" ref="B434:C434" si="435">($A434-B$9)/365.25</f>
        <v>93.790554414784395</v>
      </c>
      <c r="C434" s="409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3525.4531757812501</v>
      </c>
      <c r="H434" s="25">
        <f>IF(B434&lt;62,0,'Combined Retirement'!$I$14)</f>
        <v>2192</v>
      </c>
      <c r="I434" s="25">
        <f>IF(C434&lt;62,0,'Combined Retirement'!$I$13)</f>
        <v>2420</v>
      </c>
      <c r="J434" s="25">
        <f t="shared" si="263"/>
        <v>6404.7404596389215</v>
      </c>
      <c r="K434" s="25">
        <f t="shared" si="264"/>
        <v>16520.094745597391</v>
      </c>
      <c r="L434" s="25"/>
      <c r="N434" s="25">
        <f>'Combined Retirement'!$C$18/12</f>
        <v>33932.660666666663</v>
      </c>
      <c r="O434" s="25">
        <f t="shared" si="265"/>
        <v>11007.82546143035</v>
      </c>
      <c r="P434" s="25">
        <f t="shared" si="266"/>
        <v>22924.835205236312</v>
      </c>
      <c r="Q434" s="25">
        <f t="array" aca="1" ref="Q434" ca="1">INDEX('Isaac 401k'!L:L,MATCH('Retirement Calculator'!A434,'Isaac 401k'!N:N,0),0)</f>
        <v>3809042.2704676399</v>
      </c>
      <c r="R434" s="25">
        <f t="array" aca="1" ref="R434" ca="1">INDEX('Lorri 401b'!L:L,MATCH('Retirement Calculator'!A434,'Lorri 401b'!N:N,0),0)</f>
        <v>5252979.5935822707</v>
      </c>
      <c r="S434" s="25">
        <f t="shared" ca="1" si="267"/>
        <v>9062021.8640499115</v>
      </c>
    </row>
    <row r="435" spans="1:19" ht="15.75" customHeight="1" x14ac:dyDescent="0.3">
      <c r="A435" s="37">
        <v>64193</v>
      </c>
      <c r="B435" s="409">
        <f t="shared" ref="B435:C435" si="436">($A435-B$9)/365.25</f>
        <v>93.872689938398352</v>
      </c>
      <c r="C435" s="409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3525.4531757812501</v>
      </c>
      <c r="H435" s="25">
        <f>IF(B435&lt;62,0,'Combined Retirement'!$I$14)</f>
        <v>2192</v>
      </c>
      <c r="I435" s="25">
        <f>IF(C435&lt;62,0,'Combined Retirement'!$I$13)</f>
        <v>2420</v>
      </c>
      <c r="J435" s="25">
        <f t="shared" si="263"/>
        <v>6404.7404596389215</v>
      </c>
      <c r="K435" s="25">
        <f t="shared" si="264"/>
        <v>16520.094745597391</v>
      </c>
      <c r="L435" s="25"/>
      <c r="N435" s="25">
        <f>'Combined Retirement'!$C$18/12</f>
        <v>33932.660666666663</v>
      </c>
      <c r="O435" s="25">
        <f t="shared" si="265"/>
        <v>11007.82546143035</v>
      </c>
      <c r="P435" s="25">
        <f t="shared" si="266"/>
        <v>22924.835205236312</v>
      </c>
      <c r="Q435" s="25">
        <f t="array" aca="1" ref="Q435" ca="1">INDEX('Isaac 401k'!L:L,MATCH('Retirement Calculator'!A435,'Isaac 401k'!N:N,0),0)</f>
        <v>3818481.8530497006</v>
      </c>
      <c r="R435" s="25">
        <f t="array" aca="1" ref="R435" ca="1">INDEX('Lorri 401b'!L:L,MATCH('Retirement Calculator'!A435,'Lorri 401b'!N:N,0),0)</f>
        <v>5258278.0800818261</v>
      </c>
      <c r="S435" s="25">
        <f t="shared" ca="1" si="267"/>
        <v>9076759.9331315272</v>
      </c>
    </row>
    <row r="436" spans="1:19" ht="15.75" customHeight="1" x14ac:dyDescent="0.3">
      <c r="A436" s="37">
        <v>64224</v>
      </c>
      <c r="B436" s="409">
        <f t="shared" ref="B436:C436" si="437">($A436-B$9)/365.25</f>
        <v>93.957563312799451</v>
      </c>
      <c r="C436" s="409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3525.4531757812501</v>
      </c>
      <c r="H436" s="25">
        <f>IF(B436&lt;62,0,'Combined Retirement'!$I$14)</f>
        <v>2192</v>
      </c>
      <c r="I436" s="25">
        <f>IF(C436&lt;62,0,'Combined Retirement'!$I$13)</f>
        <v>2420</v>
      </c>
      <c r="J436" s="25">
        <f t="shared" si="263"/>
        <v>6404.7404596389215</v>
      </c>
      <c r="K436" s="25">
        <f t="shared" si="264"/>
        <v>16520.094745597391</v>
      </c>
      <c r="L436" s="25"/>
      <c r="N436" s="25">
        <f>'Combined Retirement'!$C$18/12</f>
        <v>33932.660666666663</v>
      </c>
      <c r="O436" s="25">
        <f t="shared" si="265"/>
        <v>11007.82546143035</v>
      </c>
      <c r="P436" s="25">
        <f t="shared" si="266"/>
        <v>22924.835205236312</v>
      </c>
      <c r="Q436" s="25">
        <f t="array" aca="1" ref="Q436" ca="1">INDEX('Isaac 401k'!L:L,MATCH('Retirement Calculator'!A436,'Isaac 401k'!N:N,0),0)</f>
        <v>3827960.7672258536</v>
      </c>
      <c r="R436" s="25">
        <f t="array" aca="1" ref="R436" ca="1">INDEX('Lorri 401b'!L:L,MATCH('Retirement Calculator'!A436,'Lorri 401b'!N:N,0),0)</f>
        <v>5263598.643608463</v>
      </c>
      <c r="S436" s="25">
        <f t="shared" ca="1" si="267"/>
        <v>9091559.4108343162</v>
      </c>
    </row>
    <row r="437" spans="1:19" ht="15.75" customHeight="1" x14ac:dyDescent="0.3">
      <c r="A437" s="37">
        <v>64254</v>
      </c>
      <c r="B437" s="409">
        <f t="shared" ref="B437:C437" si="438">($A437-B$9)/365.25</f>
        <v>94.039698836413422</v>
      </c>
      <c r="C437" s="409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3525.4531757812501</v>
      </c>
      <c r="H437" s="25">
        <f>IF(B437&lt;62,0,'Combined Retirement'!$I$14)</f>
        <v>2192</v>
      </c>
      <c r="I437" s="25">
        <f>IF(C437&lt;62,0,'Combined Retirement'!$I$13)</f>
        <v>2420</v>
      </c>
      <c r="J437" s="25">
        <f t="shared" si="263"/>
        <v>6404.7404596389215</v>
      </c>
      <c r="K437" s="25">
        <f t="shared" si="264"/>
        <v>16520.094745597391</v>
      </c>
      <c r="L437" s="25"/>
      <c r="N437" s="25">
        <f>'Combined Retirement'!$C$18/12</f>
        <v>33932.660666666663</v>
      </c>
      <c r="O437" s="25">
        <f t="shared" si="265"/>
        <v>11007.82546143035</v>
      </c>
      <c r="P437" s="25">
        <f t="shared" si="266"/>
        <v>22924.835205236312</v>
      </c>
      <c r="Q437" s="25">
        <f t="array" aca="1" ref="Q437" ca="1">INDEX('Isaac 401k'!L:L,MATCH('Retirement Calculator'!A437,'Isaac 401k'!N:N,0),0)</f>
        <v>3837479.1768777403</v>
      </c>
      <c r="R437" s="25">
        <f t="array" aca="1" ref="R437" ca="1">INDEX('Lorri 401b'!L:L,MATCH('Retirement Calculator'!A437,'Lorri 401b'!N:N,0),0)</f>
        <v>5268941.3761497941</v>
      </c>
      <c r="S437" s="25">
        <f t="shared" ca="1" si="267"/>
        <v>9106420.5530275349</v>
      </c>
    </row>
    <row r="438" spans="1:19" ht="15.75" customHeight="1" x14ac:dyDescent="0.3">
      <c r="A438" s="37">
        <v>64285</v>
      </c>
      <c r="B438" s="409">
        <f t="shared" ref="B438:C438" si="439">($A438-B$9)/365.25</f>
        <v>94.124572210814506</v>
      </c>
      <c r="C438" s="409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3525.4531757812501</v>
      </c>
      <c r="H438" s="25">
        <f>IF(B438&lt;62,0,'Combined Retirement'!$I$14)</f>
        <v>2192</v>
      </c>
      <c r="I438" s="25">
        <f>IF(C438&lt;62,0,'Combined Retirement'!$I$13)</f>
        <v>2420</v>
      </c>
      <c r="J438" s="25">
        <f t="shared" si="263"/>
        <v>6404.7404596389215</v>
      </c>
      <c r="K438" s="25">
        <f t="shared" si="264"/>
        <v>16520.094745597391</v>
      </c>
      <c r="L438" s="25"/>
      <c r="N438" s="25">
        <f>'Combined Retirement'!$C$18/12</f>
        <v>33932.660666666663</v>
      </c>
      <c r="O438" s="25">
        <f t="shared" si="265"/>
        <v>11007.82546143035</v>
      </c>
      <c r="P438" s="25">
        <f t="shared" si="266"/>
        <v>22924.835205236312</v>
      </c>
      <c r="Q438" s="25">
        <f t="array" aca="1" ref="Q438" ca="1">INDEX('Isaac 401k'!L:L,MATCH('Retirement Calculator'!A438,'Isaac 401k'!N:N,0),0)</f>
        <v>3847037.2465698435</v>
      </c>
      <c r="R438" s="25">
        <f t="array" aca="1" ref="R438" ca="1">INDEX('Lorri 401b'!L:L,MATCH('Retirement Calculator'!A438,'Lorri 401b'!N:N,0),0)</f>
        <v>5274306.3700767141</v>
      </c>
      <c r="S438" s="25">
        <f t="shared" ca="1" si="267"/>
        <v>9121343.616646558</v>
      </c>
    </row>
    <row r="439" spans="1:19" ht="15.75" customHeight="1" x14ac:dyDescent="0.3">
      <c r="A439" s="37">
        <v>64316</v>
      </c>
      <c r="B439" s="409">
        <f t="shared" ref="B439:C439" si="440">($A439-B$9)/365.25</f>
        <v>94.209445585215605</v>
      </c>
      <c r="C439" s="409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3525.4531757812501</v>
      </c>
      <c r="H439" s="25">
        <f>IF(B439&lt;62,0,'Combined Retirement'!$I$14)</f>
        <v>2192</v>
      </c>
      <c r="I439" s="25">
        <f>IF(C439&lt;62,0,'Combined Retirement'!$I$13)</f>
        <v>2420</v>
      </c>
      <c r="J439" s="25">
        <f t="shared" si="263"/>
        <v>6404.7404596389215</v>
      </c>
      <c r="K439" s="25">
        <f t="shared" si="264"/>
        <v>16520.094745597391</v>
      </c>
      <c r="L439" s="25"/>
      <c r="N439" s="25">
        <f>'Combined Retirement'!$C$18/12</f>
        <v>33932.660666666663</v>
      </c>
      <c r="O439" s="25">
        <f t="shared" si="265"/>
        <v>11007.82546143035</v>
      </c>
      <c r="P439" s="25">
        <f t="shared" si="266"/>
        <v>22924.835205236312</v>
      </c>
      <c r="Q439" s="25">
        <f t="array" aca="1" ref="Q439" ca="1">INDEX('Isaac 401k'!L:L,MATCH('Retirement Calculator'!A439,'Isaac 401k'!N:N,0),0)</f>
        <v>3856635.1415523305</v>
      </c>
      <c r="R439" s="25">
        <f t="array" aca="1" ref="R439" ca="1">INDEX('Lorri 401b'!L:L,MATCH('Retirement Calculator'!A439,'Lorri 401b'!N:N,0),0)</f>
        <v>5279693.7181449961</v>
      </c>
      <c r="S439" s="25">
        <f t="shared" ca="1" si="267"/>
        <v>9136328.859697327</v>
      </c>
    </row>
    <row r="440" spans="1:19" ht="15.75" customHeight="1" x14ac:dyDescent="0.3">
      <c r="A440" s="37">
        <v>64345</v>
      </c>
      <c r="B440" s="409">
        <f t="shared" ref="B440:C440" si="441">($A440-B$9)/365.25</f>
        <v>94.288843258042434</v>
      </c>
      <c r="C440" s="409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3525.4531757812501</v>
      </c>
      <c r="H440" s="25">
        <f>IF(B440&lt;62,0,'Combined Retirement'!$I$14)</f>
        <v>2192</v>
      </c>
      <c r="I440" s="25">
        <f>IF(C440&lt;62,0,'Combined Retirement'!$I$13)</f>
        <v>2420</v>
      </c>
      <c r="J440" s="25">
        <f t="shared" si="263"/>
        <v>6404.7404596389215</v>
      </c>
      <c r="K440" s="25">
        <f t="shared" si="264"/>
        <v>16520.094745597391</v>
      </c>
      <c r="L440" s="25"/>
      <c r="N440" s="25">
        <f>'Combined Retirement'!$C$18/12</f>
        <v>33932.660666666663</v>
      </c>
      <c r="O440" s="25">
        <f t="shared" si="265"/>
        <v>11007.82546143035</v>
      </c>
      <c r="P440" s="25">
        <f t="shared" si="266"/>
        <v>22924.835205236312</v>
      </c>
      <c r="Q440" s="25">
        <f t="array" aca="1" ref="Q440" ca="1">INDEX('Isaac 401k'!L:L,MATCH('Retirement Calculator'!A440,'Isaac 401k'!N:N,0),0)</f>
        <v>3866273.0277639111</v>
      </c>
      <c r="R440" s="25">
        <f t="array" aca="1" ref="R440" ca="1">INDEX('Lorri 401b'!L:L,MATCH('Retirement Calculator'!A440,'Lorri 401b'!N:N,0),0)</f>
        <v>5285103.5134968953</v>
      </c>
      <c r="S440" s="25">
        <f t="shared" ca="1" si="267"/>
        <v>9151376.5412608068</v>
      </c>
    </row>
    <row r="441" spans="1:19" ht="15.75" customHeight="1" x14ac:dyDescent="0.3">
      <c r="A441" s="37">
        <v>64376</v>
      </c>
      <c r="B441" s="409">
        <f t="shared" ref="B441:C441" si="442">($A441-B$9)/365.25</f>
        <v>94.373716632443532</v>
      </c>
      <c r="C441" s="409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3525.4531757812501</v>
      </c>
      <c r="H441" s="25">
        <f>IF(B441&lt;62,0,'Combined Retirement'!$I$14)</f>
        <v>2192</v>
      </c>
      <c r="I441" s="25">
        <f>IF(C441&lt;62,0,'Combined Retirement'!$I$13)</f>
        <v>2420</v>
      </c>
      <c r="J441" s="25">
        <f t="shared" si="263"/>
        <v>6404.7404596389215</v>
      </c>
      <c r="K441" s="25">
        <f t="shared" si="264"/>
        <v>16520.094745597391</v>
      </c>
      <c r="L441" s="25"/>
      <c r="N441" s="25">
        <f>'Combined Retirement'!$C$18/12</f>
        <v>33932.660666666663</v>
      </c>
      <c r="O441" s="25">
        <f t="shared" si="265"/>
        <v>11007.82546143035</v>
      </c>
      <c r="P441" s="25">
        <f t="shared" si="266"/>
        <v>22924.835205236312</v>
      </c>
      <c r="Q441" s="25">
        <f t="array" aca="1" ref="Q441" ca="1">INDEX('Isaac 401k'!L:L,MATCH('Retirement Calculator'!A441,'Isaac 401k'!N:N,0),0)</f>
        <v>3875951.0718347062</v>
      </c>
      <c r="R441" s="25">
        <f t="array" aca="1" ref="R441" ca="1">INDEX('Lorri 401b'!L:L,MATCH('Retirement Calculator'!A441,'Lorri 401b'!N:N,0),0)</f>
        <v>5290535.8496627612</v>
      </c>
      <c r="S441" s="25">
        <f t="shared" ca="1" si="267"/>
        <v>9166486.9214974679</v>
      </c>
    </row>
    <row r="442" spans="1:19" ht="15.75" customHeight="1" x14ac:dyDescent="0.3">
      <c r="A442" s="37">
        <v>64406</v>
      </c>
      <c r="B442" s="409">
        <f t="shared" ref="B442:C442" si="443">($A442-B$9)/365.25</f>
        <v>94.455852156057489</v>
      </c>
      <c r="C442" s="409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3525.4531757812501</v>
      </c>
      <c r="H442" s="25">
        <f>IF(B442&lt;62,0,'Combined Retirement'!$I$14)</f>
        <v>2192</v>
      </c>
      <c r="I442" s="25">
        <f>IF(C442&lt;62,0,'Combined Retirement'!$I$13)</f>
        <v>2420</v>
      </c>
      <c r="J442" s="25">
        <f t="shared" si="263"/>
        <v>6404.7404596389215</v>
      </c>
      <c r="K442" s="25">
        <f t="shared" si="264"/>
        <v>16520.094745597391</v>
      </c>
      <c r="L442" s="25"/>
      <c r="N442" s="25">
        <f>'Combined Retirement'!$C$18/12</f>
        <v>33932.660666666663</v>
      </c>
      <c r="O442" s="25">
        <f t="shared" si="265"/>
        <v>11007.82546143035</v>
      </c>
      <c r="P442" s="25">
        <f t="shared" si="266"/>
        <v>22924.835205236312</v>
      </c>
      <c r="Q442" s="25">
        <f t="array" aca="1" ref="Q442" ca="1">INDEX('Isaac 401k'!L:L,MATCH('Retirement Calculator'!A442,'Isaac 401k'!N:N,0),0)</f>
        <v>3885669.44108913</v>
      </c>
      <c r="R442" s="25">
        <f t="array" aca="1" ref="R442" ca="1">INDEX('Lorri 401b'!L:L,MATCH('Retirement Calculator'!A442,'Lorri 401b'!N:N,0),0)</f>
        <v>5295990.8205626514</v>
      </c>
      <c r="S442" s="25">
        <f t="shared" ca="1" si="267"/>
        <v>9181660.2616517805</v>
      </c>
    </row>
    <row r="443" spans="1:19" ht="15.75" customHeight="1" x14ac:dyDescent="0.3">
      <c r="A443" s="37">
        <v>64437</v>
      </c>
      <c r="B443" s="409">
        <f t="shared" ref="B443:C443" si="444">($A443-B$9)/365.25</f>
        <v>94.540725530458587</v>
      </c>
      <c r="C443" s="409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3525.4531757812501</v>
      </c>
      <c r="H443" s="25">
        <f>IF(B443&lt;62,0,'Combined Retirement'!$I$14)</f>
        <v>2192</v>
      </c>
      <c r="I443" s="25">
        <f>IF(C443&lt;62,0,'Combined Retirement'!$I$13)</f>
        <v>2420</v>
      </c>
      <c r="J443" s="25">
        <f t="shared" si="263"/>
        <v>6404.7404596389215</v>
      </c>
      <c r="K443" s="25">
        <f t="shared" si="264"/>
        <v>16520.094745597391</v>
      </c>
      <c r="L443" s="25"/>
      <c r="N443" s="25">
        <f>'Combined Retirement'!$C$18/12</f>
        <v>33932.660666666663</v>
      </c>
      <c r="O443" s="25">
        <f t="shared" si="265"/>
        <v>11007.82546143035</v>
      </c>
      <c r="P443" s="25">
        <f t="shared" si="266"/>
        <v>22924.835205236312</v>
      </c>
      <c r="Q443" s="25">
        <f t="array" aca="1" ref="Q443" ca="1">INDEX('Isaac 401k'!L:L,MATCH('Retirement Calculator'!A443,'Isaac 401k'!N:N,0),0)</f>
        <v>3895428.3035487803</v>
      </c>
      <c r="R443" s="25">
        <f t="array" aca="1" ref="R443" ca="1">INDEX('Lorri 401b'!L:L,MATCH('Retirement Calculator'!A443,'Lorri 401b'!N:N,0),0)</f>
        <v>5301468.5205079578</v>
      </c>
      <c r="S443" s="25">
        <f t="shared" ca="1" si="267"/>
        <v>9196896.8240567371</v>
      </c>
    </row>
    <row r="444" spans="1:19" ht="15.75" customHeight="1" x14ac:dyDescent="0.3">
      <c r="A444" s="37">
        <v>64467</v>
      </c>
      <c r="B444" s="409">
        <f t="shared" ref="B444:C444" si="445">($A444-B$9)/365.25</f>
        <v>94.622861054072558</v>
      </c>
      <c r="C444" s="409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3525.4531757812501</v>
      </c>
      <c r="H444" s="25">
        <f>IF(B444&lt;62,0,'Combined Retirement'!$I$14)</f>
        <v>2192</v>
      </c>
      <c r="I444" s="25">
        <f>IF(C444&lt;62,0,'Combined Retirement'!$I$13)</f>
        <v>2420</v>
      </c>
      <c r="J444" s="25">
        <f t="shared" si="263"/>
        <v>6404.7404596389215</v>
      </c>
      <c r="K444" s="25">
        <f t="shared" si="264"/>
        <v>16520.094745597391</v>
      </c>
      <c r="L444" s="25"/>
      <c r="N444" s="25">
        <f>'Combined Retirement'!$C$18/12</f>
        <v>33932.660666666663</v>
      </c>
      <c r="O444" s="25">
        <f t="shared" si="265"/>
        <v>11007.82546143035</v>
      </c>
      <c r="P444" s="25">
        <f t="shared" si="266"/>
        <v>22924.835205236312</v>
      </c>
      <c r="Q444" s="25">
        <f t="array" aca="1" ref="Q444" ca="1">INDEX('Isaac 401k'!L:L,MATCH('Retirement Calculator'!A444,'Isaac 401k'!N:N,0),0)</f>
        <v>3905227.8279353459</v>
      </c>
      <c r="R444" s="25">
        <f t="array" aca="1" ref="R444" ca="1">INDEX('Lorri 401b'!L:L,MATCH('Retirement Calculator'!A444,'Lorri 401b'!N:N,0),0)</f>
        <v>5306969.0442030365</v>
      </c>
      <c r="S444" s="25">
        <f t="shared" ca="1" si="267"/>
        <v>9212196.8721383829</v>
      </c>
    </row>
    <row r="445" spans="1:19" ht="15.75" customHeight="1" x14ac:dyDescent="0.3">
      <c r="A445" s="37">
        <v>64498</v>
      </c>
      <c r="B445" s="409">
        <f t="shared" ref="B445:C445" si="446">($A445-B$9)/365.25</f>
        <v>94.707734428473643</v>
      </c>
      <c r="C445" s="409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3525.4531757812501</v>
      </c>
      <c r="H445" s="25">
        <f>IF(B445&lt;62,0,'Combined Retirement'!$I$14)</f>
        <v>2192</v>
      </c>
      <c r="I445" s="25">
        <f>IF(C445&lt;62,0,'Combined Retirement'!$I$13)</f>
        <v>2420</v>
      </c>
      <c r="J445" s="25">
        <f t="shared" si="263"/>
        <v>6404.7404596389215</v>
      </c>
      <c r="K445" s="25">
        <f t="shared" si="264"/>
        <v>16520.094745597391</v>
      </c>
      <c r="L445" s="25"/>
      <c r="N445" s="25">
        <f>'Combined Retirement'!$C$18/12</f>
        <v>33932.660666666663</v>
      </c>
      <c r="O445" s="25">
        <f t="shared" si="265"/>
        <v>11007.82546143035</v>
      </c>
      <c r="P445" s="25">
        <f t="shared" si="266"/>
        <v>22924.835205236312</v>
      </c>
      <c r="Q445" s="25">
        <f t="array" aca="1" ref="Q445" ca="1">INDEX('Isaac 401k'!L:L,MATCH('Retirement Calculator'!A445,'Isaac 401k'!N:N,0),0)</f>
        <v>3915068.1836735224</v>
      </c>
      <c r="R445" s="25">
        <f t="array" aca="1" ref="R445" ca="1">INDEX('Lorri 401b'!L:L,MATCH('Retirement Calculator'!A445,'Lorri 401b'!N:N,0),0)</f>
        <v>5312492.4867468448</v>
      </c>
      <c r="S445" s="25">
        <f t="shared" ca="1" si="267"/>
        <v>9227560.6704203673</v>
      </c>
    </row>
    <row r="446" spans="1:19" ht="15.75" customHeight="1" x14ac:dyDescent="0.3">
      <c r="A446" s="37">
        <v>64529</v>
      </c>
      <c r="B446" s="409">
        <f t="shared" ref="B446:C446" si="447">($A446-B$9)/365.25</f>
        <v>94.792607802874741</v>
      </c>
      <c r="C446" s="409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3525.4531757812501</v>
      </c>
      <c r="H446" s="25">
        <f>IF(B446&lt;62,0,'Combined Retirement'!$I$14)</f>
        <v>2192</v>
      </c>
      <c r="I446" s="25">
        <f>IF(C446&lt;62,0,'Combined Retirement'!$I$13)</f>
        <v>2420</v>
      </c>
      <c r="J446" s="25">
        <f t="shared" si="263"/>
        <v>6404.7404596389215</v>
      </c>
      <c r="K446" s="25">
        <f t="shared" si="264"/>
        <v>16520.094745597391</v>
      </c>
      <c r="L446" s="25"/>
      <c r="N446" s="25">
        <f>'Combined Retirement'!$C$18/12</f>
        <v>33932.660666666663</v>
      </c>
      <c r="O446" s="25">
        <f t="shared" si="265"/>
        <v>11007.82546143035</v>
      </c>
      <c r="P446" s="25">
        <f t="shared" si="266"/>
        <v>22924.835205236312</v>
      </c>
      <c r="Q446" s="25">
        <f t="array" aca="1" ref="Q446" ca="1">INDEX('Isaac 401k'!L:L,MATCH('Retirement Calculator'!A446,'Isaac 401k'!N:N,0),0)</f>
        <v>3924949.5408939412</v>
      </c>
      <c r="R446" s="25">
        <f t="array" aca="1" ref="R446" ca="1">INDEX('Lorri 401b'!L:L,MATCH('Retirement Calculator'!A446,'Lorri 401b'!N:N,0),0)</f>
        <v>5318038.9436345855</v>
      </c>
      <c r="S446" s="25">
        <f t="shared" ca="1" si="267"/>
        <v>9242988.4845285267</v>
      </c>
    </row>
    <row r="447" spans="1:19" ht="15.75" customHeight="1" x14ac:dyDescent="0.3">
      <c r="A447" s="37">
        <v>64559</v>
      </c>
      <c r="B447" s="409">
        <f t="shared" ref="B447:C447" si="448">($A447-B$9)/365.25</f>
        <v>94.874743326488712</v>
      </c>
      <c r="C447" s="409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3525.4531757812501</v>
      </c>
      <c r="H447" s="25">
        <f>IF(B447&lt;62,0,'Combined Retirement'!$I$14)</f>
        <v>2192</v>
      </c>
      <c r="I447" s="25">
        <f>IF(C447&lt;62,0,'Combined Retirement'!$I$13)</f>
        <v>2420</v>
      </c>
      <c r="J447" s="25">
        <f t="shared" si="263"/>
        <v>6404.7404596389215</v>
      </c>
      <c r="K447" s="25">
        <f t="shared" si="264"/>
        <v>16520.094745597391</v>
      </c>
      <c r="L447" s="25"/>
      <c r="N447" s="25">
        <f>'Combined Retirement'!$C$18/12</f>
        <v>33932.660666666663</v>
      </c>
      <c r="O447" s="25">
        <f t="shared" si="265"/>
        <v>11007.82546143035</v>
      </c>
      <c r="P447" s="25">
        <f t="shared" si="266"/>
        <v>22924.835205236312</v>
      </c>
      <c r="Q447" s="25">
        <f t="array" aca="1" ref="Q447" ca="1">INDEX('Isaac 401k'!L:L,MATCH('Retirement Calculator'!A447,'Isaac 401k'!N:N,0),0)</f>
        <v>3934872.0704361117</v>
      </c>
      <c r="R447" s="25">
        <f t="array" aca="1" ref="R447" ca="1">INDEX('Lorri 401b'!L:L,MATCH('Retirement Calculator'!A447,'Lorri 401b'!N:N,0),0)</f>
        <v>5323608.5107593583</v>
      </c>
      <c r="S447" s="25">
        <f t="shared" ca="1" si="267"/>
        <v>9258480.5811954699</v>
      </c>
    </row>
    <row r="448" spans="1:19" ht="15.75" customHeight="1" x14ac:dyDescent="0.3">
      <c r="A448" s="37">
        <v>64590</v>
      </c>
      <c r="B448" s="409">
        <f t="shared" ref="B448:C448" si="449">($A448-B$9)/365.25</f>
        <v>94.959616700889796</v>
      </c>
      <c r="C448" s="409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3525.4531757812501</v>
      </c>
      <c r="H448" s="25">
        <f>IF(B448&lt;62,0,'Combined Retirement'!$I$14)</f>
        <v>2192</v>
      </c>
      <c r="I448" s="25">
        <f>IF(C448&lt;62,0,'Combined Retirement'!$I$13)</f>
        <v>2420</v>
      </c>
      <c r="J448" s="25">
        <f t="shared" si="263"/>
        <v>6404.7404596389215</v>
      </c>
      <c r="K448" s="25">
        <f t="shared" si="264"/>
        <v>16520.094745597391</v>
      </c>
      <c r="L448" s="25"/>
      <c r="N448" s="25">
        <f>'Combined Retirement'!$C$18/12</f>
        <v>33932.660666666663</v>
      </c>
      <c r="O448" s="25">
        <f t="shared" si="265"/>
        <v>11007.82546143035</v>
      </c>
      <c r="P448" s="25">
        <f t="shared" si="266"/>
        <v>22924.835205236312</v>
      </c>
      <c r="Q448" s="25">
        <f t="array" aca="1" ref="Q448" ca="1">INDEX('Isaac 401k'!L:L,MATCH('Retirement Calculator'!A448,'Isaac 401k'!N:N,0),0)</f>
        <v>3944835.9438513746</v>
      </c>
      <c r="R448" s="25">
        <f t="array" aca="1" ref="R448" ca="1">INDEX('Lorri 401b'!L:L,MATCH('Retirement Calculator'!A448,'Lorri 401b'!N:N,0),0)</f>
        <v>5329201.2844138183</v>
      </c>
      <c r="S448" s="25">
        <f t="shared" ca="1" si="267"/>
        <v>9274037.2282651924</v>
      </c>
    </row>
    <row r="449" spans="1:19" ht="15.75" customHeight="1" x14ac:dyDescent="0.3">
      <c r="A449" s="37">
        <v>64620</v>
      </c>
      <c r="B449" s="409">
        <f t="shared" ref="B449:C449" si="450">($A449-B$9)/365.25</f>
        <v>95.041752224503767</v>
      </c>
      <c r="C449" s="409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3525.4531757812501</v>
      </c>
      <c r="H449" s="25">
        <f>IF(B449&lt;62,0,'Combined Retirement'!$I$14)</f>
        <v>2192</v>
      </c>
      <c r="I449" s="25">
        <f>IF(C449&lt;62,0,'Combined Retirement'!$I$13)</f>
        <v>2420</v>
      </c>
      <c r="J449" s="25">
        <f t="shared" si="263"/>
        <v>6404.7404596389215</v>
      </c>
      <c r="K449" s="25">
        <f t="shared" si="264"/>
        <v>16520.094745597391</v>
      </c>
      <c r="L449" s="25"/>
      <c r="N449" s="25">
        <f>'Combined Retirement'!$C$18/12</f>
        <v>33932.660666666663</v>
      </c>
      <c r="O449" s="25">
        <f t="shared" si="265"/>
        <v>11007.82546143035</v>
      </c>
      <c r="P449" s="25">
        <f t="shared" si="266"/>
        <v>22924.835205236312</v>
      </c>
      <c r="Q449" s="25">
        <f t="array" aca="1" ref="Q449" ca="1">INDEX('Isaac 401k'!L:L,MATCH('Retirement Calculator'!A449,'Isaac 401k'!N:N,0),0)</f>
        <v>3954841.3334058677</v>
      </c>
      <c r="R449" s="25">
        <f t="array" aca="1" ref="R449" ca="1">INDEX('Lorri 401b'!L:L,MATCH('Retirement Calculator'!A449,'Lorri 401b'!N:N,0),0)</f>
        <v>5334817.3612918379</v>
      </c>
      <c r="S449" s="25">
        <f t="shared" ca="1" si="267"/>
        <v>9289658.694697706</v>
      </c>
    </row>
    <row r="450" spans="1:19" ht="15.75" customHeight="1" x14ac:dyDescent="0.3">
      <c r="A450" s="37">
        <v>64651</v>
      </c>
      <c r="B450" s="409">
        <f t="shared" ref="B450:C450" si="451">($A450-B$9)/365.25</f>
        <v>95.126625598904866</v>
      </c>
      <c r="C450" s="409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3525.4531757812501</v>
      </c>
      <c r="H450" s="25">
        <f>IF(B450&lt;62,0,'Combined Retirement'!$I$14)</f>
        <v>2192</v>
      </c>
      <c r="I450" s="25">
        <f>IF(C450&lt;62,0,'Combined Retirement'!$I$13)</f>
        <v>2420</v>
      </c>
      <c r="J450" s="25">
        <f t="shared" si="263"/>
        <v>6404.7404596389215</v>
      </c>
      <c r="K450" s="25">
        <f t="shared" si="264"/>
        <v>16520.094745597391</v>
      </c>
      <c r="L450" s="25"/>
      <c r="N450" s="25">
        <f>'Combined Retirement'!$C$18/12</f>
        <v>33932.660666666663</v>
      </c>
      <c r="O450" s="25">
        <f t="shared" si="265"/>
        <v>11007.82546143035</v>
      </c>
      <c r="P450" s="25">
        <f t="shared" si="266"/>
        <v>22924.835205236312</v>
      </c>
      <c r="Q450" s="25">
        <f t="array" aca="1" ref="Q450" ca="1">INDEX('Isaac 401k'!L:L,MATCH('Retirement Calculator'!A450,'Isaac 401k'!N:N,0),0)</f>
        <v>3964888.4120835047</v>
      </c>
      <c r="R450" s="25">
        <f t="array" aca="1" ref="R450" ca="1">INDEX('Lorri 401b'!L:L,MATCH('Retirement Calculator'!A450,'Lorri 401b'!N:N,0),0)</f>
        <v>5340456.8384901825</v>
      </c>
      <c r="S450" s="25">
        <f t="shared" ca="1" si="267"/>
        <v>9305345.2505736873</v>
      </c>
    </row>
    <row r="451" spans="1:19" ht="15.75" customHeight="1" x14ac:dyDescent="0.3">
      <c r="A451" s="37">
        <v>64682</v>
      </c>
      <c r="B451" s="409">
        <f t="shared" ref="B451:C451" si="452">($A451-B$9)/365.25</f>
        <v>95.21149897330595</v>
      </c>
      <c r="C451" s="409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3525.4531757812501</v>
      </c>
      <c r="H451" s="25">
        <f>IF(B451&lt;62,0,'Combined Retirement'!$I$14)</f>
        <v>2192</v>
      </c>
      <c r="I451" s="25">
        <f>IF(C451&lt;62,0,'Combined Retirement'!$I$13)</f>
        <v>2420</v>
      </c>
      <c r="J451" s="25">
        <f t="shared" si="263"/>
        <v>6404.7404596389215</v>
      </c>
      <c r="K451" s="25">
        <f t="shared" si="264"/>
        <v>16520.094745597391</v>
      </c>
      <c r="L451" s="25"/>
      <c r="N451" s="25">
        <f>'Combined Retirement'!$C$18/12</f>
        <v>33932.660666666663</v>
      </c>
      <c r="O451" s="25">
        <f t="shared" si="265"/>
        <v>11007.82546143035</v>
      </c>
      <c r="P451" s="25">
        <f t="shared" si="266"/>
        <v>22924.835205236312</v>
      </c>
      <c r="Q451" s="25">
        <f t="array" aca="1" ref="Q451" ca="1">INDEX('Isaac 401k'!L:L,MATCH('Retirement Calculator'!A451,'Isaac 401k'!N:N,0),0)</f>
        <v>3974977.3535889653</v>
      </c>
      <c r="R451" s="25">
        <f t="array" aca="1" ref="R451" ca="1">INDEX('Lorri 401b'!L:L,MATCH('Retirement Calculator'!A451,'Lorri 401b'!N:N,0),0)</f>
        <v>5346119.813510187</v>
      </c>
      <c r="S451" s="25">
        <f t="shared" ca="1" si="267"/>
        <v>9321097.1670991518</v>
      </c>
    </row>
    <row r="452" spans="1:19" ht="15.75" customHeight="1" x14ac:dyDescent="0.3">
      <c r="A452" s="37">
        <v>64710</v>
      </c>
      <c r="B452" s="409">
        <f t="shared" ref="B452:C452" si="453">($A452-B$9)/365.25</f>
        <v>95.288158795345652</v>
      </c>
      <c r="C452" s="409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3525.4531757812501</v>
      </c>
      <c r="H452" s="25">
        <f>IF(B452&lt;62,0,'Combined Retirement'!$I$14)</f>
        <v>2192</v>
      </c>
      <c r="I452" s="25">
        <f>IF(C452&lt;62,0,'Combined Retirement'!$I$13)</f>
        <v>2420</v>
      </c>
      <c r="J452" s="25">
        <f t="shared" si="263"/>
        <v>6404.7404596389215</v>
      </c>
      <c r="K452" s="25">
        <f t="shared" si="264"/>
        <v>16520.094745597391</v>
      </c>
      <c r="L452" s="25"/>
      <c r="N452" s="25">
        <f>'Combined Retirement'!$C$18/12</f>
        <v>33932.660666666663</v>
      </c>
      <c r="O452" s="25">
        <f t="shared" si="265"/>
        <v>11007.82546143035</v>
      </c>
      <c r="P452" s="25">
        <f t="shared" si="266"/>
        <v>22924.835205236312</v>
      </c>
      <c r="Q452" s="25">
        <f t="array" aca="1" ref="Q452" ca="1">INDEX('Isaac 401k'!L:L,MATCH('Retirement Calculator'!A452,'Isaac 401k'!N:N,0),0)</f>
        <v>3985108.3323506983</v>
      </c>
      <c r="R452" s="25">
        <f t="array" aca="1" ref="R452" ca="1">INDEX('Lorri 401b'!L:L,MATCH('Retirement Calculator'!A452,'Lorri 401b'!N:N,0),0)</f>
        <v>5351806.3842594419</v>
      </c>
      <c r="S452" s="25">
        <f t="shared" ca="1" si="267"/>
        <v>9336914.7166101411</v>
      </c>
    </row>
    <row r="453" spans="1:19" ht="15.75" customHeight="1" x14ac:dyDescent="0.3">
      <c r="A453" s="37">
        <v>64741</v>
      </c>
      <c r="B453" s="409">
        <f t="shared" ref="B453:C453" si="454">($A453-B$9)/365.25</f>
        <v>95.37303216974675</v>
      </c>
      <c r="C453" s="409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3525.4531757812501</v>
      </c>
      <c r="H453" s="25">
        <f>IF(B453&lt;62,0,'Combined Retirement'!$I$14)</f>
        <v>2192</v>
      </c>
      <c r="I453" s="25">
        <f>IF(C453&lt;62,0,'Combined Retirement'!$I$13)</f>
        <v>2420</v>
      </c>
      <c r="J453" s="25">
        <f t="shared" si="263"/>
        <v>6404.7404596389215</v>
      </c>
      <c r="K453" s="25">
        <f t="shared" si="264"/>
        <v>16520.094745597391</v>
      </c>
      <c r="L453" s="25"/>
      <c r="N453" s="25">
        <f>'Combined Retirement'!$C$18/12</f>
        <v>33932.660666666663</v>
      </c>
      <c r="O453" s="25">
        <f t="shared" si="265"/>
        <v>11007.82546143035</v>
      </c>
      <c r="P453" s="25">
        <f t="shared" si="266"/>
        <v>22924.835205236312</v>
      </c>
      <c r="Q453" s="25">
        <f t="array" aca="1" ref="Q453" ca="1">INDEX('Isaac 401k'!L:L,MATCH('Retirement Calculator'!A453,'Isaac 401k'!N:N,0),0)</f>
        <v>3995281.5235239384</v>
      </c>
      <c r="R453" s="25">
        <f t="array" aca="1" ref="R453" ca="1">INDEX('Lorri 401b'!L:L,MATCH('Retirement Calculator'!A453,'Lorri 401b'!N:N,0),0)</f>
        <v>5357516.6490534851</v>
      </c>
      <c r="S453" s="25">
        <f t="shared" ca="1" si="267"/>
        <v>9352798.172577424</v>
      </c>
    </row>
    <row r="454" spans="1:19" ht="15.75" customHeight="1" x14ac:dyDescent="0.3">
      <c r="A454" s="37">
        <v>64771</v>
      </c>
      <c r="B454" s="409">
        <f t="shared" ref="B454:C454" si="455">($A454-B$9)/365.25</f>
        <v>95.455167693360707</v>
      </c>
      <c r="C454" s="409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3525.4531757812501</v>
      </c>
      <c r="H454" s="25">
        <f>IF(B454&lt;62,0,'Combined Retirement'!$I$14)</f>
        <v>2192</v>
      </c>
      <c r="I454" s="25">
        <f>IF(C454&lt;62,0,'Combined Retirement'!$I$13)</f>
        <v>2420</v>
      </c>
      <c r="J454" s="25">
        <f t="shared" si="263"/>
        <v>6404.7404596389215</v>
      </c>
      <c r="K454" s="25">
        <f t="shared" si="264"/>
        <v>16520.094745597391</v>
      </c>
      <c r="L454" s="25"/>
      <c r="N454" s="25">
        <f>'Combined Retirement'!$C$18/12</f>
        <v>33932.660666666663</v>
      </c>
      <c r="O454" s="25">
        <f t="shared" si="265"/>
        <v>11007.82546143035</v>
      </c>
      <c r="P454" s="25">
        <f t="shared" si="266"/>
        <v>22924.835205236312</v>
      </c>
      <c r="Q454" s="25">
        <f t="array" aca="1" ref="Q454" ca="1">INDEX('Isaac 401k'!L:L,MATCH('Retirement Calculator'!A454,'Isaac 401k'!N:N,0),0)</f>
        <v>4005497.1029937337</v>
      </c>
      <c r="R454" s="25">
        <f t="array" aca="1" ref="R454" ca="1">INDEX('Lorri 401b'!L:L,MATCH('Retirement Calculator'!A454,'Lorri 401b'!N:N,0),0)</f>
        <v>5363250.7066175034</v>
      </c>
      <c r="S454" s="25">
        <f t="shared" ca="1" si="267"/>
        <v>9368747.8096112367</v>
      </c>
    </row>
    <row r="455" spans="1:19" ht="15.75" customHeight="1" x14ac:dyDescent="0.3">
      <c r="A455" s="37">
        <v>64802</v>
      </c>
      <c r="B455" s="409">
        <f t="shared" ref="B455:C455" si="456">($A455-B$9)/365.25</f>
        <v>95.540041067761805</v>
      </c>
      <c r="C455" s="409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3525.4531757812501</v>
      </c>
      <c r="H455" s="25">
        <f>IF(B455&lt;62,0,'Combined Retirement'!$I$14)</f>
        <v>2192</v>
      </c>
      <c r="I455" s="25">
        <f>IF(C455&lt;62,0,'Combined Retirement'!$I$13)</f>
        <v>2420</v>
      </c>
      <c r="J455" s="25">
        <f t="shared" si="263"/>
        <v>6404.7404596389215</v>
      </c>
      <c r="K455" s="25">
        <f t="shared" si="264"/>
        <v>16520.094745597391</v>
      </c>
      <c r="L455" s="25"/>
      <c r="N455" s="25">
        <f>'Combined Retirement'!$C$18/12</f>
        <v>33932.660666666663</v>
      </c>
      <c r="O455" s="25">
        <f t="shared" si="265"/>
        <v>11007.82546143035</v>
      </c>
      <c r="P455" s="25">
        <f t="shared" si="266"/>
        <v>22924.835205236312</v>
      </c>
      <c r="Q455" s="25">
        <f t="array" aca="1" ref="Q455" ca="1">INDEX('Isaac 401k'!L:L,MATCH('Retirement Calculator'!A455,'Isaac 401k'!N:N,0),0)</f>
        <v>4015755.2473779866</v>
      </c>
      <c r="R455" s="25">
        <f t="array" aca="1" ref="R455" ca="1">INDEX('Lorri 401b'!L:L,MATCH('Retirement Calculator'!A455,'Lorri 401b'!N:N,0),0)</f>
        <v>5369008.6560880383</v>
      </c>
      <c r="S455" s="25">
        <f t="shared" ca="1" si="267"/>
        <v>9384763.9034660254</v>
      </c>
    </row>
    <row r="456" spans="1:19" ht="15.75" customHeight="1" x14ac:dyDescent="0.3">
      <c r="A456" s="37">
        <v>64832</v>
      </c>
      <c r="B456" s="409">
        <f t="shared" ref="B456:C456" si="457">($A456-B$9)/365.25</f>
        <v>95.622176591375776</v>
      </c>
      <c r="C456" s="409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3525.4531757812501</v>
      </c>
      <c r="H456" s="25">
        <f>IF(B456&lt;62,0,'Combined Retirement'!$I$14)</f>
        <v>2192</v>
      </c>
      <c r="I456" s="25">
        <f>IF(C456&lt;62,0,'Combined Retirement'!$I$13)</f>
        <v>2420</v>
      </c>
      <c r="J456" s="25">
        <f t="shared" si="263"/>
        <v>6404.7404596389215</v>
      </c>
      <c r="K456" s="25">
        <f t="shared" si="264"/>
        <v>16520.094745597391</v>
      </c>
      <c r="L456" s="25"/>
      <c r="N456" s="25">
        <f>'Combined Retirement'!$C$18/12</f>
        <v>33932.660666666663</v>
      </c>
      <c r="O456" s="25">
        <f t="shared" si="265"/>
        <v>11007.82546143035</v>
      </c>
      <c r="P456" s="25">
        <f t="shared" si="266"/>
        <v>22924.835205236312</v>
      </c>
      <c r="Q456" s="25">
        <f t="array" aca="1" ref="Q456" ca="1">INDEX('Isaac 401k'!L:L,MATCH('Retirement Calculator'!A456,'Isaac 401k'!N:N,0),0)</f>
        <v>4026056.1340305074</v>
      </c>
      <c r="R456" s="25">
        <f t="array" aca="1" ref="R456" ca="1">INDEX('Lorri 401b'!L:L,MATCH('Retirement Calculator'!A456,'Lorri 401b'!N:N,0),0)</f>
        <v>5374790.597014701</v>
      </c>
      <c r="S456" s="25">
        <f t="shared" ca="1" si="267"/>
        <v>9400846.7310452089</v>
      </c>
    </row>
    <row r="457" spans="1:19" ht="15.75" customHeight="1" x14ac:dyDescent="0.3">
      <c r="A457" s="37">
        <v>64863</v>
      </c>
      <c r="B457" s="409">
        <f t="shared" ref="B457:C457" si="458">($A457-B$9)/365.25</f>
        <v>95.707049965776861</v>
      </c>
      <c r="C457" s="409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3525.4531757812501</v>
      </c>
      <c r="H457" s="25">
        <f>IF(B457&lt;62,0,'Combined Retirement'!$I$14)</f>
        <v>2192</v>
      </c>
      <c r="I457" s="25">
        <f>IF(C457&lt;62,0,'Combined Retirement'!$I$13)</f>
        <v>2420</v>
      </c>
      <c r="J457" s="25">
        <f t="shared" si="263"/>
        <v>6404.7404596389215</v>
      </c>
      <c r="K457" s="25">
        <f t="shared" si="264"/>
        <v>16520.094745597391</v>
      </c>
      <c r="L457" s="25"/>
      <c r="N457" s="25">
        <f>'Combined Retirement'!$C$18/12</f>
        <v>33932.660666666663</v>
      </c>
      <c r="O457" s="25">
        <f t="shared" si="265"/>
        <v>11007.82546143035</v>
      </c>
      <c r="P457" s="25">
        <f t="shared" si="266"/>
        <v>22924.835205236312</v>
      </c>
      <c r="Q457" s="25">
        <f t="array" aca="1" ref="Q457" ca="1">INDEX('Isaac 401k'!L:L,MATCH('Retirement Calculator'!A457,'Isaac 401k'!N:N,0),0)</f>
        <v>4036399.9410440801</v>
      </c>
      <c r="R457" s="25">
        <f t="array" aca="1" ref="R457" ca="1">INDEX('Lorri 401b'!L:L,MATCH('Retirement Calculator'!A457,'Lorri 401b'!N:N,0),0)</f>
        <v>5380596.6293618912</v>
      </c>
      <c r="S457" s="25">
        <f t="shared" ca="1" si="267"/>
        <v>9416996.5704059713</v>
      </c>
    </row>
    <row r="458" spans="1:19" ht="15.75" customHeight="1" x14ac:dyDescent="0.3">
      <c r="A458" s="37">
        <v>64894</v>
      </c>
      <c r="B458" s="409">
        <f t="shared" ref="B458:C458" si="459">($A458-B$9)/365.25</f>
        <v>95.791923340177959</v>
      </c>
      <c r="C458" s="409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3525.4531757812501</v>
      </c>
      <c r="H458" s="25">
        <f>IF(B458&lt;62,0,'Combined Retirement'!$I$14)</f>
        <v>2192</v>
      </c>
      <c r="I458" s="25">
        <f>IF(C458&lt;62,0,'Combined Retirement'!$I$13)</f>
        <v>2420</v>
      </c>
      <c r="J458" s="25">
        <f t="shared" si="263"/>
        <v>6404.7404596389215</v>
      </c>
      <c r="K458" s="25">
        <f t="shared" si="264"/>
        <v>16520.094745597391</v>
      </c>
      <c r="L458" s="25"/>
      <c r="N458" s="25">
        <f>'Combined Retirement'!$C$18/12</f>
        <v>33932.660666666663</v>
      </c>
      <c r="O458" s="25">
        <f t="shared" si="265"/>
        <v>11007.82546143035</v>
      </c>
      <c r="P458" s="25">
        <f t="shared" si="266"/>
        <v>22924.835205236312</v>
      </c>
      <c r="Q458" s="25">
        <f t="array" aca="1" ref="Q458" ca="1">INDEX('Isaac 401k'!L:L,MATCH('Retirement Calculator'!A458,'Isaac 401k'!N:N,0),0)</f>
        <v>4046786.8472535429</v>
      </c>
      <c r="R458" s="25">
        <f t="array" aca="1" ref="R458" ca="1">INDEX('Lorri 401b'!L:L,MATCH('Retirement Calculator'!A458,'Lorri 401b'!N:N,0),0)</f>
        <v>5386426.8535105279</v>
      </c>
      <c r="S458" s="25">
        <f t="shared" ca="1" si="267"/>
        <v>9433213.7007640712</v>
      </c>
    </row>
    <row r="459" spans="1:19" ht="15.75" customHeight="1" x14ac:dyDescent="0.3">
      <c r="A459" s="37">
        <v>64924</v>
      </c>
      <c r="B459" s="409">
        <f t="shared" ref="B459:C459" si="460">($A459-B$9)/365.25</f>
        <v>95.87405886379193</v>
      </c>
      <c r="C459" s="409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3525.4531757812501</v>
      </c>
      <c r="H459" s="25">
        <f>IF(B459&lt;62,0,'Combined Retirement'!$I$14)</f>
        <v>2192</v>
      </c>
      <c r="I459" s="25">
        <f>IF(C459&lt;62,0,'Combined Retirement'!$I$13)</f>
        <v>2420</v>
      </c>
      <c r="J459" s="25">
        <f t="shared" si="263"/>
        <v>6404.7404596389215</v>
      </c>
      <c r="K459" s="25">
        <f t="shared" si="264"/>
        <v>16520.094745597391</v>
      </c>
      <c r="L459" s="25"/>
      <c r="N459" s="25">
        <f>'Combined Retirement'!$C$18/12</f>
        <v>33932.660666666663</v>
      </c>
      <c r="O459" s="25">
        <f t="shared" si="265"/>
        <v>11007.82546143035</v>
      </c>
      <c r="P459" s="25">
        <f t="shared" si="266"/>
        <v>22924.835205236312</v>
      </c>
      <c r="Q459" s="25">
        <f t="array" aca="1" ref="Q459" ca="1">INDEX('Isaac 401k'!L:L,MATCH('Retirement Calculator'!A459,'Isaac 401k'!N:N,0),0)</f>
        <v>4057217.0322388783</v>
      </c>
      <c r="R459" s="25">
        <f t="array" aca="1" ref="R459" ca="1">INDEX('Lorri 401b'!L:L,MATCH('Retirement Calculator'!A459,'Lorri 401b'!N:N,0),0)</f>
        <v>5392281.3702597842</v>
      </c>
      <c r="S459" s="25">
        <f t="shared" ca="1" si="267"/>
        <v>9449498.4024986625</v>
      </c>
    </row>
    <row r="460" spans="1:19" ht="15.75" customHeight="1" x14ac:dyDescent="0.3">
      <c r="A460" s="37">
        <v>64955</v>
      </c>
      <c r="B460" s="409">
        <f t="shared" ref="B460:C460" si="461">($A460-B$9)/365.25</f>
        <v>95.958932238193015</v>
      </c>
      <c r="C460" s="409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3525.4531757812501</v>
      </c>
      <c r="H460" s="25">
        <f>IF(B460&lt;62,0,'Combined Retirement'!$I$14)</f>
        <v>2192</v>
      </c>
      <c r="I460" s="25">
        <f>IF(C460&lt;62,0,'Combined Retirement'!$I$13)</f>
        <v>2420</v>
      </c>
      <c r="J460" s="25">
        <f t="shared" si="263"/>
        <v>6404.7404596389215</v>
      </c>
      <c r="K460" s="25">
        <f t="shared" si="264"/>
        <v>16520.094745597391</v>
      </c>
      <c r="L460" s="25"/>
      <c r="N460" s="25">
        <f>'Combined Retirement'!$C$18/12</f>
        <v>33932.660666666663</v>
      </c>
      <c r="O460" s="25">
        <f t="shared" si="265"/>
        <v>11007.82546143035</v>
      </c>
      <c r="P460" s="25">
        <f t="shared" si="266"/>
        <v>22924.835205236312</v>
      </c>
      <c r="Q460" s="25">
        <f t="array" aca="1" ref="Q460" ca="1">INDEX('Isaac 401k'!L:L,MATCH('Retirement Calculator'!A460,'Isaac 401k'!N:N,0),0)</f>
        <v>4067690.6763283196</v>
      </c>
      <c r="R460" s="25">
        <f t="array" aca="1" ref="R460" ca="1">INDEX('Lorri 401b'!L:L,MATCH('Retirement Calculator'!A460,'Lorri 401b'!N:N,0),0)</f>
        <v>5398160.2808288289</v>
      </c>
      <c r="S460" s="25">
        <f t="shared" ca="1" si="267"/>
        <v>9465850.957157148</v>
      </c>
    </row>
    <row r="461" spans="1:19" ht="15.75" customHeight="1" x14ac:dyDescent="0.3">
      <c r="A461" s="37">
        <v>64985</v>
      </c>
      <c r="B461" s="409">
        <f t="shared" ref="B461:C461" si="462">($A461-B$9)/365.25</f>
        <v>96.041067761806985</v>
      </c>
      <c r="C461" s="409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3525.4531757812501</v>
      </c>
      <c r="H461" s="25">
        <f>IF(B461&lt;62,0,'Combined Retirement'!$I$14)</f>
        <v>2192</v>
      </c>
      <c r="I461" s="25">
        <f>IF(C461&lt;62,0,'Combined Retirement'!$I$13)</f>
        <v>2420</v>
      </c>
      <c r="J461" s="25">
        <f t="shared" si="263"/>
        <v>6404.7404596389215</v>
      </c>
      <c r="K461" s="25">
        <f t="shared" si="264"/>
        <v>16520.094745597391</v>
      </c>
      <c r="L461" s="25"/>
      <c r="N461" s="25">
        <f>'Combined Retirement'!$C$18/12</f>
        <v>33932.660666666663</v>
      </c>
      <c r="O461" s="25">
        <f t="shared" si="265"/>
        <v>11007.82546143035</v>
      </c>
      <c r="P461" s="25">
        <f t="shared" si="266"/>
        <v>22924.835205236312</v>
      </c>
      <c r="Q461" s="25">
        <f t="array" aca="1" ref="Q461" ca="1">INDEX('Isaac 401k'!L:L,MATCH('Retirement Calculator'!A461,'Isaac 401k'!N:N,0),0)</f>
        <v>4078207.9606014667</v>
      </c>
      <c r="R461" s="25">
        <f t="array" aca="1" ref="R461" ca="1">INDEX('Lorri 401b'!L:L,MATCH('Retirement Calculator'!A461,'Lorri 401b'!N:N,0),0)</f>
        <v>5404063.6868585777</v>
      </c>
      <c r="S461" s="25">
        <f t="shared" ca="1" si="267"/>
        <v>9482271.6474600434</v>
      </c>
    </row>
    <row r="462" spans="1:19" ht="15.75" customHeight="1" x14ac:dyDescent="0.3">
      <c r="A462" s="37">
        <v>65016</v>
      </c>
      <c r="B462" s="409">
        <f t="shared" ref="B462:C462" si="463">($A462-B$9)/365.25</f>
        <v>96.12594113620807</v>
      </c>
      <c r="C462" s="409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3525.4531757812501</v>
      </c>
      <c r="H462" s="25">
        <f>IF(B462&lt;62,0,'Combined Retirement'!$I$14)</f>
        <v>2192</v>
      </c>
      <c r="I462" s="25">
        <f>IF(C462&lt;62,0,'Combined Retirement'!$I$13)</f>
        <v>2420</v>
      </c>
      <c r="J462" s="25">
        <f t="shared" si="263"/>
        <v>6404.7404596389215</v>
      </c>
      <c r="K462" s="25">
        <f t="shared" si="264"/>
        <v>16520.094745597391</v>
      </c>
      <c r="L462" s="25"/>
      <c r="N462" s="25">
        <f>'Combined Retirement'!$C$18/12</f>
        <v>33932.660666666663</v>
      </c>
      <c r="O462" s="25">
        <f t="shared" si="265"/>
        <v>11007.82546143035</v>
      </c>
      <c r="P462" s="25">
        <f t="shared" si="266"/>
        <v>22924.835205236312</v>
      </c>
      <c r="Q462" s="25">
        <f t="array" aca="1" ref="Q462" ca="1">INDEX('Isaac 401k'!L:L,MATCH('Retirement Calculator'!A462,'Isaac 401k'!N:N,0),0)</f>
        <v>4088769.0668924185</v>
      </c>
      <c r="R462" s="25">
        <f t="array" aca="1" ref="R462" ca="1">INDEX('Lorri 401b'!L:L,MATCH('Retirement Calculator'!A462,'Lorri 401b'!N:N,0),0)</f>
        <v>5409991.6904134508</v>
      </c>
      <c r="S462" s="25">
        <f t="shared" ca="1" si="267"/>
        <v>9498760.7573058698</v>
      </c>
    </row>
    <row r="463" spans="1:19" ht="15.75" customHeight="1" x14ac:dyDescent="0.3">
      <c r="A463" s="37">
        <v>65047</v>
      </c>
      <c r="B463" s="409">
        <f t="shared" ref="B463:C463" si="464">($A463-B$9)/365.25</f>
        <v>96.210814510609168</v>
      </c>
      <c r="C463" s="409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3525.4531757812501</v>
      </c>
      <c r="H463" s="25">
        <f>IF(B463&lt;62,0,'Combined Retirement'!$I$14)</f>
        <v>2192</v>
      </c>
      <c r="I463" s="25">
        <f>IF(C463&lt;62,0,'Combined Retirement'!$I$13)</f>
        <v>2420</v>
      </c>
      <c r="J463" s="25">
        <f t="shared" si="263"/>
        <v>6404.7404596389215</v>
      </c>
      <c r="K463" s="25">
        <f t="shared" si="264"/>
        <v>16520.094745597391</v>
      </c>
      <c r="L463" s="25"/>
      <c r="N463" s="25">
        <f>'Combined Retirement'!$C$18/12</f>
        <v>33932.660666666663</v>
      </c>
      <c r="O463" s="25">
        <f t="shared" si="265"/>
        <v>11007.82546143035</v>
      </c>
      <c r="P463" s="25">
        <f t="shared" si="266"/>
        <v>22924.835205236312</v>
      </c>
      <c r="Q463" s="25">
        <f t="array" aca="1" ref="Q463" ca="1">INDEX('Isaac 401k'!L:L,MATCH('Retirement Calculator'!A463,'Isaac 401k'!N:N,0),0)</f>
        <v>4099374.1777929161</v>
      </c>
      <c r="R463" s="25">
        <f t="array" aca="1" ref="R463" ca="1">INDEX('Lorri 401b'!L:L,MATCH('Retirement Calculator'!A463,'Lorri 401b'!N:N,0),0)</f>
        <v>5415944.3939831359</v>
      </c>
      <c r="S463" s="25">
        <f t="shared" ca="1" si="267"/>
        <v>9515318.5717760511</v>
      </c>
    </row>
    <row r="464" spans="1:19" ht="15.75" customHeight="1" x14ac:dyDescent="0.3">
      <c r="A464" s="37">
        <v>65075</v>
      </c>
      <c r="B464" s="409">
        <f t="shared" ref="B464:C464" si="465">($A464-B$9)/365.25</f>
        <v>96.28747433264887</v>
      </c>
      <c r="C464" s="409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3525.4531757812501</v>
      </c>
      <c r="H464" s="25">
        <f>IF(B464&lt;62,0,'Combined Retirement'!$I$14)</f>
        <v>2192</v>
      </c>
      <c r="I464" s="25">
        <f>IF(C464&lt;62,0,'Combined Retirement'!$I$13)</f>
        <v>2420</v>
      </c>
      <c r="J464" s="25">
        <f t="shared" si="263"/>
        <v>6404.7404596389215</v>
      </c>
      <c r="K464" s="25">
        <f t="shared" si="264"/>
        <v>16520.094745597391</v>
      </c>
      <c r="L464" s="25"/>
      <c r="N464" s="25">
        <f>'Combined Retirement'!$C$18/12</f>
        <v>33932.660666666663</v>
      </c>
      <c r="O464" s="25">
        <f t="shared" si="265"/>
        <v>11007.82546143035</v>
      </c>
      <c r="P464" s="25">
        <f t="shared" si="266"/>
        <v>22924.835205236312</v>
      </c>
      <c r="Q464" s="25">
        <f t="array" aca="1" ref="Q464" ca="1">INDEX('Isaac 401k'!L:L,MATCH('Retirement Calculator'!A464,'Isaac 401k'!N:N,0),0)</f>
        <v>4110023.4766554991</v>
      </c>
      <c r="R464" s="25">
        <f t="array" aca="1" ref="R464" ca="1">INDEX('Lorri 401b'!L:L,MATCH('Retirement Calculator'!A464,'Lorri 401b'!N:N,0),0)</f>
        <v>5421921.9004843608</v>
      </c>
      <c r="S464" s="25">
        <f t="shared" ca="1" si="267"/>
        <v>9531945.3771398589</v>
      </c>
    </row>
    <row r="465" spans="1:19" ht="15.75" customHeight="1" x14ac:dyDescent="0.3">
      <c r="A465" s="37">
        <v>65106</v>
      </c>
      <c r="B465" s="409">
        <f t="shared" ref="B465:C465" si="466">($A465-B$9)/365.25</f>
        <v>96.372347707049968</v>
      </c>
      <c r="C465" s="409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3525.4531757812501</v>
      </c>
      <c r="H465" s="25">
        <f>IF(B465&lt;62,0,'Combined Retirement'!$I$14)</f>
        <v>2192</v>
      </c>
      <c r="I465" s="25">
        <f>IF(C465&lt;62,0,'Combined Retirement'!$I$13)</f>
        <v>2420</v>
      </c>
      <c r="J465" s="25">
        <f t="shared" si="263"/>
        <v>6404.7404596389215</v>
      </c>
      <c r="K465" s="25">
        <f t="shared" si="264"/>
        <v>16520.094745597391</v>
      </c>
      <c r="L465" s="25"/>
      <c r="N465" s="25">
        <f>'Combined Retirement'!$C$18/12</f>
        <v>33932.660666666663</v>
      </c>
      <c r="O465" s="25">
        <f t="shared" si="265"/>
        <v>11007.82546143035</v>
      </c>
      <c r="P465" s="25">
        <f t="shared" si="266"/>
        <v>22924.835205236312</v>
      </c>
      <c r="Q465" s="25">
        <f t="array" aca="1" ref="Q465" ca="1">INDEX('Isaac 401k'!L:L,MATCH('Retirement Calculator'!A465,'Isaac 401k'!N:N,0),0)</f>
        <v>4120717.1475966759</v>
      </c>
      <c r="R465" s="25">
        <f t="array" aca="1" ref="R465" ca="1">INDEX('Lorri 401b'!L:L,MATCH('Retirement Calculator'!A465,'Lorri 401b'!N:N,0),0)</f>
        <v>5427924.313262674</v>
      </c>
      <c r="S465" s="25">
        <f t="shared" ca="1" si="267"/>
        <v>9548641.4608593509</v>
      </c>
    </row>
    <row r="466" spans="1:19" ht="15.75" customHeight="1" x14ac:dyDescent="0.3">
      <c r="A466" s="37">
        <v>65136</v>
      </c>
      <c r="B466" s="409">
        <f t="shared" ref="B466:C466" si="467">($A466-B$9)/365.25</f>
        <v>96.454483230663925</v>
      </c>
      <c r="C466" s="409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3525.4531757812501</v>
      </c>
      <c r="H466" s="25">
        <f>IF(B466&lt;62,0,'Combined Retirement'!$I$14)</f>
        <v>2192</v>
      </c>
      <c r="I466" s="25">
        <f>IF(C466&lt;62,0,'Combined Retirement'!$I$13)</f>
        <v>2420</v>
      </c>
      <c r="J466" s="25">
        <f t="shared" si="263"/>
        <v>6404.7404596389215</v>
      </c>
      <c r="K466" s="25">
        <f t="shared" si="264"/>
        <v>16520.094745597391</v>
      </c>
      <c r="L466" s="25"/>
      <c r="N466" s="25">
        <f>'Combined Retirement'!$C$18/12</f>
        <v>33932.660666666663</v>
      </c>
      <c r="O466" s="25">
        <f t="shared" si="265"/>
        <v>11007.82546143035</v>
      </c>
      <c r="P466" s="25">
        <f t="shared" si="266"/>
        <v>22924.835205236312</v>
      </c>
      <c r="Q466" s="25">
        <f t="array" aca="1" ref="Q466" ca="1">INDEX('Isaac 401k'!L:L,MATCH('Retirement Calculator'!A466,'Isaac 401k'!N:N,0),0)</f>
        <v>4131455.3755001076</v>
      </c>
      <c r="R466" s="25">
        <f t="array" aca="1" ref="R466" ca="1">INDEX('Lorri 401b'!L:L,MATCH('Retirement Calculator'!A466,'Lorri 401b'!N:N,0),0)</f>
        <v>5433951.7360942308</v>
      </c>
      <c r="S466" s="25">
        <f t="shared" ca="1" si="267"/>
        <v>9565407.111594338</v>
      </c>
    </row>
    <row r="467" spans="1:19" ht="15.75" customHeight="1" x14ac:dyDescent="0.3">
      <c r="A467" s="37">
        <v>65167</v>
      </c>
      <c r="B467" s="409">
        <f t="shared" ref="B467:C467" si="468">($A467-B$9)/365.25</f>
        <v>96.539356605065024</v>
      </c>
      <c r="C467" s="409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3525.4531757812501</v>
      </c>
      <c r="H467" s="25">
        <f>IF(B467&lt;62,0,'Combined Retirement'!$I$14)</f>
        <v>2192</v>
      </c>
      <c r="I467" s="25">
        <f>IF(C467&lt;62,0,'Combined Retirement'!$I$13)</f>
        <v>2420</v>
      </c>
      <c r="J467" s="25">
        <f t="shared" si="263"/>
        <v>6404.7404596389215</v>
      </c>
      <c r="K467" s="25">
        <f t="shared" si="264"/>
        <v>16520.094745597391</v>
      </c>
      <c r="L467" s="25"/>
      <c r="N467" s="25">
        <f>'Combined Retirement'!$C$18/12</f>
        <v>33932.660666666663</v>
      </c>
      <c r="O467" s="25">
        <f t="shared" si="265"/>
        <v>11007.82546143035</v>
      </c>
      <c r="P467" s="25">
        <f t="shared" si="266"/>
        <v>22924.835205236312</v>
      </c>
      <c r="Q467" s="25">
        <f t="array" aca="1" ref="Q467" ca="1">INDEX('Isaac 401k'!L:L,MATCH('Retirement Calculator'!A467,'Isaac 401k'!N:N,0),0)</f>
        <v>4142238.346019804</v>
      </c>
      <c r="R467" s="25">
        <f t="array" aca="1" ref="R467" ca="1">INDEX('Lorri 401b'!L:L,MATCH('Retirement Calculator'!A467,'Lorri 401b'!N:N,0),0)</f>
        <v>5440004.2731875852</v>
      </c>
      <c r="S467" s="25">
        <f t="shared" ca="1" si="267"/>
        <v>9582242.6192073897</v>
      </c>
    </row>
    <row r="468" spans="1:19" ht="15.75" customHeight="1" x14ac:dyDescent="0.3">
      <c r="A468" s="37">
        <v>65197</v>
      </c>
      <c r="B468" s="409">
        <f t="shared" ref="B468:C468" si="469">($A468-B$9)/365.25</f>
        <v>96.62149212867898</v>
      </c>
      <c r="C468" s="409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3525.4531757812501</v>
      </c>
      <c r="H468" s="25">
        <f>IF(B468&lt;62,0,'Combined Retirement'!$I$14)</f>
        <v>2192</v>
      </c>
      <c r="I468" s="25">
        <f>IF(C468&lt;62,0,'Combined Retirement'!$I$13)</f>
        <v>2420</v>
      </c>
      <c r="J468" s="25">
        <f t="shared" si="263"/>
        <v>6404.7404596389215</v>
      </c>
      <c r="K468" s="25">
        <f t="shared" si="264"/>
        <v>16520.094745597391</v>
      </c>
      <c r="L468" s="25"/>
      <c r="N468" s="25">
        <f>'Combined Retirement'!$C$18/12</f>
        <v>33932.660666666663</v>
      </c>
      <c r="O468" s="25">
        <f t="shared" si="265"/>
        <v>11007.82546143035</v>
      </c>
      <c r="P468" s="25">
        <f t="shared" si="266"/>
        <v>22924.835205236312</v>
      </c>
      <c r="Q468" s="25">
        <f t="array" aca="1" ref="Q468" ca="1">INDEX('Isaac 401k'!L:L,MATCH('Retirement Calculator'!A468,'Isaac 401k'!N:N,0),0)</f>
        <v>4153066.2455833321</v>
      </c>
      <c r="R468" s="25">
        <f t="array" aca="1" ref="R468" ca="1">INDEX('Lorri 401b'!L:L,MATCH('Retirement Calculator'!A468,'Lorri 401b'!N:N,0),0)</f>
        <v>5446082.0291854953</v>
      </c>
      <c r="S468" s="25">
        <f t="shared" ca="1" si="267"/>
        <v>9599148.2747688275</v>
      </c>
    </row>
    <row r="469" spans="1:19" ht="15.75" customHeight="1" x14ac:dyDescent="0.3">
      <c r="A469" s="37">
        <v>65228</v>
      </c>
      <c r="B469" s="409">
        <f t="shared" ref="B469:C469" si="470">($A469-B$9)/365.25</f>
        <v>96.706365503080079</v>
      </c>
      <c r="C469" s="409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3525.4531757812501</v>
      </c>
      <c r="H469" s="25">
        <f>IF(B469&lt;62,0,'Combined Retirement'!$I$14)</f>
        <v>2192</v>
      </c>
      <c r="I469" s="25">
        <f>IF(C469&lt;62,0,'Combined Retirement'!$I$13)</f>
        <v>2420</v>
      </c>
      <c r="J469" s="25">
        <f t="shared" si="263"/>
        <v>6404.7404596389215</v>
      </c>
      <c r="K469" s="25">
        <f t="shared" si="264"/>
        <v>16520.094745597391</v>
      </c>
      <c r="L469" s="25"/>
      <c r="N469" s="25">
        <f>'Combined Retirement'!$C$18/12</f>
        <v>33932.660666666663</v>
      </c>
      <c r="O469" s="25">
        <f t="shared" si="265"/>
        <v>11007.82546143035</v>
      </c>
      <c r="P469" s="25">
        <f t="shared" si="266"/>
        <v>22924.835205236312</v>
      </c>
      <c r="Q469" s="25">
        <f t="array" aca="1" ref="Q469" ca="1">INDEX('Isaac 401k'!L:L,MATCH('Retirement Calculator'!A469,'Isaac 401k'!N:N,0),0)</f>
        <v>4163939.2613950418</v>
      </c>
      <c r="R469" s="25">
        <f t="array" aca="1" ref="R469" ca="1">INDEX('Lorri 401b'!L:L,MATCH('Retirement Calculator'!A469,'Lorri 401b'!N:N,0),0)</f>
        <v>5452185.1091667302</v>
      </c>
      <c r="S469" s="25">
        <f t="shared" ca="1" si="267"/>
        <v>9616124.3705617711</v>
      </c>
    </row>
    <row r="470" spans="1:19" ht="15.75" customHeight="1" x14ac:dyDescent="0.3">
      <c r="A470" s="37">
        <v>65259</v>
      </c>
      <c r="B470" s="409">
        <f t="shared" ref="B470:C470" si="471">($A470-B$9)/365.25</f>
        <v>96.791238877481177</v>
      </c>
      <c r="C470" s="409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3525.4531757812501</v>
      </c>
      <c r="H470" s="25">
        <f>IF(B470&lt;62,0,'Combined Retirement'!$I$14)</f>
        <v>2192</v>
      </c>
      <c r="I470" s="25">
        <f>IF(C470&lt;62,0,'Combined Retirement'!$I$13)</f>
        <v>2420</v>
      </c>
      <c r="J470" s="25">
        <f t="shared" si="263"/>
        <v>6404.7404596389215</v>
      </c>
      <c r="K470" s="25">
        <f t="shared" si="264"/>
        <v>16520.094745597391</v>
      </c>
      <c r="L470" s="25"/>
      <c r="N470" s="25">
        <f>'Combined Retirement'!$C$18/12</f>
        <v>33932.660666666663</v>
      </c>
      <c r="O470" s="25">
        <f t="shared" si="265"/>
        <v>11007.82546143035</v>
      </c>
      <c r="P470" s="25">
        <f t="shared" si="266"/>
        <v>22924.835205236312</v>
      </c>
      <c r="Q470" s="25">
        <f t="array" aca="1" ref="Q470" ca="1">INDEX('Isaac 401k'!L:L,MATCH('Retirement Calculator'!A470,'Isaac 401k'!N:N,0),0)</f>
        <v>4174857.5814393004</v>
      </c>
      <c r="R470" s="25">
        <f t="array" aca="1" ref="R470" ca="1">INDEX('Lorri 401b'!L:L,MATCH('Retirement Calculator'!A470,'Lorri 401b'!N:N,0),0)</f>
        <v>5458313.6186478874</v>
      </c>
      <c r="S470" s="25">
        <f t="shared" ca="1" si="267"/>
        <v>9633171.2000871878</v>
      </c>
    </row>
    <row r="471" spans="1:19" ht="15.75" customHeight="1" x14ac:dyDescent="0.3">
      <c r="A471" s="37">
        <v>65289</v>
      </c>
      <c r="B471" s="409">
        <f t="shared" ref="B471:C471" si="472">($A471-B$9)/365.25</f>
        <v>96.873374401095134</v>
      </c>
      <c r="C471" s="409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3525.4531757812501</v>
      </c>
      <c r="H471" s="25">
        <f>IF(B471&lt;62,0,'Combined Retirement'!$I$14)</f>
        <v>2192</v>
      </c>
      <c r="I471" s="25">
        <f>IF(C471&lt;62,0,'Combined Retirement'!$I$13)</f>
        <v>2420</v>
      </c>
      <c r="J471" s="25">
        <f t="shared" si="263"/>
        <v>6404.7404596389215</v>
      </c>
      <c r="K471" s="25">
        <f t="shared" si="264"/>
        <v>16520.094745597391</v>
      </c>
      <c r="L471" s="25"/>
      <c r="N471" s="25">
        <f>'Combined Retirement'!$C$18/12</f>
        <v>33932.660666666663</v>
      </c>
      <c r="O471" s="25">
        <f t="shared" si="265"/>
        <v>11007.82546143035</v>
      </c>
      <c r="P471" s="25">
        <f t="shared" si="266"/>
        <v>22924.835205236312</v>
      </c>
      <c r="Q471" s="25">
        <f t="array" aca="1" ref="Q471" ca="1">INDEX('Isaac 401k'!L:L,MATCH('Retirement Calculator'!A471,'Isaac 401k'!N:N,0),0)</f>
        <v>4185821.3944837432</v>
      </c>
      <c r="R471" s="25">
        <f t="array" aca="1" ref="R471" ca="1">INDEX('Lorri 401b'!L:L,MATCH('Retirement Calculator'!A471,'Lorri 401b'!N:N,0),0)</f>
        <v>5464467.6635852158</v>
      </c>
      <c r="S471" s="25">
        <f t="shared" ca="1" si="267"/>
        <v>9650289.058068959</v>
      </c>
    </row>
    <row r="472" spans="1:19" ht="15.75" customHeight="1" x14ac:dyDescent="0.3">
      <c r="A472" s="37">
        <v>65320</v>
      </c>
      <c r="B472" s="409">
        <f t="shared" ref="B472:C472" si="473">($A472-B$9)/365.25</f>
        <v>96.958247775496233</v>
      </c>
      <c r="C472" s="409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3525.4531757812501</v>
      </c>
      <c r="H472" s="25">
        <f>IF(B472&lt;62,0,'Combined Retirement'!$I$14)</f>
        <v>2192</v>
      </c>
      <c r="I472" s="25">
        <f>IF(C472&lt;62,0,'Combined Retirement'!$I$13)</f>
        <v>2420</v>
      </c>
      <c r="J472" s="25">
        <f t="shared" si="263"/>
        <v>6404.7404596389215</v>
      </c>
      <c r="K472" s="25">
        <f t="shared" si="264"/>
        <v>16520.094745597391</v>
      </c>
      <c r="L472" s="25"/>
      <c r="N472" s="25">
        <f>'Combined Retirement'!$C$18/12</f>
        <v>33932.660666666663</v>
      </c>
      <c r="O472" s="25">
        <f t="shared" si="265"/>
        <v>11007.82546143035</v>
      </c>
      <c r="P472" s="25">
        <f t="shared" si="266"/>
        <v>22924.835205236312</v>
      </c>
      <c r="Q472" s="25">
        <f t="array" aca="1" ref="Q472" ca="1">INDEX('Isaac 401k'!L:L,MATCH('Retirement Calculator'!A472,'Isaac 401k'!N:N,0),0)</f>
        <v>4196830.8900825381</v>
      </c>
      <c r="R472" s="25">
        <f t="array" aca="1" ref="R472" ca="1">INDEX('Lorri 401b'!L:L,MATCH('Retirement Calculator'!A472,'Lorri 401b'!N:N,0),0)</f>
        <v>5470647.3503764495</v>
      </c>
      <c r="S472" s="25">
        <f t="shared" ca="1" si="267"/>
        <v>9667478.2404589877</v>
      </c>
    </row>
    <row r="473" spans="1:19" ht="15.75" customHeight="1" x14ac:dyDescent="0.3">
      <c r="A473" s="37">
        <v>65350</v>
      </c>
      <c r="B473" s="409">
        <f t="shared" ref="B473:C473" si="474">($A473-B$9)/365.25</f>
        <v>97.040383299110204</v>
      </c>
      <c r="C473" s="409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3525.4531757812501</v>
      </c>
      <c r="H473" s="25">
        <f>IF(B473&lt;62,0,'Combined Retirement'!$I$14)</f>
        <v>2192</v>
      </c>
      <c r="I473" s="25">
        <f>IF(C473&lt;62,0,'Combined Retirement'!$I$13)</f>
        <v>2420</v>
      </c>
      <c r="J473" s="25">
        <f t="shared" si="263"/>
        <v>6404.7404596389215</v>
      </c>
      <c r="K473" s="25">
        <f t="shared" si="264"/>
        <v>16520.094745597391</v>
      </c>
      <c r="L473" s="25"/>
      <c r="N473" s="25">
        <f>'Combined Retirement'!$C$18/12</f>
        <v>33932.660666666663</v>
      </c>
      <c r="O473" s="25">
        <f t="shared" si="265"/>
        <v>11007.82546143035</v>
      </c>
      <c r="P473" s="25">
        <f t="shared" si="266"/>
        <v>22924.835205236312</v>
      </c>
      <c r="Q473" s="25">
        <f t="array" aca="1" ref="Q473" ca="1">INDEX('Isaac 401k'!L:L,MATCH('Retirement Calculator'!A473,'Isaac 401k'!N:N,0),0)</f>
        <v>4207886.2585796611</v>
      </c>
      <c r="R473" s="25">
        <f t="array" aca="1" ref="R473" ca="1">INDEX('Lorri 401b'!L:L,MATCH('Retirement Calculator'!A473,'Lorri 401b'!N:N,0),0)</f>
        <v>5476852.785862647</v>
      </c>
      <c r="S473" s="25">
        <f t="shared" ca="1" si="267"/>
        <v>9684739.0444423072</v>
      </c>
    </row>
    <row r="474" spans="1:19" ht="15.75" customHeight="1" x14ac:dyDescent="0.3">
      <c r="A474" s="37">
        <v>65381</v>
      </c>
      <c r="B474" s="409">
        <f t="shared" ref="B474:C474" si="475">($A474-B$9)/365.25</f>
        <v>97.125256673511288</v>
      </c>
      <c r="C474" s="409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3525.4531757812501</v>
      </c>
      <c r="H474" s="25">
        <f>IF(B474&lt;62,0,'Combined Retirement'!$I$14)</f>
        <v>2192</v>
      </c>
      <c r="I474" s="25">
        <f>IF(C474&lt;62,0,'Combined Retirement'!$I$13)</f>
        <v>2420</v>
      </c>
      <c r="J474" s="25">
        <f t="shared" si="263"/>
        <v>6404.7404596389215</v>
      </c>
      <c r="K474" s="25">
        <f t="shared" si="264"/>
        <v>16520.094745597391</v>
      </c>
      <c r="L474" s="25"/>
      <c r="N474" s="25">
        <f>'Combined Retirement'!$C$18/12</f>
        <v>33932.660666666663</v>
      </c>
      <c r="O474" s="25">
        <f t="shared" si="265"/>
        <v>11007.82546143035</v>
      </c>
      <c r="P474" s="25">
        <f t="shared" si="266"/>
        <v>22924.835205236312</v>
      </c>
      <c r="Q474" s="25">
        <f t="array" aca="1" ref="Q474" ca="1">INDEX('Isaac 401k'!L:L,MATCH('Retirement Calculator'!A474,'Isaac 401k'!N:N,0),0)</f>
        <v>4218987.6911121896</v>
      </c>
      <c r="R474" s="25">
        <f t="array" aca="1" ref="R474" ca="1">INDEX('Lorri 401b'!L:L,MATCH('Retirement Calculator'!A474,'Lorri 401b'!N:N,0),0)</f>
        <v>5483084.077330037</v>
      </c>
      <c r="S474" s="25">
        <f t="shared" ca="1" si="267"/>
        <v>9702071.7684422266</v>
      </c>
    </row>
    <row r="475" spans="1:19" ht="15.75" customHeight="1" x14ac:dyDescent="0.3">
      <c r="A475" s="37">
        <v>65412</v>
      </c>
      <c r="B475" s="409">
        <f t="shared" ref="B475:C475" si="476">($A475-B$9)/365.25</f>
        <v>97.210130047912386</v>
      </c>
      <c r="C475" s="409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3525.4531757812501</v>
      </c>
      <c r="H475" s="25">
        <f>IF(B475&lt;62,0,'Combined Retirement'!$I$14)</f>
        <v>2192</v>
      </c>
      <c r="I475" s="25">
        <f>IF(C475&lt;62,0,'Combined Retirement'!$I$13)</f>
        <v>2420</v>
      </c>
      <c r="J475" s="25">
        <f t="shared" si="263"/>
        <v>6404.7404596389215</v>
      </c>
      <c r="K475" s="25">
        <f t="shared" si="264"/>
        <v>16520.094745597391</v>
      </c>
      <c r="L475" s="25"/>
      <c r="N475" s="25">
        <f>'Combined Retirement'!$C$18/12</f>
        <v>33932.660666666663</v>
      </c>
      <c r="O475" s="25">
        <f t="shared" si="265"/>
        <v>11007.82546143035</v>
      </c>
      <c r="P475" s="25">
        <f t="shared" si="266"/>
        <v>22924.835205236312</v>
      </c>
      <c r="Q475" s="25">
        <f t="array" aca="1" ref="Q475" ca="1">INDEX('Isaac 401k'!L:L,MATCH('Retirement Calculator'!A475,'Isaac 401k'!N:N,0),0)</f>
        <v>4230135.3796136035</v>
      </c>
      <c r="R475" s="25">
        <f t="array" aca="1" ref="R475" ca="1">INDEX('Lorri 401b'!L:L,MATCH('Retirement Calculator'!A475,'Lorri 401b'!N:N,0),0)</f>
        <v>5489341.3325118739</v>
      </c>
      <c r="S475" s="25">
        <f t="shared" ca="1" si="267"/>
        <v>9719476.7121254764</v>
      </c>
    </row>
    <row r="476" spans="1:19" ht="15.75" customHeight="1" x14ac:dyDescent="0.3">
      <c r="A476" s="37">
        <v>65440</v>
      </c>
      <c r="B476" s="409">
        <f t="shared" ref="B476:C476" si="477">($A476-B$9)/365.25</f>
        <v>97.286789869952088</v>
      </c>
      <c r="C476" s="409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3525.4531757812501</v>
      </c>
      <c r="H476" s="25">
        <f>IF(B476&lt;62,0,'Combined Retirement'!$I$14)</f>
        <v>2192</v>
      </c>
      <c r="I476" s="25">
        <f>IF(C476&lt;62,0,'Combined Retirement'!$I$13)</f>
        <v>2420</v>
      </c>
      <c r="J476" s="25">
        <f t="shared" si="263"/>
        <v>6404.7404596389215</v>
      </c>
      <c r="K476" s="25">
        <f t="shared" si="264"/>
        <v>16520.094745597391</v>
      </c>
      <c r="L476" s="25"/>
      <c r="N476" s="25">
        <f>'Combined Retirement'!$C$18/12</f>
        <v>33932.660666666663</v>
      </c>
      <c r="O476" s="25">
        <f t="shared" si="265"/>
        <v>11007.82546143035</v>
      </c>
      <c r="P476" s="25">
        <f t="shared" si="266"/>
        <v>22924.835205236312</v>
      </c>
      <c r="Q476" s="25">
        <f t="array" aca="1" ref="Q476" ca="1">INDEX('Isaac 401k'!L:L,MATCH('Retirement Calculator'!A476,'Isaac 401k'!N:N,0),0)</f>
        <v>4241329.5168171059</v>
      </c>
      <c r="R476" s="25">
        <f t="array" aca="1" ref="R476" ca="1">INDEX('Lorri 401b'!L:L,MATCH('Retirement Calculator'!A476,'Lorri 401b'!N:N,0),0)</f>
        <v>5495624.659590302</v>
      </c>
      <c r="S476" s="25">
        <f t="shared" ca="1" si="267"/>
        <v>9736954.176407408</v>
      </c>
    </row>
    <row r="477" spans="1:19" ht="15.75" customHeight="1" x14ac:dyDescent="0.3">
      <c r="A477" s="37">
        <v>65471</v>
      </c>
      <c r="B477" s="409">
        <f t="shared" ref="B477:C477" si="478">($A477-B$9)/365.25</f>
        <v>97.371663244353186</v>
      </c>
      <c r="C477" s="409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3525.4531757812501</v>
      </c>
      <c r="H477" s="25">
        <f>IF(B477&lt;62,0,'Combined Retirement'!$I$14)</f>
        <v>2192</v>
      </c>
      <c r="I477" s="25">
        <f>IF(C477&lt;62,0,'Combined Retirement'!$I$13)</f>
        <v>2420</v>
      </c>
      <c r="J477" s="25">
        <f t="shared" si="263"/>
        <v>6404.7404596389215</v>
      </c>
      <c r="K477" s="25">
        <f t="shared" si="264"/>
        <v>16520.094745597391</v>
      </c>
      <c r="L477" s="25"/>
      <c r="N477" s="25">
        <f>'Combined Retirement'!$C$18/12</f>
        <v>33932.660666666663</v>
      </c>
      <c r="O477" s="25">
        <f t="shared" si="265"/>
        <v>11007.82546143035</v>
      </c>
      <c r="P477" s="25">
        <f t="shared" si="266"/>
        <v>22924.835205236312</v>
      </c>
      <c r="Q477" s="25">
        <f t="array" aca="1" ref="Q477" ca="1">INDEX('Isaac 401k'!L:L,MATCH('Retirement Calculator'!A477,'Isaac 401k'!N:N,0),0)</f>
        <v>4252570.2962589571</v>
      </c>
      <c r="R477" s="25">
        <f t="array" aca="1" ref="R477" ca="1">INDEX('Lorri 401b'!L:L,MATCH('Retirement Calculator'!A477,'Lorri 401b'!N:N,0),0)</f>
        <v>5501934.167198224</v>
      </c>
      <c r="S477" s="25">
        <f t="shared" ca="1" si="267"/>
        <v>9754504.463457182</v>
      </c>
    </row>
    <row r="478" spans="1:19" ht="15.75" customHeight="1" x14ac:dyDescent="0.3">
      <c r="A478" s="37">
        <v>65501</v>
      </c>
      <c r="B478" s="409">
        <f t="shared" ref="B478:C478" si="479">($A478-B$9)/365.25</f>
        <v>97.453798767967143</v>
      </c>
      <c r="C478" s="409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3525.4531757812501</v>
      </c>
      <c r="H478" s="25">
        <f>IF(B478&lt;62,0,'Combined Retirement'!$I$14)</f>
        <v>2192</v>
      </c>
      <c r="I478" s="25">
        <f>IF(C478&lt;62,0,'Combined Retirement'!$I$13)</f>
        <v>2420</v>
      </c>
      <c r="J478" s="25">
        <f t="shared" si="263"/>
        <v>6404.7404596389215</v>
      </c>
      <c r="K478" s="25">
        <f t="shared" si="264"/>
        <v>16520.094745597391</v>
      </c>
      <c r="L478" s="25"/>
      <c r="N478" s="25">
        <f>'Combined Retirement'!$C$18/12</f>
        <v>33932.660666666663</v>
      </c>
      <c r="O478" s="25">
        <f t="shared" si="265"/>
        <v>11007.82546143035</v>
      </c>
      <c r="P478" s="25">
        <f t="shared" si="266"/>
        <v>22924.835205236312</v>
      </c>
      <c r="Q478" s="25">
        <f t="array" aca="1" ref="Q478" ca="1">INDEX('Isaac 401k'!L:L,MATCH('Retirement Calculator'!A478,'Isaac 401k'!N:N,0),0)</f>
        <v>4263857.9122818159</v>
      </c>
      <c r="R478" s="25">
        <f t="array" aca="1" ref="R478" ca="1">INDEX('Lorri 401b'!L:L,MATCH('Retirement Calculator'!A478,'Lorri 401b'!N:N,0),0)</f>
        <v>5508269.9644211791</v>
      </c>
      <c r="S478" s="25">
        <f t="shared" ca="1" si="267"/>
        <v>9772127.8767029941</v>
      </c>
    </row>
    <row r="479" spans="1:19" ht="15.75" customHeight="1" x14ac:dyDescent="0.3">
      <c r="A479" s="37">
        <v>65532</v>
      </c>
      <c r="B479" s="409">
        <f t="shared" ref="B479:C479" si="480">($A479-B$9)/365.25</f>
        <v>97.538672142368242</v>
      </c>
      <c r="C479" s="409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3525.4531757812501</v>
      </c>
      <c r="H479" s="25">
        <f>IF(B479&lt;62,0,'Combined Retirement'!$I$14)</f>
        <v>2192</v>
      </c>
      <c r="I479" s="25">
        <f>IF(C479&lt;62,0,'Combined Retirement'!$I$13)</f>
        <v>2420</v>
      </c>
      <c r="J479" s="25">
        <f t="shared" si="263"/>
        <v>6404.7404596389215</v>
      </c>
      <c r="K479" s="25">
        <f t="shared" si="264"/>
        <v>16520.094745597391</v>
      </c>
      <c r="L479" s="25"/>
      <c r="N479" s="25">
        <f>'Combined Retirement'!$C$18/12</f>
        <v>33932.660666666663</v>
      </c>
      <c r="O479" s="25">
        <f t="shared" si="265"/>
        <v>11007.82546143035</v>
      </c>
      <c r="P479" s="25">
        <f t="shared" si="266"/>
        <v>22924.835205236312</v>
      </c>
      <c r="Q479" s="25">
        <f t="array" aca="1" ref="Q479" ca="1">INDEX('Isaac 401k'!L:L,MATCH('Retirement Calculator'!A479,'Isaac 401k'!N:N,0),0)</f>
        <v>4275192.5600381028</v>
      </c>
      <c r="R479" s="25">
        <f t="array" aca="1" ref="R479" ca="1">INDEX('Lorri 401b'!L:L,MATCH('Retirement Calculator'!A479,'Lorri 401b'!N:N,0),0)</f>
        <v>5514632.1607992295</v>
      </c>
      <c r="S479" s="25">
        <f t="shared" ca="1" si="267"/>
        <v>9789824.7208373323</v>
      </c>
    </row>
    <row r="480" spans="1:19" ht="15.75" customHeight="1" x14ac:dyDescent="0.3">
      <c r="A480" s="37">
        <v>65562</v>
      </c>
      <c r="B480" s="409">
        <f t="shared" ref="B480:C480" si="481">($A480-B$9)/365.25</f>
        <v>97.620807665982198</v>
      </c>
      <c r="C480" s="409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3525.4531757812501</v>
      </c>
      <c r="H480" s="25">
        <f>IF(B480&lt;62,0,'Combined Retirement'!$I$14)</f>
        <v>2192</v>
      </c>
      <c r="I480" s="25">
        <f>IF(C480&lt;62,0,'Combined Retirement'!$I$13)</f>
        <v>2420</v>
      </c>
      <c r="J480" s="25">
        <f t="shared" si="263"/>
        <v>6404.7404596389215</v>
      </c>
      <c r="K480" s="25">
        <f t="shared" si="264"/>
        <v>16520.094745597391</v>
      </c>
      <c r="L480" s="25"/>
      <c r="N480" s="25">
        <f>'Combined Retirement'!$C$18/12</f>
        <v>33932.660666666663</v>
      </c>
      <c r="O480" s="25">
        <f t="shared" si="265"/>
        <v>11007.82546143035</v>
      </c>
      <c r="P480" s="25">
        <f t="shared" si="266"/>
        <v>22924.835205236312</v>
      </c>
      <c r="Q480" s="25">
        <f t="array" aca="1" ref="Q480" ca="1">INDEX('Isaac 401k'!L:L,MATCH('Retirement Calculator'!A480,'Isaac 401k'!N:N,0),0)</f>
        <v>4286574.4354933742</v>
      </c>
      <c r="R480" s="25">
        <f t="array" aca="1" ref="R480" ca="1">INDEX('Lorri 401b'!L:L,MATCH('Retirement Calculator'!A480,'Lorri 401b'!N:N,0),0)</f>
        <v>5521020.866328855</v>
      </c>
      <c r="S480" s="25">
        <f t="shared" ca="1" si="267"/>
        <v>9807595.3018222302</v>
      </c>
    </row>
    <row r="481" spans="1:19" ht="15.75" customHeight="1" x14ac:dyDescent="0.3">
      <c r="A481" s="37">
        <v>65593</v>
      </c>
      <c r="B481" s="409">
        <f t="shared" ref="B481:C481" si="482">($A481-B$9)/365.25</f>
        <v>97.705681040383297</v>
      </c>
      <c r="C481" s="409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3525.4531757812501</v>
      </c>
      <c r="H481" s="25">
        <f>IF(B481&lt;62,0,'Combined Retirement'!$I$14)</f>
        <v>2192</v>
      </c>
      <c r="I481" s="25">
        <f>IF(C481&lt;62,0,'Combined Retirement'!$I$13)</f>
        <v>2420</v>
      </c>
      <c r="J481" s="25">
        <f t="shared" si="263"/>
        <v>6404.7404596389215</v>
      </c>
      <c r="K481" s="25">
        <f t="shared" si="264"/>
        <v>16520.094745597391</v>
      </c>
      <c r="L481" s="25"/>
      <c r="N481" s="25">
        <f>'Combined Retirement'!$C$18/12</f>
        <v>33932.660666666663</v>
      </c>
      <c r="O481" s="25">
        <f t="shared" si="265"/>
        <v>11007.82546143035</v>
      </c>
      <c r="P481" s="25">
        <f t="shared" si="266"/>
        <v>22924.835205236312</v>
      </c>
      <c r="Q481" s="25">
        <f t="array" aca="1" ref="Q481" ca="1">INDEX('Isaac 401k'!L:L,MATCH('Retirement Calculator'!A481,'Isaac 401k'!N:N,0),0)</f>
        <v>4298003.7354297098</v>
      </c>
      <c r="R481" s="25">
        <f t="array" aca="1" ref="R481" ca="1">INDEX('Lorri 401b'!L:L,MATCH('Retirement Calculator'!A481,'Lorri 401b'!N:N,0),0)</f>
        <v>5527436.1914648544</v>
      </c>
      <c r="S481" s="25">
        <f t="shared" ca="1" si="267"/>
        <v>9825439.9268945642</v>
      </c>
    </row>
    <row r="482" spans="1:19" ht="15.75" customHeight="1" x14ac:dyDescent="0.3">
      <c r="A482" s="37">
        <v>65624</v>
      </c>
      <c r="B482" s="409">
        <f t="shared" ref="B482:C482" si="483">($A482-B$9)/365.25</f>
        <v>97.790554414784395</v>
      </c>
      <c r="C482" s="409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3525.4531757812501</v>
      </c>
      <c r="H482" s="25">
        <f>IF(B482&lt;62,0,'Combined Retirement'!$I$14)</f>
        <v>2192</v>
      </c>
      <c r="I482" s="25">
        <f>IF(C482&lt;62,0,'Combined Retirement'!$I$13)</f>
        <v>2420</v>
      </c>
      <c r="J482" s="25">
        <f t="shared" si="263"/>
        <v>6404.7404596389215</v>
      </c>
      <c r="K482" s="25">
        <f t="shared" si="264"/>
        <v>16520.094745597391</v>
      </c>
      <c r="L482" s="25"/>
      <c r="N482" s="25">
        <f>'Combined Retirement'!$C$18/12</f>
        <v>33932.660666666663</v>
      </c>
      <c r="O482" s="25">
        <f t="shared" si="265"/>
        <v>11007.82546143035</v>
      </c>
      <c r="P482" s="25">
        <f t="shared" si="266"/>
        <v>22924.835205236312</v>
      </c>
      <c r="Q482" s="25">
        <f t="array" aca="1" ref="Q482" ca="1">INDEX('Isaac 401k'!L:L,MATCH('Retirement Calculator'!A482,'Isaac 401k'!N:N,0),0)</f>
        <v>4309480.6574491132</v>
      </c>
      <c r="R482" s="25">
        <f t="array" aca="1" ref="R482" ca="1">INDEX('Lorri 401b'!L:L,MATCH('Retirement Calculator'!A482,'Lorri 401b'!N:N,0),0)</f>
        <v>5533878.2471222533</v>
      </c>
      <c r="S482" s="25">
        <f t="shared" ca="1" si="267"/>
        <v>9843358.9045713656</v>
      </c>
    </row>
    <row r="483" spans="1:19" ht="15.75" customHeight="1" x14ac:dyDescent="0.3">
      <c r="A483" s="37">
        <v>65654</v>
      </c>
      <c r="B483" s="409">
        <f t="shared" ref="B483:C483" si="484">($A483-B$9)/365.25</f>
        <v>97.872689938398352</v>
      </c>
      <c r="C483" s="409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3525.4531757812501</v>
      </c>
      <c r="H483" s="25">
        <f>IF(B483&lt;62,0,'Combined Retirement'!$I$14)</f>
        <v>2192</v>
      </c>
      <c r="I483" s="25">
        <f>IF(C483&lt;62,0,'Combined Retirement'!$I$13)</f>
        <v>2420</v>
      </c>
      <c r="J483" s="25">
        <f t="shared" si="263"/>
        <v>6404.7404596389215</v>
      </c>
      <c r="K483" s="25">
        <f t="shared" si="264"/>
        <v>16520.094745597391</v>
      </c>
      <c r="L483" s="25"/>
      <c r="N483" s="25">
        <f>'Combined Retirement'!$C$18/12</f>
        <v>33932.660666666663</v>
      </c>
      <c r="O483" s="25">
        <f t="shared" si="265"/>
        <v>11007.82546143035</v>
      </c>
      <c r="P483" s="25">
        <f t="shared" si="266"/>
        <v>22924.835205236312</v>
      </c>
      <c r="Q483" s="25">
        <f t="array" aca="1" ref="Q483" ca="1">INDEX('Isaac 401k'!L:L,MATCH('Retirement Calculator'!A483,'Isaac 401k'!N:N,0),0)</f>
        <v>4321005.3999769306</v>
      </c>
      <c r="R483" s="25">
        <f t="array" aca="1" ref="R483" ca="1">INDEX('Lorri 401b'!L:L,MATCH('Retirement Calculator'!A483,'Lorri 401b'!N:N,0),0)</f>
        <v>5540347.1446782248</v>
      </c>
      <c r="S483" s="25">
        <f t="shared" ca="1" si="267"/>
        <v>9861352.5446551554</v>
      </c>
    </row>
    <row r="484" spans="1:19" ht="15.75" customHeight="1" x14ac:dyDescent="0.3">
      <c r="A484" s="37">
        <v>65685</v>
      </c>
      <c r="B484" s="409">
        <f t="shared" ref="B484:C484" si="485">($A484-B$9)/365.25</f>
        <v>97.957563312799451</v>
      </c>
      <c r="C484" s="409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3525.4531757812501</v>
      </c>
      <c r="H484" s="25">
        <f>IF(B484&lt;62,0,'Combined Retirement'!$I$14)</f>
        <v>2192</v>
      </c>
      <c r="I484" s="25">
        <f>IF(C484&lt;62,0,'Combined Retirement'!$I$13)</f>
        <v>2420</v>
      </c>
      <c r="J484" s="25">
        <f t="shared" si="263"/>
        <v>6404.7404596389215</v>
      </c>
      <c r="K484" s="25">
        <f t="shared" si="264"/>
        <v>16520.094745597391</v>
      </c>
      <c r="L484" s="25"/>
      <c r="N484" s="25">
        <f>'Combined Retirement'!$C$18/12</f>
        <v>33932.660666666663</v>
      </c>
      <c r="O484" s="25">
        <f t="shared" si="265"/>
        <v>11007.82546143035</v>
      </c>
      <c r="P484" s="25">
        <f t="shared" si="266"/>
        <v>22924.835205236312</v>
      </c>
      <c r="Q484" s="25">
        <f t="array" aca="1" ref="Q484" ca="1">INDEX('Isaac 401k'!L:L,MATCH('Retirement Calculator'!A484,'Isaac 401k'!N:N,0),0)</f>
        <v>4332578.1622652803</v>
      </c>
      <c r="R484" s="25">
        <f t="array" aca="1" ref="R484" ca="1">INDEX('Lorri 401b'!L:L,MATCH('Retirement Calculator'!A484,'Lorri 401b'!N:N,0),0)</f>
        <v>5546842.9959740127</v>
      </c>
      <c r="S484" s="25">
        <f t="shared" ca="1" si="267"/>
        <v>9879421.1582392938</v>
      </c>
    </row>
    <row r="485" spans="1:19" ht="15.75" customHeight="1" x14ac:dyDescent="0.3">
      <c r="A485" s="37">
        <v>65715</v>
      </c>
      <c r="B485" s="409">
        <f t="shared" ref="B485:C485" si="486">($A485-B$9)/365.25</f>
        <v>98.039698836413422</v>
      </c>
      <c r="C485" s="409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3525.4531757812501</v>
      </c>
      <c r="H485" s="25">
        <f>IF(B485&lt;62,0,'Combined Retirement'!$I$14)</f>
        <v>2192</v>
      </c>
      <c r="I485" s="25">
        <f>IF(C485&lt;62,0,'Combined Retirement'!$I$13)</f>
        <v>2420</v>
      </c>
      <c r="J485" s="25">
        <f t="shared" si="263"/>
        <v>6404.7404596389215</v>
      </c>
      <c r="K485" s="25">
        <f t="shared" si="264"/>
        <v>16520.094745597391</v>
      </c>
      <c r="L485" s="25"/>
      <c r="N485" s="25">
        <f>'Combined Retirement'!$C$18/12</f>
        <v>33932.660666666663</v>
      </c>
      <c r="O485" s="25">
        <f t="shared" si="265"/>
        <v>11007.82546143035</v>
      </c>
      <c r="P485" s="25">
        <f t="shared" si="266"/>
        <v>22924.835205236312</v>
      </c>
      <c r="Q485" s="25">
        <f t="array" aca="1" ref="Q485" ca="1">INDEX('Isaac 401k'!L:L,MATCH('Retirement Calculator'!A485,'Isaac 401k'!N:N,0),0)</f>
        <v>4344199.1443964988</v>
      </c>
      <c r="R485" s="25">
        <f t="array" aca="1" ref="R485" ca="1">INDEX('Lorri 401b'!L:L,MATCH('Retirement Calculator'!A485,'Lorri 401b'!N:N,0),0)</f>
        <v>5553365.9133168664</v>
      </c>
      <c r="S485" s="25">
        <f t="shared" ca="1" si="267"/>
        <v>9897565.0577133652</v>
      </c>
    </row>
    <row r="486" spans="1:19" ht="15.75" customHeight="1" x14ac:dyDescent="0.3">
      <c r="A486" s="37">
        <v>65746</v>
      </c>
      <c r="B486" s="409">
        <f t="shared" ref="B486:C486" si="487">($A486-B$9)/365.25</f>
        <v>98.124572210814506</v>
      </c>
      <c r="C486" s="409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3525.4531757812501</v>
      </c>
      <c r="H486" s="25">
        <f>IF(B486&lt;62,0,'Combined Retirement'!$I$14)</f>
        <v>2192</v>
      </c>
      <c r="I486" s="25">
        <f>IF(C486&lt;62,0,'Combined Retirement'!$I$13)</f>
        <v>2420</v>
      </c>
      <c r="J486" s="25">
        <f t="shared" si="263"/>
        <v>6404.7404596389215</v>
      </c>
      <c r="K486" s="25">
        <f t="shared" si="264"/>
        <v>16520.094745597391</v>
      </c>
      <c r="L486" s="25"/>
      <c r="N486" s="25">
        <f>'Combined Retirement'!$C$18/12</f>
        <v>33932.660666666663</v>
      </c>
      <c r="O486" s="25">
        <f t="shared" si="265"/>
        <v>11007.82546143035</v>
      </c>
      <c r="P486" s="25">
        <f t="shared" si="266"/>
        <v>22924.835205236312</v>
      </c>
      <c r="Q486" s="25">
        <f t="array" aca="1" ref="Q486" ca="1">INDEX('Isaac 401k'!L:L,MATCH('Retirement Calculator'!A486,'Isaac 401k'!N:N,0),0)</f>
        <v>4355868.5472865971</v>
      </c>
      <c r="R486" s="25">
        <f t="array" aca="1" ref="R486" ca="1">INDEX('Lorri 401b'!L:L,MATCH('Retirement Calculator'!A486,'Lorri 401b'!N:N,0),0)</f>
        <v>5559916.0094819823</v>
      </c>
      <c r="S486" s="25">
        <f t="shared" ca="1" si="267"/>
        <v>9915784.5567685794</v>
      </c>
    </row>
    <row r="487" spans="1:19" ht="15.75" customHeight="1" x14ac:dyDescent="0.3">
      <c r="A487" s="37">
        <v>65777</v>
      </c>
      <c r="B487" s="409">
        <f t="shared" ref="B487:C487" si="488">($A487-B$9)/365.25</f>
        <v>98.209445585215605</v>
      </c>
      <c r="C487" s="409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3525.4531757812501</v>
      </c>
      <c r="H487" s="25">
        <f>IF(B487&lt;62,0,'Combined Retirement'!$I$14)</f>
        <v>2192</v>
      </c>
      <c r="I487" s="25">
        <f>IF(C487&lt;62,0,'Combined Retirement'!$I$13)</f>
        <v>2420</v>
      </c>
      <c r="J487" s="25">
        <f t="shared" si="263"/>
        <v>6404.7404596389215</v>
      </c>
      <c r="K487" s="25">
        <f t="shared" si="264"/>
        <v>16520.094745597391</v>
      </c>
      <c r="L487" s="25"/>
      <c r="N487" s="25">
        <f>'Combined Retirement'!$C$18/12</f>
        <v>33932.660666666663</v>
      </c>
      <c r="O487" s="25">
        <f t="shared" si="265"/>
        <v>11007.82546143035</v>
      </c>
      <c r="P487" s="25">
        <f t="shared" si="266"/>
        <v>22924.835205236312</v>
      </c>
      <c r="Q487" s="25">
        <f t="array" aca="1" ref="Q487" ca="1">INDEX('Isaac 401k'!L:L,MATCH('Retirement Calculator'!A487,'Isaac 401k'!N:N,0),0)</f>
        <v>4367586.5726887379</v>
      </c>
      <c r="R487" s="25">
        <f t="array" aca="1" ref="R487" ca="1">INDEX('Lorri 401b'!L:L,MATCH('Retirement Calculator'!A487,'Lorri 401b'!N:N,0),0)</f>
        <v>5566493.3977144528</v>
      </c>
      <c r="S487" s="25">
        <f t="shared" ca="1" si="267"/>
        <v>9934079.9704031907</v>
      </c>
    </row>
    <row r="488" spans="1:19" ht="15.75" customHeight="1" x14ac:dyDescent="0.3">
      <c r="A488" s="37">
        <v>65806</v>
      </c>
      <c r="B488" s="409">
        <f t="shared" ref="B488:C488" si="489">($A488-B$9)/365.25</f>
        <v>98.288843258042434</v>
      </c>
      <c r="C488" s="409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3525.4531757812501</v>
      </c>
      <c r="H488" s="25">
        <f>IF(B488&lt;62,0,'Combined Retirement'!$I$14)</f>
        <v>2192</v>
      </c>
      <c r="I488" s="25">
        <f>IF(C488&lt;62,0,'Combined Retirement'!$I$13)</f>
        <v>2420</v>
      </c>
      <c r="J488" s="25">
        <f t="shared" si="263"/>
        <v>6404.7404596389215</v>
      </c>
      <c r="K488" s="25">
        <f t="shared" si="264"/>
        <v>16520.094745597391</v>
      </c>
      <c r="L488" s="25"/>
      <c r="N488" s="25">
        <f>'Combined Retirement'!$C$18/12</f>
        <v>33932.660666666663</v>
      </c>
      <c r="O488" s="25">
        <f t="shared" si="265"/>
        <v>11007.82546143035</v>
      </c>
      <c r="P488" s="25">
        <f t="shared" si="266"/>
        <v>22924.835205236312</v>
      </c>
      <c r="Q488" s="25">
        <f t="array" aca="1" ref="Q488" ca="1">INDEX('Isaac 401k'!L:L,MATCH('Retirement Calculator'!A488,'Isaac 401k'!N:N,0),0)</f>
        <v>4379353.4231967209</v>
      </c>
      <c r="R488" s="25">
        <f t="array" aca="1" ref="R488" ca="1">INDEX('Lorri 401b'!L:L,MATCH('Retirement Calculator'!A488,'Lorri 401b'!N:N,0),0)</f>
        <v>5573098.1917312257</v>
      </c>
      <c r="S488" s="25">
        <f t="shared" ca="1" si="267"/>
        <v>9952451.6149279475</v>
      </c>
    </row>
    <row r="489" spans="1:19" ht="15.75" customHeight="1" x14ac:dyDescent="0.3">
      <c r="A489" s="37">
        <v>65837</v>
      </c>
      <c r="B489" s="409">
        <f t="shared" ref="B489:C489" si="490">($A489-B$9)/365.25</f>
        <v>98.373716632443532</v>
      </c>
      <c r="C489" s="409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3525.4531757812501</v>
      </c>
      <c r="H489" s="25">
        <f>IF(B489&lt;62,0,'Combined Retirement'!$I$14)</f>
        <v>2192</v>
      </c>
      <c r="I489" s="25">
        <f>IF(C489&lt;62,0,'Combined Retirement'!$I$13)</f>
        <v>2420</v>
      </c>
      <c r="J489" s="25">
        <f t="shared" si="263"/>
        <v>6404.7404596389215</v>
      </c>
      <c r="K489" s="25">
        <f t="shared" si="264"/>
        <v>16520.094745597391</v>
      </c>
      <c r="L489" s="25"/>
      <c r="N489" s="25">
        <f>'Combined Retirement'!$C$18/12</f>
        <v>33932.660666666663</v>
      </c>
      <c r="O489" s="25">
        <f t="shared" si="265"/>
        <v>11007.82546143035</v>
      </c>
      <c r="P489" s="25">
        <f t="shared" si="266"/>
        <v>22924.835205236312</v>
      </c>
      <c r="Q489" s="25">
        <f t="array" aca="1" ref="Q489" ca="1">INDEX('Isaac 401k'!L:L,MATCH('Retirement Calculator'!A489,'Isaac 401k'!N:N,0),0)</f>
        <v>4391169.3022484863</v>
      </c>
      <c r="R489" s="25">
        <f t="array" aca="1" ref="R489" ca="1">INDEX('Lorri 401b'!L:L,MATCH('Retirement Calculator'!A489,'Lorri 401b'!N:N,0),0)</f>
        <v>5579730.5057230676</v>
      </c>
      <c r="S489" s="25">
        <f t="shared" ca="1" si="267"/>
        <v>9970899.8079715539</v>
      </c>
    </row>
    <row r="490" spans="1:19" ht="15.75" customHeight="1" x14ac:dyDescent="0.3">
      <c r="A490" s="37">
        <v>65867</v>
      </c>
      <c r="B490" s="409">
        <f t="shared" ref="B490:C490" si="491">($A490-B$9)/365.25</f>
        <v>98.455852156057489</v>
      </c>
      <c r="C490" s="409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3525.4531757812501</v>
      </c>
      <c r="H490" s="25">
        <f>IF(B490&lt;62,0,'Combined Retirement'!$I$14)</f>
        <v>2192</v>
      </c>
      <c r="I490" s="25">
        <f>IF(C490&lt;62,0,'Combined Retirement'!$I$13)</f>
        <v>2420</v>
      </c>
      <c r="J490" s="25">
        <f t="shared" si="263"/>
        <v>6404.7404596389215</v>
      </c>
      <c r="K490" s="25">
        <f t="shared" si="264"/>
        <v>16520.094745597391</v>
      </c>
      <c r="L490" s="25"/>
      <c r="N490" s="25">
        <f>'Combined Retirement'!$C$18/12</f>
        <v>33932.660666666663</v>
      </c>
      <c r="O490" s="25">
        <f t="shared" si="265"/>
        <v>11007.82546143035</v>
      </c>
      <c r="P490" s="25">
        <f t="shared" si="266"/>
        <v>22924.835205236312</v>
      </c>
      <c r="Q490" s="25">
        <f t="array" aca="1" ref="Q490" ca="1">INDEX('Isaac 401k'!L:L,MATCH('Retirement Calculator'!A490,'Isaac 401k'!N:N,0),0)</f>
        <v>4403034.4141296344</v>
      </c>
      <c r="R490" s="25">
        <f t="array" aca="1" ref="R490" ca="1">INDEX('Lorri 401b'!L:L,MATCH('Retirement Calculator'!A490,'Lorri 401b'!N:N,0),0)</f>
        <v>5586390.4543565428</v>
      </c>
      <c r="S490" s="25">
        <f t="shared" ca="1" si="267"/>
        <v>9989424.8684861772</v>
      </c>
    </row>
    <row r="491" spans="1:19" ht="15.75" customHeight="1" x14ac:dyDescent="0.3">
      <c r="A491" s="37">
        <v>65898</v>
      </c>
      <c r="B491" s="409">
        <f t="shared" ref="B491:C491" si="492">($A491-B$9)/365.25</f>
        <v>98.540725530458587</v>
      </c>
      <c r="C491" s="409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3525.4531757812501</v>
      </c>
      <c r="H491" s="25">
        <f>IF(B491&lt;62,0,'Combined Retirement'!$I$14)</f>
        <v>2192</v>
      </c>
      <c r="I491" s="25">
        <f>IF(C491&lt;62,0,'Combined Retirement'!$I$13)</f>
        <v>2420</v>
      </c>
      <c r="J491" s="25">
        <f t="shared" si="263"/>
        <v>6404.7404596389215</v>
      </c>
      <c r="K491" s="25">
        <f t="shared" si="264"/>
        <v>16520.094745597391</v>
      </c>
      <c r="L491" s="25"/>
      <c r="N491" s="25">
        <f>'Combined Retirement'!$C$18/12</f>
        <v>33932.660666666663</v>
      </c>
      <c r="O491" s="25">
        <f t="shared" si="265"/>
        <v>11007.82546143035</v>
      </c>
      <c r="P491" s="25">
        <f t="shared" si="266"/>
        <v>22924.835205236312</v>
      </c>
      <c r="Q491" s="25">
        <f t="array" aca="1" ref="Q491" ca="1">INDEX('Isaac 401k'!L:L,MATCH('Retirement Calculator'!A491,'Isaac 401k'!N:N,0),0)</f>
        <v>4414948.9639769541</v>
      </c>
      <c r="R491" s="25">
        <f t="array" aca="1" ref="R491" ca="1">INDEX('Lorri 401b'!L:L,MATCH('Retirement Calculator'!A491,'Lorri 401b'!N:N,0),0)</f>
        <v>5593078.1527759908</v>
      </c>
      <c r="S491" s="25">
        <f t="shared" ca="1" si="267"/>
        <v>10008027.116752945</v>
      </c>
    </row>
    <row r="492" spans="1:19" ht="15.75" customHeight="1" x14ac:dyDescent="0.3">
      <c r="A492" s="37">
        <v>65928</v>
      </c>
      <c r="B492" s="409">
        <f t="shared" ref="B492:C492" si="493">($A492-B$9)/365.25</f>
        <v>98.622861054072558</v>
      </c>
      <c r="C492" s="409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3525.4531757812501</v>
      </c>
      <c r="H492" s="25">
        <f>IF(B492&lt;62,0,'Combined Retirement'!$I$14)</f>
        <v>2192</v>
      </c>
      <c r="I492" s="25">
        <f>IF(C492&lt;62,0,'Combined Retirement'!$I$13)</f>
        <v>2420</v>
      </c>
      <c r="J492" s="25">
        <f t="shared" si="263"/>
        <v>6404.7404596389215</v>
      </c>
      <c r="K492" s="25">
        <f t="shared" si="264"/>
        <v>16520.094745597391</v>
      </c>
      <c r="L492" s="25"/>
      <c r="N492" s="25">
        <f>'Combined Retirement'!$C$18/12</f>
        <v>33932.660666666663</v>
      </c>
      <c r="O492" s="25">
        <f t="shared" si="265"/>
        <v>11007.82546143035</v>
      </c>
      <c r="P492" s="25">
        <f t="shared" si="266"/>
        <v>22924.835205236312</v>
      </c>
      <c r="Q492" s="25">
        <f t="array" aca="1" ref="Q492" ca="1">INDEX('Isaac 401k'!L:L,MATCH('Retirement Calculator'!A492,'Isaac 401k'!N:N,0),0)</f>
        <v>4426913.1577819707</v>
      </c>
      <c r="R492" s="25">
        <f t="array" aca="1" ref="R492" ca="1">INDEX('Lorri 401b'!L:L,MATCH('Retirement Calculator'!A492,'Lorri 401b'!N:N,0),0)</f>
        <v>5599793.7166055199</v>
      </c>
      <c r="S492" s="25">
        <f t="shared" ca="1" si="267"/>
        <v>10026706.874387491</v>
      </c>
    </row>
    <row r="493" spans="1:19" ht="15.75" customHeight="1" x14ac:dyDescent="0.3">
      <c r="A493" s="37">
        <v>65959</v>
      </c>
      <c r="B493" s="409">
        <f t="shared" ref="B493:C493" si="494">($A493-B$9)/365.25</f>
        <v>98.707734428473643</v>
      </c>
      <c r="C493" s="409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3525.4531757812501</v>
      </c>
      <c r="H493" s="25">
        <f>IF(B493&lt;62,0,'Combined Retirement'!$I$14)</f>
        <v>2192</v>
      </c>
      <c r="I493" s="25">
        <f>IF(C493&lt;62,0,'Combined Retirement'!$I$13)</f>
        <v>2420</v>
      </c>
      <c r="J493" s="25">
        <f t="shared" si="263"/>
        <v>6404.7404596389215</v>
      </c>
      <c r="K493" s="25">
        <f t="shared" si="264"/>
        <v>16520.094745597391</v>
      </c>
      <c r="L493" s="25"/>
      <c r="N493" s="25">
        <f>'Combined Retirement'!$C$18/12</f>
        <v>33932.660666666663</v>
      </c>
      <c r="O493" s="25">
        <f t="shared" si="265"/>
        <v>11007.82546143035</v>
      </c>
      <c r="P493" s="25">
        <f t="shared" si="266"/>
        <v>22924.835205236312</v>
      </c>
      <c r="Q493" s="25">
        <f t="array" aca="1" ref="Q493" ca="1">INDEX('Isaac 401k'!L:L,MATCH('Retirement Calculator'!A493,'Isaac 401k'!N:N,0),0)</f>
        <v>4438927.2023945088</v>
      </c>
      <c r="R493" s="25">
        <f t="array" aca="1" ref="R493" ca="1">INDEX('Lorri 401b'!L:L,MATCH('Retirement Calculator'!A493,'Lorri 401b'!N:N,0),0)</f>
        <v>5606537.2619510051</v>
      </c>
      <c r="S493" s="25">
        <f t="shared" ca="1" si="267"/>
        <v>10045464.464345515</v>
      </c>
    </row>
    <row r="494" spans="1:19" ht="15.75" customHeight="1" x14ac:dyDescent="0.3">
      <c r="A494" s="37">
        <v>65990</v>
      </c>
      <c r="B494" s="409">
        <f t="shared" ref="B494:C494" si="495">($A494-B$9)/365.25</f>
        <v>98.792607802874741</v>
      </c>
      <c r="C494" s="409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3525.4531757812501</v>
      </c>
      <c r="H494" s="25">
        <f>IF(B494&lt;62,0,'Combined Retirement'!$I$14)</f>
        <v>2192</v>
      </c>
      <c r="I494" s="25">
        <f>IF(C494&lt;62,0,'Combined Retirement'!$I$13)</f>
        <v>2420</v>
      </c>
      <c r="J494" s="25">
        <f t="shared" si="263"/>
        <v>6404.7404596389215</v>
      </c>
      <c r="K494" s="25">
        <f t="shared" si="264"/>
        <v>16520.094745597391</v>
      </c>
      <c r="L494" s="25"/>
      <c r="N494" s="25">
        <f>'Combined Retirement'!$C$18/12</f>
        <v>33932.660666666663</v>
      </c>
      <c r="O494" s="25">
        <f t="shared" si="265"/>
        <v>11007.82546143035</v>
      </c>
      <c r="P494" s="25">
        <f t="shared" si="266"/>
        <v>22924.835205236312</v>
      </c>
      <c r="Q494" s="25">
        <f t="array" aca="1" ref="Q494" ca="1">INDEX('Isaac 401k'!L:L,MATCH('Retirement Calculator'!A494,'Isaac 401k'!N:N,0),0)</f>
        <v>4450991.3055262649</v>
      </c>
      <c r="R494" s="25">
        <f t="array" aca="1" ref="R494" ca="1">INDEX('Lorri 401b'!L:L,MATCH('Retirement Calculator'!A494,'Lorri 401b'!N:N,0),0)</f>
        <v>5613308.9054020969</v>
      </c>
      <c r="S494" s="25">
        <f t="shared" ca="1" si="267"/>
        <v>10064300.210928362</v>
      </c>
    </row>
    <row r="495" spans="1:19" ht="15.75" customHeight="1" x14ac:dyDescent="0.3">
      <c r="A495" s="37">
        <v>66020</v>
      </c>
      <c r="B495" s="409">
        <f t="shared" ref="B495:C495" si="496">($A495-B$9)/365.25</f>
        <v>98.874743326488712</v>
      </c>
      <c r="C495" s="409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3525.4531757812501</v>
      </c>
      <c r="H495" s="25">
        <f>IF(B495&lt;62,0,'Combined Retirement'!$I$14)</f>
        <v>2192</v>
      </c>
      <c r="I495" s="25">
        <f>IF(C495&lt;62,0,'Combined Retirement'!$I$13)</f>
        <v>2420</v>
      </c>
      <c r="J495" s="25">
        <f t="shared" si="263"/>
        <v>6404.7404596389215</v>
      </c>
      <c r="K495" s="25">
        <f t="shared" si="264"/>
        <v>16520.094745597391</v>
      </c>
      <c r="L495" s="25"/>
      <c r="N495" s="25">
        <f>'Combined Retirement'!$C$18/12</f>
        <v>33932.660666666663</v>
      </c>
      <c r="O495" s="25">
        <f t="shared" si="265"/>
        <v>11007.82546143035</v>
      </c>
      <c r="P495" s="25">
        <f t="shared" si="266"/>
        <v>22924.835205236312</v>
      </c>
      <c r="Q495" s="25">
        <f t="array" aca="1" ref="Q495" ca="1">INDEX('Isaac 401k'!L:L,MATCH('Retirement Calculator'!A495,'Isaac 401k'!N:N,0),0)</f>
        <v>4463105.6757544037</v>
      </c>
      <c r="R495" s="25">
        <f t="array" aca="1" ref="R495" ca="1">INDEX('Lorri 401b'!L:L,MATCH('Retirement Calculator'!A495,'Lorri 401b'!N:N,0),0)</f>
        <v>5620108.7640342349</v>
      </c>
      <c r="S495" s="25">
        <f t="shared" ca="1" si="267"/>
        <v>10083214.43978864</v>
      </c>
    </row>
    <row r="496" spans="1:19" ht="15.75" customHeight="1" x14ac:dyDescent="0.3">
      <c r="A496" s="37">
        <v>66051</v>
      </c>
      <c r="B496" s="409">
        <f t="shared" ref="B496:C496" si="497">($A496-B$9)/365.25</f>
        <v>98.959616700889796</v>
      </c>
      <c r="C496" s="409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3525.4531757812501</v>
      </c>
      <c r="H496" s="25">
        <f>IF(B496&lt;62,0,'Combined Retirement'!$I$14)</f>
        <v>2192</v>
      </c>
      <c r="I496" s="25">
        <f>IF(C496&lt;62,0,'Combined Retirement'!$I$13)</f>
        <v>2420</v>
      </c>
      <c r="J496" s="25">
        <f t="shared" si="263"/>
        <v>6404.7404596389215</v>
      </c>
      <c r="K496" s="25">
        <f t="shared" si="264"/>
        <v>16520.094745597391</v>
      </c>
      <c r="L496" s="25"/>
      <c r="N496" s="25">
        <f>'Combined Retirement'!$C$18/12</f>
        <v>33932.660666666663</v>
      </c>
      <c r="O496" s="25">
        <f t="shared" si="265"/>
        <v>11007.82546143035</v>
      </c>
      <c r="P496" s="25">
        <f t="shared" si="266"/>
        <v>22924.835205236312</v>
      </c>
      <c r="Q496" s="25">
        <f t="array" aca="1" ref="Q496" ca="1">INDEX('Isaac 401k'!L:L,MATCH('Retirement Calculator'!A496,'Isaac 401k'!N:N,0),0)</f>
        <v>4475270.5225251596</v>
      </c>
      <c r="R496" s="25">
        <f t="array" aca="1" ref="R496" ca="1">INDEX('Lorri 401b'!L:L,MATCH('Retirement Calculator'!A496,'Lorri 401b'!N:N,0),0)</f>
        <v>5626936.9554106733</v>
      </c>
      <c r="S496" s="25">
        <f t="shared" ca="1" si="267"/>
        <v>10102207.477935832</v>
      </c>
    </row>
    <row r="497" spans="1:19" ht="15.75" customHeight="1" x14ac:dyDescent="0.3">
      <c r="A497" s="37">
        <v>66081</v>
      </c>
      <c r="B497" s="409">
        <f t="shared" ref="B497:C497" si="498">($A497-B$9)/365.25</f>
        <v>99.041752224503767</v>
      </c>
      <c r="C497" s="409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3525.4531757812501</v>
      </c>
      <c r="H497" s="25">
        <f>IF(B497&lt;62,0,'Combined Retirement'!$I$14)</f>
        <v>2192</v>
      </c>
      <c r="I497" s="25">
        <f>IF(C497&lt;62,0,'Combined Retirement'!$I$13)</f>
        <v>2420</v>
      </c>
      <c r="J497" s="25">
        <f t="shared" si="263"/>
        <v>6404.7404596389215</v>
      </c>
      <c r="K497" s="25">
        <f t="shared" si="264"/>
        <v>16520.094745597391</v>
      </c>
      <c r="L497" s="25"/>
      <c r="N497" s="25">
        <f>'Combined Retirement'!$C$18/12</f>
        <v>33932.660666666663</v>
      </c>
      <c r="O497" s="25">
        <f t="shared" si="265"/>
        <v>11007.82546143035</v>
      </c>
      <c r="P497" s="25">
        <f t="shared" si="266"/>
        <v>22924.835205236312</v>
      </c>
      <c r="Q497" s="25">
        <f t="array" aca="1" ref="Q497" ca="1">INDEX('Isaac 401k'!L:L,MATCH('Retirement Calculator'!A497,'Isaac 401k'!N:N,0),0)</f>
        <v>4487486.0561574604</v>
      </c>
      <c r="R497" s="25">
        <f t="array" aca="1" ref="R497" ca="1">INDEX('Lorri 401b'!L:L,MATCH('Retirement Calculator'!A497,'Lorri 401b'!N:N,0),0)</f>
        <v>5633793.597584513</v>
      </c>
      <c r="S497" s="25">
        <f t="shared" ca="1" si="267"/>
        <v>10121279.653741974</v>
      </c>
    </row>
    <row r="498" spans="1:19" ht="15.75" customHeight="1" x14ac:dyDescent="0.3">
      <c r="A498" s="37">
        <v>66112</v>
      </c>
      <c r="B498" s="409">
        <f t="shared" ref="B498:C498" si="499">($A498-B$9)/365.25</f>
        <v>99.126625598904866</v>
      </c>
      <c r="C498" s="409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3525.4531757812501</v>
      </c>
      <c r="H498" s="25">
        <f>IF(B498&lt;62,0,'Combined Retirement'!$I$14)</f>
        <v>2192</v>
      </c>
      <c r="I498" s="25">
        <f>IF(C498&lt;62,0,'Combined Retirement'!$I$13)</f>
        <v>2420</v>
      </c>
      <c r="J498" s="25">
        <f t="shared" si="263"/>
        <v>6404.7404596389215</v>
      </c>
      <c r="K498" s="25">
        <f t="shared" si="264"/>
        <v>16520.094745597391</v>
      </c>
      <c r="L498" s="25"/>
      <c r="N498" s="25">
        <f>'Combined Retirement'!$C$18/12</f>
        <v>33932.660666666663</v>
      </c>
      <c r="O498" s="25">
        <f t="shared" si="265"/>
        <v>11007.82546143035</v>
      </c>
      <c r="P498" s="25">
        <f t="shared" si="266"/>
        <v>22924.835205236312</v>
      </c>
      <c r="Q498" s="25">
        <f t="array" aca="1" ref="Q498" ca="1">INDEX('Isaac 401k'!L:L,MATCH('Retirement Calculator'!A498,'Isaac 401k'!N:N,0),0)</f>
        <v>4499752.4878465626</v>
      </c>
      <c r="R498" s="25">
        <f t="array" aca="1" ref="R498" ca="1">INDEX('Lorri 401b'!L:L,MATCH('Retirement Calculator'!A498,'Lorri 401b'!N:N,0),0)</f>
        <v>5640678.8091007443</v>
      </c>
      <c r="S498" s="25">
        <f t="shared" ca="1" si="267"/>
        <v>10140431.296947308</v>
      </c>
    </row>
    <row r="499" spans="1:19" ht="15.75" customHeight="1" x14ac:dyDescent="0.3">
      <c r="A499" s="37">
        <v>66143</v>
      </c>
      <c r="B499" s="409">
        <f t="shared" ref="B499:C499" si="500">($A499-B$9)/365.25</f>
        <v>99.21149897330595</v>
      </c>
      <c r="C499" s="409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3525.4531757812501</v>
      </c>
      <c r="H499" s="25">
        <f>IF(B499&lt;62,0,'Combined Retirement'!$I$14)</f>
        <v>2192</v>
      </c>
      <c r="I499" s="25">
        <f>IF(C499&lt;62,0,'Combined Retirement'!$I$13)</f>
        <v>2420</v>
      </c>
      <c r="J499" s="25">
        <f t="shared" si="263"/>
        <v>6404.7404596389215</v>
      </c>
      <c r="K499" s="25">
        <f t="shared" si="264"/>
        <v>16520.094745597391</v>
      </c>
      <c r="L499" s="25"/>
      <c r="N499" s="25">
        <f>'Combined Retirement'!$C$18/12</f>
        <v>33932.660666666663</v>
      </c>
      <c r="O499" s="25">
        <f t="shared" si="265"/>
        <v>11007.82546143035</v>
      </c>
      <c r="P499" s="25">
        <f t="shared" si="266"/>
        <v>22924.835205236312</v>
      </c>
      <c r="Q499" s="25">
        <f t="array" aca="1" ref="Q499" ca="1">INDEX('Isaac 401k'!L:L,MATCH('Retirement Calculator'!A499,'Isaac 401k'!N:N,0),0)</f>
        <v>4512070.0296677025</v>
      </c>
      <c r="R499" s="25">
        <f t="array" aca="1" ref="R499" ca="1">INDEX('Lorri 401b'!L:L,MATCH('Retirement Calculator'!A499,'Lorri 401b'!N:N,0),0)</f>
        <v>5647592.7089982927</v>
      </c>
      <c r="S499" s="25">
        <f t="shared" ca="1" si="267"/>
        <v>10159662.738665994</v>
      </c>
    </row>
    <row r="500" spans="1:19" ht="15.75" customHeight="1" x14ac:dyDescent="0.3">
      <c r="A500" s="37">
        <v>66171</v>
      </c>
      <c r="B500" s="409">
        <f t="shared" ref="B500:C500" si="501">($A500-B$9)/365.25</f>
        <v>99.288158795345652</v>
      </c>
      <c r="C500" s="409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3525.4531757812501</v>
      </c>
      <c r="H500" s="25">
        <f>IF(B500&lt;62,0,'Combined Retirement'!$I$14)</f>
        <v>2192</v>
      </c>
      <c r="I500" s="25">
        <f>IF(C500&lt;62,0,'Combined Retirement'!$I$13)</f>
        <v>2420</v>
      </c>
      <c r="J500" s="25">
        <f t="shared" si="263"/>
        <v>6404.7404596389215</v>
      </c>
      <c r="K500" s="25">
        <f t="shared" si="264"/>
        <v>16520.094745597391</v>
      </c>
      <c r="L500" s="25"/>
      <c r="N500" s="25">
        <f>'Combined Retirement'!$C$18/12</f>
        <v>33932.660666666663</v>
      </c>
      <c r="O500" s="25">
        <f t="shared" si="265"/>
        <v>11007.82546143035</v>
      </c>
      <c r="P500" s="25">
        <f t="shared" si="266"/>
        <v>22924.835205236312</v>
      </c>
      <c r="Q500" s="25">
        <f t="array" aca="1" ref="Q500" ca="1">INDEX('Isaac 401k'!L:L,MATCH('Retirement Calculator'!A500,'Isaac 401k'!N:N,0),0)</f>
        <v>4524438.8945797645</v>
      </c>
      <c r="R500" s="25">
        <f t="array" aca="1" ref="R500" ca="1">INDEX('Lorri 401b'!L:L,MATCH('Retirement Calculator'!A500,'Lorri 401b'!N:N,0),0)</f>
        <v>5654535.4168120809</v>
      </c>
      <c r="S500" s="25">
        <f t="shared" ca="1" si="267"/>
        <v>10178974.311391845</v>
      </c>
    </row>
    <row r="501" spans="1:19" ht="15.75" customHeight="1" x14ac:dyDescent="0.3">
      <c r="A501" s="37">
        <v>66202</v>
      </c>
      <c r="B501" s="409">
        <f t="shared" ref="B501:C501" si="502">($A501-B$9)/365.25</f>
        <v>99.37303216974675</v>
      </c>
      <c r="C501" s="409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3525.4531757812501</v>
      </c>
      <c r="H501" s="25">
        <f>IF(B501&lt;62,0,'Combined Retirement'!$I$14)</f>
        <v>2192</v>
      </c>
      <c r="I501" s="25">
        <f>IF(C501&lt;62,0,'Combined Retirement'!$I$13)</f>
        <v>2420</v>
      </c>
      <c r="J501" s="25">
        <f t="shared" si="263"/>
        <v>6404.7404596389215</v>
      </c>
      <c r="K501" s="25">
        <f t="shared" si="264"/>
        <v>16520.094745597391</v>
      </c>
      <c r="L501" s="25"/>
      <c r="N501" s="25">
        <f>'Combined Retirement'!$C$18/12</f>
        <v>33932.660666666663</v>
      </c>
      <c r="O501" s="25">
        <f t="shared" si="265"/>
        <v>11007.82546143035</v>
      </c>
      <c r="P501" s="25">
        <f t="shared" si="266"/>
        <v>22924.835205236312</v>
      </c>
      <c r="Q501" s="25">
        <f t="array" aca="1" ref="Q501" ca="1">INDEX('Isaac 401k'!L:L,MATCH('Retirement Calculator'!A501,'Isaac 401k'!N:N,0),0)</f>
        <v>4536859.2964289598</v>
      </c>
      <c r="R501" s="25">
        <f t="array" aca="1" ref="R501" ca="1">INDEX('Lorri 401b'!L:L,MATCH('Retirement Calculator'!A501,'Lorri 401b'!N:N,0),0)</f>
        <v>5661507.0525750937</v>
      </c>
      <c r="S501" s="25">
        <f t="shared" ca="1" si="267"/>
        <v>10198366.349004053</v>
      </c>
    </row>
    <row r="502" spans="1:19" ht="15.75" customHeight="1" x14ac:dyDescent="0.3">
      <c r="A502" s="37">
        <v>66232</v>
      </c>
      <c r="B502" s="409">
        <f t="shared" ref="B502:C502" si="503">($A502-B$9)/365.25</f>
        <v>99.455167693360707</v>
      </c>
      <c r="C502" s="409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3525.4531757812501</v>
      </c>
      <c r="H502" s="25">
        <f>IF(B502&lt;62,0,'Combined Retirement'!$I$14)</f>
        <v>2192</v>
      </c>
      <c r="I502" s="25">
        <f>IF(C502&lt;62,0,'Combined Retirement'!$I$13)</f>
        <v>2420</v>
      </c>
      <c r="J502" s="25">
        <f t="shared" si="263"/>
        <v>6404.7404596389215</v>
      </c>
      <c r="K502" s="25">
        <f t="shared" si="264"/>
        <v>16520.094745597391</v>
      </c>
      <c r="L502" s="25"/>
      <c r="N502" s="25">
        <f>'Combined Retirement'!$C$18/12</f>
        <v>33932.660666666663</v>
      </c>
      <c r="O502" s="25">
        <f t="shared" si="265"/>
        <v>11007.82546143035</v>
      </c>
      <c r="P502" s="25">
        <f t="shared" si="266"/>
        <v>22924.835205236312</v>
      </c>
      <c r="Q502" s="25">
        <f t="array" aca="1" ref="Q502" ca="1">INDEX('Isaac 401k'!L:L,MATCH('Retirement Calculator'!A502,'Isaac 401k'!N:N,0),0)</f>
        <v>4549331.4499525269</v>
      </c>
      <c r="R502" s="25">
        <f t="array" aca="1" ref="R502" ca="1">INDEX('Lorri 401b'!L:L,MATCH('Retirement Calculator'!A502,'Lorri 401b'!N:N,0),0)</f>
        <v>5668507.7368204519</v>
      </c>
      <c r="S502" s="25">
        <f t="shared" ca="1" si="267"/>
        <v>10217839.18677298</v>
      </c>
    </row>
    <row r="503" spans="1:19" ht="15.75" customHeight="1" x14ac:dyDescent="0.3">
      <c r="A503" s="37">
        <v>66263</v>
      </c>
      <c r="B503" s="409">
        <f t="shared" ref="B503:C503" si="504">($A503-B$9)/365.25</f>
        <v>99.540041067761805</v>
      </c>
      <c r="C503" s="409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3525.4531757812501</v>
      </c>
      <c r="H503" s="25">
        <f>IF(B503&lt;62,0,'Combined Retirement'!$I$14)</f>
        <v>2192</v>
      </c>
      <c r="I503" s="25">
        <f>IF(C503&lt;62,0,'Combined Retirement'!$I$13)</f>
        <v>2420</v>
      </c>
      <c r="J503" s="25">
        <f t="shared" si="263"/>
        <v>6404.7404596389215</v>
      </c>
      <c r="K503" s="25">
        <f t="shared" si="264"/>
        <v>16520.094745597391</v>
      </c>
      <c r="L503" s="25"/>
      <c r="N503" s="25">
        <f>'Combined Retirement'!$C$18/12</f>
        <v>33932.660666666663</v>
      </c>
      <c r="O503" s="25">
        <f t="shared" si="265"/>
        <v>11007.82546143035</v>
      </c>
      <c r="P503" s="25">
        <f t="shared" si="266"/>
        <v>22924.835205236312</v>
      </c>
      <c r="Q503" s="25">
        <f t="array" aca="1" ref="Q503" ca="1">INDEX('Isaac 401k'!L:L,MATCH('Retirement Calculator'!A503,'Isaac 401k'!N:N,0),0)</f>
        <v>4561855.5707824416</v>
      </c>
      <c r="R503" s="25">
        <f t="array" aca="1" ref="R503" ca="1">INDEX('Lorri 401b'!L:L,MATCH('Retirement Calculator'!A503,'Lorri 401b'!N:N,0),0)</f>
        <v>5675537.5905834995</v>
      </c>
      <c r="S503" s="25">
        <f t="shared" ca="1" si="267"/>
        <v>10237393.161365941</v>
      </c>
    </row>
    <row r="504" spans="1:19" ht="15.75" customHeight="1" x14ac:dyDescent="0.3">
      <c r="A504" s="37">
        <v>66293</v>
      </c>
      <c r="B504" s="409">
        <f t="shared" ref="B504:C504" si="505">($A504-B$9)/365.25</f>
        <v>99.622176591375776</v>
      </c>
      <c r="C504" s="409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3525.4531757812501</v>
      </c>
      <c r="H504" s="25">
        <f>IF(B504&lt;62,0,'Combined Retirement'!$I$14)</f>
        <v>2192</v>
      </c>
      <c r="I504" s="25">
        <f>IF(C504&lt;62,0,'Combined Retirement'!$I$13)</f>
        <v>2420</v>
      </c>
      <c r="J504" s="25">
        <f t="shared" si="263"/>
        <v>6404.7404596389215</v>
      </c>
      <c r="K504" s="25">
        <f t="shared" si="264"/>
        <v>16520.094745597391</v>
      </c>
      <c r="L504" s="25"/>
      <c r="N504" s="25">
        <f>'Combined Retirement'!$C$18/12</f>
        <v>33932.660666666663</v>
      </c>
      <c r="O504" s="25">
        <f t="shared" si="265"/>
        <v>11007.82546143035</v>
      </c>
      <c r="P504" s="25">
        <f t="shared" si="266"/>
        <v>22924.835205236312</v>
      </c>
      <c r="Q504" s="25">
        <f t="array" aca="1" ref="Q504" ca="1">INDEX('Isaac 401k'!L:L,MATCH('Retirement Calculator'!A504,'Isaac 401k'!N:N,0),0)</f>
        <v>4574431.875449148</v>
      </c>
      <c r="R504" s="25">
        <f t="array" aca="1" ref="R504" ca="1">INDEX('Lorri 401b'!L:L,MATCH('Retirement Calculator'!A504,'Lorri 401b'!N:N,0),0)</f>
        <v>5682596.7354038926</v>
      </c>
      <c r="S504" s="25">
        <f t="shared" ca="1" si="267"/>
        <v>10257028.610853041</v>
      </c>
    </row>
    <row r="505" spans="1:19" ht="15.75" customHeight="1" x14ac:dyDescent="0.3">
      <c r="A505" s="37">
        <v>66324</v>
      </c>
      <c r="B505" s="409">
        <f t="shared" ref="B505:C505" si="506">($A505-B$9)/365.25</f>
        <v>99.707049965776861</v>
      </c>
      <c r="C505" s="409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3525.4531757812501</v>
      </c>
      <c r="H505" s="25">
        <f>IF(B505&lt;62,0,'Combined Retirement'!$I$14)</f>
        <v>2192</v>
      </c>
      <c r="I505" s="25">
        <f>IF(C505&lt;62,0,'Combined Retirement'!$I$13)</f>
        <v>2420</v>
      </c>
      <c r="J505" s="25">
        <f t="shared" si="263"/>
        <v>6404.7404596389215</v>
      </c>
      <c r="K505" s="25">
        <f t="shared" si="264"/>
        <v>16520.094745597391</v>
      </c>
      <c r="L505" s="25"/>
      <c r="N505" s="25">
        <f>'Combined Retirement'!$C$18/12</f>
        <v>33932.660666666663</v>
      </c>
      <c r="O505" s="25">
        <f t="shared" si="265"/>
        <v>11007.82546143035</v>
      </c>
      <c r="P505" s="25">
        <f t="shared" si="266"/>
        <v>22924.835205236312</v>
      </c>
      <c r="Q505" s="25">
        <f t="array" aca="1" ref="Q505" ca="1">INDEX('Isaac 401k'!L:L,MATCH('Retirement Calculator'!A505,'Isaac 401k'!N:N,0),0)</f>
        <v>4587060.5813852986</v>
      </c>
      <c r="R505" s="25">
        <f t="array" aca="1" ref="R505" ca="1">INDEX('Lorri 401b'!L:L,MATCH('Retirement Calculator'!A505,'Lorri 401b'!N:N,0),0)</f>
        <v>5689685.2933277041</v>
      </c>
      <c r="S505" s="25">
        <f t="shared" ca="1" si="267"/>
        <v>10276745.874713004</v>
      </c>
    </row>
    <row r="506" spans="1:19" ht="15.75" customHeight="1" x14ac:dyDescent="0.3">
      <c r="A506" s="37">
        <v>66355</v>
      </c>
      <c r="B506" s="409">
        <f t="shared" ref="B506:C506" si="507">($A506-B$9)/365.25</f>
        <v>99.791923340177959</v>
      </c>
      <c r="C506" s="409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3525.4531757812501</v>
      </c>
      <c r="H506" s="25">
        <f>IF(B506&lt;62,0,'Combined Retirement'!$I$14)</f>
        <v>2192</v>
      </c>
      <c r="I506" s="25">
        <f>IF(C506&lt;62,0,'Combined Retirement'!$I$13)</f>
        <v>2420</v>
      </c>
      <c r="J506" s="25">
        <f t="shared" si="263"/>
        <v>6404.7404596389215</v>
      </c>
      <c r="K506" s="25">
        <f t="shared" si="264"/>
        <v>16520.094745597391</v>
      </c>
      <c r="L506" s="25"/>
      <c r="N506" s="25">
        <f>'Combined Retirement'!$C$18/12</f>
        <v>33932.660666666663</v>
      </c>
      <c r="O506" s="25">
        <f t="shared" si="265"/>
        <v>11007.82546143035</v>
      </c>
      <c r="P506" s="25">
        <f t="shared" si="266"/>
        <v>22924.835205236312</v>
      </c>
      <c r="Q506" s="25">
        <f t="array" aca="1" ref="Q506" ca="1">INDEX('Isaac 401k'!L:L,MATCH('Retirement Calculator'!A506,'Isaac 401k'!N:N,0),0)</f>
        <v>4599741.9069295172</v>
      </c>
      <c r="R506" s="25">
        <f t="array" aca="1" ref="R506" ca="1">INDEX('Lorri 401b'!L:L,MATCH('Retirement Calculator'!A506,'Lorri 401b'!N:N,0),0)</f>
        <v>5696803.3869095314</v>
      </c>
      <c r="S506" s="25">
        <f t="shared" ca="1" si="267"/>
        <v>10296545.293839049</v>
      </c>
    </row>
    <row r="507" spans="1:19" ht="15.75" customHeight="1" x14ac:dyDescent="0.3">
      <c r="A507" s="37">
        <v>66385</v>
      </c>
      <c r="B507" s="409">
        <f t="shared" ref="B507:C507" si="508">($A507-B$9)/365.25</f>
        <v>99.87405886379193</v>
      </c>
      <c r="C507" s="409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3525.4531757812501</v>
      </c>
      <c r="H507" s="25">
        <f>IF(B507&lt;62,0,'Combined Retirement'!$I$14)</f>
        <v>2192</v>
      </c>
      <c r="I507" s="25">
        <f>IF(C507&lt;62,0,'Combined Retirement'!$I$13)</f>
        <v>2420</v>
      </c>
      <c r="J507" s="25">
        <f t="shared" si="263"/>
        <v>6404.7404596389215</v>
      </c>
      <c r="K507" s="25">
        <f t="shared" si="264"/>
        <v>16520.094745597391</v>
      </c>
      <c r="L507" s="25"/>
      <c r="N507" s="25">
        <f>'Combined Retirement'!$C$18/12</f>
        <v>33932.660666666663</v>
      </c>
      <c r="O507" s="25">
        <f t="shared" si="265"/>
        <v>11007.82546143035</v>
      </c>
      <c r="P507" s="25">
        <f t="shared" si="266"/>
        <v>22924.835205236312</v>
      </c>
      <c r="Q507" s="25">
        <f t="array" aca="1" ref="Q507" ca="1">INDEX('Isaac 401k'!L:L,MATCH('Retirement Calculator'!A507,'Isaac 401k'!N:N,0),0)</f>
        <v>4612476.0713301692</v>
      </c>
      <c r="R507" s="25">
        <f t="array" aca="1" ref="R507" ca="1">INDEX('Lorri 401b'!L:L,MATCH('Retirement Calculator'!A507,'Lorri 401b'!N:N,0),0)</f>
        <v>5703951.1392146163</v>
      </c>
      <c r="S507" s="25">
        <f t="shared" ca="1" si="267"/>
        <v>10316427.210544785</v>
      </c>
    </row>
    <row r="508" spans="1:19" ht="15.75" customHeight="1" x14ac:dyDescent="0.3">
      <c r="A508" s="37">
        <v>66416</v>
      </c>
      <c r="B508" s="409">
        <f t="shared" ref="B508:C508" si="509">($A508-B$9)/365.25</f>
        <v>99.958932238193015</v>
      </c>
      <c r="C508" s="409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3525.4531757812501</v>
      </c>
      <c r="H508" s="25">
        <f>IF(B508&lt;62,0,'Combined Retirement'!$I$14)</f>
        <v>2192</v>
      </c>
      <c r="I508" s="25">
        <f>IF(C508&lt;62,0,'Combined Retirement'!$I$13)</f>
        <v>2420</v>
      </c>
      <c r="J508" s="25">
        <f t="shared" si="263"/>
        <v>6404.7404596389215</v>
      </c>
      <c r="K508" s="25">
        <f t="shared" si="264"/>
        <v>16520.094745597391</v>
      </c>
      <c r="L508" s="25"/>
      <c r="N508" s="25">
        <f>'Combined Retirement'!$C$18/12</f>
        <v>33932.660666666663</v>
      </c>
      <c r="O508" s="25">
        <f t="shared" si="265"/>
        <v>11007.82546143035</v>
      </c>
      <c r="P508" s="25">
        <f t="shared" si="266"/>
        <v>22924.835205236312</v>
      </c>
      <c r="Q508" s="25">
        <f t="array" aca="1" ref="Q508" ca="1">INDEX('Isaac 401k'!L:L,MATCH('Retirement Calculator'!A508,'Isaac 401k'!N:N,0),0)</f>
        <v>4625263.2947491575</v>
      </c>
      <c r="R508" s="25">
        <f t="array" aca="1" ref="R508" ca="1">INDEX('Lorri 401b'!L:L,MATCH('Retirement Calculator'!A508,'Lorri 401b'!N:N,0),0)</f>
        <v>5711128.6738209724</v>
      </c>
      <c r="S508" s="25">
        <f t="shared" ca="1" si="267"/>
        <v>10336391.96857013</v>
      </c>
    </row>
    <row r="509" spans="1:19" ht="15.75" customHeight="1" x14ac:dyDescent="0.3">
      <c r="A509" s="37">
        <v>66446</v>
      </c>
      <c r="B509" s="409">
        <f t="shared" ref="B509:C509" si="510">($A509-B$9)/365.25</f>
        <v>100.04106776180699</v>
      </c>
      <c r="C509" s="409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3525.4531757812501</v>
      </c>
      <c r="H509" s="25">
        <f>IF(B509&lt;62,0,'Combined Retirement'!$I$14)</f>
        <v>2192</v>
      </c>
      <c r="I509" s="25">
        <f>IF(C509&lt;62,0,'Combined Retirement'!$I$13)</f>
        <v>2420</v>
      </c>
      <c r="J509" s="25">
        <f t="shared" si="263"/>
        <v>6404.7404596389215</v>
      </c>
      <c r="K509" s="25">
        <f t="shared" si="264"/>
        <v>16520.094745597391</v>
      </c>
      <c r="L509" s="25"/>
      <c r="N509" s="25">
        <f>'Combined Retirement'!$C$18/12</f>
        <v>33932.660666666663</v>
      </c>
      <c r="O509" s="25">
        <f t="shared" si="265"/>
        <v>11007.82546143035</v>
      </c>
      <c r="P509" s="25">
        <f t="shared" si="266"/>
        <v>22924.835205236312</v>
      </c>
      <c r="Q509" s="25">
        <f t="array" aca="1" ref="Q509" ca="1">INDEX('Isaac 401k'!L:L,MATCH('Retirement Calculator'!A509,'Isaac 401k'!N:N,0),0)</f>
        <v>4638103.7982657254</v>
      </c>
      <c r="R509" s="25">
        <f t="array" aca="1" ref="R509" ca="1">INDEX('Lorri 401b'!L:L,MATCH('Retirement Calculator'!A509,'Lorri 401b'!N:N,0),0)</f>
        <v>5718336.1148215225</v>
      </c>
      <c r="S509" s="25">
        <f t="shared" ca="1" si="267"/>
        <v>10356439.913087249</v>
      </c>
    </row>
    <row r="510" spans="1:19" ht="15.75" customHeight="1" x14ac:dyDescent="0.3">
      <c r="A510" s="37">
        <v>66477</v>
      </c>
      <c r="B510" s="409">
        <f t="shared" ref="B510:C510" si="511">($A510-B$9)/365.25</f>
        <v>100.12594113620807</v>
      </c>
      <c r="C510" s="409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3525.4531757812501</v>
      </c>
      <c r="H510" s="25">
        <f>IF(B510&lt;62,0,'Combined Retirement'!$I$14)</f>
        <v>2192</v>
      </c>
      <c r="I510" s="25">
        <f>IF(C510&lt;62,0,'Combined Retirement'!$I$13)</f>
        <v>2420</v>
      </c>
      <c r="J510" s="25">
        <f t="shared" si="263"/>
        <v>6404.7404596389215</v>
      </c>
      <c r="K510" s="25">
        <f t="shared" si="264"/>
        <v>16520.094745597391</v>
      </c>
      <c r="L510" s="25"/>
      <c r="N510" s="25">
        <f>'Combined Retirement'!$C$18/12</f>
        <v>33932.660666666663</v>
      </c>
      <c r="O510" s="25">
        <f t="shared" si="265"/>
        <v>11007.82546143035</v>
      </c>
      <c r="P510" s="25">
        <f t="shared" si="266"/>
        <v>22924.835205236312</v>
      </c>
      <c r="Q510" s="25">
        <f t="array" aca="1" ref="Q510" ca="1">INDEX('Isaac 401k'!L:L,MATCH('Retirement Calculator'!A510,'Isaac 401k'!N:N,0),0)</f>
        <v>4650997.803880279</v>
      </c>
      <c r="R510" s="25">
        <f t="array" aca="1" ref="R510" ca="1">INDEX('Lorri 401b'!L:L,MATCH('Retirement Calculator'!A510,'Lorri 401b'!N:N,0),0)</f>
        <v>5725573.5868262406</v>
      </c>
      <c r="S510" s="25">
        <f t="shared" ca="1" si="267"/>
        <v>10376571.390706521</v>
      </c>
    </row>
    <row r="511" spans="1:19" ht="15.75" customHeight="1" x14ac:dyDescent="0.3">
      <c r="A511" s="37">
        <v>66508</v>
      </c>
      <c r="B511" s="409">
        <f t="shared" ref="B511:C511" si="512">($A511-B$9)/365.25</f>
        <v>100.21081451060917</v>
      </c>
      <c r="C511" s="409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3525.4531757812501</v>
      </c>
      <c r="H511" s="25">
        <f>IF(B511&lt;62,0,'Combined Retirement'!$I$14)</f>
        <v>2192</v>
      </c>
      <c r="I511" s="25">
        <f>IF(C511&lt;62,0,'Combined Retirement'!$I$13)</f>
        <v>2420</v>
      </c>
      <c r="J511" s="25">
        <f t="shared" si="263"/>
        <v>6404.7404596389215</v>
      </c>
      <c r="K511" s="25">
        <f t="shared" si="264"/>
        <v>16520.094745597391</v>
      </c>
      <c r="L511" s="25"/>
      <c r="N511" s="25">
        <f>'Combined Retirement'!$C$18/12</f>
        <v>33932.660666666663</v>
      </c>
      <c r="O511" s="25">
        <f t="shared" si="265"/>
        <v>11007.82546143035</v>
      </c>
      <c r="P511" s="25">
        <f t="shared" si="266"/>
        <v>22924.835205236312</v>
      </c>
      <c r="Q511" s="25">
        <f t="array" aca="1" ref="Q511" ca="1">INDEX('Isaac 401k'!L:L,MATCH('Retirement Calculator'!A511,'Isaac 401k'!N:N,0),0)</f>
        <v>4663945.534518226</v>
      </c>
      <c r="R511" s="25">
        <f t="array" aca="1" ref="R511" ca="1">INDEX('Lorri 401b'!L:L,MATCH('Retirement Calculator'!A511,'Lorri 401b'!N:N,0),0)</f>
        <v>5732841.2149643125</v>
      </c>
      <c r="S511" s="25">
        <f t="shared" ca="1" si="267"/>
        <v>10396786.749482539</v>
      </c>
    </row>
    <row r="512" spans="1:19" ht="15.75" customHeight="1" x14ac:dyDescent="0.3">
      <c r="A512" s="37">
        <v>66536</v>
      </c>
      <c r="B512" s="409">
        <f t="shared" ref="B512:C512" si="513">($A512-B$9)/365.25</f>
        <v>100.28747433264887</v>
      </c>
      <c r="C512" s="409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3525.4531757812501</v>
      </c>
      <c r="H512" s="25">
        <f>IF(B512&lt;62,0,'Combined Retirement'!$I$14)</f>
        <v>2192</v>
      </c>
      <c r="I512" s="25">
        <f>IF(C512&lt;62,0,'Combined Retirement'!$I$13)</f>
        <v>2420</v>
      </c>
      <c r="J512" s="25">
        <f t="shared" si="263"/>
        <v>6404.7404596389215</v>
      </c>
      <c r="K512" s="25">
        <f t="shared" si="264"/>
        <v>16520.094745597391</v>
      </c>
      <c r="L512" s="25"/>
      <c r="N512" s="25">
        <f>'Combined Retirement'!$C$18/12</f>
        <v>33932.660666666663</v>
      </c>
      <c r="O512" s="25">
        <f t="shared" si="265"/>
        <v>11007.82546143035</v>
      </c>
      <c r="P512" s="25">
        <f t="shared" si="266"/>
        <v>22924.835205236312</v>
      </c>
      <c r="Q512" s="25">
        <f t="array" aca="1" ref="Q512" ca="1">INDEX('Isaac 401k'!L:L,MATCH('Retirement Calculator'!A512,'Isaac 401k'!N:N,0),0)</f>
        <v>4676947.2140338318</v>
      </c>
      <c r="R512" s="25">
        <f t="array" aca="1" ref="R512" ca="1">INDEX('Lorri 401b'!L:L,MATCH('Retirement Calculator'!A512,'Lorri 401b'!N:N,0),0)</f>
        <v>5740139.124886293</v>
      </c>
      <c r="S512" s="25">
        <f t="shared" ca="1" si="267"/>
        <v>10417086.338920124</v>
      </c>
    </row>
    <row r="513" spans="1:19" ht="15.75" customHeight="1" x14ac:dyDescent="0.3">
      <c r="A513" s="37">
        <v>66567</v>
      </c>
      <c r="B513" s="409">
        <f t="shared" ref="B513:C513" si="514">($A513-B$9)/365.25</f>
        <v>100.37234770704997</v>
      </c>
      <c r="C513" s="409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3525.4531757812501</v>
      </c>
      <c r="H513" s="25">
        <f>IF(B513&lt;62,0,'Combined Retirement'!$I$14)</f>
        <v>2192</v>
      </c>
      <c r="I513" s="25">
        <f>IF(C513&lt;62,0,'Combined Retirement'!$I$13)</f>
        <v>2420</v>
      </c>
      <c r="J513" s="25">
        <f t="shared" si="263"/>
        <v>6404.7404596389215</v>
      </c>
      <c r="K513" s="25">
        <f t="shared" si="264"/>
        <v>16520.094745597391</v>
      </c>
      <c r="L513" s="25"/>
      <c r="N513" s="25">
        <f>'Combined Retirement'!$C$18/12</f>
        <v>33932.660666666663</v>
      </c>
      <c r="O513" s="25">
        <f t="shared" si="265"/>
        <v>11007.82546143035</v>
      </c>
      <c r="P513" s="25">
        <f t="shared" si="266"/>
        <v>22924.835205236312</v>
      </c>
      <c r="Q513" s="25">
        <f t="array" aca="1" ref="Q513" ca="1">INDEX('Isaac 401k'!L:L,MATCH('Retirement Calculator'!A513,'Isaac 401k'!N:N,0),0)</f>
        <v>4690003.0672140857</v>
      </c>
      <c r="R513" s="25">
        <f t="array" aca="1" ref="R513" ca="1">INDEX('Lorri 401b'!L:L,MATCH('Retirement Calculator'!A513,'Lorri 401b'!N:N,0),0)</f>
        <v>5747467.4427662818</v>
      </c>
      <c r="S513" s="25">
        <f t="shared" ca="1" si="267"/>
        <v>10437470.509980367</v>
      </c>
    </row>
    <row r="514" spans="1:19" ht="15.75" customHeight="1" x14ac:dyDescent="0.3">
      <c r="A514" s="37">
        <v>66597</v>
      </c>
      <c r="B514" s="409">
        <f t="shared" ref="B514:C514" si="515">($A514-B$9)/365.25</f>
        <v>100.45448323066393</v>
      </c>
      <c r="C514" s="409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3525.4531757812501</v>
      </c>
      <c r="H514" s="25">
        <f>IF(B514&lt;62,0,'Combined Retirement'!$I$14)</f>
        <v>2192</v>
      </c>
      <c r="I514" s="25">
        <f>IF(C514&lt;62,0,'Combined Retirement'!$I$13)</f>
        <v>2420</v>
      </c>
      <c r="J514" s="25">
        <f t="shared" si="263"/>
        <v>6404.7404596389215</v>
      </c>
      <c r="K514" s="25">
        <f t="shared" si="264"/>
        <v>16520.094745597391</v>
      </c>
      <c r="L514" s="25"/>
      <c r="N514" s="25">
        <f>'Combined Retirement'!$C$18/12</f>
        <v>33932.660666666663</v>
      </c>
      <c r="O514" s="25">
        <f t="shared" si="265"/>
        <v>11007.82546143035</v>
      </c>
      <c r="P514" s="25">
        <f t="shared" si="266"/>
        <v>22924.835205236312</v>
      </c>
      <c r="Q514" s="25">
        <f t="array" aca="1" ref="Q514" ca="1">INDEX('Isaac 401k'!L:L,MATCH('Retirement Calculator'!A514,'Isaac 401k'!N:N,0),0)</f>
        <v>4703113.3197825905</v>
      </c>
      <c r="R514" s="25">
        <f t="array" aca="1" ref="R514" ca="1">INDEX('Lorri 401b'!L:L,MATCH('Retirement Calculator'!A514,'Lorri 401b'!N:N,0),0)</f>
        <v>5754826.2953041038</v>
      </c>
      <c r="S514" s="25">
        <f t="shared" ca="1" si="267"/>
        <v>10457939.615086693</v>
      </c>
    </row>
    <row r="515" spans="1:19" ht="15.75" customHeight="1" x14ac:dyDescent="0.3">
      <c r="A515" s="37">
        <v>66628</v>
      </c>
      <c r="B515" s="409">
        <f t="shared" ref="B515:C515" si="516">($A515-B$9)/365.25</f>
        <v>100.53935660506502</v>
      </c>
      <c r="C515" s="409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3525.4531757812501</v>
      </c>
      <c r="H515" s="25">
        <f>IF(B515&lt;62,0,'Combined Retirement'!$I$14)</f>
        <v>2192</v>
      </c>
      <c r="I515" s="25">
        <f>IF(C515&lt;62,0,'Combined Retirement'!$I$13)</f>
        <v>2420</v>
      </c>
      <c r="J515" s="25">
        <f t="shared" si="263"/>
        <v>6404.7404596389215</v>
      </c>
      <c r="K515" s="25">
        <f t="shared" si="264"/>
        <v>16520.094745597391</v>
      </c>
      <c r="L515" s="25"/>
      <c r="N515" s="25">
        <f>'Combined Retirement'!$C$18/12</f>
        <v>33932.660666666663</v>
      </c>
      <c r="O515" s="25">
        <f t="shared" si="265"/>
        <v>11007.82546143035</v>
      </c>
      <c r="P515" s="25">
        <f t="shared" si="266"/>
        <v>22924.835205236312</v>
      </c>
      <c r="Q515" s="25">
        <f t="array" aca="1" ref="Q515" ca="1">INDEX('Isaac 401k'!L:L,MATCH('Retirement Calculator'!A515,'Isaac 401k'!N:N,0),0)</f>
        <v>4716278.1984034637</v>
      </c>
      <c r="R515" s="25">
        <f t="array" aca="1" ref="R515" ca="1">INDEX('Lorri 401b'!L:L,MATCH('Retirement Calculator'!A515,'Lorri 401b'!N:N,0),0)</f>
        <v>5762215.8097274993</v>
      </c>
      <c r="S515" s="25">
        <f t="shared" ca="1" si="267"/>
        <v>10478494.008130964</v>
      </c>
    </row>
    <row r="516" spans="1:19" ht="15.75" customHeight="1" x14ac:dyDescent="0.3">
      <c r="A516" s="37">
        <v>66658</v>
      </c>
      <c r="B516" s="409">
        <f t="shared" ref="B516:C516" si="517">($A516-B$9)/365.25</f>
        <v>100.62149212867898</v>
      </c>
      <c r="C516" s="409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3525.4531757812501</v>
      </c>
      <c r="H516" s="25">
        <f>IF(B516&lt;62,0,'Combined Retirement'!$I$14)</f>
        <v>2192</v>
      </c>
      <c r="I516" s="25">
        <f>IF(C516&lt;62,0,'Combined Retirement'!$I$13)</f>
        <v>2420</v>
      </c>
      <c r="J516" s="25">
        <f t="shared" si="263"/>
        <v>6404.7404596389215</v>
      </c>
      <c r="K516" s="25">
        <f t="shared" si="264"/>
        <v>16520.094745597391</v>
      </c>
      <c r="L516" s="25"/>
      <c r="N516" s="25">
        <f>'Combined Retirement'!$C$18/12</f>
        <v>33932.660666666663</v>
      </c>
      <c r="O516" s="25">
        <f t="shared" si="265"/>
        <v>11007.82546143035</v>
      </c>
      <c r="P516" s="25">
        <f t="shared" si="266"/>
        <v>22924.835205236312</v>
      </c>
      <c r="Q516" s="25">
        <f t="array" aca="1" ref="Q516" ca="1">INDEX('Isaac 401k'!L:L,MATCH('Retirement Calculator'!A516,'Isaac 401k'!N:N,0),0)</f>
        <v>4729497.9306852575</v>
      </c>
      <c r="R516" s="25">
        <f t="array" aca="1" ref="R516" ca="1">INDEX('Lorri 401b'!L:L,MATCH('Retirement Calculator'!A516,'Lorri 401b'!N:N,0),0)</f>
        <v>5769636.1137943259</v>
      </c>
      <c r="S516" s="25">
        <f t="shared" ca="1" si="267"/>
        <v>10499134.044479582</v>
      </c>
    </row>
    <row r="517" spans="1:19" ht="15.75" customHeight="1" x14ac:dyDescent="0.3">
      <c r="A517" s="37">
        <v>66689</v>
      </c>
      <c r="B517" s="409">
        <f t="shared" ref="B517:C517" si="518">($A517-B$9)/365.25</f>
        <v>100.70636550308008</v>
      </c>
      <c r="C517" s="409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3525.4531757812501</v>
      </c>
      <c r="H517" s="25">
        <f>IF(B517&lt;62,0,'Combined Retirement'!$I$14)</f>
        <v>2192</v>
      </c>
      <c r="I517" s="25">
        <f>IF(C517&lt;62,0,'Combined Retirement'!$I$13)</f>
        <v>2420</v>
      </c>
      <c r="J517" s="25">
        <f t="shared" si="263"/>
        <v>6404.7404596389215</v>
      </c>
      <c r="K517" s="25">
        <f t="shared" si="264"/>
        <v>16520.094745597391</v>
      </c>
      <c r="L517" s="25"/>
      <c r="N517" s="25">
        <f>'Combined Retirement'!$C$18/12</f>
        <v>33932.660666666663</v>
      </c>
      <c r="O517" s="25">
        <f t="shared" si="265"/>
        <v>11007.82546143035</v>
      </c>
      <c r="P517" s="25">
        <f t="shared" si="266"/>
        <v>22924.835205236312</v>
      </c>
      <c r="Q517" s="25">
        <f t="array" aca="1" ref="Q517" ca="1">INDEX('Isaac 401k'!L:L,MATCH('Retirement Calculator'!A517,'Isaac 401k'!N:N,0),0)</f>
        <v>4742772.7451848919</v>
      </c>
      <c r="R517" s="25">
        <f t="array" aca="1" ref="R517" ca="1">INDEX('Lorri 401b'!L:L,MATCH('Retirement Calculator'!A517,'Lorri 401b'!N:N,0),0)</f>
        <v>5777087.3357947646</v>
      </c>
      <c r="S517" s="25">
        <f t="shared" ca="1" si="267"/>
        <v>10519860.080979656</v>
      </c>
    </row>
    <row r="518" spans="1:19" ht="15.75" customHeight="1" x14ac:dyDescent="0.3">
      <c r="A518" s="37">
        <v>66720</v>
      </c>
      <c r="B518" s="409">
        <f t="shared" ref="B518:C518" si="519">($A518-B$9)/365.25</f>
        <v>100.79123887748118</v>
      </c>
      <c r="C518" s="409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3525.4531757812501</v>
      </c>
      <c r="H518" s="25">
        <f>IF(B518&lt;62,0,'Combined Retirement'!$I$14)</f>
        <v>2192</v>
      </c>
      <c r="I518" s="25">
        <f>IF(C518&lt;62,0,'Combined Retirement'!$I$13)</f>
        <v>2420</v>
      </c>
      <c r="J518" s="25">
        <f t="shared" si="263"/>
        <v>6404.7404596389215</v>
      </c>
      <c r="K518" s="25">
        <f t="shared" si="264"/>
        <v>16520.094745597391</v>
      </c>
      <c r="L518" s="25"/>
      <c r="N518" s="25">
        <f>'Combined Retirement'!$C$18/12</f>
        <v>33932.660666666663</v>
      </c>
      <c r="O518" s="25">
        <f t="shared" si="265"/>
        <v>11007.82546143035</v>
      </c>
      <c r="P518" s="25">
        <f t="shared" si="266"/>
        <v>22924.835205236312</v>
      </c>
      <c r="Q518" s="25">
        <f t="array" aca="1" ref="Q518" ca="1">INDEX('Isaac 401k'!L:L,MATCH('Retirement Calculator'!A518,'Isaac 401k'!N:N,0),0)</f>
        <v>4756102.8714116085</v>
      </c>
      <c r="R518" s="25">
        <f t="array" aca="1" ref="R518" ca="1">INDEX('Lorri 401b'!L:L,MATCH('Retirement Calculator'!A518,'Lorri 401b'!N:N,0),0)</f>
        <v>5784569.6045535384</v>
      </c>
      <c r="S518" s="25">
        <f t="shared" ca="1" si="267"/>
        <v>10540672.475965146</v>
      </c>
    </row>
    <row r="519" spans="1:19" ht="15.75" customHeight="1" x14ac:dyDescent="0.3">
      <c r="A519" s="37">
        <v>66750</v>
      </c>
      <c r="B519" s="409">
        <f t="shared" ref="B519:C519" si="520">($A519-B$9)/365.25</f>
        <v>100.87337440109513</v>
      </c>
      <c r="C519" s="409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3525.4531757812501</v>
      </c>
      <c r="H519" s="25">
        <f>IF(B519&lt;62,0,'Combined Retirement'!$I$14)</f>
        <v>2192</v>
      </c>
      <c r="I519" s="25">
        <f>IF(C519&lt;62,0,'Combined Retirement'!$I$13)</f>
        <v>2420</v>
      </c>
      <c r="J519" s="25">
        <f t="shared" si="263"/>
        <v>6404.7404596389215</v>
      </c>
      <c r="K519" s="25">
        <f t="shared" si="264"/>
        <v>16520.094745597391</v>
      </c>
      <c r="L519" s="25"/>
      <c r="N519" s="25">
        <f>'Combined Retirement'!$C$18/12</f>
        <v>33932.660666666663</v>
      </c>
      <c r="O519" s="25">
        <f t="shared" si="265"/>
        <v>11007.82546143035</v>
      </c>
      <c r="P519" s="25">
        <f t="shared" si="266"/>
        <v>22924.835205236312</v>
      </c>
      <c r="Q519" s="25">
        <f t="array" aca="1" ref="Q519" ca="1">INDEX('Isaac 401k'!L:L,MATCH('Retirement Calculator'!A519,'Isaac 401k'!N:N,0),0)</f>
        <v>4769488.5398309361</v>
      </c>
      <c r="R519" s="25">
        <f t="array" aca="1" ref="R519" ca="1">INDEX('Lorri 401b'!L:L,MATCH('Retirement Calculator'!A519,'Lorri 401b'!N:N,0),0)</f>
        <v>5792083.0494321408</v>
      </c>
      <c r="S519" s="25">
        <f t="shared" ca="1" si="267"/>
        <v>10561571.589263078</v>
      </c>
    </row>
    <row r="520" spans="1:19" ht="15.75" customHeight="1" x14ac:dyDescent="0.3">
      <c r="A520" s="37">
        <v>66781</v>
      </c>
      <c r="B520" s="409">
        <f t="shared" ref="B520:C520" si="521">($A520-B$9)/365.25</f>
        <v>100.95824777549623</v>
      </c>
      <c r="C520" s="409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3525.4531757812501</v>
      </c>
      <c r="H520" s="25">
        <f>IF(B520&lt;62,0,'Combined Retirement'!$I$14)</f>
        <v>2192</v>
      </c>
      <c r="I520" s="25">
        <f>IF(C520&lt;62,0,'Combined Retirement'!$I$13)</f>
        <v>2420</v>
      </c>
      <c r="J520" s="25">
        <f t="shared" si="263"/>
        <v>6404.7404596389215</v>
      </c>
      <c r="K520" s="25">
        <f t="shared" si="264"/>
        <v>16520.094745597391</v>
      </c>
      <c r="L520" s="25"/>
      <c r="N520" s="25">
        <f>'Combined Retirement'!$C$18/12</f>
        <v>33932.660666666663</v>
      </c>
      <c r="O520" s="25">
        <f t="shared" si="265"/>
        <v>11007.82546143035</v>
      </c>
      <c r="P520" s="25">
        <f t="shared" si="266"/>
        <v>22924.835205236312</v>
      </c>
      <c r="Q520" s="25">
        <f t="array" aca="1" ref="Q520" ca="1">INDEX('Isaac 401k'!L:L,MATCH('Retirement Calculator'!A520,'Isaac 401k'!N:N,0),0)</f>
        <v>4782929.9818686778</v>
      </c>
      <c r="R520" s="25">
        <f t="array" aca="1" ref="R520" ca="1">INDEX('Lorri 401b'!L:L,MATCH('Retirement Calculator'!A520,'Lorri 401b'!N:N,0),0)</f>
        <v>5799627.8003310701</v>
      </c>
      <c r="S520" s="25">
        <f t="shared" ca="1" si="267"/>
        <v>10582557.782199748</v>
      </c>
    </row>
    <row r="521" spans="1:19" ht="15.75" customHeight="1" x14ac:dyDescent="0.3">
      <c r="A521" s="37">
        <v>66811</v>
      </c>
      <c r="B521" s="409">
        <f t="shared" ref="B521:C521" si="522">($A521-B$9)/365.25</f>
        <v>101.0403832991102</v>
      </c>
      <c r="C521" s="409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3525.4531757812501</v>
      </c>
      <c r="H521" s="25">
        <f>IF(B521&lt;62,0,'Combined Retirement'!$I$14)</f>
        <v>2192</v>
      </c>
      <c r="I521" s="25">
        <f>IF(C521&lt;62,0,'Combined Retirement'!$I$13)</f>
        <v>2420</v>
      </c>
      <c r="J521" s="25">
        <f t="shared" ref="J521:J775" si="523">IF(C521&lt;59.5,P521,P521*$J$7)</f>
        <v>6404.7404596389215</v>
      </c>
      <c r="K521" s="25">
        <f t="shared" ref="K521:K775" si="524">IF(C521&lt;59.5,0,IF(C521&lt;$B$7,0,P521*$K$7))</f>
        <v>16520.094745597391</v>
      </c>
      <c r="L521" s="25"/>
      <c r="N521" s="25">
        <f>'Combined Retirement'!$C$18/12</f>
        <v>33932.660666666663</v>
      </c>
      <c r="O521" s="25">
        <f t="shared" ref="O521:O775" si="525">SUM(E521:I521)</f>
        <v>11007.82546143035</v>
      </c>
      <c r="P521" s="25">
        <f t="shared" ref="P521:P775" si="526">N521-O521</f>
        <v>22924.835205236312</v>
      </c>
      <c r="Q521" s="25">
        <f t="array" aca="1" ref="Q521" ca="1">INDEX('Isaac 401k'!L:L,MATCH('Retirement Calculator'!A521,'Isaac 401k'!N:N,0),0)</f>
        <v>4796427.4299149103</v>
      </c>
      <c r="R521" s="25">
        <f t="array" aca="1" ref="R521" ca="1">INDEX('Lorri 401b'!L:L,MATCH('Retirement Calculator'!A521,'Lorri 401b'!N:N,0),0)</f>
        <v>5807203.9876920786</v>
      </c>
      <c r="S521" s="25">
        <f t="shared" ref="S521:S775" ca="1" si="527">SUM(Q521:R521)</f>
        <v>10603631.417606989</v>
      </c>
    </row>
    <row r="522" spans="1:19" ht="15.75" customHeight="1" x14ac:dyDescent="0.3">
      <c r="A522" s="37">
        <v>66842</v>
      </c>
      <c r="B522" s="409">
        <f t="shared" ref="B522:C522" si="528">($A522-B$9)/365.25</f>
        <v>101.12525667351129</v>
      </c>
      <c r="C522" s="409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3525.4531757812501</v>
      </c>
      <c r="H522" s="25">
        <f>IF(B522&lt;62,0,'Combined Retirement'!$I$14)</f>
        <v>2192</v>
      </c>
      <c r="I522" s="25">
        <f>IF(C522&lt;62,0,'Combined Retirement'!$I$13)</f>
        <v>2420</v>
      </c>
      <c r="J522" s="25">
        <f t="shared" si="523"/>
        <v>6404.7404596389215</v>
      </c>
      <c r="K522" s="25">
        <f t="shared" si="524"/>
        <v>16520.094745597391</v>
      </c>
      <c r="L522" s="25"/>
      <c r="N522" s="25">
        <f>'Combined Retirement'!$C$18/12</f>
        <v>33932.660666666663</v>
      </c>
      <c r="O522" s="25">
        <f t="shared" si="525"/>
        <v>11007.82546143035</v>
      </c>
      <c r="P522" s="25">
        <f t="shared" si="526"/>
        <v>22924.835205236312</v>
      </c>
      <c r="Q522" s="25">
        <f t="array" aca="1" ref="Q522" ca="1">INDEX('Isaac 401k'!L:L,MATCH('Retirement Calculator'!A522,'Isaac 401k'!N:N,0),0)</f>
        <v>4809981.1173280021</v>
      </c>
      <c r="R522" s="25">
        <f t="array" aca="1" ref="R522" ca="1">INDEX('Lorri 401b'!L:L,MATCH('Retirement Calculator'!A522,'Lorri 401b'!N:N,0),0)</f>
        <v>5814811.7425004244</v>
      </c>
      <c r="S522" s="25">
        <f t="shared" ca="1" si="527"/>
        <v>10624792.859828427</v>
      </c>
    </row>
    <row r="523" spans="1:19" ht="15.75" customHeight="1" x14ac:dyDescent="0.3">
      <c r="A523" s="37">
        <v>66873</v>
      </c>
      <c r="B523" s="409">
        <f t="shared" ref="B523:C523" si="529">($A523-B$9)/365.25</f>
        <v>101.21013004791239</v>
      </c>
      <c r="C523" s="409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3525.4531757812501</v>
      </c>
      <c r="H523" s="25">
        <f>IF(B523&lt;62,0,'Combined Retirement'!$I$14)</f>
        <v>2192</v>
      </c>
      <c r="I523" s="25">
        <f>IF(C523&lt;62,0,'Combined Retirement'!$I$13)</f>
        <v>2420</v>
      </c>
      <c r="J523" s="25">
        <f t="shared" si="523"/>
        <v>6404.7404596389215</v>
      </c>
      <c r="K523" s="25">
        <f t="shared" si="524"/>
        <v>16520.094745597391</v>
      </c>
      <c r="L523" s="25"/>
      <c r="N523" s="25">
        <f>'Combined Retirement'!$C$18/12</f>
        <v>33932.660666666663</v>
      </c>
      <c r="O523" s="25">
        <f t="shared" si="525"/>
        <v>11007.82546143035</v>
      </c>
      <c r="P523" s="25">
        <f t="shared" si="526"/>
        <v>22924.835205236312</v>
      </c>
      <c r="Q523" s="25">
        <f t="array" aca="1" ref="Q523" ca="1">INDEX('Isaac 401k'!L:L,MATCH('Retirement Calculator'!A523,'Isaac 401k'!N:N,0),0)</f>
        <v>4823591.2784386482</v>
      </c>
      <c r="R523" s="25">
        <f t="array" aca="1" ref="R523" ca="1">INDEX('Lorri 401b'!L:L,MATCH('Retirement Calculator'!A523,'Lorri 401b'!N:N,0),0)</f>
        <v>5822451.1962871384</v>
      </c>
      <c r="S523" s="25">
        <f t="shared" ca="1" si="527"/>
        <v>10646042.474725787</v>
      </c>
    </row>
    <row r="524" spans="1:19" ht="15.75" customHeight="1" x14ac:dyDescent="0.3">
      <c r="A524" s="37">
        <v>66901</v>
      </c>
      <c r="B524" s="409">
        <f t="shared" ref="B524:C524" si="530">($A524-B$9)/365.25</f>
        <v>101.28678986995209</v>
      </c>
      <c r="C524" s="409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3525.4531757812501</v>
      </c>
      <c r="H524" s="25">
        <f>IF(B524&lt;62,0,'Combined Retirement'!$I$14)</f>
        <v>2192</v>
      </c>
      <c r="I524" s="25">
        <f>IF(C524&lt;62,0,'Combined Retirement'!$I$13)</f>
        <v>2420</v>
      </c>
      <c r="J524" s="25">
        <f t="shared" si="523"/>
        <v>6404.7404596389215</v>
      </c>
      <c r="K524" s="25">
        <f t="shared" si="524"/>
        <v>16520.094745597391</v>
      </c>
      <c r="L524" s="25"/>
      <c r="N524" s="25">
        <f>'Combined Retirement'!$C$18/12</f>
        <v>33932.660666666663</v>
      </c>
      <c r="O524" s="25">
        <f t="shared" si="525"/>
        <v>11007.82546143035</v>
      </c>
      <c r="P524" s="25">
        <f t="shared" si="526"/>
        <v>22924.835205236312</v>
      </c>
      <c r="Q524" s="25">
        <f t="array" aca="1" ref="Q524" ca="1">INDEX('Isaac 401k'!L:L,MATCH('Retirement Calculator'!A524,'Isaac 401k'!N:N,0),0)</f>
        <v>4837258.1485539218</v>
      </c>
      <c r="R524" s="25">
        <f t="array" aca="1" ref="R524" ca="1">INDEX('Lorri 401b'!L:L,MATCH('Retirement Calculator'!A524,'Lorri 401b'!N:N,0),0)</f>
        <v>5830122.4811312966</v>
      </c>
      <c r="S524" s="25">
        <f t="shared" ca="1" si="527"/>
        <v>10667380.629685219</v>
      </c>
    </row>
    <row r="525" spans="1:19" ht="15.75" customHeight="1" x14ac:dyDescent="0.3">
      <c r="A525" s="37">
        <v>66932</v>
      </c>
      <c r="B525" s="409">
        <f t="shared" ref="B525:C525" si="531">($A525-B$9)/365.25</f>
        <v>101.37166324435319</v>
      </c>
      <c r="C525" s="409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3525.4531757812501</v>
      </c>
      <c r="H525" s="25">
        <f>IF(B525&lt;62,0,'Combined Retirement'!$I$14)</f>
        <v>2192</v>
      </c>
      <c r="I525" s="25">
        <f>IF(C525&lt;62,0,'Combined Retirement'!$I$13)</f>
        <v>2420</v>
      </c>
      <c r="J525" s="25">
        <f t="shared" si="523"/>
        <v>6404.7404596389215</v>
      </c>
      <c r="K525" s="25">
        <f t="shared" si="524"/>
        <v>16520.094745597391</v>
      </c>
      <c r="L525" s="25"/>
      <c r="N525" s="25">
        <f>'Combined Retirement'!$C$18/12</f>
        <v>33932.660666666663</v>
      </c>
      <c r="O525" s="25">
        <f t="shared" si="525"/>
        <v>11007.82546143035</v>
      </c>
      <c r="P525" s="25">
        <f t="shared" si="526"/>
        <v>22924.835205236312</v>
      </c>
      <c r="Q525" s="25">
        <f t="array" aca="1" ref="Q525" ca="1">INDEX('Isaac 401k'!L:L,MATCH('Retirement Calculator'!A525,'Isaac 401k'!N:N,0),0)</f>
        <v>4850981.9639613423</v>
      </c>
      <c r="R525" s="25">
        <f t="array" aca="1" ref="R525" ca="1">INDEX('Lorri 401b'!L:L,MATCH('Retirement Calculator'!A525,'Lorri 401b'!N:N,0),0)</f>
        <v>5837825.7296623057</v>
      </c>
      <c r="S525" s="25">
        <f t="shared" ca="1" si="527"/>
        <v>10688807.693623647</v>
      </c>
    </row>
    <row r="526" spans="1:19" ht="15.75" customHeight="1" x14ac:dyDescent="0.3">
      <c r="A526" s="37">
        <v>66962</v>
      </c>
      <c r="B526" s="409">
        <f t="shared" ref="B526:C526" si="532">($A526-B$9)/365.25</f>
        <v>101.45379876796714</v>
      </c>
      <c r="C526" s="409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3525.4531757812501</v>
      </c>
      <c r="H526" s="25">
        <f>IF(B526&lt;62,0,'Combined Retirement'!$I$14)</f>
        <v>2192</v>
      </c>
      <c r="I526" s="25">
        <f>IF(C526&lt;62,0,'Combined Retirement'!$I$13)</f>
        <v>2420</v>
      </c>
      <c r="J526" s="25">
        <f t="shared" si="523"/>
        <v>6404.7404596389215</v>
      </c>
      <c r="K526" s="25">
        <f t="shared" si="524"/>
        <v>16520.094745597391</v>
      </c>
      <c r="L526" s="25"/>
      <c r="N526" s="25">
        <f>'Combined Retirement'!$C$18/12</f>
        <v>33932.660666666663</v>
      </c>
      <c r="O526" s="25">
        <f t="shared" si="525"/>
        <v>11007.82546143035</v>
      </c>
      <c r="P526" s="25">
        <f t="shared" si="526"/>
        <v>22924.835205236312</v>
      </c>
      <c r="Q526" s="25">
        <f t="array" aca="1" ref="Q526" ca="1">INDEX('Isaac 401k'!L:L,MATCH('Retirement Calculator'!A526,'Isaac 401k'!N:N,0),0)</f>
        <v>4864762.9619329609</v>
      </c>
      <c r="R526" s="25">
        <f t="array" aca="1" ref="R526" ca="1">INDEX('Lorri 401b'!L:L,MATCH('Retirement Calculator'!A526,'Lorri 401b'!N:N,0),0)</f>
        <v>5845561.0750621939</v>
      </c>
      <c r="S526" s="25">
        <f t="shared" ca="1" si="527"/>
        <v>10710324.036995154</v>
      </c>
    </row>
    <row r="527" spans="1:19" ht="15.75" customHeight="1" x14ac:dyDescent="0.3">
      <c r="A527" s="37">
        <v>66993</v>
      </c>
      <c r="B527" s="409">
        <f t="shared" ref="B527:C527" si="533">($A527-B$9)/365.25</f>
        <v>101.53867214236824</v>
      </c>
      <c r="C527" s="409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3525.4531757812501</v>
      </c>
      <c r="H527" s="25">
        <f>IF(B527&lt;62,0,'Combined Retirement'!$I$14)</f>
        <v>2192</v>
      </c>
      <c r="I527" s="25">
        <f>IF(C527&lt;62,0,'Combined Retirement'!$I$13)</f>
        <v>2420</v>
      </c>
      <c r="J527" s="25">
        <f t="shared" si="523"/>
        <v>6404.7404596389215</v>
      </c>
      <c r="K527" s="25">
        <f t="shared" si="524"/>
        <v>16520.094745597391</v>
      </c>
      <c r="L527" s="25"/>
      <c r="N527" s="25">
        <f>'Combined Retirement'!$C$18/12</f>
        <v>33932.660666666663</v>
      </c>
      <c r="O527" s="25">
        <f t="shared" si="525"/>
        <v>11007.82546143035</v>
      </c>
      <c r="P527" s="25">
        <f t="shared" si="526"/>
        <v>22924.835205236312</v>
      </c>
      <c r="Q527" s="25">
        <f t="array" aca="1" ref="Q527" ca="1">INDEX('Isaac 401k'!L:L,MATCH('Retirement Calculator'!A527,'Isaac 401k'!N:N,0),0)</f>
        <v>4878601.3807294611</v>
      </c>
      <c r="R527" s="25">
        <f t="array" aca="1" ref="R527" ca="1">INDEX('Lorri 401b'!L:L,MATCH('Retirement Calculator'!A527,'Lorri 401b'!N:N,0),0)</f>
        <v>5853328.6510679154</v>
      </c>
      <c r="S527" s="25">
        <f t="shared" ca="1" si="527"/>
        <v>10731930.031797376</v>
      </c>
    </row>
    <row r="528" spans="1:19" ht="15.75" customHeight="1" x14ac:dyDescent="0.3">
      <c r="A528" s="37">
        <v>67023</v>
      </c>
      <c r="B528" s="409">
        <f t="shared" ref="B528:C528" si="534">($A528-B$9)/365.25</f>
        <v>101.6208076659822</v>
      </c>
      <c r="C528" s="409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3525.4531757812501</v>
      </c>
      <c r="H528" s="25">
        <f>IF(B528&lt;62,0,'Combined Retirement'!$I$14)</f>
        <v>2192</v>
      </c>
      <c r="I528" s="25">
        <f>IF(C528&lt;62,0,'Combined Retirement'!$I$13)</f>
        <v>2420</v>
      </c>
      <c r="J528" s="25">
        <f t="shared" si="523"/>
        <v>6404.7404596389215</v>
      </c>
      <c r="K528" s="25">
        <f t="shared" si="524"/>
        <v>16520.094745597391</v>
      </c>
      <c r="L528" s="25"/>
      <c r="N528" s="25">
        <f>'Combined Retirement'!$C$18/12</f>
        <v>33932.660666666663</v>
      </c>
      <c r="O528" s="25">
        <f t="shared" si="525"/>
        <v>11007.82546143035</v>
      </c>
      <c r="P528" s="25">
        <f t="shared" si="526"/>
        <v>22924.835205236312</v>
      </c>
      <c r="Q528" s="25">
        <f t="array" aca="1" ref="Q528" ca="1">INDEX('Isaac 401k'!L:L,MATCH('Retirement Calculator'!A528,'Isaac 401k'!N:N,0),0)</f>
        <v>4892497.4596042801</v>
      </c>
      <c r="R528" s="25">
        <f t="array" aca="1" ref="R528" ca="1">INDEX('Lorri 401b'!L:L,MATCH('Retirement Calculator'!A528,'Lorri 401b'!N:N,0),0)</f>
        <v>5861128.5919736605</v>
      </c>
      <c r="S528" s="25">
        <f t="shared" ca="1" si="527"/>
        <v>10753626.051577941</v>
      </c>
    </row>
    <row r="529" spans="1:19" ht="15.75" customHeight="1" x14ac:dyDescent="0.3">
      <c r="A529" s="37">
        <v>67054</v>
      </c>
      <c r="B529" s="409">
        <f t="shared" ref="B529:C529" si="535">($A529-B$9)/365.25</f>
        <v>101.7056810403833</v>
      </c>
      <c r="C529" s="409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3525.4531757812501</v>
      </c>
      <c r="H529" s="25">
        <f>IF(B529&lt;62,0,'Combined Retirement'!$I$14)</f>
        <v>2192</v>
      </c>
      <c r="I529" s="25">
        <f>IF(C529&lt;62,0,'Combined Retirement'!$I$13)</f>
        <v>2420</v>
      </c>
      <c r="J529" s="25">
        <f t="shared" si="523"/>
        <v>6404.7404596389215</v>
      </c>
      <c r="K529" s="25">
        <f t="shared" si="524"/>
        <v>16520.094745597391</v>
      </c>
      <c r="L529" s="25"/>
      <c r="N529" s="25">
        <f>'Combined Retirement'!$C$18/12</f>
        <v>33932.660666666663</v>
      </c>
      <c r="O529" s="25">
        <f t="shared" si="525"/>
        <v>11007.82546143035</v>
      </c>
      <c r="P529" s="25">
        <f t="shared" si="526"/>
        <v>22924.835205236312</v>
      </c>
      <c r="Q529" s="25">
        <f t="array" aca="1" ref="Q529" ca="1">INDEX('Isaac 401k'!L:L,MATCH('Retirement Calculator'!A529,'Isaac 401k'!N:N,0),0)</f>
        <v>4906451.4388077445</v>
      </c>
      <c r="R529" s="25">
        <f t="array" aca="1" ref="R529" ca="1">INDEX('Lorri 401b'!L:L,MATCH('Retirement Calculator'!A529,'Lorri 401b'!N:N,0),0)</f>
        <v>5868961.0326331798</v>
      </c>
      <c r="S529" s="25">
        <f t="shared" ca="1" si="527"/>
        <v>10775412.471440924</v>
      </c>
    </row>
    <row r="530" spans="1:19" ht="15.75" customHeight="1" x14ac:dyDescent="0.3">
      <c r="A530" s="37">
        <v>67085</v>
      </c>
      <c r="B530" s="409">
        <f t="shared" ref="B530:C530" si="536">($A530-B$9)/365.25</f>
        <v>101.7905544147844</v>
      </c>
      <c r="C530" s="409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3525.4531757812501</v>
      </c>
      <c r="H530" s="25">
        <f>IF(B530&lt;62,0,'Combined Retirement'!$I$14)</f>
        <v>2192</v>
      </c>
      <c r="I530" s="25">
        <f>IF(C530&lt;62,0,'Combined Retirement'!$I$13)</f>
        <v>2420</v>
      </c>
      <c r="J530" s="25">
        <f t="shared" si="523"/>
        <v>6404.7404596389215</v>
      </c>
      <c r="K530" s="25">
        <f t="shared" si="524"/>
        <v>16520.094745597391</v>
      </c>
      <c r="L530" s="25"/>
      <c r="N530" s="25">
        <f>'Combined Retirement'!$C$18/12</f>
        <v>33932.660666666663</v>
      </c>
      <c r="O530" s="25">
        <f t="shared" si="525"/>
        <v>11007.82546143035</v>
      </c>
      <c r="P530" s="25">
        <f t="shared" si="526"/>
        <v>22924.835205236312</v>
      </c>
      <c r="Q530" s="25">
        <f t="array" aca="1" ref="Q530" ca="1">INDEX('Isaac 401k'!L:L,MATCH('Retirement Calculator'!A530,'Isaac 401k'!N:N,0),0)</f>
        <v>4920463.5595912226</v>
      </c>
      <c r="R530" s="25">
        <f t="array" aca="1" ref="R530" ca="1">INDEX('Lorri 401b'!L:L,MATCH('Retirement Calculator'!A530,'Lorri 401b'!N:N,0),0)</f>
        <v>5876826.1084621139</v>
      </c>
      <c r="S530" s="25">
        <f t="shared" ca="1" si="527"/>
        <v>10797289.668053336</v>
      </c>
    </row>
    <row r="531" spans="1:19" ht="15.75" customHeight="1" x14ac:dyDescent="0.3">
      <c r="A531" s="37">
        <v>67115</v>
      </c>
      <c r="B531" s="409">
        <f t="shared" ref="B531:C531" si="537">($A531-B$9)/365.25</f>
        <v>101.87268993839835</v>
      </c>
      <c r="C531" s="409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3525.4531757812501</v>
      </c>
      <c r="H531" s="25">
        <f>IF(B531&lt;62,0,'Combined Retirement'!$I$14)</f>
        <v>2192</v>
      </c>
      <c r="I531" s="25">
        <f>IF(C531&lt;62,0,'Combined Retirement'!$I$13)</f>
        <v>2420</v>
      </c>
      <c r="J531" s="25">
        <f t="shared" si="523"/>
        <v>6404.7404596389215</v>
      </c>
      <c r="K531" s="25">
        <f t="shared" si="524"/>
        <v>16520.094745597391</v>
      </c>
      <c r="L531" s="25"/>
      <c r="N531" s="25">
        <f>'Combined Retirement'!$C$18/12</f>
        <v>33932.660666666663</v>
      </c>
      <c r="O531" s="25">
        <f t="shared" si="525"/>
        <v>11007.82546143035</v>
      </c>
      <c r="P531" s="25">
        <f t="shared" si="526"/>
        <v>22924.835205236312</v>
      </c>
      <c r="Q531" s="25">
        <f t="array" aca="1" ref="Q531" ca="1">INDEX('Isaac 401k'!L:L,MATCH('Retirement Calculator'!A531,'Isaac 401k'!N:N,0),0)</f>
        <v>4934534.0642112987</v>
      </c>
      <c r="R531" s="25">
        <f t="array" aca="1" ref="R531" ca="1">INDEX('Lorri 401b'!L:L,MATCH('Retirement Calculator'!A531,'Lorri 401b'!N:N,0),0)</f>
        <v>5884723.955440335</v>
      </c>
      <c r="S531" s="25">
        <f t="shared" ca="1" si="527"/>
        <v>10819258.019651633</v>
      </c>
    </row>
    <row r="532" spans="1:19" ht="15.75" customHeight="1" x14ac:dyDescent="0.3">
      <c r="A532" s="37">
        <v>67146</v>
      </c>
      <c r="B532" s="409">
        <f t="shared" ref="B532:C532" si="538">($A532-B$9)/365.25</f>
        <v>101.95756331279945</v>
      </c>
      <c r="C532" s="409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3525.4531757812501</v>
      </c>
      <c r="H532" s="25">
        <f>IF(B532&lt;62,0,'Combined Retirement'!$I$14)</f>
        <v>2192</v>
      </c>
      <c r="I532" s="25">
        <f>IF(C532&lt;62,0,'Combined Retirement'!$I$13)</f>
        <v>2420</v>
      </c>
      <c r="J532" s="25">
        <f t="shared" si="523"/>
        <v>6404.7404596389215</v>
      </c>
      <c r="K532" s="25">
        <f t="shared" si="524"/>
        <v>16520.094745597391</v>
      </c>
      <c r="L532" s="25"/>
      <c r="N532" s="25">
        <f>'Combined Retirement'!$C$18/12</f>
        <v>33932.660666666663</v>
      </c>
      <c r="O532" s="25">
        <f t="shared" si="525"/>
        <v>11007.82546143035</v>
      </c>
      <c r="P532" s="25">
        <f t="shared" si="526"/>
        <v>22924.835205236312</v>
      </c>
      <c r="Q532" s="25">
        <f t="array" aca="1" ref="Q532" ca="1">INDEX('Isaac 401k'!L:L,MATCH('Retirement Calculator'!A532,'Isaac 401k'!N:N,0),0)</f>
        <v>4948663.1959339585</v>
      </c>
      <c r="R532" s="25">
        <f t="array" aca="1" ref="R532" ca="1">INDEX('Lorri 401b'!L:L,MATCH('Retirement Calculator'!A532,'Lorri 401b'!N:N,0),0)</f>
        <v>5892654.7101142984</v>
      </c>
      <c r="S532" s="25">
        <f t="shared" ca="1" si="527"/>
        <v>10841317.906048257</v>
      </c>
    </row>
    <row r="533" spans="1:19" ht="15.75" customHeight="1" x14ac:dyDescent="0.3">
      <c r="A533" s="37">
        <v>67176</v>
      </c>
      <c r="B533" s="409">
        <f t="shared" ref="B533:C533" si="539">($A533-B$9)/365.25</f>
        <v>102.03969883641342</v>
      </c>
      <c r="C533" s="409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3525.4531757812501</v>
      </c>
      <c r="H533" s="25">
        <f>IF(B533&lt;62,0,'Combined Retirement'!$I$14)</f>
        <v>2192</v>
      </c>
      <c r="I533" s="25">
        <f>IF(C533&lt;62,0,'Combined Retirement'!$I$13)</f>
        <v>2420</v>
      </c>
      <c r="J533" s="25">
        <f t="shared" si="523"/>
        <v>6404.7404596389215</v>
      </c>
      <c r="K533" s="25">
        <f t="shared" si="524"/>
        <v>16520.094745597391</v>
      </c>
      <c r="L533" s="25"/>
      <c r="N533" s="25">
        <f>'Combined Retirement'!$C$18/12</f>
        <v>33932.660666666663</v>
      </c>
      <c r="O533" s="25">
        <f t="shared" si="525"/>
        <v>11007.82546143035</v>
      </c>
      <c r="P533" s="25">
        <f t="shared" si="526"/>
        <v>22924.835205236312</v>
      </c>
      <c r="Q533" s="25">
        <f t="array" aca="1" ref="Q533" ca="1">INDEX('Isaac 401k'!L:L,MATCH('Retirement Calculator'!A533,'Isaac 401k'!N:N,0),0)</f>
        <v>4962851.1990387961</v>
      </c>
      <c r="R533" s="25">
        <f t="array" aca="1" ref="R533" ca="1">INDEX('Lorri 401b'!L:L,MATCH('Retirement Calculator'!A533,'Lorri 401b'!N:N,0),0)</f>
        <v>5900618.5095994035</v>
      </c>
      <c r="S533" s="25">
        <f t="shared" ca="1" si="527"/>
        <v>10863469.708638199</v>
      </c>
    </row>
    <row r="534" spans="1:19" ht="15.75" customHeight="1" x14ac:dyDescent="0.3">
      <c r="A534" s="37">
        <v>67207</v>
      </c>
      <c r="B534" s="409">
        <f t="shared" ref="B534:C534" si="540">($A534-B$9)/365.25</f>
        <v>102.12457221081451</v>
      </c>
      <c r="C534" s="409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3525.4531757812501</v>
      </c>
      <c r="H534" s="25">
        <f>IF(B534&lt;62,0,'Combined Retirement'!$I$14)</f>
        <v>2192</v>
      </c>
      <c r="I534" s="25">
        <f>IF(C534&lt;62,0,'Combined Retirement'!$I$13)</f>
        <v>2420</v>
      </c>
      <c r="J534" s="25">
        <f t="shared" si="523"/>
        <v>6404.7404596389215</v>
      </c>
      <c r="K534" s="25">
        <f t="shared" si="524"/>
        <v>16520.094745597391</v>
      </c>
      <c r="L534" s="25"/>
      <c r="N534" s="25">
        <f>'Combined Retirement'!$C$18/12</f>
        <v>33932.660666666663</v>
      </c>
      <c r="O534" s="25">
        <f t="shared" si="525"/>
        <v>11007.82546143035</v>
      </c>
      <c r="P534" s="25">
        <f t="shared" si="526"/>
        <v>22924.835205236312</v>
      </c>
      <c r="Q534" s="25">
        <f t="array" aca="1" ref="Q534" ca="1">INDEX('Isaac 401k'!L:L,MATCH('Retirement Calculator'!A534,'Isaac 401k'!N:N,0),0)</f>
        <v>4977098.318823237</v>
      </c>
      <c r="R534" s="25">
        <f t="array" aca="1" ref="R534" ca="1">INDEX('Lorri 401b'!L:L,MATCH('Retirement Calculator'!A534,'Lorri 401b'!N:N,0),0)</f>
        <v>5908615.4915823629</v>
      </c>
      <c r="S534" s="25">
        <f t="shared" ca="1" si="527"/>
        <v>10885713.810405601</v>
      </c>
    </row>
    <row r="535" spans="1:19" ht="15.75" customHeight="1" x14ac:dyDescent="0.3">
      <c r="A535" s="37">
        <v>67238</v>
      </c>
      <c r="B535" s="409">
        <f t="shared" ref="B535:C535" si="541">($A535-B$9)/365.25</f>
        <v>102.2094455852156</v>
      </c>
      <c r="C535" s="409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3525.4531757812501</v>
      </c>
      <c r="H535" s="25">
        <f>IF(B535&lt;62,0,'Combined Retirement'!$I$14)</f>
        <v>2192</v>
      </c>
      <c r="I535" s="25">
        <f>IF(C535&lt;62,0,'Combined Retirement'!$I$13)</f>
        <v>2420</v>
      </c>
      <c r="J535" s="25">
        <f t="shared" si="523"/>
        <v>6404.7404596389215</v>
      </c>
      <c r="K535" s="25">
        <f t="shared" si="524"/>
        <v>16520.094745597391</v>
      </c>
      <c r="L535" s="25"/>
      <c r="N535" s="25">
        <f>'Combined Retirement'!$C$18/12</f>
        <v>33932.660666666663</v>
      </c>
      <c r="O535" s="25">
        <f t="shared" si="525"/>
        <v>11007.82546143035</v>
      </c>
      <c r="P535" s="25">
        <f t="shared" si="526"/>
        <v>22924.835205236312</v>
      </c>
      <c r="Q535" s="25">
        <f t="array" aca="1" ref="Q535" ca="1">INDEX('Isaac 401k'!L:L,MATCH('Retirement Calculator'!A535,'Isaac 401k'!N:N,0),0)</f>
        <v>4991404.8016067799</v>
      </c>
      <c r="R535" s="25">
        <f t="array" aca="1" ref="R535" ca="1">INDEX('Lorri 401b'!L:L,MATCH('Retirement Calculator'!A535,'Lorri 401b'!N:N,0),0)</f>
        <v>5916645.794323585</v>
      </c>
      <c r="S535" s="25">
        <f t="shared" ca="1" si="527"/>
        <v>10908050.595930364</v>
      </c>
    </row>
    <row r="536" spans="1:19" ht="15.75" customHeight="1" x14ac:dyDescent="0.3">
      <c r="A536" s="37">
        <v>67267</v>
      </c>
      <c r="B536" s="409">
        <f t="shared" ref="B536:C536" si="542">($A536-B$9)/365.25</f>
        <v>102.28884325804243</v>
      </c>
      <c r="C536" s="409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3525.4531757812501</v>
      </c>
      <c r="H536" s="25">
        <f>IF(B536&lt;62,0,'Combined Retirement'!$I$14)</f>
        <v>2192</v>
      </c>
      <c r="I536" s="25">
        <f>IF(C536&lt;62,0,'Combined Retirement'!$I$13)</f>
        <v>2420</v>
      </c>
      <c r="J536" s="25">
        <f t="shared" si="523"/>
        <v>6404.7404596389215</v>
      </c>
      <c r="K536" s="25">
        <f t="shared" si="524"/>
        <v>16520.094745597391</v>
      </c>
      <c r="L536" s="25"/>
      <c r="N536" s="25">
        <f>'Combined Retirement'!$C$18/12</f>
        <v>33932.660666666663</v>
      </c>
      <c r="O536" s="25">
        <f t="shared" si="525"/>
        <v>11007.82546143035</v>
      </c>
      <c r="P536" s="25">
        <f t="shared" si="526"/>
        <v>22924.835205236312</v>
      </c>
      <c r="Q536" s="25">
        <f t="array" aca="1" ref="Q536" ca="1">INDEX('Isaac 401k'!L:L,MATCH('Retirement Calculator'!A536,'Isaac 401k'!N:N,0),0)</f>
        <v>5005770.8947352543</v>
      </c>
      <c r="R536" s="25">
        <f t="array" aca="1" ref="R536" ca="1">INDEX('Lorri 401b'!L:L,MATCH('Retirement Calculator'!A536,'Lorri 401b'!N:N,0),0)</f>
        <v>5924709.5566595625</v>
      </c>
      <c r="S536" s="25">
        <f t="shared" ca="1" si="527"/>
        <v>10930480.451394817</v>
      </c>
    </row>
    <row r="537" spans="1:19" ht="15.75" customHeight="1" x14ac:dyDescent="0.3">
      <c r="A537" s="37">
        <v>67298</v>
      </c>
      <c r="B537" s="409">
        <f t="shared" ref="B537:C537" si="543">($A537-B$9)/365.25</f>
        <v>102.37371663244353</v>
      </c>
      <c r="C537" s="409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3525.4531757812501</v>
      </c>
      <c r="H537" s="25">
        <f>IF(B537&lt;62,0,'Combined Retirement'!$I$14)</f>
        <v>2192</v>
      </c>
      <c r="I537" s="25">
        <f>IF(C537&lt;62,0,'Combined Retirement'!$I$13)</f>
        <v>2420</v>
      </c>
      <c r="J537" s="25">
        <f t="shared" si="523"/>
        <v>6404.7404596389215</v>
      </c>
      <c r="K537" s="25">
        <f t="shared" si="524"/>
        <v>16520.094745597391</v>
      </c>
      <c r="L537" s="25"/>
      <c r="N537" s="25">
        <f>'Combined Retirement'!$C$18/12</f>
        <v>33932.660666666663</v>
      </c>
      <c r="O537" s="25">
        <f t="shared" si="525"/>
        <v>11007.82546143035</v>
      </c>
      <c r="P537" s="25">
        <f t="shared" si="526"/>
        <v>22924.835205236312</v>
      </c>
      <c r="Q537" s="25">
        <f t="array" aca="1" ref="Q537" ca="1">INDEX('Isaac 401k'!L:L,MATCH('Retirement Calculator'!A537,'Isaac 401k'!N:N,0),0)</f>
        <v>5020196.8465850977</v>
      </c>
      <c r="R537" s="25">
        <f t="array" aca="1" ref="R537" ca="1">INDEX('Lorri 401b'!L:L,MATCH('Retirement Calculator'!A537,'Lorri 401b'!N:N,0),0)</f>
        <v>5932806.9180052727</v>
      </c>
      <c r="S537" s="25">
        <f t="shared" ca="1" si="527"/>
        <v>10953003.764590371</v>
      </c>
    </row>
    <row r="538" spans="1:19" ht="15.75" customHeight="1" x14ac:dyDescent="0.3">
      <c r="A538" s="37">
        <v>67328</v>
      </c>
      <c r="B538" s="409">
        <f t="shared" ref="B538:C538" si="544">($A538-B$9)/365.25</f>
        <v>102.45585215605749</v>
      </c>
      <c r="C538" s="409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3525.4531757812501</v>
      </c>
      <c r="H538" s="25">
        <f>IF(B538&lt;62,0,'Combined Retirement'!$I$14)</f>
        <v>2192</v>
      </c>
      <c r="I538" s="25">
        <f>IF(C538&lt;62,0,'Combined Retirement'!$I$13)</f>
        <v>2420</v>
      </c>
      <c r="J538" s="25">
        <f t="shared" si="523"/>
        <v>6404.7404596389215</v>
      </c>
      <c r="K538" s="25">
        <f t="shared" si="524"/>
        <v>16520.094745597391</v>
      </c>
      <c r="L538" s="25"/>
      <c r="N538" s="25">
        <f>'Combined Retirement'!$C$18/12</f>
        <v>33932.660666666663</v>
      </c>
      <c r="O538" s="25">
        <f t="shared" si="525"/>
        <v>11007.82546143035</v>
      </c>
      <c r="P538" s="25">
        <f t="shared" si="526"/>
        <v>22924.835205236312</v>
      </c>
      <c r="Q538" s="25">
        <f t="array" aca="1" ref="Q538" ca="1">INDEX('Isaac 401k'!L:L,MATCH('Retirement Calculator'!A538,'Isaac 401k'!N:N,0),0)</f>
        <v>5034682.9065676481</v>
      </c>
      <c r="R538" s="25">
        <f t="array" aca="1" ref="R538" ca="1">INDEX('Lorri 401b'!L:L,MATCH('Retirement Calculator'!A538,'Lorri 401b'!N:N,0),0)</f>
        <v>5940938.0183565905</v>
      </c>
      <c r="S538" s="25">
        <f t="shared" ca="1" si="527"/>
        <v>10975620.92492424</v>
      </c>
    </row>
    <row r="539" spans="1:19" ht="15.75" customHeight="1" x14ac:dyDescent="0.3">
      <c r="A539" s="37">
        <v>67359</v>
      </c>
      <c r="B539" s="409">
        <f t="shared" ref="B539:C539" si="545">($A539-B$9)/365.25</f>
        <v>102.54072553045859</v>
      </c>
      <c r="C539" s="409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3525.4531757812501</v>
      </c>
      <c r="H539" s="25">
        <f>IF(B539&lt;62,0,'Combined Retirement'!$I$14)</f>
        <v>2192</v>
      </c>
      <c r="I539" s="25">
        <f>IF(C539&lt;62,0,'Combined Retirement'!$I$13)</f>
        <v>2420</v>
      </c>
      <c r="J539" s="25">
        <f t="shared" si="523"/>
        <v>6404.7404596389215</v>
      </c>
      <c r="K539" s="25">
        <f t="shared" si="524"/>
        <v>16520.094745597391</v>
      </c>
      <c r="L539" s="25"/>
      <c r="N539" s="25">
        <f>'Combined Retirement'!$C$18/12</f>
        <v>33932.660666666663</v>
      </c>
      <c r="O539" s="25">
        <f t="shared" si="525"/>
        <v>11007.82546143035</v>
      </c>
      <c r="P539" s="25">
        <f t="shared" si="526"/>
        <v>22924.835205236312</v>
      </c>
      <c r="Q539" s="25">
        <f t="array" aca="1" ref="Q539" ca="1">INDEX('Isaac 401k'!L:L,MATCH('Retirement Calculator'!A539,'Isaac 401k'!N:N,0),0)</f>
        <v>5049229.3251334596</v>
      </c>
      <c r="R539" s="25">
        <f t="array" aca="1" ref="R539" ca="1">INDEX('Lorri 401b'!L:L,MATCH('Retirement Calculator'!A539,'Lorri 401b'!N:N,0),0)</f>
        <v>5949102.998292705</v>
      </c>
      <c r="S539" s="25">
        <f t="shared" ca="1" si="527"/>
        <v>10998332.323426165</v>
      </c>
    </row>
    <row r="540" spans="1:19" ht="15.75" customHeight="1" x14ac:dyDescent="0.3">
      <c r="A540" s="37">
        <v>67389</v>
      </c>
      <c r="B540" s="409">
        <f t="shared" ref="B540:C540" si="546">($A540-B$9)/365.25</f>
        <v>102.62286105407256</v>
      </c>
      <c r="C540" s="409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3525.4531757812501</v>
      </c>
      <c r="H540" s="25">
        <f>IF(B540&lt;62,0,'Combined Retirement'!$I$14)</f>
        <v>2192</v>
      </c>
      <c r="I540" s="25">
        <f>IF(C540&lt;62,0,'Combined Retirement'!$I$13)</f>
        <v>2420</v>
      </c>
      <c r="J540" s="25">
        <f t="shared" si="523"/>
        <v>6404.7404596389215</v>
      </c>
      <c r="K540" s="25">
        <f t="shared" si="524"/>
        <v>16520.094745597391</v>
      </c>
      <c r="L540" s="25"/>
      <c r="N540" s="25">
        <f>'Combined Retirement'!$C$18/12</f>
        <v>33932.660666666663</v>
      </c>
      <c r="O540" s="25">
        <f t="shared" si="525"/>
        <v>11007.82546143035</v>
      </c>
      <c r="P540" s="25">
        <f t="shared" si="526"/>
        <v>22924.835205236312</v>
      </c>
      <c r="Q540" s="25">
        <f t="array" aca="1" ref="Q540" ca="1">INDEX('Isaac 401k'!L:L,MATCH('Retirement Calculator'!A540,'Isaac 401k'!N:N,0),0)</f>
        <v>5063836.3537766282</v>
      </c>
      <c r="R540" s="25">
        <f t="array" aca="1" ref="R540" ca="1">INDEX('Lorri 401b'!L:L,MATCH('Retirement Calculator'!A540,'Lorri 401b'!N:N,0),0)</f>
        <v>5957301.9989785533</v>
      </c>
      <c r="S540" s="25">
        <f t="shared" ca="1" si="527"/>
        <v>11021138.352755181</v>
      </c>
    </row>
    <row r="541" spans="1:19" ht="15.75" customHeight="1" x14ac:dyDescent="0.3">
      <c r="A541" s="37">
        <v>67420</v>
      </c>
      <c r="B541" s="409">
        <f t="shared" ref="B541:C541" si="547">($A541-B$9)/365.25</f>
        <v>102.70773442847364</v>
      </c>
      <c r="C541" s="409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3525.4531757812501</v>
      </c>
      <c r="H541" s="25">
        <f>IF(B541&lt;62,0,'Combined Retirement'!$I$14)</f>
        <v>2192</v>
      </c>
      <c r="I541" s="25">
        <f>IF(C541&lt;62,0,'Combined Retirement'!$I$13)</f>
        <v>2420</v>
      </c>
      <c r="J541" s="25">
        <f t="shared" si="523"/>
        <v>6404.7404596389215</v>
      </c>
      <c r="K541" s="25">
        <f t="shared" si="524"/>
        <v>16520.094745597391</v>
      </c>
      <c r="L541" s="25"/>
      <c r="N541" s="25">
        <f>'Combined Retirement'!$C$18/12</f>
        <v>33932.660666666663</v>
      </c>
      <c r="O541" s="25">
        <f t="shared" si="525"/>
        <v>11007.82546143035</v>
      </c>
      <c r="P541" s="25">
        <f t="shared" si="526"/>
        <v>22924.835205236312</v>
      </c>
      <c r="Q541" s="25">
        <f t="array" aca="1" ref="Q541" ca="1">INDEX('Isaac 401k'!L:L,MATCH('Retirement Calculator'!A541,'Isaac 401k'!N:N,0),0)</f>
        <v>5078504.2450391436</v>
      </c>
      <c r="R541" s="25">
        <f t="array" aca="1" ref="R541" ca="1">INDEX('Lorri 401b'!L:L,MATCH('Retirement Calculator'!A541,'Lorri 401b'!N:N,0),0)</f>
        <v>5965535.1621672595</v>
      </c>
      <c r="S541" s="25">
        <f t="shared" ca="1" si="527"/>
        <v>11044039.407206403</v>
      </c>
    </row>
    <row r="542" spans="1:19" ht="15.75" customHeight="1" x14ac:dyDescent="0.3">
      <c r="A542" s="37">
        <v>67451</v>
      </c>
      <c r="B542" s="409">
        <f t="shared" ref="B542:C542" si="548">($A542-B$9)/365.25</f>
        <v>102.79260780287474</v>
      </c>
      <c r="C542" s="409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3525.4531757812501</v>
      </c>
      <c r="H542" s="25">
        <f>IF(B542&lt;62,0,'Combined Retirement'!$I$14)</f>
        <v>2192</v>
      </c>
      <c r="I542" s="25">
        <f>IF(C542&lt;62,0,'Combined Retirement'!$I$13)</f>
        <v>2420</v>
      </c>
      <c r="J542" s="25">
        <f t="shared" si="523"/>
        <v>6404.7404596389215</v>
      </c>
      <c r="K542" s="25">
        <f t="shared" si="524"/>
        <v>16520.094745597391</v>
      </c>
      <c r="L542" s="25"/>
      <c r="N542" s="25">
        <f>'Combined Retirement'!$C$18/12</f>
        <v>33932.660666666663</v>
      </c>
      <c r="O542" s="25">
        <f t="shared" si="525"/>
        <v>11007.82546143035</v>
      </c>
      <c r="P542" s="25">
        <f t="shared" si="526"/>
        <v>22924.835205236312</v>
      </c>
      <c r="Q542" s="25">
        <f t="array" aca="1" ref="Q542" ca="1">INDEX('Isaac 401k'!L:L,MATCH('Retirement Calculator'!A542,'Isaac 401k'!N:N,0),0)</f>
        <v>5093233.2525152527</v>
      </c>
      <c r="R542" s="25">
        <f t="array" aca="1" ref="R542" ca="1">INDEX('Lorri 401b'!L:L,MATCH('Retirement Calculator'!A542,'Lorri 401b'!N:N,0),0)</f>
        <v>5973802.6302025849</v>
      </c>
      <c r="S542" s="25">
        <f t="shared" ca="1" si="527"/>
        <v>11067035.882717837</v>
      </c>
    </row>
    <row r="543" spans="1:19" ht="15.75" customHeight="1" x14ac:dyDescent="0.3">
      <c r="A543" s="37">
        <v>67481</v>
      </c>
      <c r="B543" s="409">
        <f t="shared" ref="B543:C543" si="549">($A543-B$9)/365.25</f>
        <v>102.87474332648871</v>
      </c>
      <c r="C543" s="409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3525.4531757812501</v>
      </c>
      <c r="H543" s="25">
        <f>IF(B543&lt;62,0,'Combined Retirement'!$I$14)</f>
        <v>2192</v>
      </c>
      <c r="I543" s="25">
        <f>IF(C543&lt;62,0,'Combined Retirement'!$I$13)</f>
        <v>2420</v>
      </c>
      <c r="J543" s="25">
        <f t="shared" si="523"/>
        <v>6404.7404596389215</v>
      </c>
      <c r="K543" s="25">
        <f t="shared" si="524"/>
        <v>16520.094745597391</v>
      </c>
      <c r="L543" s="25"/>
      <c r="N543" s="25">
        <f>'Combined Retirement'!$C$18/12</f>
        <v>33932.660666666663</v>
      </c>
      <c r="O543" s="25">
        <f t="shared" si="525"/>
        <v>11007.82546143035</v>
      </c>
      <c r="P543" s="25">
        <f t="shared" si="526"/>
        <v>22924.835205236312</v>
      </c>
      <c r="Q543" s="25">
        <f t="array" aca="1" ref="Q543" ca="1">INDEX('Isaac 401k'!L:L,MATCH('Retirement Calculator'!A543,'Isaac 401k'!N:N,0),0)</f>
        <v>5108023.6308558462</v>
      </c>
      <c r="R543" s="25">
        <f t="array" aca="1" ref="R543" ca="1">INDEX('Lorri 401b'!L:L,MATCH('Retirement Calculator'!A543,'Lorri 401b'!N:N,0),0)</f>
        <v>5982104.5460213916</v>
      </c>
      <c r="S543" s="25">
        <f t="shared" ca="1" si="527"/>
        <v>11090128.176877238</v>
      </c>
    </row>
    <row r="544" spans="1:19" ht="15.75" customHeight="1" x14ac:dyDescent="0.3">
      <c r="A544" s="37">
        <v>67512</v>
      </c>
      <c r="B544" s="409">
        <f t="shared" ref="B544:C544" si="550">($A544-B$9)/365.25</f>
        <v>102.9596167008898</v>
      </c>
      <c r="C544" s="409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3525.4531757812501</v>
      </c>
      <c r="H544" s="25">
        <f>IF(B544&lt;62,0,'Combined Retirement'!$I$14)</f>
        <v>2192</v>
      </c>
      <c r="I544" s="25">
        <f>IF(C544&lt;62,0,'Combined Retirement'!$I$13)</f>
        <v>2420</v>
      </c>
      <c r="J544" s="25">
        <f t="shared" si="523"/>
        <v>6404.7404596389215</v>
      </c>
      <c r="K544" s="25">
        <f t="shared" si="524"/>
        <v>16520.094745597391</v>
      </c>
      <c r="L544" s="25"/>
      <c r="N544" s="25">
        <f>'Combined Retirement'!$C$18/12</f>
        <v>33932.660666666663</v>
      </c>
      <c r="O544" s="25">
        <f t="shared" si="525"/>
        <v>11007.82546143035</v>
      </c>
      <c r="P544" s="25">
        <f t="shared" si="526"/>
        <v>22924.835205236312</v>
      </c>
      <c r="Q544" s="25">
        <f t="array" aca="1" ref="Q544" ca="1">INDEX('Isaac 401k'!L:L,MATCH('Retirement Calculator'!A544,'Isaac 401k'!N:N,0),0)</f>
        <v>5122875.6357728587</v>
      </c>
      <c r="R544" s="25">
        <f t="array" aca="1" ref="R544" ca="1">INDEX('Lorri 401b'!L:L,MATCH('Retirement Calculator'!A544,'Lorri 401b'!N:N,0),0)</f>
        <v>5990441.0531561095</v>
      </c>
      <c r="S544" s="25">
        <f t="shared" ca="1" si="527"/>
        <v>11113316.688928969</v>
      </c>
    </row>
    <row r="545" spans="1:19" ht="15.75" customHeight="1" x14ac:dyDescent="0.3">
      <c r="A545" s="37">
        <v>67542</v>
      </c>
      <c r="B545" s="409">
        <f t="shared" ref="B545:C545" si="551">($A545-B$9)/365.25</f>
        <v>103.04175222450377</v>
      </c>
      <c r="C545" s="409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3525.4531757812501</v>
      </c>
      <c r="H545" s="25">
        <f>IF(B545&lt;62,0,'Combined Retirement'!$I$14)</f>
        <v>2192</v>
      </c>
      <c r="I545" s="25">
        <f>IF(C545&lt;62,0,'Combined Retirement'!$I$13)</f>
        <v>2420</v>
      </c>
      <c r="J545" s="25">
        <f t="shared" si="523"/>
        <v>6404.7404596389215</v>
      </c>
      <c r="K545" s="25">
        <f t="shared" si="524"/>
        <v>16520.094745597391</v>
      </c>
      <c r="L545" s="25"/>
      <c r="N545" s="25">
        <f>'Combined Retirement'!$C$18/12</f>
        <v>33932.660666666663</v>
      </c>
      <c r="O545" s="25">
        <f t="shared" si="525"/>
        <v>11007.82546143035</v>
      </c>
      <c r="P545" s="25">
        <f t="shared" si="526"/>
        <v>22924.835205236312</v>
      </c>
      <c r="Q545" s="25">
        <f t="array" aca="1" ref="Q545" ca="1">INDEX('Isaac 401k'!L:L,MATCH('Retirement Calculator'!A545,'Isaac 401k'!N:N,0),0)</f>
        <v>5137789.5240436923</v>
      </c>
      <c r="R545" s="25">
        <f t="array" aca="1" ref="R545" ca="1">INDEX('Lorri 401b'!L:L,MATCH('Retirement Calculator'!A545,'Lorri 401b'!N:N,0),0)</f>
        <v>5998812.2957372218</v>
      </c>
      <c r="S545" s="25">
        <f t="shared" ca="1" si="527"/>
        <v>11136601.819780914</v>
      </c>
    </row>
    <row r="546" spans="1:19" ht="15.75" customHeight="1" x14ac:dyDescent="0.3">
      <c r="A546" s="37">
        <v>67573</v>
      </c>
      <c r="B546" s="409">
        <f t="shared" ref="B546:C546" si="552">($A546-B$9)/365.25</f>
        <v>103.12662559890487</v>
      </c>
      <c r="C546" s="409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3525.4531757812501</v>
      </c>
      <c r="H546" s="25">
        <f>IF(B546&lt;62,0,'Combined Retirement'!$I$14)</f>
        <v>2192</v>
      </c>
      <c r="I546" s="25">
        <f>IF(C546&lt;62,0,'Combined Retirement'!$I$13)</f>
        <v>2420</v>
      </c>
      <c r="J546" s="25">
        <f t="shared" si="523"/>
        <v>6404.7404596389215</v>
      </c>
      <c r="K546" s="25">
        <f t="shared" si="524"/>
        <v>16520.094745597391</v>
      </c>
      <c r="L546" s="25"/>
      <c r="N546" s="25">
        <f>'Combined Retirement'!$C$18/12</f>
        <v>33932.660666666663</v>
      </c>
      <c r="O546" s="25">
        <f t="shared" si="525"/>
        <v>11007.82546143035</v>
      </c>
      <c r="P546" s="25">
        <f t="shared" si="526"/>
        <v>22924.835205236312</v>
      </c>
      <c r="Q546" s="25">
        <f t="array" aca="1" ref="Q546" ca="1">INDEX('Isaac 401k'!L:L,MATCH('Retirement Calculator'!A546,'Isaac 401k'!N:N,0),0)</f>
        <v>5152765.5535156541</v>
      </c>
      <c r="R546" s="25">
        <f t="array" aca="1" ref="R546" ca="1">INDEX('Lorri 401b'!L:L,MATCH('Retirement Calculator'!A546,'Lorri 401b'!N:N,0),0)</f>
        <v>6007218.4184957556</v>
      </c>
      <c r="S546" s="25">
        <f t="shared" ca="1" si="527"/>
        <v>11159983.97201141</v>
      </c>
    </row>
    <row r="547" spans="1:19" ht="15.75" customHeight="1" x14ac:dyDescent="0.3">
      <c r="A547" s="37">
        <v>67604</v>
      </c>
      <c r="B547" s="409">
        <f t="shared" ref="B547:C547" si="553">($A547-B$9)/365.25</f>
        <v>103.21149897330595</v>
      </c>
      <c r="C547" s="409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3525.4531757812501</v>
      </c>
      <c r="H547" s="25">
        <f>IF(B547&lt;62,0,'Combined Retirement'!$I$14)</f>
        <v>2192</v>
      </c>
      <c r="I547" s="25">
        <f>IF(C547&lt;62,0,'Combined Retirement'!$I$13)</f>
        <v>2420</v>
      </c>
      <c r="J547" s="25">
        <f t="shared" si="523"/>
        <v>6404.7404596389215</v>
      </c>
      <c r="K547" s="25">
        <f t="shared" si="524"/>
        <v>16520.094745597391</v>
      </c>
      <c r="L547" s="25"/>
      <c r="N547" s="25">
        <f>'Combined Retirement'!$C$18/12</f>
        <v>33932.660666666663</v>
      </c>
      <c r="O547" s="25">
        <f t="shared" si="525"/>
        <v>11007.82546143035</v>
      </c>
      <c r="P547" s="25">
        <f t="shared" si="526"/>
        <v>22924.835205236312</v>
      </c>
      <c r="Q547" s="25">
        <f t="array" aca="1" ref="Q547" ca="1">INDEX('Isaac 401k'!L:L,MATCH('Retirement Calculator'!A547,'Isaac 401k'!N:N,0),0)</f>
        <v>5167803.9831104157</v>
      </c>
      <c r="R547" s="25">
        <f t="array" aca="1" ref="R547" ca="1">INDEX('Lorri 401b'!L:L,MATCH('Retirement Calculator'!A547,'Lorri 401b'!N:N,0),0)</f>
        <v>6015659.5667657834</v>
      </c>
      <c r="S547" s="25">
        <f t="shared" ca="1" si="527"/>
        <v>11183463.549876198</v>
      </c>
    </row>
    <row r="548" spans="1:19" ht="15.75" customHeight="1" x14ac:dyDescent="0.3">
      <c r="A548" s="37">
        <v>67632</v>
      </c>
      <c r="B548" s="409">
        <f t="shared" ref="B548:C548" si="554">($A548-B$9)/365.25</f>
        <v>103.28815879534565</v>
      </c>
      <c r="C548" s="409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3525.4531757812501</v>
      </c>
      <c r="H548" s="25">
        <f>IF(B548&lt;62,0,'Combined Retirement'!$I$14)</f>
        <v>2192</v>
      </c>
      <c r="I548" s="25">
        <f>IF(C548&lt;62,0,'Combined Retirement'!$I$13)</f>
        <v>2420</v>
      </c>
      <c r="J548" s="25">
        <f t="shared" si="523"/>
        <v>6404.7404596389215</v>
      </c>
      <c r="K548" s="25">
        <f t="shared" si="524"/>
        <v>16520.094745597391</v>
      </c>
      <c r="L548" s="25"/>
      <c r="N548" s="25">
        <f>'Combined Retirement'!$C$18/12</f>
        <v>33932.660666666663</v>
      </c>
      <c r="O548" s="25">
        <f t="shared" si="525"/>
        <v>11007.82546143035</v>
      </c>
      <c r="P548" s="25">
        <f t="shared" si="526"/>
        <v>22924.835205236312</v>
      </c>
      <c r="Q548" s="25">
        <f t="array" aca="1" ref="Q548" ca="1">INDEX('Isaac 401k'!L:L,MATCH('Retirement Calculator'!A548,'Isaac 401k'!N:N,0),0)</f>
        <v>5182905.0728284884</v>
      </c>
      <c r="R548" s="25">
        <f t="array" aca="1" ref="R548" ca="1">INDEX('Lorri 401b'!L:L,MATCH('Retirement Calculator'!A548,'Lorri 401b'!N:N,0),0)</f>
        <v>6024135.8864869364</v>
      </c>
      <c r="S548" s="25">
        <f t="shared" ca="1" si="527"/>
        <v>11207040.959315425</v>
      </c>
    </row>
    <row r="549" spans="1:19" ht="15.75" customHeight="1" x14ac:dyDescent="0.3">
      <c r="A549" s="37">
        <v>67663</v>
      </c>
      <c r="B549" s="409">
        <f t="shared" ref="B549:C549" si="555">($A549-B$9)/365.25</f>
        <v>103.37303216974675</v>
      </c>
      <c r="C549" s="409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3525.4531757812501</v>
      </c>
      <c r="H549" s="25">
        <f>IF(B549&lt;62,0,'Combined Retirement'!$I$14)</f>
        <v>2192</v>
      </c>
      <c r="I549" s="25">
        <f>IF(C549&lt;62,0,'Combined Retirement'!$I$13)</f>
        <v>2420</v>
      </c>
      <c r="J549" s="25">
        <f t="shared" si="523"/>
        <v>6404.7404596389215</v>
      </c>
      <c r="K549" s="25">
        <f t="shared" si="524"/>
        <v>16520.094745597391</v>
      </c>
      <c r="L549" s="25"/>
      <c r="N549" s="25">
        <f>'Combined Retirement'!$C$18/12</f>
        <v>33932.660666666663</v>
      </c>
      <c r="O549" s="25">
        <f t="shared" si="525"/>
        <v>11007.82546143035</v>
      </c>
      <c r="P549" s="25">
        <f t="shared" si="526"/>
        <v>22924.835205236312</v>
      </c>
      <c r="Q549" s="25">
        <f t="array" aca="1" ref="Q549" ca="1">INDEX('Isaac 401k'!L:L,MATCH('Retirement Calculator'!A549,'Isaac 401k'!N:N,0),0)</f>
        <v>5198069.0837537199</v>
      </c>
      <c r="R549" s="25">
        <f t="array" aca="1" ref="R549" ca="1">INDEX('Lorri 401b'!L:L,MATCH('Retirement Calculator'!A549,'Lorri 401b'!N:N,0),0)</f>
        <v>6032647.524206927</v>
      </c>
      <c r="S549" s="25">
        <f t="shared" ca="1" si="527"/>
        <v>11230716.607960647</v>
      </c>
    </row>
    <row r="550" spans="1:19" ht="15.75" customHeight="1" x14ac:dyDescent="0.3">
      <c r="A550" s="37">
        <v>67693</v>
      </c>
      <c r="B550" s="409">
        <f t="shared" ref="B550:C550" si="556">($A550-B$9)/365.25</f>
        <v>103.45516769336071</v>
      </c>
      <c r="C550" s="409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3525.4531757812501</v>
      </c>
      <c r="H550" s="25">
        <f>IF(B550&lt;62,0,'Combined Retirement'!$I$14)</f>
        <v>2192</v>
      </c>
      <c r="I550" s="25">
        <f>IF(C550&lt;62,0,'Combined Retirement'!$I$13)</f>
        <v>2420</v>
      </c>
      <c r="J550" s="25">
        <f t="shared" si="523"/>
        <v>6404.7404596389215</v>
      </c>
      <c r="K550" s="25">
        <f t="shared" si="524"/>
        <v>16520.094745597391</v>
      </c>
      <c r="L550" s="25"/>
      <c r="N550" s="25">
        <f>'Combined Retirement'!$C$18/12</f>
        <v>33932.660666666663</v>
      </c>
      <c r="O550" s="25">
        <f t="shared" si="525"/>
        <v>11007.82546143035</v>
      </c>
      <c r="P550" s="25">
        <f t="shared" si="526"/>
        <v>22924.835205236312</v>
      </c>
      <c r="Q550" s="25">
        <f t="array" aca="1" ref="Q550" ca="1">INDEX('Isaac 401k'!L:L,MATCH('Retirement Calculator'!A550,'Isaac 401k'!N:N,0),0)</f>
        <v>5213296.2780578062</v>
      </c>
      <c r="R550" s="25">
        <f t="array" aca="1" ref="R550" ca="1">INDEX('Lorri 401b'!L:L,MATCH('Retirement Calculator'!A550,'Lorri 401b'!N:N,0),0)</f>
        <v>6041194.6270840848</v>
      </c>
      <c r="S550" s="25">
        <f t="shared" ca="1" si="527"/>
        <v>11254490.90514189</v>
      </c>
    </row>
    <row r="551" spans="1:19" ht="15.75" customHeight="1" x14ac:dyDescent="0.3">
      <c r="A551" s="37">
        <v>67724</v>
      </c>
      <c r="B551" s="409">
        <f t="shared" ref="B551:C551" si="557">($A551-B$9)/365.25</f>
        <v>103.54004106776181</v>
      </c>
      <c r="C551" s="409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3525.4531757812501</v>
      </c>
      <c r="H551" s="25">
        <f>IF(B551&lt;62,0,'Combined Retirement'!$I$14)</f>
        <v>2192</v>
      </c>
      <c r="I551" s="25">
        <f>IF(C551&lt;62,0,'Combined Retirement'!$I$13)</f>
        <v>2420</v>
      </c>
      <c r="J551" s="25">
        <f t="shared" si="523"/>
        <v>6404.7404596389215</v>
      </c>
      <c r="K551" s="25">
        <f t="shared" si="524"/>
        <v>16520.094745597391</v>
      </c>
      <c r="L551" s="25"/>
      <c r="N551" s="25">
        <f>'Combined Retirement'!$C$18/12</f>
        <v>33932.660666666663</v>
      </c>
      <c r="O551" s="25">
        <f t="shared" si="525"/>
        <v>11007.82546143035</v>
      </c>
      <c r="P551" s="25">
        <f t="shared" si="526"/>
        <v>22924.835205236312</v>
      </c>
      <c r="Q551" s="25">
        <f t="array" aca="1" ref="Q551" ca="1">INDEX('Isaac 401k'!L:L,MATCH('Retirement Calculator'!A551,'Isaac 401k'!N:N,0),0)</f>
        <v>5228586.9190048268</v>
      </c>
      <c r="R551" s="25">
        <f t="array" aca="1" ref="R551" ca="1">INDEX('Lorri 401b'!L:L,MATCH('Retirement Calculator'!A551,'Lorri 401b'!N:N,0),0)</f>
        <v>6049777.3428898975</v>
      </c>
      <c r="S551" s="25">
        <f t="shared" ca="1" si="527"/>
        <v>11278364.261894725</v>
      </c>
    </row>
    <row r="552" spans="1:19" ht="15.75" customHeight="1" x14ac:dyDescent="0.3">
      <c r="A552" s="37">
        <v>67754</v>
      </c>
      <c r="B552" s="409">
        <f t="shared" ref="B552:C552" si="558">($A552-B$9)/365.25</f>
        <v>103.62217659137578</v>
      </c>
      <c r="C552" s="409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3525.4531757812501</v>
      </c>
      <c r="H552" s="25">
        <f>IF(B552&lt;62,0,'Combined Retirement'!$I$14)</f>
        <v>2192</v>
      </c>
      <c r="I552" s="25">
        <f>IF(C552&lt;62,0,'Combined Retirement'!$I$13)</f>
        <v>2420</v>
      </c>
      <c r="J552" s="25">
        <f t="shared" si="523"/>
        <v>6404.7404596389215</v>
      </c>
      <c r="K552" s="25">
        <f t="shared" si="524"/>
        <v>16520.094745597391</v>
      </c>
      <c r="L552" s="25"/>
      <c r="N552" s="25">
        <f>'Combined Retirement'!$C$18/12</f>
        <v>33932.660666666663</v>
      </c>
      <c r="O552" s="25">
        <f t="shared" si="525"/>
        <v>11007.82546143035</v>
      </c>
      <c r="P552" s="25">
        <f t="shared" si="526"/>
        <v>22924.835205236312</v>
      </c>
      <c r="Q552" s="25">
        <f t="array" aca="1" ref="Q552" ca="1">INDEX('Isaac 401k'!L:L,MATCH('Retirement Calculator'!A552,'Isaac 401k'!N:N,0),0)</f>
        <v>5243941.2709557936</v>
      </c>
      <c r="R552" s="25">
        <f t="array" aca="1" ref="R552" ca="1">INDEX('Lorri 401b'!L:L,MATCH('Retirement Calculator'!A552,'Lorri 401b'!N:N,0),0)</f>
        <v>6058395.8200115673</v>
      </c>
      <c r="S552" s="25">
        <f t="shared" ca="1" si="527"/>
        <v>11302337.090967361</v>
      </c>
    </row>
    <row r="553" spans="1:19" ht="15.75" customHeight="1" x14ac:dyDescent="0.3">
      <c r="A553" s="37">
        <v>67785</v>
      </c>
      <c r="B553" s="409">
        <f t="shared" ref="B553:C553" si="559">($A553-B$9)/365.25</f>
        <v>103.70704996577686</v>
      </c>
      <c r="C553" s="409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3525.4531757812501</v>
      </c>
      <c r="H553" s="25">
        <f>IF(B553&lt;62,0,'Combined Retirement'!$I$14)</f>
        <v>2192</v>
      </c>
      <c r="I553" s="25">
        <f>IF(C553&lt;62,0,'Combined Retirement'!$I$13)</f>
        <v>2420</v>
      </c>
      <c r="J553" s="25">
        <f t="shared" si="523"/>
        <v>6404.7404596389215</v>
      </c>
      <c r="K553" s="25">
        <f t="shared" si="524"/>
        <v>16520.094745597391</v>
      </c>
      <c r="L553" s="25"/>
      <c r="N553" s="25">
        <f>'Combined Retirement'!$C$18/12</f>
        <v>33932.660666666663</v>
      </c>
      <c r="O553" s="25">
        <f t="shared" si="525"/>
        <v>11007.82546143035</v>
      </c>
      <c r="P553" s="25">
        <f t="shared" si="526"/>
        <v>22924.835205236312</v>
      </c>
      <c r="Q553" s="25">
        <f t="array" aca="1" ref="Q553" ca="1">INDEX('Isaac 401k'!L:L,MATCH('Retirement Calculator'!A553,'Isaac 401k'!N:N,0),0)</f>
        <v>5259359.5993732223</v>
      </c>
      <c r="R553" s="25">
        <f t="array" aca="1" ref="R553" ca="1">INDEX('Lorri 401b'!L:L,MATCH('Retirement Calculator'!A553,'Lorri 401b'!N:N,0),0)</f>
        <v>6067050.207454578</v>
      </c>
      <c r="S553" s="25">
        <f t="shared" ca="1" si="527"/>
        <v>11326409.8068278</v>
      </c>
    </row>
    <row r="554" spans="1:19" ht="15.75" customHeight="1" x14ac:dyDescent="0.3">
      <c r="A554" s="37">
        <v>67816</v>
      </c>
      <c r="B554" s="409">
        <f t="shared" ref="B554:C554" si="560">($A554-B$9)/365.25</f>
        <v>103.79192334017796</v>
      </c>
      <c r="C554" s="409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3525.4531757812501</v>
      </c>
      <c r="H554" s="25">
        <f>IF(B554&lt;62,0,'Combined Retirement'!$I$14)</f>
        <v>2192</v>
      </c>
      <c r="I554" s="25">
        <f>IF(C554&lt;62,0,'Combined Retirement'!$I$13)</f>
        <v>2420</v>
      </c>
      <c r="J554" s="25">
        <f t="shared" si="523"/>
        <v>6404.7404596389215</v>
      </c>
      <c r="K554" s="25">
        <f t="shared" si="524"/>
        <v>16520.094745597391</v>
      </c>
      <c r="L554" s="25"/>
      <c r="N554" s="25">
        <f>'Combined Retirement'!$C$18/12</f>
        <v>33932.660666666663</v>
      </c>
      <c r="O554" s="25">
        <f t="shared" si="525"/>
        <v>11007.82546143035</v>
      </c>
      <c r="P554" s="25">
        <f t="shared" si="526"/>
        <v>22924.835205236312</v>
      </c>
      <c r="Q554" s="25">
        <f t="array" aca="1" ref="Q554" ca="1">INDEX('Isaac 401k'!L:L,MATCH('Retirement Calculator'!A554,'Isaac 401k'!N:N,0),0)</f>
        <v>5274842.1708257236</v>
      </c>
      <c r="R554" s="25">
        <f t="array" aca="1" ref="R554" ca="1">INDEX('Lorri 401b'!L:L,MATCH('Retirement Calculator'!A554,'Lorri 401b'!N:N,0),0)</f>
        <v>6075740.6548452675</v>
      </c>
      <c r="S554" s="25">
        <f t="shared" ca="1" si="527"/>
        <v>11350582.825670991</v>
      </c>
    </row>
    <row r="555" spans="1:19" ht="15.75" customHeight="1" x14ac:dyDescent="0.3">
      <c r="A555" s="37">
        <v>67846</v>
      </c>
      <c r="B555" s="409">
        <f t="shared" ref="B555:C555" si="561">($A555-B$9)/365.25</f>
        <v>103.87405886379193</v>
      </c>
      <c r="C555" s="409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3525.4531757812501</v>
      </c>
      <c r="H555" s="25">
        <f>IF(B555&lt;62,0,'Combined Retirement'!$I$14)</f>
        <v>2192</v>
      </c>
      <c r="I555" s="25">
        <f>IF(C555&lt;62,0,'Combined Retirement'!$I$13)</f>
        <v>2420</v>
      </c>
      <c r="J555" s="25">
        <f t="shared" si="523"/>
        <v>6404.7404596389215</v>
      </c>
      <c r="K555" s="25">
        <f t="shared" si="524"/>
        <v>16520.094745597391</v>
      </c>
      <c r="L555" s="25"/>
      <c r="N555" s="25">
        <f>'Combined Retirement'!$C$18/12</f>
        <v>33932.660666666663</v>
      </c>
      <c r="O555" s="25">
        <f t="shared" si="525"/>
        <v>11007.82546143035</v>
      </c>
      <c r="P555" s="25">
        <f t="shared" si="526"/>
        <v>22924.835205236312</v>
      </c>
      <c r="Q555" s="25">
        <f t="array" aca="1" ref="Q555" ca="1">INDEX('Isaac 401k'!L:L,MATCH('Retirement Calculator'!A555,'Isaac 401k'!N:N,0),0)</f>
        <v>5290389.2529926104</v>
      </c>
      <c r="R555" s="25">
        <f t="array" aca="1" ref="R555" ca="1">INDEX('Lorri 401b'!L:L,MATCH('Retirement Calculator'!A555,'Lorri 401b'!N:N,0),0)</f>
        <v>6084467.3124334188</v>
      </c>
      <c r="S555" s="25">
        <f t="shared" ca="1" si="527"/>
        <v>11374856.565426029</v>
      </c>
    </row>
    <row r="556" spans="1:19" ht="15.75" customHeight="1" x14ac:dyDescent="0.3">
      <c r="A556" s="37">
        <v>67877</v>
      </c>
      <c r="B556" s="409">
        <f t="shared" ref="B556:C556" si="562">($A556-B$9)/365.25</f>
        <v>103.95893223819301</v>
      </c>
      <c r="C556" s="409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3525.4531757812501</v>
      </c>
      <c r="H556" s="25">
        <f>IF(B556&lt;62,0,'Combined Retirement'!$I$14)</f>
        <v>2192</v>
      </c>
      <c r="I556" s="25">
        <f>IF(C556&lt;62,0,'Combined Retirement'!$I$13)</f>
        <v>2420</v>
      </c>
      <c r="J556" s="25">
        <f t="shared" si="523"/>
        <v>6404.7404596389215</v>
      </c>
      <c r="K556" s="25">
        <f t="shared" si="524"/>
        <v>16520.094745597391</v>
      </c>
      <c r="L556" s="25"/>
      <c r="N556" s="25">
        <f>'Combined Retirement'!$C$18/12</f>
        <v>33932.660666666663</v>
      </c>
      <c r="O556" s="25">
        <f t="shared" si="525"/>
        <v>11007.82546143035</v>
      </c>
      <c r="P556" s="25">
        <f t="shared" si="526"/>
        <v>22924.835205236312</v>
      </c>
      <c r="Q556" s="25">
        <f t="array" aca="1" ref="Q556" ca="1">INDEX('Isaac 401k'!L:L,MATCH('Retirement Calculator'!A556,'Isaac 401k'!N:N,0),0)</f>
        <v>5306001.1146685258</v>
      </c>
      <c r="R556" s="25">
        <f t="array" aca="1" ref="R556" ca="1">INDEX('Lorri 401b'!L:L,MATCH('Retirement Calculator'!A556,'Lorri 401b'!N:N,0),0)</f>
        <v>6093230.3310948536</v>
      </c>
      <c r="S556" s="25">
        <f t="shared" ca="1" si="527"/>
        <v>11399231.445763379</v>
      </c>
    </row>
    <row r="557" spans="1:19" ht="15.75" customHeight="1" x14ac:dyDescent="0.3">
      <c r="A557" s="37">
        <v>67907</v>
      </c>
      <c r="B557" s="409">
        <f t="shared" ref="B557:C557" si="563">($A557-B$9)/365.25</f>
        <v>104.04106776180699</v>
      </c>
      <c r="C557" s="409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3525.4531757812501</v>
      </c>
      <c r="H557" s="25">
        <f>IF(B557&lt;62,0,'Combined Retirement'!$I$14)</f>
        <v>2192</v>
      </c>
      <c r="I557" s="25">
        <f>IF(C557&lt;62,0,'Combined Retirement'!$I$13)</f>
        <v>2420</v>
      </c>
      <c r="J557" s="25">
        <f t="shared" si="523"/>
        <v>6404.7404596389215</v>
      </c>
      <c r="K557" s="25">
        <f t="shared" si="524"/>
        <v>16520.094745597391</v>
      </c>
      <c r="L557" s="25"/>
      <c r="N557" s="25">
        <f>'Combined Retirement'!$C$18/12</f>
        <v>33932.660666666663</v>
      </c>
      <c r="O557" s="25">
        <f t="shared" si="525"/>
        <v>11007.82546143035</v>
      </c>
      <c r="P557" s="25">
        <f t="shared" si="526"/>
        <v>22924.835205236312</v>
      </c>
      <c r="Q557" s="25">
        <f t="array" aca="1" ref="Q557" ca="1">INDEX('Isaac 401k'!L:L,MATCH('Retirement Calculator'!A557,'Isaac 401k'!N:N,0),0)</f>
        <v>5321678.025768091</v>
      </c>
      <c r="R557" s="25">
        <f t="array" aca="1" ref="R557" ca="1">INDEX('Lorri 401b'!L:L,MATCH('Retirement Calculator'!A557,'Lorri 401b'!N:N,0),0)</f>
        <v>6102029.8623340447</v>
      </c>
      <c r="S557" s="25">
        <f t="shared" ca="1" si="527"/>
        <v>11423707.888102137</v>
      </c>
    </row>
    <row r="558" spans="1:19" ht="15.75" customHeight="1" x14ac:dyDescent="0.3">
      <c r="A558" s="37">
        <v>67938</v>
      </c>
      <c r="B558" s="409">
        <f t="shared" ref="B558:C558" si="564">($A558-B$9)/365.25</f>
        <v>104.12594113620807</v>
      </c>
      <c r="C558" s="409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3525.4531757812501</v>
      </c>
      <c r="H558" s="25">
        <f>IF(B558&lt;62,0,'Combined Retirement'!$I$14)</f>
        <v>2192</v>
      </c>
      <c r="I558" s="25">
        <f>IF(C558&lt;62,0,'Combined Retirement'!$I$13)</f>
        <v>2420</v>
      </c>
      <c r="J558" s="25">
        <f t="shared" si="523"/>
        <v>6404.7404596389215</v>
      </c>
      <c r="K558" s="25">
        <f t="shared" si="524"/>
        <v>16520.094745597391</v>
      </c>
      <c r="L558" s="25"/>
      <c r="N558" s="25">
        <f>'Combined Retirement'!$C$18/12</f>
        <v>33932.660666666663</v>
      </c>
      <c r="O558" s="25">
        <f t="shared" si="525"/>
        <v>11007.82546143035</v>
      </c>
      <c r="P558" s="25">
        <f t="shared" si="526"/>
        <v>22924.835205236312</v>
      </c>
      <c r="Q558" s="25">
        <f t="array" aca="1" ref="Q558" ca="1">INDEX('Isaac 401k'!L:L,MATCH('Retirement Calculator'!A558,'Isaac 401k'!N:N,0),0)</f>
        <v>5337420.2573305713</v>
      </c>
      <c r="R558" s="25">
        <f t="array" aca="1" ref="R558" ca="1">INDEX('Lorri 401b'!L:L,MATCH('Retirement Calculator'!A558,'Lorri 401b'!N:N,0),0)</f>
        <v>6110866.0582867321</v>
      </c>
      <c r="S558" s="25">
        <f t="shared" ca="1" si="527"/>
        <v>11448286.315617304</v>
      </c>
    </row>
    <row r="559" spans="1:19" ht="15.75" customHeight="1" x14ac:dyDescent="0.3">
      <c r="A559" s="37">
        <v>67969</v>
      </c>
      <c r="B559" s="409">
        <f t="shared" ref="B559:C559" si="565">($A559-B$9)/365.25</f>
        <v>104.21081451060917</v>
      </c>
      <c r="C559" s="409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3525.4531757812501</v>
      </c>
      <c r="H559" s="25">
        <f>IF(B559&lt;62,0,'Combined Retirement'!$I$14)</f>
        <v>2192</v>
      </c>
      <c r="I559" s="25">
        <f>IF(C559&lt;62,0,'Combined Retirement'!$I$13)</f>
        <v>2420</v>
      </c>
      <c r="J559" s="25">
        <f t="shared" si="523"/>
        <v>6404.7404596389215</v>
      </c>
      <c r="K559" s="25">
        <f t="shared" si="524"/>
        <v>16520.094745597391</v>
      </c>
      <c r="L559" s="25"/>
      <c r="N559" s="25">
        <f>'Combined Retirement'!$C$18/12</f>
        <v>33932.660666666663</v>
      </c>
      <c r="O559" s="25">
        <f t="shared" si="525"/>
        <v>11007.82546143035</v>
      </c>
      <c r="P559" s="25">
        <f t="shared" si="526"/>
        <v>22924.835205236312</v>
      </c>
      <c r="Q559" s="25">
        <f t="array" aca="1" ref="Q559" ca="1">INDEX('Isaac 401k'!L:L,MATCH('Retirement Calculator'!A559,'Isaac 401k'!N:N,0),0)</f>
        <v>5353228.0815245612</v>
      </c>
      <c r="R559" s="25">
        <f t="array" aca="1" ref="R559" ca="1">INDEX('Lorri 401b'!L:L,MATCH('Retirement Calculator'!A559,'Lorri 401b'!N:N,0),0)</f>
        <v>6119739.0717225559</v>
      </c>
      <c r="S559" s="25">
        <f t="shared" ca="1" si="527"/>
        <v>11472967.153247118</v>
      </c>
    </row>
    <row r="560" spans="1:19" ht="15.75" customHeight="1" x14ac:dyDescent="0.3">
      <c r="A560" s="37">
        <v>67997</v>
      </c>
      <c r="B560" s="409">
        <f t="shared" ref="B560:C560" si="566">($A560-B$9)/365.25</f>
        <v>104.28747433264887</v>
      </c>
      <c r="C560" s="409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3525.4531757812501</v>
      </c>
      <c r="H560" s="25">
        <f>IF(B560&lt;62,0,'Combined Retirement'!$I$14)</f>
        <v>2192</v>
      </c>
      <c r="I560" s="25">
        <f>IF(C560&lt;62,0,'Combined Retirement'!$I$13)</f>
        <v>2420</v>
      </c>
      <c r="J560" s="25">
        <f t="shared" si="523"/>
        <v>6404.7404596389215</v>
      </c>
      <c r="K560" s="25">
        <f t="shared" si="524"/>
        <v>16520.094745597391</v>
      </c>
      <c r="L560" s="25"/>
      <c r="N560" s="25">
        <f>'Combined Retirement'!$C$18/12</f>
        <v>33932.660666666663</v>
      </c>
      <c r="O560" s="25">
        <f t="shared" si="525"/>
        <v>11007.82546143035</v>
      </c>
      <c r="P560" s="25">
        <f t="shared" si="526"/>
        <v>22924.835205236312</v>
      </c>
      <c r="Q560" s="25">
        <f t="array" aca="1" ref="Q560" ca="1">INDEX('Isaac 401k'!L:L,MATCH('Retirement Calculator'!A560,'Isaac 401k'!N:N,0),0)</f>
        <v>5369101.7716526929</v>
      </c>
      <c r="R560" s="25">
        <f t="array" aca="1" ref="R560" ca="1">INDEX('Lorri 401b'!L:L,MATCH('Retirement Calculator'!A560,'Lorri 401b'!N:N,0),0)</f>
        <v>6128649.0560476957</v>
      </c>
      <c r="S560" s="25">
        <f t="shared" ca="1" si="527"/>
        <v>11497750.827700388</v>
      </c>
    </row>
    <row r="561" spans="1:19" ht="15.75" customHeight="1" x14ac:dyDescent="0.3">
      <c r="A561" s="37">
        <v>68028</v>
      </c>
      <c r="B561" s="409">
        <f t="shared" ref="B561:C561" si="567">($A561-B$9)/365.25</f>
        <v>104.37234770704997</v>
      </c>
      <c r="C561" s="409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3525.4531757812501</v>
      </c>
      <c r="H561" s="25">
        <f>IF(B561&lt;62,0,'Combined Retirement'!$I$14)</f>
        <v>2192</v>
      </c>
      <c r="I561" s="25">
        <f>IF(C561&lt;62,0,'Combined Retirement'!$I$13)</f>
        <v>2420</v>
      </c>
      <c r="J561" s="25">
        <f t="shared" si="523"/>
        <v>6404.7404596389215</v>
      </c>
      <c r="K561" s="25">
        <f t="shared" si="524"/>
        <v>16520.094745597391</v>
      </c>
      <c r="L561" s="25"/>
      <c r="N561" s="25">
        <f>'Combined Retirement'!$C$18/12</f>
        <v>33932.660666666663</v>
      </c>
      <c r="O561" s="25">
        <f t="shared" si="525"/>
        <v>11007.82546143035</v>
      </c>
      <c r="P561" s="25">
        <f t="shared" si="526"/>
        <v>22924.835205236312</v>
      </c>
      <c r="Q561" s="25">
        <f t="array" aca="1" ref="Q561" ca="1">INDEX('Isaac 401k'!L:L,MATCH('Retirement Calculator'!A561,'Isaac 401k'!N:N,0),0)</f>
        <v>5385041.6021563588</v>
      </c>
      <c r="R561" s="25">
        <f t="array" aca="1" ref="R561" ca="1">INDEX('Lorri 401b'!L:L,MATCH('Retirement Calculator'!A561,'Lorri 401b'!N:N,0),0)</f>
        <v>6137596.1653075237</v>
      </c>
      <c r="S561" s="25">
        <f t="shared" ca="1" si="527"/>
        <v>11522637.767463882</v>
      </c>
    </row>
    <row r="562" spans="1:19" ht="15.75" customHeight="1" x14ac:dyDescent="0.3">
      <c r="A562" s="37">
        <v>68058</v>
      </c>
      <c r="B562" s="409">
        <f t="shared" ref="B562:C562" si="568">($A562-B$9)/365.25</f>
        <v>104.45448323066393</v>
      </c>
      <c r="C562" s="409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3525.4531757812501</v>
      </c>
      <c r="H562" s="25">
        <f>IF(B562&lt;62,0,'Combined Retirement'!$I$14)</f>
        <v>2192</v>
      </c>
      <c r="I562" s="25">
        <f>IF(C562&lt;62,0,'Combined Retirement'!$I$13)</f>
        <v>2420</v>
      </c>
      <c r="J562" s="25">
        <f t="shared" si="523"/>
        <v>6404.7404596389215</v>
      </c>
      <c r="K562" s="25">
        <f t="shared" si="524"/>
        <v>16520.094745597391</v>
      </c>
      <c r="L562" s="25"/>
      <c r="N562" s="25">
        <f>'Combined Retirement'!$C$18/12</f>
        <v>33932.660666666663</v>
      </c>
      <c r="O562" s="25">
        <f t="shared" si="525"/>
        <v>11007.82546143035</v>
      </c>
      <c r="P562" s="25">
        <f t="shared" si="526"/>
        <v>22924.835205236312</v>
      </c>
      <c r="Q562" s="25">
        <f t="array" aca="1" ref="Q562" ca="1">INDEX('Isaac 401k'!L:L,MATCH('Retirement Calculator'!A562,'Isaac 401k'!N:N,0),0)</f>
        <v>5401047.8486204566</v>
      </c>
      <c r="R562" s="25">
        <f t="array" aca="1" ref="R562" ca="1">INDEX('Lorri 401b'!L:L,MATCH('Retirement Calculator'!A562,'Lorri 401b'!N:N,0),0)</f>
        <v>6146580.5541892676</v>
      </c>
      <c r="S562" s="25">
        <f t="shared" ca="1" si="527"/>
        <v>11547628.402809724</v>
      </c>
    </row>
    <row r="563" spans="1:19" ht="15.75" customHeight="1" x14ac:dyDescent="0.3">
      <c r="A563" s="37">
        <v>68089</v>
      </c>
      <c r="B563" s="409">
        <f t="shared" ref="B563:C563" si="569">($A563-B$9)/365.25</f>
        <v>104.53935660506502</v>
      </c>
      <c r="C563" s="409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3525.4531757812501</v>
      </c>
      <c r="H563" s="25">
        <f>IF(B563&lt;62,0,'Combined Retirement'!$I$14)</f>
        <v>2192</v>
      </c>
      <c r="I563" s="25">
        <f>IF(C563&lt;62,0,'Combined Retirement'!$I$13)</f>
        <v>2420</v>
      </c>
      <c r="J563" s="25">
        <f t="shared" si="523"/>
        <v>6404.7404596389215</v>
      </c>
      <c r="K563" s="25">
        <f t="shared" si="524"/>
        <v>16520.094745597391</v>
      </c>
      <c r="L563" s="25"/>
      <c r="N563" s="25">
        <f>'Combined Retirement'!$C$18/12</f>
        <v>33932.660666666663</v>
      </c>
      <c r="O563" s="25">
        <f t="shared" si="525"/>
        <v>11007.82546143035</v>
      </c>
      <c r="P563" s="25">
        <f t="shared" si="526"/>
        <v>22924.835205236312</v>
      </c>
      <c r="Q563" s="25">
        <f t="array" aca="1" ref="Q563" ca="1">INDEX('Isaac 401k'!L:L,MATCH('Retirement Calculator'!A563,'Isaac 401k'!N:N,0),0)</f>
        <v>5417120.7877781549</v>
      </c>
      <c r="R563" s="25">
        <f t="array" aca="1" ref="R563" ca="1">INDEX('Lorri 401b'!L:L,MATCH('Retirement Calculator'!A563,'Lorri 401b'!N:N,0),0)</f>
        <v>6155602.3780246852</v>
      </c>
      <c r="S563" s="25">
        <f t="shared" ca="1" si="527"/>
        <v>11572723.16580284</v>
      </c>
    </row>
    <row r="564" spans="1:19" ht="15.75" customHeight="1" x14ac:dyDescent="0.3">
      <c r="A564" s="37">
        <v>68119</v>
      </c>
      <c r="B564" s="409">
        <f t="shared" ref="B564:C564" si="570">($A564-B$9)/365.25</f>
        <v>104.62149212867898</v>
      </c>
      <c r="C564" s="409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3525.4531757812501</v>
      </c>
      <c r="H564" s="25">
        <f>IF(B564&lt;62,0,'Combined Retirement'!$I$14)</f>
        <v>2192</v>
      </c>
      <c r="I564" s="25">
        <f>IF(C564&lt;62,0,'Combined Retirement'!$I$13)</f>
        <v>2420</v>
      </c>
      <c r="J564" s="25">
        <f t="shared" si="523"/>
        <v>6404.7404596389215</v>
      </c>
      <c r="K564" s="25">
        <f t="shared" si="524"/>
        <v>16520.094745597391</v>
      </c>
      <c r="L564" s="25"/>
      <c r="N564" s="25">
        <f>'Combined Retirement'!$C$18/12</f>
        <v>33932.660666666663</v>
      </c>
      <c r="O564" s="25">
        <f t="shared" si="525"/>
        <v>11007.82546143035</v>
      </c>
      <c r="P564" s="25">
        <f t="shared" si="526"/>
        <v>22924.835205236312</v>
      </c>
      <c r="Q564" s="25">
        <f t="array" aca="1" ref="Q564" ca="1">INDEX('Isaac 401k'!L:L,MATCH('Retirement Calculator'!A564,'Isaac 401k'!N:N,0),0)</f>
        <v>5433260.6975156767</v>
      </c>
      <c r="R564" s="25">
        <f t="array" aca="1" ref="R564" ca="1">INDEX('Lorri 401b'!L:L,MATCH('Retirement Calculator'!A564,'Lorri 401b'!N:N,0),0)</f>
        <v>6164661.7927927505</v>
      </c>
      <c r="S564" s="25">
        <f t="shared" ca="1" si="527"/>
        <v>11597922.490308426</v>
      </c>
    </row>
    <row r="565" spans="1:19" ht="15.75" customHeight="1" x14ac:dyDescent="0.3">
      <c r="A565" s="37">
        <v>68150</v>
      </c>
      <c r="B565" s="409">
        <f t="shared" ref="B565:C565" si="571">($A565-B$9)/365.25</f>
        <v>104.70636550308008</v>
      </c>
      <c r="C565" s="409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3525.4531757812501</v>
      </c>
      <c r="H565" s="25">
        <f>IF(B565&lt;62,0,'Combined Retirement'!$I$14)</f>
        <v>2192</v>
      </c>
      <c r="I565" s="25">
        <f>IF(C565&lt;62,0,'Combined Retirement'!$I$13)</f>
        <v>2420</v>
      </c>
      <c r="J565" s="25">
        <f t="shared" si="523"/>
        <v>6404.7404596389215</v>
      </c>
      <c r="K565" s="25">
        <f t="shared" si="524"/>
        <v>16520.094745597391</v>
      </c>
      <c r="L565" s="25"/>
      <c r="N565" s="25">
        <f>'Combined Retirement'!$C$18/12</f>
        <v>33932.660666666663</v>
      </c>
      <c r="O565" s="25">
        <f t="shared" si="525"/>
        <v>11007.82546143035</v>
      </c>
      <c r="P565" s="25">
        <f t="shared" si="526"/>
        <v>22924.835205236312</v>
      </c>
      <c r="Q565" s="25">
        <f t="array" aca="1" ref="Q565" ca="1">INDEX('Isaac 401k'!L:L,MATCH('Retirement Calculator'!A565,'Isaac 401k'!N:N,0),0)</f>
        <v>5449467.8568771053</v>
      </c>
      <c r="R565" s="25">
        <f t="array" aca="1" ref="R565" ca="1">INDEX('Lorri 401b'!L:L,MATCH('Retirement Calculator'!A565,'Lorri 401b'!N:N,0),0)</f>
        <v>6173758.9551223489</v>
      </c>
      <c r="S565" s="25">
        <f t="shared" ca="1" si="527"/>
        <v>11623226.811999455</v>
      </c>
    </row>
    <row r="566" spans="1:19" ht="15.75" customHeight="1" x14ac:dyDescent="0.3">
      <c r="A566" s="37">
        <v>68181</v>
      </c>
      <c r="B566" s="409">
        <f t="shared" ref="B566:C566" si="572">($A566-B$9)/365.25</f>
        <v>104.79123887748118</v>
      </c>
      <c r="C566" s="409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3525.4531757812501</v>
      </c>
      <c r="H566" s="25">
        <f>IF(B566&lt;62,0,'Combined Retirement'!$I$14)</f>
        <v>2192</v>
      </c>
      <c r="I566" s="25">
        <f>IF(C566&lt;62,0,'Combined Retirement'!$I$13)</f>
        <v>2420</v>
      </c>
      <c r="J566" s="25">
        <f t="shared" si="523"/>
        <v>6404.7404596389215</v>
      </c>
      <c r="K566" s="25">
        <f t="shared" si="524"/>
        <v>16520.094745597391</v>
      </c>
      <c r="L566" s="25"/>
      <c r="N566" s="25">
        <f>'Combined Retirement'!$C$18/12</f>
        <v>33932.660666666663</v>
      </c>
      <c r="O566" s="25">
        <f t="shared" si="525"/>
        <v>11007.82546143035</v>
      </c>
      <c r="P566" s="25">
        <f t="shared" si="526"/>
        <v>22924.835205236312</v>
      </c>
      <c r="Q566" s="25">
        <f t="array" aca="1" ref="Q566" ca="1">INDEX('Isaac 401k'!L:L,MATCH('Retirement Calculator'!A566,'Isaac 401k'!N:N,0),0)</f>
        <v>5465742.5460692057</v>
      </c>
      <c r="R566" s="25">
        <f t="array" aca="1" ref="R566" ca="1">INDEX('Lorri 401b'!L:L,MATCH('Retirement Calculator'!A566,'Lorri 401b'!N:N,0),0)</f>
        <v>6182894.0222949879</v>
      </c>
      <c r="S566" s="25">
        <f t="shared" ca="1" si="527"/>
        <v>11648636.568364194</v>
      </c>
    </row>
    <row r="567" spans="1:19" ht="15.75" customHeight="1" x14ac:dyDescent="0.3">
      <c r="A567" s="37">
        <v>68211</v>
      </c>
      <c r="B567" s="409">
        <f t="shared" ref="B567:C567" si="573">($A567-B$9)/365.25</f>
        <v>104.87337440109513</v>
      </c>
      <c r="C567" s="409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3525.4531757812501</v>
      </c>
      <c r="H567" s="25">
        <f>IF(B567&lt;62,0,'Combined Retirement'!$I$14)</f>
        <v>2192</v>
      </c>
      <c r="I567" s="25">
        <f>IF(C567&lt;62,0,'Combined Retirement'!$I$13)</f>
        <v>2420</v>
      </c>
      <c r="J567" s="25">
        <f t="shared" si="523"/>
        <v>6404.7404596389215</v>
      </c>
      <c r="K567" s="25">
        <f t="shared" si="524"/>
        <v>16520.094745597391</v>
      </c>
      <c r="L567" s="25"/>
      <c r="N567" s="25">
        <f>'Combined Retirement'!$C$18/12</f>
        <v>33932.660666666663</v>
      </c>
      <c r="O567" s="25">
        <f t="shared" si="525"/>
        <v>11007.82546143035</v>
      </c>
      <c r="P567" s="25">
        <f t="shared" si="526"/>
        <v>22924.835205236312</v>
      </c>
      <c r="Q567" s="25">
        <f t="array" aca="1" ref="Q567" ca="1">INDEX('Isaac 401k'!L:L,MATCH('Retirement Calculator'!A567,'Isaac 401k'!N:N,0),0)</f>
        <v>5482085.0464662733</v>
      </c>
      <c r="R567" s="25">
        <f t="array" aca="1" ref="R567" ca="1">INDEX('Lorri 401b'!L:L,MATCH('Retirement Calculator'!A567,'Lorri 401b'!N:N,0),0)</f>
        <v>6192067.1522475127</v>
      </c>
      <c r="S567" s="25">
        <f t="shared" ca="1" si="527"/>
        <v>11674152.198713787</v>
      </c>
    </row>
    <row r="568" spans="1:19" ht="15.75" customHeight="1" x14ac:dyDescent="0.3">
      <c r="A568" s="37">
        <v>68242</v>
      </c>
      <c r="B568" s="409">
        <f t="shared" ref="B568:C568" si="574">($A568-B$9)/365.25</f>
        <v>104.95824777549623</v>
      </c>
      <c r="C568" s="409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3525.4531757812501</v>
      </c>
      <c r="H568" s="25">
        <f>IF(B568&lt;62,0,'Combined Retirement'!$I$14)</f>
        <v>2192</v>
      </c>
      <c r="I568" s="25">
        <f>IF(C568&lt;62,0,'Combined Retirement'!$I$13)</f>
        <v>2420</v>
      </c>
      <c r="J568" s="25">
        <f t="shared" si="523"/>
        <v>6404.7404596389215</v>
      </c>
      <c r="K568" s="25">
        <f t="shared" si="524"/>
        <v>16520.094745597391</v>
      </c>
      <c r="L568" s="25"/>
      <c r="N568" s="25">
        <f>'Combined Retirement'!$C$18/12</f>
        <v>33932.660666666663</v>
      </c>
      <c r="O568" s="25">
        <f t="shared" si="525"/>
        <v>11007.82546143035</v>
      </c>
      <c r="P568" s="25">
        <f t="shared" si="526"/>
        <v>22924.835205236312</v>
      </c>
      <c r="Q568" s="25">
        <f t="array" aca="1" ref="Q568" ca="1">INDEX('Isaac 401k'!L:L,MATCH('Retirement Calculator'!A568,'Isaac 401k'!N:N,0),0)</f>
        <v>5498495.6406149957</v>
      </c>
      <c r="R568" s="25">
        <f t="array" aca="1" ref="R568" ca="1">INDEX('Lorri 401b'!L:L,MATCH('Retirement Calculator'!A568,'Lorri 401b'!N:N,0),0)</f>
        <v>6201278.5035748398</v>
      </c>
      <c r="S568" s="25">
        <f t="shared" ca="1" si="527"/>
        <v>11699774.144189835</v>
      </c>
    </row>
    <row r="569" spans="1:19" ht="15.75" customHeight="1" x14ac:dyDescent="0.3">
      <c r="A569" s="37">
        <v>68272</v>
      </c>
      <c r="B569" s="409">
        <f t="shared" ref="B569:C569" si="575">($A569-B$9)/365.25</f>
        <v>105.0403832991102</v>
      </c>
      <c r="C569" s="409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3525.4531757812501</v>
      </c>
      <c r="H569" s="25">
        <f>IF(B569&lt;62,0,'Combined Retirement'!$I$14)</f>
        <v>2192</v>
      </c>
      <c r="I569" s="25">
        <f>IF(C569&lt;62,0,'Combined Retirement'!$I$13)</f>
        <v>2420</v>
      </c>
      <c r="J569" s="25">
        <f t="shared" si="523"/>
        <v>6404.7404596389215</v>
      </c>
      <c r="K569" s="25">
        <f t="shared" si="524"/>
        <v>16520.094745597391</v>
      </c>
      <c r="L569" s="25"/>
      <c r="N569" s="25">
        <f>'Combined Retirement'!$C$18/12</f>
        <v>33932.660666666663</v>
      </c>
      <c r="O569" s="25">
        <f t="shared" si="525"/>
        <v>11007.82546143035</v>
      </c>
      <c r="P569" s="25">
        <f t="shared" si="526"/>
        <v>22924.835205236312</v>
      </c>
      <c r="Q569" s="25">
        <f t="array" aca="1" ref="Q569" ca="1">INDEX('Isaac 401k'!L:L,MATCH('Retirement Calculator'!A569,'Isaac 401k'!N:N,0),0)</f>
        <v>5514974.6122393375</v>
      </c>
      <c r="R569" s="25">
        <f t="array" aca="1" ref="R569" ca="1">INDEX('Lorri 401b'!L:L,MATCH('Retirement Calculator'!A569,'Lorri 401b'!N:N,0),0)</f>
        <v>6210528.2355326973</v>
      </c>
      <c r="S569" s="25">
        <f t="shared" ca="1" si="527"/>
        <v>11725502.847772036</v>
      </c>
    </row>
    <row r="570" spans="1:19" ht="15.75" customHeight="1" x14ac:dyDescent="0.3">
      <c r="A570" s="37">
        <v>68303</v>
      </c>
      <c r="B570" s="409">
        <f t="shared" ref="B570:C570" si="576">($A570-B$9)/365.25</f>
        <v>105.12525667351129</v>
      </c>
      <c r="C570" s="409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3525.4531757812501</v>
      </c>
      <c r="H570" s="25">
        <f>IF(B570&lt;62,0,'Combined Retirement'!$I$14)</f>
        <v>2192</v>
      </c>
      <c r="I570" s="25">
        <f>IF(C570&lt;62,0,'Combined Retirement'!$I$13)</f>
        <v>2420</v>
      </c>
      <c r="J570" s="25">
        <f t="shared" si="523"/>
        <v>6404.7404596389215</v>
      </c>
      <c r="K570" s="25">
        <f t="shared" si="524"/>
        <v>16520.094745597391</v>
      </c>
      <c r="L570" s="25"/>
      <c r="N570" s="25">
        <f>'Combined Retirement'!$C$18/12</f>
        <v>33932.660666666663</v>
      </c>
      <c r="O570" s="25">
        <f t="shared" si="525"/>
        <v>11007.82546143035</v>
      </c>
      <c r="P570" s="25">
        <f t="shared" si="526"/>
        <v>22924.835205236312</v>
      </c>
      <c r="Q570" s="25">
        <f t="array" aca="1" ref="Q570" ca="1">INDEX('Isaac 401k'!L:L,MATCH('Retirement Calculator'!A570,'Isaac 401k'!N:N,0),0)</f>
        <v>5531522.2462454475</v>
      </c>
      <c r="R570" s="25">
        <f t="array" aca="1" ref="R570" ca="1">INDEX('Lorri 401b'!L:L,MATCH('Retirement Calculator'!A570,'Lorri 401b'!N:N,0),0)</f>
        <v>6219816.5080403788</v>
      </c>
      <c r="S570" s="25">
        <f t="shared" ca="1" si="527"/>
        <v>11751338.754285827</v>
      </c>
    </row>
    <row r="571" spans="1:19" ht="15.75" customHeight="1" x14ac:dyDescent="0.3">
      <c r="A571" s="37">
        <v>68334</v>
      </c>
      <c r="B571" s="409">
        <f t="shared" ref="B571:C571" si="577">($A571-B$9)/365.25</f>
        <v>105.21013004791239</v>
      </c>
      <c r="C571" s="409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3525.4531757812501</v>
      </c>
      <c r="H571" s="25">
        <f>IF(B571&lt;62,0,'Combined Retirement'!$I$14)</f>
        <v>2192</v>
      </c>
      <c r="I571" s="25">
        <f>IF(C571&lt;62,0,'Combined Retirement'!$I$13)</f>
        <v>2420</v>
      </c>
      <c r="J571" s="25">
        <f t="shared" si="523"/>
        <v>6404.7404596389215</v>
      </c>
      <c r="K571" s="25">
        <f t="shared" si="524"/>
        <v>16520.094745597391</v>
      </c>
      <c r="L571" s="25"/>
      <c r="N571" s="25">
        <f>'Combined Retirement'!$C$18/12</f>
        <v>33932.660666666663</v>
      </c>
      <c r="O571" s="25">
        <f t="shared" si="525"/>
        <v>11007.82546143035</v>
      </c>
      <c r="P571" s="25">
        <f t="shared" si="526"/>
        <v>22924.835205236312</v>
      </c>
      <c r="Q571" s="25">
        <f t="array" aca="1" ref="Q571" ca="1">INDEX('Isaac 401k'!L:L,MATCH('Retirement Calculator'!A571,'Isaac 401k'!N:N,0),0)</f>
        <v>5548138.8287265832</v>
      </c>
      <c r="R571" s="25">
        <f t="array" aca="1" ref="R571" ca="1">INDEX('Lorri 401b'!L:L,MATCH('Retirement Calculator'!A571,'Lorri 401b'!N:N,0),0)</f>
        <v>6229143.4816835094</v>
      </c>
      <c r="S571" s="25">
        <f t="shared" ca="1" si="527"/>
        <v>11777282.310410094</v>
      </c>
    </row>
    <row r="572" spans="1:19" ht="15.75" customHeight="1" x14ac:dyDescent="0.3">
      <c r="A572" s="37">
        <v>68362</v>
      </c>
      <c r="B572" s="409">
        <f t="shared" ref="B572:C572" si="578">($A572-B$9)/365.25</f>
        <v>105.28678986995209</v>
      </c>
      <c r="C572" s="409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3525.4531757812501</v>
      </c>
      <c r="H572" s="25">
        <f>IF(B572&lt;62,0,'Combined Retirement'!$I$14)</f>
        <v>2192</v>
      </c>
      <c r="I572" s="25">
        <f>IF(C572&lt;62,0,'Combined Retirement'!$I$13)</f>
        <v>2420</v>
      </c>
      <c r="J572" s="25">
        <f t="shared" si="523"/>
        <v>6404.7404596389215</v>
      </c>
      <c r="K572" s="25">
        <f t="shared" si="524"/>
        <v>16520.094745597391</v>
      </c>
      <c r="L572" s="25"/>
      <c r="N572" s="25">
        <f>'Combined Retirement'!$C$18/12</f>
        <v>33932.660666666663</v>
      </c>
      <c r="O572" s="25">
        <f t="shared" si="525"/>
        <v>11007.82546143035</v>
      </c>
      <c r="P572" s="25">
        <f t="shared" si="526"/>
        <v>22924.835205236312</v>
      </c>
      <c r="Q572" s="25">
        <f t="array" aca="1" ref="Q572" ca="1">INDEX('Isaac 401k'!L:L,MATCH('Retirement Calculator'!A572,'Isaac 401k'!N:N,0),0)</f>
        <v>5564824.6469680564</v>
      </c>
      <c r="R572" s="25">
        <f t="array" aca="1" ref="R572" ca="1">INDEX('Lorri 401b'!L:L,MATCH('Retirement Calculator'!A572,'Lorri 401b'!N:N,0),0)</f>
        <v>6238509.3177168192</v>
      </c>
      <c r="S572" s="25">
        <f t="shared" ca="1" si="527"/>
        <v>11803333.964684876</v>
      </c>
    </row>
    <row r="573" spans="1:19" ht="15.75" customHeight="1" x14ac:dyDescent="0.3">
      <c r="A573" s="37">
        <v>68393</v>
      </c>
      <c r="B573" s="409">
        <f t="shared" ref="B573:C573" si="579">($A573-B$9)/365.25</f>
        <v>105.37166324435319</v>
      </c>
      <c r="C573" s="409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3525.4531757812501</v>
      </c>
      <c r="H573" s="25">
        <f>IF(B573&lt;62,0,'Combined Retirement'!$I$14)</f>
        <v>2192</v>
      </c>
      <c r="I573" s="25">
        <f>IF(C573&lt;62,0,'Combined Retirement'!$I$13)</f>
        <v>2420</v>
      </c>
      <c r="J573" s="25">
        <f t="shared" si="523"/>
        <v>6404.7404596389215</v>
      </c>
      <c r="K573" s="25">
        <f t="shared" si="524"/>
        <v>16520.094745597391</v>
      </c>
      <c r="L573" s="25"/>
      <c r="N573" s="25">
        <f>'Combined Retirement'!$C$18/12</f>
        <v>33932.660666666663</v>
      </c>
      <c r="O573" s="25">
        <f t="shared" si="525"/>
        <v>11007.82546143035</v>
      </c>
      <c r="P573" s="25">
        <f t="shared" si="526"/>
        <v>22924.835205236312</v>
      </c>
      <c r="Q573" s="25">
        <f t="array" aca="1" ref="Q573" ca="1">INDEX('Isaac 401k'!L:L,MATCH('Retirement Calculator'!A573,'Isaac 401k'!N:N,0),0)</f>
        <v>5581579.9894522028</v>
      </c>
      <c r="R573" s="25">
        <f t="array" aca="1" ref="R573" ca="1">INDEX('Lorri 401b'!L:L,MATCH('Retirement Calculator'!A573,'Lorri 401b'!N:N,0),0)</f>
        <v>6247914.1780669345</v>
      </c>
      <c r="S573" s="25">
        <f t="shared" ca="1" si="527"/>
        <v>11829494.167519137</v>
      </c>
    </row>
    <row r="574" spans="1:19" ht="15.75" customHeight="1" x14ac:dyDescent="0.3">
      <c r="A574" s="37">
        <v>68423</v>
      </c>
      <c r="B574" s="409">
        <f t="shared" ref="B574:C574" si="580">($A574-B$9)/365.25</f>
        <v>105.45379876796714</v>
      </c>
      <c r="C574" s="409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3525.4531757812501</v>
      </c>
      <c r="H574" s="25">
        <f>IF(B574&lt;62,0,'Combined Retirement'!$I$14)</f>
        <v>2192</v>
      </c>
      <c r="I574" s="25">
        <f>IF(C574&lt;62,0,'Combined Retirement'!$I$13)</f>
        <v>2420</v>
      </c>
      <c r="J574" s="25">
        <f t="shared" si="523"/>
        <v>6404.7404596389215</v>
      </c>
      <c r="K574" s="25">
        <f t="shared" si="524"/>
        <v>16520.094745597391</v>
      </c>
      <c r="L574" s="25"/>
      <c r="N574" s="25">
        <f>'Combined Retirement'!$C$18/12</f>
        <v>33932.660666666663</v>
      </c>
      <c r="O574" s="25">
        <f t="shared" si="525"/>
        <v>11007.82546143035</v>
      </c>
      <c r="P574" s="25">
        <f t="shared" si="526"/>
        <v>22924.835205236312</v>
      </c>
      <c r="Q574" s="25">
        <f t="array" aca="1" ref="Q574" ca="1">INDEX('Isaac 401k'!L:L,MATCH('Retirement Calculator'!A574,'Isaac 401k'!N:N,0),0)</f>
        <v>5598405.1458633663</v>
      </c>
      <c r="R574" s="25">
        <f t="array" aca="1" ref="R574" ca="1">INDEX('Lorri 401b'!L:L,MATCH('Retirement Calculator'!A574,'Lorri 401b'!N:N,0),0)</f>
        <v>6257358.2253351752</v>
      </c>
      <c r="S574" s="25">
        <f t="shared" ca="1" si="527"/>
        <v>11855763.371198542</v>
      </c>
    </row>
    <row r="575" spans="1:19" ht="15.75" customHeight="1" x14ac:dyDescent="0.3">
      <c r="A575" s="37">
        <v>68454</v>
      </c>
      <c r="B575" s="409">
        <f t="shared" ref="B575:C575" si="581">($A575-B$9)/365.25</f>
        <v>105.53867214236824</v>
      </c>
      <c r="C575" s="409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3525.4531757812501</v>
      </c>
      <c r="H575" s="25">
        <f>IF(B575&lt;62,0,'Combined Retirement'!$I$14)</f>
        <v>2192</v>
      </c>
      <c r="I575" s="25">
        <f>IF(C575&lt;62,0,'Combined Retirement'!$I$13)</f>
        <v>2420</v>
      </c>
      <c r="J575" s="25">
        <f t="shared" si="523"/>
        <v>6404.7404596389215</v>
      </c>
      <c r="K575" s="25">
        <f t="shared" si="524"/>
        <v>16520.094745597391</v>
      </c>
      <c r="L575" s="25"/>
      <c r="N575" s="25">
        <f>'Combined Retirement'!$C$18/12</f>
        <v>33932.660666666663</v>
      </c>
      <c r="O575" s="25">
        <f t="shared" si="525"/>
        <v>11007.82546143035</v>
      </c>
      <c r="P575" s="25">
        <f t="shared" si="526"/>
        <v>22924.835205236312</v>
      </c>
      <c r="Q575" s="25">
        <f t="array" aca="1" ref="Q575" ca="1">INDEX('Isaac 401k'!L:L,MATCH('Retirement Calculator'!A575,'Isaac 401k'!N:N,0),0)</f>
        <v>5615300.4070929103</v>
      </c>
      <c r="R575" s="25">
        <f t="array" aca="1" ref="R575" ca="1">INDEX('Lorri 401b'!L:L,MATCH('Retirement Calculator'!A575,'Lorri 401b'!N:N,0),0)</f>
        <v>6266841.622800367</v>
      </c>
      <c r="S575" s="25">
        <f t="shared" ca="1" si="527"/>
        <v>11882142.029893277</v>
      </c>
    </row>
    <row r="576" spans="1:19" ht="15.75" customHeight="1" x14ac:dyDescent="0.3">
      <c r="A576" s="37">
        <v>68484</v>
      </c>
      <c r="B576" s="409">
        <f t="shared" ref="B576:C576" si="582">($A576-B$9)/365.25</f>
        <v>105.6208076659822</v>
      </c>
      <c r="C576" s="409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3525.4531757812501</v>
      </c>
      <c r="H576" s="25">
        <f>IF(B576&lt;62,0,'Combined Retirement'!$I$14)</f>
        <v>2192</v>
      </c>
      <c r="I576" s="25">
        <f>IF(C576&lt;62,0,'Combined Retirement'!$I$13)</f>
        <v>2420</v>
      </c>
      <c r="J576" s="25">
        <f t="shared" si="523"/>
        <v>6404.7404596389215</v>
      </c>
      <c r="K576" s="25">
        <f t="shared" si="524"/>
        <v>16520.094745597391</v>
      </c>
      <c r="L576" s="25"/>
      <c r="N576" s="25">
        <f>'Combined Retirement'!$C$18/12</f>
        <v>33932.660666666663</v>
      </c>
      <c r="O576" s="25">
        <f t="shared" si="525"/>
        <v>11007.82546143035</v>
      </c>
      <c r="P576" s="25">
        <f t="shared" si="526"/>
        <v>22924.835205236312</v>
      </c>
      <c r="Q576" s="25">
        <f t="array" aca="1" ref="Q576" ca="1">INDEX('Isaac 401k'!L:L,MATCH('Retirement Calculator'!A576,'Isaac 401k'!N:N,0),0)</f>
        <v>5632266.0652442435</v>
      </c>
      <c r="R576" s="25">
        <f t="array" aca="1" ref="R576" ca="1">INDEX('Lorri 401b'!L:L,MATCH('Retirement Calculator'!A576,'Lorri 401b'!N:N,0),0)</f>
        <v>6276364.5344216637</v>
      </c>
      <c r="S576" s="25">
        <f t="shared" ca="1" si="527"/>
        <v>11908630.599665906</v>
      </c>
    </row>
    <row r="577" spans="1:19" ht="15.75" customHeight="1" x14ac:dyDescent="0.3">
      <c r="A577" s="37">
        <v>68515</v>
      </c>
      <c r="B577" s="409">
        <f t="shared" ref="B577:C577" si="583">($A577-B$9)/365.25</f>
        <v>105.7056810403833</v>
      </c>
      <c r="C577" s="409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3525.4531757812501</v>
      </c>
      <c r="H577" s="25">
        <f>IF(B577&lt;62,0,'Combined Retirement'!$I$14)</f>
        <v>2192</v>
      </c>
      <c r="I577" s="25">
        <f>IF(C577&lt;62,0,'Combined Retirement'!$I$13)</f>
        <v>2420</v>
      </c>
      <c r="J577" s="25">
        <f t="shared" si="523"/>
        <v>6404.7404596389215</v>
      </c>
      <c r="K577" s="25">
        <f t="shared" si="524"/>
        <v>16520.094745597391</v>
      </c>
      <c r="L577" s="25"/>
      <c r="N577" s="25">
        <f>'Combined Retirement'!$C$18/12</f>
        <v>33932.660666666663</v>
      </c>
      <c r="O577" s="25">
        <f t="shared" si="525"/>
        <v>11007.82546143035</v>
      </c>
      <c r="P577" s="25">
        <f t="shared" si="526"/>
        <v>22924.835205236312</v>
      </c>
      <c r="Q577" s="25">
        <f t="array" aca="1" ref="Q577" ca="1">INDEX('Isaac 401k'!L:L,MATCH('Retirement Calculator'!A577,'Isaac 401k'!N:N,0),0)</f>
        <v>5649302.4136378737</v>
      </c>
      <c r="R577" s="25">
        <f t="array" aca="1" ref="R577" ca="1">INDEX('Lorri 401b'!L:L,MATCH('Retirement Calculator'!A577,'Lorri 401b'!N:N,0),0)</f>
        <v>6285927.1248413827</v>
      </c>
      <c r="S577" s="25">
        <f t="shared" ca="1" si="527"/>
        <v>11935229.538479257</v>
      </c>
    </row>
    <row r="578" spans="1:19" ht="15.75" customHeight="1" x14ac:dyDescent="0.3">
      <c r="A578" s="37">
        <v>68546</v>
      </c>
      <c r="B578" s="409">
        <f t="shared" ref="B578:C578" si="584">($A578-B$9)/365.25</f>
        <v>105.7905544147844</v>
      </c>
      <c r="C578" s="409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3525.4531757812501</v>
      </c>
      <c r="H578" s="25">
        <f>IF(B578&lt;62,0,'Combined Retirement'!$I$14)</f>
        <v>2192</v>
      </c>
      <c r="I578" s="25">
        <f>IF(C578&lt;62,0,'Combined Retirement'!$I$13)</f>
        <v>2420</v>
      </c>
      <c r="J578" s="25">
        <f t="shared" si="523"/>
        <v>6404.7404596389215</v>
      </c>
      <c r="K578" s="25">
        <f t="shared" si="524"/>
        <v>16520.094745597391</v>
      </c>
      <c r="L578" s="25"/>
      <c r="N578" s="25">
        <f>'Combined Retirement'!$C$18/12</f>
        <v>33932.660666666663</v>
      </c>
      <c r="O578" s="25">
        <f t="shared" si="525"/>
        <v>11007.82546143035</v>
      </c>
      <c r="P578" s="25">
        <f t="shared" si="526"/>
        <v>22924.835205236312</v>
      </c>
      <c r="Q578" s="25">
        <f t="array" aca="1" ref="Q578" ca="1">INDEX('Isaac 401k'!L:L,MATCH('Retirement Calculator'!A578,'Isaac 401k'!N:N,0),0)</f>
        <v>5666409.7468164777</v>
      </c>
      <c r="R578" s="25">
        <f t="array" aca="1" ref="R578" ca="1">INDEX('Lorri 401b'!L:L,MATCH('Retirement Calculator'!A578,'Lorri 401b'!N:N,0),0)</f>
        <v>6295529.5593878506</v>
      </c>
      <c r="S578" s="25">
        <f t="shared" ca="1" si="527"/>
        <v>11961939.306204328</v>
      </c>
    </row>
    <row r="579" spans="1:19" ht="15.75" customHeight="1" x14ac:dyDescent="0.3">
      <c r="A579" s="37">
        <v>68576</v>
      </c>
      <c r="B579" s="409">
        <f t="shared" ref="B579:C579" si="585">($A579-B$9)/365.25</f>
        <v>105.87268993839835</v>
      </c>
      <c r="C579" s="409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3525.4531757812501</v>
      </c>
      <c r="H579" s="25">
        <f>IF(B579&lt;62,0,'Combined Retirement'!$I$14)</f>
        <v>2192</v>
      </c>
      <c r="I579" s="25">
        <f>IF(C579&lt;62,0,'Combined Retirement'!$I$13)</f>
        <v>2420</v>
      </c>
      <c r="J579" s="25">
        <f t="shared" si="523"/>
        <v>6404.7404596389215</v>
      </c>
      <c r="K579" s="25">
        <f t="shared" si="524"/>
        <v>16520.094745597391</v>
      </c>
      <c r="L579" s="25"/>
      <c r="N579" s="25">
        <f>'Combined Retirement'!$C$18/12</f>
        <v>33932.660666666663</v>
      </c>
      <c r="O579" s="25">
        <f t="shared" si="525"/>
        <v>11007.82546143035</v>
      </c>
      <c r="P579" s="25">
        <f t="shared" si="526"/>
        <v>22924.835205236312</v>
      </c>
      <c r="Q579" s="25">
        <f t="array" aca="1" ref="Q579" ca="1">INDEX('Isaac 401k'!L:L,MATCH('Retirement Calculator'!A579,'Isaac 401k'!N:N,0),0)</f>
        <v>5683588.3605499929</v>
      </c>
      <c r="R579" s="25">
        <f t="array" aca="1" ref="R579" ca="1">INDEX('Lorri 401b'!L:L,MATCH('Retirement Calculator'!A579,'Lorri 401b'!N:N,0),0)</f>
        <v>6305172.0040782625</v>
      </c>
      <c r="S579" s="25">
        <f t="shared" ca="1" si="527"/>
        <v>11988760.364628255</v>
      </c>
    </row>
    <row r="580" spans="1:19" ht="15.75" customHeight="1" x14ac:dyDescent="0.3">
      <c r="A580" s="37">
        <v>68607</v>
      </c>
      <c r="B580" s="409">
        <f t="shared" ref="B580:C580" si="586">($A580-B$9)/365.25</f>
        <v>105.95756331279945</v>
      </c>
      <c r="C580" s="409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3525.4531757812501</v>
      </c>
      <c r="H580" s="25">
        <f>IF(B580&lt;62,0,'Combined Retirement'!$I$14)</f>
        <v>2192</v>
      </c>
      <c r="I580" s="25">
        <f>IF(C580&lt;62,0,'Combined Retirement'!$I$13)</f>
        <v>2420</v>
      </c>
      <c r="J580" s="25">
        <f t="shared" si="523"/>
        <v>6404.7404596389215</v>
      </c>
      <c r="K580" s="25">
        <f t="shared" si="524"/>
        <v>16520.094745597391</v>
      </c>
      <c r="L580" s="25"/>
      <c r="N580" s="25">
        <f>'Combined Retirement'!$C$18/12</f>
        <v>33932.660666666663</v>
      </c>
      <c r="O580" s="25">
        <f t="shared" si="525"/>
        <v>11007.82546143035</v>
      </c>
      <c r="P580" s="25">
        <f t="shared" si="526"/>
        <v>22924.835205236312</v>
      </c>
      <c r="Q580" s="25">
        <f t="array" aca="1" ref="Q580" ca="1">INDEX('Isaac 401k'!L:L,MATCH('Retirement Calculator'!A580,'Isaac 401k'!N:N,0),0)</f>
        <v>5700838.5518407309</v>
      </c>
      <c r="R580" s="25">
        <f t="array" aca="1" ref="R580" ca="1">INDEX('Lorri 401b'!L:L,MATCH('Retirement Calculator'!A580,'Lorri 401b'!N:N,0),0)</f>
        <v>6314854.6256215507</v>
      </c>
      <c r="S580" s="25">
        <f t="shared" ca="1" si="527"/>
        <v>12015693.177462282</v>
      </c>
    </row>
    <row r="581" spans="1:19" ht="15.75" customHeight="1" x14ac:dyDescent="0.3">
      <c r="A581" s="37">
        <v>68637</v>
      </c>
      <c r="B581" s="409">
        <f t="shared" ref="B581:C581" si="587">($A581-B$9)/365.25</f>
        <v>106.03969883641342</v>
      </c>
      <c r="C581" s="409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3525.4531757812501</v>
      </c>
      <c r="H581" s="25">
        <f>IF(B581&lt;62,0,'Combined Retirement'!$I$14)</f>
        <v>2192</v>
      </c>
      <c r="I581" s="25">
        <f>IF(C581&lt;62,0,'Combined Retirement'!$I$13)</f>
        <v>2420</v>
      </c>
      <c r="J581" s="25">
        <f t="shared" si="523"/>
        <v>6404.7404596389215</v>
      </c>
      <c r="K581" s="25">
        <f t="shared" si="524"/>
        <v>16520.094745597391</v>
      </c>
      <c r="L581" s="25"/>
      <c r="N581" s="25">
        <f>'Combined Retirement'!$C$18/12</f>
        <v>33932.660666666663</v>
      </c>
      <c r="O581" s="25">
        <f t="shared" si="525"/>
        <v>11007.82546143035</v>
      </c>
      <c r="P581" s="25">
        <f t="shared" si="526"/>
        <v>22924.835205236312</v>
      </c>
      <c r="Q581" s="25">
        <f t="array" aca="1" ref="Q581" ca="1">INDEX('Isaac 401k'!L:L,MATCH('Retirement Calculator'!A581,'Isaac 401k'!N:N,0),0)</f>
        <v>5718160.6189285135</v>
      </c>
      <c r="R581" s="25">
        <f t="array" aca="1" ref="R581" ca="1">INDEX('Lorri 401b'!L:L,MATCH('Retirement Calculator'!A581,'Lorri 401b'!N:N,0),0)</f>
        <v>6324577.5914212698</v>
      </c>
      <c r="S581" s="25">
        <f t="shared" ca="1" si="527"/>
        <v>12042738.210349783</v>
      </c>
    </row>
    <row r="582" spans="1:19" ht="15.75" customHeight="1" x14ac:dyDescent="0.3">
      <c r="A582" s="37">
        <v>68668</v>
      </c>
      <c r="B582" s="409">
        <f t="shared" ref="B582:C582" si="588">($A582-B$9)/365.25</f>
        <v>106.12457221081451</v>
      </c>
      <c r="C582" s="409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3525.4531757812501</v>
      </c>
      <c r="H582" s="25">
        <f>IF(B582&lt;62,0,'Combined Retirement'!$I$14)</f>
        <v>2192</v>
      </c>
      <c r="I582" s="25">
        <f>IF(C582&lt;62,0,'Combined Retirement'!$I$13)</f>
        <v>2420</v>
      </c>
      <c r="J582" s="25">
        <f t="shared" si="523"/>
        <v>6404.7404596389215</v>
      </c>
      <c r="K582" s="25">
        <f t="shared" si="524"/>
        <v>16520.094745597391</v>
      </c>
      <c r="L582" s="25"/>
      <c r="N582" s="25">
        <f>'Combined Retirement'!$C$18/12</f>
        <v>33932.660666666663</v>
      </c>
      <c r="O582" s="25">
        <f t="shared" si="525"/>
        <v>11007.82546143035</v>
      </c>
      <c r="P582" s="25">
        <f t="shared" si="526"/>
        <v>22924.835205236312</v>
      </c>
      <c r="Q582" s="25">
        <f t="array" aca="1" ref="Q582" ca="1">INDEX('Isaac 401k'!L:L,MATCH('Retirement Calculator'!A582,'Isaac 401k'!N:N,0),0)</f>
        <v>5735554.8612958286</v>
      </c>
      <c r="R582" s="25">
        <f t="array" aca="1" ref="R582" ca="1">INDEX('Lorri 401b'!L:L,MATCH('Retirement Calculator'!A582,'Lorri 401b'!N:N,0),0)</f>
        <v>6334341.0695784874</v>
      </c>
      <c r="S582" s="25">
        <f t="shared" ca="1" si="527"/>
        <v>12069895.930874316</v>
      </c>
    </row>
    <row r="583" spans="1:19" ht="15.75" customHeight="1" x14ac:dyDescent="0.3">
      <c r="A583" s="37">
        <v>68699</v>
      </c>
      <c r="B583" s="409">
        <f t="shared" ref="B583:C583" si="589">($A583-B$9)/365.25</f>
        <v>106.2094455852156</v>
      </c>
      <c r="C583" s="409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3525.4531757812501</v>
      </c>
      <c r="H583" s="25">
        <f>IF(B583&lt;62,0,'Combined Retirement'!$I$14)</f>
        <v>2192</v>
      </c>
      <c r="I583" s="25">
        <f>IF(C583&lt;62,0,'Combined Retirement'!$I$13)</f>
        <v>2420</v>
      </c>
      <c r="J583" s="25">
        <f t="shared" si="523"/>
        <v>6404.7404596389215</v>
      </c>
      <c r="K583" s="25">
        <f t="shared" si="524"/>
        <v>16520.094745597391</v>
      </c>
      <c r="L583" s="25"/>
      <c r="N583" s="25">
        <f>'Combined Retirement'!$C$18/12</f>
        <v>33932.660666666663</v>
      </c>
      <c r="O583" s="25">
        <f t="shared" si="525"/>
        <v>11007.82546143035</v>
      </c>
      <c r="P583" s="25">
        <f t="shared" si="526"/>
        <v>22924.835205236312</v>
      </c>
      <c r="Q583" s="25">
        <f t="array" aca="1" ref="Q583" ca="1">INDEX('Isaac 401k'!L:L,MATCH('Retirement Calculator'!A583,'Isaac 401k'!N:N,0),0)</f>
        <v>5753021.5796730071</v>
      </c>
      <c r="R583" s="25">
        <f t="array" aca="1" ref="R583" ca="1">INDEX('Lorri 401b'!L:L,MATCH('Retirement Calculator'!A583,'Lorri 401b'!N:N,0),0)</f>
        <v>6344145.2288946938</v>
      </c>
      <c r="S583" s="25">
        <f t="shared" ca="1" si="527"/>
        <v>12097166.808567701</v>
      </c>
    </row>
    <row r="584" spans="1:19" ht="15.75" customHeight="1" x14ac:dyDescent="0.3">
      <c r="A584" s="37">
        <v>68728</v>
      </c>
      <c r="B584" s="409">
        <f t="shared" ref="B584:C584" si="590">($A584-B$9)/365.25</f>
        <v>106.28884325804243</v>
      </c>
      <c r="C584" s="409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3525.4531757812501</v>
      </c>
      <c r="H584" s="25">
        <f>IF(B584&lt;62,0,'Combined Retirement'!$I$14)</f>
        <v>2192</v>
      </c>
      <c r="I584" s="25">
        <f>IF(C584&lt;62,0,'Combined Retirement'!$I$13)</f>
        <v>2420</v>
      </c>
      <c r="J584" s="25">
        <f t="shared" si="523"/>
        <v>6404.7404596389215</v>
      </c>
      <c r="K584" s="25">
        <f t="shared" si="524"/>
        <v>16520.094745597391</v>
      </c>
      <c r="L584" s="25"/>
      <c r="N584" s="25">
        <f>'Combined Retirement'!$C$18/12</f>
        <v>33932.660666666663</v>
      </c>
      <c r="O584" s="25">
        <f t="shared" si="525"/>
        <v>11007.82546143035</v>
      </c>
      <c r="P584" s="25">
        <f t="shared" si="526"/>
        <v>22924.835205236312</v>
      </c>
      <c r="Q584" s="25">
        <f t="array" aca="1" ref="Q584" ca="1">INDEX('Isaac 401k'!L:L,MATCH('Retirement Calculator'!A584,'Isaac 401k'!N:N,0),0)</f>
        <v>5770561.0760434242</v>
      </c>
      <c r="R584" s="25">
        <f t="array" aca="1" ref="R584" ca="1">INDEX('Lorri 401b'!L:L,MATCH('Retirement Calculator'!A584,'Lorri 401b'!N:N,0),0)</f>
        <v>6353990.2388747176</v>
      </c>
      <c r="S584" s="25">
        <f t="shared" ca="1" si="527"/>
        <v>12124551.314918142</v>
      </c>
    </row>
    <row r="585" spans="1:19" ht="15.75" customHeight="1" x14ac:dyDescent="0.3">
      <c r="A585" s="37">
        <v>68759</v>
      </c>
      <c r="B585" s="409">
        <f t="shared" ref="B585:C585" si="591">($A585-B$9)/365.25</f>
        <v>106.37371663244353</v>
      </c>
      <c r="C585" s="409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3525.4531757812501</v>
      </c>
      <c r="H585" s="25">
        <f>IF(B585&lt;62,0,'Combined Retirement'!$I$14)</f>
        <v>2192</v>
      </c>
      <c r="I585" s="25">
        <f>IF(C585&lt;62,0,'Combined Retirement'!$I$13)</f>
        <v>2420</v>
      </c>
      <c r="J585" s="25">
        <f t="shared" si="523"/>
        <v>6404.7404596389215</v>
      </c>
      <c r="K585" s="25">
        <f t="shared" si="524"/>
        <v>16520.094745597391</v>
      </c>
      <c r="L585" s="25"/>
      <c r="N585" s="25">
        <f>'Combined Retirement'!$C$18/12</f>
        <v>33932.660666666663</v>
      </c>
      <c r="O585" s="25">
        <f t="shared" si="525"/>
        <v>11007.82546143035</v>
      </c>
      <c r="P585" s="25">
        <f t="shared" si="526"/>
        <v>22924.835205236312</v>
      </c>
      <c r="Q585" s="25">
        <f t="array" aca="1" ref="Q585" ca="1">INDEX('Isaac 401k'!L:L,MATCH('Retirement Calculator'!A585,'Isaac 401k'!N:N,0),0)</f>
        <v>5788173.6536487183</v>
      </c>
      <c r="R585" s="25">
        <f t="array" aca="1" ref="R585" ca="1">INDEX('Lorri 401b'!L:L,MATCH('Retirement Calculator'!A585,'Lorri 401b'!N:N,0),0)</f>
        <v>6363876.269729658</v>
      </c>
      <c r="S585" s="25">
        <f t="shared" ca="1" si="527"/>
        <v>12152049.923378376</v>
      </c>
    </row>
    <row r="586" spans="1:19" ht="15.75" customHeight="1" x14ac:dyDescent="0.3">
      <c r="A586" s="37">
        <v>68789</v>
      </c>
      <c r="B586" s="409">
        <f t="shared" ref="B586:C586" si="592">($A586-B$9)/365.25</f>
        <v>106.45585215605749</v>
      </c>
      <c r="C586" s="409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3525.4531757812501</v>
      </c>
      <c r="H586" s="25">
        <f>IF(B586&lt;62,0,'Combined Retirement'!$I$14)</f>
        <v>2192</v>
      </c>
      <c r="I586" s="25">
        <f>IF(C586&lt;62,0,'Combined Retirement'!$I$13)</f>
        <v>2420</v>
      </c>
      <c r="J586" s="25">
        <f t="shared" si="523"/>
        <v>6404.7404596389215</v>
      </c>
      <c r="K586" s="25">
        <f t="shared" si="524"/>
        <v>16520.094745597391</v>
      </c>
      <c r="L586" s="25"/>
      <c r="N586" s="25">
        <f>'Combined Retirement'!$C$18/12</f>
        <v>33932.660666666663</v>
      </c>
      <c r="O586" s="25">
        <f t="shared" si="525"/>
        <v>11007.82546143035</v>
      </c>
      <c r="P586" s="25">
        <f t="shared" si="526"/>
        <v>22924.835205236312</v>
      </c>
      <c r="Q586" s="25">
        <f t="array" aca="1" ref="Q586" ca="1">INDEX('Isaac 401k'!L:L,MATCH('Retirement Calculator'!A586,'Isaac 401k'!N:N,0),0)</f>
        <v>5805859.6169940345</v>
      </c>
      <c r="R586" s="25">
        <f t="array" aca="1" ref="R586" ca="1">INDEX('Lorri 401b'!L:L,MATCH('Retirement Calculator'!A586,'Lorri 401b'!N:N,0),0)</f>
        <v>6373803.4923798274</v>
      </c>
      <c r="S586" s="25">
        <f t="shared" ca="1" si="527"/>
        <v>12179663.109373862</v>
      </c>
    </row>
    <row r="587" spans="1:19" ht="15.75" customHeight="1" x14ac:dyDescent="0.3">
      <c r="A587" s="37">
        <v>68820</v>
      </c>
      <c r="B587" s="409">
        <f t="shared" ref="B587:C587" si="593">($A587-B$9)/365.25</f>
        <v>106.54072553045859</v>
      </c>
      <c r="C587" s="409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3525.4531757812501</v>
      </c>
      <c r="H587" s="25">
        <f>IF(B587&lt;62,0,'Combined Retirement'!$I$14)</f>
        <v>2192</v>
      </c>
      <c r="I587" s="25">
        <f>IF(C587&lt;62,0,'Combined Retirement'!$I$13)</f>
        <v>2420</v>
      </c>
      <c r="J587" s="25">
        <f t="shared" si="523"/>
        <v>6404.7404596389215</v>
      </c>
      <c r="K587" s="25">
        <f t="shared" si="524"/>
        <v>16520.094745597391</v>
      </c>
      <c r="L587" s="25"/>
      <c r="N587" s="25">
        <f>'Combined Retirement'!$C$18/12</f>
        <v>33932.660666666663</v>
      </c>
      <c r="O587" s="25">
        <f t="shared" si="525"/>
        <v>11007.82546143035</v>
      </c>
      <c r="P587" s="25">
        <f t="shared" si="526"/>
        <v>22924.835205236312</v>
      </c>
      <c r="Q587" s="25">
        <f t="array" aca="1" ref="Q587" ca="1">INDEX('Isaac 401k'!L:L,MATCH('Retirement Calculator'!A587,'Isaac 401k'!N:N,0),0)</f>
        <v>5823619.2718532896</v>
      </c>
      <c r="R587" s="25">
        <f t="array" aca="1" ref="R587" ca="1">INDEX('Lorri 401b'!L:L,MATCH('Retirement Calculator'!A587,'Lorri 401b'!N:N,0),0)</f>
        <v>6383772.0784577057</v>
      </c>
      <c r="S587" s="25">
        <f t="shared" ca="1" si="527"/>
        <v>12207391.350310996</v>
      </c>
    </row>
    <row r="588" spans="1:19" ht="15.75" customHeight="1" x14ac:dyDescent="0.3">
      <c r="A588" s="37">
        <v>68850</v>
      </c>
      <c r="B588" s="409">
        <f t="shared" ref="B588:C588" si="594">($A588-B$9)/365.25</f>
        <v>106.62286105407256</v>
      </c>
      <c r="C588" s="409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3525.4531757812501</v>
      </c>
      <c r="H588" s="25">
        <f>IF(B588&lt;62,0,'Combined Retirement'!$I$14)</f>
        <v>2192</v>
      </c>
      <c r="I588" s="25">
        <f>IF(C588&lt;62,0,'Combined Retirement'!$I$13)</f>
        <v>2420</v>
      </c>
      <c r="J588" s="25">
        <f t="shared" si="523"/>
        <v>6404.7404596389215</v>
      </c>
      <c r="K588" s="25">
        <f t="shared" si="524"/>
        <v>16520.094745597391</v>
      </c>
      <c r="L588" s="25"/>
      <c r="N588" s="25">
        <f>'Combined Retirement'!$C$18/12</f>
        <v>33932.660666666663</v>
      </c>
      <c r="O588" s="25">
        <f t="shared" si="525"/>
        <v>11007.82546143035</v>
      </c>
      <c r="P588" s="25">
        <f t="shared" si="526"/>
        <v>22924.835205236312</v>
      </c>
      <c r="Q588" s="25">
        <f t="array" aca="1" ref="Q588" ca="1">INDEX('Isaac 401k'!L:L,MATCH('Retirement Calculator'!A588,'Isaac 401k'!N:N,0),0)</f>
        <v>5841452.9252744578</v>
      </c>
      <c r="R588" s="25">
        <f t="array" aca="1" ref="R588" ca="1">INDEX('Lorri 401b'!L:L,MATCH('Retirement Calculator'!A588,'Lorri 401b'!N:N,0),0)</f>
        <v>6393782.2003109083</v>
      </c>
      <c r="S588" s="25">
        <f t="shared" ca="1" si="527"/>
        <v>12235235.125585366</v>
      </c>
    </row>
    <row r="589" spans="1:19" ht="15.75" customHeight="1" x14ac:dyDescent="0.3">
      <c r="A589" s="37">
        <v>68881</v>
      </c>
      <c r="B589" s="409">
        <f t="shared" ref="B589:C589" si="595">($A589-B$9)/365.25</f>
        <v>106.70773442847364</v>
      </c>
      <c r="C589" s="409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3525.4531757812501</v>
      </c>
      <c r="H589" s="25">
        <f>IF(B589&lt;62,0,'Combined Retirement'!$I$14)</f>
        <v>2192</v>
      </c>
      <c r="I589" s="25">
        <f>IF(C589&lt;62,0,'Combined Retirement'!$I$13)</f>
        <v>2420</v>
      </c>
      <c r="J589" s="25">
        <f t="shared" si="523"/>
        <v>6404.7404596389215</v>
      </c>
      <c r="K589" s="25">
        <f t="shared" si="524"/>
        <v>16520.094745597391</v>
      </c>
      <c r="L589" s="25"/>
      <c r="N589" s="25">
        <f>'Combined Retirement'!$C$18/12</f>
        <v>33932.660666666663</v>
      </c>
      <c r="O589" s="25">
        <f t="shared" si="525"/>
        <v>11007.82546143035</v>
      </c>
      <c r="P589" s="25">
        <f t="shared" si="526"/>
        <v>22924.835205236312</v>
      </c>
      <c r="Q589" s="25">
        <f t="array" aca="1" ref="Q589" ca="1">INDEX('Isaac 401k'!L:L,MATCH('Retirement Calculator'!A589,'Isaac 401k'!N:N,0),0)</f>
        <v>5859360.8855848806</v>
      </c>
      <c r="R589" s="25">
        <f t="array" aca="1" ref="R589" ca="1">INDEX('Lorri 401b'!L:L,MATCH('Retirement Calculator'!A589,'Lorri 401b'!N:N,0),0)</f>
        <v>6403834.0310051655</v>
      </c>
      <c r="S589" s="25">
        <f t="shared" ca="1" si="527"/>
        <v>12263194.916590046</v>
      </c>
    </row>
    <row r="590" spans="1:19" ht="15.75" customHeight="1" x14ac:dyDescent="0.3">
      <c r="A590" s="37">
        <v>68912</v>
      </c>
      <c r="B590" s="409">
        <f t="shared" ref="B590:C590" si="596">($A590-B$9)/365.25</f>
        <v>106.79260780287474</v>
      </c>
      <c r="C590" s="409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3525.4531757812501</v>
      </c>
      <c r="H590" s="25">
        <f>IF(B590&lt;62,0,'Combined Retirement'!$I$14)</f>
        <v>2192</v>
      </c>
      <c r="I590" s="25">
        <f>IF(C590&lt;62,0,'Combined Retirement'!$I$13)</f>
        <v>2420</v>
      </c>
      <c r="J590" s="25">
        <f t="shared" si="523"/>
        <v>6404.7404596389215</v>
      </c>
      <c r="K590" s="25">
        <f t="shared" si="524"/>
        <v>16520.094745597391</v>
      </c>
      <c r="L590" s="25"/>
      <c r="N590" s="25">
        <f>'Combined Retirement'!$C$18/12</f>
        <v>33932.660666666663</v>
      </c>
      <c r="O590" s="25">
        <f t="shared" si="525"/>
        <v>11007.82546143035</v>
      </c>
      <c r="P590" s="25">
        <f t="shared" si="526"/>
        <v>22924.835205236312</v>
      </c>
      <c r="Q590" s="25">
        <f t="array" aca="1" ref="Q590" ca="1">INDEX('Isaac 401k'!L:L,MATCH('Retirement Calculator'!A590,'Isaac 401k'!N:N,0),0)</f>
        <v>5877343.4623965975</v>
      </c>
      <c r="R590" s="25">
        <f t="array" aca="1" ref="R590" ca="1">INDEX('Lorri 401b'!L:L,MATCH('Retirement Calculator'!A590,'Lorri 401b'!N:N,0),0)</f>
        <v>6413927.7443273161</v>
      </c>
      <c r="S590" s="25">
        <f t="shared" ca="1" si="527"/>
        <v>12291271.206723914</v>
      </c>
    </row>
    <row r="591" spans="1:19" ht="15.75" customHeight="1" x14ac:dyDescent="0.3">
      <c r="A591" s="37">
        <v>68942</v>
      </c>
      <c r="B591" s="409">
        <f t="shared" ref="B591:C591" si="597">($A591-B$9)/365.25</f>
        <v>106.87474332648871</v>
      </c>
      <c r="C591" s="409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3525.4531757812501</v>
      </c>
      <c r="H591" s="25">
        <f>IF(B591&lt;62,0,'Combined Retirement'!$I$14)</f>
        <v>2192</v>
      </c>
      <c r="I591" s="25">
        <f>IF(C591&lt;62,0,'Combined Retirement'!$I$13)</f>
        <v>2420</v>
      </c>
      <c r="J591" s="25">
        <f t="shared" si="523"/>
        <v>6404.7404596389215</v>
      </c>
      <c r="K591" s="25">
        <f t="shared" si="524"/>
        <v>16520.094745597391</v>
      </c>
      <c r="L591" s="25"/>
      <c r="N591" s="25">
        <f>'Combined Retirement'!$C$18/12</f>
        <v>33932.660666666663</v>
      </c>
      <c r="O591" s="25">
        <f t="shared" si="525"/>
        <v>11007.82546143035</v>
      </c>
      <c r="P591" s="25">
        <f t="shared" si="526"/>
        <v>22924.835205236312</v>
      </c>
      <c r="Q591" s="25">
        <f t="array" aca="1" ref="Q591" ca="1">INDEX('Isaac 401k'!L:L,MATCH('Retirement Calculator'!A591,'Isaac 401k'!N:N,0),0)</f>
        <v>5895400.9666116964</v>
      </c>
      <c r="R591" s="25">
        <f t="array" aca="1" ref="R591" ca="1">INDEX('Lorri 401b'!L:L,MATCH('Retirement Calculator'!A591,'Lorri 401b'!N:N,0),0)</f>
        <v>6424063.5147883091</v>
      </c>
      <c r="S591" s="25">
        <f t="shared" ca="1" si="527"/>
        <v>12319464.481400006</v>
      </c>
    </row>
    <row r="592" spans="1:19" ht="15.75" customHeight="1" x14ac:dyDescent="0.3">
      <c r="A592" s="37">
        <v>68973</v>
      </c>
      <c r="B592" s="409">
        <f t="shared" ref="B592:C592" si="598">($A592-B$9)/365.25</f>
        <v>106.9596167008898</v>
      </c>
      <c r="C592" s="409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3525.4531757812501</v>
      </c>
      <c r="H592" s="25">
        <f>IF(B592&lt;62,0,'Combined Retirement'!$I$14)</f>
        <v>2192</v>
      </c>
      <c r="I592" s="25">
        <f>IF(C592&lt;62,0,'Combined Retirement'!$I$13)</f>
        <v>2420</v>
      </c>
      <c r="J592" s="25">
        <f t="shared" si="523"/>
        <v>6404.7404596389215</v>
      </c>
      <c r="K592" s="25">
        <f t="shared" si="524"/>
        <v>16520.094745597391</v>
      </c>
      <c r="L592" s="25"/>
      <c r="N592" s="25">
        <f>'Combined Retirement'!$C$18/12</f>
        <v>33932.660666666663</v>
      </c>
      <c r="O592" s="25">
        <f t="shared" si="525"/>
        <v>11007.82546143035</v>
      </c>
      <c r="P592" s="25">
        <f t="shared" si="526"/>
        <v>22924.835205236312</v>
      </c>
      <c r="Q592" s="25">
        <f t="array" aca="1" ref="Q592" ca="1">INDEX('Isaac 401k'!L:L,MATCH('Retirement Calculator'!A592,'Isaac 401k'!N:N,0),0)</f>
        <v>5913533.7104276912</v>
      </c>
      <c r="R592" s="25">
        <f t="array" aca="1" ref="R592" ca="1">INDEX('Lorri 401b'!L:L,MATCH('Retirement Calculator'!A592,'Lorri 401b'!N:N,0),0)</f>
        <v>6434241.5176262222</v>
      </c>
      <c r="S592" s="25">
        <f t="shared" ca="1" si="527"/>
        <v>12347775.228053913</v>
      </c>
    </row>
    <row r="593" spans="1:19" ht="15.75" customHeight="1" x14ac:dyDescent="0.3">
      <c r="A593" s="37">
        <v>69003</v>
      </c>
      <c r="B593" s="409">
        <f t="shared" ref="B593:C593" si="599">($A593-B$9)/365.25</f>
        <v>107.04175222450377</v>
      </c>
      <c r="C593" s="409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3525.4531757812501</v>
      </c>
      <c r="H593" s="25">
        <f>IF(B593&lt;62,0,'Combined Retirement'!$I$14)</f>
        <v>2192</v>
      </c>
      <c r="I593" s="25">
        <f>IF(C593&lt;62,0,'Combined Retirement'!$I$13)</f>
        <v>2420</v>
      </c>
      <c r="J593" s="25">
        <f t="shared" si="523"/>
        <v>6404.7404596389215</v>
      </c>
      <c r="K593" s="25">
        <f t="shared" si="524"/>
        <v>16520.094745597391</v>
      </c>
      <c r="L593" s="25"/>
      <c r="N593" s="25">
        <f>'Combined Retirement'!$C$18/12</f>
        <v>33932.660666666663</v>
      </c>
      <c r="O593" s="25">
        <f t="shared" si="525"/>
        <v>11007.82546143035</v>
      </c>
      <c r="P593" s="25">
        <f t="shared" si="526"/>
        <v>22924.835205236312</v>
      </c>
      <c r="Q593" s="25">
        <f t="array" aca="1" ref="Q593" ca="1">INDEX('Isaac 401k'!L:L,MATCH('Retirement Calculator'!A593,'Isaac 401k'!N:N,0),0)</f>
        <v>5931742.0073429197</v>
      </c>
      <c r="R593" s="25">
        <f t="array" aca="1" ref="R593" ca="1">INDEX('Lorri 401b'!L:L,MATCH('Retirement Calculator'!A593,'Lorri 401b'!N:N,0),0)</f>
        <v>6444461.9288092935</v>
      </c>
      <c r="S593" s="25">
        <f t="shared" ca="1" si="527"/>
        <v>12376203.936152212</v>
      </c>
    </row>
    <row r="594" spans="1:19" ht="15.75" customHeight="1" x14ac:dyDescent="0.3">
      <c r="A594" s="37">
        <v>69034</v>
      </c>
      <c r="B594" s="409">
        <f t="shared" ref="B594:C594" si="600">($A594-B$9)/365.25</f>
        <v>107.12662559890487</v>
      </c>
      <c r="C594" s="409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3525.4531757812501</v>
      </c>
      <c r="H594" s="25">
        <f>IF(B594&lt;62,0,'Combined Retirement'!$I$14)</f>
        <v>2192</v>
      </c>
      <c r="I594" s="25">
        <f>IF(C594&lt;62,0,'Combined Retirement'!$I$13)</f>
        <v>2420</v>
      </c>
      <c r="J594" s="25">
        <f t="shared" si="523"/>
        <v>6404.7404596389215</v>
      </c>
      <c r="K594" s="25">
        <f t="shared" si="524"/>
        <v>16520.094745597391</v>
      </c>
      <c r="L594" s="25"/>
      <c r="N594" s="25">
        <f>'Combined Retirement'!$C$18/12</f>
        <v>33932.660666666663</v>
      </c>
      <c r="O594" s="25">
        <f t="shared" si="525"/>
        <v>11007.82546143035</v>
      </c>
      <c r="P594" s="25">
        <f t="shared" si="526"/>
        <v>22924.835205236312</v>
      </c>
      <c r="Q594" s="25">
        <f t="array" aca="1" ref="Q594" ca="1">INDEX('Isaac 401k'!L:L,MATCH('Retirement Calculator'!A594,'Isaac 401k'!N:N,0),0)</f>
        <v>5950026.172161961</v>
      </c>
      <c r="R594" s="25">
        <f t="array" aca="1" ref="R594" ca="1">INDEX('Lorri 401b'!L:L,MATCH('Retirement Calculator'!A594,'Lorri 401b'!N:N,0),0)</f>
        <v>6454724.9250389608</v>
      </c>
      <c r="S594" s="25">
        <f t="shared" ca="1" si="527"/>
        <v>12404751.097200923</v>
      </c>
    </row>
    <row r="595" spans="1:19" ht="15.75" customHeight="1" x14ac:dyDescent="0.3">
      <c r="A595" s="37">
        <v>69065</v>
      </c>
      <c r="B595" s="409">
        <f t="shared" ref="B595:C595" si="601">($A595-B$9)/365.25</f>
        <v>107.21149897330595</v>
      </c>
      <c r="C595" s="409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3525.4531757812501</v>
      </c>
      <c r="H595" s="25">
        <f>IF(B595&lt;62,0,'Combined Retirement'!$I$14)</f>
        <v>2192</v>
      </c>
      <c r="I595" s="25">
        <f>IF(C595&lt;62,0,'Combined Retirement'!$I$13)</f>
        <v>2420</v>
      </c>
      <c r="J595" s="25">
        <f t="shared" si="523"/>
        <v>6404.7404596389215</v>
      </c>
      <c r="K595" s="25">
        <f t="shared" si="524"/>
        <v>16520.094745597391</v>
      </c>
      <c r="L595" s="25"/>
      <c r="N595" s="25">
        <f>'Combined Retirement'!$C$18/12</f>
        <v>33932.660666666663</v>
      </c>
      <c r="O595" s="25">
        <f t="shared" si="525"/>
        <v>11007.82546143035</v>
      </c>
      <c r="P595" s="25">
        <f t="shared" si="526"/>
        <v>22924.835205236312</v>
      </c>
      <c r="Q595" s="25">
        <f t="array" aca="1" ref="Q595" ca="1">INDEX('Isaac 401k'!L:L,MATCH('Retirement Calculator'!A595,'Isaac 401k'!N:N,0),0)</f>
        <v>5968386.5210010819</v>
      </c>
      <c r="R595" s="25">
        <f t="array" aca="1" ref="R595" ca="1">INDEX('Lorri 401b'!L:L,MATCH('Retirement Calculator'!A595,'Lorri 401b'!N:N,0),0)</f>
        <v>6465030.6837529186</v>
      </c>
      <c r="S595" s="25">
        <f t="shared" ca="1" si="527"/>
        <v>12433417.204754001</v>
      </c>
    </row>
    <row r="596" spans="1:19" ht="15.75" customHeight="1" x14ac:dyDescent="0.3">
      <c r="A596" s="37">
        <v>69093</v>
      </c>
      <c r="B596" s="409">
        <f t="shared" ref="B596:C596" si="602">($A596-B$9)/365.25</f>
        <v>107.28815879534565</v>
      </c>
      <c r="C596" s="409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3525.4531757812501</v>
      </c>
      <c r="H596" s="25">
        <f>IF(B596&lt;62,0,'Combined Retirement'!$I$14)</f>
        <v>2192</v>
      </c>
      <c r="I596" s="25">
        <f>IF(C596&lt;62,0,'Combined Retirement'!$I$13)</f>
        <v>2420</v>
      </c>
      <c r="J596" s="25">
        <f t="shared" si="523"/>
        <v>6404.7404596389215</v>
      </c>
      <c r="K596" s="25">
        <f t="shared" si="524"/>
        <v>16520.094745597391</v>
      </c>
      <c r="L596" s="25"/>
      <c r="N596" s="25">
        <f>'Combined Retirement'!$C$18/12</f>
        <v>33932.660666666663</v>
      </c>
      <c r="O596" s="25">
        <f t="shared" si="525"/>
        <v>11007.82546143035</v>
      </c>
      <c r="P596" s="25">
        <f t="shared" si="526"/>
        <v>22924.835205236312</v>
      </c>
      <c r="Q596" s="25">
        <f t="array" aca="1" ref="Q596" ca="1">INDEX('Isaac 401k'!L:L,MATCH('Retirement Calculator'!A596,'Isaac 401k'!N:N,0),0)</f>
        <v>5986823.3712936994</v>
      </c>
      <c r="R596" s="25">
        <f t="array" aca="1" ref="R596" ca="1">INDEX('Lorri 401b'!L:L,MATCH('Retirement Calculator'!A596,'Lorri 401b'!N:N,0),0)</f>
        <v>6475379.3831281848</v>
      </c>
      <c r="S596" s="25">
        <f t="shared" ca="1" si="527"/>
        <v>12462202.754421884</v>
      </c>
    </row>
    <row r="597" spans="1:19" ht="15.75" customHeight="1" x14ac:dyDescent="0.3">
      <c r="A597" s="37">
        <v>69124</v>
      </c>
      <c r="B597" s="409">
        <f t="shared" ref="B597:C597" si="603">($A597-B$9)/365.25</f>
        <v>107.37303216974675</v>
      </c>
      <c r="C597" s="409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3525.4531757812501</v>
      </c>
      <c r="H597" s="25">
        <f>IF(B597&lt;62,0,'Combined Retirement'!$I$14)</f>
        <v>2192</v>
      </c>
      <c r="I597" s="25">
        <f>IF(C597&lt;62,0,'Combined Retirement'!$I$13)</f>
        <v>2420</v>
      </c>
      <c r="J597" s="25">
        <f t="shared" si="523"/>
        <v>6404.7404596389215</v>
      </c>
      <c r="K597" s="25">
        <f t="shared" si="524"/>
        <v>16520.094745597391</v>
      </c>
      <c r="L597" s="25"/>
      <c r="N597" s="25">
        <f>'Combined Retirement'!$C$18/12</f>
        <v>33932.660666666663</v>
      </c>
      <c r="O597" s="25">
        <f t="shared" si="525"/>
        <v>11007.82546143035</v>
      </c>
      <c r="P597" s="25">
        <f t="shared" si="526"/>
        <v>22924.835205236312</v>
      </c>
      <c r="Q597" s="25">
        <f t="array" aca="1" ref="Q597" ca="1">INDEX('Isaac 401k'!L:L,MATCH('Retirement Calculator'!A597,'Isaac 401k'!N:N,0),0)</f>
        <v>6005337.0417958694</v>
      </c>
      <c r="R597" s="25">
        <f t="array" aca="1" ref="R597" ca="1">INDEX('Lorri 401b'!L:L,MATCH('Retirement Calculator'!A597,'Lorri 401b'!N:N,0),0)</f>
        <v>6485771.2020841809</v>
      </c>
      <c r="S597" s="25">
        <f t="shared" ca="1" si="527"/>
        <v>12491108.24388005</v>
      </c>
    </row>
    <row r="598" spans="1:19" ht="15.75" customHeight="1" x14ac:dyDescent="0.3">
      <c r="A598" s="37">
        <v>69154</v>
      </c>
      <c r="B598" s="409">
        <f t="shared" ref="B598:C598" si="604">($A598-B$9)/365.25</f>
        <v>107.45516769336071</v>
      </c>
      <c r="C598" s="409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3525.4531757812501</v>
      </c>
      <c r="H598" s="25">
        <f>IF(B598&lt;62,0,'Combined Retirement'!$I$14)</f>
        <v>2192</v>
      </c>
      <c r="I598" s="25">
        <f>IF(C598&lt;62,0,'Combined Retirement'!$I$13)</f>
        <v>2420</v>
      </c>
      <c r="J598" s="25">
        <f t="shared" si="523"/>
        <v>6404.7404596389215</v>
      </c>
      <c r="K598" s="25">
        <f t="shared" si="524"/>
        <v>16520.094745597391</v>
      </c>
      <c r="L598" s="25"/>
      <c r="N598" s="25">
        <f>'Combined Retirement'!$C$18/12</f>
        <v>33932.660666666663</v>
      </c>
      <c r="O598" s="25">
        <f t="shared" si="525"/>
        <v>11007.82546143035</v>
      </c>
      <c r="P598" s="25">
        <f t="shared" si="526"/>
        <v>22924.835205236312</v>
      </c>
      <c r="Q598" s="25">
        <f t="array" aca="1" ref="Q598" ca="1">INDEX('Isaac 401k'!L:L,MATCH('Retirement Calculator'!A598,'Isaac 401k'!N:N,0),0)</f>
        <v>6023927.8525917986</v>
      </c>
      <c r="R598" s="25">
        <f t="array" aca="1" ref="R598" ca="1">INDEX('Lorri 401b'!L:L,MATCH('Retirement Calculator'!A598,'Lorri 401b'!N:N,0),0)</f>
        <v>6496206.3202858269</v>
      </c>
      <c r="S598" s="25">
        <f t="shared" ca="1" si="527"/>
        <v>12520134.172877625</v>
      </c>
    </row>
    <row r="599" spans="1:19" ht="15.75" customHeight="1" x14ac:dyDescent="0.3">
      <c r="A599" s="37">
        <v>69185</v>
      </c>
      <c r="B599" s="409">
        <f t="shared" ref="B599:C599" si="605">($A599-B$9)/365.25</f>
        <v>107.54004106776181</v>
      </c>
      <c r="C599" s="409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3525.4531757812501</v>
      </c>
      <c r="H599" s="25">
        <f>IF(B599&lt;62,0,'Combined Retirement'!$I$14)</f>
        <v>2192</v>
      </c>
      <c r="I599" s="25">
        <f>IF(C599&lt;62,0,'Combined Retirement'!$I$13)</f>
        <v>2420</v>
      </c>
      <c r="J599" s="25">
        <f t="shared" si="523"/>
        <v>6404.7404596389215</v>
      </c>
      <c r="K599" s="25">
        <f t="shared" si="524"/>
        <v>16520.094745597391</v>
      </c>
      <c r="L599" s="25"/>
      <c r="N599" s="25">
        <f>'Combined Retirement'!$C$18/12</f>
        <v>33932.660666666663</v>
      </c>
      <c r="O599" s="25">
        <f t="shared" si="525"/>
        <v>11007.82546143035</v>
      </c>
      <c r="P599" s="25">
        <f t="shared" si="526"/>
        <v>22924.835205236312</v>
      </c>
      <c r="Q599" s="25">
        <f t="array" aca="1" ref="Q599" ca="1">INDEX('Isaac 401k'!L:L,MATCH('Retirement Calculator'!A599,'Isaac 401k'!N:N,0),0)</f>
        <v>6042596.1250993777</v>
      </c>
      <c r="R599" s="25">
        <f t="array" aca="1" ref="R599" ca="1">INDEX('Lorri 401b'!L:L,MATCH('Retirement Calculator'!A599,'Lorri 401b'!N:N,0),0)</f>
        <v>6506684.9181466466</v>
      </c>
      <c r="S599" s="25">
        <f t="shared" ca="1" si="527"/>
        <v>12549281.043246023</v>
      </c>
    </row>
    <row r="600" spans="1:19" ht="15.75" customHeight="1" x14ac:dyDescent="0.3">
      <c r="A600" s="37">
        <v>69215</v>
      </c>
      <c r="B600" s="409">
        <f t="shared" ref="B600:C600" si="606">($A600-B$9)/365.25</f>
        <v>107.62217659137578</v>
      </c>
      <c r="C600" s="409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3525.4531757812501</v>
      </c>
      <c r="H600" s="25">
        <f>IF(B600&lt;62,0,'Combined Retirement'!$I$14)</f>
        <v>2192</v>
      </c>
      <c r="I600" s="25">
        <f>IF(C600&lt;62,0,'Combined Retirement'!$I$13)</f>
        <v>2420</v>
      </c>
      <c r="J600" s="25">
        <f t="shared" si="523"/>
        <v>6404.7404596389215</v>
      </c>
      <c r="K600" s="25">
        <f t="shared" si="524"/>
        <v>16520.094745597391</v>
      </c>
      <c r="L600" s="25"/>
      <c r="N600" s="25">
        <f>'Combined Retirement'!$C$18/12</f>
        <v>33932.660666666663</v>
      </c>
      <c r="O600" s="25">
        <f t="shared" si="525"/>
        <v>11007.82546143035</v>
      </c>
      <c r="P600" s="25">
        <f t="shared" si="526"/>
        <v>22924.835205236312</v>
      </c>
      <c r="Q600" s="25">
        <f t="array" aca="1" ref="Q600" ca="1">INDEX('Isaac 401k'!L:L,MATCH('Retirement Calculator'!A600,'Isaac 401k'!N:N,0),0)</f>
        <v>6061342.182075738</v>
      </c>
      <c r="R600" s="25">
        <f t="array" aca="1" ref="R600" ca="1">INDEX('Lorri 401b'!L:L,MATCH('Retirement Calculator'!A600,'Lorri 401b'!N:N,0),0)</f>
        <v>6517207.1768318862</v>
      </c>
      <c r="S600" s="25">
        <f t="shared" ca="1" si="527"/>
        <v>12578549.358907625</v>
      </c>
    </row>
    <row r="601" spans="1:19" ht="15.75" customHeight="1" x14ac:dyDescent="0.3">
      <c r="A601" s="37">
        <v>69246</v>
      </c>
      <c r="B601" s="409">
        <f t="shared" ref="B601:C601" si="607">($A601-B$9)/365.25</f>
        <v>107.70704996577686</v>
      </c>
      <c r="C601" s="409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3525.4531757812501</v>
      </c>
      <c r="H601" s="25">
        <f>IF(B601&lt;62,0,'Combined Retirement'!$I$14)</f>
        <v>2192</v>
      </c>
      <c r="I601" s="25">
        <f>IF(C601&lt;62,0,'Combined Retirement'!$I$13)</f>
        <v>2420</v>
      </c>
      <c r="J601" s="25">
        <f t="shared" si="523"/>
        <v>6404.7404596389215</v>
      </c>
      <c r="K601" s="25">
        <f t="shared" si="524"/>
        <v>16520.094745597391</v>
      </c>
      <c r="L601" s="25"/>
      <c r="N601" s="25">
        <f>'Combined Retirement'!$C$18/12</f>
        <v>33932.660666666663</v>
      </c>
      <c r="O601" s="25">
        <f t="shared" si="525"/>
        <v>11007.82546143035</v>
      </c>
      <c r="P601" s="25">
        <f t="shared" si="526"/>
        <v>22924.835205236312</v>
      </c>
      <c r="Q601" s="25">
        <f t="array" aca="1" ref="Q601" ca="1">INDEX('Isaac 401k'!L:L,MATCH('Retirement Calculator'!A601,'Isaac 401k'!N:N,0),0)</f>
        <v>6080166.3476228332</v>
      </c>
      <c r="R601" s="25">
        <f t="array" aca="1" ref="R601" ca="1">INDEX('Lorri 401b'!L:L,MATCH('Retirement Calculator'!A601,'Lorri 401b'!N:N,0),0)</f>
        <v>6527773.2782616476</v>
      </c>
      <c r="S601" s="25">
        <f t="shared" ca="1" si="527"/>
        <v>12607939.625884481</v>
      </c>
    </row>
    <row r="602" spans="1:19" ht="15.75" customHeight="1" x14ac:dyDescent="0.3">
      <c r="A602" s="37">
        <v>69277</v>
      </c>
      <c r="B602" s="409">
        <f t="shared" ref="B602:C602" si="608">($A602-B$9)/365.25</f>
        <v>107.79192334017796</v>
      </c>
      <c r="C602" s="409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3525.4531757812501</v>
      </c>
      <c r="H602" s="25">
        <f>IF(B602&lt;62,0,'Combined Retirement'!$I$14)</f>
        <v>2192</v>
      </c>
      <c r="I602" s="25">
        <f>IF(C602&lt;62,0,'Combined Retirement'!$I$13)</f>
        <v>2420</v>
      </c>
      <c r="J602" s="25">
        <f t="shared" si="523"/>
        <v>6404.7404596389215</v>
      </c>
      <c r="K602" s="25">
        <f t="shared" si="524"/>
        <v>16520.094745597391</v>
      </c>
      <c r="L602" s="25"/>
      <c r="N602" s="25">
        <f>'Combined Retirement'!$C$18/12</f>
        <v>33932.660666666663</v>
      </c>
      <c r="O602" s="25">
        <f t="shared" si="525"/>
        <v>11007.82546143035</v>
      </c>
      <c r="P602" s="25">
        <f t="shared" si="526"/>
        <v>22924.835205236312</v>
      </c>
      <c r="Q602" s="25">
        <f t="array" aca="1" ref="Q602" ca="1">INDEX('Isaac 401k'!L:L,MATCH('Retirement Calculator'!A602,'Isaac 401k'!N:N,0),0)</f>
        <v>6099068.9471930414</v>
      </c>
      <c r="R602" s="25">
        <f t="array" aca="1" ref="R602" ca="1">INDEX('Lorri 401b'!L:L,MATCH('Retirement Calculator'!A602,'Lorri 401b'!N:N,0),0)</f>
        <v>6538383.4051140333</v>
      </c>
      <c r="S602" s="25">
        <f t="shared" ca="1" si="527"/>
        <v>12637452.352307074</v>
      </c>
    </row>
    <row r="603" spans="1:19" ht="15.75" customHeight="1" x14ac:dyDescent="0.3">
      <c r="A603" s="37">
        <v>69307</v>
      </c>
      <c r="B603" s="409">
        <f t="shared" ref="B603:C603" si="609">($A603-B$9)/365.25</f>
        <v>107.87405886379193</v>
      </c>
      <c r="C603" s="409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3525.4531757812501</v>
      </c>
      <c r="H603" s="25">
        <f>IF(B603&lt;62,0,'Combined Retirement'!$I$14)</f>
        <v>2192</v>
      </c>
      <c r="I603" s="25">
        <f>IF(C603&lt;62,0,'Combined Retirement'!$I$13)</f>
        <v>2420</v>
      </c>
      <c r="J603" s="25">
        <f t="shared" si="523"/>
        <v>6404.7404596389215</v>
      </c>
      <c r="K603" s="25">
        <f t="shared" si="524"/>
        <v>16520.094745597391</v>
      </c>
      <c r="L603" s="25"/>
      <c r="N603" s="25">
        <f>'Combined Retirement'!$C$18/12</f>
        <v>33932.660666666663</v>
      </c>
      <c r="O603" s="25">
        <f t="shared" si="525"/>
        <v>11007.82546143035</v>
      </c>
      <c r="P603" s="25">
        <f t="shared" si="526"/>
        <v>22924.835205236312</v>
      </c>
      <c r="Q603" s="25">
        <f t="array" aca="1" ref="Q603" ca="1">INDEX('Isaac 401k'!L:L,MATCH('Retirement Calculator'!A603,'Isaac 401k'!N:N,0),0)</f>
        <v>6118050.307594792</v>
      </c>
      <c r="R603" s="25">
        <f t="array" aca="1" ref="R603" ca="1">INDEX('Lorri 401b'!L:L,MATCH('Retirement Calculator'!A603,'Lorri 401b'!N:N,0),0)</f>
        <v>6549037.7408283036</v>
      </c>
      <c r="S603" s="25">
        <f t="shared" ca="1" si="527"/>
        <v>12667088.048423097</v>
      </c>
    </row>
    <row r="604" spans="1:19" ht="15.75" customHeight="1" x14ac:dyDescent="0.3">
      <c r="A604" s="37">
        <v>69338</v>
      </c>
      <c r="B604" s="409">
        <f t="shared" ref="B604:C604" si="610">($A604-B$9)/365.25</f>
        <v>107.95893223819301</v>
      </c>
      <c r="C604" s="409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3525.4531757812501</v>
      </c>
      <c r="H604" s="25">
        <f>IF(B604&lt;62,0,'Combined Retirement'!$I$14)</f>
        <v>2192</v>
      </c>
      <c r="I604" s="25">
        <f>IF(C604&lt;62,0,'Combined Retirement'!$I$13)</f>
        <v>2420</v>
      </c>
      <c r="J604" s="25">
        <f t="shared" si="523"/>
        <v>6404.7404596389215</v>
      </c>
      <c r="K604" s="25">
        <f t="shared" si="524"/>
        <v>16520.094745597391</v>
      </c>
      <c r="L604" s="25"/>
      <c r="N604" s="25">
        <f>'Combined Retirement'!$C$18/12</f>
        <v>33932.660666666663</v>
      </c>
      <c r="O604" s="25">
        <f t="shared" si="525"/>
        <v>11007.82546143035</v>
      </c>
      <c r="P604" s="25">
        <f t="shared" si="526"/>
        <v>22924.835205236312</v>
      </c>
      <c r="Q604" s="25">
        <f t="array" aca="1" ref="Q604" ca="1">INDEX('Isaac 401k'!L:L,MATCH('Retirement Calculator'!A604,'Isaac 401k'!N:N,0),0)</f>
        <v>6137110.7569982167</v>
      </c>
      <c r="R604" s="25">
        <f t="array" aca="1" ref="R604" ca="1">INDEX('Lorri 401b'!L:L,MATCH('Retirement Calculator'!A604,'Lorri 401b'!N:N,0),0)</f>
        <v>6559736.4696080508</v>
      </c>
      <c r="S604" s="25">
        <f t="shared" ca="1" si="527"/>
        <v>12696847.226606268</v>
      </c>
    </row>
    <row r="605" spans="1:19" ht="15.75" customHeight="1" x14ac:dyDescent="0.3">
      <c r="A605" s="37">
        <v>69368</v>
      </c>
      <c r="B605" s="409">
        <f t="shared" ref="B605:C605" si="611">($A605-B$9)/365.25</f>
        <v>108.04106776180699</v>
      </c>
      <c r="C605" s="409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3525.4531757812501</v>
      </c>
      <c r="H605" s="25">
        <f>IF(B605&lt;62,0,'Combined Retirement'!$I$14)</f>
        <v>2192</v>
      </c>
      <c r="I605" s="25">
        <f>IF(C605&lt;62,0,'Combined Retirement'!$I$13)</f>
        <v>2420</v>
      </c>
      <c r="J605" s="25">
        <f t="shared" si="523"/>
        <v>6404.7404596389215</v>
      </c>
      <c r="K605" s="25">
        <f t="shared" si="524"/>
        <v>16520.094745597391</v>
      </c>
      <c r="L605" s="25"/>
      <c r="N605" s="25">
        <f>'Combined Retirement'!$C$18/12</f>
        <v>33932.660666666663</v>
      </c>
      <c r="O605" s="25">
        <f t="shared" si="525"/>
        <v>11007.82546143035</v>
      </c>
      <c r="P605" s="25">
        <f t="shared" si="526"/>
        <v>22924.835205236312</v>
      </c>
      <c r="Q605" s="25">
        <f t="array" aca="1" ref="Q605" ca="1">INDEX('Isaac 401k'!L:L,MATCH('Retirement Calculator'!A605,'Isaac 401k'!N:N,0),0)</f>
        <v>6156250.6249408219</v>
      </c>
      <c r="R605" s="25">
        <f t="array" aca="1" ref="R605" ca="1">INDEX('Lorri 401b'!L:L,MATCH('Retirement Calculator'!A605,'Lorri 401b'!N:N,0),0)</f>
        <v>6570479.77642438</v>
      </c>
      <c r="S605" s="25">
        <f t="shared" ca="1" si="527"/>
        <v>12726730.401365202</v>
      </c>
    </row>
    <row r="606" spans="1:19" ht="15.75" customHeight="1" x14ac:dyDescent="0.3">
      <c r="A606" s="37">
        <v>69399</v>
      </c>
      <c r="B606" s="409">
        <f t="shared" ref="B606:C606" si="612">($A606-B$9)/365.25</f>
        <v>108.12594113620807</v>
      </c>
      <c r="C606" s="409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3525.4531757812501</v>
      </c>
      <c r="H606" s="25">
        <f>IF(B606&lt;62,0,'Combined Retirement'!$I$14)</f>
        <v>2192</v>
      </c>
      <c r="I606" s="25">
        <f>IF(C606&lt;62,0,'Combined Retirement'!$I$13)</f>
        <v>2420</v>
      </c>
      <c r="J606" s="25">
        <f t="shared" si="523"/>
        <v>6404.7404596389215</v>
      </c>
      <c r="K606" s="25">
        <f t="shared" si="524"/>
        <v>16520.094745597391</v>
      </c>
      <c r="L606" s="25"/>
      <c r="N606" s="25">
        <f>'Combined Retirement'!$C$18/12</f>
        <v>33932.660666666663</v>
      </c>
      <c r="O606" s="25">
        <f t="shared" si="525"/>
        <v>11007.82546143035</v>
      </c>
      <c r="P606" s="25">
        <f t="shared" si="526"/>
        <v>22924.835205236312</v>
      </c>
      <c r="Q606" s="25">
        <f t="array" aca="1" ref="Q606" ca="1">INDEX('Isaac 401k'!L:L,MATCH('Retirement Calculator'!A606,'Isaac 401k'!N:N,0),0)</f>
        <v>6175470.2423331877</v>
      </c>
      <c r="R606" s="25">
        <f t="array" aca="1" ref="R606" ca="1">INDEX('Lorri 401b'!L:L,MATCH('Retirement Calculator'!A606,'Lorri 401b'!N:N,0),0)</f>
        <v>6581267.8470191108</v>
      </c>
      <c r="S606" s="25">
        <f t="shared" ca="1" si="527"/>
        <v>12756738.089352299</v>
      </c>
    </row>
    <row r="607" spans="1:19" ht="15.75" customHeight="1" x14ac:dyDescent="0.3">
      <c r="A607" s="37">
        <v>69430</v>
      </c>
      <c r="B607" s="409">
        <f t="shared" ref="B607:C607" si="613">($A607-B$9)/365.25</f>
        <v>108.21081451060917</v>
      </c>
      <c r="C607" s="409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3525.4531757812501</v>
      </c>
      <c r="H607" s="25">
        <f>IF(B607&lt;62,0,'Combined Retirement'!$I$14)</f>
        <v>2192</v>
      </c>
      <c r="I607" s="25">
        <f>IF(C607&lt;62,0,'Combined Retirement'!$I$13)</f>
        <v>2420</v>
      </c>
      <c r="J607" s="25">
        <f t="shared" si="523"/>
        <v>6404.7404596389215</v>
      </c>
      <c r="K607" s="25">
        <f t="shared" si="524"/>
        <v>16520.094745597391</v>
      </c>
      <c r="L607" s="25"/>
      <c r="N607" s="25">
        <f>'Combined Retirement'!$C$18/12</f>
        <v>33932.660666666663</v>
      </c>
      <c r="O607" s="25">
        <f t="shared" si="525"/>
        <v>11007.82546143035</v>
      </c>
      <c r="P607" s="25">
        <f t="shared" si="526"/>
        <v>22924.835205236312</v>
      </c>
      <c r="Q607" s="25">
        <f t="array" aca="1" ref="Q607" ca="1">INDEX('Isaac 401k'!L:L,MATCH('Retirement Calculator'!A607,'Isaac 401k'!N:N,0),0)</f>
        <v>6194769.9414646886</v>
      </c>
      <c r="R607" s="25">
        <f t="array" aca="1" ref="R607" ca="1">INDEX('Lorri 401b'!L:L,MATCH('Retirement Calculator'!A607,'Lorri 401b'!N:N,0),0)</f>
        <v>6592100.867907986</v>
      </c>
      <c r="S607" s="25">
        <f t="shared" ca="1" si="527"/>
        <v>12786870.809372675</v>
      </c>
    </row>
    <row r="608" spans="1:19" ht="15.75" customHeight="1" x14ac:dyDescent="0.3">
      <c r="A608" s="37">
        <v>69458</v>
      </c>
      <c r="B608" s="409">
        <f t="shared" ref="B608:C608" si="614">($A608-B$9)/365.25</f>
        <v>108.28747433264887</v>
      </c>
      <c r="C608" s="409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3525.4531757812501</v>
      </c>
      <c r="H608" s="25">
        <f>IF(B608&lt;62,0,'Combined Retirement'!$I$14)</f>
        <v>2192</v>
      </c>
      <c r="I608" s="25">
        <f>IF(C608&lt;62,0,'Combined Retirement'!$I$13)</f>
        <v>2420</v>
      </c>
      <c r="J608" s="25">
        <f t="shared" si="523"/>
        <v>6404.7404596389215</v>
      </c>
      <c r="K608" s="25">
        <f t="shared" si="524"/>
        <v>16520.094745597391</v>
      </c>
      <c r="L608" s="25"/>
      <c r="N608" s="25">
        <f>'Combined Retirement'!$C$18/12</f>
        <v>33932.660666666663</v>
      </c>
      <c r="O608" s="25">
        <f t="shared" si="525"/>
        <v>11007.82546143035</v>
      </c>
      <c r="P608" s="25">
        <f t="shared" si="526"/>
        <v>22924.835205236312</v>
      </c>
      <c r="Q608" s="25">
        <f t="array" aca="1" ref="Q608" ca="1">INDEX('Isaac 401k'!L:L,MATCH('Retirement Calculator'!A608,'Isaac 401k'!N:N,0),0)</f>
        <v>6214150.0560092377</v>
      </c>
      <c r="R608" s="25">
        <f t="array" aca="1" ref="R608" ca="1">INDEX('Lorri 401b'!L:L,MATCH('Retirement Calculator'!A608,'Lorri 401b'!N:N,0),0)</f>
        <v>6602979.0263838982</v>
      </c>
      <c r="S608" s="25">
        <f t="shared" ca="1" si="527"/>
        <v>12817129.082393136</v>
      </c>
    </row>
    <row r="609" spans="1:19" ht="15.75" customHeight="1" x14ac:dyDescent="0.3">
      <c r="A609" s="37">
        <v>69489</v>
      </c>
      <c r="B609" s="409">
        <f t="shared" ref="B609:C609" si="615">($A609-B$9)/365.25</f>
        <v>108.37234770704997</v>
      </c>
      <c r="C609" s="409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3525.4531757812501</v>
      </c>
      <c r="H609" s="25">
        <f>IF(B609&lt;62,0,'Combined Retirement'!$I$14)</f>
        <v>2192</v>
      </c>
      <c r="I609" s="25">
        <f>IF(C609&lt;62,0,'Combined Retirement'!$I$13)</f>
        <v>2420</v>
      </c>
      <c r="J609" s="25">
        <f t="shared" si="523"/>
        <v>6404.7404596389215</v>
      </c>
      <c r="K609" s="25">
        <f t="shared" si="524"/>
        <v>16520.094745597391</v>
      </c>
      <c r="L609" s="25"/>
      <c r="N609" s="25">
        <f>'Combined Retirement'!$C$18/12</f>
        <v>33932.660666666663</v>
      </c>
      <c r="O609" s="25">
        <f t="shared" si="525"/>
        <v>11007.82546143035</v>
      </c>
      <c r="P609" s="25">
        <f t="shared" si="526"/>
        <v>22924.835205236312</v>
      </c>
      <c r="Q609" s="25">
        <f t="array" aca="1" ref="Q609" ca="1">INDEX('Isaac 401k'!L:L,MATCH('Retirement Calculator'!A609,'Isaac 401k'!N:N,0),0)</f>
        <v>6233610.921031056</v>
      </c>
      <c r="R609" s="25">
        <f t="array" aca="1" ref="R609" ca="1">INDEX('Lorri 401b'!L:L,MATCH('Retirement Calculator'!A609,'Lorri 401b'!N:N,0),0)</f>
        <v>6613902.5105201267</v>
      </c>
      <c r="S609" s="25">
        <f t="shared" ca="1" si="527"/>
        <v>12847513.431551183</v>
      </c>
    </row>
    <row r="610" spans="1:19" ht="15.75" customHeight="1" x14ac:dyDescent="0.3">
      <c r="A610" s="37">
        <v>69519</v>
      </c>
      <c r="B610" s="409">
        <f t="shared" ref="B610:C610" si="616">($A610-B$9)/365.25</f>
        <v>108.45448323066393</v>
      </c>
      <c r="C610" s="409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3525.4531757812501</v>
      </c>
      <c r="H610" s="25">
        <f>IF(B610&lt;62,0,'Combined Retirement'!$I$14)</f>
        <v>2192</v>
      </c>
      <c r="I610" s="25">
        <f>IF(C610&lt;62,0,'Combined Retirement'!$I$13)</f>
        <v>2420</v>
      </c>
      <c r="J610" s="25">
        <f t="shared" si="523"/>
        <v>6404.7404596389215</v>
      </c>
      <c r="K610" s="25">
        <f t="shared" si="524"/>
        <v>16520.094745597391</v>
      </c>
      <c r="L610" s="25"/>
      <c r="N610" s="25">
        <f>'Combined Retirement'!$C$18/12</f>
        <v>33932.660666666663</v>
      </c>
      <c r="O610" s="25">
        <f t="shared" si="525"/>
        <v>11007.82546143035</v>
      </c>
      <c r="P610" s="25">
        <f t="shared" si="526"/>
        <v>22924.835205236312</v>
      </c>
      <c r="Q610" s="25">
        <f t="array" aca="1" ref="Q610" ca="1">INDEX('Isaac 401k'!L:L,MATCH('Retirement Calculator'!A610,'Isaac 401k'!N:N,0),0)</f>
        <v>6253152.8729904648</v>
      </c>
      <c r="R610" s="25">
        <f t="array" aca="1" ref="R610" ca="1">INDEX('Lorri 401b'!L:L,MATCH('Retirement Calculator'!A610,'Lorri 401b'!N:N,0),0)</f>
        <v>6624871.5091735898</v>
      </c>
      <c r="S610" s="25">
        <f t="shared" ca="1" si="527"/>
        <v>12878024.382164054</v>
      </c>
    </row>
    <row r="611" spans="1:19" ht="15.75" customHeight="1" x14ac:dyDescent="0.3">
      <c r="A611" s="37">
        <v>69550</v>
      </c>
      <c r="B611" s="409">
        <f t="shared" ref="B611:C611" si="617">($A611-B$9)/365.25</f>
        <v>108.53935660506502</v>
      </c>
      <c r="C611" s="409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3525.4531757812501</v>
      </c>
      <c r="H611" s="25">
        <f>IF(B611&lt;62,0,'Combined Retirement'!$I$14)</f>
        <v>2192</v>
      </c>
      <c r="I611" s="25">
        <f>IF(C611&lt;62,0,'Combined Retirement'!$I$13)</f>
        <v>2420</v>
      </c>
      <c r="J611" s="25">
        <f t="shared" si="523"/>
        <v>6404.7404596389215</v>
      </c>
      <c r="K611" s="25">
        <f t="shared" si="524"/>
        <v>16520.094745597391</v>
      </c>
      <c r="L611" s="25"/>
      <c r="N611" s="25">
        <f>'Combined Retirement'!$C$18/12</f>
        <v>33932.660666666663</v>
      </c>
      <c r="O611" s="25">
        <f t="shared" si="525"/>
        <v>11007.82546143035</v>
      </c>
      <c r="P611" s="25">
        <f t="shared" si="526"/>
        <v>22924.835205236312</v>
      </c>
      <c r="Q611" s="25">
        <f t="array" aca="1" ref="Q611" ca="1">INDEX('Isaac 401k'!L:L,MATCH('Retirement Calculator'!A611,'Isaac 401k'!N:N,0),0)</f>
        <v>6272776.2497497043</v>
      </c>
      <c r="R611" s="25">
        <f t="array" aca="1" ref="R611" ca="1">INDEX('Lorri 401b'!L:L,MATCH('Retirement Calculator'!A611,'Lorri 401b'!N:N,0),0)</f>
        <v>6635886.2119881082</v>
      </c>
      <c r="S611" s="25">
        <f t="shared" ca="1" si="527"/>
        <v>12908662.461737812</v>
      </c>
    </row>
    <row r="612" spans="1:19" ht="15.75" customHeight="1" x14ac:dyDescent="0.3">
      <c r="A612" s="37">
        <v>69580</v>
      </c>
      <c r="B612" s="409">
        <f t="shared" ref="B612:C612" si="618">($A612-B$9)/365.25</f>
        <v>108.62149212867898</v>
      </c>
      <c r="C612" s="409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3525.4531757812501</v>
      </c>
      <c r="H612" s="25">
        <f>IF(B612&lt;62,0,'Combined Retirement'!$I$14)</f>
        <v>2192</v>
      </c>
      <c r="I612" s="25">
        <f>IF(C612&lt;62,0,'Combined Retirement'!$I$13)</f>
        <v>2420</v>
      </c>
      <c r="J612" s="25">
        <f t="shared" si="523"/>
        <v>6404.7404596389215</v>
      </c>
      <c r="K612" s="25">
        <f t="shared" si="524"/>
        <v>16520.094745597391</v>
      </c>
      <c r="L612" s="25"/>
      <c r="N612" s="25">
        <f>'Combined Retirement'!$C$18/12</f>
        <v>33932.660666666663</v>
      </c>
      <c r="O612" s="25">
        <f t="shared" si="525"/>
        <v>11007.82546143035</v>
      </c>
      <c r="P612" s="25">
        <f t="shared" si="526"/>
        <v>22924.835205236312</v>
      </c>
      <c r="Q612" s="25">
        <f t="array" aca="1" ref="Q612" ca="1">INDEX('Isaac 401k'!L:L,MATCH('Retirement Calculator'!A612,'Isaac 401k'!N:N,0),0)</f>
        <v>6292481.3905787738</v>
      </c>
      <c r="R612" s="25">
        <f t="array" aca="1" ref="R612" ca="1">INDEX('Lorri 401b'!L:L,MATCH('Retirement Calculator'!A612,'Lorri 401b'!N:N,0),0)</f>
        <v>6646946.8093976872</v>
      </c>
      <c r="S612" s="25">
        <f t="shared" ca="1" si="527"/>
        <v>12939428.199976461</v>
      </c>
    </row>
    <row r="613" spans="1:19" ht="15.75" customHeight="1" x14ac:dyDescent="0.3">
      <c r="A613" s="37">
        <v>69611</v>
      </c>
      <c r="B613" s="409">
        <f t="shared" ref="B613:C613" si="619">($A613-B$9)/365.25</f>
        <v>108.70636550308008</v>
      </c>
      <c r="C613" s="409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3525.4531757812501</v>
      </c>
      <c r="H613" s="25">
        <f>IF(B613&lt;62,0,'Combined Retirement'!$I$14)</f>
        <v>2192</v>
      </c>
      <c r="I613" s="25">
        <f>IF(C613&lt;62,0,'Combined Retirement'!$I$13)</f>
        <v>2420</v>
      </c>
      <c r="J613" s="25">
        <f t="shared" si="523"/>
        <v>6404.7404596389215</v>
      </c>
      <c r="K613" s="25">
        <f t="shared" si="524"/>
        <v>16520.094745597391</v>
      </c>
      <c r="L613" s="25"/>
      <c r="N613" s="25">
        <f>'Combined Retirement'!$C$18/12</f>
        <v>33932.660666666663</v>
      </c>
      <c r="O613" s="25">
        <f t="shared" si="525"/>
        <v>11007.82546143035</v>
      </c>
      <c r="P613" s="25">
        <f t="shared" si="526"/>
        <v>22924.835205236312</v>
      </c>
      <c r="Q613" s="25">
        <f t="array" aca="1" ref="Q613" ca="1">INDEX('Isaac 401k'!L:L,MATCH('Retirement Calculator'!A613,'Isaac 401k'!N:N,0),0)</f>
        <v>6312268.6361612985</v>
      </c>
      <c r="R613" s="25">
        <f t="array" aca="1" ref="R613" ca="1">INDEX('Lorri 401b'!L:L,MATCH('Retirement Calculator'!A613,'Lorri 401b'!N:N,0),0)</f>
        <v>6658053.4926298065</v>
      </c>
      <c r="S613" s="25">
        <f t="shared" ca="1" si="527"/>
        <v>12970322.128791105</v>
      </c>
    </row>
    <row r="614" spans="1:19" ht="15.75" customHeight="1" x14ac:dyDescent="0.3">
      <c r="A614" s="37">
        <v>69642</v>
      </c>
      <c r="B614" s="409">
        <f t="shared" ref="B614:C614" si="620">($A614-B$9)/365.25</f>
        <v>108.79123887748118</v>
      </c>
      <c r="C614" s="409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3525.4531757812501</v>
      </c>
      <c r="H614" s="25">
        <f>IF(B614&lt;62,0,'Combined Retirement'!$I$14)</f>
        <v>2192</v>
      </c>
      <c r="I614" s="25">
        <f>IF(C614&lt;62,0,'Combined Retirement'!$I$13)</f>
        <v>2420</v>
      </c>
      <c r="J614" s="25">
        <f t="shared" si="523"/>
        <v>6404.7404596389215</v>
      </c>
      <c r="K614" s="25">
        <f t="shared" si="524"/>
        <v>16520.094745597391</v>
      </c>
      <c r="L614" s="25"/>
      <c r="N614" s="25">
        <f>'Combined Retirement'!$C$18/12</f>
        <v>33932.660666666663</v>
      </c>
      <c r="O614" s="25">
        <f t="shared" si="525"/>
        <v>11007.82546143035</v>
      </c>
      <c r="P614" s="25">
        <f t="shared" si="526"/>
        <v>22924.835205236312</v>
      </c>
      <c r="Q614" s="25">
        <f t="array" aca="1" ref="Q614" ca="1">INDEX('Isaac 401k'!L:L,MATCH('Retirement Calculator'!A614,'Isaac 401k'!N:N,0),0)</f>
        <v>6332138.3286004169</v>
      </c>
      <c r="R614" s="25">
        <f t="array" aca="1" ref="R614" ca="1">INDEX('Lorri 401b'!L:L,MATCH('Retirement Calculator'!A614,'Lorri 401b'!N:N,0),0)</f>
        <v>6669206.453708726</v>
      </c>
      <c r="S614" s="25">
        <f t="shared" ca="1" si="527"/>
        <v>13001344.782309143</v>
      </c>
    </row>
    <row r="615" spans="1:19" ht="15.75" customHeight="1" x14ac:dyDescent="0.3">
      <c r="A615" s="37">
        <v>69672</v>
      </c>
      <c r="B615" s="409">
        <f t="shared" ref="B615:C615" si="621">($A615-B$9)/365.25</f>
        <v>108.87337440109513</v>
      </c>
      <c r="C615" s="409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3525.4531757812501</v>
      </c>
      <c r="H615" s="25">
        <f>IF(B615&lt;62,0,'Combined Retirement'!$I$14)</f>
        <v>2192</v>
      </c>
      <c r="I615" s="25">
        <f>IF(C615&lt;62,0,'Combined Retirement'!$I$13)</f>
        <v>2420</v>
      </c>
      <c r="J615" s="25">
        <f t="shared" si="523"/>
        <v>6404.7404596389215</v>
      </c>
      <c r="K615" s="25">
        <f t="shared" si="524"/>
        <v>16520.094745597391</v>
      </c>
      <c r="L615" s="25"/>
      <c r="N615" s="25">
        <f>'Combined Retirement'!$C$18/12</f>
        <v>33932.660666666663</v>
      </c>
      <c r="O615" s="25">
        <f t="shared" si="525"/>
        <v>11007.82546143035</v>
      </c>
      <c r="P615" s="25">
        <f t="shared" si="526"/>
        <v>22924.835205236312</v>
      </c>
      <c r="Q615" s="25">
        <f t="array" aca="1" ref="Q615" ca="1">INDEX('Isaac 401k'!L:L,MATCH('Retirement Calculator'!A615,'Isaac 401k'!N:N,0),0)</f>
        <v>6352090.8114246977</v>
      </c>
      <c r="R615" s="25">
        <f t="array" aca="1" ref="R615" ca="1">INDEX('Lorri 401b'!L:L,MATCH('Retirement Calculator'!A615,'Lorri 401b'!N:N,0),0)</f>
        <v>6680405.8854588075</v>
      </c>
      <c r="S615" s="25">
        <f t="shared" ca="1" si="527"/>
        <v>13032496.696883505</v>
      </c>
    </row>
    <row r="616" spans="1:19" ht="15.75" customHeight="1" x14ac:dyDescent="0.3">
      <c r="A616" s="37">
        <v>69703</v>
      </c>
      <c r="B616" s="409">
        <f t="shared" ref="B616:C616" si="622">($A616-B$9)/365.25</f>
        <v>108.95824777549623</v>
      </c>
      <c r="C616" s="409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3525.4531757812501</v>
      </c>
      <c r="H616" s="25">
        <f>IF(B616&lt;62,0,'Combined Retirement'!$I$14)</f>
        <v>2192</v>
      </c>
      <c r="I616" s="25">
        <f>IF(C616&lt;62,0,'Combined Retirement'!$I$13)</f>
        <v>2420</v>
      </c>
      <c r="J616" s="25">
        <f t="shared" si="523"/>
        <v>6404.7404596389215</v>
      </c>
      <c r="K616" s="25">
        <f t="shared" si="524"/>
        <v>16520.094745597391</v>
      </c>
      <c r="L616" s="25"/>
      <c r="N616" s="25">
        <f>'Combined Retirement'!$C$18/12</f>
        <v>33932.660666666663</v>
      </c>
      <c r="O616" s="25">
        <f t="shared" si="525"/>
        <v>11007.82546143035</v>
      </c>
      <c r="P616" s="25">
        <f t="shared" si="526"/>
        <v>22924.835205236312</v>
      </c>
      <c r="Q616" s="25">
        <f t="array" aca="1" ref="Q616" ca="1">INDEX('Isaac 401k'!L:L,MATCH('Retirement Calculator'!A616,'Isaac 401k'!N:N,0),0)</f>
        <v>6372126.42959408</v>
      </c>
      <c r="R616" s="25">
        <f t="array" aca="1" ref="R616" ca="1">INDEX('Lorri 401b'!L:L,MATCH('Retirement Calculator'!A616,'Lorri 401b'!N:N,0),0)</f>
        <v>6691651.981507848</v>
      </c>
      <c r="S616" s="25">
        <f t="shared" ca="1" si="527"/>
        <v>13063778.411101928</v>
      </c>
    </row>
    <row r="617" spans="1:19" ht="15.75" customHeight="1" x14ac:dyDescent="0.3">
      <c r="A617" s="37">
        <v>69733</v>
      </c>
      <c r="B617" s="409">
        <f t="shared" ref="B617:C617" si="623">($A617-B$9)/365.25</f>
        <v>109.0403832991102</v>
      </c>
      <c r="C617" s="409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3525.4531757812501</v>
      </c>
      <c r="H617" s="25">
        <f>IF(B617&lt;62,0,'Combined Retirement'!$I$14)</f>
        <v>2192</v>
      </c>
      <c r="I617" s="25">
        <f>IF(C617&lt;62,0,'Combined Retirement'!$I$13)</f>
        <v>2420</v>
      </c>
      <c r="J617" s="25">
        <f t="shared" si="523"/>
        <v>6404.7404596389215</v>
      </c>
      <c r="K617" s="25">
        <f t="shared" si="524"/>
        <v>16520.094745597391</v>
      </c>
      <c r="L617" s="25"/>
      <c r="N617" s="25">
        <f>'Combined Retirement'!$C$18/12</f>
        <v>33932.660666666663</v>
      </c>
      <c r="O617" s="25">
        <f t="shared" si="525"/>
        <v>11007.82546143035</v>
      </c>
      <c r="P617" s="25">
        <f t="shared" si="526"/>
        <v>22924.835205236312</v>
      </c>
      <c r="Q617" s="25">
        <f t="array" aca="1" ref="Q617" ca="1">INDEX('Isaac 401k'!L:L,MATCH('Retirement Calculator'!A617,'Isaac 401k'!N:N,0),0)</f>
        <v>6392245.5295058349</v>
      </c>
      <c r="R617" s="25">
        <f t="array" aca="1" ref="R617" ca="1">INDEX('Lorri 401b'!L:L,MATCH('Retirement Calculator'!A617,'Lorri 401b'!N:N,0),0)</f>
        <v>6702944.9362904262</v>
      </c>
      <c r="S617" s="25">
        <f t="shared" ca="1" si="527"/>
        <v>13095190.465796262</v>
      </c>
    </row>
    <row r="618" spans="1:19" ht="15.75" customHeight="1" x14ac:dyDescent="0.3">
      <c r="A618" s="37">
        <v>69764</v>
      </c>
      <c r="B618" s="409">
        <f t="shared" ref="B618:C618" si="624">($A618-B$9)/365.25</f>
        <v>109.12525667351129</v>
      </c>
      <c r="C618" s="409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3525.4531757812501</v>
      </c>
      <c r="H618" s="25">
        <f>IF(B618&lt;62,0,'Combined Retirement'!$I$14)</f>
        <v>2192</v>
      </c>
      <c r="I618" s="25">
        <f>IF(C618&lt;62,0,'Combined Retirement'!$I$13)</f>
        <v>2420</v>
      </c>
      <c r="J618" s="25">
        <f t="shared" si="523"/>
        <v>6404.7404596389215</v>
      </c>
      <c r="K618" s="25">
        <f t="shared" si="524"/>
        <v>16520.094745597391</v>
      </c>
      <c r="L618" s="25"/>
      <c r="N618" s="25">
        <f>'Combined Retirement'!$C$18/12</f>
        <v>33932.660666666663</v>
      </c>
      <c r="O618" s="25">
        <f t="shared" si="525"/>
        <v>11007.82546143035</v>
      </c>
      <c r="P618" s="25">
        <f t="shared" si="526"/>
        <v>22924.835205236312</v>
      </c>
      <c r="Q618" s="25">
        <f t="array" aca="1" ref="Q618" ca="1">INDEX('Isaac 401k'!L:L,MATCH('Retirement Calculator'!A618,'Isaac 401k'!N:N,0),0)</f>
        <v>6412448.4590005558</v>
      </c>
      <c r="R618" s="25">
        <f t="array" aca="1" ref="R618" ca="1">INDEX('Lorri 401b'!L:L,MATCH('Retirement Calculator'!A618,'Lorri 401b'!N:N,0),0)</f>
        <v>6714284.9450512649</v>
      </c>
      <c r="S618" s="25">
        <f t="shared" ca="1" si="527"/>
        <v>13126733.404051822</v>
      </c>
    </row>
    <row r="619" spans="1:19" ht="15.75" customHeight="1" x14ac:dyDescent="0.3">
      <c r="A619" s="37">
        <v>69795</v>
      </c>
      <c r="B619" s="409">
        <f t="shared" ref="B619:C619" si="625">($A619-B$9)/365.25</f>
        <v>109.21013004791239</v>
      </c>
      <c r="C619" s="409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3525.4531757812501</v>
      </c>
      <c r="H619" s="25">
        <f>IF(B619&lt;62,0,'Combined Retirement'!$I$14)</f>
        <v>2192</v>
      </c>
      <c r="I619" s="25">
        <f>IF(C619&lt;62,0,'Combined Retirement'!$I$13)</f>
        <v>2420</v>
      </c>
      <c r="J619" s="25">
        <f t="shared" si="523"/>
        <v>6404.7404596389215</v>
      </c>
      <c r="K619" s="25">
        <f t="shared" si="524"/>
        <v>16520.094745597391</v>
      </c>
      <c r="L619" s="25"/>
      <c r="N619" s="25">
        <f>'Combined Retirement'!$C$18/12</f>
        <v>33932.660666666663</v>
      </c>
      <c r="O619" s="25">
        <f t="shared" si="525"/>
        <v>11007.82546143035</v>
      </c>
      <c r="P619" s="25">
        <f t="shared" si="526"/>
        <v>22924.835205236312</v>
      </c>
      <c r="Q619" s="25">
        <f t="array" aca="1" ref="Q619" ca="1">INDEX('Isaac 401k'!L:L,MATCH('Retirement Calculator'!A619,'Isaac 401k'!N:N,0),0)</f>
        <v>6432735.5673681712</v>
      </c>
      <c r="R619" s="25">
        <f t="array" aca="1" ref="R619" ca="1">INDEX('Lorri 401b'!L:L,MATCH('Retirement Calculator'!A619,'Lorri 401b'!N:N,0),0)</f>
        <v>6725672.2038486078</v>
      </c>
      <c r="S619" s="25">
        <f t="shared" ca="1" si="527"/>
        <v>13158407.77121678</v>
      </c>
    </row>
    <row r="620" spans="1:19" ht="15.75" customHeight="1" x14ac:dyDescent="0.3">
      <c r="A620" s="37">
        <v>69823</v>
      </c>
      <c r="B620" s="409">
        <f t="shared" ref="B620:C620" si="626">($A620-B$9)/365.25</f>
        <v>109.28678986995209</v>
      </c>
      <c r="C620" s="409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3525.4531757812501</v>
      </c>
      <c r="H620" s="25">
        <f>IF(B620&lt;62,0,'Combined Retirement'!$I$14)</f>
        <v>2192</v>
      </c>
      <c r="I620" s="25">
        <f>IF(C620&lt;62,0,'Combined Retirement'!$I$13)</f>
        <v>2420</v>
      </c>
      <c r="J620" s="25">
        <f t="shared" si="523"/>
        <v>6404.7404596389215</v>
      </c>
      <c r="K620" s="25">
        <f t="shared" si="524"/>
        <v>16520.094745597391</v>
      </c>
      <c r="L620" s="25"/>
      <c r="N620" s="25">
        <f>'Combined Retirement'!$C$18/12</f>
        <v>33932.660666666663</v>
      </c>
      <c r="O620" s="25">
        <f t="shared" si="525"/>
        <v>11007.82546143035</v>
      </c>
      <c r="P620" s="25">
        <f t="shared" si="526"/>
        <v>22924.835205236312</v>
      </c>
      <c r="Q620" s="25">
        <f t="array" aca="1" ref="Q620" ca="1">INDEX('Isaac 401k'!L:L,MATCH('Retirement Calculator'!A620,'Isaac 401k'!N:N,0),0)</f>
        <v>6453107.2053539846</v>
      </c>
      <c r="R620" s="25">
        <f t="array" aca="1" ref="R620" ca="1">INDEX('Lorri 401b'!L:L,MATCH('Retirement Calculator'!A620,'Lorri 401b'!N:N,0),0)</f>
        <v>6737106.9095576061</v>
      </c>
      <c r="S620" s="25">
        <f t="shared" ca="1" si="527"/>
        <v>13190214.11491159</v>
      </c>
    </row>
    <row r="621" spans="1:19" ht="15.75" customHeight="1" x14ac:dyDescent="0.3">
      <c r="A621" s="37">
        <v>69854</v>
      </c>
      <c r="B621" s="409">
        <f t="shared" ref="B621:C621" si="627">($A621-B$9)/365.25</f>
        <v>109.37166324435319</v>
      </c>
      <c r="C621" s="409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3525.4531757812501</v>
      </c>
      <c r="H621" s="25">
        <f>IF(B621&lt;62,0,'Combined Retirement'!$I$14)</f>
        <v>2192</v>
      </c>
      <c r="I621" s="25">
        <f>IF(C621&lt;62,0,'Combined Retirement'!$I$13)</f>
        <v>2420</v>
      </c>
      <c r="J621" s="25">
        <f t="shared" si="523"/>
        <v>6404.7404596389215</v>
      </c>
      <c r="K621" s="25">
        <f t="shared" si="524"/>
        <v>16520.094745597391</v>
      </c>
      <c r="L621" s="25"/>
      <c r="N621" s="25">
        <f>'Combined Retirement'!$C$18/12</f>
        <v>33932.660666666663</v>
      </c>
      <c r="O621" s="25">
        <f t="shared" si="525"/>
        <v>11007.82546143035</v>
      </c>
      <c r="P621" s="25">
        <f t="shared" si="526"/>
        <v>22924.835205236312</v>
      </c>
      <c r="Q621" s="25">
        <f t="array" aca="1" ref="Q621" ca="1">INDEX('Isaac 401k'!L:L,MATCH('Retirement Calculator'!A621,'Isaac 401k'!N:N,0),0)</f>
        <v>6473563.7251647394</v>
      </c>
      <c r="R621" s="25">
        <f t="array" aca="1" ref="R621" ca="1">INDEX('Lorri 401b'!L:L,MATCH('Retirement Calculator'!A621,'Lorri 401b'!N:N,0),0)</f>
        <v>6748589.2598737245</v>
      </c>
      <c r="S621" s="25">
        <f t="shared" ca="1" si="527"/>
        <v>13222152.985038463</v>
      </c>
    </row>
    <row r="622" spans="1:19" ht="15.75" customHeight="1" x14ac:dyDescent="0.3">
      <c r="A622" s="37">
        <v>69884</v>
      </c>
      <c r="B622" s="409">
        <f t="shared" ref="B622:C622" si="628">($A622-B$9)/365.25</f>
        <v>109.45379876796714</v>
      </c>
      <c r="C622" s="409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3525.4531757812501</v>
      </c>
      <c r="H622" s="25">
        <f>IF(B622&lt;62,0,'Combined Retirement'!$I$14)</f>
        <v>2192</v>
      </c>
      <c r="I622" s="25">
        <f>IF(C622&lt;62,0,'Combined Retirement'!$I$13)</f>
        <v>2420</v>
      </c>
      <c r="J622" s="25">
        <f t="shared" si="523"/>
        <v>6404.7404596389215</v>
      </c>
      <c r="K622" s="25">
        <f t="shared" si="524"/>
        <v>16520.094745597391</v>
      </c>
      <c r="L622" s="25"/>
      <c r="N622" s="25">
        <f>'Combined Retirement'!$C$18/12</f>
        <v>33932.660666666663</v>
      </c>
      <c r="O622" s="25">
        <f t="shared" si="525"/>
        <v>11007.82546143035</v>
      </c>
      <c r="P622" s="25">
        <f t="shared" si="526"/>
        <v>22924.835205236312</v>
      </c>
      <c r="Q622" s="25">
        <f t="array" aca="1" ref="Q622" ca="1">INDEX('Isaac 401k'!L:L,MATCH('Retirement Calculator'!A622,'Isaac 401k'!N:N,0),0)</f>
        <v>6494105.4804747058</v>
      </c>
      <c r="R622" s="25">
        <f t="array" aca="1" ref="R622" ca="1">INDEX('Lorri 401b'!L:L,MATCH('Retirement Calculator'!A622,'Lorri 401b'!N:N,0),0)</f>
        <v>6760119.4533161605</v>
      </c>
      <c r="S622" s="25">
        <f t="shared" ca="1" si="527"/>
        <v>13254224.933790866</v>
      </c>
    </row>
    <row r="623" spans="1:19" ht="15.75" customHeight="1" x14ac:dyDescent="0.3">
      <c r="A623" s="37">
        <v>69915</v>
      </c>
      <c r="B623" s="409">
        <f t="shared" ref="B623:C623" si="629">($A623-B$9)/365.25</f>
        <v>109.53867214236824</v>
      </c>
      <c r="C623" s="409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3525.4531757812501</v>
      </c>
      <c r="H623" s="25">
        <f>IF(B623&lt;62,0,'Combined Retirement'!$I$14)</f>
        <v>2192</v>
      </c>
      <c r="I623" s="25">
        <f>IF(C623&lt;62,0,'Combined Retirement'!$I$13)</f>
        <v>2420</v>
      </c>
      <c r="J623" s="25">
        <f t="shared" si="523"/>
        <v>6404.7404596389215</v>
      </c>
      <c r="K623" s="25">
        <f t="shared" si="524"/>
        <v>16520.094745597391</v>
      </c>
      <c r="L623" s="25"/>
      <c r="N623" s="25">
        <f>'Combined Retirement'!$C$18/12</f>
        <v>33932.660666666663</v>
      </c>
      <c r="O623" s="25">
        <f t="shared" si="525"/>
        <v>11007.82546143035</v>
      </c>
      <c r="P623" s="25">
        <f t="shared" si="526"/>
        <v>22924.835205236312</v>
      </c>
      <c r="Q623" s="25">
        <f t="array" aca="1" ref="Q623" ca="1">INDEX('Isaac 401k'!L:L,MATCH('Retirement Calculator'!A623,'Isaac 401k'!N:N,0),0)</f>
        <v>6514732.8264317969</v>
      </c>
      <c r="R623" s="25">
        <f t="array" aca="1" ref="R623" ca="1">INDEX('Lorri 401b'!L:L,MATCH('Retirement Calculator'!A623,'Lorri 401b'!N:N,0),0)</f>
        <v>6771697.6892312737</v>
      </c>
      <c r="S623" s="25">
        <f t="shared" ca="1" si="527"/>
        <v>13286430.515663071</v>
      </c>
    </row>
    <row r="624" spans="1:19" ht="15.75" customHeight="1" x14ac:dyDescent="0.3">
      <c r="A624" s="37">
        <v>69945</v>
      </c>
      <c r="B624" s="409">
        <f t="shared" ref="B624:C624" si="630">($A624-B$9)/365.25</f>
        <v>109.6208076659822</v>
      </c>
      <c r="C624" s="409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3525.4531757812501</v>
      </c>
      <c r="H624" s="25">
        <f>IF(B624&lt;62,0,'Combined Retirement'!$I$14)</f>
        <v>2192</v>
      </c>
      <c r="I624" s="25">
        <f>IF(C624&lt;62,0,'Combined Retirement'!$I$13)</f>
        <v>2420</v>
      </c>
      <c r="J624" s="25">
        <f t="shared" si="523"/>
        <v>6404.7404596389215</v>
      </c>
      <c r="K624" s="25">
        <f t="shared" si="524"/>
        <v>16520.094745597391</v>
      </c>
      <c r="L624" s="25"/>
      <c r="N624" s="25">
        <f>'Combined Retirement'!$C$18/12</f>
        <v>33932.660666666663</v>
      </c>
      <c r="O624" s="25">
        <f t="shared" si="525"/>
        <v>11007.82546143035</v>
      </c>
      <c r="P624" s="25">
        <f t="shared" si="526"/>
        <v>22924.835205236312</v>
      </c>
      <c r="Q624" s="25">
        <f t="array" aca="1" ref="Q624" ca="1">INDEX('Isaac 401k'!L:L,MATCH('Retirement Calculator'!A624,'Isaac 401k'!N:N,0),0)</f>
        <v>6535446.1196637088</v>
      </c>
      <c r="R624" s="25">
        <f t="array" aca="1" ref="R624" ca="1">INDEX('Lorri 401b'!L:L,MATCH('Retirement Calculator'!A624,'Lorri 401b'!N:N,0),0)</f>
        <v>6783324.1677960325</v>
      </c>
      <c r="S624" s="25">
        <f t="shared" ca="1" si="527"/>
        <v>13318770.287459742</v>
      </c>
    </row>
    <row r="625" spans="1:19" ht="15.75" customHeight="1" x14ac:dyDescent="0.3">
      <c r="A625" s="37">
        <v>69976</v>
      </c>
      <c r="B625" s="409">
        <f t="shared" ref="B625:C625" si="631">($A625-B$9)/365.25</f>
        <v>109.7056810403833</v>
      </c>
      <c r="C625" s="409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3525.4531757812501</v>
      </c>
      <c r="H625" s="25">
        <f>IF(B625&lt;62,0,'Combined Retirement'!$I$14)</f>
        <v>2192</v>
      </c>
      <c r="I625" s="25">
        <f>IF(C625&lt;62,0,'Combined Retirement'!$I$13)</f>
        <v>2420</v>
      </c>
      <c r="J625" s="25">
        <f t="shared" si="523"/>
        <v>6404.7404596389215</v>
      </c>
      <c r="K625" s="25">
        <f t="shared" si="524"/>
        <v>16520.094745597391</v>
      </c>
      <c r="L625" s="25"/>
      <c r="N625" s="25">
        <f>'Combined Retirement'!$C$18/12</f>
        <v>33932.660666666663</v>
      </c>
      <c r="O625" s="25">
        <f t="shared" si="525"/>
        <v>11007.82546143035</v>
      </c>
      <c r="P625" s="25">
        <f t="shared" si="526"/>
        <v>22924.835205236312</v>
      </c>
      <c r="Q625" s="25">
        <f t="array" aca="1" ref="Q625" ca="1">INDEX('Isaac 401k'!L:L,MATCH('Retirement Calculator'!A625,'Isaac 401k'!N:N,0),0)</f>
        <v>6556245.7182840873</v>
      </c>
      <c r="R625" s="25">
        <f t="array" aca="1" ref="R625" ca="1">INDEX('Lorri 401b'!L:L,MATCH('Retirement Calculator'!A625,'Lorri 401b'!N:N,0),0)</f>
        <v>6794999.090021478</v>
      </c>
      <c r="S625" s="25">
        <f t="shared" ca="1" si="527"/>
        <v>13351244.808305565</v>
      </c>
    </row>
    <row r="626" spans="1:19" ht="15.75" customHeight="1" x14ac:dyDescent="0.3">
      <c r="A626" s="37">
        <v>70007</v>
      </c>
      <c r="B626" s="409">
        <f t="shared" ref="B626:C626" si="632">($A626-B$9)/365.25</f>
        <v>109.7905544147844</v>
      </c>
      <c r="C626" s="409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3525.4531757812501</v>
      </c>
      <c r="H626" s="25">
        <f>IF(B626&lt;62,0,'Combined Retirement'!$I$14)</f>
        <v>2192</v>
      </c>
      <c r="I626" s="25">
        <f>IF(C626&lt;62,0,'Combined Retirement'!$I$13)</f>
        <v>2420</v>
      </c>
      <c r="J626" s="25">
        <f t="shared" si="523"/>
        <v>6404.7404596389215</v>
      </c>
      <c r="K626" s="25">
        <f t="shared" si="524"/>
        <v>16520.094745597391</v>
      </c>
      <c r="L626" s="25"/>
      <c r="N626" s="25">
        <f>'Combined Retirement'!$C$18/12</f>
        <v>33932.660666666663</v>
      </c>
      <c r="O626" s="25">
        <f t="shared" si="525"/>
        <v>11007.82546143035</v>
      </c>
      <c r="P626" s="25">
        <f t="shared" si="526"/>
        <v>22924.835205236312</v>
      </c>
      <c r="Q626" s="25">
        <f t="array" aca="1" ref="Q626" ca="1">INDEX('Isaac 401k'!L:L,MATCH('Retirement Calculator'!A626,'Isaac 401k'!N:N,0),0)</f>
        <v>6577131.9818987176</v>
      </c>
      <c r="R626" s="25">
        <f t="array" aca="1" ref="R626" ca="1">INDEX('Lorri 401b'!L:L,MATCH('Retirement Calculator'!A626,'Lorri 401b'!N:N,0),0)</f>
        <v>6806722.6577561963</v>
      </c>
      <c r="S626" s="25">
        <f t="shared" ca="1" si="527"/>
        <v>13383854.639654914</v>
      </c>
    </row>
    <row r="627" spans="1:19" ht="15.75" customHeight="1" x14ac:dyDescent="0.3">
      <c r="A627" s="37">
        <v>70037</v>
      </c>
      <c r="B627" s="409">
        <f t="shared" ref="B627:C627" si="633">($A627-B$9)/365.25</f>
        <v>109.87268993839835</v>
      </c>
      <c r="C627" s="409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3525.4531757812501</v>
      </c>
      <c r="H627" s="25">
        <f>IF(B627&lt;62,0,'Combined Retirement'!$I$14)</f>
        <v>2192</v>
      </c>
      <c r="I627" s="25">
        <f>IF(C627&lt;62,0,'Combined Retirement'!$I$13)</f>
        <v>2420</v>
      </c>
      <c r="J627" s="25">
        <f t="shared" si="523"/>
        <v>6404.7404596389215</v>
      </c>
      <c r="K627" s="25">
        <f t="shared" si="524"/>
        <v>16520.094745597391</v>
      </c>
      <c r="L627" s="25"/>
      <c r="N627" s="25">
        <f>'Combined Retirement'!$C$18/12</f>
        <v>33932.660666666663</v>
      </c>
      <c r="O627" s="25">
        <f t="shared" si="525"/>
        <v>11007.82546143035</v>
      </c>
      <c r="P627" s="25">
        <f t="shared" si="526"/>
        <v>22924.835205236312</v>
      </c>
      <c r="Q627" s="25">
        <f t="array" aca="1" ref="Q627" ca="1">INDEX('Isaac 401k'!L:L,MATCH('Retirement Calculator'!A627,'Isaac 401k'!N:N,0),0)</f>
        <v>6598105.2716117417</v>
      </c>
      <c r="R627" s="25">
        <f t="array" aca="1" ref="R627" ca="1">INDEX('Lorri 401b'!L:L,MATCH('Retirement Calculator'!A627,'Lorri 401b'!N:N,0),0)</f>
        <v>6818495.0736898091</v>
      </c>
      <c r="S627" s="25">
        <f t="shared" ca="1" si="527"/>
        <v>13416600.34530155</v>
      </c>
    </row>
    <row r="628" spans="1:19" ht="15.75" customHeight="1" x14ac:dyDescent="0.3">
      <c r="A628" s="37">
        <v>70068</v>
      </c>
      <c r="B628" s="409">
        <f t="shared" ref="B628:C628" si="634">($A628-B$9)/365.25</f>
        <v>109.95756331279945</v>
      </c>
      <c r="C628" s="409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3525.4531757812501</v>
      </c>
      <c r="H628" s="25">
        <f>IF(B628&lt;62,0,'Combined Retirement'!$I$14)</f>
        <v>2192</v>
      </c>
      <c r="I628" s="25">
        <f>IF(C628&lt;62,0,'Combined Retirement'!$I$13)</f>
        <v>2420</v>
      </c>
      <c r="J628" s="25">
        <f t="shared" si="523"/>
        <v>6404.7404596389215</v>
      </c>
      <c r="K628" s="25">
        <f t="shared" si="524"/>
        <v>16520.094745597391</v>
      </c>
      <c r="L628" s="25"/>
      <c r="N628" s="25">
        <f>'Combined Retirement'!$C$18/12</f>
        <v>33932.660666666663</v>
      </c>
      <c r="O628" s="25">
        <f t="shared" si="525"/>
        <v>11007.82546143035</v>
      </c>
      <c r="P628" s="25">
        <f t="shared" si="526"/>
        <v>22924.835205236312</v>
      </c>
      <c r="Q628" s="25">
        <f t="array" aca="1" ref="Q628" ca="1">INDEX('Isaac 401k'!L:L,MATCH('Retirement Calculator'!A628,'Isaac 401k'!N:N,0),0)</f>
        <v>6619165.9500319036</v>
      </c>
      <c r="R628" s="25">
        <f t="array" aca="1" ref="R628" ca="1">INDEX('Lorri 401b'!L:L,MATCH('Retirement Calculator'!A628,'Lorri 401b'!N:N,0),0)</f>
        <v>6830316.5413564788</v>
      </c>
      <c r="S628" s="25">
        <f t="shared" ca="1" si="527"/>
        <v>13449482.491388382</v>
      </c>
    </row>
    <row r="629" spans="1:19" ht="15.75" customHeight="1" x14ac:dyDescent="0.3">
      <c r="A629" s="37">
        <v>70098</v>
      </c>
      <c r="B629" s="409">
        <f t="shared" ref="B629:C629" si="635">($A629-B$9)/365.25</f>
        <v>110.03969883641342</v>
      </c>
      <c r="C629" s="409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3525.4531757812501</v>
      </c>
      <c r="H629" s="25">
        <f>IF(B629&lt;62,0,'Combined Retirement'!$I$14)</f>
        <v>2192</v>
      </c>
      <c r="I629" s="25">
        <f>IF(C629&lt;62,0,'Combined Retirement'!$I$13)</f>
        <v>2420</v>
      </c>
      <c r="J629" s="25">
        <f t="shared" si="523"/>
        <v>6404.7404596389215</v>
      </c>
      <c r="K629" s="25">
        <f t="shared" si="524"/>
        <v>16520.094745597391</v>
      </c>
      <c r="L629" s="25"/>
      <c r="N629" s="25">
        <f>'Combined Retirement'!$C$18/12</f>
        <v>33932.660666666663</v>
      </c>
      <c r="O629" s="25">
        <f t="shared" si="525"/>
        <v>11007.82546143035</v>
      </c>
      <c r="P629" s="25">
        <f t="shared" si="526"/>
        <v>22924.835205236312</v>
      </c>
      <c r="Q629" s="25">
        <f t="array" aca="1" ref="Q629" ca="1">INDEX('Isaac 401k'!L:L,MATCH('Retirement Calculator'!A629,'Isaac 401k'!N:N,0),0)</f>
        <v>6640314.3812788157</v>
      </c>
      <c r="R629" s="25">
        <f t="array" aca="1" ref="R629" ca="1">INDEX('Lorri 401b'!L:L,MATCH('Retirement Calculator'!A629,'Lorri 401b'!N:N,0),0)</f>
        <v>6842187.2651384268</v>
      </c>
      <c r="S629" s="25">
        <f t="shared" ca="1" si="527"/>
        <v>13482501.646417242</v>
      </c>
    </row>
    <row r="630" spans="1:19" ht="15.75" customHeight="1" x14ac:dyDescent="0.3">
      <c r="A630" s="37">
        <v>70129</v>
      </c>
      <c r="B630" s="409">
        <f t="shared" ref="B630:C630" si="636">($A630-B$9)/365.25</f>
        <v>110.12457221081451</v>
      </c>
      <c r="C630" s="409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3525.4531757812501</v>
      </c>
      <c r="H630" s="25">
        <f>IF(B630&lt;62,0,'Combined Retirement'!$I$14)</f>
        <v>2192</v>
      </c>
      <c r="I630" s="25">
        <f>IF(C630&lt;62,0,'Combined Retirement'!$I$13)</f>
        <v>2420</v>
      </c>
      <c r="J630" s="25">
        <f t="shared" si="523"/>
        <v>6404.7404596389215</v>
      </c>
      <c r="K630" s="25">
        <f t="shared" si="524"/>
        <v>16520.094745597391</v>
      </c>
      <c r="L630" s="25"/>
      <c r="N630" s="25">
        <f>'Combined Retirement'!$C$18/12</f>
        <v>33932.660666666663</v>
      </c>
      <c r="O630" s="25">
        <f t="shared" si="525"/>
        <v>11007.82546143035</v>
      </c>
      <c r="P630" s="25">
        <f t="shared" si="526"/>
        <v>22924.835205236312</v>
      </c>
      <c r="Q630" s="25">
        <f t="array" aca="1" ref="Q630" ca="1">INDEX('Isaac 401k'!L:L,MATCH('Retirement Calculator'!A630,'Isaac 401k'!N:N,0),0)</f>
        <v>6661550.9309892571</v>
      </c>
      <c r="R630" s="25">
        <f t="array" aca="1" ref="R630" ca="1">INDEX('Lorri 401b'!L:L,MATCH('Retirement Calculator'!A630,'Lorri 401b'!N:N,0),0)</f>
        <v>6854107.4502694653</v>
      </c>
      <c r="S630" s="25">
        <f t="shared" ca="1" si="527"/>
        <v>13515658.381258722</v>
      </c>
    </row>
    <row r="631" spans="1:19" ht="15.75" customHeight="1" x14ac:dyDescent="0.3">
      <c r="A631" s="37">
        <v>70160</v>
      </c>
      <c r="B631" s="409">
        <f t="shared" ref="B631:C631" si="637">($A631-B$9)/365.25</f>
        <v>110.2094455852156</v>
      </c>
      <c r="C631" s="409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3525.4531757812501</v>
      </c>
      <c r="H631" s="25">
        <f>IF(B631&lt;62,0,'Combined Retirement'!$I$14)</f>
        <v>2192</v>
      </c>
      <c r="I631" s="25">
        <f>IF(C631&lt;62,0,'Combined Retirement'!$I$13)</f>
        <v>2420</v>
      </c>
      <c r="J631" s="25">
        <f t="shared" si="523"/>
        <v>6404.7404596389215</v>
      </c>
      <c r="K631" s="25">
        <f t="shared" si="524"/>
        <v>16520.094745597391</v>
      </c>
      <c r="L631" s="25"/>
      <c r="N631" s="25">
        <f>'Combined Retirement'!$C$18/12</f>
        <v>33932.660666666663</v>
      </c>
      <c r="O631" s="25">
        <f t="shared" si="525"/>
        <v>11007.82546143035</v>
      </c>
      <c r="P631" s="25">
        <f t="shared" si="526"/>
        <v>22924.835205236312</v>
      </c>
      <c r="Q631" s="25">
        <f t="array" aca="1" ref="Q631" ca="1">INDEX('Isaac 401k'!L:L,MATCH('Retirement Calculator'!A631,'Isaac 401k'!N:N,0),0)</f>
        <v>6682875.9663234921</v>
      </c>
      <c r="R631" s="25">
        <f t="array" aca="1" ref="R631" ca="1">INDEX('Lorri 401b'!L:L,MATCH('Retirement Calculator'!A631,'Lorri 401b'!N:N,0),0)</f>
        <v>6866077.3028385499</v>
      </c>
      <c r="S631" s="25">
        <f t="shared" ca="1" si="527"/>
        <v>13548953.269162042</v>
      </c>
    </row>
    <row r="632" spans="1:19" ht="15.75" customHeight="1" x14ac:dyDescent="0.3">
      <c r="A632" s="37">
        <v>70189</v>
      </c>
      <c r="B632" s="409">
        <f t="shared" ref="B632:C632" si="638">($A632-B$9)/365.25</f>
        <v>110.28884325804243</v>
      </c>
      <c r="C632" s="409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3525.4531757812501</v>
      </c>
      <c r="H632" s="25">
        <f>IF(B632&lt;62,0,'Combined Retirement'!$I$14)</f>
        <v>2192</v>
      </c>
      <c r="I632" s="25">
        <f>IF(C632&lt;62,0,'Combined Retirement'!$I$13)</f>
        <v>2420</v>
      </c>
      <c r="J632" s="25">
        <f t="shared" si="523"/>
        <v>6404.7404596389215</v>
      </c>
      <c r="K632" s="25">
        <f t="shared" si="524"/>
        <v>16520.094745597391</v>
      </c>
      <c r="L632" s="25"/>
      <c r="N632" s="25">
        <f>'Combined Retirement'!$C$18/12</f>
        <v>33932.660666666663</v>
      </c>
      <c r="O632" s="25">
        <f t="shared" si="525"/>
        <v>11007.82546143035</v>
      </c>
      <c r="P632" s="25">
        <f t="shared" si="526"/>
        <v>22924.835205236312</v>
      </c>
      <c r="Q632" s="25">
        <f t="array" aca="1" ref="Q632" ca="1">INDEX('Isaac 401k'!L:L,MATCH('Retirement Calculator'!A632,'Isaac 401k'!N:N,0),0)</f>
        <v>6704289.8559716195</v>
      </c>
      <c r="R632" s="25">
        <f t="array" aca="1" ref="R632" ca="1">INDEX('Lorri 401b'!L:L,MATCH('Retirement Calculator'!A632,'Lorri 401b'!N:N,0),0)</f>
        <v>6878097.0297933398</v>
      </c>
      <c r="S632" s="25">
        <f t="shared" ca="1" si="527"/>
        <v>13582386.88576496</v>
      </c>
    </row>
    <row r="633" spans="1:19" ht="15.75" customHeight="1" x14ac:dyDescent="0.3">
      <c r="A633" s="37">
        <v>70220</v>
      </c>
      <c r="B633" s="409">
        <f t="shared" ref="B633:C633" si="639">($A633-B$9)/365.25</f>
        <v>110.37371663244353</v>
      </c>
      <c r="C633" s="409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3525.4531757812501</v>
      </c>
      <c r="H633" s="25">
        <f>IF(B633&lt;62,0,'Combined Retirement'!$I$14)</f>
        <v>2192</v>
      </c>
      <c r="I633" s="25">
        <f>IF(C633&lt;62,0,'Combined Retirement'!$I$13)</f>
        <v>2420</v>
      </c>
      <c r="J633" s="25">
        <f t="shared" si="523"/>
        <v>6404.7404596389215</v>
      </c>
      <c r="K633" s="25">
        <f t="shared" si="524"/>
        <v>16520.094745597391</v>
      </c>
      <c r="L633" s="25"/>
      <c r="N633" s="25">
        <f>'Combined Retirement'!$C$18/12</f>
        <v>33932.660666666663</v>
      </c>
      <c r="O633" s="25">
        <f t="shared" si="525"/>
        <v>11007.82546143035</v>
      </c>
      <c r="P633" s="25">
        <f t="shared" si="526"/>
        <v>22924.835205236312</v>
      </c>
      <c r="Q633" s="25">
        <f t="array" aca="1" ref="Q633" ca="1">INDEX('Isaac 401k'!L:L,MATCH('Retirement Calculator'!A633,'Isaac 401k'!N:N,0),0)</f>
        <v>6725792.9701599479</v>
      </c>
      <c r="R633" s="25">
        <f t="array" aca="1" ref="R633" ca="1">INDEX('Lorri 401b'!L:L,MATCH('Retirement Calculator'!A633,'Lorri 401b'!N:N,0),0)</f>
        <v>6890166.8389437739</v>
      </c>
      <c r="S633" s="25">
        <f t="shared" ca="1" si="527"/>
        <v>13615959.809103722</v>
      </c>
    </row>
    <row r="634" spans="1:19" ht="15.75" customHeight="1" x14ac:dyDescent="0.3">
      <c r="A634" s="37">
        <v>70250</v>
      </c>
      <c r="B634" s="409">
        <f t="shared" ref="B634:C634" si="640">($A634-B$9)/365.25</f>
        <v>110.45585215605749</v>
      </c>
      <c r="C634" s="409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3525.4531757812501</v>
      </c>
      <c r="H634" s="25">
        <f>IF(B634&lt;62,0,'Combined Retirement'!$I$14)</f>
        <v>2192</v>
      </c>
      <c r="I634" s="25">
        <f>IF(C634&lt;62,0,'Combined Retirement'!$I$13)</f>
        <v>2420</v>
      </c>
      <c r="J634" s="25">
        <f t="shared" si="523"/>
        <v>6404.7404596389215</v>
      </c>
      <c r="K634" s="25">
        <f t="shared" si="524"/>
        <v>16520.094745597391</v>
      </c>
      <c r="L634" s="25"/>
      <c r="N634" s="25">
        <f>'Combined Retirement'!$C$18/12</f>
        <v>33932.660666666663</v>
      </c>
      <c r="O634" s="25">
        <f t="shared" si="525"/>
        <v>11007.82546143035</v>
      </c>
      <c r="P634" s="25">
        <f t="shared" si="526"/>
        <v>22924.835205236312</v>
      </c>
      <c r="Q634" s="25">
        <f t="array" aca="1" ref="Q634" ca="1">INDEX('Isaac 401k'!L:L,MATCH('Retirement Calculator'!A634,'Isaac 401k'!N:N,0),0)</f>
        <v>6747385.6806573942</v>
      </c>
      <c r="R634" s="25">
        <f t="array" aca="1" ref="R634" ca="1">INDEX('Lorri 401b'!L:L,MATCH('Retirement Calculator'!A634,'Lorri 401b'!N:N,0),0)</f>
        <v>6902286.9389656689</v>
      </c>
      <c r="S634" s="25">
        <f t="shared" ca="1" si="527"/>
        <v>13649672.619623063</v>
      </c>
    </row>
    <row r="635" spans="1:19" ht="15.75" customHeight="1" x14ac:dyDescent="0.3">
      <c r="A635" s="37">
        <v>70281</v>
      </c>
      <c r="B635" s="409">
        <f t="shared" ref="B635:C635" si="641">($A635-B$9)/365.25</f>
        <v>110.54072553045859</v>
      </c>
      <c r="C635" s="409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3525.4531757812501</v>
      </c>
      <c r="H635" s="25">
        <f>IF(B635&lt;62,0,'Combined Retirement'!$I$14)</f>
        <v>2192</v>
      </c>
      <c r="I635" s="25">
        <f>IF(C635&lt;62,0,'Combined Retirement'!$I$13)</f>
        <v>2420</v>
      </c>
      <c r="J635" s="25">
        <f t="shared" si="523"/>
        <v>6404.7404596389215</v>
      </c>
      <c r="K635" s="25">
        <f t="shared" si="524"/>
        <v>16520.094745597391</v>
      </c>
      <c r="L635" s="25"/>
      <c r="N635" s="25">
        <f>'Combined Retirement'!$C$18/12</f>
        <v>33932.660666666663</v>
      </c>
      <c r="O635" s="25">
        <f t="shared" si="525"/>
        <v>11007.82546143035</v>
      </c>
      <c r="P635" s="25">
        <f t="shared" si="526"/>
        <v>22924.835205236312</v>
      </c>
      <c r="Q635" s="25">
        <f t="array" aca="1" ref="Q635" ca="1">INDEX('Isaac 401k'!L:L,MATCH('Retirement Calculator'!A635,'Isaac 401k'!N:N,0),0)</f>
        <v>6769068.3607819127</v>
      </c>
      <c r="R635" s="25">
        <f t="array" aca="1" ref="R635" ca="1">INDEX('Lorri 401b'!L:L,MATCH('Retirement Calculator'!A635,'Lorri 401b'!N:N,0),0)</f>
        <v>6914457.5394043215</v>
      </c>
      <c r="S635" s="25">
        <f t="shared" ca="1" si="527"/>
        <v>13683525.900186233</v>
      </c>
    </row>
    <row r="636" spans="1:19" ht="15.75" customHeight="1" x14ac:dyDescent="0.3">
      <c r="A636" s="37">
        <v>70311</v>
      </c>
      <c r="B636" s="409">
        <f t="shared" ref="B636:C636" si="642">($A636-B$9)/365.25</f>
        <v>110.62286105407256</v>
      </c>
      <c r="C636" s="409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3525.4531757812501</v>
      </c>
      <c r="H636" s="25">
        <f>IF(B636&lt;62,0,'Combined Retirement'!$I$14)</f>
        <v>2192</v>
      </c>
      <c r="I636" s="25">
        <f>IF(C636&lt;62,0,'Combined Retirement'!$I$13)</f>
        <v>2420</v>
      </c>
      <c r="J636" s="25">
        <f t="shared" si="523"/>
        <v>6404.7404596389215</v>
      </c>
      <c r="K636" s="25">
        <f t="shared" si="524"/>
        <v>16520.094745597391</v>
      </c>
      <c r="L636" s="25"/>
      <c r="N636" s="25">
        <f>'Combined Retirement'!$C$18/12</f>
        <v>33932.660666666663</v>
      </c>
      <c r="O636" s="25">
        <f t="shared" si="525"/>
        <v>11007.82546143035</v>
      </c>
      <c r="P636" s="25">
        <f t="shared" si="526"/>
        <v>22924.835205236312</v>
      </c>
      <c r="Q636" s="25">
        <f t="array" aca="1" ref="Q636" ca="1">INDEX('Isaac 401k'!L:L,MATCH('Retirement Calculator'!A636,'Isaac 401k'!N:N,0),0)</f>
        <v>6790841.3854069505</v>
      </c>
      <c r="R636" s="25">
        <f t="array" aca="1" ref="R636" ca="1">INDEX('Lorri 401b'!L:L,MATCH('Retirement Calculator'!A636,'Lorri 401b'!N:N,0),0)</f>
        <v>6926678.8506781347</v>
      </c>
      <c r="S636" s="25">
        <f t="shared" ca="1" si="527"/>
        <v>13717520.236085085</v>
      </c>
    </row>
    <row r="637" spans="1:19" ht="15.75" customHeight="1" x14ac:dyDescent="0.3">
      <c r="A637" s="37">
        <v>70342</v>
      </c>
      <c r="B637" s="409">
        <f t="shared" ref="B637:C637" si="643">($A637-B$9)/365.25</f>
        <v>110.70773442847364</v>
      </c>
      <c r="C637" s="409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3525.4531757812501</v>
      </c>
      <c r="H637" s="25">
        <f>IF(B637&lt;62,0,'Combined Retirement'!$I$14)</f>
        <v>2192</v>
      </c>
      <c r="I637" s="25">
        <f>IF(C637&lt;62,0,'Combined Retirement'!$I$13)</f>
        <v>2420</v>
      </c>
      <c r="J637" s="25">
        <f t="shared" si="523"/>
        <v>6404.7404596389215</v>
      </c>
      <c r="K637" s="25">
        <f t="shared" si="524"/>
        <v>16520.094745597391</v>
      </c>
      <c r="L637" s="25"/>
      <c r="N637" s="25">
        <f>'Combined Retirement'!$C$18/12</f>
        <v>33932.660666666663</v>
      </c>
      <c r="O637" s="25">
        <f t="shared" si="525"/>
        <v>11007.82546143035</v>
      </c>
      <c r="P637" s="25">
        <f t="shared" si="526"/>
        <v>22924.835205236312</v>
      </c>
      <c r="Q637" s="25">
        <f t="array" aca="1" ref="Q637" ca="1">INDEX('Isaac 401k'!L:L,MATCH('Retirement Calculator'!A637,'Isaac 401k'!N:N,0),0)</f>
        <v>6812705.1309679253</v>
      </c>
      <c r="R637" s="25">
        <f t="array" aca="1" ref="R637" ca="1">INDEX('Lorri 401b'!L:L,MATCH('Retirement Calculator'!A637,'Lorri 401b'!N:N,0),0)</f>
        <v>6938951.0840822561</v>
      </c>
      <c r="S637" s="25">
        <f t="shared" ca="1" si="527"/>
        <v>13751656.215050181</v>
      </c>
    </row>
    <row r="638" spans="1:19" ht="15.75" customHeight="1" x14ac:dyDescent="0.3">
      <c r="A638" s="37">
        <v>70373</v>
      </c>
      <c r="B638" s="409">
        <f t="shared" ref="B638:C638" si="644">($A638-B$9)/365.25</f>
        <v>110.79260780287474</v>
      </c>
      <c r="C638" s="409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3525.4531757812501</v>
      </c>
      <c r="H638" s="25">
        <f>IF(B638&lt;62,0,'Combined Retirement'!$I$14)</f>
        <v>2192</v>
      </c>
      <c r="I638" s="25">
        <f>IF(C638&lt;62,0,'Combined Retirement'!$I$13)</f>
        <v>2420</v>
      </c>
      <c r="J638" s="25">
        <f t="shared" si="523"/>
        <v>6404.7404596389215</v>
      </c>
      <c r="K638" s="25">
        <f t="shared" si="524"/>
        <v>16520.094745597391</v>
      </c>
      <c r="L638" s="25"/>
      <c r="N638" s="25">
        <f>'Combined Retirement'!$C$18/12</f>
        <v>33932.660666666663</v>
      </c>
      <c r="O638" s="25">
        <f t="shared" si="525"/>
        <v>11007.82546143035</v>
      </c>
      <c r="P638" s="25">
        <f t="shared" si="526"/>
        <v>22924.835205236312</v>
      </c>
      <c r="Q638" s="25">
        <f t="array" aca="1" ref="Q638" ca="1">INDEX('Isaac 401k'!L:L,MATCH('Retirement Calculator'!A638,'Isaac 401k'!N:N,0),0)</f>
        <v>6834659.975468738</v>
      </c>
      <c r="R638" s="25">
        <f t="array" aca="1" ref="R638" ca="1">INDEX('Lorri 401b'!L:L,MATCH('Retirement Calculator'!A638,'Lorri 401b'!N:N,0),0)</f>
        <v>6951274.451792228</v>
      </c>
      <c r="S638" s="25">
        <f t="shared" ca="1" si="527"/>
        <v>13785934.427260965</v>
      </c>
    </row>
    <row r="639" spans="1:19" ht="15.75" customHeight="1" x14ac:dyDescent="0.3">
      <c r="A639" s="37">
        <v>70403</v>
      </c>
      <c r="B639" s="409">
        <f t="shared" ref="B639:C639" si="645">($A639-B$9)/365.25</f>
        <v>110.87474332648871</v>
      </c>
      <c r="C639" s="409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3525.4531757812501</v>
      </c>
      <c r="H639" s="25">
        <f>IF(B639&lt;62,0,'Combined Retirement'!$I$14)</f>
        <v>2192</v>
      </c>
      <c r="I639" s="25">
        <f>IF(C639&lt;62,0,'Combined Retirement'!$I$13)</f>
        <v>2420</v>
      </c>
      <c r="J639" s="25">
        <f t="shared" si="523"/>
        <v>6404.7404596389215</v>
      </c>
      <c r="K639" s="25">
        <f t="shared" si="524"/>
        <v>16520.094745597391</v>
      </c>
      <c r="L639" s="25"/>
      <c r="N639" s="25">
        <f>'Combined Retirement'!$C$18/12</f>
        <v>33932.660666666663</v>
      </c>
      <c r="O639" s="25">
        <f t="shared" si="525"/>
        <v>11007.82546143035</v>
      </c>
      <c r="P639" s="25">
        <f t="shared" si="526"/>
        <v>22924.835205236312</v>
      </c>
      <c r="Q639" s="25">
        <f t="array" aca="1" ref="Q639" ca="1">INDEX('Isaac 401k'!L:L,MATCH('Retirement Calculator'!A639,'Isaac 401k'!N:N,0),0)</f>
        <v>6856706.298488304</v>
      </c>
      <c r="R639" s="25">
        <f t="array" aca="1" ref="R639" ca="1">INDEX('Lorri 401b'!L:L,MATCH('Retirement Calculator'!A639,'Lorri 401b'!N:N,0),0)</f>
        <v>6963649.1668676576</v>
      </c>
      <c r="S639" s="25">
        <f t="shared" ca="1" si="527"/>
        <v>13820355.465355963</v>
      </c>
    </row>
    <row r="640" spans="1:19" ht="15.75" customHeight="1" x14ac:dyDescent="0.3">
      <c r="A640" s="37">
        <v>70434</v>
      </c>
      <c r="B640" s="409">
        <f t="shared" ref="B640:C640" si="646">($A640-B$9)/365.25</f>
        <v>110.9596167008898</v>
      </c>
      <c r="C640" s="409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3525.4531757812501</v>
      </c>
      <c r="H640" s="25">
        <f>IF(B640&lt;62,0,'Combined Retirement'!$I$14)</f>
        <v>2192</v>
      </c>
      <c r="I640" s="25">
        <f>IF(C640&lt;62,0,'Combined Retirement'!$I$13)</f>
        <v>2420</v>
      </c>
      <c r="J640" s="25">
        <f t="shared" si="523"/>
        <v>6404.7404596389215</v>
      </c>
      <c r="K640" s="25">
        <f t="shared" si="524"/>
        <v>16520.094745597391</v>
      </c>
      <c r="L640" s="25"/>
      <c r="N640" s="25">
        <f>'Combined Retirement'!$C$18/12</f>
        <v>33932.660666666663</v>
      </c>
      <c r="O640" s="25">
        <f t="shared" si="525"/>
        <v>11007.82546143035</v>
      </c>
      <c r="P640" s="25">
        <f t="shared" si="526"/>
        <v>22924.835205236312</v>
      </c>
      <c r="Q640" s="25">
        <f t="array" aca="1" ref="Q640" ca="1">INDEX('Isaac 401k'!L:L,MATCH('Retirement Calculator'!A640,'Isaac 401k'!N:N,0),0)</f>
        <v>6878844.4811871182</v>
      </c>
      <c r="R640" s="25">
        <f t="array" aca="1" ref="R640" ca="1">INDEX('Lorri 401b'!L:L,MATCH('Retirement Calculator'!A640,'Lorri 401b'!N:N,0),0)</f>
        <v>6976075.4432559013</v>
      </c>
      <c r="S640" s="25">
        <f t="shared" ca="1" si="527"/>
        <v>13854919.92444302</v>
      </c>
    </row>
    <row r="641" spans="1:19" ht="15.75" customHeight="1" x14ac:dyDescent="0.3">
      <c r="A641" s="37">
        <v>70464</v>
      </c>
      <c r="B641" s="409">
        <f t="shared" ref="B641:C641" si="647">($A641-B$9)/365.25</f>
        <v>111.04175222450377</v>
      </c>
      <c r="C641" s="409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3525.4531757812501</v>
      </c>
      <c r="H641" s="25">
        <f>IF(B641&lt;62,0,'Combined Retirement'!$I$14)</f>
        <v>2192</v>
      </c>
      <c r="I641" s="25">
        <f>IF(C641&lt;62,0,'Combined Retirement'!$I$13)</f>
        <v>2420</v>
      </c>
      <c r="J641" s="25">
        <f t="shared" si="523"/>
        <v>6404.7404596389215</v>
      </c>
      <c r="K641" s="25">
        <f t="shared" si="524"/>
        <v>16520.094745597391</v>
      </c>
      <c r="L641" s="25"/>
      <c r="N641" s="25">
        <f>'Combined Retirement'!$C$18/12</f>
        <v>33932.660666666663</v>
      </c>
      <c r="O641" s="25">
        <f t="shared" si="525"/>
        <v>11007.82546143035</v>
      </c>
      <c r="P641" s="25">
        <f t="shared" si="526"/>
        <v>22924.835205236312</v>
      </c>
      <c r="Q641" s="25">
        <f t="array" aca="1" ref="Q641" ca="1">INDEX('Isaac 401k'!L:L,MATCH('Retirement Calculator'!A641,'Isaac 401k'!N:N,0),0)</f>
        <v>6901074.906313844</v>
      </c>
      <c r="R641" s="25">
        <f t="array" aca="1" ref="R641" ca="1">INDEX('Lorri 401b'!L:L,MATCH('Retirement Calculator'!A641,'Lorri 401b'!N:N,0),0)</f>
        <v>6988553.4957957631</v>
      </c>
      <c r="S641" s="25">
        <f t="shared" ca="1" si="527"/>
        <v>13889628.402109608</v>
      </c>
    </row>
    <row r="642" spans="1:19" ht="15.75" customHeight="1" x14ac:dyDescent="0.3">
      <c r="A642" s="37">
        <v>70495</v>
      </c>
      <c r="B642" s="409">
        <f t="shared" ref="B642:C642" si="648">($A642-B$9)/365.25</f>
        <v>111.12662559890487</v>
      </c>
      <c r="C642" s="409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3525.4531757812501</v>
      </c>
      <c r="H642" s="25">
        <f>IF(B642&lt;62,0,'Combined Retirement'!$I$14)</f>
        <v>2192</v>
      </c>
      <c r="I642" s="25">
        <f>IF(C642&lt;62,0,'Combined Retirement'!$I$13)</f>
        <v>2420</v>
      </c>
      <c r="J642" s="25">
        <f t="shared" si="523"/>
        <v>6404.7404596389215</v>
      </c>
      <c r="K642" s="25">
        <f t="shared" si="524"/>
        <v>16520.094745597391</v>
      </c>
      <c r="L642" s="25"/>
      <c r="N642" s="25">
        <f>'Combined Retirement'!$C$18/12</f>
        <v>33932.660666666663</v>
      </c>
      <c r="O642" s="25">
        <f t="shared" si="525"/>
        <v>11007.82546143035</v>
      </c>
      <c r="P642" s="25">
        <f t="shared" si="526"/>
        <v>22924.835205236312</v>
      </c>
      <c r="Q642" s="25">
        <f t="array" aca="1" ref="Q642" ca="1">INDEX('Isaac 401k'!L:L,MATCH('Retirement Calculator'!A642,'Isaac 401k'!N:N,0),0)</f>
        <v>6923397.9582119314</v>
      </c>
      <c r="R642" s="25">
        <f t="array" aca="1" ref="R642" ca="1">INDEX('Lorri 401b'!L:L,MATCH('Retirement Calculator'!A642,'Lorri 401b'!N:N,0),0)</f>
        <v>7001083.5402212078</v>
      </c>
      <c r="S642" s="25">
        <f t="shared" ca="1" si="527"/>
        <v>13924481.498433139</v>
      </c>
    </row>
    <row r="643" spans="1:19" ht="15.75" customHeight="1" x14ac:dyDescent="0.3">
      <c r="A643" s="37">
        <v>70526</v>
      </c>
      <c r="B643" s="409">
        <f t="shared" ref="B643:C643" si="649">($A643-B$9)/365.25</f>
        <v>111.21149897330595</v>
      </c>
      <c r="C643" s="409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3525.4531757812501</v>
      </c>
      <c r="H643" s="25">
        <f>IF(B643&lt;62,0,'Combined Retirement'!$I$14)</f>
        <v>2192</v>
      </c>
      <c r="I643" s="25">
        <f>IF(C643&lt;62,0,'Combined Retirement'!$I$13)</f>
        <v>2420</v>
      </c>
      <c r="J643" s="25">
        <f t="shared" si="523"/>
        <v>6404.7404596389215</v>
      </c>
      <c r="K643" s="25">
        <f t="shared" si="524"/>
        <v>16520.094745597391</v>
      </c>
      <c r="L643" s="25"/>
      <c r="N643" s="25">
        <f>'Combined Retirement'!$C$18/12</f>
        <v>33932.660666666663</v>
      </c>
      <c r="O643" s="25">
        <f t="shared" si="525"/>
        <v>11007.82546143035</v>
      </c>
      <c r="P643" s="25">
        <f t="shared" si="526"/>
        <v>22924.835205236312</v>
      </c>
      <c r="Q643" s="25">
        <f t="array" aca="1" ref="Q643" ca="1">INDEX('Isaac 401k'!L:L,MATCH('Retirement Calculator'!A643,'Isaac 401k'!N:N,0),0)</f>
        <v>6945814.0228262609</v>
      </c>
      <c r="R643" s="25">
        <f t="array" aca="1" ref="R643" ca="1">INDEX('Lorri 401b'!L:L,MATCH('Retirement Calculator'!A643,'Lorri 401b'!N:N,0),0)</f>
        <v>7013665.7931650914</v>
      </c>
      <c r="S643" s="25">
        <f t="shared" ca="1" si="527"/>
        <v>13959479.815991353</v>
      </c>
    </row>
    <row r="644" spans="1:19" ht="15.75" customHeight="1" x14ac:dyDescent="0.3">
      <c r="A644" s="37">
        <v>70554</v>
      </c>
      <c r="B644" s="409">
        <f t="shared" ref="B644:C644" si="650">($A644-B$9)/365.25</f>
        <v>111.28815879534565</v>
      </c>
      <c r="C644" s="409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3525.4531757812501</v>
      </c>
      <c r="H644" s="25">
        <f>IF(B644&lt;62,0,'Combined Retirement'!$I$14)</f>
        <v>2192</v>
      </c>
      <c r="I644" s="25">
        <f>IF(C644&lt;62,0,'Combined Retirement'!$I$13)</f>
        <v>2420</v>
      </c>
      <c r="J644" s="25">
        <f t="shared" si="523"/>
        <v>6404.7404596389215</v>
      </c>
      <c r="K644" s="25">
        <f t="shared" si="524"/>
        <v>16520.094745597391</v>
      </c>
      <c r="L644" s="25"/>
      <c r="N644" s="25">
        <f>'Combined Retirement'!$C$18/12</f>
        <v>33932.660666666663</v>
      </c>
      <c r="O644" s="25">
        <f t="shared" si="525"/>
        <v>11007.82546143035</v>
      </c>
      <c r="P644" s="25">
        <f t="shared" si="526"/>
        <v>22924.835205236312</v>
      </c>
      <c r="Q644" s="25">
        <f t="array" aca="1" ref="Q644" ca="1">INDEX('Isaac 401k'!L:L,MATCH('Retirement Calculator'!A644,'Isaac 401k'!N:N,0),0)</f>
        <v>6968323.4877098165</v>
      </c>
      <c r="R644" s="25">
        <f t="array" aca="1" ref="R644" ca="1">INDEX('Lorri 401b'!L:L,MATCH('Retirement Calculator'!A644,'Lorri 401b'!N:N,0),0)</f>
        <v>7026300.4721629079</v>
      </c>
      <c r="S644" s="25">
        <f t="shared" ca="1" si="527"/>
        <v>13994623.959872724</v>
      </c>
    </row>
    <row r="645" spans="1:19" ht="15.75" customHeight="1" x14ac:dyDescent="0.3">
      <c r="A645" s="37">
        <v>70585</v>
      </c>
      <c r="B645" s="409">
        <f t="shared" ref="B645:C645" si="651">($A645-B$9)/365.25</f>
        <v>111.37303216974675</v>
      </c>
      <c r="C645" s="409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3525.4531757812501</v>
      </c>
      <c r="H645" s="25">
        <f>IF(B645&lt;62,0,'Combined Retirement'!$I$14)</f>
        <v>2192</v>
      </c>
      <c r="I645" s="25">
        <f>IF(C645&lt;62,0,'Combined Retirement'!$I$13)</f>
        <v>2420</v>
      </c>
      <c r="J645" s="25">
        <f t="shared" si="523"/>
        <v>6404.7404596389215</v>
      </c>
      <c r="K645" s="25">
        <f t="shared" si="524"/>
        <v>16520.094745597391</v>
      </c>
      <c r="L645" s="25"/>
      <c r="N645" s="25">
        <f>'Combined Retirement'!$C$18/12</f>
        <v>33932.660666666663</v>
      </c>
      <c r="O645" s="25">
        <f t="shared" si="525"/>
        <v>11007.82546143035</v>
      </c>
      <c r="P645" s="25">
        <f t="shared" si="526"/>
        <v>22924.835205236312</v>
      </c>
      <c r="Q645" s="25">
        <f t="array" aca="1" ref="Q645" ca="1">INDEX('Isaac 401k'!L:L,MATCH('Retirement Calculator'!A645,'Isaac 401k'!N:N,0),0)</f>
        <v>6990926.7420303868</v>
      </c>
      <c r="R645" s="25">
        <f t="array" aca="1" ref="R645" ca="1">INDEX('Lorri 401b'!L:L,MATCH('Retirement Calculator'!A645,'Lorri 401b'!N:N,0),0)</f>
        <v>7038987.7956565488</v>
      </c>
      <c r="S645" s="25">
        <f t="shared" ca="1" si="527"/>
        <v>14029914.537686937</v>
      </c>
    </row>
    <row r="646" spans="1:19" ht="15.75" customHeight="1" x14ac:dyDescent="0.3">
      <c r="A646" s="37">
        <v>70615</v>
      </c>
      <c r="B646" s="409">
        <f t="shared" ref="B646:C646" si="652">($A646-B$9)/365.25</f>
        <v>111.45516769336071</v>
      </c>
      <c r="C646" s="409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3525.4531757812501</v>
      </c>
      <c r="H646" s="25">
        <f>IF(B646&lt;62,0,'Combined Retirement'!$I$14)</f>
        <v>2192</v>
      </c>
      <c r="I646" s="25">
        <f>IF(C646&lt;62,0,'Combined Retirement'!$I$13)</f>
        <v>2420</v>
      </c>
      <c r="J646" s="25">
        <f t="shared" si="523"/>
        <v>6404.7404596389215</v>
      </c>
      <c r="K646" s="25">
        <f t="shared" si="524"/>
        <v>16520.094745597391</v>
      </c>
      <c r="L646" s="25"/>
      <c r="N646" s="25">
        <f>'Combined Retirement'!$C$18/12</f>
        <v>33932.660666666663</v>
      </c>
      <c r="O646" s="25">
        <f t="shared" si="525"/>
        <v>11007.82546143035</v>
      </c>
      <c r="P646" s="25">
        <f t="shared" si="526"/>
        <v>22924.835205236312</v>
      </c>
      <c r="Q646" s="25">
        <f t="array" aca="1" ref="Q646" ca="1">INDEX('Isaac 401k'!L:L,MATCH('Retirement Calculator'!A646,'Isaac 401k'!N:N,0),0)</f>
        <v>7013624.1765772933</v>
      </c>
      <c r="R646" s="25">
        <f t="array" aca="1" ref="R646" ca="1">INDEX('Lorri 401b'!L:L,MATCH('Retirement Calculator'!A646,'Lorri 401b'!N:N,0),0)</f>
        <v>7051727.9829980796</v>
      </c>
      <c r="S646" s="25">
        <f t="shared" ca="1" si="527"/>
        <v>14065352.159575373</v>
      </c>
    </row>
    <row r="647" spans="1:19" ht="15.75" customHeight="1" x14ac:dyDescent="0.3">
      <c r="A647" s="37">
        <v>70646</v>
      </c>
      <c r="B647" s="409">
        <f t="shared" ref="B647:C647" si="653">($A647-B$9)/365.25</f>
        <v>111.54004106776181</v>
      </c>
      <c r="C647" s="409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3525.4531757812501</v>
      </c>
      <c r="H647" s="25">
        <f>IF(B647&lt;62,0,'Combined Retirement'!$I$14)</f>
        <v>2192</v>
      </c>
      <c r="I647" s="25">
        <f>IF(C647&lt;62,0,'Combined Retirement'!$I$13)</f>
        <v>2420</v>
      </c>
      <c r="J647" s="25">
        <f t="shared" si="523"/>
        <v>6404.7404596389215</v>
      </c>
      <c r="K647" s="25">
        <f t="shared" si="524"/>
        <v>16520.094745597391</v>
      </c>
      <c r="L647" s="25"/>
      <c r="N647" s="25">
        <f>'Combined Retirement'!$C$18/12</f>
        <v>33932.660666666663</v>
      </c>
      <c r="O647" s="25">
        <f t="shared" si="525"/>
        <v>11007.82546143035</v>
      </c>
      <c r="P647" s="25">
        <f t="shared" si="526"/>
        <v>22924.835205236312</v>
      </c>
      <c r="Q647" s="25">
        <f t="array" aca="1" ref="Q647" ca="1">INDEX('Isaac 401k'!L:L,MATCH('Retirement Calculator'!A647,'Isaac 401k'!N:N,0),0)</f>
        <v>7036416.1837681448</v>
      </c>
      <c r="R647" s="25">
        <f t="array" aca="1" ref="R647" ca="1">INDEX('Lorri 401b'!L:L,MATCH('Retirement Calculator'!A647,'Lorri 401b'!N:N,0),0)</f>
        <v>7064521.2544535343</v>
      </c>
      <c r="S647" s="25">
        <f t="shared" ca="1" si="527"/>
        <v>14100937.438221678</v>
      </c>
    </row>
    <row r="648" spans="1:19" ht="15.75" customHeight="1" x14ac:dyDescent="0.3">
      <c r="A648" s="37">
        <v>70676</v>
      </c>
      <c r="B648" s="409">
        <f t="shared" ref="B648:C648" si="654">($A648-B$9)/365.25</f>
        <v>111.62217659137578</v>
      </c>
      <c r="C648" s="409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3525.4531757812501</v>
      </c>
      <c r="H648" s="25">
        <f>IF(B648&lt;62,0,'Combined Retirement'!$I$14)</f>
        <v>2192</v>
      </c>
      <c r="I648" s="25">
        <f>IF(C648&lt;62,0,'Combined Retirement'!$I$13)</f>
        <v>2420</v>
      </c>
      <c r="J648" s="25">
        <f t="shared" si="523"/>
        <v>6404.7404596389215</v>
      </c>
      <c r="K648" s="25">
        <f t="shared" si="524"/>
        <v>16520.094745597391</v>
      </c>
      <c r="L648" s="25"/>
      <c r="N648" s="25">
        <f>'Combined Retirement'!$C$18/12</f>
        <v>33932.660666666663</v>
      </c>
      <c r="O648" s="25">
        <f t="shared" si="525"/>
        <v>11007.82546143035</v>
      </c>
      <c r="P648" s="25">
        <f t="shared" si="526"/>
        <v>22924.835205236312</v>
      </c>
      <c r="Q648" s="25">
        <f t="array" aca="1" ref="Q648" ca="1">INDEX('Isaac 401k'!L:L,MATCH('Retirement Calculator'!A648,'Isaac 401k'!N:N,0),0)</f>
        <v>7059303.1576556247</v>
      </c>
      <c r="R648" s="25">
        <f t="array" aca="1" ref="R648" ca="1">INDEX('Lorri 401b'!L:L,MATCH('Retirement Calculator'!A648,'Lorri 401b'!N:N,0),0)</f>
        <v>7077367.8312067194</v>
      </c>
      <c r="S648" s="25">
        <f t="shared" ca="1" si="527"/>
        <v>14136670.988862343</v>
      </c>
    </row>
    <row r="649" spans="1:19" ht="15.75" customHeight="1" x14ac:dyDescent="0.3">
      <c r="A649" s="37">
        <v>70707</v>
      </c>
      <c r="B649" s="409">
        <f t="shared" ref="B649:C649" si="655">($A649-B$9)/365.25</f>
        <v>111.70704996577686</v>
      </c>
      <c r="C649" s="409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3525.4531757812501</v>
      </c>
      <c r="H649" s="25">
        <f>IF(B649&lt;62,0,'Combined Retirement'!$I$14)</f>
        <v>2192</v>
      </c>
      <c r="I649" s="25">
        <f>IF(C649&lt;62,0,'Combined Retirement'!$I$13)</f>
        <v>2420</v>
      </c>
      <c r="J649" s="25">
        <f t="shared" si="523"/>
        <v>6404.7404596389215</v>
      </c>
      <c r="K649" s="25">
        <f t="shared" si="524"/>
        <v>16520.094745597391</v>
      </c>
      <c r="L649" s="25"/>
      <c r="N649" s="25">
        <f>'Combined Retirement'!$C$18/12</f>
        <v>33932.660666666663</v>
      </c>
      <c r="O649" s="25">
        <f t="shared" si="525"/>
        <v>11007.82546143035</v>
      </c>
      <c r="P649" s="25">
        <f t="shared" si="526"/>
        <v>22924.835205236312</v>
      </c>
      <c r="Q649" s="25">
        <f t="array" aca="1" ref="Q649" ca="1">INDEX('Isaac 401k'!L:L,MATCH('Retirement Calculator'!A649,'Isaac 401k'!N:N,0),0)</f>
        <v>7082285.4939343026</v>
      </c>
      <c r="R649" s="25">
        <f t="array" aca="1" ref="R649" ca="1">INDEX('Lorri 401b'!L:L,MATCH('Retirement Calculator'!A649,'Lorri 401b'!N:N,0),0)</f>
        <v>7090267.9353630431</v>
      </c>
      <c r="S649" s="25">
        <f t="shared" ca="1" si="527"/>
        <v>14172553.429297347</v>
      </c>
    </row>
    <row r="650" spans="1:19" ht="15.75" customHeight="1" x14ac:dyDescent="0.3">
      <c r="A650" s="37">
        <v>70738</v>
      </c>
      <c r="B650" s="409">
        <f t="shared" ref="B650:C650" si="656">($A650-B$9)/365.25</f>
        <v>111.79192334017796</v>
      </c>
      <c r="C650" s="409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3525.4531757812501</v>
      </c>
      <c r="H650" s="25">
        <f>IF(B650&lt;62,0,'Combined Retirement'!$I$14)</f>
        <v>2192</v>
      </c>
      <c r="I650" s="25">
        <f>IF(C650&lt;62,0,'Combined Retirement'!$I$13)</f>
        <v>2420</v>
      </c>
      <c r="J650" s="25">
        <f t="shared" si="523"/>
        <v>6404.7404596389215</v>
      </c>
      <c r="K650" s="25">
        <f t="shared" si="524"/>
        <v>16520.094745597391</v>
      </c>
      <c r="L650" s="25"/>
      <c r="N650" s="25">
        <f>'Combined Retirement'!$C$18/12</f>
        <v>33932.660666666663</v>
      </c>
      <c r="O650" s="25">
        <f t="shared" si="525"/>
        <v>11007.82546143035</v>
      </c>
      <c r="P650" s="25">
        <f t="shared" si="526"/>
        <v>22924.835205236312</v>
      </c>
      <c r="Q650" s="25">
        <f t="array" aca="1" ref="Q650" ca="1">INDEX('Isaac 401k'!L:L,MATCH('Retirement Calculator'!A650,'Isaac 401k'!N:N,0),0)</f>
        <v>7105363.5899474751</v>
      </c>
      <c r="R650" s="25">
        <f t="array" aca="1" ref="R650" ca="1">INDEX('Lorri 401b'!L:L,MATCH('Retirement Calculator'!A650,'Lorri 401b'!N:N,0),0)</f>
        <v>7103221.789953351</v>
      </c>
      <c r="S650" s="25">
        <f t="shared" ca="1" si="527"/>
        <v>14208585.379900826</v>
      </c>
    </row>
    <row r="651" spans="1:19" ht="15.75" customHeight="1" x14ac:dyDescent="0.3">
      <c r="A651" s="37">
        <v>70768</v>
      </c>
      <c r="B651" s="409">
        <f t="shared" ref="B651:C651" si="657">($A651-B$9)/365.25</f>
        <v>111.87405886379193</v>
      </c>
      <c r="C651" s="409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3525.4531757812501</v>
      </c>
      <c r="H651" s="25">
        <f>IF(B651&lt;62,0,'Combined Retirement'!$I$14)</f>
        <v>2192</v>
      </c>
      <c r="I651" s="25">
        <f>IF(C651&lt;62,0,'Combined Retirement'!$I$13)</f>
        <v>2420</v>
      </c>
      <c r="J651" s="25">
        <f t="shared" si="523"/>
        <v>6404.7404596389215</v>
      </c>
      <c r="K651" s="25">
        <f t="shared" si="524"/>
        <v>16520.094745597391</v>
      </c>
      <c r="L651" s="25"/>
      <c r="N651" s="25">
        <f>'Combined Retirement'!$C$18/12</f>
        <v>33932.660666666663</v>
      </c>
      <c r="O651" s="25">
        <f t="shared" si="525"/>
        <v>11007.82546143035</v>
      </c>
      <c r="P651" s="25">
        <f t="shared" si="526"/>
        <v>22924.835205236312</v>
      </c>
      <c r="Q651" s="25">
        <f t="array" aca="1" ref="Q651" ca="1">INDEX('Isaac 401k'!L:L,MATCH('Retirement Calculator'!A651,'Isaac 401k'!N:N,0),0)</f>
        <v>7128537.8446940361</v>
      </c>
      <c r="R651" s="25">
        <f t="array" aca="1" ref="R651" ca="1">INDEX('Lorri 401b'!L:L,MATCH('Retirement Calculator'!A651,'Lorri 401b'!N:N,0),0)</f>
        <v>7116229.6189377857</v>
      </c>
      <c r="S651" s="25">
        <f t="shared" ca="1" si="527"/>
        <v>14244767.463631822</v>
      </c>
    </row>
    <row r="652" spans="1:19" ht="15.75" customHeight="1" x14ac:dyDescent="0.3">
      <c r="A652" s="37">
        <v>70799</v>
      </c>
      <c r="B652" s="409">
        <f t="shared" ref="B652:C652" si="658">($A652-B$9)/365.25</f>
        <v>111.95893223819301</v>
      </c>
      <c r="C652" s="409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3525.4531757812501</v>
      </c>
      <c r="H652" s="25">
        <f>IF(B652&lt;62,0,'Combined Retirement'!$I$14)</f>
        <v>2192</v>
      </c>
      <c r="I652" s="25">
        <f>IF(C652&lt;62,0,'Combined Retirement'!$I$13)</f>
        <v>2420</v>
      </c>
      <c r="J652" s="25">
        <f t="shared" si="523"/>
        <v>6404.7404596389215</v>
      </c>
      <c r="K652" s="25">
        <f t="shared" si="524"/>
        <v>16520.094745597391</v>
      </c>
      <c r="L652" s="25"/>
      <c r="N652" s="25">
        <f>'Combined Retirement'!$C$18/12</f>
        <v>33932.660666666663</v>
      </c>
      <c r="O652" s="25">
        <f t="shared" si="525"/>
        <v>11007.82546143035</v>
      </c>
      <c r="P652" s="25">
        <f t="shared" si="526"/>
        <v>22924.835205236312</v>
      </c>
      <c r="Q652" s="25">
        <f t="array" aca="1" ref="Q652" ca="1">INDEX('Isaac 401k'!L:L,MATCH('Retirement Calculator'!A652,'Isaac 401k'!N:N,0),0)</f>
        <v>7151808.6588353738</v>
      </c>
      <c r="R652" s="25">
        <f t="array" aca="1" ref="R652" ca="1">INDEX('Lorri 401b'!L:L,MATCH('Retirement Calculator'!A652,'Lorri 401b'!N:N,0),0)</f>
        <v>7129291.6472096555</v>
      </c>
      <c r="S652" s="25">
        <f t="shared" ca="1" si="527"/>
        <v>14281100.306045029</v>
      </c>
    </row>
    <row r="653" spans="1:19" ht="15.75" customHeight="1" x14ac:dyDescent="0.3">
      <c r="A653" s="37">
        <v>70829</v>
      </c>
      <c r="B653" s="409">
        <f t="shared" ref="B653:C653" si="659">($A653-B$9)/365.25</f>
        <v>112.04106776180699</v>
      </c>
      <c r="C653" s="409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3525.4531757812501</v>
      </c>
      <c r="H653" s="25">
        <f>IF(B653&lt;62,0,'Combined Retirement'!$I$14)</f>
        <v>2192</v>
      </c>
      <c r="I653" s="25">
        <f>IF(C653&lt;62,0,'Combined Retirement'!$I$13)</f>
        <v>2420</v>
      </c>
      <c r="J653" s="25">
        <f t="shared" si="523"/>
        <v>6404.7404596389215</v>
      </c>
      <c r="K653" s="25">
        <f t="shared" si="524"/>
        <v>16520.094745597391</v>
      </c>
      <c r="L653" s="25"/>
      <c r="N653" s="25">
        <f>'Combined Retirement'!$C$18/12</f>
        <v>33932.660666666663</v>
      </c>
      <c r="O653" s="25">
        <f t="shared" si="525"/>
        <v>11007.82546143035</v>
      </c>
      <c r="P653" s="25">
        <f t="shared" si="526"/>
        <v>22924.835205236312</v>
      </c>
      <c r="Q653" s="25">
        <f t="array" aca="1" ref="Q653" ca="1">INDEX('Isaac 401k'!L:L,MATCH('Retirement Calculator'!A653,'Isaac 401k'!N:N,0),0)</f>
        <v>7175176.4347023005</v>
      </c>
      <c r="R653" s="25">
        <f t="array" aca="1" ref="R653" ca="1">INDEX('Lorri 401b'!L:L,MATCH('Retirement Calculator'!A653,'Lorri 401b'!N:N,0),0)</f>
        <v>7142408.1005993243</v>
      </c>
      <c r="S653" s="25">
        <f t="shared" ca="1" si="527"/>
        <v>14317584.535301626</v>
      </c>
    </row>
    <row r="654" spans="1:19" ht="15.75" customHeight="1" x14ac:dyDescent="0.3">
      <c r="A654" s="37">
        <v>70860</v>
      </c>
      <c r="B654" s="409">
        <f t="shared" ref="B654:C654" si="660">($A654-B$9)/365.25</f>
        <v>112.12594113620807</v>
      </c>
      <c r="C654" s="409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3525.4531757812501</v>
      </c>
      <c r="H654" s="25">
        <f>IF(B654&lt;62,0,'Combined Retirement'!$I$14)</f>
        <v>2192</v>
      </c>
      <c r="I654" s="25">
        <f>IF(C654&lt;62,0,'Combined Retirement'!$I$13)</f>
        <v>2420</v>
      </c>
      <c r="J654" s="25">
        <f t="shared" si="523"/>
        <v>6404.7404596389215</v>
      </c>
      <c r="K654" s="25">
        <f t="shared" si="524"/>
        <v>16520.094745597391</v>
      </c>
      <c r="L654" s="25"/>
      <c r="N654" s="25">
        <f>'Combined Retirement'!$C$18/12</f>
        <v>33932.660666666663</v>
      </c>
      <c r="O654" s="25">
        <f t="shared" si="525"/>
        <v>11007.82546143035</v>
      </c>
      <c r="P654" s="25">
        <f t="shared" si="526"/>
        <v>22924.835205236312</v>
      </c>
      <c r="Q654" s="25">
        <f t="array" aca="1" ref="Q654" ca="1">INDEX('Isaac 401k'!L:L,MATCH('Retirement Calculator'!A654,'Isaac 401k'!N:N,0),0)</f>
        <v>7198641.5763020059</v>
      </c>
      <c r="R654" s="25">
        <f t="array" aca="1" ref="R654" ca="1">INDEX('Lorri 401b'!L:L,MATCH('Retirement Calculator'!A654,'Lorri 401b'!N:N,0),0)</f>
        <v>7155579.2058781171</v>
      </c>
      <c r="S654" s="25">
        <f t="shared" ca="1" si="527"/>
        <v>14354220.782180123</v>
      </c>
    </row>
    <row r="655" spans="1:19" ht="15.75" customHeight="1" x14ac:dyDescent="0.3">
      <c r="A655" s="37">
        <v>70891</v>
      </c>
      <c r="B655" s="409">
        <f t="shared" ref="B655:C655" si="661">($A655-B$9)/365.25</f>
        <v>112.21081451060917</v>
      </c>
      <c r="C655" s="409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3525.4531757812501</v>
      </c>
      <c r="H655" s="25">
        <f>IF(B655&lt;62,0,'Combined Retirement'!$I$14)</f>
        <v>2192</v>
      </c>
      <c r="I655" s="25">
        <f>IF(C655&lt;62,0,'Combined Retirement'!$I$13)</f>
        <v>2420</v>
      </c>
      <c r="J655" s="25">
        <f t="shared" si="523"/>
        <v>6404.7404596389215</v>
      </c>
      <c r="K655" s="25">
        <f t="shared" si="524"/>
        <v>16520.094745597391</v>
      </c>
      <c r="L655" s="25"/>
      <c r="N655" s="25">
        <f>'Combined Retirement'!$C$18/12</f>
        <v>33932.660666666663</v>
      </c>
      <c r="O655" s="25">
        <f t="shared" si="525"/>
        <v>11007.82546143035</v>
      </c>
      <c r="P655" s="25">
        <f t="shared" si="526"/>
        <v>22924.835205236312</v>
      </c>
      <c r="Q655" s="25">
        <f t="array" aca="1" ref="Q655" ca="1">INDEX('Isaac 401k'!L:L,MATCH('Retirement Calculator'!A655,'Isaac 401k'!N:N,0),0)</f>
        <v>7222204.4893250437</v>
      </c>
      <c r="R655" s="25">
        <f t="array" aca="1" ref="R655" ca="1">INDEX('Lorri 401b'!L:L,MATCH('Retirement Calculator'!A655,'Lorri 401b'!N:N,0),0)</f>
        <v>7168805.1907622386</v>
      </c>
      <c r="S655" s="25">
        <f t="shared" ca="1" si="527"/>
        <v>14391009.680087283</v>
      </c>
    </row>
    <row r="656" spans="1:19" ht="15.75" customHeight="1" x14ac:dyDescent="0.3">
      <c r="A656" s="37">
        <v>70919</v>
      </c>
      <c r="B656" s="409">
        <f t="shared" ref="B656:C656" si="662">($A656-B$9)/365.25</f>
        <v>112.28747433264887</v>
      </c>
      <c r="C656" s="409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3525.4531757812501</v>
      </c>
      <c r="H656" s="25">
        <f>IF(B656&lt;62,0,'Combined Retirement'!$I$14)</f>
        <v>2192</v>
      </c>
      <c r="I656" s="25">
        <f>IF(C656&lt;62,0,'Combined Retirement'!$I$13)</f>
        <v>2420</v>
      </c>
      <c r="J656" s="25">
        <f t="shared" si="523"/>
        <v>6404.7404596389215</v>
      </c>
      <c r="K656" s="25">
        <f t="shared" si="524"/>
        <v>16520.094745597391</v>
      </c>
      <c r="L656" s="25"/>
      <c r="N656" s="25">
        <f>'Combined Retirement'!$C$18/12</f>
        <v>33932.660666666663</v>
      </c>
      <c r="O656" s="25">
        <f t="shared" si="525"/>
        <v>11007.82546143035</v>
      </c>
      <c r="P656" s="25">
        <f t="shared" si="526"/>
        <v>22924.835205236312</v>
      </c>
      <c r="Q656" s="25">
        <f t="array" aca="1" ref="Q656" ca="1">INDEX('Isaac 401k'!L:L,MATCH('Retirement Calculator'!A656,'Isaac 401k'!N:N,0),0)</f>
        <v>7245865.5811523441</v>
      </c>
      <c r="R656" s="25">
        <f t="array" aca="1" ref="R656" ca="1">INDEX('Lorri 401b'!L:L,MATCH('Retirement Calculator'!A656,'Lorri 401b'!N:N,0),0)</f>
        <v>7182086.2839167099</v>
      </c>
      <c r="S656" s="25">
        <f t="shared" ca="1" si="527"/>
        <v>14427951.865069054</v>
      </c>
    </row>
    <row r="657" spans="1:19" ht="15.75" customHeight="1" x14ac:dyDescent="0.3">
      <c r="A657" s="37">
        <v>70950</v>
      </c>
      <c r="B657" s="409">
        <f t="shared" ref="B657:C657" si="663">($A657-B$9)/365.25</f>
        <v>112.37234770704997</v>
      </c>
      <c r="C657" s="409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3525.4531757812501</v>
      </c>
      <c r="H657" s="25">
        <f>IF(B657&lt;62,0,'Combined Retirement'!$I$14)</f>
        <v>2192</v>
      </c>
      <c r="I657" s="25">
        <f>IF(C657&lt;62,0,'Combined Retirement'!$I$13)</f>
        <v>2420</v>
      </c>
      <c r="J657" s="25">
        <f t="shared" si="523"/>
        <v>6404.7404596389215</v>
      </c>
      <c r="K657" s="25">
        <f t="shared" si="524"/>
        <v>16520.094745597391</v>
      </c>
      <c r="L657" s="25"/>
      <c r="N657" s="25">
        <f>'Combined Retirement'!$C$18/12</f>
        <v>33932.660666666663</v>
      </c>
      <c r="O657" s="25">
        <f t="shared" si="525"/>
        <v>11007.82546143035</v>
      </c>
      <c r="P657" s="25">
        <f t="shared" si="526"/>
        <v>22924.835205236312</v>
      </c>
      <c r="Q657" s="25">
        <f t="array" aca="1" ref="Q657" ca="1">INDEX('Isaac 401k'!L:L,MATCH('Retirement Calculator'!A657,'Isaac 401k'!N:N,0),0)</f>
        <v>7269625.2608622583</v>
      </c>
      <c r="R657" s="25">
        <f t="array" aca="1" ref="R657" ca="1">INDEX('Lorri 401b'!L:L,MATCH('Retirement Calculator'!A657,'Lorri 401b'!N:N,0),0)</f>
        <v>7195422.7149593253</v>
      </c>
      <c r="S657" s="25">
        <f t="shared" ca="1" si="527"/>
        <v>14465047.975821584</v>
      </c>
    </row>
    <row r="658" spans="1:19" ht="15.75" customHeight="1" x14ac:dyDescent="0.3">
      <c r="A658" s="37">
        <v>70980</v>
      </c>
      <c r="B658" s="409">
        <f t="shared" ref="B658:C658" si="664">($A658-B$9)/365.25</f>
        <v>112.45448323066393</v>
      </c>
      <c r="C658" s="409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3525.4531757812501</v>
      </c>
      <c r="H658" s="25">
        <f>IF(B658&lt;62,0,'Combined Retirement'!$I$14)</f>
        <v>2192</v>
      </c>
      <c r="I658" s="25">
        <f>IF(C658&lt;62,0,'Combined Retirement'!$I$13)</f>
        <v>2420</v>
      </c>
      <c r="J658" s="25">
        <f t="shared" si="523"/>
        <v>6404.7404596389215</v>
      </c>
      <c r="K658" s="25">
        <f t="shared" si="524"/>
        <v>16520.094745597391</v>
      </c>
      <c r="L658" s="25"/>
      <c r="N658" s="25">
        <f>'Combined Retirement'!$C$18/12</f>
        <v>33932.660666666663</v>
      </c>
      <c r="O658" s="25">
        <f t="shared" si="525"/>
        <v>11007.82546143035</v>
      </c>
      <c r="P658" s="25">
        <f t="shared" si="526"/>
        <v>22924.835205236312</v>
      </c>
      <c r="Q658" s="25">
        <f t="array" aca="1" ref="Q658" ca="1">INDEX('Isaac 401k'!L:L,MATCH('Retirement Calculator'!A658,'Isaac 401k'!N:N,0),0)</f>
        <v>7293483.9392376309</v>
      </c>
      <c r="R658" s="25">
        <f t="array" aca="1" ref="R658" ca="1">INDEX('Lorri 401b'!L:L,MATCH('Retirement Calculator'!A658,'Lorri 401b'!N:N,0),0)</f>
        <v>7208814.7144646179</v>
      </c>
      <c r="S658" s="25">
        <f t="shared" ca="1" si="527"/>
        <v>14502298.653702248</v>
      </c>
    </row>
    <row r="659" spans="1:19" ht="15.75" customHeight="1" x14ac:dyDescent="0.3">
      <c r="A659" s="37">
        <v>71011</v>
      </c>
      <c r="B659" s="409">
        <f t="shared" ref="B659:C659" si="665">($A659-B$9)/365.25</f>
        <v>112.53935660506502</v>
      </c>
      <c r="C659" s="409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3525.4531757812501</v>
      </c>
      <c r="H659" s="25">
        <f>IF(B659&lt;62,0,'Combined Retirement'!$I$14)</f>
        <v>2192</v>
      </c>
      <c r="I659" s="25">
        <f>IF(C659&lt;62,0,'Combined Retirement'!$I$13)</f>
        <v>2420</v>
      </c>
      <c r="J659" s="25">
        <f t="shared" si="523"/>
        <v>6404.7404596389215</v>
      </c>
      <c r="K659" s="25">
        <f t="shared" si="524"/>
        <v>16520.094745597391</v>
      </c>
      <c r="L659" s="25"/>
      <c r="N659" s="25">
        <f>'Combined Retirement'!$C$18/12</f>
        <v>33932.660666666663</v>
      </c>
      <c r="O659" s="25">
        <f t="shared" si="525"/>
        <v>11007.82546143035</v>
      </c>
      <c r="P659" s="25">
        <f t="shared" si="526"/>
        <v>22924.835205236312</v>
      </c>
      <c r="Q659" s="25">
        <f t="array" aca="1" ref="Q659" ca="1">INDEX('Isaac 401k'!L:L,MATCH('Retirement Calculator'!A659,'Isaac 401k'!N:N,0),0)</f>
        <v>7317442.0287729008</v>
      </c>
      <c r="R659" s="25">
        <f t="array" aca="1" ref="R659" ca="1">INDEX('Lorri 401b'!L:L,MATCH('Retirement Calculator'!A659,'Lorri 401b'!N:N,0),0)</f>
        <v>7222262.5139678493</v>
      </c>
      <c r="S659" s="25">
        <f t="shared" ca="1" si="527"/>
        <v>14539704.542740751</v>
      </c>
    </row>
    <row r="660" spans="1:19" ht="15.75" customHeight="1" x14ac:dyDescent="0.3">
      <c r="A660" s="37">
        <v>71041</v>
      </c>
      <c r="B660" s="409">
        <f t="shared" ref="B660:C660" si="666">($A660-B$9)/365.25</f>
        <v>112.62149212867898</v>
      </c>
      <c r="C660" s="409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3525.4531757812501</v>
      </c>
      <c r="H660" s="25">
        <f>IF(B660&lt;62,0,'Combined Retirement'!$I$14)</f>
        <v>2192</v>
      </c>
      <c r="I660" s="25">
        <f>IF(C660&lt;62,0,'Combined Retirement'!$I$13)</f>
        <v>2420</v>
      </c>
      <c r="J660" s="25">
        <f t="shared" si="523"/>
        <v>6404.7404596389215</v>
      </c>
      <c r="K660" s="25">
        <f t="shared" si="524"/>
        <v>16520.094745597391</v>
      </c>
      <c r="L660" s="25"/>
      <c r="N660" s="25">
        <f>'Combined Retirement'!$C$18/12</f>
        <v>33932.660666666663</v>
      </c>
      <c r="O660" s="25">
        <f t="shared" si="525"/>
        <v>11007.82546143035</v>
      </c>
      <c r="P660" s="25">
        <f t="shared" si="526"/>
        <v>22924.835205236312</v>
      </c>
      <c r="Q660" s="25">
        <f t="array" aca="1" ref="Q660" ca="1">INDEX('Isaac 401k'!L:L,MATCH('Retirement Calculator'!A660,'Isaac 401k'!N:N,0),0)</f>
        <v>7341499.9436812345</v>
      </c>
      <c r="R660" s="25">
        <f t="array" aca="1" ref="R660" ca="1">INDEX('Lorri 401b'!L:L,MATCH('Retirement Calculator'!A660,'Lorri 401b'!N:N,0),0)</f>
        <v>7235766.3459690111</v>
      </c>
      <c r="S660" s="25">
        <f t="shared" ca="1" si="527"/>
        <v>14577266.289650247</v>
      </c>
    </row>
    <row r="661" spans="1:19" ht="15.75" customHeight="1" x14ac:dyDescent="0.3">
      <c r="A661" s="37">
        <v>71072</v>
      </c>
      <c r="B661" s="409">
        <f t="shared" ref="B661:C661" si="667">($A661-B$9)/365.25</f>
        <v>112.70636550308008</v>
      </c>
      <c r="C661" s="409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3525.4531757812501</v>
      </c>
      <c r="H661" s="25">
        <f>IF(B661&lt;62,0,'Combined Retirement'!$I$14)</f>
        <v>2192</v>
      </c>
      <c r="I661" s="25">
        <f>IF(C661&lt;62,0,'Combined Retirement'!$I$13)</f>
        <v>2420</v>
      </c>
      <c r="J661" s="25">
        <f t="shared" si="523"/>
        <v>6404.7404596389215</v>
      </c>
      <c r="K661" s="25">
        <f t="shared" si="524"/>
        <v>16520.094745597391</v>
      </c>
      <c r="L661" s="25"/>
      <c r="N661" s="25">
        <f>'Combined Retirement'!$C$18/12</f>
        <v>33932.660666666663</v>
      </c>
      <c r="O661" s="25">
        <f t="shared" si="525"/>
        <v>11007.82546143035</v>
      </c>
      <c r="P661" s="25">
        <f t="shared" si="526"/>
        <v>22924.835205236312</v>
      </c>
      <c r="Q661" s="25">
        <f t="array" aca="1" ref="Q661" ca="1">INDEX('Isaac 401k'!L:L,MATCH('Retirement Calculator'!A661,'Isaac 401k'!N:N,0),0)</f>
        <v>7365658.0999016855</v>
      </c>
      <c r="R661" s="25">
        <f t="array" aca="1" ref="R661" ca="1">INDEX('Lorri 401b'!L:L,MATCH('Retirement Calculator'!A661,'Lorri 401b'!N:N,0),0)</f>
        <v>7249326.4439368444</v>
      </c>
      <c r="S661" s="25">
        <f t="shared" ca="1" si="527"/>
        <v>14614984.543838531</v>
      </c>
    </row>
    <row r="662" spans="1:19" ht="15.75" customHeight="1" x14ac:dyDescent="0.3">
      <c r="A662" s="37">
        <v>71103</v>
      </c>
      <c r="B662" s="409">
        <f t="shared" ref="B662:C662" si="668">($A662-B$9)/365.25</f>
        <v>112.79123887748118</v>
      </c>
      <c r="C662" s="409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3525.4531757812501</v>
      </c>
      <c r="H662" s="25">
        <f>IF(B662&lt;62,0,'Combined Retirement'!$I$14)</f>
        <v>2192</v>
      </c>
      <c r="I662" s="25">
        <f>IF(C662&lt;62,0,'Combined Retirement'!$I$13)</f>
        <v>2420</v>
      </c>
      <c r="J662" s="25">
        <f t="shared" si="523"/>
        <v>6404.7404596389215</v>
      </c>
      <c r="K662" s="25">
        <f t="shared" si="524"/>
        <v>16520.094745597391</v>
      </c>
      <c r="L662" s="25"/>
      <c r="N662" s="25">
        <f>'Combined Retirement'!$C$18/12</f>
        <v>33932.660666666663</v>
      </c>
      <c r="O662" s="25">
        <f t="shared" si="525"/>
        <v>11007.82546143035</v>
      </c>
      <c r="P662" s="25">
        <f t="shared" si="526"/>
        <v>22924.835205236312</v>
      </c>
      <c r="Q662" s="25">
        <f t="array" aca="1" ref="Q662" ca="1">INDEX('Isaac 401k'!L:L,MATCH('Retirement Calculator'!A662,'Isaac 401k'!N:N,0),0)</f>
        <v>7389916.9151063887</v>
      </c>
      <c r="R662" s="25">
        <f t="array" aca="1" ref="R662" ca="1">INDEX('Lorri 401b'!L:L,MATCH('Retirement Calculator'!A662,'Lorri 401b'!N:N,0),0)</f>
        <v>7262943.0423128763</v>
      </c>
      <c r="S662" s="25">
        <f t="shared" ca="1" si="527"/>
        <v>14652859.957419265</v>
      </c>
    </row>
    <row r="663" spans="1:19" ht="15.75" customHeight="1" x14ac:dyDescent="0.3">
      <c r="A663" s="37">
        <v>71133</v>
      </c>
      <c r="B663" s="409">
        <f t="shared" ref="B663:C663" si="669">($A663-B$9)/365.25</f>
        <v>112.87337440109513</v>
      </c>
      <c r="C663" s="409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3525.4531757812501</v>
      </c>
      <c r="H663" s="25">
        <f>IF(B663&lt;62,0,'Combined Retirement'!$I$14)</f>
        <v>2192</v>
      </c>
      <c r="I663" s="25">
        <f>IF(C663&lt;62,0,'Combined Retirement'!$I$13)</f>
        <v>2420</v>
      </c>
      <c r="J663" s="25">
        <f t="shared" si="523"/>
        <v>6404.7404596389215</v>
      </c>
      <c r="K663" s="25">
        <f t="shared" si="524"/>
        <v>16520.094745597391</v>
      </c>
      <c r="L663" s="25"/>
      <c r="N663" s="25">
        <f>'Combined Retirement'!$C$18/12</f>
        <v>33932.660666666663</v>
      </c>
      <c r="O663" s="25">
        <f t="shared" si="525"/>
        <v>11007.82546143035</v>
      </c>
      <c r="P663" s="25">
        <f t="shared" si="526"/>
        <v>22924.835205236312</v>
      </c>
      <c r="Q663" s="25">
        <f t="array" aca="1" ref="Q663" ca="1">INDEX('Isaac 401k'!L:L,MATCH('Retirement Calculator'!A663,'Isaac 401k'!N:N,0),0)</f>
        <v>7414276.8087077783</v>
      </c>
      <c r="R663" s="25">
        <f t="array" aca="1" ref="R663" ca="1">INDEX('Lorri 401b'!L:L,MATCH('Retirement Calculator'!A663,'Lorri 401b'!N:N,0),0)</f>
        <v>7276616.3765154751</v>
      </c>
      <c r="S663" s="25">
        <f t="shared" ca="1" si="527"/>
        <v>14690893.185223253</v>
      </c>
    </row>
    <row r="664" spans="1:19" ht="15.75" customHeight="1" x14ac:dyDescent="0.3">
      <c r="A664" s="37">
        <v>71164</v>
      </c>
      <c r="B664" s="409">
        <f t="shared" ref="B664:C664" si="670">($A664-B$9)/365.25</f>
        <v>112.95824777549623</v>
      </c>
      <c r="C664" s="409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3525.4531757812501</v>
      </c>
      <c r="H664" s="25">
        <f>IF(B664&lt;62,0,'Combined Retirement'!$I$14)</f>
        <v>2192</v>
      </c>
      <c r="I664" s="25">
        <f>IF(C664&lt;62,0,'Combined Retirement'!$I$13)</f>
        <v>2420</v>
      </c>
      <c r="J664" s="25">
        <f t="shared" si="523"/>
        <v>6404.7404596389215</v>
      </c>
      <c r="K664" s="25">
        <f t="shared" si="524"/>
        <v>16520.094745597391</v>
      </c>
      <c r="L664" s="25"/>
      <c r="N664" s="25">
        <f>'Combined Retirement'!$C$18/12</f>
        <v>33932.660666666663</v>
      </c>
      <c r="O664" s="25">
        <f t="shared" si="525"/>
        <v>11007.82546143035</v>
      </c>
      <c r="P664" s="25">
        <f t="shared" si="526"/>
        <v>22924.835205236312</v>
      </c>
      <c r="Q664" s="25">
        <f t="array" aca="1" ref="Q664" ca="1">INDEX('Isaac 401k'!L:L,MATCH('Retirement Calculator'!A664,'Isaac 401k'!N:N,0),0)</f>
        <v>7438738.2018658407</v>
      </c>
      <c r="R664" s="25">
        <f t="array" aca="1" ref="R664" ca="1">INDEX('Lorri 401b'!L:L,MATCH('Retirement Calculator'!A664,'Lorri 401b'!N:N,0),0)</f>
        <v>7290346.6829439187</v>
      </c>
      <c r="S664" s="25">
        <f t="shared" ca="1" si="527"/>
        <v>14729084.884809759</v>
      </c>
    </row>
    <row r="665" spans="1:19" ht="15.75" customHeight="1" x14ac:dyDescent="0.3">
      <c r="A665" s="37">
        <v>71194</v>
      </c>
      <c r="B665" s="409">
        <f t="shared" ref="B665:C665" si="671">($A665-B$9)/365.25</f>
        <v>113.0403832991102</v>
      </c>
      <c r="C665" s="409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3525.4531757812501</v>
      </c>
      <c r="H665" s="25">
        <f>IF(B665&lt;62,0,'Combined Retirement'!$I$14)</f>
        <v>2192</v>
      </c>
      <c r="I665" s="25">
        <f>IF(C665&lt;62,0,'Combined Retirement'!$I$13)</f>
        <v>2420</v>
      </c>
      <c r="J665" s="25">
        <f t="shared" si="523"/>
        <v>6404.7404596389215</v>
      </c>
      <c r="K665" s="25">
        <f t="shared" si="524"/>
        <v>16520.094745597391</v>
      </c>
      <c r="L665" s="25"/>
      <c r="N665" s="25">
        <f>'Combined Retirement'!$C$18/12</f>
        <v>33932.660666666663</v>
      </c>
      <c r="O665" s="25">
        <f t="shared" si="525"/>
        <v>11007.82546143035</v>
      </c>
      <c r="P665" s="25">
        <f t="shared" si="526"/>
        <v>22924.835205236312</v>
      </c>
      <c r="Q665" s="25">
        <f t="array" aca="1" ref="Q665" ca="1">INDEX('Isaac 401k'!L:L,MATCH('Retirement Calculator'!A665,'Isaac 401k'!N:N,0),0)</f>
        <v>7463301.5174953947</v>
      </c>
      <c r="R665" s="25">
        <f t="array" aca="1" ref="R665" ca="1">INDEX('Lorri 401b'!L:L,MATCH('Retirement Calculator'!A665,'Lorri 401b'!N:N,0),0)</f>
        <v>7304134.1989824809</v>
      </c>
      <c r="S665" s="25">
        <f t="shared" ca="1" si="527"/>
        <v>14767435.716477875</v>
      </c>
    </row>
    <row r="666" spans="1:19" ht="15.75" customHeight="1" x14ac:dyDescent="0.3">
      <c r="A666" s="37">
        <v>71225</v>
      </c>
      <c r="B666" s="409">
        <f t="shared" ref="B666:C666" si="672">($A666-B$9)/365.25</f>
        <v>113.12525667351129</v>
      </c>
      <c r="C666" s="409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3525.4531757812501</v>
      </c>
      <c r="H666" s="25">
        <f>IF(B666&lt;62,0,'Combined Retirement'!$I$14)</f>
        <v>2192</v>
      </c>
      <c r="I666" s="25">
        <f>IF(C666&lt;62,0,'Combined Retirement'!$I$13)</f>
        <v>2420</v>
      </c>
      <c r="J666" s="25">
        <f t="shared" si="523"/>
        <v>6404.7404596389215</v>
      </c>
      <c r="K666" s="25">
        <f t="shared" si="524"/>
        <v>16520.094745597391</v>
      </c>
      <c r="L666" s="25"/>
      <c r="N666" s="25">
        <f>'Combined Retirement'!$C$18/12</f>
        <v>33932.660666666663</v>
      </c>
      <c r="O666" s="25">
        <f t="shared" si="525"/>
        <v>11007.82546143035</v>
      </c>
      <c r="P666" s="25">
        <f t="shared" si="526"/>
        <v>22924.835205236312</v>
      </c>
      <c r="Q666" s="25">
        <f t="array" aca="1" ref="Q666" ca="1">INDEX('Isaac 401k'!L:L,MATCH('Retirement Calculator'!A666,'Isaac 401k'!N:N,0),0)</f>
        <v>7487967.1802734053</v>
      </c>
      <c r="R666" s="25">
        <f t="array" aca="1" ref="R666" ca="1">INDEX('Lorri 401b'!L:L,MATCH('Retirement Calculator'!A666,'Lorri 401b'!N:N,0),0)</f>
        <v>7317979.1630045371</v>
      </c>
      <c r="S666" s="25">
        <f t="shared" ca="1" si="527"/>
        <v>14805946.343277942</v>
      </c>
    </row>
    <row r="667" spans="1:19" ht="15.75" customHeight="1" x14ac:dyDescent="0.3">
      <c r="A667" s="37">
        <v>71256</v>
      </c>
      <c r="B667" s="409">
        <f t="shared" ref="B667:C667" si="673">($A667-B$9)/365.25</f>
        <v>113.21013004791239</v>
      </c>
      <c r="C667" s="409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3525.4531757812501</v>
      </c>
      <c r="H667" s="25">
        <f>IF(B667&lt;62,0,'Combined Retirement'!$I$14)</f>
        <v>2192</v>
      </c>
      <c r="I667" s="25">
        <f>IF(C667&lt;62,0,'Combined Retirement'!$I$13)</f>
        <v>2420</v>
      </c>
      <c r="J667" s="25">
        <f t="shared" si="523"/>
        <v>6404.7404596389215</v>
      </c>
      <c r="K667" s="25">
        <f t="shared" si="524"/>
        <v>16520.094745597391</v>
      </c>
      <c r="L667" s="25"/>
      <c r="N667" s="25">
        <f>'Combined Retirement'!$C$18/12</f>
        <v>33932.660666666663</v>
      </c>
      <c r="O667" s="25">
        <f t="shared" si="525"/>
        <v>11007.82546143035</v>
      </c>
      <c r="P667" s="25">
        <f t="shared" si="526"/>
        <v>22924.835205236312</v>
      </c>
      <c r="Q667" s="25">
        <f t="array" aca="1" ref="Q667" ca="1">INDEX('Isaac 401k'!L:L,MATCH('Retirement Calculator'!A667,'Isaac 401k'!N:N,0),0)</f>
        <v>7512735.6166463243</v>
      </c>
      <c r="R667" s="25">
        <f t="array" aca="1" ref="R667" ca="1">INDEX('Lorri 401b'!L:L,MATCH('Retirement Calculator'!A667,'Lorri 401b'!N:N,0),0)</f>
        <v>7331881.8143766848</v>
      </c>
      <c r="S667" s="25">
        <f t="shared" ca="1" si="527"/>
        <v>14844617.431023009</v>
      </c>
    </row>
    <row r="668" spans="1:19" ht="15.75" customHeight="1" x14ac:dyDescent="0.3">
      <c r="A668" s="37">
        <v>71284</v>
      </c>
      <c r="B668" s="409">
        <f t="shared" ref="B668:C668" si="674">($A668-B$9)/365.25</f>
        <v>113.28678986995209</v>
      </c>
      <c r="C668" s="409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3525.4531757812501</v>
      </c>
      <c r="H668" s="25">
        <f>IF(B668&lt;62,0,'Combined Retirement'!$I$14)</f>
        <v>2192</v>
      </c>
      <c r="I668" s="25">
        <f>IF(C668&lt;62,0,'Combined Retirement'!$I$13)</f>
        <v>2420</v>
      </c>
      <c r="J668" s="25">
        <f t="shared" si="523"/>
        <v>6404.7404596389215</v>
      </c>
      <c r="K668" s="25">
        <f t="shared" si="524"/>
        <v>16520.094745597391</v>
      </c>
      <c r="L668" s="25"/>
      <c r="N668" s="25">
        <f>'Combined Retirement'!$C$18/12</f>
        <v>33932.660666666663</v>
      </c>
      <c r="O668" s="25">
        <f t="shared" si="525"/>
        <v>11007.82546143035</v>
      </c>
      <c r="P668" s="25">
        <f t="shared" si="526"/>
        <v>22924.835205236312</v>
      </c>
      <c r="Q668" s="25">
        <f t="array" aca="1" ref="Q668" ca="1">INDEX('Isaac 401k'!L:L,MATCH('Retirement Calculator'!A668,'Isaac 401k'!N:N,0),0)</f>
        <v>7537607.2548374636</v>
      </c>
      <c r="R668" s="25">
        <f t="array" aca="1" ref="R668" ca="1">INDEX('Lorri 401b'!L:L,MATCH('Retirement Calculator'!A668,'Lorri 401b'!N:N,0),0)</f>
        <v>7345842.3934628833</v>
      </c>
      <c r="S668" s="25">
        <f t="shared" ca="1" si="527"/>
        <v>14883449.648300346</v>
      </c>
    </row>
    <row r="669" spans="1:19" ht="15.75" customHeight="1" x14ac:dyDescent="0.3">
      <c r="A669" s="37">
        <v>71315</v>
      </c>
      <c r="B669" s="409">
        <f t="shared" ref="B669:C669" si="675">($A669-B$9)/365.25</f>
        <v>113.37166324435319</v>
      </c>
      <c r="C669" s="409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3525.4531757812501</v>
      </c>
      <c r="H669" s="25">
        <f>IF(B669&lt;62,0,'Combined Retirement'!$I$14)</f>
        <v>2192</v>
      </c>
      <c r="I669" s="25">
        <f>IF(C669&lt;62,0,'Combined Retirement'!$I$13)</f>
        <v>2420</v>
      </c>
      <c r="J669" s="25">
        <f t="shared" si="523"/>
        <v>6404.7404596389215</v>
      </c>
      <c r="K669" s="25">
        <f t="shared" si="524"/>
        <v>16520.094745597391</v>
      </c>
      <c r="L669" s="25"/>
      <c r="N669" s="25">
        <f>'Combined Retirement'!$C$18/12</f>
        <v>33932.660666666663</v>
      </c>
      <c r="O669" s="25">
        <f t="shared" si="525"/>
        <v>11007.82546143035</v>
      </c>
      <c r="P669" s="25">
        <f t="shared" si="526"/>
        <v>22924.835205236312</v>
      </c>
      <c r="Q669" s="25">
        <f t="array" aca="1" ref="Q669" ca="1">INDEX('Isaac 401k'!L:L,MATCH('Retirement Calculator'!A669,'Isaac 401k'!N:N,0),0)</f>
        <v>7562582.5248543993</v>
      </c>
      <c r="R669" s="25">
        <f t="array" aca="1" ref="R669" ca="1">INDEX('Lorri 401b'!L:L,MATCH('Retirement Calculator'!A669,'Lorri 401b'!N:N,0),0)</f>
        <v>7359861.1416286072</v>
      </c>
      <c r="S669" s="25">
        <f t="shared" ca="1" si="527"/>
        <v>14922443.666483007</v>
      </c>
    </row>
    <row r="670" spans="1:19" ht="15.75" customHeight="1" x14ac:dyDescent="0.3">
      <c r="A670" s="37">
        <v>71345</v>
      </c>
      <c r="B670" s="409">
        <f t="shared" ref="B670:C670" si="676">($A670-B$9)/365.25</f>
        <v>113.45379876796714</v>
      </c>
      <c r="C670" s="409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3525.4531757812501</v>
      </c>
      <c r="H670" s="25">
        <f>IF(B670&lt;62,0,'Combined Retirement'!$I$14)</f>
        <v>2192</v>
      </c>
      <c r="I670" s="25">
        <f>IF(C670&lt;62,0,'Combined Retirement'!$I$13)</f>
        <v>2420</v>
      </c>
      <c r="J670" s="25">
        <f t="shared" si="523"/>
        <v>6404.7404596389215</v>
      </c>
      <c r="K670" s="25">
        <f t="shared" si="524"/>
        <v>16520.094745597391</v>
      </c>
      <c r="L670" s="25"/>
      <c r="N670" s="25">
        <f>'Combined Retirement'!$C$18/12</f>
        <v>33932.660666666663</v>
      </c>
      <c r="O670" s="25">
        <f t="shared" si="525"/>
        <v>11007.82546143035</v>
      </c>
      <c r="P670" s="25">
        <f t="shared" si="526"/>
        <v>22924.835205236312</v>
      </c>
      <c r="Q670" s="25">
        <f t="array" aca="1" ref="Q670" ca="1">INDEX('Isaac 401k'!L:L,MATCH('Retirement Calculator'!A670,'Isaac 401k'!N:N,0),0)</f>
        <v>7587661.8584964052</v>
      </c>
      <c r="R670" s="25">
        <f t="array" aca="1" ref="R670" ca="1">INDEX('Lorri 401b'!L:L,MATCH('Retirement Calculator'!A670,'Lorri 401b'!N:N,0),0)</f>
        <v>7373938.3012450216</v>
      </c>
      <c r="S670" s="25">
        <f t="shared" ca="1" si="527"/>
        <v>14961600.159741428</v>
      </c>
    </row>
    <row r="671" spans="1:19" ht="15.75" customHeight="1" x14ac:dyDescent="0.3">
      <c r="A671" s="37">
        <v>71376</v>
      </c>
      <c r="B671" s="409">
        <f t="shared" ref="B671:C671" si="677">($A671-B$9)/365.25</f>
        <v>113.53867214236824</v>
      </c>
      <c r="C671" s="409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3525.4531757812501</v>
      </c>
      <c r="H671" s="25">
        <f>IF(B671&lt;62,0,'Combined Retirement'!$I$14)</f>
        <v>2192</v>
      </c>
      <c r="I671" s="25">
        <f>IF(C671&lt;62,0,'Combined Retirement'!$I$13)</f>
        <v>2420</v>
      </c>
      <c r="J671" s="25">
        <f t="shared" si="523"/>
        <v>6404.7404596389215</v>
      </c>
      <c r="K671" s="25">
        <f t="shared" si="524"/>
        <v>16520.094745597391</v>
      </c>
      <c r="L671" s="25"/>
      <c r="N671" s="25">
        <f>'Combined Retirement'!$C$18/12</f>
        <v>33932.660666666663</v>
      </c>
      <c r="O671" s="25">
        <f t="shared" si="525"/>
        <v>11007.82546143035</v>
      </c>
      <c r="P671" s="25">
        <f t="shared" si="526"/>
        <v>22924.835205236312</v>
      </c>
      <c r="Q671" s="25">
        <f t="array" aca="1" ref="Q671" ca="1">INDEX('Isaac 401k'!L:L,MATCH('Retirement Calculator'!A671,'Isaac 401k'!N:N,0),0)</f>
        <v>7612845.6893619196</v>
      </c>
      <c r="R671" s="25">
        <f t="array" aca="1" ref="R671" ca="1">INDEX('Lorri 401b'!L:L,MATCH('Retirement Calculator'!A671,'Lorri 401b'!N:N,0),0)</f>
        <v>7388074.1156931715</v>
      </c>
      <c r="S671" s="25">
        <f t="shared" ca="1" si="527"/>
        <v>15000919.805055091</v>
      </c>
    </row>
    <row r="672" spans="1:19" ht="15.75" customHeight="1" x14ac:dyDescent="0.3">
      <c r="A672" s="37">
        <v>71406</v>
      </c>
      <c r="B672" s="409">
        <f t="shared" ref="B672:C672" si="678">($A672-B$9)/365.25</f>
        <v>113.6208076659822</v>
      </c>
      <c r="C672" s="409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3525.4531757812501</v>
      </c>
      <c r="H672" s="25">
        <f>IF(B672&lt;62,0,'Combined Retirement'!$I$14)</f>
        <v>2192</v>
      </c>
      <c r="I672" s="25">
        <f>IF(C672&lt;62,0,'Combined Retirement'!$I$13)</f>
        <v>2420</v>
      </c>
      <c r="J672" s="25">
        <f t="shared" si="523"/>
        <v>6404.7404596389215</v>
      </c>
      <c r="K672" s="25">
        <f t="shared" si="524"/>
        <v>16520.094745597391</v>
      </c>
      <c r="L672" s="25"/>
      <c r="N672" s="25">
        <f>'Combined Retirement'!$C$18/12</f>
        <v>33932.660666666663</v>
      </c>
      <c r="O672" s="25">
        <f t="shared" si="525"/>
        <v>11007.82546143035</v>
      </c>
      <c r="P672" s="25">
        <f t="shared" si="526"/>
        <v>22924.835205236312</v>
      </c>
      <c r="Q672" s="25">
        <f t="array" aca="1" ref="Q672" ca="1">INDEX('Isaac 401k'!L:L,MATCH('Retirement Calculator'!A672,'Isaac 401k'!N:N,0),0)</f>
        <v>7638134.4528560406</v>
      </c>
      <c r="R672" s="25">
        <f t="array" aca="1" ref="R672" ca="1">INDEX('Lorri 401b'!L:L,MATCH('Retirement Calculator'!A672,'Lorri 401b'!N:N,0),0)</f>
        <v>7402268.829368189</v>
      </c>
      <c r="S672" s="25">
        <f t="shared" ca="1" si="527"/>
        <v>15040403.28222423</v>
      </c>
    </row>
    <row r="673" spans="1:19" ht="15.75" customHeight="1" x14ac:dyDescent="0.3">
      <c r="A673" s="37">
        <v>71437</v>
      </c>
      <c r="B673" s="409">
        <f t="shared" ref="B673:C673" si="679">($A673-B$9)/365.25</f>
        <v>113.7056810403833</v>
      </c>
      <c r="C673" s="409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3525.4531757812501</v>
      </c>
      <c r="H673" s="25">
        <f>IF(B673&lt;62,0,'Combined Retirement'!$I$14)</f>
        <v>2192</v>
      </c>
      <c r="I673" s="25">
        <f>IF(C673&lt;62,0,'Combined Retirement'!$I$13)</f>
        <v>2420</v>
      </c>
      <c r="J673" s="25">
        <f t="shared" si="523"/>
        <v>6404.7404596389215</v>
      </c>
      <c r="K673" s="25">
        <f t="shared" si="524"/>
        <v>16520.094745597391</v>
      </c>
      <c r="L673" s="25"/>
      <c r="N673" s="25">
        <f>'Combined Retirement'!$C$18/12</f>
        <v>33932.660666666663</v>
      </c>
      <c r="O673" s="25">
        <f t="shared" si="525"/>
        <v>11007.82546143035</v>
      </c>
      <c r="P673" s="25">
        <f t="shared" si="526"/>
        <v>22924.835205236312</v>
      </c>
      <c r="Q673" s="25">
        <f t="array" aca="1" ref="Q673" ca="1">INDEX('Isaac 401k'!L:L,MATCH('Retirement Calculator'!A673,'Isaac 401k'!N:N,0),0)</f>
        <v>7663528.5861980533</v>
      </c>
      <c r="R673" s="25">
        <f t="array" aca="1" ref="R673" ca="1">INDEX('Lorri 401b'!L:L,MATCH('Retirement Calculator'!A673,'Lorri 401b'!N:N,0),0)</f>
        <v>7416522.687683519</v>
      </c>
      <c r="S673" s="25">
        <f t="shared" ca="1" si="527"/>
        <v>15080051.273881573</v>
      </c>
    </row>
    <row r="674" spans="1:19" ht="15.75" customHeight="1" x14ac:dyDescent="0.3">
      <c r="A674" s="37">
        <v>71468</v>
      </c>
      <c r="B674" s="409">
        <f t="shared" ref="B674:C674" si="680">($A674-B$9)/365.25</f>
        <v>113.7905544147844</v>
      </c>
      <c r="C674" s="409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3525.4531757812501</v>
      </c>
      <c r="H674" s="25">
        <f>IF(B674&lt;62,0,'Combined Retirement'!$I$14)</f>
        <v>2192</v>
      </c>
      <c r="I674" s="25">
        <f>IF(C674&lt;62,0,'Combined Retirement'!$I$13)</f>
        <v>2420</v>
      </c>
      <c r="J674" s="25">
        <f t="shared" si="523"/>
        <v>6404.7404596389215</v>
      </c>
      <c r="K674" s="25">
        <f t="shared" si="524"/>
        <v>16520.094745597391</v>
      </c>
      <c r="L674" s="25"/>
      <c r="N674" s="25">
        <f>'Combined Retirement'!$C$18/12</f>
        <v>33932.660666666663</v>
      </c>
      <c r="O674" s="25">
        <f t="shared" si="525"/>
        <v>11007.82546143035</v>
      </c>
      <c r="P674" s="25">
        <f t="shared" si="526"/>
        <v>22924.835205236312</v>
      </c>
      <c r="Q674" s="25">
        <f t="array" aca="1" ref="Q674" ca="1">INDEX('Isaac 401k'!L:L,MATCH('Retirement Calculator'!A674,'Isaac 401k'!N:N,0),0)</f>
        <v>7689028.5284289913</v>
      </c>
      <c r="R674" s="25">
        <f t="array" aca="1" ref="R674" ca="1">INDEX('Lorri 401b'!L:L,MATCH('Retirement Calculator'!A674,'Lorri 401b'!N:N,0),0)</f>
        <v>7430835.9370751623</v>
      </c>
      <c r="S674" s="25">
        <f t="shared" ca="1" si="527"/>
        <v>15119864.465504155</v>
      </c>
    </row>
    <row r="675" spans="1:19" ht="15.75" customHeight="1" x14ac:dyDescent="0.3">
      <c r="A675" s="37">
        <v>71498</v>
      </c>
      <c r="B675" s="409">
        <f t="shared" ref="B675:C675" si="681">($A675-B$9)/365.25</f>
        <v>113.87268993839835</v>
      </c>
      <c r="C675" s="409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3525.4531757812501</v>
      </c>
      <c r="H675" s="25">
        <f>IF(B675&lt;62,0,'Combined Retirement'!$I$14)</f>
        <v>2192</v>
      </c>
      <c r="I675" s="25">
        <f>IF(C675&lt;62,0,'Combined Retirement'!$I$13)</f>
        <v>2420</v>
      </c>
      <c r="J675" s="25">
        <f t="shared" si="523"/>
        <v>6404.7404596389215</v>
      </c>
      <c r="K675" s="25">
        <f t="shared" si="524"/>
        <v>16520.094745597391</v>
      </c>
      <c r="L675" s="25"/>
      <c r="N675" s="25">
        <f>'Combined Retirement'!$C$18/12</f>
        <v>33932.660666666663</v>
      </c>
      <c r="O675" s="25">
        <f t="shared" si="525"/>
        <v>11007.82546143035</v>
      </c>
      <c r="P675" s="25">
        <f t="shared" si="526"/>
        <v>22924.835205236312</v>
      </c>
      <c r="Q675" s="25">
        <f t="array" aca="1" ref="Q675" ca="1">INDEX('Isaac 401k'!L:L,MATCH('Retirement Calculator'!A675,'Isaac 401k'!N:N,0),0)</f>
        <v>7714634.7204192253</v>
      </c>
      <c r="R675" s="25">
        <f t="array" aca="1" ref="R675" ca="1">INDEX('Lorri 401b'!L:L,MATCH('Retirement Calculator'!A675,'Lorri 401b'!N:N,0),0)</f>
        <v>7445208.8250059374</v>
      </c>
      <c r="S675" s="25">
        <f t="shared" ca="1" si="527"/>
        <v>15159843.545425162</v>
      </c>
    </row>
    <row r="676" spans="1:19" ht="15.75" customHeight="1" x14ac:dyDescent="0.3">
      <c r="A676" s="37">
        <v>71529</v>
      </c>
      <c r="B676" s="409">
        <f t="shared" ref="B676:C676" si="682">($A676-B$9)/365.25</f>
        <v>113.95756331279945</v>
      </c>
      <c r="C676" s="409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3525.4531757812501</v>
      </c>
      <c r="H676" s="25">
        <f>IF(B676&lt;62,0,'Combined Retirement'!$I$14)</f>
        <v>2192</v>
      </c>
      <c r="I676" s="25">
        <f>IF(C676&lt;62,0,'Combined Retirement'!$I$13)</f>
        <v>2420</v>
      </c>
      <c r="J676" s="25">
        <f t="shared" si="523"/>
        <v>6404.7404596389215</v>
      </c>
      <c r="K676" s="25">
        <f t="shared" si="524"/>
        <v>16520.094745597391</v>
      </c>
      <c r="L676" s="25"/>
      <c r="N676" s="25">
        <f>'Combined Retirement'!$C$18/12</f>
        <v>33932.660666666663</v>
      </c>
      <c r="O676" s="25">
        <f t="shared" si="525"/>
        <v>11007.82546143035</v>
      </c>
      <c r="P676" s="25">
        <f t="shared" si="526"/>
        <v>22924.835205236312</v>
      </c>
      <c r="Q676" s="25">
        <f t="array" aca="1" ref="Q676" ca="1">INDEX('Isaac 401k'!L:L,MATCH('Retirement Calculator'!A676,'Isaac 401k'!N:N,0),0)</f>
        <v>7740347.6048760852</v>
      </c>
      <c r="R676" s="25">
        <f t="array" aca="1" ref="R676" ca="1">INDEX('Lorri 401b'!L:L,MATCH('Retirement Calculator'!A676,'Lorri 401b'!N:N,0),0)</f>
        <v>7459641.5999697577</v>
      </c>
      <c r="S676" s="25">
        <f t="shared" ca="1" si="527"/>
        <v>15199989.204845842</v>
      </c>
    </row>
    <row r="677" spans="1:19" ht="15.75" customHeight="1" x14ac:dyDescent="0.3">
      <c r="A677" s="37">
        <v>71559</v>
      </c>
      <c r="B677" s="409">
        <f t="shared" ref="B677:C677" si="683">($A677-B$9)/365.25</f>
        <v>114.03969883641342</v>
      </c>
      <c r="C677" s="409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3525.4531757812501</v>
      </c>
      <c r="H677" s="25">
        <f>IF(B677&lt;62,0,'Combined Retirement'!$I$14)</f>
        <v>2192</v>
      </c>
      <c r="I677" s="25">
        <f>IF(C677&lt;62,0,'Combined Retirement'!$I$13)</f>
        <v>2420</v>
      </c>
      <c r="J677" s="25">
        <f t="shared" si="523"/>
        <v>6404.7404596389215</v>
      </c>
      <c r="K677" s="25">
        <f t="shared" si="524"/>
        <v>16520.094745597391</v>
      </c>
      <c r="L677" s="25"/>
      <c r="N677" s="25">
        <f>'Combined Retirement'!$C$18/12</f>
        <v>33932.660666666663</v>
      </c>
      <c r="O677" s="25">
        <f t="shared" si="525"/>
        <v>11007.82546143035</v>
      </c>
      <c r="P677" s="25">
        <f t="shared" si="526"/>
        <v>22924.835205236312</v>
      </c>
      <c r="Q677" s="25">
        <f t="array" aca="1" ref="Q677" ca="1">INDEX('Isaac 401k'!L:L,MATCH('Retirement Calculator'!A677,'Isaac 401k'!N:N,0),0)</f>
        <v>7766167.6263515148</v>
      </c>
      <c r="R677" s="25">
        <f t="array" aca="1" ref="R677" ca="1">INDEX('Lorri 401b'!L:L,MATCH('Retirement Calculator'!A677,'Lorri 401b'!N:N,0),0)</f>
        <v>7474134.5114959273</v>
      </c>
      <c r="S677" s="25">
        <f t="shared" ca="1" si="527"/>
        <v>15240302.137847442</v>
      </c>
    </row>
    <row r="678" spans="1:19" ht="15.75" customHeight="1" x14ac:dyDescent="0.3">
      <c r="A678" s="37">
        <v>71590</v>
      </c>
      <c r="B678" s="409">
        <f t="shared" ref="B678:C678" si="684">($A678-B$9)/365.25</f>
        <v>114.12457221081451</v>
      </c>
      <c r="C678" s="409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3525.4531757812501</v>
      </c>
      <c r="H678" s="25">
        <f>IF(B678&lt;62,0,'Combined Retirement'!$I$14)</f>
        <v>2192</v>
      </c>
      <c r="I678" s="25">
        <f>IF(C678&lt;62,0,'Combined Retirement'!$I$13)</f>
        <v>2420</v>
      </c>
      <c r="J678" s="25">
        <f t="shared" si="523"/>
        <v>6404.7404596389215</v>
      </c>
      <c r="K678" s="25">
        <f t="shared" si="524"/>
        <v>16520.094745597391</v>
      </c>
      <c r="L678" s="25"/>
      <c r="N678" s="25">
        <f>'Combined Retirement'!$C$18/12</f>
        <v>33932.660666666663</v>
      </c>
      <c r="O678" s="25">
        <f t="shared" si="525"/>
        <v>11007.82546143035</v>
      </c>
      <c r="P678" s="25">
        <f t="shared" si="526"/>
        <v>22924.835205236312</v>
      </c>
      <c r="Q678" s="25">
        <f t="array" aca="1" ref="Q678" ca="1">INDEX('Isaac 401k'!L:L,MATCH('Retirement Calculator'!A678,'Isaac 401k'!N:N,0),0)</f>
        <v>7792095.231249759</v>
      </c>
      <c r="R678" s="25">
        <f t="array" aca="1" ref="R678" ca="1">INDEX('Lorri 401b'!L:L,MATCH('Retirement Calculator'!A678,'Lorri 401b'!N:N,0),0)</f>
        <v>7488687.8101534555</v>
      </c>
      <c r="S678" s="25">
        <f t="shared" ca="1" si="527"/>
        <v>15280783.041403215</v>
      </c>
    </row>
    <row r="679" spans="1:19" ht="15.75" customHeight="1" x14ac:dyDescent="0.3">
      <c r="A679" s="37">
        <v>71621</v>
      </c>
      <c r="B679" s="409">
        <f t="shared" ref="B679:C679" si="685">($A679-B$9)/365.25</f>
        <v>114.2094455852156</v>
      </c>
      <c r="C679" s="409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3525.4531757812501</v>
      </c>
      <c r="H679" s="25">
        <f>IF(B679&lt;62,0,'Combined Retirement'!$I$14)</f>
        <v>2192</v>
      </c>
      <c r="I679" s="25">
        <f>IF(C679&lt;62,0,'Combined Retirement'!$I$13)</f>
        <v>2420</v>
      </c>
      <c r="J679" s="25">
        <f t="shared" si="523"/>
        <v>6404.7404596389215</v>
      </c>
      <c r="K679" s="25">
        <f t="shared" si="524"/>
        <v>16520.094745597391</v>
      </c>
      <c r="L679" s="25"/>
      <c r="N679" s="25">
        <f>'Combined Retirement'!$C$18/12</f>
        <v>33932.660666666663</v>
      </c>
      <c r="O679" s="25">
        <f t="shared" si="525"/>
        <v>11007.82546143035</v>
      </c>
      <c r="P679" s="25">
        <f t="shared" si="526"/>
        <v>22924.835205236312</v>
      </c>
      <c r="Q679" s="25">
        <f t="array" aca="1" ref="Q679" ca="1">INDEX('Isaac 401k'!L:L,MATCH('Retirement Calculator'!A679,'Isaac 401k'!N:N,0),0)</f>
        <v>7818130.8678350793</v>
      </c>
      <c r="R679" s="25">
        <f t="array" aca="1" ref="R679" ca="1">INDEX('Lorri 401b'!L:L,MATCH('Retirement Calculator'!A679,'Lorri 401b'!N:N,0),0)</f>
        <v>7503301.74755539</v>
      </c>
      <c r="S679" s="25">
        <f t="shared" ca="1" si="527"/>
        <v>15321432.615390468</v>
      </c>
    </row>
    <row r="680" spans="1:19" ht="15.75" customHeight="1" x14ac:dyDescent="0.3">
      <c r="A680" s="37">
        <v>71650</v>
      </c>
      <c r="B680" s="409">
        <f t="shared" ref="B680:C680" si="686">($A680-B$9)/365.25</f>
        <v>114.28884325804243</v>
      </c>
      <c r="C680" s="409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3525.4531757812501</v>
      </c>
      <c r="H680" s="25">
        <f>IF(B680&lt;62,0,'Combined Retirement'!$I$14)</f>
        <v>2192</v>
      </c>
      <c r="I680" s="25">
        <f>IF(C680&lt;62,0,'Combined Retirement'!$I$13)</f>
        <v>2420</v>
      </c>
      <c r="J680" s="25">
        <f t="shared" si="523"/>
        <v>6404.7404596389215</v>
      </c>
      <c r="K680" s="25">
        <f t="shared" si="524"/>
        <v>16520.094745597391</v>
      </c>
      <c r="L680" s="25"/>
      <c r="N680" s="25">
        <f>'Combined Retirement'!$C$18/12</f>
        <v>33932.660666666663</v>
      </c>
      <c r="O680" s="25">
        <f t="shared" si="525"/>
        <v>11007.82546143035</v>
      </c>
      <c r="P680" s="25">
        <f t="shared" si="526"/>
        <v>22924.835205236312</v>
      </c>
      <c r="Q680" s="25">
        <f t="array" aca="1" ref="Q680" ca="1">INDEX('Isaac 401k'!L:L,MATCH('Retirement Calculator'!A680,'Isaac 401k'!N:N,0),0)</f>
        <v>7844274.986239505</v>
      </c>
      <c r="R680" s="25">
        <f t="array" aca="1" ref="R680" ca="1">INDEX('Lorri 401b'!L:L,MATCH('Retirement Calculator'!A680,'Lorri 401b'!N:N,0),0)</f>
        <v>7517976.5763631668</v>
      </c>
      <c r="S680" s="25">
        <f t="shared" ca="1" si="527"/>
        <v>15362251.562602673</v>
      </c>
    </row>
    <row r="681" spans="1:19" ht="15.75" customHeight="1" x14ac:dyDescent="0.3">
      <c r="A681" s="37">
        <v>71681</v>
      </c>
      <c r="B681" s="409">
        <f t="shared" ref="B681:C681" si="687">($A681-B$9)/365.25</f>
        <v>114.37371663244353</v>
      </c>
      <c r="C681" s="409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3525.4531757812501</v>
      </c>
      <c r="H681" s="25">
        <f>IF(B681&lt;62,0,'Combined Retirement'!$I$14)</f>
        <v>2192</v>
      </c>
      <c r="I681" s="25">
        <f>IF(C681&lt;62,0,'Combined Retirement'!$I$13)</f>
        <v>2420</v>
      </c>
      <c r="J681" s="25">
        <f t="shared" si="523"/>
        <v>6404.7404596389215</v>
      </c>
      <c r="K681" s="25">
        <f t="shared" si="524"/>
        <v>16520.094745597391</v>
      </c>
      <c r="L681" s="25"/>
      <c r="N681" s="25">
        <f>'Combined Retirement'!$C$18/12</f>
        <v>33932.660666666663</v>
      </c>
      <c r="O681" s="25">
        <f t="shared" si="525"/>
        <v>11007.82546143035</v>
      </c>
      <c r="P681" s="25">
        <f t="shared" si="526"/>
        <v>22924.835205236312</v>
      </c>
      <c r="Q681" s="25">
        <f t="array" aca="1" ref="Q681" ca="1">INDEX('Isaac 401k'!L:L,MATCH('Retirement Calculator'!A681,'Isaac 401k'!N:N,0),0)</f>
        <v>7870528.0384706156</v>
      </c>
      <c r="R681" s="25">
        <f t="array" aca="1" ref="R681" ca="1">INDEX('Lorri 401b'!L:L,MATCH('Retirement Calculator'!A681,'Lorri 401b'!N:N,0),0)</f>
        <v>7532712.5502909757</v>
      </c>
      <c r="S681" s="25">
        <f t="shared" ca="1" si="527"/>
        <v>15403240.58876159</v>
      </c>
    </row>
    <row r="682" spans="1:19" ht="15.75" customHeight="1" x14ac:dyDescent="0.3">
      <c r="A682" s="37">
        <v>71711</v>
      </c>
      <c r="B682" s="409">
        <f t="shared" ref="B682:C682" si="688">($A682-B$9)/365.25</f>
        <v>114.45585215605749</v>
      </c>
      <c r="C682" s="409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3525.4531757812501</v>
      </c>
      <c r="H682" s="25">
        <f>IF(B682&lt;62,0,'Combined Retirement'!$I$14)</f>
        <v>2192</v>
      </c>
      <c r="I682" s="25">
        <f>IF(C682&lt;62,0,'Combined Retirement'!$I$13)</f>
        <v>2420</v>
      </c>
      <c r="J682" s="25">
        <f t="shared" si="523"/>
        <v>6404.7404596389215</v>
      </c>
      <c r="K682" s="25">
        <f t="shared" si="524"/>
        <v>16520.094745597391</v>
      </c>
      <c r="L682" s="25"/>
      <c r="N682" s="25">
        <f>'Combined Retirement'!$C$18/12</f>
        <v>33932.660666666663</v>
      </c>
      <c r="O682" s="25">
        <f t="shared" si="525"/>
        <v>11007.82546143035</v>
      </c>
      <c r="P682" s="25">
        <f t="shared" si="526"/>
        <v>22924.835205236312</v>
      </c>
      <c r="Q682" s="25">
        <f t="array" aca="1" ref="Q682" ca="1">INDEX('Isaac 401k'!L:L,MATCH('Retirement Calculator'!A682,'Isaac 401k'!N:N,0),0)</f>
        <v>7896890.478419356</v>
      </c>
      <c r="R682" s="25">
        <f t="array" aca="1" ref="R682" ca="1">INDEX('Lorri 401b'!L:L,MATCH('Retirement Calculator'!A682,'Lorri 401b'!N:N,0),0)</f>
        <v>7547509.92411015</v>
      </c>
      <c r="S682" s="25">
        <f t="shared" ca="1" si="527"/>
        <v>15444400.402529506</v>
      </c>
    </row>
    <row r="683" spans="1:19" ht="15.75" customHeight="1" x14ac:dyDescent="0.3">
      <c r="A683" s="37">
        <v>71742</v>
      </c>
      <c r="B683" s="409">
        <f t="shared" ref="B683:C683" si="689">($A683-B$9)/365.25</f>
        <v>114.54072553045859</v>
      </c>
      <c r="C683" s="409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3525.4531757812501</v>
      </c>
      <c r="H683" s="25">
        <f>IF(B683&lt;62,0,'Combined Retirement'!$I$14)</f>
        <v>2192</v>
      </c>
      <c r="I683" s="25">
        <f>IF(C683&lt;62,0,'Combined Retirement'!$I$13)</f>
        <v>2420</v>
      </c>
      <c r="J683" s="25">
        <f t="shared" si="523"/>
        <v>6404.7404596389215</v>
      </c>
      <c r="K683" s="25">
        <f t="shared" si="524"/>
        <v>16520.094745597391</v>
      </c>
      <c r="L683" s="25"/>
      <c r="N683" s="25">
        <f>'Combined Retirement'!$C$18/12</f>
        <v>33932.660666666663</v>
      </c>
      <c r="O683" s="25">
        <f t="shared" si="525"/>
        <v>11007.82546143035</v>
      </c>
      <c r="P683" s="25">
        <f t="shared" si="526"/>
        <v>22924.835205236312</v>
      </c>
      <c r="Q683" s="25">
        <f t="array" aca="1" ref="Q683" ca="1">INDEX('Isaac 401k'!L:L,MATCH('Retirement Calculator'!A683,'Isaac 401k'!N:N,0),0)</f>
        <v>7923362.7618678827</v>
      </c>
      <c r="R683" s="25">
        <f t="array" aca="1" ref="R683" ca="1">INDEX('Lorri 401b'!L:L,MATCH('Retirement Calculator'!A683,'Lorri 401b'!N:N,0),0)</f>
        <v>7562368.9536535712</v>
      </c>
      <c r="S683" s="25">
        <f t="shared" ca="1" si="527"/>
        <v>15485731.715521455</v>
      </c>
    </row>
    <row r="684" spans="1:19" ht="15.75" customHeight="1" x14ac:dyDescent="0.3">
      <c r="A684" s="37">
        <v>71772</v>
      </c>
      <c r="B684" s="409">
        <f t="shared" ref="B684:C684" si="690">($A684-B$9)/365.25</f>
        <v>114.62286105407256</v>
      </c>
      <c r="C684" s="409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3525.4531757812501</v>
      </c>
      <c r="H684" s="25">
        <f>IF(B684&lt;62,0,'Combined Retirement'!$I$14)</f>
        <v>2192</v>
      </c>
      <c r="I684" s="25">
        <f>IF(C684&lt;62,0,'Combined Retirement'!$I$13)</f>
        <v>2420</v>
      </c>
      <c r="J684" s="25">
        <f t="shared" si="523"/>
        <v>6404.7404596389215</v>
      </c>
      <c r="K684" s="25">
        <f t="shared" si="524"/>
        <v>16520.094745597391</v>
      </c>
      <c r="L684" s="25"/>
      <c r="N684" s="25">
        <f>'Combined Retirement'!$C$18/12</f>
        <v>33932.660666666663</v>
      </c>
      <c r="O684" s="25">
        <f t="shared" si="525"/>
        <v>11007.82546143035</v>
      </c>
      <c r="P684" s="25">
        <f t="shared" si="526"/>
        <v>22924.835205236312</v>
      </c>
      <c r="Q684" s="25">
        <f t="array" aca="1" ref="Q684" ca="1">INDEX('Isaac 401k'!L:L,MATCH('Retirement Calculator'!A684,'Isaac 401k'!N:N,0),0)</f>
        <v>7949945.3464974454</v>
      </c>
      <c r="R684" s="25">
        <f t="array" aca="1" ref="R684" ca="1">INDEX('Lorri 401b'!L:L,MATCH('Retirement Calculator'!A684,'Lorri 401b'!N:N,0),0)</f>
        <v>7577289.8958200896</v>
      </c>
      <c r="S684" s="25">
        <f t="shared" ca="1" si="527"/>
        <v>15527235.242317535</v>
      </c>
    </row>
    <row r="685" spans="1:19" ht="15.75" customHeight="1" x14ac:dyDescent="0.3">
      <c r="A685" s="37">
        <v>71803</v>
      </c>
      <c r="B685" s="409">
        <f t="shared" ref="B685:C685" si="691">($A685-B$9)/365.25</f>
        <v>114.70773442847364</v>
      </c>
      <c r="C685" s="409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3525.4531757812501</v>
      </c>
      <c r="H685" s="25">
        <f>IF(B685&lt;62,0,'Combined Retirement'!$I$14)</f>
        <v>2192</v>
      </c>
      <c r="I685" s="25">
        <f>IF(C685&lt;62,0,'Combined Retirement'!$I$13)</f>
        <v>2420</v>
      </c>
      <c r="J685" s="25">
        <f t="shared" si="523"/>
        <v>6404.7404596389215</v>
      </c>
      <c r="K685" s="25">
        <f t="shared" si="524"/>
        <v>16520.094745597391</v>
      </c>
      <c r="L685" s="25"/>
      <c r="N685" s="25">
        <f>'Combined Retirement'!$C$18/12</f>
        <v>33932.660666666663</v>
      </c>
      <c r="O685" s="25">
        <f t="shared" si="525"/>
        <v>11007.82546143035</v>
      </c>
      <c r="P685" s="25">
        <f t="shared" si="526"/>
        <v>22924.835205236312</v>
      </c>
      <c r="Q685" s="25">
        <f t="array" aca="1" ref="Q685" ca="1">INDEX('Isaac 401k'!L:L,MATCH('Retirement Calculator'!A685,'Isaac 401k'!N:N,0),0)</f>
        <v>7976638.691896298</v>
      </c>
      <c r="R685" s="25">
        <f t="array" aca="1" ref="R685" ca="1">INDEX('Lorri 401b'!L:L,MATCH('Retirement Calculator'!A685,'Lorri 401b'!N:N,0),0)</f>
        <v>7592273.0085789692</v>
      </c>
      <c r="S685" s="25">
        <f t="shared" ca="1" si="527"/>
        <v>15568911.700475268</v>
      </c>
    </row>
    <row r="686" spans="1:19" ht="15.75" customHeight="1" x14ac:dyDescent="0.3">
      <c r="A686" s="37">
        <v>71834</v>
      </c>
      <c r="B686" s="409">
        <f t="shared" ref="B686:C686" si="692">($A686-B$9)/365.25</f>
        <v>114.79260780287474</v>
      </c>
      <c r="C686" s="409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3525.4531757812501</v>
      </c>
      <c r="H686" s="25">
        <f>IF(B686&lt;62,0,'Combined Retirement'!$I$14)</f>
        <v>2192</v>
      </c>
      <c r="I686" s="25">
        <f>IF(C686&lt;62,0,'Combined Retirement'!$I$13)</f>
        <v>2420</v>
      </c>
      <c r="J686" s="25">
        <f t="shared" si="523"/>
        <v>6404.7404596389215</v>
      </c>
      <c r="K686" s="25">
        <f t="shared" si="524"/>
        <v>16520.094745597391</v>
      </c>
      <c r="L686" s="25"/>
      <c r="N686" s="25">
        <f>'Combined Retirement'!$C$18/12</f>
        <v>33932.660666666663</v>
      </c>
      <c r="O686" s="25">
        <f t="shared" si="525"/>
        <v>11007.82546143035</v>
      </c>
      <c r="P686" s="25">
        <f t="shared" si="526"/>
        <v>22924.835205236312</v>
      </c>
      <c r="Q686" s="25">
        <f t="array" aca="1" ref="Q686" ca="1">INDEX('Isaac 401k'!L:L,MATCH('Retirement Calculator'!A686,'Isaac 401k'!N:N,0),0)</f>
        <v>8003443.2595676454</v>
      </c>
      <c r="R686" s="25">
        <f t="array" aca="1" ref="R686" ca="1">INDEX('Lorri 401b'!L:L,MATCH('Retirement Calculator'!A686,'Lorri 401b'!N:N,0),0)</f>
        <v>7607318.5509743439</v>
      </c>
      <c r="S686" s="25">
        <f t="shared" ca="1" si="527"/>
        <v>15610761.810541989</v>
      </c>
    </row>
    <row r="687" spans="1:19" ht="15.75" customHeight="1" x14ac:dyDescent="0.3">
      <c r="A687" s="37">
        <v>71864</v>
      </c>
      <c r="B687" s="409">
        <f t="shared" ref="B687:C687" si="693">($A687-B$9)/365.25</f>
        <v>114.87474332648871</v>
      </c>
      <c r="C687" s="409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3525.4531757812501</v>
      </c>
      <c r="H687" s="25">
        <f>IF(B687&lt;62,0,'Combined Retirement'!$I$14)</f>
        <v>2192</v>
      </c>
      <c r="I687" s="25">
        <f>IF(C687&lt;62,0,'Combined Retirement'!$I$13)</f>
        <v>2420</v>
      </c>
      <c r="J687" s="25">
        <f t="shared" si="523"/>
        <v>6404.7404596389215</v>
      </c>
      <c r="K687" s="25">
        <f t="shared" si="524"/>
        <v>16520.094745597391</v>
      </c>
      <c r="L687" s="25"/>
      <c r="N687" s="25">
        <f>'Combined Retirement'!$C$18/12</f>
        <v>33932.660666666663</v>
      </c>
      <c r="O687" s="25">
        <f t="shared" si="525"/>
        <v>11007.82546143035</v>
      </c>
      <c r="P687" s="25">
        <f t="shared" si="526"/>
        <v>22924.835205236312</v>
      </c>
      <c r="Q687" s="25">
        <f t="array" aca="1" ref="Q687" ca="1">INDEX('Isaac 401k'!L:L,MATCH('Retirement Calculator'!A687,'Isaac 401k'!N:N,0),0)</f>
        <v>8030359.5129376231</v>
      </c>
      <c r="R687" s="25">
        <f t="array" aca="1" ref="R687" ca="1">INDEX('Lorri 401b'!L:L,MATCH('Retirement Calculator'!A687,'Lorri 401b'!N:N,0),0)</f>
        <v>7622426.7831296995</v>
      </c>
      <c r="S687" s="25">
        <f t="shared" ca="1" si="527"/>
        <v>15652786.296067324</v>
      </c>
    </row>
    <row r="688" spans="1:19" ht="15.75" customHeight="1" x14ac:dyDescent="0.3">
      <c r="A688" s="37">
        <v>71895</v>
      </c>
      <c r="B688" s="409">
        <f t="shared" ref="B688:C688" si="694">($A688-B$9)/365.25</f>
        <v>114.9596167008898</v>
      </c>
      <c r="C688" s="409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3525.4531757812501</v>
      </c>
      <c r="H688" s="25">
        <f>IF(B688&lt;62,0,'Combined Retirement'!$I$14)</f>
        <v>2192</v>
      </c>
      <c r="I688" s="25">
        <f>IF(C688&lt;62,0,'Combined Retirement'!$I$13)</f>
        <v>2420</v>
      </c>
      <c r="J688" s="25">
        <f t="shared" si="523"/>
        <v>6404.7404596389215</v>
      </c>
      <c r="K688" s="25">
        <f t="shared" si="524"/>
        <v>16520.094745597391</v>
      </c>
      <c r="L688" s="25"/>
      <c r="N688" s="25">
        <f>'Combined Retirement'!$C$18/12</f>
        <v>33932.660666666663</v>
      </c>
      <c r="O688" s="25">
        <f t="shared" si="525"/>
        <v>11007.82546143035</v>
      </c>
      <c r="P688" s="25">
        <f t="shared" si="526"/>
        <v>22924.835205236312</v>
      </c>
      <c r="Q688" s="25">
        <f t="array" aca="1" ref="Q688" ca="1">INDEX('Isaac 401k'!L:L,MATCH('Retirement Calculator'!A688,'Isaac 401k'!N:N,0),0)</f>
        <v>8057387.9173633093</v>
      </c>
      <c r="R688" s="25">
        <f t="array" aca="1" ref="R688" ca="1">INDEX('Lorri 401b'!L:L,MATCH('Retirement Calculator'!A688,'Lorri 401b'!N:N,0),0)</f>
        <v>7637597.9662523689</v>
      </c>
      <c r="S688" s="25">
        <f t="shared" ca="1" si="527"/>
        <v>15694985.883615678</v>
      </c>
    </row>
    <row r="689" spans="1:19" ht="15.75" customHeight="1" x14ac:dyDescent="0.3">
      <c r="A689" s="37">
        <v>71925</v>
      </c>
      <c r="B689" s="409">
        <f t="shared" ref="B689:C689" si="695">($A689-B$9)/365.25</f>
        <v>115.04175222450377</v>
      </c>
      <c r="C689" s="409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3525.4531757812501</v>
      </c>
      <c r="H689" s="25">
        <f>IF(B689&lt;62,0,'Combined Retirement'!$I$14)</f>
        <v>2192</v>
      </c>
      <c r="I689" s="25">
        <f>IF(C689&lt;62,0,'Combined Retirement'!$I$13)</f>
        <v>2420</v>
      </c>
      <c r="J689" s="25">
        <f t="shared" si="523"/>
        <v>6404.7404596389215</v>
      </c>
      <c r="K689" s="25">
        <f t="shared" si="524"/>
        <v>16520.094745597391</v>
      </c>
      <c r="L689" s="25"/>
      <c r="N689" s="25">
        <f>'Combined Retirement'!$C$18/12</f>
        <v>33932.660666666663</v>
      </c>
      <c r="O689" s="25">
        <f t="shared" si="525"/>
        <v>11007.82546143035</v>
      </c>
      <c r="P689" s="25">
        <f t="shared" si="526"/>
        <v>22924.835205236312</v>
      </c>
      <c r="Q689" s="25">
        <f t="array" aca="1" ref="Q689" ca="1">INDEX('Isaac 401k'!L:L,MATCH('Retirement Calculator'!A689,'Isaac 401k'!N:N,0),0)</f>
        <v>8084528.9401407689</v>
      </c>
      <c r="R689" s="25">
        <f t="array" aca="1" ref="R689" ca="1">INDEX('Lorri 401b'!L:L,MATCH('Retirement Calculator'!A689,'Lorri 401b'!N:N,0),0)</f>
        <v>7652832.3626380488</v>
      </c>
      <c r="S689" s="25">
        <f t="shared" ca="1" si="527"/>
        <v>15737361.302778818</v>
      </c>
    </row>
    <row r="690" spans="1:19" ht="15.75" customHeight="1" x14ac:dyDescent="0.3">
      <c r="A690" s="37">
        <v>71956</v>
      </c>
      <c r="B690" s="409">
        <f t="shared" ref="B690:C690" si="696">($A690-B$9)/365.25</f>
        <v>115.12662559890487</v>
      </c>
      <c r="C690" s="409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3525.4531757812501</v>
      </c>
      <c r="H690" s="25">
        <f>IF(B690&lt;62,0,'Combined Retirement'!$I$14)</f>
        <v>2192</v>
      </c>
      <c r="I690" s="25">
        <f>IF(C690&lt;62,0,'Combined Retirement'!$I$13)</f>
        <v>2420</v>
      </c>
      <c r="J690" s="25">
        <f t="shared" si="523"/>
        <v>6404.7404596389215</v>
      </c>
      <c r="K690" s="25">
        <f t="shared" si="524"/>
        <v>16520.094745597391</v>
      </c>
      <c r="L690" s="25"/>
      <c r="N690" s="25">
        <f>'Combined Retirement'!$C$18/12</f>
        <v>33932.660666666663</v>
      </c>
      <c r="O690" s="25">
        <f t="shared" si="525"/>
        <v>11007.82546143035</v>
      </c>
      <c r="P690" s="25">
        <f t="shared" si="526"/>
        <v>22924.835205236312</v>
      </c>
      <c r="Q690" s="25">
        <f t="array" aca="1" ref="Q690" ca="1">INDEX('Isaac 401k'!L:L,MATCH('Retirement Calculator'!A690,'Isaac 401k'!N:N,0),0)</f>
        <v>8111783.0505131353</v>
      </c>
      <c r="R690" s="25">
        <f t="array" aca="1" ref="R690" ca="1">INDEX('Lorri 401b'!L:L,MATCH('Retirement Calculator'!A690,'Lorri 401b'!N:N,0),0)</f>
        <v>7668130.2356753359</v>
      </c>
      <c r="S690" s="25">
        <f t="shared" ca="1" si="527"/>
        <v>15779913.286188472</v>
      </c>
    </row>
    <row r="691" spans="1:19" ht="15.75" customHeight="1" x14ac:dyDescent="0.3">
      <c r="A691" s="37">
        <v>71987</v>
      </c>
      <c r="B691" s="409">
        <f t="shared" ref="B691:C691" si="697">($A691-B$9)/365.25</f>
        <v>115.21149897330595</v>
      </c>
      <c r="C691" s="409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3525.4531757812501</v>
      </c>
      <c r="H691" s="25">
        <f>IF(B691&lt;62,0,'Combined Retirement'!$I$14)</f>
        <v>2192</v>
      </c>
      <c r="I691" s="25">
        <f>IF(C691&lt;62,0,'Combined Retirement'!$I$13)</f>
        <v>2420</v>
      </c>
      <c r="J691" s="25">
        <f t="shared" si="523"/>
        <v>6404.7404596389215</v>
      </c>
      <c r="K691" s="25">
        <f t="shared" si="524"/>
        <v>16520.094745597391</v>
      </c>
      <c r="L691" s="25"/>
      <c r="N691" s="25">
        <f>'Combined Retirement'!$C$18/12</f>
        <v>33932.660666666663</v>
      </c>
      <c r="O691" s="25">
        <f t="shared" si="525"/>
        <v>11007.82546143035</v>
      </c>
      <c r="P691" s="25">
        <f t="shared" si="526"/>
        <v>22924.835205236312</v>
      </c>
      <c r="Q691" s="25">
        <f t="array" aca="1" ref="Q691" ca="1">INDEX('Isaac 401k'!L:L,MATCH('Retirement Calculator'!A691,'Isaac 401k'!N:N,0),0)</f>
        <v>8139150.7196787195</v>
      </c>
      <c r="R691" s="25">
        <f t="array" aca="1" ref="R691" ca="1">INDEX('Lorri 401b'!L:L,MATCH('Retirement Calculator'!A691,'Lorri 401b'!N:N,0),0)</f>
        <v>7683491.8498502783</v>
      </c>
      <c r="S691" s="25">
        <f t="shared" ca="1" si="527"/>
        <v>15822642.569528997</v>
      </c>
    </row>
    <row r="692" spans="1:19" ht="15.75" customHeight="1" x14ac:dyDescent="0.3">
      <c r="A692" s="37">
        <v>72015</v>
      </c>
      <c r="B692" s="409">
        <f t="shared" ref="B692:C692" si="698">($A692-B$9)/365.25</f>
        <v>115.28815879534565</v>
      </c>
      <c r="C692" s="409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3525.4531757812501</v>
      </c>
      <c r="H692" s="25">
        <f>IF(B692&lt;62,0,'Combined Retirement'!$I$14)</f>
        <v>2192</v>
      </c>
      <c r="I692" s="25">
        <f>IF(C692&lt;62,0,'Combined Retirement'!$I$13)</f>
        <v>2420</v>
      </c>
      <c r="J692" s="25">
        <f t="shared" si="523"/>
        <v>6404.7404596389215</v>
      </c>
      <c r="K692" s="25">
        <f t="shared" si="524"/>
        <v>16520.094745597391</v>
      </c>
      <c r="L692" s="25"/>
      <c r="N692" s="25">
        <f>'Combined Retirement'!$C$18/12</f>
        <v>33932.660666666663</v>
      </c>
      <c r="O692" s="25">
        <f t="shared" si="525"/>
        <v>11007.82546143035</v>
      </c>
      <c r="P692" s="25">
        <f t="shared" si="526"/>
        <v>22924.835205236312</v>
      </c>
      <c r="Q692" s="25">
        <f t="array" aca="1" ref="Q692" ca="1">INDEX('Isaac 401k'!L:L,MATCH('Retirement Calculator'!A692,'Isaac 401k'!N:N,0),0)</f>
        <v>8166632.4207991604</v>
      </c>
      <c r="R692" s="25">
        <f t="array" aca="1" ref="R692" ca="1">INDEX('Lorri 401b'!L:L,MATCH('Retirement Calculator'!A692,'Lorri 401b'!N:N,0),0)</f>
        <v>7698917.4707509503</v>
      </c>
      <c r="S692" s="25">
        <f t="shared" ca="1" si="527"/>
        <v>15865549.891550111</v>
      </c>
    </row>
    <row r="693" spans="1:19" ht="15.75" customHeight="1" x14ac:dyDescent="0.3">
      <c r="A693" s="37">
        <v>72046</v>
      </c>
      <c r="B693" s="409">
        <f t="shared" ref="B693:C693" si="699">($A693-B$9)/365.25</f>
        <v>115.37303216974675</v>
      </c>
      <c r="C693" s="409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3525.4531757812501</v>
      </c>
      <c r="H693" s="25">
        <f>IF(B693&lt;62,0,'Combined Retirement'!$I$14)</f>
        <v>2192</v>
      </c>
      <c r="I693" s="25">
        <f>IF(C693&lt;62,0,'Combined Retirement'!$I$13)</f>
        <v>2420</v>
      </c>
      <c r="J693" s="25">
        <f t="shared" si="523"/>
        <v>6404.7404596389215</v>
      </c>
      <c r="K693" s="25">
        <f t="shared" si="524"/>
        <v>16520.094745597391</v>
      </c>
      <c r="L693" s="25"/>
      <c r="N693" s="25">
        <f>'Combined Retirement'!$C$18/12</f>
        <v>33932.660666666663</v>
      </c>
      <c r="O693" s="25">
        <f t="shared" si="525"/>
        <v>11007.82546143035</v>
      </c>
      <c r="P693" s="25">
        <f t="shared" si="526"/>
        <v>22924.835205236312</v>
      </c>
      <c r="Q693" s="25">
        <f t="array" aca="1" ref="Q693" ca="1">INDEX('Isaac 401k'!L:L,MATCH('Retirement Calculator'!A693,'Isaac 401k'!N:N,0),0)</f>
        <v>8194228.629007603</v>
      </c>
      <c r="R693" s="25">
        <f t="array" aca="1" ref="R693" ca="1">INDEX('Lorri 401b'!L:L,MATCH('Retirement Calculator'!A693,'Lorri 401b'!N:N,0),0)</f>
        <v>7714407.3650720417</v>
      </c>
      <c r="S693" s="25">
        <f t="shared" ca="1" si="527"/>
        <v>15908635.994079646</v>
      </c>
    </row>
    <row r="694" spans="1:19" ht="15.75" customHeight="1" x14ac:dyDescent="0.3">
      <c r="A694" s="37">
        <v>72076</v>
      </c>
      <c r="B694" s="409">
        <f t="shared" ref="B694:C694" si="700">($A694-B$9)/365.25</f>
        <v>115.45516769336071</v>
      </c>
      <c r="C694" s="409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3525.4531757812501</v>
      </c>
      <c r="H694" s="25">
        <f>IF(B694&lt;62,0,'Combined Retirement'!$I$14)</f>
        <v>2192</v>
      </c>
      <c r="I694" s="25">
        <f>IF(C694&lt;62,0,'Combined Retirement'!$I$13)</f>
        <v>2420</v>
      </c>
      <c r="J694" s="25">
        <f t="shared" si="523"/>
        <v>6404.7404596389215</v>
      </c>
      <c r="K694" s="25">
        <f t="shared" si="524"/>
        <v>16520.094745597391</v>
      </c>
      <c r="L694" s="25"/>
      <c r="N694" s="25">
        <f>'Combined Retirement'!$C$18/12</f>
        <v>33932.660666666663</v>
      </c>
      <c r="O694" s="25">
        <f t="shared" si="525"/>
        <v>11007.82546143035</v>
      </c>
      <c r="P694" s="25">
        <f t="shared" si="526"/>
        <v>22924.835205236312</v>
      </c>
      <c r="Q694" s="25">
        <f t="array" aca="1" ref="Q694" ca="1">INDEX('Isaac 401k'!L:L,MATCH('Retirement Calculator'!A694,'Isaac 401k'!N:N,0),0)</f>
        <v>8221939.8214169145</v>
      </c>
      <c r="R694" s="25">
        <f t="array" aca="1" ref="R694" ca="1">INDEX('Lorri 401b'!L:L,MATCH('Retirement Calculator'!A694,'Lorri 401b'!N:N,0),0)</f>
        <v>7729961.8006194709</v>
      </c>
      <c r="S694" s="25">
        <f t="shared" ca="1" si="527"/>
        <v>15951901.622036386</v>
      </c>
    </row>
    <row r="695" spans="1:19" ht="15.75" customHeight="1" x14ac:dyDescent="0.3">
      <c r="A695" s="37">
        <v>72107</v>
      </c>
      <c r="B695" s="409">
        <f t="shared" ref="B695:C695" si="701">($A695-B$9)/365.25</f>
        <v>115.54004106776181</v>
      </c>
      <c r="C695" s="409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3525.4531757812501</v>
      </c>
      <c r="H695" s="25">
        <f>IF(B695&lt;62,0,'Combined Retirement'!$I$14)</f>
        <v>2192</v>
      </c>
      <c r="I695" s="25">
        <f>IF(C695&lt;62,0,'Combined Retirement'!$I$13)</f>
        <v>2420</v>
      </c>
      <c r="J695" s="25">
        <f t="shared" si="523"/>
        <v>6404.7404596389215</v>
      </c>
      <c r="K695" s="25">
        <f t="shared" si="524"/>
        <v>16520.094745597391</v>
      </c>
      <c r="L695" s="25"/>
      <c r="N695" s="25">
        <f>'Combined Retirement'!$C$18/12</f>
        <v>33932.660666666663</v>
      </c>
      <c r="O695" s="25">
        <f t="shared" si="525"/>
        <v>11007.82546143035</v>
      </c>
      <c r="P695" s="25">
        <f t="shared" si="526"/>
        <v>22924.835205236312</v>
      </c>
      <c r="Q695" s="25">
        <f t="array" aca="1" ref="Q695" ca="1">INDEX('Isaac 401k'!L:L,MATCH('Retirement Calculator'!A695,'Isaac 401k'!N:N,0),0)</f>
        <v>8249766.4771279311</v>
      </c>
      <c r="R695" s="25">
        <f t="array" aca="1" ref="R695" ca="1">INDEX('Lorri 401b'!L:L,MATCH('Retirement Calculator'!A695,'Lorri 401b'!N:N,0),0)</f>
        <v>7745581.0463150144</v>
      </c>
      <c r="S695" s="25">
        <f t="shared" ca="1" si="527"/>
        <v>15995347.523442946</v>
      </c>
    </row>
    <row r="696" spans="1:19" ht="15.75" customHeight="1" x14ac:dyDescent="0.3">
      <c r="A696" s="37">
        <v>72137</v>
      </c>
      <c r="B696" s="409">
        <f t="shared" ref="B696:C696" si="702">($A696-B$9)/365.25</f>
        <v>115.62217659137578</v>
      </c>
      <c r="C696" s="409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3525.4531757812501</v>
      </c>
      <c r="H696" s="25">
        <f>IF(B696&lt;62,0,'Combined Retirement'!$I$14)</f>
        <v>2192</v>
      </c>
      <c r="I696" s="25">
        <f>IF(C696&lt;62,0,'Combined Retirement'!$I$13)</f>
        <v>2420</v>
      </c>
      <c r="J696" s="25">
        <f t="shared" si="523"/>
        <v>6404.7404596389215</v>
      </c>
      <c r="K696" s="25">
        <f t="shared" si="524"/>
        <v>16520.094745597391</v>
      </c>
      <c r="L696" s="25"/>
      <c r="N696" s="25">
        <f>'Combined Retirement'!$C$18/12</f>
        <v>33932.660666666663</v>
      </c>
      <c r="O696" s="25">
        <f t="shared" si="525"/>
        <v>11007.82546143035</v>
      </c>
      <c r="P696" s="25">
        <f t="shared" si="526"/>
        <v>22924.835205236312</v>
      </c>
      <c r="Q696" s="25">
        <f t="array" aca="1" ref="Q696" ca="1">INDEX('Isaac 401k'!L:L,MATCH('Retirement Calculator'!A696,'Isaac 401k'!N:N,0),0)</f>
        <v>8277709.0772377439</v>
      </c>
      <c r="R696" s="25">
        <f t="array" aca="1" ref="R696" ca="1">INDEX('Lorri 401b'!L:L,MATCH('Retirement Calculator'!A696,'Lorri 401b'!N:N,0),0)</f>
        <v>7761265.3722009556</v>
      </c>
      <c r="S696" s="25">
        <f t="shared" ca="1" si="527"/>
        <v>16038974.449438699</v>
      </c>
    </row>
    <row r="697" spans="1:19" ht="15.75" customHeight="1" x14ac:dyDescent="0.3">
      <c r="A697" s="37">
        <v>72168</v>
      </c>
      <c r="B697" s="409">
        <f t="shared" ref="B697:C697" si="703">($A697-B$9)/365.25</f>
        <v>115.70704996577686</v>
      </c>
      <c r="C697" s="409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3525.4531757812501</v>
      </c>
      <c r="H697" s="25">
        <f>IF(B697&lt;62,0,'Combined Retirement'!$I$14)</f>
        <v>2192</v>
      </c>
      <c r="I697" s="25">
        <f>IF(C697&lt;62,0,'Combined Retirement'!$I$13)</f>
        <v>2420</v>
      </c>
      <c r="J697" s="25">
        <f t="shared" si="523"/>
        <v>6404.7404596389215</v>
      </c>
      <c r="K697" s="25">
        <f t="shared" si="524"/>
        <v>16520.094745597391</v>
      </c>
      <c r="L697" s="25"/>
      <c r="N697" s="25">
        <f>'Combined Retirement'!$C$18/12</f>
        <v>33932.660666666663</v>
      </c>
      <c r="O697" s="25">
        <f t="shared" si="525"/>
        <v>11007.82546143035</v>
      </c>
      <c r="P697" s="25">
        <f t="shared" si="526"/>
        <v>22924.835205236312</v>
      </c>
      <c r="Q697" s="25">
        <f t="array" aca="1" ref="Q697" ca="1">INDEX('Isaac 401k'!L:L,MATCH('Retirement Calculator'!A697,'Isaac 401k'!N:N,0),0)</f>
        <v>8305768.1048480142</v>
      </c>
      <c r="R697" s="25">
        <f t="array" aca="1" ref="R697" ca="1">INDEX('Lorri 401b'!L:L,MATCH('Retirement Calculator'!A697,'Lorri 401b'!N:N,0),0)</f>
        <v>7777015.0494447555</v>
      </c>
      <c r="S697" s="25">
        <f t="shared" ca="1" si="527"/>
        <v>16082783.15429277</v>
      </c>
    </row>
    <row r="698" spans="1:19" ht="15.75" customHeight="1" x14ac:dyDescent="0.3">
      <c r="A698" s="37">
        <v>72199</v>
      </c>
      <c r="B698" s="409">
        <f t="shared" ref="B698:C698" si="704">($A698-B$9)/365.25</f>
        <v>115.79192334017796</v>
      </c>
      <c r="C698" s="409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3525.4531757812501</v>
      </c>
      <c r="H698" s="25">
        <f>IF(B698&lt;62,0,'Combined Retirement'!$I$14)</f>
        <v>2192</v>
      </c>
      <c r="I698" s="25">
        <f>IF(C698&lt;62,0,'Combined Retirement'!$I$13)</f>
        <v>2420</v>
      </c>
      <c r="J698" s="25">
        <f t="shared" si="523"/>
        <v>6404.7404596389215</v>
      </c>
      <c r="K698" s="25">
        <f t="shared" si="524"/>
        <v>16520.094745597391</v>
      </c>
      <c r="L698" s="25"/>
      <c r="N698" s="25">
        <f>'Combined Retirement'!$C$18/12</f>
        <v>33932.660666666663</v>
      </c>
      <c r="O698" s="25">
        <f t="shared" si="525"/>
        <v>11007.82546143035</v>
      </c>
      <c r="P698" s="25">
        <f t="shared" si="526"/>
        <v>22924.835205236312</v>
      </c>
      <c r="Q698" s="25">
        <f t="array" aca="1" ref="Q698" ca="1">INDEX('Isaac 401k'!L:L,MATCH('Retirement Calculator'!A698,'Isaac 401k'!N:N,0),0)</f>
        <v>8333944.0450733267</v>
      </c>
      <c r="R698" s="25">
        <f t="array" aca="1" ref="R698" ca="1">INDEX('Lorri 401b'!L:L,MATCH('Retirement Calculator'!A698,'Lorri 401b'!N:N,0),0)</f>
        <v>7792830.3503437378</v>
      </c>
      <c r="S698" s="25">
        <f t="shared" ca="1" si="527"/>
        <v>16126774.395417064</v>
      </c>
    </row>
    <row r="699" spans="1:19" ht="15.75" customHeight="1" x14ac:dyDescent="0.3">
      <c r="A699" s="37">
        <v>72229</v>
      </c>
      <c r="B699" s="409">
        <f t="shared" ref="B699:C699" si="705">($A699-B$9)/365.25</f>
        <v>115.87405886379193</v>
      </c>
      <c r="C699" s="409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3525.4531757812501</v>
      </c>
      <c r="H699" s="25">
        <f>IF(B699&lt;62,0,'Combined Retirement'!$I$14)</f>
        <v>2192</v>
      </c>
      <c r="I699" s="25">
        <f>IF(C699&lt;62,0,'Combined Retirement'!$I$13)</f>
        <v>2420</v>
      </c>
      <c r="J699" s="25">
        <f t="shared" si="523"/>
        <v>6404.7404596389215</v>
      </c>
      <c r="K699" s="25">
        <f t="shared" si="524"/>
        <v>16520.094745597391</v>
      </c>
      <c r="L699" s="25"/>
      <c r="N699" s="25">
        <f>'Combined Retirement'!$C$18/12</f>
        <v>33932.660666666663</v>
      </c>
      <c r="O699" s="25">
        <f t="shared" si="525"/>
        <v>11007.82546143035</v>
      </c>
      <c r="P699" s="25">
        <f t="shared" si="526"/>
        <v>22924.835205236312</v>
      </c>
      <c r="Q699" s="25">
        <f t="array" aca="1" ref="Q699" ca="1">INDEX('Isaac 401k'!L:L,MATCH('Retirement Calculator'!A699,'Isaac 401k'!N:N,0),0)</f>
        <v>8362237.3850495787</v>
      </c>
      <c r="R699" s="25">
        <f t="array" aca="1" ref="R699" ca="1">INDEX('Lorri 401b'!L:L,MATCH('Retirement Calculator'!A699,'Lorri 401b'!N:N,0),0)</f>
        <v>7808711.5483297985</v>
      </c>
      <c r="S699" s="25">
        <f t="shared" ca="1" si="527"/>
        <v>16170948.933379378</v>
      </c>
    </row>
    <row r="700" spans="1:19" ht="15.75" customHeight="1" x14ac:dyDescent="0.3">
      <c r="A700" s="37">
        <v>72260</v>
      </c>
      <c r="B700" s="409">
        <f t="shared" ref="B700:C700" si="706">($A700-B$9)/365.25</f>
        <v>115.95893223819301</v>
      </c>
      <c r="C700" s="409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3525.4531757812501</v>
      </c>
      <c r="H700" s="25">
        <f>IF(B700&lt;62,0,'Combined Retirement'!$I$14)</f>
        <v>2192</v>
      </c>
      <c r="I700" s="25">
        <f>IF(C700&lt;62,0,'Combined Retirement'!$I$13)</f>
        <v>2420</v>
      </c>
      <c r="J700" s="25">
        <f t="shared" si="523"/>
        <v>6404.7404596389215</v>
      </c>
      <c r="K700" s="25">
        <f t="shared" si="524"/>
        <v>16520.094745597391</v>
      </c>
      <c r="L700" s="25"/>
      <c r="N700" s="25">
        <f>'Combined Retirement'!$C$18/12</f>
        <v>33932.660666666663</v>
      </c>
      <c r="O700" s="25">
        <f t="shared" si="525"/>
        <v>11007.82546143035</v>
      </c>
      <c r="P700" s="25">
        <f t="shared" si="526"/>
        <v>22924.835205236312</v>
      </c>
      <c r="Q700" s="25">
        <f t="array" aca="1" ref="Q700" ca="1">INDEX('Isaac 401k'!L:L,MATCH('Retirement Calculator'!A700,'Isaac 401k'!N:N,0),0)</f>
        <v>8390648.6139423978</v>
      </c>
      <c r="R700" s="25">
        <f t="array" aca="1" ref="R700" ca="1">INDEX('Lorri 401b'!L:L,MATCH('Retirement Calculator'!A700,'Lorri 401b'!N:N,0),0)</f>
        <v>7824658.9179741349</v>
      </c>
      <c r="S700" s="25">
        <f t="shared" ca="1" si="527"/>
        <v>16215307.531916533</v>
      </c>
    </row>
    <row r="701" spans="1:19" ht="15.75" customHeight="1" x14ac:dyDescent="0.3">
      <c r="A701" s="37">
        <v>72290</v>
      </c>
      <c r="B701" s="409">
        <f t="shared" ref="B701:C701" si="707">($A701-B$9)/365.25</f>
        <v>116.04106776180699</v>
      </c>
      <c r="C701" s="409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3525.4531757812501</v>
      </c>
      <c r="H701" s="25">
        <f>IF(B701&lt;62,0,'Combined Retirement'!$I$14)</f>
        <v>2192</v>
      </c>
      <c r="I701" s="25">
        <f>IF(C701&lt;62,0,'Combined Retirement'!$I$13)</f>
        <v>2420</v>
      </c>
      <c r="J701" s="25">
        <f t="shared" si="523"/>
        <v>6404.7404596389215</v>
      </c>
      <c r="K701" s="25">
        <f t="shared" si="524"/>
        <v>16520.094745597391</v>
      </c>
      <c r="L701" s="25"/>
      <c r="N701" s="25">
        <f>'Combined Retirement'!$C$18/12</f>
        <v>33932.660666666663</v>
      </c>
      <c r="O701" s="25">
        <f t="shared" si="525"/>
        <v>11007.82546143035</v>
      </c>
      <c r="P701" s="25">
        <f t="shared" si="526"/>
        <v>22924.835205236312</v>
      </c>
      <c r="Q701" s="25">
        <f t="array" aca="1" ref="Q701" ca="1">INDEX('Isaac 401k'!L:L,MATCH('Retirement Calculator'!A701,'Isaac 401k'!N:N,0),0)</f>
        <v>8419178.2229556032</v>
      </c>
      <c r="R701" s="25">
        <f t="array" aca="1" ref="R701" ca="1">INDEX('Lorri 401b'!L:L,MATCH('Retirement Calculator'!A701,'Lorri 401b'!N:N,0),0)</f>
        <v>7840672.7349919891</v>
      </c>
      <c r="S701" s="25">
        <f t="shared" ca="1" si="527"/>
        <v>16259850.957947593</v>
      </c>
    </row>
    <row r="702" spans="1:19" ht="15.75" customHeight="1" x14ac:dyDescent="0.3">
      <c r="A702" s="37">
        <v>72321</v>
      </c>
      <c r="B702" s="409">
        <f t="shared" ref="B702:C702" si="708">($A702-B$9)/365.25</f>
        <v>116.12594113620807</v>
      </c>
      <c r="C702" s="409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3525.4531757812501</v>
      </c>
      <c r="H702" s="25">
        <f>IF(B702&lt;62,0,'Combined Retirement'!$I$14)</f>
        <v>2192</v>
      </c>
      <c r="I702" s="25">
        <f>IF(C702&lt;62,0,'Combined Retirement'!$I$13)</f>
        <v>2420</v>
      </c>
      <c r="J702" s="25">
        <f t="shared" si="523"/>
        <v>6404.7404596389215</v>
      </c>
      <c r="K702" s="25">
        <f t="shared" si="524"/>
        <v>16520.094745597391</v>
      </c>
      <c r="L702" s="25"/>
      <c r="N702" s="25">
        <f>'Combined Retirement'!$C$18/12</f>
        <v>33932.660666666663</v>
      </c>
      <c r="O702" s="25">
        <f t="shared" si="525"/>
        <v>11007.82546143035</v>
      </c>
      <c r="P702" s="25">
        <f t="shared" si="526"/>
        <v>22924.835205236312</v>
      </c>
      <c r="Q702" s="25">
        <f t="array" aca="1" ref="Q702" ca="1">INDEX('Isaac 401k'!L:L,MATCH('Retirement Calculator'!A702,'Isaac 401k'!N:N,0),0)</f>
        <v>8447826.7053396963</v>
      </c>
      <c r="R702" s="25">
        <f t="array" aca="1" ref="R702" ca="1">INDEX('Lorri 401b'!L:L,MATCH('Retirement Calculator'!A702,'Lorri 401b'!N:N,0),0)</f>
        <v>7856753.2762474176</v>
      </c>
      <c r="S702" s="25">
        <f t="shared" ca="1" si="527"/>
        <v>16304579.981587114</v>
      </c>
    </row>
    <row r="703" spans="1:19" ht="15.75" customHeight="1" x14ac:dyDescent="0.3">
      <c r="A703" s="37">
        <v>72352</v>
      </c>
      <c r="B703" s="409">
        <f t="shared" ref="B703:C703" si="709">($A703-B$9)/365.25</f>
        <v>116.21081451060917</v>
      </c>
      <c r="C703" s="409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3525.4531757812501</v>
      </c>
      <c r="H703" s="25">
        <f>IF(B703&lt;62,0,'Combined Retirement'!$I$14)</f>
        <v>2192</v>
      </c>
      <c r="I703" s="25">
        <f>IF(C703&lt;62,0,'Combined Retirement'!$I$13)</f>
        <v>2420</v>
      </c>
      <c r="J703" s="25">
        <f t="shared" si="523"/>
        <v>6404.7404596389215</v>
      </c>
      <c r="K703" s="25">
        <f t="shared" si="524"/>
        <v>16520.094745597391</v>
      </c>
      <c r="L703" s="25"/>
      <c r="N703" s="25">
        <f>'Combined Retirement'!$C$18/12</f>
        <v>33932.660666666663</v>
      </c>
      <c r="O703" s="25">
        <f t="shared" si="525"/>
        <v>11007.82546143035</v>
      </c>
      <c r="P703" s="25">
        <f t="shared" si="526"/>
        <v>22924.835205236312</v>
      </c>
      <c r="Q703" s="25">
        <f t="array" aca="1" ref="Q703" ca="1">INDEX('Isaac 401k'!L:L,MATCH('Retirement Calculator'!A703,'Isaac 401k'!N:N,0),0)</f>
        <v>8476594.5564003903</v>
      </c>
      <c r="R703" s="25">
        <f t="array" aca="1" ref="R703" ca="1">INDEX('Lorri 401b'!L:L,MATCH('Retirement Calculator'!A703,'Lorri 401b'!N:N,0),0)</f>
        <v>7872900.8197580772</v>
      </c>
      <c r="S703" s="25">
        <f t="shared" ca="1" si="527"/>
        <v>16349495.376158468</v>
      </c>
    </row>
    <row r="704" spans="1:19" ht="15.75" customHeight="1" x14ac:dyDescent="0.3">
      <c r="A704" s="37">
        <v>72380</v>
      </c>
      <c r="B704" s="409">
        <f t="shared" ref="B704:C704" si="710">($A704-B$9)/365.25</f>
        <v>116.28747433264887</v>
      </c>
      <c r="C704" s="409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3525.4531757812501</v>
      </c>
      <c r="H704" s="25">
        <f>IF(B704&lt;62,0,'Combined Retirement'!$I$14)</f>
        <v>2192</v>
      </c>
      <c r="I704" s="25">
        <f>IF(C704&lt;62,0,'Combined Retirement'!$I$13)</f>
        <v>2420</v>
      </c>
      <c r="J704" s="25">
        <f t="shared" si="523"/>
        <v>6404.7404596389215</v>
      </c>
      <c r="K704" s="25">
        <f t="shared" si="524"/>
        <v>16520.094745597391</v>
      </c>
      <c r="L704" s="25"/>
      <c r="N704" s="25">
        <f>'Combined Retirement'!$C$18/12</f>
        <v>33932.660666666663</v>
      </c>
      <c r="O704" s="25">
        <f t="shared" si="525"/>
        <v>11007.82546143035</v>
      </c>
      <c r="P704" s="25">
        <f t="shared" si="526"/>
        <v>22924.835205236312</v>
      </c>
      <c r="Q704" s="25">
        <f t="array" aca="1" ref="Q704" ca="1">INDEX('Isaac 401k'!L:L,MATCH('Retirement Calculator'!A704,'Isaac 401k'!N:N,0),0)</f>
        <v>8505482.2735071704</v>
      </c>
      <c r="R704" s="25">
        <f t="array" aca="1" ref="R704" ca="1">INDEX('Lorri 401b'!L:L,MATCH('Retirement Calculator'!A704,'Lorri 401b'!N:N,0),0)</f>
        <v>7889115.6447000317</v>
      </c>
      <c r="S704" s="25">
        <f t="shared" ca="1" si="527"/>
        <v>16394597.918207202</v>
      </c>
    </row>
    <row r="705" spans="1:19" ht="15.75" customHeight="1" x14ac:dyDescent="0.3">
      <c r="A705" s="37">
        <v>72411</v>
      </c>
      <c r="B705" s="409">
        <f t="shared" ref="B705:C705" si="711">($A705-B$9)/365.25</f>
        <v>116.37234770704997</v>
      </c>
      <c r="C705" s="409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3525.4531757812501</v>
      </c>
      <c r="H705" s="25">
        <f>IF(B705&lt;62,0,'Combined Retirement'!$I$14)</f>
        <v>2192</v>
      </c>
      <c r="I705" s="25">
        <f>IF(C705&lt;62,0,'Combined Retirement'!$I$13)</f>
        <v>2420</v>
      </c>
      <c r="J705" s="25">
        <f t="shared" si="523"/>
        <v>6404.7404596389215</v>
      </c>
      <c r="K705" s="25">
        <f t="shared" si="524"/>
        <v>16520.094745597391</v>
      </c>
      <c r="L705" s="25"/>
      <c r="N705" s="25">
        <f>'Combined Retirement'!$C$18/12</f>
        <v>33932.660666666663</v>
      </c>
      <c r="O705" s="25">
        <f t="shared" si="525"/>
        <v>11007.82546143035</v>
      </c>
      <c r="P705" s="25">
        <f t="shared" si="526"/>
        <v>22924.835205236312</v>
      </c>
      <c r="Q705" s="25">
        <f t="array" aca="1" ref="Q705" ca="1">INDEX('Isaac 401k'!L:L,MATCH('Retirement Calculator'!A705,'Isaac 401k'!N:N,0),0)</f>
        <v>8534490.3561018948</v>
      </c>
      <c r="R705" s="25">
        <f t="array" aca="1" ref="R705" ca="1">INDEX('Lorri 401b'!L:L,MATCH('Retirement Calculator'!A705,'Lorri 401b'!N:N,0),0)</f>
        <v>7905398.0314125773</v>
      </c>
      <c r="S705" s="25">
        <f t="shared" ca="1" si="527"/>
        <v>16439888.387514472</v>
      </c>
    </row>
    <row r="706" spans="1:19" ht="15.75" customHeight="1" x14ac:dyDescent="0.3">
      <c r="A706" s="37">
        <v>72441</v>
      </c>
      <c r="B706" s="409">
        <f t="shared" ref="B706:C706" si="712">($A706-B$9)/365.25</f>
        <v>116.45448323066393</v>
      </c>
      <c r="C706" s="409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3525.4531757812501</v>
      </c>
      <c r="H706" s="25">
        <f>IF(B706&lt;62,0,'Combined Retirement'!$I$14)</f>
        <v>2192</v>
      </c>
      <c r="I706" s="25">
        <f>IF(C706&lt;62,0,'Combined Retirement'!$I$13)</f>
        <v>2420</v>
      </c>
      <c r="J706" s="25">
        <f t="shared" si="523"/>
        <v>6404.7404596389215</v>
      </c>
      <c r="K706" s="25">
        <f t="shared" si="524"/>
        <v>16520.094745597391</v>
      </c>
      <c r="L706" s="25"/>
      <c r="N706" s="25">
        <f>'Combined Retirement'!$C$18/12</f>
        <v>33932.660666666663</v>
      </c>
      <c r="O706" s="25">
        <f t="shared" si="525"/>
        <v>11007.82546143035</v>
      </c>
      <c r="P706" s="25">
        <f t="shared" si="526"/>
        <v>22924.835205236312</v>
      </c>
      <c r="Q706" s="25">
        <f t="array" aca="1" ref="Q706" ca="1">INDEX('Isaac 401k'!L:L,MATCH('Retirement Calculator'!A706,'Isaac 401k'!N:N,0),0)</f>
        <v>8563619.3057074305</v>
      </c>
      <c r="R706" s="25">
        <f t="array" aca="1" ref="R706" ca="1">INDEX('Lorri 401b'!L:L,MATCH('Retirement Calculator'!A706,'Lorri 401b'!N:N,0),0)</f>
        <v>7921748.2614030922</v>
      </c>
      <c r="S706" s="25">
        <f t="shared" ca="1" si="527"/>
        <v>16485367.567110524</v>
      </c>
    </row>
    <row r="707" spans="1:19" ht="15.75" customHeight="1" x14ac:dyDescent="0.3">
      <c r="A707" s="37">
        <v>72472</v>
      </c>
      <c r="B707" s="409">
        <f t="shared" ref="B707:C707" si="713">($A707-B$9)/365.25</f>
        <v>116.53935660506502</v>
      </c>
      <c r="C707" s="409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3525.4531757812501</v>
      </c>
      <c r="H707" s="25">
        <f>IF(B707&lt;62,0,'Combined Retirement'!$I$14)</f>
        <v>2192</v>
      </c>
      <c r="I707" s="25">
        <f>IF(C707&lt;62,0,'Combined Retirement'!$I$13)</f>
        <v>2420</v>
      </c>
      <c r="J707" s="25">
        <f t="shared" si="523"/>
        <v>6404.7404596389215</v>
      </c>
      <c r="K707" s="25">
        <f t="shared" si="524"/>
        <v>16520.094745597391</v>
      </c>
      <c r="L707" s="25"/>
      <c r="N707" s="25">
        <f>'Combined Retirement'!$C$18/12</f>
        <v>33932.660666666663</v>
      </c>
      <c r="O707" s="25">
        <f t="shared" si="525"/>
        <v>11007.82546143035</v>
      </c>
      <c r="P707" s="25">
        <f t="shared" si="526"/>
        <v>22924.835205236312</v>
      </c>
      <c r="Q707" s="25">
        <f t="array" aca="1" ref="Q707" ca="1">INDEX('Isaac 401k'!L:L,MATCH('Retirement Calculator'!A707,'Isaac 401k'!N:N,0),0)</f>
        <v>8592869.6259363238</v>
      </c>
      <c r="R707" s="25">
        <f t="array" aca="1" ref="R707" ca="1">INDEX('Lorri 401b'!L:L,MATCH('Retirement Calculator'!A707,'Lorri 401b'!N:N,0),0)</f>
        <v>7938166.6173519008</v>
      </c>
      <c r="S707" s="25">
        <f t="shared" ca="1" si="527"/>
        <v>16531036.243288225</v>
      </c>
    </row>
    <row r="708" spans="1:19" ht="15.75" customHeight="1" x14ac:dyDescent="0.3">
      <c r="A708" s="37">
        <v>72502</v>
      </c>
      <c r="B708" s="409">
        <f t="shared" ref="B708:C708" si="714">($A708-B$9)/365.25</f>
        <v>116.62149212867898</v>
      </c>
      <c r="C708" s="409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3525.4531757812501</v>
      </c>
      <c r="H708" s="25">
        <f>IF(B708&lt;62,0,'Combined Retirement'!$I$14)</f>
        <v>2192</v>
      </c>
      <c r="I708" s="25">
        <f>IF(C708&lt;62,0,'Combined Retirement'!$I$13)</f>
        <v>2420</v>
      </c>
      <c r="J708" s="25">
        <f t="shared" si="523"/>
        <v>6404.7404596389215</v>
      </c>
      <c r="K708" s="25">
        <f t="shared" si="524"/>
        <v>16520.094745597391</v>
      </c>
      <c r="L708" s="25"/>
      <c r="N708" s="25">
        <f>'Combined Retirement'!$C$18/12</f>
        <v>33932.660666666663</v>
      </c>
      <c r="O708" s="25">
        <f t="shared" si="525"/>
        <v>11007.82546143035</v>
      </c>
      <c r="P708" s="25">
        <f t="shared" si="526"/>
        <v>22924.835205236312</v>
      </c>
      <c r="Q708" s="25">
        <f t="array" aca="1" ref="Q708" ca="1">INDEX('Isaac 401k'!L:L,MATCH('Retirement Calculator'!A708,'Isaac 401k'!N:N,0),0)</f>
        <v>8622241.8224995043</v>
      </c>
      <c r="R708" s="25">
        <f t="array" aca="1" ref="R708" ca="1">INDEX('Lorri 401b'!L:L,MATCH('Retirement Calculator'!A708,'Lorri 401b'!N:N,0),0)</f>
        <v>7954653.3831171626</v>
      </c>
      <c r="S708" s="25">
        <f t="shared" ca="1" si="527"/>
        <v>16576895.205616668</v>
      </c>
    </row>
    <row r="709" spans="1:19" ht="15.75" customHeight="1" x14ac:dyDescent="0.3">
      <c r="A709" s="37">
        <v>72533</v>
      </c>
      <c r="B709" s="409">
        <f t="shared" ref="B709:C709" si="715">($A709-B$9)/365.25</f>
        <v>116.70636550308008</v>
      </c>
      <c r="C709" s="409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3525.4531757812501</v>
      </c>
      <c r="H709" s="25">
        <f>IF(B709&lt;62,0,'Combined Retirement'!$I$14)</f>
        <v>2192</v>
      </c>
      <c r="I709" s="25">
        <f>IF(C709&lt;62,0,'Combined Retirement'!$I$13)</f>
        <v>2420</v>
      </c>
      <c r="J709" s="25">
        <f t="shared" si="523"/>
        <v>6404.7404596389215</v>
      </c>
      <c r="K709" s="25">
        <f t="shared" si="524"/>
        <v>16520.094745597391</v>
      </c>
      <c r="L709" s="25"/>
      <c r="N709" s="25">
        <f>'Combined Retirement'!$C$18/12</f>
        <v>33932.660666666663</v>
      </c>
      <c r="O709" s="25">
        <f t="shared" si="525"/>
        <v>11007.82546143035</v>
      </c>
      <c r="P709" s="25">
        <f t="shared" si="526"/>
        <v>22924.835205236312</v>
      </c>
      <c r="Q709" s="25">
        <f t="array" aca="1" ref="Q709" ca="1">INDEX('Isaac 401k'!L:L,MATCH('Retirement Calculator'!A709,'Isaac 401k'!N:N,0),0)</f>
        <v>8651736.4032150302</v>
      </c>
      <c r="R709" s="25">
        <f t="array" aca="1" ref="R709" ca="1">INDEX('Lorri 401b'!L:L,MATCH('Retirement Calculator'!A709,'Lorri 401b'!N:N,0),0)</f>
        <v>7971208.8437397797</v>
      </c>
      <c r="S709" s="25">
        <f t="shared" ca="1" si="527"/>
        <v>16622945.24695481</v>
      </c>
    </row>
    <row r="710" spans="1:19" ht="15.75" customHeight="1" x14ac:dyDescent="0.3">
      <c r="A710" s="37">
        <v>72564</v>
      </c>
      <c r="B710" s="409">
        <f t="shared" ref="B710:C710" si="716">($A710-B$9)/365.25</f>
        <v>116.79123887748118</v>
      </c>
      <c r="C710" s="409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3525.4531757812501</v>
      </c>
      <c r="H710" s="25">
        <f>IF(B710&lt;62,0,'Combined Retirement'!$I$14)</f>
        <v>2192</v>
      </c>
      <c r="I710" s="25">
        <f>IF(C710&lt;62,0,'Combined Retirement'!$I$13)</f>
        <v>2420</v>
      </c>
      <c r="J710" s="25">
        <f t="shared" si="523"/>
        <v>6404.7404596389215</v>
      </c>
      <c r="K710" s="25">
        <f t="shared" si="524"/>
        <v>16520.094745597391</v>
      </c>
      <c r="L710" s="25"/>
      <c r="N710" s="25">
        <f>'Combined Retirement'!$C$18/12</f>
        <v>33932.660666666663</v>
      </c>
      <c r="O710" s="25">
        <f t="shared" si="525"/>
        <v>11007.82546143035</v>
      </c>
      <c r="P710" s="25">
        <f t="shared" si="526"/>
        <v>22924.835205236312</v>
      </c>
      <c r="Q710" s="25">
        <f t="array" aca="1" ref="Q710" ca="1">INDEX('Isaac 401k'!L:L,MATCH('Retirement Calculator'!A710,'Isaac 401k'!N:N,0),0)</f>
        <v>8681353.8780168723</v>
      </c>
      <c r="R710" s="25">
        <f t="array" aca="1" ref="R710" ca="1">INDEX('Lorri 401b'!L:L,MATCH('Retirement Calculator'!A710,'Lorri 401b'!N:N,0),0)</f>
        <v>7987833.2854483239</v>
      </c>
      <c r="S710" s="25">
        <f t="shared" ca="1" si="527"/>
        <v>16669187.163465196</v>
      </c>
    </row>
    <row r="711" spans="1:19" ht="15.75" customHeight="1" x14ac:dyDescent="0.3">
      <c r="A711" s="37">
        <v>72594</v>
      </c>
      <c r="B711" s="409">
        <f t="shared" ref="B711:C711" si="717">($A711-B$9)/365.25</f>
        <v>116.87337440109513</v>
      </c>
      <c r="C711" s="409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3525.4531757812501</v>
      </c>
      <c r="H711" s="25">
        <f>IF(B711&lt;62,0,'Combined Retirement'!$I$14)</f>
        <v>2192</v>
      </c>
      <c r="I711" s="25">
        <f>IF(C711&lt;62,0,'Combined Retirement'!$I$13)</f>
        <v>2420</v>
      </c>
      <c r="J711" s="25">
        <f t="shared" si="523"/>
        <v>6404.7404596389215</v>
      </c>
      <c r="K711" s="25">
        <f t="shared" si="524"/>
        <v>16520.094745597391</v>
      </c>
      <c r="L711" s="25"/>
      <c r="N711" s="25">
        <f>'Combined Retirement'!$C$18/12</f>
        <v>33932.660666666663</v>
      </c>
      <c r="O711" s="25">
        <f t="shared" si="525"/>
        <v>11007.82546143035</v>
      </c>
      <c r="P711" s="25">
        <f t="shared" si="526"/>
        <v>22924.835205236312</v>
      </c>
      <c r="Q711" s="25">
        <f t="array" aca="1" ref="Q711" ca="1">INDEX('Isaac 401k'!L:L,MATCH('Retirement Calculator'!A711,'Isaac 401k'!N:N,0),0)</f>
        <v>8711094.7589637209</v>
      </c>
      <c r="R711" s="25">
        <f t="array" aca="1" ref="R711" ca="1">INDEX('Lorri 401b'!L:L,MATCH('Retirement Calculator'!A711,'Lorri 401b'!N:N,0),0)</f>
        <v>8004526.9956639875</v>
      </c>
      <c r="S711" s="25">
        <f t="shared" ca="1" si="527"/>
        <v>16715621.754627708</v>
      </c>
    </row>
    <row r="712" spans="1:19" ht="15.75" customHeight="1" x14ac:dyDescent="0.3">
      <c r="A712" s="37">
        <v>72625</v>
      </c>
      <c r="B712" s="409">
        <f t="shared" ref="B712:C712" si="718">($A712-B$9)/365.25</f>
        <v>116.95824777549623</v>
      </c>
      <c r="C712" s="409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3525.4531757812501</v>
      </c>
      <c r="H712" s="25">
        <f>IF(B712&lt;62,0,'Combined Retirement'!$I$14)</f>
        <v>2192</v>
      </c>
      <c r="I712" s="25">
        <f>IF(C712&lt;62,0,'Combined Retirement'!$I$13)</f>
        <v>2420</v>
      </c>
      <c r="J712" s="25">
        <f t="shared" si="523"/>
        <v>6404.7404596389215</v>
      </c>
      <c r="K712" s="25">
        <f t="shared" si="524"/>
        <v>16520.094745597391</v>
      </c>
      <c r="L712" s="25"/>
      <c r="N712" s="25">
        <f>'Combined Retirement'!$C$18/12</f>
        <v>33932.660666666663</v>
      </c>
      <c r="O712" s="25">
        <f t="shared" si="525"/>
        <v>11007.82546143035</v>
      </c>
      <c r="P712" s="25">
        <f t="shared" si="526"/>
        <v>22924.835205236312</v>
      </c>
      <c r="Q712" s="25">
        <f t="array" aca="1" ref="Q712" ca="1">INDEX('Isaac 401k'!L:L,MATCH('Retirement Calculator'!A712,'Isaac 401k'!N:N,0),0)</f>
        <v>8740959.5602478478</v>
      </c>
      <c r="R712" s="25">
        <f t="array" aca="1" ref="R712" ca="1">INDEX('Lorri 401b'!L:L,MATCH('Retirement Calculator'!A712,'Lorri 401b'!N:N,0),0)</f>
        <v>8021290.26300555</v>
      </c>
      <c r="S712" s="25">
        <f t="shared" ca="1" si="527"/>
        <v>16762249.823253397</v>
      </c>
    </row>
    <row r="713" spans="1:19" ht="15.75" customHeight="1" x14ac:dyDescent="0.3">
      <c r="A713" s="37">
        <v>72655</v>
      </c>
      <c r="B713" s="409">
        <f t="shared" ref="B713:C713" si="719">($A713-B$9)/365.25</f>
        <v>117.0403832991102</v>
      </c>
      <c r="C713" s="409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3525.4531757812501</v>
      </c>
      <c r="H713" s="25">
        <f>IF(B713&lt;62,0,'Combined Retirement'!$I$14)</f>
        <v>2192</v>
      </c>
      <c r="I713" s="25">
        <f>IF(C713&lt;62,0,'Combined Retirement'!$I$13)</f>
        <v>2420</v>
      </c>
      <c r="J713" s="25">
        <f t="shared" si="523"/>
        <v>6404.7404596389215</v>
      </c>
      <c r="K713" s="25">
        <f t="shared" si="524"/>
        <v>16520.094745597391</v>
      </c>
      <c r="L713" s="25"/>
      <c r="N713" s="25">
        <f>'Combined Retirement'!$C$18/12</f>
        <v>33932.660666666663</v>
      </c>
      <c r="O713" s="25">
        <f t="shared" si="525"/>
        <v>11007.82546143035</v>
      </c>
      <c r="P713" s="25">
        <f t="shared" si="526"/>
        <v>22924.835205236312</v>
      </c>
      <c r="Q713" s="25">
        <f t="array" aca="1" ref="Q713" ca="1">INDEX('Isaac 401k'!L:L,MATCH('Retirement Calculator'!A713,'Isaac 401k'!N:N,0),0)</f>
        <v>8770948.7982039917</v>
      </c>
      <c r="R713" s="25">
        <f t="array" aca="1" ref="R713" ca="1">INDEX('Lorri 401b'!L:L,MATCH('Retirement Calculator'!A713,'Lorri 401b'!N:N,0),0)</f>
        <v>8038123.377294369</v>
      </c>
      <c r="S713" s="25">
        <f t="shared" ca="1" si="527"/>
        <v>16809072.175498359</v>
      </c>
    </row>
    <row r="714" spans="1:19" ht="15.75" customHeight="1" x14ac:dyDescent="0.3">
      <c r="A714" s="37">
        <v>72686</v>
      </c>
      <c r="B714" s="409">
        <f t="shared" ref="B714:C714" si="720">($A714-B$9)/365.25</f>
        <v>117.12525667351129</v>
      </c>
      <c r="C714" s="409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3525.4531757812501</v>
      </c>
      <c r="H714" s="25">
        <f>IF(B714&lt;62,0,'Combined Retirement'!$I$14)</f>
        <v>2192</v>
      </c>
      <c r="I714" s="25">
        <f>IF(C714&lt;62,0,'Combined Retirement'!$I$13)</f>
        <v>2420</v>
      </c>
      <c r="J714" s="25">
        <f t="shared" si="523"/>
        <v>6404.7404596389215</v>
      </c>
      <c r="K714" s="25">
        <f t="shared" si="524"/>
        <v>16520.094745597391</v>
      </c>
      <c r="L714" s="25"/>
      <c r="N714" s="25">
        <f>'Combined Retirement'!$C$18/12</f>
        <v>33932.660666666663</v>
      </c>
      <c r="O714" s="25">
        <f t="shared" si="525"/>
        <v>11007.82546143035</v>
      </c>
      <c r="P714" s="25">
        <f t="shared" si="526"/>
        <v>22924.835205236312</v>
      </c>
      <c r="Q714" s="25">
        <f t="array" aca="1" ref="Q714" ca="1">INDEX('Isaac 401k'!L:L,MATCH('Retirement Calculator'!A714,'Isaac 401k'!N:N,0),0)</f>
        <v>8801062.9913182873</v>
      </c>
      <c r="R714" s="25">
        <f t="array" aca="1" ref="R714" ca="1">INDEX('Lorri 401b'!L:L,MATCH('Retirement Calculator'!A714,'Lorri 401b'!N:N,0),0)</f>
        <v>8055026.6295593912</v>
      </c>
      <c r="S714" s="25">
        <f t="shared" ca="1" si="527"/>
        <v>16856089.620877679</v>
      </c>
    </row>
    <row r="715" spans="1:19" ht="15.75" customHeight="1" x14ac:dyDescent="0.3">
      <c r="A715" s="37">
        <v>72717</v>
      </c>
      <c r="B715" s="409">
        <f t="shared" ref="B715:C715" si="721">($A715-B$9)/365.25</f>
        <v>117.21013004791239</v>
      </c>
      <c r="C715" s="409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3525.4531757812501</v>
      </c>
      <c r="H715" s="25">
        <f>IF(B715&lt;62,0,'Combined Retirement'!$I$14)</f>
        <v>2192</v>
      </c>
      <c r="I715" s="25">
        <f>IF(C715&lt;62,0,'Combined Retirement'!$I$13)</f>
        <v>2420</v>
      </c>
      <c r="J715" s="25">
        <f t="shared" si="523"/>
        <v>6404.7404596389215</v>
      </c>
      <c r="K715" s="25">
        <f t="shared" si="524"/>
        <v>16520.094745597391</v>
      </c>
      <c r="L715" s="25"/>
      <c r="N715" s="25">
        <f>'Combined Retirement'!$C$18/12</f>
        <v>33932.660666666663</v>
      </c>
      <c r="O715" s="25">
        <f t="shared" si="525"/>
        <v>11007.82546143035</v>
      </c>
      <c r="P715" s="25">
        <f t="shared" si="526"/>
        <v>22924.835205236312</v>
      </c>
      <c r="Q715" s="25">
        <f t="array" aca="1" ref="Q715" ca="1">INDEX('Isaac 401k'!L:L,MATCH('Retirement Calculator'!A715,'Isaac 401k'!N:N,0),0)</f>
        <v>8831302.6602372248</v>
      </c>
      <c r="R715" s="25">
        <f t="array" aca="1" ref="R715" ca="1">INDEX('Lorri 401b'!L:L,MATCH('Retirement Calculator'!A715,'Lorri 401b'!N:N,0),0)</f>
        <v>8072000.3120421842</v>
      </c>
      <c r="S715" s="25">
        <f t="shared" ca="1" si="527"/>
        <v>16903302.972279407</v>
      </c>
    </row>
    <row r="716" spans="1:19" ht="15.75" customHeight="1" x14ac:dyDescent="0.3">
      <c r="A716" s="37">
        <v>72745</v>
      </c>
      <c r="B716" s="409">
        <f t="shared" ref="B716:C716" si="722">($A716-B$9)/365.25</f>
        <v>117.28678986995209</v>
      </c>
      <c r="C716" s="409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3525.4531757812501</v>
      </c>
      <c r="H716" s="25">
        <f>IF(B716&lt;62,0,'Combined Retirement'!$I$14)</f>
        <v>2192</v>
      </c>
      <c r="I716" s="25">
        <f>IF(C716&lt;62,0,'Combined Retirement'!$I$13)</f>
        <v>2420</v>
      </c>
      <c r="J716" s="25">
        <f t="shared" si="523"/>
        <v>6404.7404596389215</v>
      </c>
      <c r="K716" s="25">
        <f t="shared" si="524"/>
        <v>16520.094745597391</v>
      </c>
      <c r="L716" s="25"/>
      <c r="N716" s="25">
        <f>'Combined Retirement'!$C$18/12</f>
        <v>33932.660666666663</v>
      </c>
      <c r="O716" s="25">
        <f t="shared" si="525"/>
        <v>11007.82546143035</v>
      </c>
      <c r="P716" s="25">
        <f t="shared" si="526"/>
        <v>22924.835205236312</v>
      </c>
      <c r="Q716" s="25">
        <f t="array" aca="1" ref="Q716" ca="1">INDEX('Isaac 401k'!L:L,MATCH('Retirement Calculator'!A716,'Isaac 401k'!N:N,0),0)</f>
        <v>8861668.3277766593</v>
      </c>
      <c r="R716" s="25">
        <f t="array" aca="1" ref="R716" ca="1">INDEX('Lorri 401b'!L:L,MATCH('Retirement Calculator'!A716,'Lorri 401b'!N:N,0),0)</f>
        <v>8089044.7182019884</v>
      </c>
      <c r="S716" s="25">
        <f t="shared" ca="1" si="527"/>
        <v>16950713.045978647</v>
      </c>
    </row>
    <row r="717" spans="1:19" ht="15.75" customHeight="1" x14ac:dyDescent="0.3">
      <c r="A717" s="37">
        <v>72776</v>
      </c>
      <c r="B717" s="409">
        <f t="shared" ref="B717:C717" si="723">($A717-B$9)/365.25</f>
        <v>117.37166324435319</v>
      </c>
      <c r="C717" s="409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3525.4531757812501</v>
      </c>
      <c r="H717" s="25">
        <f>IF(B717&lt;62,0,'Combined Retirement'!$I$14)</f>
        <v>2192</v>
      </c>
      <c r="I717" s="25">
        <f>IF(C717&lt;62,0,'Combined Retirement'!$I$13)</f>
        <v>2420</v>
      </c>
      <c r="J717" s="25">
        <f t="shared" si="523"/>
        <v>6404.7404596389215</v>
      </c>
      <c r="K717" s="25">
        <f t="shared" si="524"/>
        <v>16520.094745597391</v>
      </c>
      <c r="L717" s="25"/>
      <c r="N717" s="25">
        <f>'Combined Retirement'!$C$18/12</f>
        <v>33932.660666666663</v>
      </c>
      <c r="O717" s="25">
        <f t="shared" si="525"/>
        <v>11007.82546143035</v>
      </c>
      <c r="P717" s="25">
        <f t="shared" si="526"/>
        <v>22924.835205236312</v>
      </c>
      <c r="Q717" s="25">
        <f t="array" aca="1" ref="Q717" ca="1">INDEX('Isaac 401k'!L:L,MATCH('Retirement Calculator'!A717,'Isaac 401k'!N:N,0),0)</f>
        <v>8892160.5189308412</v>
      </c>
      <c r="R717" s="25">
        <f t="array" aca="1" ref="R717" ca="1">INDEX('Lorri 401b'!L:L,MATCH('Retirement Calculator'!A717,'Lorri 401b'!N:N,0),0)</f>
        <v>8106160.1427207924</v>
      </c>
      <c r="S717" s="25">
        <f t="shared" ca="1" si="527"/>
        <v>16998320.661651634</v>
      </c>
    </row>
    <row r="718" spans="1:19" ht="15.75" customHeight="1" x14ac:dyDescent="0.3">
      <c r="A718" s="37">
        <v>72806</v>
      </c>
      <c r="B718" s="409">
        <f t="shared" ref="B718:C718" si="724">($A718-B$9)/365.25</f>
        <v>117.45379876796714</v>
      </c>
      <c r="C718" s="409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3525.4531757812501</v>
      </c>
      <c r="H718" s="25">
        <f>IF(B718&lt;62,0,'Combined Retirement'!$I$14)</f>
        <v>2192</v>
      </c>
      <c r="I718" s="25">
        <f>IF(C718&lt;62,0,'Combined Retirement'!$I$13)</f>
        <v>2420</v>
      </c>
      <c r="J718" s="25">
        <f t="shared" si="523"/>
        <v>6404.7404596389215</v>
      </c>
      <c r="K718" s="25">
        <f t="shared" si="524"/>
        <v>16520.094745597391</v>
      </c>
      <c r="L718" s="25"/>
      <c r="N718" s="25">
        <f>'Combined Retirement'!$C$18/12</f>
        <v>33932.660666666663</v>
      </c>
      <c r="O718" s="25">
        <f t="shared" si="525"/>
        <v>11007.82546143035</v>
      </c>
      <c r="P718" s="25">
        <f t="shared" si="526"/>
        <v>22924.835205236312</v>
      </c>
      <c r="Q718" s="25">
        <f t="array" aca="1" ref="Q718" ca="1">INDEX('Isaac 401k'!L:L,MATCH('Retirement Calculator'!A718,'Isaac 401k'!N:N,0),0)</f>
        <v>8922779.7608814985</v>
      </c>
      <c r="R718" s="25">
        <f t="array" aca="1" ref="R718" ca="1">INDEX('Lorri 401b'!L:L,MATCH('Retirement Calculator'!A718,'Lorri 401b'!N:N,0),0)</f>
        <v>8123346.8815084249</v>
      </c>
      <c r="S718" s="25">
        <f t="shared" ca="1" si="527"/>
        <v>17046126.642389923</v>
      </c>
    </row>
    <row r="719" spans="1:19" ht="15.75" customHeight="1" x14ac:dyDescent="0.3">
      <c r="A719" s="37">
        <v>72837</v>
      </c>
      <c r="B719" s="409">
        <f t="shared" ref="B719:C719" si="725">($A719-B$9)/365.25</f>
        <v>117.53867214236824</v>
      </c>
      <c r="C719" s="409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3525.4531757812501</v>
      </c>
      <c r="H719" s="25">
        <f>IF(B719&lt;62,0,'Combined Retirement'!$I$14)</f>
        <v>2192</v>
      </c>
      <c r="I719" s="25">
        <f>IF(C719&lt;62,0,'Combined Retirement'!$I$13)</f>
        <v>2420</v>
      </c>
      <c r="J719" s="25">
        <f t="shared" si="523"/>
        <v>6404.7404596389215</v>
      </c>
      <c r="K719" s="25">
        <f t="shared" si="524"/>
        <v>16520.094745597391</v>
      </c>
      <c r="L719" s="25"/>
      <c r="N719" s="25">
        <f>'Combined Retirement'!$C$18/12</f>
        <v>33932.660666666663</v>
      </c>
      <c r="O719" s="25">
        <f t="shared" si="525"/>
        <v>11007.82546143035</v>
      </c>
      <c r="P719" s="25">
        <f t="shared" si="526"/>
        <v>22924.835205236312</v>
      </c>
      <c r="Q719" s="25">
        <f t="array" aca="1" ref="Q719" ca="1">INDEX('Isaac 401k'!L:L,MATCH('Retirement Calculator'!A719,'Isaac 401k'!N:N,0),0)</f>
        <v>8953526.5830069501</v>
      </c>
      <c r="R719" s="25">
        <f t="array" aca="1" ref="R719" ca="1">INDEX('Lorri 401b'!L:L,MATCH('Retirement Calculator'!A719,'Lorri 401b'!N:N,0),0)</f>
        <v>8140605.2317076726</v>
      </c>
      <c r="S719" s="25">
        <f t="shared" ca="1" si="527"/>
        <v>17094131.814714622</v>
      </c>
    </row>
    <row r="720" spans="1:19" ht="15.75" customHeight="1" x14ac:dyDescent="0.3">
      <c r="A720" s="37">
        <v>72867</v>
      </c>
      <c r="B720" s="409">
        <f t="shared" ref="B720:C720" si="726">($A720-B$9)/365.25</f>
        <v>117.6208076659822</v>
      </c>
      <c r="C720" s="409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3525.4531757812501</v>
      </c>
      <c r="H720" s="25">
        <f>IF(B720&lt;62,0,'Combined Retirement'!$I$14)</f>
        <v>2192</v>
      </c>
      <c r="I720" s="25">
        <f>IF(C720&lt;62,0,'Combined Retirement'!$I$13)</f>
        <v>2420</v>
      </c>
      <c r="J720" s="25">
        <f t="shared" si="523"/>
        <v>6404.7404596389215</v>
      </c>
      <c r="K720" s="25">
        <f t="shared" si="524"/>
        <v>16520.094745597391</v>
      </c>
      <c r="L720" s="25"/>
      <c r="N720" s="25">
        <f>'Combined Retirement'!$C$18/12</f>
        <v>33932.660666666663</v>
      </c>
      <c r="O720" s="25">
        <f t="shared" si="525"/>
        <v>11007.82546143035</v>
      </c>
      <c r="P720" s="25">
        <f t="shared" si="526"/>
        <v>22924.835205236312</v>
      </c>
      <c r="Q720" s="25">
        <f t="array" aca="1" ref="Q720" ca="1">INDEX('Isaac 401k'!L:L,MATCH('Retirement Calculator'!A720,'Isaac 401k'!N:N,0),0)</f>
        <v>8984401.5168912578</v>
      </c>
      <c r="R720" s="25">
        <f t="array" aca="1" ref="R720" ca="1">INDEX('Lorri 401b'!L:L,MATCH('Retirement Calculator'!A720,'Lorri 401b'!N:N,0),0)</f>
        <v>8157935.4916994171</v>
      </c>
      <c r="S720" s="25">
        <f t="shared" ca="1" si="527"/>
        <v>17142337.008590676</v>
      </c>
    </row>
    <row r="721" spans="1:19" ht="15.75" customHeight="1" x14ac:dyDescent="0.3">
      <c r="A721" s="37">
        <v>72898</v>
      </c>
      <c r="B721" s="409">
        <f t="shared" ref="B721:C721" si="727">($A721-B$9)/365.25</f>
        <v>117.7056810403833</v>
      </c>
      <c r="C721" s="409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3525.4531757812501</v>
      </c>
      <c r="H721" s="25">
        <f>IF(B721&lt;62,0,'Combined Retirement'!$I$14)</f>
        <v>2192</v>
      </c>
      <c r="I721" s="25">
        <f>IF(C721&lt;62,0,'Combined Retirement'!$I$13)</f>
        <v>2420</v>
      </c>
      <c r="J721" s="25">
        <f t="shared" si="523"/>
        <v>6404.7404596389215</v>
      </c>
      <c r="K721" s="25">
        <f t="shared" si="524"/>
        <v>16520.094745597391</v>
      </c>
      <c r="L721" s="25"/>
      <c r="N721" s="25">
        <f>'Combined Retirement'!$C$18/12</f>
        <v>33932.660666666663</v>
      </c>
      <c r="O721" s="25">
        <f t="shared" si="525"/>
        <v>11007.82546143035</v>
      </c>
      <c r="P721" s="25">
        <f t="shared" si="526"/>
        <v>22924.835205236312</v>
      </c>
      <c r="Q721" s="25">
        <f t="array" aca="1" ref="Q721" ca="1">INDEX('Isaac 401k'!L:L,MATCH('Retirement Calculator'!A721,'Isaac 401k'!N:N,0),0)</f>
        <v>9015405.0963334162</v>
      </c>
      <c r="R721" s="25">
        <f t="array" aca="1" ref="R721" ca="1">INDEX('Lorri 401b'!L:L,MATCH('Retirement Calculator'!A721,'Lorri 401b'!N:N,0),0)</f>
        <v>8175337.9611077933</v>
      </c>
      <c r="S721" s="25">
        <f t="shared" ca="1" si="527"/>
        <v>17190743.057441209</v>
      </c>
    </row>
    <row r="722" spans="1:19" ht="15.75" customHeight="1" x14ac:dyDescent="0.3">
      <c r="A722" s="37">
        <v>72929</v>
      </c>
      <c r="B722" s="409">
        <f t="shared" ref="B722:C722" si="728">($A722-B$9)/365.25</f>
        <v>117.7905544147844</v>
      </c>
      <c r="C722" s="409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3525.4531757812501</v>
      </c>
      <c r="H722" s="25">
        <f>IF(B722&lt;62,0,'Combined Retirement'!$I$14)</f>
        <v>2192</v>
      </c>
      <c r="I722" s="25">
        <f>IF(C722&lt;62,0,'Combined Retirement'!$I$13)</f>
        <v>2420</v>
      </c>
      <c r="J722" s="25">
        <f t="shared" si="523"/>
        <v>6404.7404596389215</v>
      </c>
      <c r="K722" s="25">
        <f t="shared" si="524"/>
        <v>16520.094745597391</v>
      </c>
      <c r="L722" s="25"/>
      <c r="N722" s="25">
        <f>'Combined Retirement'!$C$18/12</f>
        <v>33932.660666666663</v>
      </c>
      <c r="O722" s="25">
        <f t="shared" si="525"/>
        <v>11007.82546143035</v>
      </c>
      <c r="P722" s="25">
        <f t="shared" si="526"/>
        <v>22924.835205236312</v>
      </c>
      <c r="Q722" s="25">
        <f t="array" aca="1" ref="Q722" ca="1">INDEX('Isaac 401k'!L:L,MATCH('Retirement Calculator'!A722,'Isaac 401k'!N:N,0),0)</f>
        <v>9046537.8573565837</v>
      </c>
      <c r="R722" s="25">
        <f t="array" aca="1" ref="R722" ca="1">INDEX('Lorri 401b'!L:L,MATCH('Retirement Calculator'!A722,'Lorri 401b'!N:N,0),0)</f>
        <v>8192812.9408053709</v>
      </c>
      <c r="S722" s="25">
        <f t="shared" ca="1" si="527"/>
        <v>17239350.798161954</v>
      </c>
    </row>
    <row r="723" spans="1:19" ht="15.75" customHeight="1" x14ac:dyDescent="0.3">
      <c r="A723" s="37">
        <v>72959</v>
      </c>
      <c r="B723" s="409">
        <f t="shared" ref="B723:C723" si="729">($A723-B$9)/365.25</f>
        <v>117.87268993839835</v>
      </c>
      <c r="C723" s="409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3525.4531757812501</v>
      </c>
      <c r="H723" s="25">
        <f>IF(B723&lt;62,0,'Combined Retirement'!$I$14)</f>
        <v>2192</v>
      </c>
      <c r="I723" s="25">
        <f>IF(C723&lt;62,0,'Combined Retirement'!$I$13)</f>
        <v>2420</v>
      </c>
      <c r="J723" s="25">
        <f t="shared" si="523"/>
        <v>6404.7404596389215</v>
      </c>
      <c r="K723" s="25">
        <f t="shared" si="524"/>
        <v>16520.094745597391</v>
      </c>
      <c r="L723" s="25"/>
      <c r="N723" s="25">
        <f>'Combined Retirement'!$C$18/12</f>
        <v>33932.660666666663</v>
      </c>
      <c r="O723" s="25">
        <f t="shared" si="525"/>
        <v>11007.82546143035</v>
      </c>
      <c r="P723" s="25">
        <f t="shared" si="526"/>
        <v>22924.835205236312</v>
      </c>
      <c r="Q723" s="25">
        <f t="array" aca="1" ref="Q723" ca="1">INDEX('Isaac 401k'!L:L,MATCH('Retirement Calculator'!A723,'Isaac 401k'!N:N,0),0)</f>
        <v>9077800.3382173479</v>
      </c>
      <c r="R723" s="25">
        <f t="array" aca="1" ref="R723" ca="1">INDEX('Lorri 401b'!L:L,MATCH('Retirement Calculator'!A723,'Lorri 401b'!N:N,0),0)</f>
        <v>8210360.7329183556</v>
      </c>
      <c r="S723" s="25">
        <f t="shared" ca="1" si="527"/>
        <v>17288161.071135703</v>
      </c>
    </row>
    <row r="724" spans="1:19" ht="15.75" customHeight="1" x14ac:dyDescent="0.3">
      <c r="A724" s="37">
        <v>72990</v>
      </c>
      <c r="B724" s="409">
        <f t="shared" ref="B724:C724" si="730">($A724-B$9)/365.25</f>
        <v>117.95756331279945</v>
      </c>
      <c r="C724" s="409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3525.4531757812501</v>
      </c>
      <c r="H724" s="25">
        <f>IF(B724&lt;62,0,'Combined Retirement'!$I$14)</f>
        <v>2192</v>
      </c>
      <c r="I724" s="25">
        <f>IF(C724&lt;62,0,'Combined Retirement'!$I$13)</f>
        <v>2420</v>
      </c>
      <c r="J724" s="25">
        <f t="shared" si="523"/>
        <v>6404.7404596389215</v>
      </c>
      <c r="K724" s="25">
        <f t="shared" si="524"/>
        <v>16520.094745597391</v>
      </c>
      <c r="L724" s="25"/>
      <c r="N724" s="25">
        <f>'Combined Retirement'!$C$18/12</f>
        <v>33932.660666666663</v>
      </c>
      <c r="O724" s="25">
        <f t="shared" si="525"/>
        <v>11007.82546143035</v>
      </c>
      <c r="P724" s="25">
        <f t="shared" si="526"/>
        <v>22924.835205236312</v>
      </c>
      <c r="Q724" s="25">
        <f t="array" aca="1" ref="Q724" ca="1">INDEX('Isaac 401k'!L:L,MATCH('Retirement Calculator'!A724,'Isaac 401k'!N:N,0),0)</f>
        <v>9109193.0794150326</v>
      </c>
      <c r="R724" s="25">
        <f t="array" aca="1" ref="R724" ca="1">INDEX('Lorri 401b'!L:L,MATCH('Retirement Calculator'!A724,'Lorri 401b'!N:N,0),0)</f>
        <v>8227981.6408318114</v>
      </c>
      <c r="S724" s="25">
        <f t="shared" ca="1" si="527"/>
        <v>17337174.720246844</v>
      </c>
    </row>
    <row r="725" spans="1:19" ht="15.75" customHeight="1" x14ac:dyDescent="0.3">
      <c r="A725" s="37">
        <v>73020</v>
      </c>
      <c r="B725" s="409">
        <f t="shared" ref="B725:C725" si="731">($A725-B$9)/365.25</f>
        <v>118.03969883641342</v>
      </c>
      <c r="C725" s="409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3525.4531757812501</v>
      </c>
      <c r="H725" s="25">
        <f>IF(B725&lt;62,0,'Combined Retirement'!$I$14)</f>
        <v>2192</v>
      </c>
      <c r="I725" s="25">
        <f>IF(C725&lt;62,0,'Combined Retirement'!$I$13)</f>
        <v>2420</v>
      </c>
      <c r="J725" s="25">
        <f t="shared" si="523"/>
        <v>6404.7404596389215</v>
      </c>
      <c r="K725" s="25">
        <f t="shared" si="524"/>
        <v>16520.094745597391</v>
      </c>
      <c r="L725" s="25"/>
      <c r="N725" s="25">
        <f>'Combined Retirement'!$C$18/12</f>
        <v>33932.660666666663</v>
      </c>
      <c r="O725" s="25">
        <f t="shared" si="525"/>
        <v>11007.82546143035</v>
      </c>
      <c r="P725" s="25">
        <f t="shared" si="526"/>
        <v>22924.835205236312</v>
      </c>
      <c r="Q725" s="25">
        <f t="array" aca="1" ref="Q725" ca="1">INDEX('Isaac 401k'!L:L,MATCH('Retirement Calculator'!A725,'Isaac 401k'!N:N,0),0)</f>
        <v>9140716.6237010397</v>
      </c>
      <c r="R725" s="25">
        <f t="array" aca="1" ref="R725" ca="1">INDEX('Lorri 401b'!L:L,MATCH('Retirement Calculator'!A725,'Lorri 401b'!N:N,0),0)</f>
        <v>8245675.9691949058</v>
      </c>
      <c r="S725" s="25">
        <f t="shared" ca="1" si="527"/>
        <v>17386392.592895947</v>
      </c>
    </row>
    <row r="726" spans="1:19" ht="15.75" customHeight="1" x14ac:dyDescent="0.3">
      <c r="A726" s="37">
        <v>73051</v>
      </c>
      <c r="B726" s="409">
        <f t="shared" ref="B726:C726" si="732">($A726-B$9)/365.25</f>
        <v>118.12457221081451</v>
      </c>
      <c r="C726" s="409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3525.4531757812501</v>
      </c>
      <c r="H726" s="25">
        <f>IF(B726&lt;62,0,'Combined Retirement'!$I$14)</f>
        <v>2192</v>
      </c>
      <c r="I726" s="25">
        <f>IF(C726&lt;62,0,'Combined Retirement'!$I$13)</f>
        <v>2420</v>
      </c>
      <c r="J726" s="25">
        <f t="shared" si="523"/>
        <v>6404.7404596389215</v>
      </c>
      <c r="K726" s="25">
        <f t="shared" si="524"/>
        <v>16520.094745597391</v>
      </c>
      <c r="L726" s="25"/>
      <c r="N726" s="25">
        <f>'Combined Retirement'!$C$18/12</f>
        <v>33932.660666666663</v>
      </c>
      <c r="O726" s="25">
        <f t="shared" si="525"/>
        <v>11007.82546143035</v>
      </c>
      <c r="P726" s="25">
        <f t="shared" si="526"/>
        <v>22924.835205236312</v>
      </c>
      <c r="Q726" s="25">
        <f t="array" aca="1" ref="Q726" ca="1">INDEX('Isaac 401k'!L:L,MATCH('Retirement Calculator'!A726,'Isaac 401k'!N:N,0),0)</f>
        <v>9172371.5160882398</v>
      </c>
      <c r="R726" s="25">
        <f t="array" aca="1" ref="R726" ca="1">INDEX('Lorri 401b'!L:L,MATCH('Retirement Calculator'!A726,'Lorri 401b'!N:N,0),0)</f>
        <v>8263444.0239261799</v>
      </c>
      <c r="S726" s="25">
        <f t="shared" ca="1" si="527"/>
        <v>17435815.54001442</v>
      </c>
    </row>
    <row r="727" spans="1:19" ht="15.75" customHeight="1" x14ac:dyDescent="0.3">
      <c r="A727" s="37">
        <v>73082</v>
      </c>
      <c r="B727" s="409">
        <f t="shared" ref="B727:C727" si="733">($A727-B$9)/365.25</f>
        <v>118.2094455852156</v>
      </c>
      <c r="C727" s="409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3525.4531757812501</v>
      </c>
      <c r="H727" s="25">
        <f>IF(B727&lt;62,0,'Combined Retirement'!$I$14)</f>
        <v>2192</v>
      </c>
      <c r="I727" s="25">
        <f>IF(C727&lt;62,0,'Combined Retirement'!$I$13)</f>
        <v>2420</v>
      </c>
      <c r="J727" s="25">
        <f t="shared" si="523"/>
        <v>6404.7404596389215</v>
      </c>
      <c r="K727" s="25">
        <f t="shared" si="524"/>
        <v>16520.094745597391</v>
      </c>
      <c r="L727" s="25"/>
      <c r="N727" s="25">
        <f>'Combined Retirement'!$C$18/12</f>
        <v>33932.660666666663</v>
      </c>
      <c r="O727" s="25">
        <f t="shared" si="525"/>
        <v>11007.82546143035</v>
      </c>
      <c r="P727" s="25">
        <f t="shared" si="526"/>
        <v>22924.835205236312</v>
      </c>
      <c r="Q727" s="25">
        <f t="array" aca="1" ref="Q727" ca="1">INDEX('Isaac 401k'!L:L,MATCH('Retirement Calculator'!A727,'Isaac 401k'!N:N,0),0)</f>
        <v>9204158.3038603868</v>
      </c>
      <c r="R727" s="25">
        <f t="array" aca="1" ref="R727" ca="1">INDEX('Lorri 401b'!L:L,MATCH('Retirement Calculator'!A727,'Lorri 401b'!N:N,0),0)</f>
        <v>8281286.1122188345</v>
      </c>
      <c r="S727" s="25">
        <f t="shared" ca="1" si="527"/>
        <v>17485444.416079223</v>
      </c>
    </row>
    <row r="728" spans="1:19" ht="15.75" customHeight="1" x14ac:dyDescent="0.3">
      <c r="A728" s="37">
        <v>73110</v>
      </c>
      <c r="B728" s="409">
        <f t="shared" ref="B728:C728" si="734">($A728-B$9)/365.25</f>
        <v>118.28610540725531</v>
      </c>
      <c r="C728" s="409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3525.4531757812501</v>
      </c>
      <c r="H728" s="25">
        <f>IF(B728&lt;62,0,'Combined Retirement'!$I$14)</f>
        <v>2192</v>
      </c>
      <c r="I728" s="25">
        <f>IF(C728&lt;62,0,'Combined Retirement'!$I$13)</f>
        <v>2420</v>
      </c>
      <c r="J728" s="25">
        <f t="shared" si="523"/>
        <v>6404.7404596389215</v>
      </c>
      <c r="K728" s="25">
        <f t="shared" si="524"/>
        <v>16520.094745597391</v>
      </c>
      <c r="L728" s="25"/>
      <c r="N728" s="25">
        <f>'Combined Retirement'!$C$18/12</f>
        <v>33932.660666666663</v>
      </c>
      <c r="O728" s="25">
        <f t="shared" si="525"/>
        <v>11007.82546143035</v>
      </c>
      <c r="P728" s="25">
        <f t="shared" si="526"/>
        <v>22924.835205236312</v>
      </c>
      <c r="Q728" s="25">
        <f t="array" aca="1" ref="Q728" ca="1">INDEX('Isaac 401k'!L:L,MATCH('Retirement Calculator'!A728,'Isaac 401k'!N:N,0),0)</f>
        <v>9236077.5365815833</v>
      </c>
      <c r="R728" s="25">
        <f t="array" aca="1" ref="R728" ca="1">INDEX('Lorri 401b'!L:L,MATCH('Retirement Calculator'!A728,'Lorri 401b'!N:N,0),0)</f>
        <v>8299202.5425460422</v>
      </c>
      <c r="S728" s="25">
        <f t="shared" ca="1" si="527"/>
        <v>17535280.079127625</v>
      </c>
    </row>
    <row r="729" spans="1:19" ht="15.75" customHeight="1" x14ac:dyDescent="0.3">
      <c r="A729" s="37">
        <v>73141</v>
      </c>
      <c r="B729" s="409">
        <f t="shared" ref="B729:C729" si="735">($A729-B$9)/365.25</f>
        <v>118.3709787816564</v>
      </c>
      <c r="C729" s="409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3525.4531757812501</v>
      </c>
      <c r="H729" s="25">
        <f>IF(B729&lt;62,0,'Combined Retirement'!$I$14)</f>
        <v>2192</v>
      </c>
      <c r="I729" s="25">
        <f>IF(C729&lt;62,0,'Combined Retirement'!$I$13)</f>
        <v>2420</v>
      </c>
      <c r="J729" s="25">
        <f t="shared" si="523"/>
        <v>6404.7404596389215</v>
      </c>
      <c r="K729" s="25">
        <f t="shared" si="524"/>
        <v>16520.094745597391</v>
      </c>
      <c r="L729" s="25"/>
      <c r="N729" s="25">
        <f>'Combined Retirement'!$C$18/12</f>
        <v>33932.660666666663</v>
      </c>
      <c r="O729" s="25">
        <f t="shared" si="525"/>
        <v>11007.82546143035</v>
      </c>
      <c r="P729" s="25">
        <f t="shared" si="526"/>
        <v>22924.835205236312</v>
      </c>
      <c r="Q729" s="25">
        <f t="array" aca="1" ref="Q729" ca="1">INDEX('Isaac 401k'!L:L,MATCH('Retirement Calculator'!A729,'Isaac 401k'!N:N,0),0)</f>
        <v>9268129.766105786</v>
      </c>
      <c r="R729" s="25">
        <f t="array" aca="1" ref="R729" ca="1">INDEX('Lorri 401b'!L:L,MATCH('Retirement Calculator'!A729,'Lorri 401b'!N:N,0),0)</f>
        <v>8317193.6246662792</v>
      </c>
      <c r="S729" s="25">
        <f t="shared" ca="1" si="527"/>
        <v>17585323.390772067</v>
      </c>
    </row>
    <row r="730" spans="1:19" ht="15.75" customHeight="1" x14ac:dyDescent="0.3">
      <c r="A730" s="37">
        <v>73171</v>
      </c>
      <c r="B730" s="409">
        <f t="shared" ref="B730:C730" si="736">($A730-B$9)/365.25</f>
        <v>118.45311430527036</v>
      </c>
      <c r="C730" s="409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3525.4531757812501</v>
      </c>
      <c r="H730" s="25">
        <f>IF(B730&lt;62,0,'Combined Retirement'!$I$14)</f>
        <v>2192</v>
      </c>
      <c r="I730" s="25">
        <f>IF(C730&lt;62,0,'Combined Retirement'!$I$13)</f>
        <v>2420</v>
      </c>
      <c r="J730" s="25">
        <f t="shared" si="523"/>
        <v>6404.7404596389215</v>
      </c>
      <c r="K730" s="25">
        <f t="shared" si="524"/>
        <v>16520.094745597391</v>
      </c>
      <c r="L730" s="25"/>
      <c r="N730" s="25">
        <f>'Combined Retirement'!$C$18/12</f>
        <v>33932.660666666663</v>
      </c>
      <c r="O730" s="25">
        <f t="shared" si="525"/>
        <v>11007.82546143035</v>
      </c>
      <c r="P730" s="25">
        <f t="shared" si="526"/>
        <v>22924.835205236312</v>
      </c>
      <c r="Q730" s="25">
        <f t="array" aca="1" ref="Q730" ca="1">INDEX('Isaac 401k'!L:L,MATCH('Retirement Calculator'!A730,'Isaac 401k'!N:N,0),0)</f>
        <v>9300315.5465863384</v>
      </c>
      <c r="R730" s="25">
        <f t="array" aca="1" ref="R730" ca="1">INDEX('Lorri 401b'!L:L,MATCH('Retirement Calculator'!A730,'Lorri 401b'!N:N,0),0)</f>
        <v>8335259.6696286844</v>
      </c>
      <c r="S730" s="25">
        <f t="shared" ca="1" si="527"/>
        <v>17635575.216215022</v>
      </c>
    </row>
    <row r="731" spans="1:19" ht="15.75" customHeight="1" x14ac:dyDescent="0.3">
      <c r="A731" s="37">
        <v>73202</v>
      </c>
      <c r="B731" s="409">
        <f t="shared" ref="B731:C731" si="737">($A731-B$9)/365.25</f>
        <v>118.53798767967146</v>
      </c>
      <c r="C731" s="409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3525.4531757812501</v>
      </c>
      <c r="H731" s="25">
        <f>IF(B731&lt;62,0,'Combined Retirement'!$I$14)</f>
        <v>2192</v>
      </c>
      <c r="I731" s="25">
        <f>IF(C731&lt;62,0,'Combined Retirement'!$I$13)</f>
        <v>2420</v>
      </c>
      <c r="J731" s="25">
        <f t="shared" si="523"/>
        <v>6404.7404596389215</v>
      </c>
      <c r="K731" s="25">
        <f t="shared" si="524"/>
        <v>16520.094745597391</v>
      </c>
      <c r="L731" s="25"/>
      <c r="N731" s="25">
        <f>'Combined Retirement'!$C$18/12</f>
        <v>33932.660666666663</v>
      </c>
      <c r="O731" s="25">
        <f t="shared" si="525"/>
        <v>11007.82546143035</v>
      </c>
      <c r="P731" s="25">
        <f t="shared" si="526"/>
        <v>22924.835205236312</v>
      </c>
      <c r="Q731" s="25">
        <f t="array" aca="1" ref="Q731" ca="1">INDEX('Isaac 401k'!L:L,MATCH('Retirement Calculator'!A731,'Isaac 401k'!N:N,0),0)</f>
        <v>9332635.4344855603</v>
      </c>
      <c r="R731" s="25">
        <f t="array" aca="1" ref="R731" ca="1">INDEX('Lorri 401b'!L:L,MATCH('Retirement Calculator'!A731,'Lorri 401b'!N:N,0),0)</f>
        <v>8353400.989778433</v>
      </c>
      <c r="S731" s="25">
        <f t="shared" ca="1" si="527"/>
        <v>17686036.424263991</v>
      </c>
    </row>
    <row r="732" spans="1:19" ht="15.75" customHeight="1" x14ac:dyDescent="0.3">
      <c r="A732" s="37">
        <v>73232</v>
      </c>
      <c r="B732" s="409">
        <f t="shared" ref="B732:C732" si="738">($A732-B$9)/365.25</f>
        <v>118.62012320328542</v>
      </c>
      <c r="C732" s="409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3525.4531757812501</v>
      </c>
      <c r="H732" s="25">
        <f>IF(B732&lt;62,0,'Combined Retirement'!$I$14)</f>
        <v>2192</v>
      </c>
      <c r="I732" s="25">
        <f>IF(C732&lt;62,0,'Combined Retirement'!$I$13)</f>
        <v>2420</v>
      </c>
      <c r="J732" s="25">
        <f t="shared" si="523"/>
        <v>6404.7404596389215</v>
      </c>
      <c r="K732" s="25">
        <f t="shared" si="524"/>
        <v>16520.094745597391</v>
      </c>
      <c r="L732" s="25"/>
      <c r="N732" s="25">
        <f>'Combined Retirement'!$C$18/12</f>
        <v>33932.660666666663</v>
      </c>
      <c r="O732" s="25">
        <f t="shared" si="525"/>
        <v>11007.82546143035</v>
      </c>
      <c r="P732" s="25">
        <f t="shared" si="526"/>
        <v>22924.835205236312</v>
      </c>
      <c r="Q732" s="25">
        <f t="array" aca="1" ref="Q732" ca="1">INDEX('Isaac 401k'!L:L,MATCH('Retirement Calculator'!A732,'Isaac 401k'!N:N,0),0)</f>
        <v>9365089.988584362</v>
      </c>
      <c r="R732" s="25">
        <f t="array" aca="1" ref="R732" ca="1">INDEX('Lorri 401b'!L:L,MATCH('Retirement Calculator'!A732,'Lorri 401b'!N:N,0),0)</f>
        <v>8371617.8987621386</v>
      </c>
      <c r="S732" s="25">
        <f t="shared" ca="1" si="527"/>
        <v>17736707.887346499</v>
      </c>
    </row>
    <row r="733" spans="1:19" ht="15.75" customHeight="1" x14ac:dyDescent="0.3">
      <c r="A733" s="37">
        <v>73263</v>
      </c>
      <c r="B733" s="409">
        <f t="shared" ref="B733:C733" si="739">($A733-B$9)/365.25</f>
        <v>118.70499657768652</v>
      </c>
      <c r="C733" s="409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3525.4531757812501</v>
      </c>
      <c r="H733" s="25">
        <f>IF(B733&lt;62,0,'Combined Retirement'!$I$14)</f>
        <v>2192</v>
      </c>
      <c r="I733" s="25">
        <f>IF(C733&lt;62,0,'Combined Retirement'!$I$13)</f>
        <v>2420</v>
      </c>
      <c r="J733" s="25">
        <f t="shared" si="523"/>
        <v>6404.7404596389215</v>
      </c>
      <c r="K733" s="25">
        <f t="shared" si="524"/>
        <v>16520.094745597391</v>
      </c>
      <c r="L733" s="25"/>
      <c r="N733" s="25">
        <f>'Combined Retirement'!$C$18/12</f>
        <v>33932.660666666663</v>
      </c>
      <c r="O733" s="25">
        <f t="shared" si="525"/>
        <v>11007.82546143035</v>
      </c>
      <c r="P733" s="25">
        <f t="shared" si="526"/>
        <v>22924.835205236312</v>
      </c>
      <c r="Q733" s="25">
        <f t="array" aca="1" ref="Q733" ca="1">INDEX('Isaac 401k'!L:L,MATCH('Retirement Calculator'!A733,'Isaac 401k'!N:N,0),0)</f>
        <v>9397679.7699919082</v>
      </c>
      <c r="R733" s="25">
        <f t="array" aca="1" ref="R733" ca="1">INDEX('Lorri 401b'!L:L,MATCH('Retirement Calculator'!A733,'Lorri 401b'!N:N,0),0)</f>
        <v>8389910.7115332764</v>
      </c>
      <c r="S733" s="25">
        <f t="shared" ca="1" si="527"/>
        <v>17787590.481525183</v>
      </c>
    </row>
    <row r="734" spans="1:19" ht="15.75" customHeight="1" x14ac:dyDescent="0.3">
      <c r="A734" s="37">
        <v>73294</v>
      </c>
      <c r="B734" s="409">
        <f t="shared" ref="B734:C734" si="740">($A734-B$9)/365.25</f>
        <v>118.78986995208761</v>
      </c>
      <c r="C734" s="409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3525.4531757812501</v>
      </c>
      <c r="H734" s="25">
        <f>IF(B734&lt;62,0,'Combined Retirement'!$I$14)</f>
        <v>2192</v>
      </c>
      <c r="I734" s="25">
        <f>IF(C734&lt;62,0,'Combined Retirement'!$I$13)</f>
        <v>2420</v>
      </c>
      <c r="J734" s="25">
        <f t="shared" si="523"/>
        <v>6404.7404596389215</v>
      </c>
      <c r="K734" s="25">
        <f t="shared" si="524"/>
        <v>16520.094745597391</v>
      </c>
      <c r="L734" s="25"/>
      <c r="N734" s="25">
        <f>'Combined Retirement'!$C$18/12</f>
        <v>33932.660666666663</v>
      </c>
      <c r="O734" s="25">
        <f t="shared" si="525"/>
        <v>11007.82546143035</v>
      </c>
      <c r="P734" s="25">
        <f t="shared" si="526"/>
        <v>22924.835205236312</v>
      </c>
      <c r="Q734" s="25">
        <f t="array" aca="1" ref="Q734" ca="1">INDEX('Isaac 401k'!L:L,MATCH('Retirement Calculator'!A734,'Isaac 401k'!N:N,0),0)</f>
        <v>9430405.3421553206</v>
      </c>
      <c r="R734" s="25">
        <f t="array" aca="1" ref="R734" ca="1">INDEX('Lorri 401b'!L:L,MATCH('Retirement Calculator'!A734,'Lorri 401b'!N:N,0),0)</f>
        <v>8408279.7443576269</v>
      </c>
      <c r="S734" s="25">
        <f t="shared" ca="1" si="527"/>
        <v>17838685.086512946</v>
      </c>
    </row>
    <row r="735" spans="1:19" ht="15.75" customHeight="1" x14ac:dyDescent="0.3">
      <c r="A735" s="37">
        <v>73324</v>
      </c>
      <c r="B735" s="409">
        <f t="shared" ref="B735:C735" si="741">($A735-B$9)/365.25</f>
        <v>118.87200547570157</v>
      </c>
      <c r="C735" s="409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3525.4531757812501</v>
      </c>
      <c r="H735" s="25">
        <f>IF(B735&lt;62,0,'Combined Retirement'!$I$14)</f>
        <v>2192</v>
      </c>
      <c r="I735" s="25">
        <f>IF(C735&lt;62,0,'Combined Retirement'!$I$13)</f>
        <v>2420</v>
      </c>
      <c r="J735" s="25">
        <f t="shared" si="523"/>
        <v>6404.7404596389215</v>
      </c>
      <c r="K735" s="25">
        <f t="shared" si="524"/>
        <v>16520.094745597391</v>
      </c>
      <c r="L735" s="25"/>
      <c r="N735" s="25">
        <f>'Combined Retirement'!$C$18/12</f>
        <v>33932.660666666663</v>
      </c>
      <c r="O735" s="25">
        <f t="shared" si="525"/>
        <v>11007.82546143035</v>
      </c>
      <c r="P735" s="25">
        <f t="shared" si="526"/>
        <v>22924.835205236312</v>
      </c>
      <c r="Q735" s="25">
        <f t="array" aca="1" ref="Q735" ca="1">INDEX('Isaac 401k'!L:L,MATCH('Retirement Calculator'!A735,'Isaac 401k'!N:N,0),0)</f>
        <v>9463267.2708694134</v>
      </c>
      <c r="R735" s="25">
        <f t="array" aca="1" ref="R735" ca="1">INDEX('Lorri 401b'!L:L,MATCH('Retirement Calculator'!A735,'Lorri 401b'!N:N,0),0)</f>
        <v>8426725.3148187473</v>
      </c>
      <c r="S735" s="25">
        <f t="shared" ca="1" si="527"/>
        <v>17889992.585688159</v>
      </c>
    </row>
    <row r="736" spans="1:19" ht="15.75" customHeight="1" x14ac:dyDescent="0.3">
      <c r="A736" s="37">
        <v>73355</v>
      </c>
      <c r="B736" s="409">
        <f t="shared" ref="B736:C736" si="742">($A736-B$9)/365.25</f>
        <v>118.95687885010267</v>
      </c>
      <c r="C736" s="409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3525.4531757812501</v>
      </c>
      <c r="H736" s="25">
        <f>IF(B736&lt;62,0,'Combined Retirement'!$I$14)</f>
        <v>2192</v>
      </c>
      <c r="I736" s="25">
        <f>IF(C736&lt;62,0,'Combined Retirement'!$I$13)</f>
        <v>2420</v>
      </c>
      <c r="J736" s="25">
        <f t="shared" si="523"/>
        <v>6404.7404596389215</v>
      </c>
      <c r="K736" s="25">
        <f t="shared" si="524"/>
        <v>16520.094745597391</v>
      </c>
      <c r="L736" s="25"/>
      <c r="N736" s="25">
        <f>'Combined Retirement'!$C$18/12</f>
        <v>33932.660666666663</v>
      </c>
      <c r="O736" s="25">
        <f t="shared" si="525"/>
        <v>11007.82546143035</v>
      </c>
      <c r="P736" s="25">
        <f t="shared" si="526"/>
        <v>22924.835205236312</v>
      </c>
      <c r="Q736" s="25">
        <f t="array" aca="1" ref="Q736" ca="1">INDEX('Isaac 401k'!L:L,MATCH('Retirement Calculator'!A736,'Isaac 401k'!N:N,0),0)</f>
        <v>9496266.1242864821</v>
      </c>
      <c r="R736" s="25">
        <f t="array" aca="1" ref="R736" ca="1">INDEX('Lorri 401b'!L:L,MATCH('Retirement Calculator'!A736,'Lorri 401b'!N:N,0),0)</f>
        <v>8445247.7418234553</v>
      </c>
      <c r="S736" s="25">
        <f t="shared" ca="1" si="527"/>
        <v>17941513.866109937</v>
      </c>
    </row>
    <row r="737" spans="1:19" ht="15.75" customHeight="1" x14ac:dyDescent="0.3">
      <c r="A737" s="37">
        <v>73385</v>
      </c>
      <c r="B737" s="409">
        <f t="shared" ref="B737:C737" si="743">($A737-B$9)/365.25</f>
        <v>119.03901437371663</v>
      </c>
      <c r="C737" s="409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3525.4531757812501</v>
      </c>
      <c r="H737" s="25">
        <f>IF(B737&lt;62,0,'Combined Retirement'!$I$14)</f>
        <v>2192</v>
      </c>
      <c r="I737" s="25">
        <f>IF(C737&lt;62,0,'Combined Retirement'!$I$13)</f>
        <v>2420</v>
      </c>
      <c r="J737" s="25">
        <f t="shared" si="523"/>
        <v>6404.7404596389215</v>
      </c>
      <c r="K737" s="25">
        <f t="shared" si="524"/>
        <v>16520.094745597391</v>
      </c>
      <c r="L737" s="25"/>
      <c r="N737" s="25">
        <f>'Combined Retirement'!$C$18/12</f>
        <v>33932.660666666663</v>
      </c>
      <c r="O737" s="25">
        <f t="shared" si="525"/>
        <v>11007.82546143035</v>
      </c>
      <c r="P737" s="25">
        <f t="shared" si="526"/>
        <v>22924.835205236312</v>
      </c>
      <c r="Q737" s="25">
        <f t="array" aca="1" ref="Q737" ca="1">INDEX('Isaac 401k'!L:L,MATCH('Retirement Calculator'!A737,'Isaac 401k'!N:N,0),0)</f>
        <v>9529402.4729261212</v>
      </c>
      <c r="R737" s="25">
        <f t="array" aca="1" ref="R737" ca="1">INDEX('Lorri 401b'!L:L,MATCH('Retirement Calculator'!A737,'Lorri 401b'!N:N,0),0)</f>
        <v>8463847.3456073496</v>
      </c>
      <c r="S737" s="25">
        <f t="shared" ca="1" si="527"/>
        <v>17993249.818533473</v>
      </c>
    </row>
    <row r="738" spans="1:19" ht="15.75" customHeight="1" x14ac:dyDescent="0.3">
      <c r="A738" s="37">
        <v>73416</v>
      </c>
      <c r="B738" s="409">
        <f t="shared" ref="B738:C738" si="744">($A738-B$9)/365.25</f>
        <v>119.12388774811772</v>
      </c>
      <c r="C738" s="409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3525.4531757812501</v>
      </c>
      <c r="H738" s="25">
        <f>IF(B738&lt;62,0,'Combined Retirement'!$I$14)</f>
        <v>2192</v>
      </c>
      <c r="I738" s="25">
        <f>IF(C738&lt;62,0,'Combined Retirement'!$I$13)</f>
        <v>2420</v>
      </c>
      <c r="J738" s="25">
        <f t="shared" si="523"/>
        <v>6404.7404596389215</v>
      </c>
      <c r="K738" s="25">
        <f t="shared" si="524"/>
        <v>16520.094745597391</v>
      </c>
      <c r="L738" s="25"/>
      <c r="N738" s="25">
        <f>'Combined Retirement'!$C$18/12</f>
        <v>33932.660666666663</v>
      </c>
      <c r="O738" s="25">
        <f t="shared" si="525"/>
        <v>11007.82546143035</v>
      </c>
      <c r="P738" s="25">
        <f t="shared" si="526"/>
        <v>22924.835205236312</v>
      </c>
      <c r="Q738" s="25">
        <f t="array" aca="1" ref="Q738" ca="1">INDEX('Isaac 401k'!L:L,MATCH('Retirement Calculator'!A738,'Isaac 401k'!N:N,0),0)</f>
        <v>9562676.8896850925</v>
      </c>
      <c r="R738" s="25">
        <f t="array" aca="1" ref="R738" ca="1">INDEX('Lorri 401b'!L:L,MATCH('Retirement Calculator'!A738,'Lorri 401b'!N:N,0),0)</f>
        <v>8482524.4477403443</v>
      </c>
      <c r="S738" s="25">
        <f t="shared" ca="1" si="527"/>
        <v>18045201.337425437</v>
      </c>
    </row>
    <row r="739" spans="1:19" ht="15.75" customHeight="1" x14ac:dyDescent="0.3">
      <c r="A739" s="37">
        <v>73447</v>
      </c>
      <c r="B739" s="409">
        <f t="shared" ref="B739:C739" si="745">($A739-B$9)/365.25</f>
        <v>119.20876112251882</v>
      </c>
      <c r="C739" s="409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3525.4531757812501</v>
      </c>
      <c r="H739" s="25">
        <f>IF(B739&lt;62,0,'Combined Retirement'!$I$14)</f>
        <v>2192</v>
      </c>
      <c r="I739" s="25">
        <f>IF(C739&lt;62,0,'Combined Retirement'!$I$13)</f>
        <v>2420</v>
      </c>
      <c r="J739" s="25">
        <f t="shared" si="523"/>
        <v>6404.7404596389215</v>
      </c>
      <c r="K739" s="25">
        <f t="shared" si="524"/>
        <v>16520.094745597391</v>
      </c>
      <c r="L739" s="25"/>
      <c r="N739" s="25">
        <f>'Combined Retirement'!$C$18/12</f>
        <v>33932.660666666663</v>
      </c>
      <c r="O739" s="25">
        <f t="shared" si="525"/>
        <v>11007.82546143035</v>
      </c>
      <c r="P739" s="25">
        <f t="shared" si="526"/>
        <v>22924.835205236312</v>
      </c>
      <c r="Q739" s="25">
        <f t="array" aca="1" ref="Q739" ca="1">INDEX('Isaac 401k'!L:L,MATCH('Retirement Calculator'!A739,'Isaac 401k'!N:N,0),0)</f>
        <v>9596089.9498472251</v>
      </c>
      <c r="R739" s="25">
        <f t="array" aca="1" ref="R739" ca="1">INDEX('Lorri 401b'!L:L,MATCH('Retirement Calculator'!A739,'Lorri 401b'!N:N,0),0)</f>
        <v>8501279.3711322248</v>
      </c>
      <c r="S739" s="25">
        <f t="shared" ca="1" si="527"/>
        <v>18097369.32097945</v>
      </c>
    </row>
    <row r="740" spans="1:19" ht="15.75" customHeight="1" x14ac:dyDescent="0.3">
      <c r="A740" s="37">
        <v>73475</v>
      </c>
      <c r="B740" s="409">
        <f t="shared" ref="B740:C740" si="746">($A740-B$9)/365.25</f>
        <v>119.28542094455852</v>
      </c>
      <c r="C740" s="409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3525.4531757812501</v>
      </c>
      <c r="H740" s="25">
        <f>IF(B740&lt;62,0,'Combined Retirement'!$I$14)</f>
        <v>2192</v>
      </c>
      <c r="I740" s="25">
        <f>IF(C740&lt;62,0,'Combined Retirement'!$I$13)</f>
        <v>2420</v>
      </c>
      <c r="J740" s="25">
        <f t="shared" si="523"/>
        <v>6404.7404596389215</v>
      </c>
      <c r="K740" s="25">
        <f t="shared" si="524"/>
        <v>16520.094745597391</v>
      </c>
      <c r="L740" s="25"/>
      <c r="N740" s="25">
        <f>'Combined Retirement'!$C$18/12</f>
        <v>33932.660666666663</v>
      </c>
      <c r="O740" s="25">
        <f t="shared" si="525"/>
        <v>11007.82546143035</v>
      </c>
      <c r="P740" s="25">
        <f t="shared" si="526"/>
        <v>22924.835205236312</v>
      </c>
      <c r="Q740" s="25">
        <f t="array" aca="1" ref="Q740" ca="1">INDEX('Isaac 401k'!L:L,MATCH('Retirement Calculator'!A740,'Isaac 401k'!N:N,0),0)</f>
        <v>9629642.2310933676</v>
      </c>
      <c r="R740" s="25">
        <f t="array" aca="1" ref="R740" ca="1">INDEX('Lorri 401b'!L:L,MATCH('Retirement Calculator'!A740,'Lorri 401b'!N:N,0),0)</f>
        <v>8520112.4400382396</v>
      </c>
      <c r="S740" s="25">
        <f t="shared" ca="1" si="527"/>
        <v>18149754.671131607</v>
      </c>
    </row>
    <row r="741" spans="1:19" ht="15.75" customHeight="1" x14ac:dyDescent="0.3">
      <c r="A741" s="37">
        <v>73506</v>
      </c>
      <c r="B741" s="409">
        <f t="shared" ref="B741:C741" si="747">($A741-B$9)/365.25</f>
        <v>119.37029431895962</v>
      </c>
      <c r="C741" s="409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3525.4531757812501</v>
      </c>
      <c r="H741" s="25">
        <f>IF(B741&lt;62,0,'Combined Retirement'!$I$14)</f>
        <v>2192</v>
      </c>
      <c r="I741" s="25">
        <f>IF(C741&lt;62,0,'Combined Retirement'!$I$13)</f>
        <v>2420</v>
      </c>
      <c r="J741" s="25">
        <f t="shared" si="523"/>
        <v>6404.7404596389215</v>
      </c>
      <c r="K741" s="25">
        <f t="shared" si="524"/>
        <v>16520.094745597391</v>
      </c>
      <c r="L741" s="25"/>
      <c r="N741" s="25">
        <f>'Combined Retirement'!$C$18/12</f>
        <v>33932.660666666663</v>
      </c>
      <c r="O741" s="25">
        <f t="shared" si="525"/>
        <v>11007.82546143035</v>
      </c>
      <c r="P741" s="25">
        <f t="shared" si="526"/>
        <v>22924.835205236312</v>
      </c>
      <c r="Q741" s="25">
        <f t="array" aca="1" ref="Q741" ca="1">INDEX('Isaac 401k'!L:L,MATCH('Retirement Calculator'!A741,'Isaac 401k'!N:N,0),0)</f>
        <v>9663334.3135113679</v>
      </c>
      <c r="R741" s="25">
        <f t="array" aca="1" ref="R741" ca="1">INDEX('Lorri 401b'!L:L,MATCH('Retirement Calculator'!A741,'Lorri 401b'!N:N,0),0)</f>
        <v>8539023.9800646957</v>
      </c>
      <c r="S741" s="25">
        <f t="shared" ca="1" si="527"/>
        <v>18202358.293576062</v>
      </c>
    </row>
    <row r="742" spans="1:19" ht="15.75" customHeight="1" x14ac:dyDescent="0.3">
      <c r="A742" s="37">
        <v>73536</v>
      </c>
      <c r="B742" s="409">
        <f t="shared" ref="B742:C742" si="748">($A742-B$9)/365.25</f>
        <v>119.45242984257358</v>
      </c>
      <c r="C742" s="409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3525.4531757812501</v>
      </c>
      <c r="H742" s="25">
        <f>IF(B742&lt;62,0,'Combined Retirement'!$I$14)</f>
        <v>2192</v>
      </c>
      <c r="I742" s="25">
        <f>IF(C742&lt;62,0,'Combined Retirement'!$I$13)</f>
        <v>2420</v>
      </c>
      <c r="J742" s="25">
        <f t="shared" si="523"/>
        <v>6404.7404596389215</v>
      </c>
      <c r="K742" s="25">
        <f t="shared" si="524"/>
        <v>16520.094745597391</v>
      </c>
      <c r="L742" s="25"/>
      <c r="N742" s="25">
        <f>'Combined Retirement'!$C$18/12</f>
        <v>33932.660666666663</v>
      </c>
      <c r="O742" s="25">
        <f t="shared" si="525"/>
        <v>11007.82546143035</v>
      </c>
      <c r="P742" s="25">
        <f t="shared" si="526"/>
        <v>22924.835205236312</v>
      </c>
      <c r="Q742" s="25">
        <f t="array" aca="1" ref="Q742" ca="1">INDEX('Isaac 401k'!L:L,MATCH('Retirement Calculator'!A742,'Isaac 401k'!N:N,0),0)</f>
        <v>9697166.7796061113</v>
      </c>
      <c r="R742" s="25">
        <f t="array" aca="1" ref="R742" ca="1">INDEX('Lorri 401b'!L:L,MATCH('Retirement Calculator'!A742,'Lorri 401b'!N:N,0),0)</f>
        <v>8558014.318174595</v>
      </c>
      <c r="S742" s="25">
        <f t="shared" ca="1" si="527"/>
        <v>18255181.097780704</v>
      </c>
    </row>
    <row r="743" spans="1:19" ht="15.75" customHeight="1" x14ac:dyDescent="0.3">
      <c r="A743" s="37">
        <v>73567</v>
      </c>
      <c r="B743" s="409">
        <f t="shared" ref="B743:C743" si="749">($A743-B$9)/365.25</f>
        <v>119.53730321697468</v>
      </c>
      <c r="C743" s="409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3525.4531757812501</v>
      </c>
      <c r="H743" s="25">
        <f>IF(B743&lt;62,0,'Combined Retirement'!$I$14)</f>
        <v>2192</v>
      </c>
      <c r="I743" s="25">
        <f>IF(C743&lt;62,0,'Combined Retirement'!$I$13)</f>
        <v>2420</v>
      </c>
      <c r="J743" s="25">
        <f t="shared" si="523"/>
        <v>6404.7404596389215</v>
      </c>
      <c r="K743" s="25">
        <f t="shared" si="524"/>
        <v>16520.094745597391</v>
      </c>
      <c r="L743" s="25"/>
      <c r="N743" s="25">
        <f>'Combined Retirement'!$C$18/12</f>
        <v>33932.660666666663</v>
      </c>
      <c r="O743" s="25">
        <f t="shared" si="525"/>
        <v>11007.82546143035</v>
      </c>
      <c r="P743" s="25">
        <f t="shared" si="526"/>
        <v>22924.835205236312</v>
      </c>
      <c r="Q743" s="25">
        <f t="array" aca="1" ref="Q743" ca="1">INDEX('Isaac 401k'!L:L,MATCH('Retirement Calculator'!A743,'Isaac 401k'!N:N,0),0)</f>
        <v>9731140.2143095825</v>
      </c>
      <c r="R743" s="25">
        <f t="array" aca="1" ref="R743" ca="1">INDEX('Lorri 401b'!L:L,MATCH('Retirement Calculator'!A743,'Lorri 401b'!N:N,0),0)</f>
        <v>8577083.7826932855</v>
      </c>
      <c r="S743" s="25">
        <f t="shared" ca="1" si="527"/>
        <v>18308223.99700287</v>
      </c>
    </row>
    <row r="744" spans="1:19" ht="15.75" customHeight="1" x14ac:dyDescent="0.3">
      <c r="A744" s="37">
        <v>73597</v>
      </c>
      <c r="B744" s="409">
        <f t="shared" ref="B744:C744" si="750">($A744-B$9)/365.25</f>
        <v>119.61943874058863</v>
      </c>
      <c r="C744" s="409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3525.4531757812501</v>
      </c>
      <c r="H744" s="25">
        <f>IF(B744&lt;62,0,'Combined Retirement'!$I$14)</f>
        <v>2192</v>
      </c>
      <c r="I744" s="25">
        <f>IF(C744&lt;62,0,'Combined Retirement'!$I$13)</f>
        <v>2420</v>
      </c>
      <c r="J744" s="25">
        <f t="shared" si="523"/>
        <v>6404.7404596389215</v>
      </c>
      <c r="K744" s="25">
        <f t="shared" si="524"/>
        <v>16520.094745597391</v>
      </c>
      <c r="L744" s="25"/>
      <c r="N744" s="25">
        <f>'Combined Retirement'!$C$18/12</f>
        <v>33932.660666666663</v>
      </c>
      <c r="O744" s="25">
        <f t="shared" si="525"/>
        <v>11007.82546143035</v>
      </c>
      <c r="P744" s="25">
        <f t="shared" si="526"/>
        <v>22924.835205236312</v>
      </c>
      <c r="Q744" s="25">
        <f t="array" aca="1" ref="Q744" ca="1">INDEX('Isaac 401k'!L:L,MATCH('Retirement Calculator'!A744,'Isaac 401k'!N:N,0),0)</f>
        <v>9765255.2049909849</v>
      </c>
      <c r="R744" s="25">
        <f t="array" aca="1" ref="R744" ca="1">INDEX('Lorri 401b'!L:L,MATCH('Retirement Calculator'!A744,'Lorri 401b'!N:N,0),0)</f>
        <v>8596232.7033141367</v>
      </c>
      <c r="S744" s="25">
        <f t="shared" ca="1" si="527"/>
        <v>18361487.908305123</v>
      </c>
    </row>
    <row r="745" spans="1:19" ht="15.75" customHeight="1" x14ac:dyDescent="0.3">
      <c r="A745" s="37">
        <v>73628</v>
      </c>
      <c r="B745" s="409">
        <f t="shared" ref="B745:C745" si="751">($A745-B$9)/365.25</f>
        <v>119.70431211498973</v>
      </c>
      <c r="C745" s="409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3525.4531757812501</v>
      </c>
      <c r="H745" s="25">
        <f>IF(B745&lt;62,0,'Combined Retirement'!$I$14)</f>
        <v>2192</v>
      </c>
      <c r="I745" s="25">
        <f>IF(C745&lt;62,0,'Combined Retirement'!$I$13)</f>
        <v>2420</v>
      </c>
      <c r="J745" s="25">
        <f t="shared" si="523"/>
        <v>6404.7404596389215</v>
      </c>
      <c r="K745" s="25">
        <f t="shared" si="524"/>
        <v>16520.094745597391</v>
      </c>
      <c r="L745" s="25"/>
      <c r="N745" s="25">
        <f>'Combined Retirement'!$C$18/12</f>
        <v>33932.660666666663</v>
      </c>
      <c r="O745" s="25">
        <f t="shared" si="525"/>
        <v>11007.82546143035</v>
      </c>
      <c r="P745" s="25">
        <f t="shared" si="526"/>
        <v>22924.835205236312</v>
      </c>
      <c r="Q745" s="25">
        <f t="array" aca="1" ref="Q745" ca="1">INDEX('Isaac 401k'!L:L,MATCH('Retirement Calculator'!A745,'Isaac 401k'!N:N,0),0)</f>
        <v>9799512.3414668925</v>
      </c>
      <c r="R745" s="25">
        <f t="array" aca="1" ref="R745" ca="1">INDEX('Lorri 401b'!L:L,MATCH('Retirement Calculator'!A745,'Lorri 401b'!N:N,0),0)</f>
        <v>8615461.4111042414</v>
      </c>
      <c r="S745" s="25">
        <f t="shared" ca="1" si="527"/>
        <v>18414973.752571136</v>
      </c>
    </row>
    <row r="746" spans="1:19" ht="15.75" customHeight="1" x14ac:dyDescent="0.3">
      <c r="A746" s="37">
        <v>73659</v>
      </c>
      <c r="B746" s="409">
        <f t="shared" ref="B746:C746" si="752">($A746-B$9)/365.25</f>
        <v>119.78918548939083</v>
      </c>
      <c r="C746" s="409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3525.4531757812501</v>
      </c>
      <c r="H746" s="25">
        <f>IF(B746&lt;62,0,'Combined Retirement'!$I$14)</f>
        <v>2192</v>
      </c>
      <c r="I746" s="25">
        <f>IF(C746&lt;62,0,'Combined Retirement'!$I$13)</f>
        <v>2420</v>
      </c>
      <c r="J746" s="25">
        <f t="shared" si="523"/>
        <v>6404.7404596389215</v>
      </c>
      <c r="K746" s="25">
        <f t="shared" si="524"/>
        <v>16520.094745597391</v>
      </c>
      <c r="L746" s="25"/>
      <c r="N746" s="25">
        <f>'Combined Retirement'!$C$18/12</f>
        <v>33932.660666666663</v>
      </c>
      <c r="O746" s="25">
        <f t="shared" si="525"/>
        <v>11007.82546143035</v>
      </c>
      <c r="P746" s="25">
        <f t="shared" si="526"/>
        <v>22924.835205236312</v>
      </c>
      <c r="Q746" s="25">
        <f t="array" aca="1" ref="Q746" ca="1">INDEX('Isaac 401k'!L:L,MATCH('Retirement Calculator'!A746,'Isaac 401k'!N:N,0),0)</f>
        <v>9833912.2160114497</v>
      </c>
      <c r="R746" s="25">
        <f t="array" aca="1" ref="R746" ca="1">INDEX('Lorri 401b'!L:L,MATCH('Retirement Calculator'!A746,'Lorri 401b'!N:N,0),0)</f>
        <v>8634770.2385101393</v>
      </c>
      <c r="S746" s="25">
        <f t="shared" ca="1" si="527"/>
        <v>18468682.454521589</v>
      </c>
    </row>
    <row r="747" spans="1:19" ht="15.75" customHeight="1" x14ac:dyDescent="0.3">
      <c r="A747" s="37">
        <v>73689</v>
      </c>
      <c r="B747" s="409">
        <f t="shared" ref="B747:C747" si="753">($A747-B$9)/365.25</f>
        <v>119.87132101300479</v>
      </c>
      <c r="C747" s="409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3525.4531757812501</v>
      </c>
      <c r="H747" s="25">
        <f>IF(B747&lt;62,0,'Combined Retirement'!$I$14)</f>
        <v>2192</v>
      </c>
      <c r="I747" s="25">
        <f>IF(C747&lt;62,0,'Combined Retirement'!$I$13)</f>
        <v>2420</v>
      </c>
      <c r="J747" s="25">
        <f t="shared" si="523"/>
        <v>6404.7404596389215</v>
      </c>
      <c r="K747" s="25">
        <f t="shared" si="524"/>
        <v>16520.094745597391</v>
      </c>
      <c r="L747" s="25"/>
      <c r="N747" s="25">
        <f>'Combined Retirement'!$C$18/12</f>
        <v>33932.660666666663</v>
      </c>
      <c r="O747" s="25">
        <f t="shared" si="525"/>
        <v>11007.82546143035</v>
      </c>
      <c r="P747" s="25">
        <f t="shared" si="526"/>
        <v>22924.835205236312</v>
      </c>
      <c r="Q747" s="25">
        <f t="array" aca="1" ref="Q747" ca="1">INDEX('Isaac 401k'!L:L,MATCH('Retirement Calculator'!A747,'Isaac 401k'!N:N,0),0)</f>
        <v>9868455.42336661</v>
      </c>
      <c r="R747" s="25">
        <f t="array" aca="1" ref="R747" ca="1">INDEX('Lorri 401b'!L:L,MATCH('Retirement Calculator'!A747,'Lorri 401b'!N:N,0),0)</f>
        <v>8654159.5193635616</v>
      </c>
      <c r="S747" s="25">
        <f t="shared" ca="1" si="527"/>
        <v>18522614.942730173</v>
      </c>
    </row>
    <row r="748" spans="1:19" ht="15.75" customHeight="1" x14ac:dyDescent="0.3">
      <c r="A748" s="37">
        <v>73720</v>
      </c>
      <c r="B748" s="409">
        <f t="shared" ref="B748:C748" si="754">($A748-B$9)/365.25</f>
        <v>119.95619438740589</v>
      </c>
      <c r="C748" s="409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3525.4531757812501</v>
      </c>
      <c r="H748" s="25">
        <f>IF(B748&lt;62,0,'Combined Retirement'!$I$14)</f>
        <v>2192</v>
      </c>
      <c r="I748" s="25">
        <f>IF(C748&lt;62,0,'Combined Retirement'!$I$13)</f>
        <v>2420</v>
      </c>
      <c r="J748" s="25">
        <f t="shared" si="523"/>
        <v>6404.7404596389215</v>
      </c>
      <c r="K748" s="25">
        <f t="shared" si="524"/>
        <v>16520.094745597391</v>
      </c>
      <c r="L748" s="25"/>
      <c r="N748" s="25">
        <f>'Combined Retirement'!$C$18/12</f>
        <v>33932.660666666663</v>
      </c>
      <c r="O748" s="25">
        <f t="shared" si="525"/>
        <v>11007.82546143035</v>
      </c>
      <c r="P748" s="25">
        <f t="shared" si="526"/>
        <v>22924.835205236312</v>
      </c>
      <c r="Q748" s="25">
        <f t="array" aca="1" ref="Q748" ca="1">INDEX('Isaac 401k'!L:L,MATCH('Retirement Calculator'!A748,'Isaac 401k'!N:N,0),0)</f>
        <v>9903142.560752416</v>
      </c>
      <c r="R748" s="25">
        <f t="array" aca="1" ref="R748" ca="1">INDEX('Lorri 401b'!L:L,MATCH('Retirement Calculator'!A748,'Lorri 401b'!N:N,0),0)</f>
        <v>8673629.5888872072</v>
      </c>
      <c r="S748" s="25">
        <f t="shared" ca="1" si="527"/>
        <v>18576772.149639621</v>
      </c>
    </row>
    <row r="749" spans="1:19" ht="15.75" customHeight="1" x14ac:dyDescent="0.3">
      <c r="A749" s="37">
        <v>73750</v>
      </c>
      <c r="B749" s="409">
        <f t="shared" ref="B749:C749" si="755">($A749-B$9)/365.25</f>
        <v>120.03832991101984</v>
      </c>
      <c r="C749" s="409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3525.4531757812501</v>
      </c>
      <c r="H749" s="25">
        <f>IF(B749&lt;62,0,'Combined Retirement'!$I$14)</f>
        <v>2192</v>
      </c>
      <c r="I749" s="25">
        <f>IF(C749&lt;62,0,'Combined Retirement'!$I$13)</f>
        <v>2420</v>
      </c>
      <c r="J749" s="25">
        <f t="shared" si="523"/>
        <v>6404.7404596389215</v>
      </c>
      <c r="K749" s="25">
        <f t="shared" si="524"/>
        <v>16520.094745597391</v>
      </c>
      <c r="L749" s="25"/>
      <c r="N749" s="25">
        <f>'Combined Retirement'!$C$18/12</f>
        <v>33932.660666666663</v>
      </c>
      <c r="O749" s="25">
        <f t="shared" si="525"/>
        <v>11007.82546143035</v>
      </c>
      <c r="P749" s="25">
        <f t="shared" si="526"/>
        <v>22924.835205236312</v>
      </c>
      <c r="Q749" s="25">
        <f t="array" aca="1" ref="Q749" ca="1">INDEX('Isaac 401k'!L:L,MATCH('Retirement Calculator'!A749,'Isaac 401k'!N:N,0),0)</f>
        <v>9937974.22787733</v>
      </c>
      <c r="R749" s="25">
        <f t="array" aca="1" ref="R749" ca="1">INDEX('Lorri 401b'!L:L,MATCH('Retirement Calculator'!A749,'Lorri 401b'!N:N,0),0)</f>
        <v>8693180.7837005332</v>
      </c>
      <c r="S749" s="25">
        <f t="shared" ca="1" si="527"/>
        <v>18631155.011577863</v>
      </c>
    </row>
    <row r="750" spans="1:19" ht="15.75" customHeight="1" x14ac:dyDescent="0.3">
      <c r="A750" s="37">
        <v>73781</v>
      </c>
      <c r="B750" s="409">
        <f t="shared" ref="B750:C750" si="756">($A750-B$9)/365.25</f>
        <v>120.12320328542094</v>
      </c>
      <c r="C750" s="409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3525.4531757812501</v>
      </c>
      <c r="H750" s="25">
        <f>IF(B750&lt;62,0,'Combined Retirement'!$I$14)</f>
        <v>2192</v>
      </c>
      <c r="I750" s="25">
        <f>IF(C750&lt;62,0,'Combined Retirement'!$I$13)</f>
        <v>2420</v>
      </c>
      <c r="J750" s="25">
        <f t="shared" si="523"/>
        <v>6404.7404596389215</v>
      </c>
      <c r="K750" s="25">
        <f t="shared" si="524"/>
        <v>16520.094745597391</v>
      </c>
      <c r="L750" s="25"/>
      <c r="N750" s="25">
        <f>'Combined Retirement'!$C$18/12</f>
        <v>33932.660666666663</v>
      </c>
      <c r="O750" s="25">
        <f t="shared" si="525"/>
        <v>11007.82546143035</v>
      </c>
      <c r="P750" s="25">
        <f t="shared" si="526"/>
        <v>22924.835205236312</v>
      </c>
      <c r="Q750" s="25">
        <f t="array" aca="1" ref="Q750" ca="1">INDEX('Isaac 401k'!L:L,MATCH('Retirement Calculator'!A750,'Isaac 401k'!N:N,0),0)</f>
        <v>9972951.0269485973</v>
      </c>
      <c r="R750" s="25">
        <f t="array" aca="1" ref="R750" ca="1">INDEX('Lorri 401b'!L:L,MATCH('Retirement Calculator'!A750,'Lorri 401b'!N:N,0),0)</f>
        <v>8712813.4418255817</v>
      </c>
      <c r="S750" s="25">
        <f t="shared" ca="1" si="527"/>
        <v>18685764.468774177</v>
      </c>
    </row>
    <row r="751" spans="1:19" ht="15.75" customHeight="1" x14ac:dyDescent="0.3">
      <c r="A751" s="37">
        <v>73812</v>
      </c>
      <c r="B751" s="409">
        <f t="shared" ref="B751:C751" si="757">($A751-B$9)/365.25</f>
        <v>120.20807665982204</v>
      </c>
      <c r="C751" s="409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3525.4531757812501</v>
      </c>
      <c r="H751" s="25">
        <f>IF(B751&lt;62,0,'Combined Retirement'!$I$14)</f>
        <v>2192</v>
      </c>
      <c r="I751" s="25">
        <f>IF(C751&lt;62,0,'Combined Retirement'!$I$13)</f>
        <v>2420</v>
      </c>
      <c r="J751" s="25">
        <f t="shared" si="523"/>
        <v>6404.7404596389215</v>
      </c>
      <c r="K751" s="25">
        <f t="shared" si="524"/>
        <v>16520.094745597391</v>
      </c>
      <c r="L751" s="25"/>
      <c r="N751" s="25">
        <f>'Combined Retirement'!$C$18/12</f>
        <v>33932.660666666663</v>
      </c>
      <c r="O751" s="25">
        <f t="shared" si="525"/>
        <v>11007.82546143035</v>
      </c>
      <c r="P751" s="25">
        <f t="shared" si="526"/>
        <v>22924.835205236312</v>
      </c>
      <c r="Q751" s="25">
        <f t="array" aca="1" ref="Q751" ca="1">INDEX('Isaac 401k'!L:L,MATCH('Retirement Calculator'!A751,'Isaac 401k'!N:N,0),0)</f>
        <v>10008073.562682662</v>
      </c>
      <c r="R751" s="25">
        <f t="array" aca="1" ref="R751" ca="1">INDEX('Lorri 401b'!L:L,MATCH('Retirement Calculator'!A751,'Lorri 401b'!N:N,0),0)</f>
        <v>8732527.902692819</v>
      </c>
      <c r="S751" s="25">
        <f t="shared" ca="1" si="527"/>
        <v>18740601.465375483</v>
      </c>
    </row>
    <row r="752" spans="1:19" ht="15.75" customHeight="1" x14ac:dyDescent="0.3">
      <c r="A752" s="37">
        <v>73840</v>
      </c>
      <c r="B752" s="409">
        <f t="shared" ref="B752:C752" si="758">($A752-B$9)/365.25</f>
        <v>120.28473648186174</v>
      </c>
      <c r="C752" s="409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3525.4531757812501</v>
      </c>
      <c r="H752" s="25">
        <f>IF(B752&lt;62,0,'Combined Retirement'!$I$14)</f>
        <v>2192</v>
      </c>
      <c r="I752" s="25">
        <f>IF(C752&lt;62,0,'Combined Retirement'!$I$13)</f>
        <v>2420</v>
      </c>
      <c r="J752" s="25">
        <f t="shared" si="523"/>
        <v>6404.7404596389215</v>
      </c>
      <c r="K752" s="25">
        <f t="shared" si="524"/>
        <v>16520.094745597391</v>
      </c>
      <c r="L752" s="25"/>
      <c r="N752" s="25">
        <f>'Combined Retirement'!$C$18/12</f>
        <v>33932.660666666663</v>
      </c>
      <c r="O752" s="25">
        <f t="shared" si="525"/>
        <v>11007.82546143035</v>
      </c>
      <c r="P752" s="25">
        <f t="shared" si="526"/>
        <v>22924.835205236312</v>
      </c>
      <c r="Q752" s="25">
        <f t="array" aca="1" ref="Q752" ca="1">INDEX('Isaac 401k'!L:L,MATCH('Retirement Calculator'!A752,'Isaac 401k'!N:N,0),0)</f>
        <v>10043342.442315619</v>
      </c>
      <c r="R752" s="25">
        <f t="array" aca="1" ref="R752" ca="1">INDEX('Lorri 401b'!L:L,MATCH('Retirement Calculator'!A752,'Lorri 401b'!N:N,0),0)</f>
        <v>8752324.507147003</v>
      </c>
      <c r="S752" s="25">
        <f t="shared" ca="1" si="527"/>
        <v>18795666.949462622</v>
      </c>
    </row>
    <row r="753" spans="1:19" ht="15.75" customHeight="1" x14ac:dyDescent="0.3">
      <c r="A753" s="37">
        <v>73871</v>
      </c>
      <c r="B753" s="409">
        <f t="shared" ref="B753:C753" si="759">($A753-B$9)/365.25</f>
        <v>120.36960985626284</v>
      </c>
      <c r="C753" s="409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3525.4531757812501</v>
      </c>
      <c r="H753" s="25">
        <f>IF(B753&lt;62,0,'Combined Retirement'!$I$14)</f>
        <v>2192</v>
      </c>
      <c r="I753" s="25">
        <f>IF(C753&lt;62,0,'Combined Retirement'!$I$13)</f>
        <v>2420</v>
      </c>
      <c r="J753" s="25">
        <f t="shared" si="523"/>
        <v>6404.7404596389215</v>
      </c>
      <c r="K753" s="25">
        <f t="shared" si="524"/>
        <v>16520.094745597391</v>
      </c>
      <c r="L753" s="25"/>
      <c r="N753" s="25">
        <f>'Combined Retirement'!$C$18/12</f>
        <v>33932.660666666663</v>
      </c>
      <c r="O753" s="25">
        <f t="shared" si="525"/>
        <v>11007.82546143035</v>
      </c>
      <c r="P753" s="25">
        <f t="shared" si="526"/>
        <v>22924.835205236312</v>
      </c>
      <c r="Q753" s="25">
        <f t="array" aca="1" ref="Q753" ca="1">INDEX('Isaac 401k'!L:L,MATCH('Retirement Calculator'!A753,'Isaac 401k'!N:N,0),0)</f>
        <v>10078758.275613714</v>
      </c>
      <c r="R753" s="25">
        <f t="array" aca="1" ref="R753" ca="1">INDEX('Lorri 401b'!L:L,MATCH('Retirement Calculator'!A753,'Lorri 401b'!N:N,0),0)</f>
        <v>8772203.5974530783</v>
      </c>
      <c r="S753" s="25">
        <f t="shared" ca="1" si="527"/>
        <v>18850961.87306679</v>
      </c>
    </row>
    <row r="754" spans="1:19" ht="15.75" customHeight="1" x14ac:dyDescent="0.3">
      <c r="A754" s="37">
        <v>73901</v>
      </c>
      <c r="B754" s="409">
        <f t="shared" ref="B754:C754" si="760">($A754-B$9)/365.25</f>
        <v>120.4517453798768</v>
      </c>
      <c r="C754" s="409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3525.4531757812501</v>
      </c>
      <c r="H754" s="25">
        <f>IF(B754&lt;62,0,'Combined Retirement'!$I$14)</f>
        <v>2192</v>
      </c>
      <c r="I754" s="25">
        <f>IF(C754&lt;62,0,'Combined Retirement'!$I$13)</f>
        <v>2420</v>
      </c>
      <c r="J754" s="25">
        <f t="shared" si="523"/>
        <v>6404.7404596389215</v>
      </c>
      <c r="K754" s="25">
        <f t="shared" si="524"/>
        <v>16520.094745597391</v>
      </c>
      <c r="L754" s="25"/>
      <c r="N754" s="25">
        <f>'Combined Retirement'!$C$18/12</f>
        <v>33932.660666666663</v>
      </c>
      <c r="O754" s="25">
        <f t="shared" si="525"/>
        <v>11007.82546143035</v>
      </c>
      <c r="P754" s="25">
        <f t="shared" si="526"/>
        <v>22924.835205236312</v>
      </c>
      <c r="Q754" s="25">
        <f t="array" aca="1" ref="Q754" ca="1">INDEX('Isaac 401k'!L:L,MATCH('Retirement Calculator'!A754,'Isaac 401k'!N:N,0),0)</f>
        <v>10114321.674883883</v>
      </c>
      <c r="R754" s="25">
        <f t="array" aca="1" ref="R754" ca="1">INDEX('Lorri 401b'!L:L,MATCH('Retirement Calculator'!A754,'Lorri 401b'!N:N,0),0)</f>
        <v>8792165.5173020959</v>
      </c>
      <c r="S754" s="25">
        <f t="shared" ca="1" si="527"/>
        <v>18906487.192185979</v>
      </c>
    </row>
    <row r="755" spans="1:19" ht="15.75" customHeight="1" x14ac:dyDescent="0.3">
      <c r="A755" s="37">
        <v>73932</v>
      </c>
      <c r="B755" s="409">
        <f t="shared" ref="B755:C755" si="761">($A755-B$9)/365.25</f>
        <v>120.5366187542779</v>
      </c>
      <c r="C755" s="409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3525.4531757812501</v>
      </c>
      <c r="H755" s="25">
        <f>IF(B755&lt;62,0,'Combined Retirement'!$I$14)</f>
        <v>2192</v>
      </c>
      <c r="I755" s="25">
        <f>IF(C755&lt;62,0,'Combined Retirement'!$I$13)</f>
        <v>2420</v>
      </c>
      <c r="J755" s="25">
        <f t="shared" si="523"/>
        <v>6404.7404596389215</v>
      </c>
      <c r="K755" s="25">
        <f t="shared" si="524"/>
        <v>16520.094745597391</v>
      </c>
      <c r="L755" s="25"/>
      <c r="N755" s="25">
        <f>'Combined Retirement'!$C$18/12</f>
        <v>33932.660666666663</v>
      </c>
      <c r="O755" s="25">
        <f t="shared" si="525"/>
        <v>11007.82546143035</v>
      </c>
      <c r="P755" s="25">
        <f t="shared" si="526"/>
        <v>22924.835205236312</v>
      </c>
      <c r="Q755" s="25">
        <f t="array" aca="1" ref="Q755" ca="1">INDEX('Isaac 401k'!L:L,MATCH('Retirement Calculator'!A755,'Isaac 401k'!N:N,0),0)</f>
        <v>10150033.254984345</v>
      </c>
      <c r="R755" s="25">
        <f t="array" aca="1" ref="R755" ca="1">INDEX('Lorri 401b'!L:L,MATCH('Retirement Calculator'!A755,'Lorri 401b'!N:N,0),0)</f>
        <v>8812210.6118171513</v>
      </c>
      <c r="S755" s="25">
        <f t="shared" ca="1" si="527"/>
        <v>18962243.866801497</v>
      </c>
    </row>
    <row r="756" spans="1:19" ht="15.75" customHeight="1" x14ac:dyDescent="0.3">
      <c r="A756" s="37">
        <v>73962</v>
      </c>
      <c r="B756" s="409">
        <f t="shared" ref="B756:C756" si="762">($A756-B$9)/365.25</f>
        <v>120.61875427789185</v>
      </c>
      <c r="C756" s="409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3525.4531757812501</v>
      </c>
      <c r="H756" s="25">
        <f>IF(B756&lt;62,0,'Combined Retirement'!$I$14)</f>
        <v>2192</v>
      </c>
      <c r="I756" s="25">
        <f>IF(C756&lt;62,0,'Combined Retirement'!$I$13)</f>
        <v>2420</v>
      </c>
      <c r="J756" s="25">
        <f t="shared" si="523"/>
        <v>6404.7404596389215</v>
      </c>
      <c r="K756" s="25">
        <f t="shared" si="524"/>
        <v>16520.094745597391</v>
      </c>
      <c r="L756" s="25"/>
      <c r="N756" s="25">
        <f>'Combined Retirement'!$C$18/12</f>
        <v>33932.660666666663</v>
      </c>
      <c r="O756" s="25">
        <f t="shared" si="525"/>
        <v>11007.82546143035</v>
      </c>
      <c r="P756" s="25">
        <f t="shared" si="526"/>
        <v>22924.835205236312</v>
      </c>
      <c r="Q756" s="25">
        <f t="array" aca="1" ref="Q756" ca="1">INDEX('Isaac 401k'!L:L,MATCH('Retirement Calculator'!A756,'Isaac 401k'!N:N,0),0)</f>
        <v>10185893.633335225</v>
      </c>
      <c r="R756" s="25">
        <f t="array" aca="1" ref="R756" ca="1">INDEX('Lorri 401b'!L:L,MATCH('Retirement Calculator'!A756,'Lorri 401b'!N:N,0),0)</f>
        <v>8832339.2275593523</v>
      </c>
      <c r="S756" s="25">
        <f t="shared" ca="1" si="527"/>
        <v>19018232.860894576</v>
      </c>
    </row>
    <row r="757" spans="1:19" ht="15.75" customHeight="1" x14ac:dyDescent="0.3">
      <c r="A757" s="37">
        <v>73993</v>
      </c>
      <c r="B757" s="409">
        <f t="shared" ref="B757:C757" si="763">($A757-B$9)/365.25</f>
        <v>120.70362765229295</v>
      </c>
      <c r="C757" s="409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3525.4531757812501</v>
      </c>
      <c r="H757" s="25">
        <f>IF(B757&lt;62,0,'Combined Retirement'!$I$14)</f>
        <v>2192</v>
      </c>
      <c r="I757" s="25">
        <f>IF(C757&lt;62,0,'Combined Retirement'!$I$13)</f>
        <v>2420</v>
      </c>
      <c r="J757" s="25">
        <f t="shared" si="523"/>
        <v>6404.7404596389215</v>
      </c>
      <c r="K757" s="25">
        <f t="shared" si="524"/>
        <v>16520.094745597391</v>
      </c>
      <c r="L757" s="25"/>
      <c r="N757" s="25">
        <f>'Combined Retirement'!$C$18/12</f>
        <v>33932.660666666663</v>
      </c>
      <c r="O757" s="25">
        <f t="shared" si="525"/>
        <v>11007.82546143035</v>
      </c>
      <c r="P757" s="25">
        <f t="shared" si="526"/>
        <v>22924.835205236312</v>
      </c>
      <c r="Q757" s="25">
        <f t="array" aca="1" ref="Q757" ca="1">INDEX('Isaac 401k'!L:L,MATCH('Retirement Calculator'!A757,'Isaac 401k'!N:N,0),0)</f>
        <v>10221903.429929234</v>
      </c>
      <c r="R757" s="25">
        <f t="array" aca="1" ref="R757" ca="1">INDEX('Lorri 401b'!L:L,MATCH('Retirement Calculator'!A757,'Lorri 401b'!N:N,0),0)</f>
        <v>8852551.712533813</v>
      </c>
      <c r="S757" s="25">
        <f t="shared" ca="1" si="527"/>
        <v>19074455.142463047</v>
      </c>
    </row>
    <row r="758" spans="1:19" ht="15.75" customHeight="1" x14ac:dyDescent="0.3">
      <c r="A758" s="37">
        <v>74024</v>
      </c>
      <c r="B758" s="409">
        <f t="shared" ref="B758:C758" si="764">($A758-B$9)/365.25</f>
        <v>120.78850102669405</v>
      </c>
      <c r="C758" s="409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3525.4531757812501</v>
      </c>
      <c r="H758" s="25">
        <f>IF(B758&lt;62,0,'Combined Retirement'!$I$14)</f>
        <v>2192</v>
      </c>
      <c r="I758" s="25">
        <f>IF(C758&lt;62,0,'Combined Retirement'!$I$13)</f>
        <v>2420</v>
      </c>
      <c r="J758" s="25">
        <f t="shared" si="523"/>
        <v>6404.7404596389215</v>
      </c>
      <c r="K758" s="25">
        <f t="shared" si="524"/>
        <v>16520.094745597391</v>
      </c>
      <c r="L758" s="25"/>
      <c r="N758" s="25">
        <f>'Combined Retirement'!$C$18/12</f>
        <v>33932.660666666663</v>
      </c>
      <c r="O758" s="25">
        <f t="shared" si="525"/>
        <v>11007.82546143035</v>
      </c>
      <c r="P758" s="25">
        <f t="shared" si="526"/>
        <v>22924.835205236312</v>
      </c>
      <c r="Q758" s="25">
        <f t="array" aca="1" ref="Q758" ca="1">INDEX('Isaac 401k'!L:L,MATCH('Retirement Calculator'!A758,'Isaac 401k'!N:N,0),0)</f>
        <v>10258063.267342385</v>
      </c>
      <c r="R758" s="25">
        <f t="array" aca="1" ref="R758" ca="1">INDEX('Lorri 401b'!L:L,MATCH('Retirement Calculator'!A758,'Lorri 401b'!N:N,0),0)</f>
        <v>8872848.4161956664</v>
      </c>
      <c r="S758" s="25">
        <f t="shared" ca="1" si="527"/>
        <v>19130911.683538049</v>
      </c>
    </row>
    <row r="759" spans="1:19" ht="15.75" customHeight="1" x14ac:dyDescent="0.3">
      <c r="A759" s="37">
        <v>74054</v>
      </c>
      <c r="B759" s="409">
        <f t="shared" ref="B759:C759" si="765">($A759-B$9)/365.25</f>
        <v>120.87063655030801</v>
      </c>
      <c r="C759" s="409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3525.4531757812501</v>
      </c>
      <c r="H759" s="25">
        <f>IF(B759&lt;62,0,'Combined Retirement'!$I$14)</f>
        <v>2192</v>
      </c>
      <c r="I759" s="25">
        <f>IF(C759&lt;62,0,'Combined Retirement'!$I$13)</f>
        <v>2420</v>
      </c>
      <c r="J759" s="25">
        <f t="shared" si="523"/>
        <v>6404.7404596389215</v>
      </c>
      <c r="K759" s="25">
        <f t="shared" si="524"/>
        <v>16520.094745597391</v>
      </c>
      <c r="L759" s="25"/>
      <c r="N759" s="25">
        <f>'Combined Retirement'!$C$18/12</f>
        <v>33932.660666666663</v>
      </c>
      <c r="O759" s="25">
        <f t="shared" si="525"/>
        <v>11007.82546143035</v>
      </c>
      <c r="P759" s="25">
        <f t="shared" si="526"/>
        <v>22924.835205236312</v>
      </c>
      <c r="Q759" s="25">
        <f t="array" aca="1" ref="Q759" ca="1">INDEX('Isaac 401k'!L:L,MATCH('Retirement Calculator'!A759,'Isaac 401k'!N:N,0),0)</f>
        <v>10294373.770744756</v>
      </c>
      <c r="R759" s="25">
        <f t="array" aca="1" ref="R759" ca="1">INDEX('Lorri 401b'!L:L,MATCH('Retirement Calculator'!A759,'Lorri 401b'!N:N,0),0)</f>
        <v>8893229.6894561108</v>
      </c>
      <c r="S759" s="25">
        <f t="shared" ca="1" si="527"/>
        <v>19187603.460200869</v>
      </c>
    </row>
    <row r="760" spans="1:19" ht="15.75" customHeight="1" x14ac:dyDescent="0.3">
      <c r="A760" s="37">
        <v>74085</v>
      </c>
      <c r="B760" s="409">
        <f t="shared" ref="B760:C760" si="766">($A760-B$9)/365.25</f>
        <v>120.95550992470911</v>
      </c>
      <c r="C760" s="409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3525.4531757812501</v>
      </c>
      <c r="H760" s="25">
        <f>IF(B760&lt;62,0,'Combined Retirement'!$I$14)</f>
        <v>2192</v>
      </c>
      <c r="I760" s="25">
        <f>IF(C760&lt;62,0,'Combined Retirement'!$I$13)</f>
        <v>2420</v>
      </c>
      <c r="J760" s="25">
        <f t="shared" si="523"/>
        <v>6404.7404596389215</v>
      </c>
      <c r="K760" s="25">
        <f t="shared" si="524"/>
        <v>16520.094745597391</v>
      </c>
      <c r="L760" s="25"/>
      <c r="N760" s="25">
        <f>'Combined Retirement'!$C$18/12</f>
        <v>33932.660666666663</v>
      </c>
      <c r="O760" s="25">
        <f t="shared" si="525"/>
        <v>11007.82546143035</v>
      </c>
      <c r="P760" s="25">
        <f t="shared" si="526"/>
        <v>22924.835205236312</v>
      </c>
      <c r="Q760" s="25">
        <f t="array" aca="1" ref="Q760" ca="1">INDEX('Isaac 401k'!L:L,MATCH('Retirement Calculator'!A760,'Isaac 401k'!N:N,0),0)</f>
        <v>10330835.567911305</v>
      </c>
      <c r="R760" s="25">
        <f t="array" aca="1" ref="R760" ca="1">INDEX('Lorri 401b'!L:L,MATCH('Retirement Calculator'!A760,'Lorri 401b'!N:N,0),0)</f>
        <v>8913695.8846884742</v>
      </c>
      <c r="S760" s="25">
        <f t="shared" ca="1" si="527"/>
        <v>19244531.452599779</v>
      </c>
    </row>
    <row r="761" spans="1:19" ht="15.75" customHeight="1" x14ac:dyDescent="0.3">
      <c r="A761" s="37">
        <v>74115</v>
      </c>
      <c r="B761" s="409">
        <f t="shared" ref="B761:C761" si="767">($A761-B$9)/365.25</f>
        <v>121.03764544832306</v>
      </c>
      <c r="C761" s="409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3525.4531757812501</v>
      </c>
      <c r="H761" s="25">
        <f>IF(B761&lt;62,0,'Combined Retirement'!$I$14)</f>
        <v>2192</v>
      </c>
      <c r="I761" s="25">
        <f>IF(C761&lt;62,0,'Combined Retirement'!$I$13)</f>
        <v>2420</v>
      </c>
      <c r="J761" s="25">
        <f t="shared" si="523"/>
        <v>6404.7404596389215</v>
      </c>
      <c r="K761" s="25">
        <f t="shared" si="524"/>
        <v>16520.094745597391</v>
      </c>
      <c r="L761" s="25"/>
      <c r="N761" s="25">
        <f>'Combined Retirement'!$C$18/12</f>
        <v>33932.660666666663</v>
      </c>
      <c r="O761" s="25">
        <f t="shared" si="525"/>
        <v>11007.82546143035</v>
      </c>
      <c r="P761" s="25">
        <f t="shared" si="526"/>
        <v>22924.835205236312</v>
      </c>
      <c r="Q761" s="25">
        <f t="array" aca="1" ref="Q761" ca="1">INDEX('Isaac 401k'!L:L,MATCH('Retirement Calculator'!A761,'Isaac 401k'!N:N,0),0)</f>
        <v>10367449.289232714</v>
      </c>
      <c r="R761" s="25">
        <f t="array" aca="1" ref="R761" ca="1">INDEX('Lorri 401b'!L:L,MATCH('Retirement Calculator'!A761,'Lorri 401b'!N:N,0),0)</f>
        <v>8934247.3557343055</v>
      </c>
      <c r="S761" s="25">
        <f t="shared" ca="1" si="527"/>
        <v>19301696.64496702</v>
      </c>
    </row>
    <row r="762" spans="1:19" ht="15.75" customHeight="1" x14ac:dyDescent="0.3">
      <c r="A762" s="37">
        <v>74146</v>
      </c>
      <c r="B762" s="409">
        <f t="shared" ref="B762:C762" si="768">($A762-B$9)/365.25</f>
        <v>121.12251882272416</v>
      </c>
      <c r="C762" s="409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3525.4531757812501</v>
      </c>
      <c r="H762" s="25">
        <f>IF(B762&lt;62,0,'Combined Retirement'!$I$14)</f>
        <v>2192</v>
      </c>
      <c r="I762" s="25">
        <f>IF(C762&lt;62,0,'Combined Retirement'!$I$13)</f>
        <v>2420</v>
      </c>
      <c r="J762" s="25">
        <f t="shared" si="523"/>
        <v>6404.7404596389215</v>
      </c>
      <c r="K762" s="25">
        <f t="shared" si="524"/>
        <v>16520.094745597391</v>
      </c>
      <c r="L762" s="25"/>
      <c r="N762" s="25">
        <f>'Combined Retirement'!$C$18/12</f>
        <v>33932.660666666663</v>
      </c>
      <c r="O762" s="25">
        <f t="shared" si="525"/>
        <v>11007.82546143035</v>
      </c>
      <c r="P762" s="25">
        <f t="shared" si="526"/>
        <v>22924.835205236312</v>
      </c>
      <c r="Q762" s="25">
        <f t="array" aca="1" ref="Q762" ca="1">INDEX('Isaac 401k'!L:L,MATCH('Retirement Calculator'!A762,'Isaac 401k'!N:N,0),0)</f>
        <v>10404215.567726295</v>
      </c>
      <c r="R762" s="25">
        <f t="array" aca="1" ref="R762" ca="1">INDEX('Lorri 401b'!L:L,MATCH('Retirement Calculator'!A762,'Lorri 401b'!N:N,0),0)</f>
        <v>8954884.4579094946</v>
      </c>
      <c r="S762" s="25">
        <f t="shared" ca="1" si="527"/>
        <v>19359100.02563579</v>
      </c>
    </row>
    <row r="763" spans="1:19" ht="15.75" customHeight="1" x14ac:dyDescent="0.3">
      <c r="A763" s="37">
        <v>74177</v>
      </c>
      <c r="B763" s="409">
        <f t="shared" ref="B763:C763" si="769">($A763-B$9)/365.25</f>
        <v>121.20739219712526</v>
      </c>
      <c r="C763" s="409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3525.4531757812501</v>
      </c>
      <c r="H763" s="25">
        <f>IF(B763&lt;62,0,'Combined Retirement'!$I$14)</f>
        <v>2192</v>
      </c>
      <c r="I763" s="25">
        <f>IF(C763&lt;62,0,'Combined Retirement'!$I$13)</f>
        <v>2420</v>
      </c>
      <c r="J763" s="25">
        <f t="shared" si="523"/>
        <v>6404.7404596389215</v>
      </c>
      <c r="K763" s="25">
        <f t="shared" si="524"/>
        <v>16520.094745597391</v>
      </c>
      <c r="L763" s="25"/>
      <c r="N763" s="25">
        <f>'Combined Retirement'!$C$18/12</f>
        <v>33932.660666666663</v>
      </c>
      <c r="O763" s="25">
        <f t="shared" si="525"/>
        <v>11007.82546143035</v>
      </c>
      <c r="P763" s="25">
        <f t="shared" si="526"/>
        <v>22924.835205236312</v>
      </c>
      <c r="Q763" s="25">
        <f t="array" aca="1" ref="Q763" ca="1">INDEX('Isaac 401k'!L:L,MATCH('Retirement Calculator'!A763,'Isaac 401k'!N:N,0),0)</f>
        <v>10441135.039046934</v>
      </c>
      <c r="R763" s="25">
        <f t="array" aca="1" ref="R763" ca="1">INDEX('Lorri 401b'!L:L,MATCH('Retirement Calculator'!A763,'Lorri 401b'!N:N,0),0)</f>
        <v>8975607.5480104145</v>
      </c>
      <c r="S763" s="25">
        <f t="shared" ca="1" si="527"/>
        <v>19416742.587057348</v>
      </c>
    </row>
    <row r="764" spans="1:19" ht="15.75" customHeight="1" x14ac:dyDescent="0.3">
      <c r="A764" s="37">
        <v>74205</v>
      </c>
      <c r="B764" s="409">
        <f t="shared" ref="B764:C764" si="770">($A764-B$9)/365.25</f>
        <v>121.28405201916496</v>
      </c>
      <c r="C764" s="409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3525.4531757812501</v>
      </c>
      <c r="H764" s="25">
        <f>IF(B764&lt;62,0,'Combined Retirement'!$I$14)</f>
        <v>2192</v>
      </c>
      <c r="I764" s="25">
        <f>IF(C764&lt;62,0,'Combined Retirement'!$I$13)</f>
        <v>2420</v>
      </c>
      <c r="J764" s="25">
        <f t="shared" si="523"/>
        <v>6404.7404596389215</v>
      </c>
      <c r="K764" s="25">
        <f t="shared" si="524"/>
        <v>16520.094745597391</v>
      </c>
      <c r="L764" s="25"/>
      <c r="N764" s="25">
        <f>'Combined Retirement'!$C$18/12</f>
        <v>33932.660666666663</v>
      </c>
      <c r="O764" s="25">
        <f t="shared" si="525"/>
        <v>11007.82546143035</v>
      </c>
      <c r="P764" s="25">
        <f t="shared" si="526"/>
        <v>22924.835205236312</v>
      </c>
      <c r="Q764" s="25">
        <f t="array" aca="1" ref="Q764" ca="1">INDEX('Isaac 401k'!L:L,MATCH('Retirement Calculator'!A764,'Isaac 401k'!N:N,0),0)</f>
        <v>10478208.341498075</v>
      </c>
      <c r="R764" s="25">
        <f t="array" aca="1" ref="R764" ca="1">INDEX('Lorri 401b'!L:L,MATCH('Retirement Calculator'!A764,'Lorri 401b'!N:N,0),0)</f>
        <v>8996416.9843200874</v>
      </c>
      <c r="S764" s="25">
        <f t="shared" ca="1" si="527"/>
        <v>19474625.325818162</v>
      </c>
    </row>
    <row r="765" spans="1:19" ht="15.75" customHeight="1" x14ac:dyDescent="0.3">
      <c r="A765" s="37">
        <v>74236</v>
      </c>
      <c r="B765" s="409">
        <f t="shared" ref="B765:C765" si="771">($A765-B$9)/365.25</f>
        <v>121.36892539356604</v>
      </c>
      <c r="C765" s="409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3525.4531757812501</v>
      </c>
      <c r="H765" s="25">
        <f>IF(B765&lt;62,0,'Combined Retirement'!$I$14)</f>
        <v>2192</v>
      </c>
      <c r="I765" s="25">
        <f>IF(C765&lt;62,0,'Combined Retirement'!$I$13)</f>
        <v>2420</v>
      </c>
      <c r="J765" s="25">
        <f t="shared" si="523"/>
        <v>6404.7404596389215</v>
      </c>
      <c r="K765" s="25">
        <f t="shared" si="524"/>
        <v>16520.094745597391</v>
      </c>
      <c r="L765" s="25"/>
      <c r="N765" s="25">
        <f>'Combined Retirement'!$C$18/12</f>
        <v>33932.660666666663</v>
      </c>
      <c r="O765" s="25">
        <f t="shared" si="525"/>
        <v>11007.82546143035</v>
      </c>
      <c r="P765" s="25">
        <f t="shared" si="526"/>
        <v>22924.835205236312</v>
      </c>
      <c r="Q765" s="25">
        <f t="array" aca="1" ref="Q765" ca="1">INDEX('Isaac 401k'!L:L,MATCH('Retirement Calculator'!A765,'Isaac 401k'!N:N,0),0)</f>
        <v>10515436.116042763</v>
      </c>
      <c r="R765" s="25">
        <f t="array" aca="1" ref="R765" ca="1">INDEX('Lorri 401b'!L:L,MATCH('Retirement Calculator'!A765,'Lorri 401b'!N:N,0),0)</f>
        <v>9017313.1266143844</v>
      </c>
      <c r="S765" s="25">
        <f t="shared" ca="1" si="527"/>
        <v>19532749.242657147</v>
      </c>
    </row>
    <row r="766" spans="1:19" ht="15.75" customHeight="1" x14ac:dyDescent="0.3">
      <c r="A766" s="37">
        <v>74266</v>
      </c>
      <c r="B766" s="409">
        <f t="shared" ref="B766:C766" si="772">($A766-B$9)/365.25</f>
        <v>121.45106091718002</v>
      </c>
      <c r="C766" s="409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3525.4531757812501</v>
      </c>
      <c r="H766" s="25">
        <f>IF(B766&lt;62,0,'Combined Retirement'!$I$14)</f>
        <v>2192</v>
      </c>
      <c r="I766" s="25">
        <f>IF(C766&lt;62,0,'Combined Retirement'!$I$13)</f>
        <v>2420</v>
      </c>
      <c r="J766" s="25">
        <f t="shared" si="523"/>
        <v>6404.7404596389215</v>
      </c>
      <c r="K766" s="25">
        <f t="shared" si="524"/>
        <v>16520.094745597391</v>
      </c>
      <c r="L766" s="25"/>
      <c r="N766" s="25">
        <f>'Combined Retirement'!$C$18/12</f>
        <v>33932.660666666663</v>
      </c>
      <c r="O766" s="25">
        <f t="shared" si="525"/>
        <v>11007.82546143035</v>
      </c>
      <c r="P766" s="25">
        <f t="shared" si="526"/>
        <v>22924.835205236312</v>
      </c>
      <c r="Q766" s="25">
        <f t="array" aca="1" ref="Q766" ca="1">INDEX('Isaac 401k'!L:L,MATCH('Retirement Calculator'!A766,'Isaac 401k'!N:N,0),0)</f>
        <v>10552819.006314719</v>
      </c>
      <c r="R766" s="25">
        <f t="array" aca="1" ref="R766" ca="1">INDEX('Lorri 401b'!L:L,MATCH('Retirement Calculator'!A766,'Lorri 401b'!N:N,0),0)</f>
        <v>9038296.3361682408</v>
      </c>
      <c r="S766" s="25">
        <f t="shared" ca="1" si="527"/>
        <v>19591115.342482962</v>
      </c>
    </row>
    <row r="767" spans="1:19" ht="15.75" customHeight="1" x14ac:dyDescent="0.3">
      <c r="A767" s="37">
        <v>74297</v>
      </c>
      <c r="B767" s="409">
        <f t="shared" ref="B767:C767" si="773">($A767-B$9)/365.25</f>
        <v>121.53593429158111</v>
      </c>
      <c r="C767" s="409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3525.4531757812501</v>
      </c>
      <c r="H767" s="25">
        <f>IF(B767&lt;62,0,'Combined Retirement'!$I$14)</f>
        <v>2192</v>
      </c>
      <c r="I767" s="25">
        <f>IF(C767&lt;62,0,'Combined Retirement'!$I$13)</f>
        <v>2420</v>
      </c>
      <c r="J767" s="25">
        <f t="shared" si="523"/>
        <v>6404.7404596389215</v>
      </c>
      <c r="K767" s="25">
        <f t="shared" si="524"/>
        <v>16520.094745597391</v>
      </c>
      <c r="L767" s="25"/>
      <c r="N767" s="25">
        <f>'Combined Retirement'!$C$18/12</f>
        <v>33932.660666666663</v>
      </c>
      <c r="O767" s="25">
        <f t="shared" si="525"/>
        <v>11007.82546143035</v>
      </c>
      <c r="P767" s="25">
        <f t="shared" si="526"/>
        <v>22924.835205236312</v>
      </c>
      <c r="Q767" s="25">
        <f t="array" aca="1" ref="Q767" ca="1">INDEX('Isaac 401k'!L:L,MATCH('Retirement Calculator'!A767,'Isaac 401k'!N:N,0),0)</f>
        <v>10590357.658629475</v>
      </c>
      <c r="R767" s="25">
        <f t="array" aca="1" ref="R767" ca="1">INDEX('Lorri 401b'!L:L,MATCH('Retirement Calculator'!A767,'Lorri 401b'!N:N,0),0)</f>
        <v>9059366.9757619053</v>
      </c>
      <c r="S767" s="25">
        <f t="shared" ca="1" si="527"/>
        <v>19649724.634391382</v>
      </c>
    </row>
    <row r="768" spans="1:19" ht="15.75" customHeight="1" x14ac:dyDescent="0.3">
      <c r="A768" s="37">
        <v>74327</v>
      </c>
      <c r="B768" s="409">
        <f t="shared" ref="B768:C768" si="774">($A768-B$9)/365.25</f>
        <v>121.61806981519507</v>
      </c>
      <c r="C768" s="409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3525.4531757812501</v>
      </c>
      <c r="H768" s="25">
        <f>IF(B768&lt;62,0,'Combined Retirement'!$I$14)</f>
        <v>2192</v>
      </c>
      <c r="I768" s="25">
        <f>IF(C768&lt;62,0,'Combined Retirement'!$I$13)</f>
        <v>2420</v>
      </c>
      <c r="J768" s="25">
        <f t="shared" si="523"/>
        <v>6404.7404596389215</v>
      </c>
      <c r="K768" s="25">
        <f t="shared" si="524"/>
        <v>16520.094745597391</v>
      </c>
      <c r="L768" s="25"/>
      <c r="N768" s="25">
        <f>'Combined Retirement'!$C$18/12</f>
        <v>33932.660666666663</v>
      </c>
      <c r="O768" s="25">
        <f t="shared" si="525"/>
        <v>11007.82546143035</v>
      </c>
      <c r="P768" s="25">
        <f t="shared" si="526"/>
        <v>22924.835205236312</v>
      </c>
      <c r="Q768" s="25">
        <f t="array" aca="1" ref="Q768" ca="1">INDEX('Isaac 401k'!L:L,MATCH('Retirement Calculator'!A768,'Isaac 401k'!N:N,0),0)</f>
        <v>10628052.721995544</v>
      </c>
      <c r="R768" s="25">
        <f t="array" aca="1" ref="R768" ca="1">INDEX('Lorri 401b'!L:L,MATCH('Retirement Calculator'!A768,'Lorri 401b'!N:N,0),0)</f>
        <v>9080525.4096872099</v>
      </c>
      <c r="S768" s="25">
        <f t="shared" ca="1" si="527"/>
        <v>19708578.131682754</v>
      </c>
    </row>
    <row r="769" spans="1:19" ht="15.75" customHeight="1" x14ac:dyDescent="0.3">
      <c r="A769" s="37">
        <v>74358</v>
      </c>
      <c r="B769" s="409">
        <f t="shared" ref="B769:C769" si="775">($A769-B$9)/365.25</f>
        <v>121.70294318959617</v>
      </c>
      <c r="C769" s="409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3525.4531757812501</v>
      </c>
      <c r="H769" s="25">
        <f>IF(B769&lt;62,0,'Combined Retirement'!$I$14)</f>
        <v>2192</v>
      </c>
      <c r="I769" s="25">
        <f>IF(C769&lt;62,0,'Combined Retirement'!$I$13)</f>
        <v>2420</v>
      </c>
      <c r="J769" s="25">
        <f t="shared" si="523"/>
        <v>6404.7404596389215</v>
      </c>
      <c r="K769" s="25">
        <f t="shared" si="524"/>
        <v>16520.094745597391</v>
      </c>
      <c r="L769" s="25"/>
      <c r="N769" s="25">
        <f>'Combined Retirement'!$C$18/12</f>
        <v>33932.660666666663</v>
      </c>
      <c r="O769" s="25">
        <f t="shared" si="525"/>
        <v>11007.82546143035</v>
      </c>
      <c r="P769" s="25">
        <f t="shared" si="526"/>
        <v>22924.835205236312</v>
      </c>
      <c r="Q769" s="25">
        <f t="array" aca="1" ref="Q769" ca="1">INDEX('Isaac 401k'!L:L,MATCH('Retirement Calculator'!A769,'Isaac 401k'!N:N,0),0)</f>
        <v>10665904.848125637</v>
      </c>
      <c r="R769" s="25">
        <f t="array" aca="1" ref="R769" ca="1">INDEX('Lorri 401b'!L:L,MATCH('Retirement Calculator'!A769,'Lorri 401b'!N:N,0),0)</f>
        <v>9101772.0037538689</v>
      </c>
      <c r="S769" s="25">
        <f t="shared" ca="1" si="527"/>
        <v>19767676.851879507</v>
      </c>
    </row>
    <row r="770" spans="1:19" ht="15.75" customHeight="1" x14ac:dyDescent="0.3">
      <c r="A770" s="37">
        <v>74389</v>
      </c>
      <c r="B770" s="409">
        <f t="shared" ref="B770:C770" si="776">($A770-B$9)/365.25</f>
        <v>121.78781656399727</v>
      </c>
      <c r="C770" s="409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3525.4531757812501</v>
      </c>
      <c r="H770" s="25">
        <f>IF(B770&lt;62,0,'Combined Retirement'!$I$14)</f>
        <v>2192</v>
      </c>
      <c r="I770" s="25">
        <f>IF(C770&lt;62,0,'Combined Retirement'!$I$13)</f>
        <v>2420</v>
      </c>
      <c r="J770" s="25">
        <f t="shared" si="523"/>
        <v>6404.7404596389215</v>
      </c>
      <c r="K770" s="25">
        <f t="shared" si="524"/>
        <v>16520.094745597391</v>
      </c>
      <c r="L770" s="25"/>
      <c r="N770" s="25">
        <f>'Combined Retirement'!$C$18/12</f>
        <v>33932.660666666663</v>
      </c>
      <c r="O770" s="25">
        <f t="shared" si="525"/>
        <v>11007.82546143035</v>
      </c>
      <c r="P770" s="25">
        <f t="shared" si="526"/>
        <v>22924.835205236312</v>
      </c>
      <c r="Q770" s="25">
        <f t="array" aca="1" ref="Q770" ca="1">INDEX('Isaac 401k'!L:L,MATCH('Retirement Calculator'!A770,'Isaac 401k'!N:N,0),0)</f>
        <v>10703914.691447938</v>
      </c>
      <c r="R770" s="25">
        <f t="array" aca="1" ref="R770" ca="1">INDEX('Lorri 401b'!L:L,MATCH('Retirement Calculator'!A770,'Lorri 401b'!N:N,0),0)</f>
        <v>9123107.1252958067</v>
      </c>
      <c r="S770" s="25">
        <f t="shared" ca="1" si="527"/>
        <v>19827021.816743746</v>
      </c>
    </row>
    <row r="771" spans="1:19" ht="15.75" customHeight="1" x14ac:dyDescent="0.3">
      <c r="A771" s="37">
        <v>74419</v>
      </c>
      <c r="B771" s="409">
        <f t="shared" ref="B771:C771" si="777">($A771-B$9)/365.25</f>
        <v>121.86995208761122</v>
      </c>
      <c r="C771" s="409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3525.4531757812501</v>
      </c>
      <c r="H771" s="25">
        <f>IF(B771&lt;62,0,'Combined Retirement'!$I$14)</f>
        <v>2192</v>
      </c>
      <c r="I771" s="25">
        <f>IF(C771&lt;62,0,'Combined Retirement'!$I$13)</f>
        <v>2420</v>
      </c>
      <c r="J771" s="25">
        <f t="shared" si="523"/>
        <v>6404.7404596389215</v>
      </c>
      <c r="K771" s="25">
        <f t="shared" si="524"/>
        <v>16520.094745597391</v>
      </c>
      <c r="L771" s="25"/>
      <c r="N771" s="25">
        <f>'Combined Retirement'!$C$18/12</f>
        <v>33932.660666666663</v>
      </c>
      <c r="O771" s="25">
        <f t="shared" si="525"/>
        <v>11007.82546143035</v>
      </c>
      <c r="P771" s="25">
        <f t="shared" si="526"/>
        <v>22924.835205236312</v>
      </c>
      <c r="Q771" s="25">
        <f t="array" aca="1" ref="Q771" ca="1">INDEX('Isaac 401k'!L:L,MATCH('Retirement Calculator'!A771,'Isaac 401k'!N:N,0),0)</f>
        <v>10742082.909117416</v>
      </c>
      <c r="R771" s="25">
        <f t="array" aca="1" ref="R771" ca="1">INDEX('Lorri 401b'!L:L,MATCH('Retirement Calculator'!A771,'Lorri 401b'!N:N,0),0)</f>
        <v>9144531.1431775019</v>
      </c>
      <c r="S771" s="25">
        <f t="shared" ca="1" si="527"/>
        <v>19886614.052294917</v>
      </c>
    </row>
    <row r="772" spans="1:19" ht="15.75" customHeight="1" x14ac:dyDescent="0.3">
      <c r="A772" s="37">
        <v>74450</v>
      </c>
      <c r="B772" s="409">
        <f t="shared" ref="B772:C772" si="778">($A772-B$9)/365.25</f>
        <v>121.95482546201232</v>
      </c>
      <c r="C772" s="409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3525.4531757812501</v>
      </c>
      <c r="H772" s="25">
        <f>IF(B772&lt;62,0,'Combined Retirement'!$I$14)</f>
        <v>2192</v>
      </c>
      <c r="I772" s="25">
        <f>IF(C772&lt;62,0,'Combined Retirement'!$I$13)</f>
        <v>2420</v>
      </c>
      <c r="J772" s="25">
        <f t="shared" si="523"/>
        <v>6404.7404596389215</v>
      </c>
      <c r="K772" s="25">
        <f t="shared" si="524"/>
        <v>16520.094745597391</v>
      </c>
      <c r="L772" s="25"/>
      <c r="N772" s="25">
        <f>'Combined Retirement'!$C$18/12</f>
        <v>33932.660666666663</v>
      </c>
      <c r="O772" s="25">
        <f t="shared" si="525"/>
        <v>11007.82546143035</v>
      </c>
      <c r="P772" s="25">
        <f t="shared" si="526"/>
        <v>22924.835205236312</v>
      </c>
      <c r="Q772" s="25">
        <f t="array" aca="1" ref="Q772" ca="1">INDEX('Isaac 401k'!L:L,MATCH('Retirement Calculator'!A772,'Isaac 401k'!N:N,0),0)</f>
        <v>10780410.161027184</v>
      </c>
      <c r="R772" s="25">
        <f t="array" aca="1" ref="R772" ca="1">INDEX('Lorri 401b'!L:L,MATCH('Retirement Calculator'!A772,'Lorri 401b'!N:N,0),0)</f>
        <v>9166044.4278003704</v>
      </c>
      <c r="S772" s="25">
        <f t="shared" ca="1" si="527"/>
        <v>19946454.588827554</v>
      </c>
    </row>
    <row r="773" spans="1:19" ht="15.75" customHeight="1" x14ac:dyDescent="0.3">
      <c r="A773" s="37">
        <v>74480</v>
      </c>
      <c r="B773" s="409">
        <f t="shared" ref="B773:C773" si="779">($A773-B$9)/365.25</f>
        <v>122.03696098562628</v>
      </c>
      <c r="C773" s="409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3525.4531757812501</v>
      </c>
      <c r="H773" s="25">
        <f>IF(B773&lt;62,0,'Combined Retirement'!$I$14)</f>
        <v>2192</v>
      </c>
      <c r="I773" s="25">
        <f>IF(C773&lt;62,0,'Combined Retirement'!$I$13)</f>
        <v>2420</v>
      </c>
      <c r="J773" s="25">
        <f t="shared" si="523"/>
        <v>6404.7404596389215</v>
      </c>
      <c r="K773" s="25">
        <f t="shared" si="524"/>
        <v>16520.094745597391</v>
      </c>
      <c r="L773" s="25"/>
      <c r="N773" s="25">
        <f>'Combined Retirement'!$C$18/12</f>
        <v>33932.660666666663</v>
      </c>
      <c r="O773" s="25">
        <f t="shared" si="525"/>
        <v>11007.82546143035</v>
      </c>
      <c r="P773" s="25">
        <f t="shared" si="526"/>
        <v>22924.835205236312</v>
      </c>
      <c r="Q773" s="25">
        <f t="array" aca="1" ref="Q773" ca="1">INDEX('Isaac 401k'!L:L,MATCH('Retirement Calculator'!A773,'Isaac 401k'!N:N,0),0)</f>
        <v>10818897.10981991</v>
      </c>
      <c r="R773" s="25">
        <f t="array" aca="1" ref="R773" ca="1">INDEX('Lorri 401b'!L:L,MATCH('Retirement Calculator'!A773,'Lorri 401b'!N:N,0),0)</f>
        <v>9187647.3511091676</v>
      </c>
      <c r="S773" s="25">
        <f t="shared" ca="1" si="527"/>
        <v>20006544.460929077</v>
      </c>
    </row>
    <row r="774" spans="1:19" ht="15.75" customHeight="1" x14ac:dyDescent="0.3">
      <c r="A774" s="37">
        <v>74511</v>
      </c>
      <c r="B774" s="409">
        <f t="shared" ref="B774:C774" si="780">($A774-B$9)/365.25</f>
        <v>122.12183436002738</v>
      </c>
      <c r="C774" s="409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3525.4531757812501</v>
      </c>
      <c r="H774" s="25">
        <f>IF(B774&lt;62,0,'Combined Retirement'!$I$14)</f>
        <v>2192</v>
      </c>
      <c r="I774" s="25">
        <f>IF(C774&lt;62,0,'Combined Retirement'!$I$13)</f>
        <v>2420</v>
      </c>
      <c r="J774" s="25">
        <f t="shared" si="523"/>
        <v>6404.7404596389215</v>
      </c>
      <c r="K774" s="25">
        <f t="shared" si="524"/>
        <v>16520.094745597391</v>
      </c>
      <c r="L774" s="25"/>
      <c r="N774" s="25">
        <f>'Combined Retirement'!$C$18/12</f>
        <v>33932.660666666663</v>
      </c>
      <c r="O774" s="25">
        <f t="shared" si="525"/>
        <v>11007.82546143035</v>
      </c>
      <c r="P774" s="25">
        <f t="shared" si="526"/>
        <v>22924.835205236312</v>
      </c>
      <c r="Q774" s="25">
        <f t="array" aca="1" ref="Q774" ca="1">INDEX('Isaac 401k'!L:L,MATCH('Retirement Calculator'!A774,'Isaac 401k'!N:N,0),0)</f>
        <v>10857544.420899272</v>
      </c>
      <c r="R774" s="25">
        <f t="array" aca="1" ref="R774" ca="1">INDEX('Lorri 401b'!L:L,MATCH('Retirement Calculator'!A774,'Lorri 401b'!N:N,0),0)</f>
        <v>9209340.2865984198</v>
      </c>
      <c r="S774" s="25">
        <f t="shared" ca="1" si="527"/>
        <v>20066884.707497694</v>
      </c>
    </row>
    <row r="775" spans="1:19" ht="15.75" customHeight="1" x14ac:dyDescent="0.3">
      <c r="A775" s="37">
        <v>74542</v>
      </c>
      <c r="B775" s="409">
        <f t="shared" ref="B775:C775" si="781">($A775-B$9)/365.25</f>
        <v>122.20670773442848</v>
      </c>
      <c r="C775" s="409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3525.4531757812501</v>
      </c>
      <c r="H775" s="25">
        <f>IF(B775&lt;62,0,'Combined Retirement'!$I$14)</f>
        <v>2192</v>
      </c>
      <c r="I775" s="25">
        <f>IF(C775&lt;62,0,'Combined Retirement'!$I$13)</f>
        <v>2420</v>
      </c>
      <c r="J775" s="25">
        <f t="shared" si="523"/>
        <v>6404.7404596389215</v>
      </c>
      <c r="K775" s="25">
        <f t="shared" si="524"/>
        <v>16520.094745597391</v>
      </c>
      <c r="L775" s="25"/>
      <c r="N775" s="25">
        <f>'Combined Retirement'!$C$18/12</f>
        <v>33932.660666666663</v>
      </c>
      <c r="O775" s="25">
        <f t="shared" si="525"/>
        <v>11007.82546143035</v>
      </c>
      <c r="P775" s="25">
        <f t="shared" si="526"/>
        <v>22924.835205236312</v>
      </c>
      <c r="Q775" s="25">
        <f t="array" aca="1" ref="Q775" ca="1">INDEX('Isaac 401k'!L:L,MATCH('Retirement Calculator'!A775,'Isaac 401k'!N:N,0),0)</f>
        <v>10896352.762441464</v>
      </c>
      <c r="R775" s="25">
        <f t="array" aca="1" ref="R775" ca="1">INDEX('Lorri 401b'!L:L,MATCH('Retirement Calculator'!A775,'Lorri 401b'!N:N,0),0)</f>
        <v>9231123.6093188766</v>
      </c>
      <c r="S775" s="25">
        <f t="shared" ca="1" si="527"/>
        <v>20127476.371760339</v>
      </c>
    </row>
    <row r="776" spans="1:19" ht="15.75" customHeight="1" x14ac:dyDescent="0.3">
      <c r="A776" s="37">
        <v>74571</v>
      </c>
      <c r="B776" s="409">
        <f t="shared" ref="B776:C776" si="782">($A776-B$9)/365.25</f>
        <v>122.28610540725531</v>
      </c>
      <c r="C776" s="409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3525.4531757812501</v>
      </c>
      <c r="H776" s="25">
        <f>IF(B776&lt;62,0,'Combined Retirement'!$I$14)</f>
        <v>2192</v>
      </c>
      <c r="I776" s="25">
        <f>IF(C776&lt;62,0,'Combined Retirement'!$I$13)</f>
        <v>2420</v>
      </c>
      <c r="J776" s="25">
        <f t="shared" ref="J776:J1030" si="783">IF(C776&lt;59.5,P776,P776*$J$7)</f>
        <v>6404.7404596389215</v>
      </c>
      <c r="K776" s="25">
        <f t="shared" ref="K776:K1030" si="784">IF(C776&lt;59.5,0,IF(C776&lt;$B$7,0,P776*$K$7))</f>
        <v>16520.094745597391</v>
      </c>
      <c r="L776" s="25"/>
      <c r="N776" s="25">
        <f>'Combined Retirement'!$C$18/12</f>
        <v>33932.660666666663</v>
      </c>
      <c r="O776" s="25">
        <f t="shared" ref="O776:O1030" si="785">SUM(E776:I776)</f>
        <v>11007.82546143035</v>
      </c>
      <c r="P776" s="25">
        <f t="shared" ref="P776:P1030" si="786">N776-O776</f>
        <v>22924.835205236312</v>
      </c>
      <c r="Q776" s="25">
        <f t="array" aca="1" ref="Q776" ca="1">INDEX('Isaac 401k'!L:L,MATCH('Retirement Calculator'!A776,'Isaac 401k'!N:N,0),0)</f>
        <v>10935322.805406749</v>
      </c>
      <c r="R776" s="25">
        <f t="array" aca="1" ref="R776" ca="1">INDEX('Lorri 401b'!L:L,MATCH('Retirement Calculator'!A776,'Lorri 401b'!N:N,0),0)</f>
        <v>9252997.6958840024</v>
      </c>
      <c r="S776" s="25">
        <f t="shared" ref="S776:S1030" ca="1" si="787">SUM(Q776:R776)</f>
        <v>20188320.501290753</v>
      </c>
    </row>
    <row r="777" spans="1:19" ht="15.75" customHeight="1" x14ac:dyDescent="0.3">
      <c r="A777" s="37">
        <v>74602</v>
      </c>
      <c r="B777" s="409">
        <f t="shared" ref="B777:C777" si="788">($A777-B$9)/365.25</f>
        <v>122.3709787816564</v>
      </c>
      <c r="C777" s="409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3525.4531757812501</v>
      </c>
      <c r="H777" s="25">
        <f>IF(B777&lt;62,0,'Combined Retirement'!$I$14)</f>
        <v>2192</v>
      </c>
      <c r="I777" s="25">
        <f>IF(C777&lt;62,0,'Combined Retirement'!$I$13)</f>
        <v>2420</v>
      </c>
      <c r="J777" s="25">
        <f t="shared" si="783"/>
        <v>6404.7404596389215</v>
      </c>
      <c r="K777" s="25">
        <f t="shared" si="784"/>
        <v>16520.094745597391</v>
      </c>
      <c r="L777" s="25"/>
      <c r="N777" s="25">
        <f>'Combined Retirement'!$C$18/12</f>
        <v>33932.660666666663</v>
      </c>
      <c r="O777" s="25">
        <f t="shared" si="785"/>
        <v>11007.82546143035</v>
      </c>
      <c r="P777" s="25">
        <f t="shared" si="786"/>
        <v>22924.835205236312</v>
      </c>
      <c r="Q777" s="25">
        <f t="array" aca="1" ref="Q777" ca="1">INDEX('Isaac 401k'!L:L,MATCH('Retirement Calculator'!A777,'Isaac 401k'!N:N,0),0)</f>
        <v>10974455.223551055</v>
      </c>
      <c r="R777" s="25">
        <f t="array" aca="1" ref="R777" ca="1">INDEX('Lorri 401b'!L:L,MATCH('Retirement Calculator'!A777,'Lorri 401b'!N:N,0),0)</f>
        <v>9274962.924476482</v>
      </c>
      <c r="S777" s="25">
        <f t="shared" ca="1" si="787"/>
        <v>20249418.148027539</v>
      </c>
    </row>
    <row r="778" spans="1:19" ht="15.75" customHeight="1" x14ac:dyDescent="0.3">
      <c r="A778" s="37">
        <v>74632</v>
      </c>
      <c r="B778" s="409">
        <f t="shared" ref="B778:C778" si="789">($A778-B$9)/365.25</f>
        <v>122.45311430527036</v>
      </c>
      <c r="C778" s="409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3525.4531757812501</v>
      </c>
      <c r="H778" s="25">
        <f>IF(B778&lt;62,0,'Combined Retirement'!$I$14)</f>
        <v>2192</v>
      </c>
      <c r="I778" s="25">
        <f>IF(C778&lt;62,0,'Combined Retirement'!$I$13)</f>
        <v>2420</v>
      </c>
      <c r="J778" s="25">
        <f t="shared" si="783"/>
        <v>6404.7404596389215</v>
      </c>
      <c r="K778" s="25">
        <f t="shared" si="784"/>
        <v>16520.094745597391</v>
      </c>
      <c r="L778" s="25"/>
      <c r="N778" s="25">
        <f>'Combined Retirement'!$C$18/12</f>
        <v>33932.660666666663</v>
      </c>
      <c r="O778" s="25">
        <f t="shared" si="785"/>
        <v>11007.82546143035</v>
      </c>
      <c r="P778" s="25">
        <f t="shared" si="786"/>
        <v>22924.835205236312</v>
      </c>
      <c r="Q778" s="25">
        <f t="array" aca="1" ref="Q778" ca="1">INDEX('Isaac 401k'!L:L,MATCH('Retirement Calculator'!A778,'Isaac 401k'!N:N,0),0)</f>
        <v>11013750.69343763</v>
      </c>
      <c r="R778" s="25">
        <f t="array" aca="1" ref="R778" ca="1">INDEX('Lorri 401b'!L:L,MATCH('Retirement Calculator'!A778,'Lorri 401b'!N:N,0),0)</f>
        <v>9297019.6748547647</v>
      </c>
      <c r="S778" s="25">
        <f t="shared" ca="1" si="787"/>
        <v>20310770.368292395</v>
      </c>
    </row>
    <row r="779" spans="1:19" ht="15.75" customHeight="1" x14ac:dyDescent="0.3">
      <c r="A779" s="37">
        <v>74663</v>
      </c>
      <c r="B779" s="409">
        <f t="shared" ref="B779:C779" si="790">($A779-B$9)/365.25</f>
        <v>122.53798767967146</v>
      </c>
      <c r="C779" s="409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3525.4531757812501</v>
      </c>
      <c r="H779" s="25">
        <f>IF(B779&lt;62,0,'Combined Retirement'!$I$14)</f>
        <v>2192</v>
      </c>
      <c r="I779" s="25">
        <f>IF(C779&lt;62,0,'Combined Retirement'!$I$13)</f>
        <v>2420</v>
      </c>
      <c r="J779" s="25">
        <f t="shared" si="783"/>
        <v>6404.7404596389215</v>
      </c>
      <c r="K779" s="25">
        <f t="shared" si="784"/>
        <v>16520.094745597391</v>
      </c>
      <c r="L779" s="25"/>
      <c r="N779" s="25">
        <f>'Combined Retirement'!$C$18/12</f>
        <v>33932.660666666663</v>
      </c>
      <c r="O779" s="25">
        <f t="shared" si="785"/>
        <v>11007.82546143035</v>
      </c>
      <c r="P779" s="25">
        <f t="shared" si="786"/>
        <v>22924.835205236312</v>
      </c>
      <c r="Q779" s="25">
        <f t="array" aca="1" ref="Q779" ca="1">INDEX('Isaac 401k'!L:L,MATCH('Retirement Calculator'!A779,'Isaac 401k'!N:N,0),0)</f>
        <v>11053209.894448733</v>
      </c>
      <c r="R779" s="25">
        <f t="array" aca="1" ref="R779" ca="1">INDEX('Lorri 401b'!L:L,MATCH('Retirement Calculator'!A779,'Lorri 401b'!N:N,0),0)</f>
        <v>9319168.3283596225</v>
      </c>
      <c r="S779" s="25">
        <f t="shared" ca="1" si="787"/>
        <v>20372378.222808354</v>
      </c>
    </row>
    <row r="780" spans="1:19" ht="15.75" customHeight="1" x14ac:dyDescent="0.3">
      <c r="A780" s="37">
        <v>74693</v>
      </c>
      <c r="B780" s="409">
        <f t="shared" ref="B780:C780" si="791">($A780-B$9)/365.25</f>
        <v>122.62012320328542</v>
      </c>
      <c r="C780" s="409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3525.4531757812501</v>
      </c>
      <c r="H780" s="25">
        <f>IF(B780&lt;62,0,'Combined Retirement'!$I$14)</f>
        <v>2192</v>
      </c>
      <c r="I780" s="25">
        <f>IF(C780&lt;62,0,'Combined Retirement'!$I$13)</f>
        <v>2420</v>
      </c>
      <c r="J780" s="25">
        <f t="shared" si="783"/>
        <v>6404.7404596389215</v>
      </c>
      <c r="K780" s="25">
        <f t="shared" si="784"/>
        <v>16520.094745597391</v>
      </c>
      <c r="L780" s="25"/>
      <c r="N780" s="25">
        <f>'Combined Retirement'!$C$18/12</f>
        <v>33932.660666666663</v>
      </c>
      <c r="O780" s="25">
        <f t="shared" si="785"/>
        <v>11007.82546143035</v>
      </c>
      <c r="P780" s="25">
        <f t="shared" si="786"/>
        <v>22924.835205236312</v>
      </c>
      <c r="Q780" s="25">
        <f t="array" aca="1" ref="Q780" ca="1">INDEX('Isaac 401k'!L:L,MATCH('Retirement Calculator'!A780,'Isaac 401k'!N:N,0),0)</f>
        <v>11092833.508797381</v>
      </c>
      <c r="R780" s="25">
        <f t="array" aca="1" ref="R780" ca="1">INDEX('Lorri 401b'!L:L,MATCH('Retirement Calculator'!A780,'Lorri 401b'!N:N,0),0)</f>
        <v>9341409.2679207511</v>
      </c>
      <c r="S780" s="25">
        <f t="shared" ca="1" si="787"/>
        <v>20434242.776718132</v>
      </c>
    </row>
    <row r="781" spans="1:19" ht="15.75" customHeight="1" x14ac:dyDescent="0.3">
      <c r="A781" s="37">
        <v>74724</v>
      </c>
      <c r="B781" s="409">
        <f t="shared" ref="B781:C781" si="792">($A781-B$9)/365.25</f>
        <v>122.70499657768652</v>
      </c>
      <c r="C781" s="409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3525.4531757812501</v>
      </c>
      <c r="H781" s="25">
        <f>IF(B781&lt;62,0,'Combined Retirement'!$I$14)</f>
        <v>2192</v>
      </c>
      <c r="I781" s="25">
        <f>IF(C781&lt;62,0,'Combined Retirement'!$I$13)</f>
        <v>2420</v>
      </c>
      <c r="J781" s="25">
        <f t="shared" si="783"/>
        <v>6404.7404596389215</v>
      </c>
      <c r="K781" s="25">
        <f t="shared" si="784"/>
        <v>16520.094745597391</v>
      </c>
      <c r="L781" s="25"/>
      <c r="N781" s="25">
        <f>'Combined Retirement'!$C$18/12</f>
        <v>33932.660666666663</v>
      </c>
      <c r="O781" s="25">
        <f t="shared" si="785"/>
        <v>11007.82546143035</v>
      </c>
      <c r="P781" s="25">
        <f t="shared" si="786"/>
        <v>22924.835205236312</v>
      </c>
      <c r="Q781" s="25">
        <f t="array" aca="1" ref="Q781" ca="1">INDEX('Isaac 401k'!L:L,MATCH('Retirement Calculator'!A781,'Isaac 401k'!N:N,0),0)</f>
        <v>11132622.221539149</v>
      </c>
      <c r="R781" s="25">
        <f t="array" aca="1" ref="R781" ca="1">INDEX('Lorri 401b'!L:L,MATCH('Retirement Calculator'!A781,'Lorri 401b'!N:N,0),0)</f>
        <v>9363742.8780633844</v>
      </c>
      <c r="S781" s="25">
        <f t="shared" ca="1" si="787"/>
        <v>20496365.099602535</v>
      </c>
    </row>
    <row r="782" spans="1:19" ht="15.75" customHeight="1" x14ac:dyDescent="0.3">
      <c r="A782" s="37">
        <v>74755</v>
      </c>
      <c r="B782" s="409">
        <f t="shared" ref="B782:C782" si="793">($A782-B$9)/365.25</f>
        <v>122.78986995208761</v>
      </c>
      <c r="C782" s="409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3525.4531757812501</v>
      </c>
      <c r="H782" s="25">
        <f>IF(B782&lt;62,0,'Combined Retirement'!$I$14)</f>
        <v>2192</v>
      </c>
      <c r="I782" s="25">
        <f>IF(C782&lt;62,0,'Combined Retirement'!$I$13)</f>
        <v>2420</v>
      </c>
      <c r="J782" s="25">
        <f t="shared" si="783"/>
        <v>6404.7404596389215</v>
      </c>
      <c r="K782" s="25">
        <f t="shared" si="784"/>
        <v>16520.094745597391</v>
      </c>
      <c r="L782" s="25"/>
      <c r="N782" s="25">
        <f>'Combined Retirement'!$C$18/12</f>
        <v>33932.660666666663</v>
      </c>
      <c r="O782" s="25">
        <f t="shared" si="785"/>
        <v>11007.82546143035</v>
      </c>
      <c r="P782" s="25">
        <f t="shared" si="786"/>
        <v>22924.835205236312</v>
      </c>
      <c r="Q782" s="25">
        <f t="array" aca="1" ref="Q782" ca="1">INDEX('Isaac 401k'!L:L,MATCH('Retirement Calculator'!A782,'Isaac 401k'!N:N,0),0)</f>
        <v>11172576.720584007</v>
      </c>
      <c r="R782" s="25">
        <f t="array" aca="1" ref="R782" ca="1">INDEX('Lorri 401b'!L:L,MATCH('Retirement Calculator'!A782,'Lorri 401b'!N:N,0),0)</f>
        <v>9386169.5449149441</v>
      </c>
      <c r="S782" s="25">
        <f t="shared" ca="1" si="787"/>
        <v>20558746.265498951</v>
      </c>
    </row>
    <row r="783" spans="1:19" ht="15.75" customHeight="1" x14ac:dyDescent="0.3">
      <c r="A783" s="37">
        <v>74785</v>
      </c>
      <c r="B783" s="409">
        <f t="shared" ref="B783:C783" si="794">($A783-B$9)/365.25</f>
        <v>122.87200547570157</v>
      </c>
      <c r="C783" s="409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3525.4531757812501</v>
      </c>
      <c r="H783" s="25">
        <f>IF(B783&lt;62,0,'Combined Retirement'!$I$14)</f>
        <v>2192</v>
      </c>
      <c r="I783" s="25">
        <f>IF(C783&lt;62,0,'Combined Retirement'!$I$13)</f>
        <v>2420</v>
      </c>
      <c r="J783" s="25">
        <f t="shared" si="783"/>
        <v>6404.7404596389215</v>
      </c>
      <c r="K783" s="25">
        <f t="shared" si="784"/>
        <v>16520.094745597391</v>
      </c>
      <c r="L783" s="25"/>
      <c r="N783" s="25">
        <f>'Combined Retirement'!$C$18/12</f>
        <v>33932.660666666663</v>
      </c>
      <c r="O783" s="25">
        <f t="shared" si="785"/>
        <v>11007.82546143035</v>
      </c>
      <c r="P783" s="25">
        <f t="shared" si="786"/>
        <v>22924.835205236312</v>
      </c>
      <c r="Q783" s="25">
        <f t="array" aca="1" ref="Q783" ca="1">INDEX('Isaac 401k'!L:L,MATCH('Retirement Calculator'!A783,'Isaac 401k'!N:N,0),0)</f>
        <v>11212697.696708219</v>
      </c>
      <c r="R783" s="25">
        <f t="array" aca="1" ref="R783" ca="1">INDEX('Lorri 401b'!L:L,MATCH('Retirement Calculator'!A783,'Lorri 401b'!N:N,0),0)</f>
        <v>9408689.6562117189</v>
      </c>
      <c r="S783" s="25">
        <f t="shared" ca="1" si="787"/>
        <v>20621387.352919936</v>
      </c>
    </row>
    <row r="784" spans="1:19" ht="15.75" customHeight="1" x14ac:dyDescent="0.3">
      <c r="A784" s="37">
        <v>74816</v>
      </c>
      <c r="B784" s="409">
        <f t="shared" ref="B784:C784" si="795">($A784-B$9)/365.25</f>
        <v>122.95687885010267</v>
      </c>
      <c r="C784" s="409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3525.4531757812501</v>
      </c>
      <c r="H784" s="25">
        <f>IF(B784&lt;62,0,'Combined Retirement'!$I$14)</f>
        <v>2192</v>
      </c>
      <c r="I784" s="25">
        <f>IF(C784&lt;62,0,'Combined Retirement'!$I$13)</f>
        <v>2420</v>
      </c>
      <c r="J784" s="25">
        <f t="shared" si="783"/>
        <v>6404.7404596389215</v>
      </c>
      <c r="K784" s="25">
        <f t="shared" si="784"/>
        <v>16520.094745597391</v>
      </c>
      <c r="L784" s="25"/>
      <c r="N784" s="25">
        <f>'Combined Retirement'!$C$18/12</f>
        <v>33932.660666666663</v>
      </c>
      <c r="O784" s="25">
        <f t="shared" si="785"/>
        <v>11007.82546143035</v>
      </c>
      <c r="P784" s="25">
        <f t="shared" si="786"/>
        <v>22924.835205236312</v>
      </c>
      <c r="Q784" s="25">
        <f t="array" aca="1" ref="Q784" ca="1">INDEX('Isaac 401k'!L:L,MATCH('Retirement Calculator'!A784,'Isaac 401k'!N:N,0),0)</f>
        <v>11252985.843566282</v>
      </c>
      <c r="R784" s="25">
        <f t="array" aca="1" ref="R784" ca="1">INDEX('Lorri 401b'!L:L,MATCH('Retirement Calculator'!A784,'Lorri 401b'!N:N,0),0)</f>
        <v>9431303.6013055649</v>
      </c>
      <c r="S784" s="25">
        <f t="shared" ca="1" si="787"/>
        <v>20684289.444871847</v>
      </c>
    </row>
    <row r="785" spans="1:19" ht="15.75" customHeight="1" x14ac:dyDescent="0.3">
      <c r="A785" s="37">
        <v>74846</v>
      </c>
      <c r="B785" s="409">
        <f t="shared" ref="B785:C785" si="796">($A785-B$9)/365.25</f>
        <v>123.03901437371663</v>
      </c>
      <c r="C785" s="409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3525.4531757812501</v>
      </c>
      <c r="H785" s="25">
        <f>IF(B785&lt;62,0,'Combined Retirement'!$I$14)</f>
        <v>2192</v>
      </c>
      <c r="I785" s="25">
        <f>IF(C785&lt;62,0,'Combined Retirement'!$I$13)</f>
        <v>2420</v>
      </c>
      <c r="J785" s="25">
        <f t="shared" si="783"/>
        <v>6404.7404596389215</v>
      </c>
      <c r="K785" s="25">
        <f t="shared" si="784"/>
        <v>16520.094745597391</v>
      </c>
      <c r="L785" s="25"/>
      <c r="N785" s="25">
        <f>'Combined Retirement'!$C$18/12</f>
        <v>33932.660666666663</v>
      </c>
      <c r="O785" s="25">
        <f t="shared" si="785"/>
        <v>11007.82546143035</v>
      </c>
      <c r="P785" s="25">
        <f t="shared" si="786"/>
        <v>22924.835205236312</v>
      </c>
      <c r="Q785" s="25">
        <f t="array" aca="1" ref="Q785" ca="1">INDEX('Isaac 401k'!L:L,MATCH('Retirement Calculator'!A785,'Isaac 401k'!N:N,0),0)</f>
        <v>11293441.85770292</v>
      </c>
      <c r="R785" s="25">
        <f t="array" aca="1" ref="R785" ca="1">INDEX('Lorri 401b'!L:L,MATCH('Retirement Calculator'!A785,'Lorri 401b'!N:N,0),0)</f>
        <v>9454011.7711706348</v>
      </c>
      <c r="S785" s="25">
        <f t="shared" ca="1" si="787"/>
        <v>20747453.628873557</v>
      </c>
    </row>
    <row r="786" spans="1:19" ht="15.75" customHeight="1" x14ac:dyDescent="0.3">
      <c r="A786" s="37">
        <v>74877</v>
      </c>
      <c r="B786" s="409">
        <f t="shared" ref="B786:C786" si="797">($A786-B$9)/365.25</f>
        <v>123.12388774811772</v>
      </c>
      <c r="C786" s="409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3525.4531757812501</v>
      </c>
      <c r="H786" s="25">
        <f>IF(B786&lt;62,0,'Combined Retirement'!$I$14)</f>
        <v>2192</v>
      </c>
      <c r="I786" s="25">
        <f>IF(C786&lt;62,0,'Combined Retirement'!$I$13)</f>
        <v>2420</v>
      </c>
      <c r="J786" s="25">
        <f t="shared" si="783"/>
        <v>6404.7404596389215</v>
      </c>
      <c r="K786" s="25">
        <f t="shared" si="784"/>
        <v>16520.094745597391</v>
      </c>
      <c r="L786" s="25"/>
      <c r="N786" s="25">
        <f>'Combined Retirement'!$C$18/12</f>
        <v>33932.660666666663</v>
      </c>
      <c r="O786" s="25">
        <f t="shared" si="785"/>
        <v>11007.82546143035</v>
      </c>
      <c r="P786" s="25">
        <f t="shared" si="786"/>
        <v>22924.835205236312</v>
      </c>
      <c r="Q786" s="25">
        <f t="array" aca="1" ref="Q786" ca="1">INDEX('Isaac 401k'!L:L,MATCH('Retirement Calculator'!A786,'Isaac 401k'!N:N,0),0)</f>
        <v>11334066.438565128</v>
      </c>
      <c r="R786" s="25">
        <f t="array" aca="1" ref="R786" ca="1">INDEX('Lorri 401b'!L:L,MATCH('Retirement Calculator'!A786,'Lorri 401b'!N:N,0),0)</f>
        <v>9476814.5584101416</v>
      </c>
      <c r="S786" s="25">
        <f t="shared" ca="1" si="787"/>
        <v>20810880.996975269</v>
      </c>
    </row>
    <row r="787" spans="1:19" ht="15.75" customHeight="1" x14ac:dyDescent="0.3">
      <c r="A787" s="37">
        <v>74908</v>
      </c>
      <c r="B787" s="409">
        <f t="shared" ref="B787:C787" si="798">($A787-B$9)/365.25</f>
        <v>123.20876112251882</v>
      </c>
      <c r="C787" s="409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3525.4531757812501</v>
      </c>
      <c r="H787" s="25">
        <f>IF(B787&lt;62,0,'Combined Retirement'!$I$14)</f>
        <v>2192</v>
      </c>
      <c r="I787" s="25">
        <f>IF(C787&lt;62,0,'Combined Retirement'!$I$13)</f>
        <v>2420</v>
      </c>
      <c r="J787" s="25">
        <f t="shared" si="783"/>
        <v>6404.7404596389215</v>
      </c>
      <c r="K787" s="25">
        <f t="shared" si="784"/>
        <v>16520.094745597391</v>
      </c>
      <c r="L787" s="25"/>
      <c r="N787" s="25">
        <f>'Combined Retirement'!$C$18/12</f>
        <v>33932.660666666663</v>
      </c>
      <c r="O787" s="25">
        <f t="shared" si="785"/>
        <v>11007.82546143035</v>
      </c>
      <c r="P787" s="25">
        <f t="shared" si="786"/>
        <v>22924.835205236312</v>
      </c>
      <c r="Q787" s="25">
        <f t="array" aca="1" ref="Q787" ca="1">INDEX('Isaac 401k'!L:L,MATCH('Retirement Calculator'!A787,'Isaac 401k'!N:N,0),0)</f>
        <v>11374860.28851426</v>
      </c>
      <c r="R787" s="25">
        <f t="array" aca="1" ref="R787" ca="1">INDEX('Lorri 401b'!L:L,MATCH('Retirement Calculator'!A787,'Lorri 401b'!N:N,0),0)</f>
        <v>9499712.3572631478</v>
      </c>
      <c r="S787" s="25">
        <f t="shared" ca="1" si="787"/>
        <v>20874572.645777408</v>
      </c>
    </row>
    <row r="788" spans="1:19" ht="15.75" customHeight="1" x14ac:dyDescent="0.3">
      <c r="A788" s="37">
        <v>74936</v>
      </c>
      <c r="B788" s="409">
        <f t="shared" ref="B788:C788" si="799">($A788-B$9)/365.25</f>
        <v>123.28542094455852</v>
      </c>
      <c r="C788" s="409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3525.4531757812501</v>
      </c>
      <c r="H788" s="25">
        <f>IF(B788&lt;62,0,'Combined Retirement'!$I$14)</f>
        <v>2192</v>
      </c>
      <c r="I788" s="25">
        <f>IF(C788&lt;62,0,'Combined Retirement'!$I$13)</f>
        <v>2420</v>
      </c>
      <c r="J788" s="25">
        <f t="shared" si="783"/>
        <v>6404.7404596389215</v>
      </c>
      <c r="K788" s="25">
        <f t="shared" si="784"/>
        <v>16520.094745597391</v>
      </c>
      <c r="L788" s="25"/>
      <c r="N788" s="25">
        <f>'Combined Retirement'!$C$18/12</f>
        <v>33932.660666666663</v>
      </c>
      <c r="O788" s="25">
        <f t="shared" si="785"/>
        <v>11007.82546143035</v>
      </c>
      <c r="P788" s="25">
        <f t="shared" si="786"/>
        <v>22924.835205236312</v>
      </c>
      <c r="Q788" s="25">
        <f t="array" aca="1" ref="Q788" ca="1">INDEX('Isaac 401k'!L:L,MATCH('Retirement Calculator'!A788,'Isaac 401k'!N:N,0),0)</f>
        <v>11415824.112838181</v>
      </c>
      <c r="R788" s="25">
        <f t="array" aca="1" ref="R788" ca="1">INDEX('Lorri 401b'!L:L,MATCH('Retirement Calculator'!A788,'Lorri 401b'!N:N,0),0)</f>
        <v>9522705.5636113733</v>
      </c>
      <c r="S788" s="25">
        <f t="shared" ca="1" si="787"/>
        <v>20938529.676449552</v>
      </c>
    </row>
    <row r="789" spans="1:19" ht="15.75" customHeight="1" x14ac:dyDescent="0.3">
      <c r="A789" s="37">
        <v>74967</v>
      </c>
      <c r="B789" s="409">
        <f t="shared" ref="B789:C789" si="800">($A789-B$9)/365.25</f>
        <v>123.37029431895962</v>
      </c>
      <c r="C789" s="409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3525.4531757812501</v>
      </c>
      <c r="H789" s="25">
        <f>IF(B789&lt;62,0,'Combined Retirement'!$I$14)</f>
        <v>2192</v>
      </c>
      <c r="I789" s="25">
        <f>IF(C789&lt;62,0,'Combined Retirement'!$I$13)</f>
        <v>2420</v>
      </c>
      <c r="J789" s="25">
        <f t="shared" si="783"/>
        <v>6404.7404596389215</v>
      </c>
      <c r="K789" s="25">
        <f t="shared" si="784"/>
        <v>16520.094745597391</v>
      </c>
      <c r="L789" s="25"/>
      <c r="N789" s="25">
        <f>'Combined Retirement'!$C$18/12</f>
        <v>33932.660666666663</v>
      </c>
      <c r="O789" s="25">
        <f t="shared" si="785"/>
        <v>11007.82546143035</v>
      </c>
      <c r="P789" s="25">
        <f t="shared" si="786"/>
        <v>22924.835205236312</v>
      </c>
      <c r="Q789" s="25">
        <f t="array" aca="1" ref="Q789" ca="1">INDEX('Isaac 401k'!L:L,MATCH('Retirement Calculator'!A789,'Isaac 401k'!N:N,0),0)</f>
        <v>11456958.619763453</v>
      </c>
      <c r="R789" s="25">
        <f t="array" aca="1" ref="R789" ca="1">INDEX('Lorri 401b'!L:L,MATCH('Retirement Calculator'!A789,'Lorri 401b'!N:N,0),0)</f>
        <v>9545794.5749860499</v>
      </c>
      <c r="S789" s="25">
        <f t="shared" ca="1" si="787"/>
        <v>21002753.194749504</v>
      </c>
    </row>
    <row r="790" spans="1:19" ht="15.75" customHeight="1" x14ac:dyDescent="0.3">
      <c r="A790" s="37">
        <v>74997</v>
      </c>
      <c r="B790" s="409">
        <f t="shared" ref="B790:C790" si="801">($A790-B$9)/365.25</f>
        <v>123.45242984257358</v>
      </c>
      <c r="C790" s="409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3525.4531757812501</v>
      </c>
      <c r="H790" s="25">
        <f>IF(B790&lt;62,0,'Combined Retirement'!$I$14)</f>
        <v>2192</v>
      </c>
      <c r="I790" s="25">
        <f>IF(C790&lt;62,0,'Combined Retirement'!$I$13)</f>
        <v>2420</v>
      </c>
      <c r="J790" s="25">
        <f t="shared" si="783"/>
        <v>6404.7404596389215</v>
      </c>
      <c r="K790" s="25">
        <f t="shared" si="784"/>
        <v>16520.094745597391</v>
      </c>
      <c r="L790" s="25"/>
      <c r="N790" s="25">
        <f>'Combined Retirement'!$C$18/12</f>
        <v>33932.660666666663</v>
      </c>
      <c r="O790" s="25">
        <f t="shared" si="785"/>
        <v>11007.82546143035</v>
      </c>
      <c r="P790" s="25">
        <f t="shared" si="786"/>
        <v>22924.835205236312</v>
      </c>
      <c r="Q790" s="25">
        <f t="array" aca="1" ref="Q790" ca="1">INDEX('Isaac 401k'!L:L,MATCH('Retirement Calculator'!A790,'Isaac 401k'!N:N,0),0)</f>
        <v>11498264.520467579</v>
      </c>
      <c r="R790" s="25">
        <f t="array" aca="1" ref="R790" ca="1">INDEX('Lorri 401b'!L:L,MATCH('Retirement Calculator'!A790,'Lorri 401b'!N:N,0),0)</f>
        <v>9568979.790574789</v>
      </c>
      <c r="S790" s="25">
        <f t="shared" ca="1" si="787"/>
        <v>21067244.311042368</v>
      </c>
    </row>
    <row r="791" spans="1:19" ht="15.75" customHeight="1" x14ac:dyDescent="0.3">
      <c r="A791" s="37">
        <v>75028</v>
      </c>
      <c r="B791" s="409">
        <f t="shared" ref="B791:C791" si="802">($A791-B$9)/365.25</f>
        <v>123.53730321697468</v>
      </c>
      <c r="C791" s="409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3525.4531757812501</v>
      </c>
      <c r="H791" s="25">
        <f>IF(B791&lt;62,0,'Combined Retirement'!$I$14)</f>
        <v>2192</v>
      </c>
      <c r="I791" s="25">
        <f>IF(C791&lt;62,0,'Combined Retirement'!$I$13)</f>
        <v>2420</v>
      </c>
      <c r="J791" s="25">
        <f t="shared" si="783"/>
        <v>6404.7404596389215</v>
      </c>
      <c r="K791" s="25">
        <f t="shared" si="784"/>
        <v>16520.094745597391</v>
      </c>
      <c r="L791" s="25"/>
      <c r="N791" s="25">
        <f>'Combined Retirement'!$C$18/12</f>
        <v>33932.660666666663</v>
      </c>
      <c r="O791" s="25">
        <f t="shared" si="785"/>
        <v>11007.82546143035</v>
      </c>
      <c r="P791" s="25">
        <f t="shared" si="786"/>
        <v>22924.835205236312</v>
      </c>
      <c r="Q791" s="25">
        <f t="array" aca="1" ref="Q791" ca="1">INDEX('Isaac 401k'!L:L,MATCH('Retirement Calculator'!A791,'Isaac 401k'!N:N,0),0)</f>
        <v>11539742.529091306</v>
      </c>
      <c r="R791" s="25">
        <f t="array" aca="1" ref="R791" ca="1">INDEX('Lorri 401b'!L:L,MATCH('Retirement Calculator'!A791,'Lorri 401b'!N:N,0),0)</f>
        <v>9592261.6112284809</v>
      </c>
      <c r="S791" s="25">
        <f t="shared" ca="1" si="787"/>
        <v>21132004.140319787</v>
      </c>
    </row>
    <row r="792" spans="1:19" ht="15.75" customHeight="1" x14ac:dyDescent="0.3">
      <c r="A792" s="37">
        <v>75058</v>
      </c>
      <c r="B792" s="409">
        <f t="shared" ref="B792:C792" si="803">($A792-B$9)/365.25</f>
        <v>123.61943874058863</v>
      </c>
      <c r="C792" s="409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3525.4531757812501</v>
      </c>
      <c r="H792" s="25">
        <f>IF(B792&lt;62,0,'Combined Retirement'!$I$14)</f>
        <v>2192</v>
      </c>
      <c r="I792" s="25">
        <f>IF(C792&lt;62,0,'Combined Retirement'!$I$13)</f>
        <v>2420</v>
      </c>
      <c r="J792" s="25">
        <f t="shared" si="783"/>
        <v>6404.7404596389215</v>
      </c>
      <c r="K792" s="25">
        <f t="shared" si="784"/>
        <v>16520.094745597391</v>
      </c>
      <c r="L792" s="25"/>
      <c r="N792" s="25">
        <f>'Combined Retirement'!$C$18/12</f>
        <v>33932.660666666663</v>
      </c>
      <c r="O792" s="25">
        <f t="shared" si="785"/>
        <v>11007.82546143035</v>
      </c>
      <c r="P792" s="25">
        <f t="shared" si="786"/>
        <v>22924.835205236312</v>
      </c>
      <c r="Q792" s="25">
        <f t="array" aca="1" ref="Q792" ca="1">INDEX('Isaac 401k'!L:L,MATCH('Retirement Calculator'!A792,'Isaac 401k'!N:N,0),0)</f>
        <v>11581393.362750964</v>
      </c>
      <c r="R792" s="25">
        <f t="array" aca="1" ref="R792" ca="1">INDEX('Lorri 401b'!L:L,MATCH('Retirement Calculator'!A792,'Lorri 401b'!N:N,0),0)</f>
        <v>9615640.4394682292</v>
      </c>
      <c r="S792" s="25">
        <f t="shared" ca="1" si="787"/>
        <v>21197033.802219193</v>
      </c>
    </row>
    <row r="793" spans="1:19" ht="15.75" customHeight="1" x14ac:dyDescent="0.3">
      <c r="A793" s="37">
        <v>75089</v>
      </c>
      <c r="B793" s="409">
        <f t="shared" ref="B793:C793" si="804">($A793-B$9)/365.25</f>
        <v>123.70431211498973</v>
      </c>
      <c r="C793" s="409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3525.4531757812501</v>
      </c>
      <c r="H793" s="25">
        <f>IF(B793&lt;62,0,'Combined Retirement'!$I$14)</f>
        <v>2192</v>
      </c>
      <c r="I793" s="25">
        <f>IF(C793&lt;62,0,'Combined Retirement'!$I$13)</f>
        <v>2420</v>
      </c>
      <c r="J793" s="25">
        <f t="shared" si="783"/>
        <v>6404.7404596389215</v>
      </c>
      <c r="K793" s="25">
        <f t="shared" si="784"/>
        <v>16520.094745597391</v>
      </c>
      <c r="L793" s="25"/>
      <c r="N793" s="25">
        <f>'Combined Retirement'!$C$18/12</f>
        <v>33932.660666666663</v>
      </c>
      <c r="O793" s="25">
        <f t="shared" si="785"/>
        <v>11007.82546143035</v>
      </c>
      <c r="P793" s="25">
        <f t="shared" si="786"/>
        <v>22924.835205236312</v>
      </c>
      <c r="Q793" s="25">
        <f t="array" aca="1" ref="Q793" ca="1">INDEX('Isaac 401k'!L:L,MATCH('Retirement Calculator'!A793,'Isaac 401k'!N:N,0),0)</f>
        <v>11623217.741550872</v>
      </c>
      <c r="R793" s="25">
        <f t="array" aca="1" ref="R793" ca="1">INDEX('Lorri 401b'!L:L,MATCH('Retirement Calculator'!A793,'Lorri 401b'!N:N,0),0)</f>
        <v>9639116.6794923097</v>
      </c>
      <c r="S793" s="25">
        <f t="shared" ca="1" si="787"/>
        <v>21262334.42104318</v>
      </c>
    </row>
    <row r="794" spans="1:19" ht="15.75" customHeight="1" x14ac:dyDescent="0.3">
      <c r="A794" s="37">
        <v>75120</v>
      </c>
      <c r="B794" s="409">
        <f t="shared" ref="B794:C794" si="805">($A794-B$9)/365.25</f>
        <v>123.78918548939083</v>
      </c>
      <c r="C794" s="409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3525.4531757812501</v>
      </c>
      <c r="H794" s="25">
        <f>IF(B794&lt;62,0,'Combined Retirement'!$I$14)</f>
        <v>2192</v>
      </c>
      <c r="I794" s="25">
        <f>IF(C794&lt;62,0,'Combined Retirement'!$I$13)</f>
        <v>2420</v>
      </c>
      <c r="J794" s="25">
        <f t="shared" si="783"/>
        <v>6404.7404596389215</v>
      </c>
      <c r="K794" s="25">
        <f t="shared" si="784"/>
        <v>16520.094745597391</v>
      </c>
      <c r="L794" s="25"/>
      <c r="N794" s="25">
        <f>'Combined Retirement'!$C$18/12</f>
        <v>33932.660666666663</v>
      </c>
      <c r="O794" s="25">
        <f t="shared" si="785"/>
        <v>11007.82546143035</v>
      </c>
      <c r="P794" s="25">
        <f t="shared" si="786"/>
        <v>22924.835205236312</v>
      </c>
      <c r="Q794" s="25">
        <f t="array" aca="1" ref="Q794" ca="1">INDEX('Isaac 401k'!L:L,MATCH('Retirement Calculator'!A794,'Isaac 401k'!N:N,0),0)</f>
        <v>11665216.388595778</v>
      </c>
      <c r="R794" s="25">
        <f t="array" aca="1" ref="R794" ca="1">INDEX('Lorri 401b'!L:L,MATCH('Retirement Calculator'!A794,'Lorri 401b'!N:N,0),0)</f>
        <v>9662690.7371831574</v>
      </c>
      <c r="S794" s="25">
        <f t="shared" ca="1" si="787"/>
        <v>21327907.125778936</v>
      </c>
    </row>
    <row r="795" spans="1:19" ht="15.75" customHeight="1" x14ac:dyDescent="0.3">
      <c r="A795" s="37">
        <v>75150</v>
      </c>
      <c r="B795" s="409">
        <f t="shared" ref="B795:C795" si="806">($A795-B$9)/365.25</f>
        <v>123.87132101300479</v>
      </c>
      <c r="C795" s="409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3525.4531757812501</v>
      </c>
      <c r="H795" s="25">
        <f>IF(B795&lt;62,0,'Combined Retirement'!$I$14)</f>
        <v>2192</v>
      </c>
      <c r="I795" s="25">
        <f>IF(C795&lt;62,0,'Combined Retirement'!$I$13)</f>
        <v>2420</v>
      </c>
      <c r="J795" s="25">
        <f t="shared" si="783"/>
        <v>6404.7404596389215</v>
      </c>
      <c r="K795" s="25">
        <f t="shared" si="784"/>
        <v>16520.094745597391</v>
      </c>
      <c r="L795" s="25"/>
      <c r="N795" s="25">
        <f>'Combined Retirement'!$C$18/12</f>
        <v>33932.660666666663</v>
      </c>
      <c r="O795" s="25">
        <f t="shared" si="785"/>
        <v>11007.82546143035</v>
      </c>
      <c r="P795" s="25">
        <f t="shared" si="786"/>
        <v>22924.835205236312</v>
      </c>
      <c r="Q795" s="25">
        <f t="array" aca="1" ref="Q795" ca="1">INDEX('Isaac 401k'!L:L,MATCH('Retirement Calculator'!A795,'Isaac 401k'!N:N,0),0)</f>
        <v>11707390.030003373</v>
      </c>
      <c r="R795" s="25">
        <f t="array" aca="1" ref="R795" ca="1">INDEX('Lorri 401b'!L:L,MATCH('Retirement Calculator'!A795,'Lorri 401b'!N:N,0),0)</f>
        <v>9686363.0201143827</v>
      </c>
      <c r="S795" s="25">
        <f t="shared" ca="1" si="787"/>
        <v>21393753.050117753</v>
      </c>
    </row>
    <row r="796" spans="1:19" ht="15.75" customHeight="1" x14ac:dyDescent="0.3">
      <c r="A796" s="37">
        <v>75181</v>
      </c>
      <c r="B796" s="409">
        <f t="shared" ref="B796:C796" si="807">($A796-B$9)/365.25</f>
        <v>123.95619438740589</v>
      </c>
      <c r="C796" s="409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3525.4531757812501</v>
      </c>
      <c r="H796" s="25">
        <f>IF(B796&lt;62,0,'Combined Retirement'!$I$14)</f>
        <v>2192</v>
      </c>
      <c r="I796" s="25">
        <f>IF(C796&lt;62,0,'Combined Retirement'!$I$13)</f>
        <v>2420</v>
      </c>
      <c r="J796" s="25">
        <f t="shared" si="783"/>
        <v>6404.7404596389215</v>
      </c>
      <c r="K796" s="25">
        <f t="shared" si="784"/>
        <v>16520.094745597391</v>
      </c>
      <c r="L796" s="25"/>
      <c r="N796" s="25">
        <f>'Combined Retirement'!$C$18/12</f>
        <v>33932.660666666663</v>
      </c>
      <c r="O796" s="25">
        <f t="shared" si="785"/>
        <v>11007.82546143035</v>
      </c>
      <c r="P796" s="25">
        <f t="shared" si="786"/>
        <v>22924.835205236312</v>
      </c>
      <c r="Q796" s="25">
        <f t="array" aca="1" ref="Q796" ca="1">INDEX('Isaac 401k'!L:L,MATCH('Retirement Calculator'!A796,'Isaac 401k'!N:N,0),0)</f>
        <v>11749739.394916832</v>
      </c>
      <c r="R796" s="25">
        <f t="array" aca="1" ref="R796" ca="1">INDEX('Lorri 401b'!L:L,MATCH('Retirement Calculator'!A796,'Lorri 401b'!N:N,0),0)</f>
        <v>9710133.9375578221</v>
      </c>
      <c r="S796" s="25">
        <f t="shared" ca="1" si="787"/>
        <v>21459873.332474656</v>
      </c>
    </row>
    <row r="797" spans="1:19" ht="15.75" customHeight="1" x14ac:dyDescent="0.3">
      <c r="A797" s="37">
        <v>75211</v>
      </c>
      <c r="B797" s="409">
        <f t="shared" ref="B797:C797" si="808">($A797-B$9)/365.25</f>
        <v>124.03832991101984</v>
      </c>
      <c r="C797" s="409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3525.4531757812501</v>
      </c>
      <c r="H797" s="25">
        <f>IF(B797&lt;62,0,'Combined Retirement'!$I$14)</f>
        <v>2192</v>
      </c>
      <c r="I797" s="25">
        <f>IF(C797&lt;62,0,'Combined Retirement'!$I$13)</f>
        <v>2420</v>
      </c>
      <c r="J797" s="25">
        <f t="shared" si="783"/>
        <v>6404.7404596389215</v>
      </c>
      <c r="K797" s="25">
        <f t="shared" si="784"/>
        <v>16520.094745597391</v>
      </c>
      <c r="L797" s="25"/>
      <c r="N797" s="25">
        <f>'Combined Retirement'!$C$18/12</f>
        <v>33932.660666666663</v>
      </c>
      <c r="O797" s="25">
        <f t="shared" si="785"/>
        <v>11007.82546143035</v>
      </c>
      <c r="P797" s="25">
        <f t="shared" si="786"/>
        <v>22924.835205236312</v>
      </c>
      <c r="Q797" s="25">
        <f t="array" aca="1" ref="Q797" ca="1">INDEX('Isaac 401k'!L:L,MATCH('Retirement Calculator'!A797,'Isaac 401k'!N:N,0),0)</f>
        <v>11792265.215517431</v>
      </c>
      <c r="R797" s="25">
        <f t="array" aca="1" ref="R797" ca="1">INDEX('Lorri 401b'!L:L,MATCH('Retirement Calculator'!A797,'Lorri 401b'!N:N,0),0)</f>
        <v>9734003.9004906099</v>
      </c>
      <c r="S797" s="25">
        <f t="shared" ca="1" si="787"/>
        <v>21526269.116008043</v>
      </c>
    </row>
    <row r="798" spans="1:19" ht="15.75" customHeight="1" x14ac:dyDescent="0.3">
      <c r="A798" s="37">
        <v>75242</v>
      </c>
      <c r="B798" s="409">
        <f t="shared" ref="B798:C798" si="809">($A798-B$9)/365.25</f>
        <v>124.12320328542094</v>
      </c>
      <c r="C798" s="409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3525.4531757812501</v>
      </c>
      <c r="H798" s="25">
        <f>IF(B798&lt;62,0,'Combined Retirement'!$I$14)</f>
        <v>2192</v>
      </c>
      <c r="I798" s="25">
        <f>IF(C798&lt;62,0,'Combined Retirement'!$I$13)</f>
        <v>2420</v>
      </c>
      <c r="J798" s="25">
        <f t="shared" si="783"/>
        <v>6404.7404596389215</v>
      </c>
      <c r="K798" s="25">
        <f t="shared" si="784"/>
        <v>16520.094745597391</v>
      </c>
      <c r="L798" s="25"/>
      <c r="N798" s="25">
        <f>'Combined Retirement'!$C$18/12</f>
        <v>33932.660666666663</v>
      </c>
      <c r="O798" s="25">
        <f t="shared" si="785"/>
        <v>11007.82546143035</v>
      </c>
      <c r="P798" s="25">
        <f t="shared" si="786"/>
        <v>22924.835205236312</v>
      </c>
      <c r="Q798" s="25">
        <f t="array" aca="1" ref="Q798" ca="1">INDEX('Isaac 401k'!L:L,MATCH('Retirement Calculator'!A798,'Isaac 401k'!N:N,0),0)</f>
        <v>11834968.227037199</v>
      </c>
      <c r="R798" s="25">
        <f t="array" aca="1" ref="R798" ca="1">INDEX('Lorri 401b'!L:L,MATCH('Retirement Calculator'!A798,'Lorri 401b'!N:N,0),0)</f>
        <v>9757973.321602283</v>
      </c>
      <c r="S798" s="25">
        <f t="shared" ca="1" si="787"/>
        <v>21592941.548639484</v>
      </c>
    </row>
    <row r="799" spans="1:19" ht="15.75" customHeight="1" x14ac:dyDescent="0.3">
      <c r="A799" s="37">
        <v>75273</v>
      </c>
      <c r="B799" s="409">
        <f t="shared" ref="B799:C799" si="810">($A799-B$9)/365.25</f>
        <v>124.20807665982204</v>
      </c>
      <c r="C799" s="409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3525.4531757812501</v>
      </c>
      <c r="H799" s="25">
        <f>IF(B799&lt;62,0,'Combined Retirement'!$I$14)</f>
        <v>2192</v>
      </c>
      <c r="I799" s="25">
        <f>IF(C799&lt;62,0,'Combined Retirement'!$I$13)</f>
        <v>2420</v>
      </c>
      <c r="J799" s="25">
        <f t="shared" si="783"/>
        <v>6404.7404596389215</v>
      </c>
      <c r="K799" s="25">
        <f t="shared" si="784"/>
        <v>16520.094745597391</v>
      </c>
      <c r="L799" s="25"/>
      <c r="N799" s="25">
        <f>'Combined Retirement'!$C$18/12</f>
        <v>33932.660666666663</v>
      </c>
      <c r="O799" s="25">
        <f t="shared" si="785"/>
        <v>11007.82546143035</v>
      </c>
      <c r="P799" s="25">
        <f t="shared" si="786"/>
        <v>22924.835205236312</v>
      </c>
      <c r="Q799" s="25">
        <f t="array" aca="1" ref="Q799" ca="1">INDEX('Isaac 401k'!L:L,MATCH('Retirement Calculator'!A799,'Isaac 401k'!N:N,0),0)</f>
        <v>11877849.167771632</v>
      </c>
      <c r="R799" s="25">
        <f t="array" aca="1" ref="R799" ca="1">INDEX('Lorri 401b'!L:L,MATCH('Retirement Calculator'!A799,'Lorri 401b'!N:N,0),0)</f>
        <v>9782042.615301922</v>
      </c>
      <c r="S799" s="25">
        <f t="shared" ca="1" si="787"/>
        <v>21659891.783073552</v>
      </c>
    </row>
    <row r="800" spans="1:19" ht="15.75" customHeight="1" x14ac:dyDescent="0.3">
      <c r="A800" s="37">
        <v>75301</v>
      </c>
      <c r="B800" s="409">
        <f t="shared" ref="B800:C800" si="811">($A800-B$9)/365.25</f>
        <v>124.28473648186174</v>
      </c>
      <c r="C800" s="409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3525.4531757812501</v>
      </c>
      <c r="H800" s="25">
        <f>IF(B800&lt;62,0,'Combined Retirement'!$I$14)</f>
        <v>2192</v>
      </c>
      <c r="I800" s="25">
        <f>IF(C800&lt;62,0,'Combined Retirement'!$I$13)</f>
        <v>2420</v>
      </c>
      <c r="J800" s="25">
        <f t="shared" si="783"/>
        <v>6404.7404596389215</v>
      </c>
      <c r="K800" s="25">
        <f t="shared" si="784"/>
        <v>16520.094745597391</v>
      </c>
      <c r="L800" s="25"/>
      <c r="N800" s="25">
        <f>'Combined Retirement'!$C$18/12</f>
        <v>33932.660666666663</v>
      </c>
      <c r="O800" s="25">
        <f t="shared" si="785"/>
        <v>11007.82546143035</v>
      </c>
      <c r="P800" s="25">
        <f t="shared" si="786"/>
        <v>22924.835205236312</v>
      </c>
      <c r="Q800" s="25">
        <f t="array" aca="1" ref="Q800" ca="1">INDEX('Isaac 401k'!L:L,MATCH('Retirement Calculator'!A800,'Isaac 401k'!N:N,0),0)</f>
        <v>11920908.779092459</v>
      </c>
      <c r="R800" s="25">
        <f t="array" aca="1" ref="R800" ca="1">INDEX('Lorri 401b'!L:L,MATCH('Retirement Calculator'!A800,'Lorri 401b'!N:N,0),0)</f>
        <v>9806212.1977253091</v>
      </c>
      <c r="S800" s="25">
        <f t="shared" ca="1" si="787"/>
        <v>21727120.976817768</v>
      </c>
    </row>
    <row r="801" spans="1:19" ht="15.75" customHeight="1" x14ac:dyDescent="0.3">
      <c r="A801" s="37">
        <v>75332</v>
      </c>
      <c r="B801" s="409">
        <f t="shared" ref="B801:C801" si="812">($A801-B$9)/365.25</f>
        <v>124.36960985626284</v>
      </c>
      <c r="C801" s="409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3525.4531757812501</v>
      </c>
      <c r="H801" s="25">
        <f>IF(B801&lt;62,0,'Combined Retirement'!$I$14)</f>
        <v>2192</v>
      </c>
      <c r="I801" s="25">
        <f>IF(C801&lt;62,0,'Combined Retirement'!$I$13)</f>
        <v>2420</v>
      </c>
      <c r="J801" s="25">
        <f t="shared" si="783"/>
        <v>6404.7404596389215</v>
      </c>
      <c r="K801" s="25">
        <f t="shared" si="784"/>
        <v>16520.094745597391</v>
      </c>
      <c r="L801" s="25"/>
      <c r="N801" s="25">
        <f>'Combined Retirement'!$C$18/12</f>
        <v>33932.660666666663</v>
      </c>
      <c r="O801" s="25">
        <f t="shared" si="785"/>
        <v>11007.82546143035</v>
      </c>
      <c r="P801" s="25">
        <f t="shared" si="786"/>
        <v>22924.835205236312</v>
      </c>
      <c r="Q801" s="25">
        <f t="array" aca="1" ref="Q801" ca="1">INDEX('Isaac 401k'!L:L,MATCH('Retirement Calculator'!A801,'Isaac 401k'!N:N,0),0)</f>
        <v>11964147.805460457</v>
      </c>
      <c r="R801" s="25">
        <f t="array" aca="1" ref="R801" ca="1">INDEX('Lorri 401b'!L:L,MATCH('Retirement Calculator'!A801,'Lorri 401b'!N:N,0),0)</f>
        <v>9830482.4867421277</v>
      </c>
      <c r="S801" s="25">
        <f t="shared" ca="1" si="787"/>
        <v>21794630.292202584</v>
      </c>
    </row>
    <row r="802" spans="1:19" ht="15.75" customHeight="1" x14ac:dyDescent="0.3">
      <c r="A802" s="37">
        <v>75362</v>
      </c>
      <c r="B802" s="409">
        <f t="shared" ref="B802:C802" si="813">($A802-B$9)/365.25</f>
        <v>124.4517453798768</v>
      </c>
      <c r="C802" s="409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3525.4531757812501</v>
      </c>
      <c r="H802" s="25">
        <f>IF(B802&lt;62,0,'Combined Retirement'!$I$14)</f>
        <v>2192</v>
      </c>
      <c r="I802" s="25">
        <f>IF(C802&lt;62,0,'Combined Retirement'!$I$13)</f>
        <v>2420</v>
      </c>
      <c r="J802" s="25">
        <f t="shared" si="783"/>
        <v>6404.7404596389215</v>
      </c>
      <c r="K802" s="25">
        <f t="shared" si="784"/>
        <v>16520.094745597391</v>
      </c>
      <c r="L802" s="25"/>
      <c r="N802" s="25">
        <f>'Combined Retirement'!$C$18/12</f>
        <v>33932.660666666663</v>
      </c>
      <c r="O802" s="25">
        <f t="shared" si="785"/>
        <v>11007.82546143035</v>
      </c>
      <c r="P802" s="25">
        <f t="shared" si="786"/>
        <v>22924.835205236312</v>
      </c>
      <c r="Q802" s="25">
        <f t="array" aca="1" ref="Q802" ca="1">INDEX('Isaac 401k'!L:L,MATCH('Retirement Calculator'!A802,'Isaac 401k'!N:N,0),0)</f>
        <v>12007566.99443832</v>
      </c>
      <c r="R802" s="25">
        <f t="array" aca="1" ref="R802" ca="1">INDEX('Lorri 401b'!L:L,MATCH('Retirement Calculator'!A802,'Lorri 401b'!N:N,0),0)</f>
        <v>9854853.9019631837</v>
      </c>
      <c r="S802" s="25">
        <f t="shared" ca="1" si="787"/>
        <v>21862420.896401502</v>
      </c>
    </row>
    <row r="803" spans="1:19" ht="15.75" customHeight="1" x14ac:dyDescent="0.3">
      <c r="A803" s="37">
        <v>75393</v>
      </c>
      <c r="B803" s="409">
        <f t="shared" ref="B803:C803" si="814">($A803-B$9)/365.25</f>
        <v>124.5366187542779</v>
      </c>
      <c r="C803" s="409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3525.4531757812501</v>
      </c>
      <c r="H803" s="25">
        <f>IF(B803&lt;62,0,'Combined Retirement'!$I$14)</f>
        <v>2192</v>
      </c>
      <c r="I803" s="25">
        <f>IF(C803&lt;62,0,'Combined Retirement'!$I$13)</f>
        <v>2420</v>
      </c>
      <c r="J803" s="25">
        <f t="shared" si="783"/>
        <v>6404.7404596389215</v>
      </c>
      <c r="K803" s="25">
        <f t="shared" si="784"/>
        <v>16520.094745597391</v>
      </c>
      <c r="L803" s="25"/>
      <c r="N803" s="25">
        <f>'Combined Retirement'!$C$18/12</f>
        <v>33932.660666666663</v>
      </c>
      <c r="O803" s="25">
        <f t="shared" si="785"/>
        <v>11007.82546143035</v>
      </c>
      <c r="P803" s="25">
        <f t="shared" si="786"/>
        <v>22924.835205236312</v>
      </c>
      <c r="Q803" s="25">
        <f t="array" aca="1" ref="Q803" ca="1">INDEX('Isaac 401k'!L:L,MATCH('Retirement Calculator'!A803,'Isaac 401k'!N:N,0),0)</f>
        <v>12051167.096703593</v>
      </c>
      <c r="R803" s="25">
        <f t="array" aca="1" ref="R803" ca="1">INDEX('Lorri 401b'!L:L,MATCH('Retirement Calculator'!A803,'Lorri 401b'!N:N,0),0)</f>
        <v>9879326.8647476602</v>
      </c>
      <c r="S803" s="25">
        <f t="shared" ca="1" si="787"/>
        <v>21930493.961451255</v>
      </c>
    </row>
    <row r="804" spans="1:19" ht="15.75" customHeight="1" x14ac:dyDescent="0.3">
      <c r="A804" s="37">
        <v>75423</v>
      </c>
      <c r="B804" s="409">
        <f t="shared" ref="B804:C804" si="815">($A804-B$9)/365.25</f>
        <v>124.61875427789185</v>
      </c>
      <c r="C804" s="409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3525.4531757812501</v>
      </c>
      <c r="H804" s="25">
        <f>IF(B804&lt;62,0,'Combined Retirement'!$I$14)</f>
        <v>2192</v>
      </c>
      <c r="I804" s="25">
        <f>IF(C804&lt;62,0,'Combined Retirement'!$I$13)</f>
        <v>2420</v>
      </c>
      <c r="J804" s="25">
        <f t="shared" si="783"/>
        <v>6404.7404596389215</v>
      </c>
      <c r="K804" s="25">
        <f t="shared" si="784"/>
        <v>16520.094745597391</v>
      </c>
      <c r="L804" s="25"/>
      <c r="N804" s="25">
        <f>'Combined Retirement'!$C$18/12</f>
        <v>33932.660666666663</v>
      </c>
      <c r="O804" s="25">
        <f t="shared" si="785"/>
        <v>11007.82546143035</v>
      </c>
      <c r="P804" s="25">
        <f t="shared" si="786"/>
        <v>22924.835205236312</v>
      </c>
      <c r="Q804" s="25">
        <f t="array" aca="1" ref="Q804" ca="1">INDEX('Isaac 401k'!L:L,MATCH('Retirement Calculator'!A804,'Isaac 401k'!N:N,0),0)</f>
        <v>12094948.866061635</v>
      </c>
      <c r="R804" s="25">
        <f t="array" aca="1" ref="R804" ca="1">INDEX('Lorri 401b'!L:L,MATCH('Retirement Calculator'!A804,'Lorri 401b'!N:N,0),0)</f>
        <v>9903901.7982104048</v>
      </c>
      <c r="S804" s="25">
        <f t="shared" ca="1" si="787"/>
        <v>21998850.66427204</v>
      </c>
    </row>
    <row r="805" spans="1:19" ht="15.75" customHeight="1" x14ac:dyDescent="0.3">
      <c r="A805" s="37">
        <v>75454</v>
      </c>
      <c r="B805" s="409">
        <f t="shared" ref="B805:C805" si="816">($A805-B$9)/365.25</f>
        <v>124.70362765229295</v>
      </c>
      <c r="C805" s="409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3525.4531757812501</v>
      </c>
      <c r="H805" s="25">
        <f>IF(B805&lt;62,0,'Combined Retirement'!$I$14)</f>
        <v>2192</v>
      </c>
      <c r="I805" s="25">
        <f>IF(C805&lt;62,0,'Combined Retirement'!$I$13)</f>
        <v>2420</v>
      </c>
      <c r="J805" s="25">
        <f t="shared" si="783"/>
        <v>6404.7404596389215</v>
      </c>
      <c r="K805" s="25">
        <f t="shared" si="784"/>
        <v>16520.094745597391</v>
      </c>
      <c r="L805" s="25"/>
      <c r="N805" s="25">
        <f>'Combined Retirement'!$C$18/12</f>
        <v>33932.660666666663</v>
      </c>
      <c r="O805" s="25">
        <f t="shared" si="785"/>
        <v>11007.82546143035</v>
      </c>
      <c r="P805" s="25">
        <f t="shared" si="786"/>
        <v>22924.835205236312</v>
      </c>
      <c r="Q805" s="25">
        <f t="array" aca="1" ref="Q805" ca="1">INDEX('Isaac 401k'!L:L,MATCH('Retirement Calculator'!A805,'Isaac 401k'!N:N,0),0)</f>
        <v>12138913.059458671</v>
      </c>
      <c r="R805" s="25">
        <f t="array" aca="1" ref="R805" ca="1">INDEX('Lorri 401b'!L:L,MATCH('Retirement Calculator'!A805,'Lorri 401b'!N:N,0),0)</f>
        <v>9928579.1272292454</v>
      </c>
      <c r="S805" s="25">
        <f t="shared" ca="1" si="787"/>
        <v>22067492.186687917</v>
      </c>
    </row>
    <row r="806" spans="1:19" ht="15.75" customHeight="1" x14ac:dyDescent="0.3">
      <c r="A806" s="37">
        <v>75485</v>
      </c>
      <c r="B806" s="409">
        <f t="shared" ref="B806:C806" si="817">($A806-B$9)/365.25</f>
        <v>124.78850102669405</v>
      </c>
      <c r="C806" s="409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3525.4531757812501</v>
      </c>
      <c r="H806" s="25">
        <f>IF(B806&lt;62,0,'Combined Retirement'!$I$14)</f>
        <v>2192</v>
      </c>
      <c r="I806" s="25">
        <f>IF(C806&lt;62,0,'Combined Retirement'!$I$13)</f>
        <v>2420</v>
      </c>
      <c r="J806" s="25">
        <f t="shared" si="783"/>
        <v>6404.7404596389215</v>
      </c>
      <c r="K806" s="25">
        <f t="shared" si="784"/>
        <v>16520.094745597391</v>
      </c>
      <c r="L806" s="25"/>
      <c r="N806" s="25">
        <f>'Combined Retirement'!$C$18/12</f>
        <v>33932.660666666663</v>
      </c>
      <c r="O806" s="25">
        <f t="shared" si="785"/>
        <v>11007.82546143035</v>
      </c>
      <c r="P806" s="25">
        <f t="shared" si="786"/>
        <v>22924.835205236312</v>
      </c>
      <c r="Q806" s="25">
        <f t="array" aca="1" ref="Q806" ca="1">INDEX('Isaac 401k'!L:L,MATCH('Retirement Calculator'!A806,'Isaac 401k'!N:N,0),0)</f>
        <v>12183060.43699486</v>
      </c>
      <c r="R806" s="25">
        <f t="array" aca="1" ref="R806" ca="1">INDEX('Lorri 401b'!L:L,MATCH('Retirement Calculator'!A806,'Lorri 401b'!N:N,0),0)</f>
        <v>9953359.2784523312</v>
      </c>
      <c r="S806" s="25">
        <f t="shared" ca="1" si="787"/>
        <v>22136419.715447191</v>
      </c>
    </row>
    <row r="807" spans="1:19" ht="15.75" customHeight="1" x14ac:dyDescent="0.3">
      <c r="A807" s="37">
        <v>75515</v>
      </c>
      <c r="B807" s="409">
        <f t="shared" ref="B807:C807" si="818">($A807-B$9)/365.25</f>
        <v>124.87063655030801</v>
      </c>
      <c r="C807" s="409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3525.4531757812501</v>
      </c>
      <c r="H807" s="25">
        <f>IF(B807&lt;62,0,'Combined Retirement'!$I$14)</f>
        <v>2192</v>
      </c>
      <c r="I807" s="25">
        <f>IF(C807&lt;62,0,'Combined Retirement'!$I$13)</f>
        <v>2420</v>
      </c>
      <c r="J807" s="25">
        <f t="shared" si="783"/>
        <v>6404.7404596389215</v>
      </c>
      <c r="K807" s="25">
        <f t="shared" si="784"/>
        <v>16520.094745597391</v>
      </c>
      <c r="L807" s="25"/>
      <c r="N807" s="25">
        <f>'Combined Retirement'!$C$18/12</f>
        <v>33932.660666666663</v>
      </c>
      <c r="O807" s="25">
        <f t="shared" si="785"/>
        <v>11007.82546143035</v>
      </c>
      <c r="P807" s="25">
        <f t="shared" si="786"/>
        <v>22924.835205236312</v>
      </c>
      <c r="Q807" s="25">
        <f t="array" aca="1" ref="Q807" ca="1">INDEX('Isaac 401k'!L:L,MATCH('Retirement Calculator'!A807,'Isaac 401k'!N:N,0),0)</f>
        <v>12227391.761937451</v>
      </c>
      <c r="R807" s="25">
        <f t="array" aca="1" ref="R807" ca="1">INDEX('Lorri 401b'!L:L,MATCH('Retirement Calculator'!A807,'Lorri 401b'!N:N,0),0)</f>
        <v>9978242.6803055126</v>
      </c>
      <c r="S807" s="25">
        <f t="shared" ca="1" si="787"/>
        <v>22205634.442242965</v>
      </c>
    </row>
    <row r="808" spans="1:19" ht="15.75" customHeight="1" x14ac:dyDescent="0.3">
      <c r="A808" s="37">
        <v>75546</v>
      </c>
      <c r="B808" s="409">
        <f t="shared" ref="B808:C808" si="819">($A808-B$9)/365.25</f>
        <v>124.95550992470911</v>
      </c>
      <c r="C808" s="409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3525.4531757812501</v>
      </c>
      <c r="H808" s="25">
        <f>IF(B808&lt;62,0,'Combined Retirement'!$I$14)</f>
        <v>2192</v>
      </c>
      <c r="I808" s="25">
        <f>IF(C808&lt;62,0,'Combined Retirement'!$I$13)</f>
        <v>2420</v>
      </c>
      <c r="J808" s="25">
        <f t="shared" si="783"/>
        <v>6404.7404596389215</v>
      </c>
      <c r="K808" s="25">
        <f t="shared" si="784"/>
        <v>16520.094745597391</v>
      </c>
      <c r="L808" s="25"/>
      <c r="N808" s="25">
        <f>'Combined Retirement'!$C$18/12</f>
        <v>33932.660666666663</v>
      </c>
      <c r="O808" s="25">
        <f t="shared" si="785"/>
        <v>11007.82546143035</v>
      </c>
      <c r="P808" s="25">
        <f t="shared" si="786"/>
        <v>22924.835205236312</v>
      </c>
      <c r="Q808" s="25">
        <f t="array" aca="1" ref="Q808" ca="1">INDEX('Isaac 401k'!L:L,MATCH('Retirement Calculator'!A808,'Isaac 401k'!N:N,0),0)</f>
        <v>12271907.800733969</v>
      </c>
      <c r="R808" s="25">
        <f t="array" aca="1" ref="R808" ca="1">INDEX('Lorri 401b'!L:L,MATCH('Retirement Calculator'!A808,'Lorri 401b'!N:N,0),0)</f>
        <v>10003229.762999749</v>
      </c>
      <c r="S808" s="25">
        <f t="shared" ca="1" si="787"/>
        <v>22275137.563733719</v>
      </c>
    </row>
    <row r="809" spans="1:19" ht="15.75" customHeight="1" x14ac:dyDescent="0.3">
      <c r="A809" s="37">
        <v>75576</v>
      </c>
      <c r="B809" s="409">
        <f t="shared" ref="B809:C809" si="820">($A809-B$9)/365.25</f>
        <v>125.03764544832306</v>
      </c>
      <c r="C809" s="409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3525.4531757812501</v>
      </c>
      <c r="H809" s="25">
        <f>IF(B809&lt;62,0,'Combined Retirement'!$I$14)</f>
        <v>2192</v>
      </c>
      <c r="I809" s="25">
        <f>IF(C809&lt;62,0,'Combined Retirement'!$I$13)</f>
        <v>2420</v>
      </c>
      <c r="J809" s="25">
        <f t="shared" si="783"/>
        <v>6404.7404596389215</v>
      </c>
      <c r="K809" s="25">
        <f t="shared" si="784"/>
        <v>16520.094745597391</v>
      </c>
      <c r="L809" s="25"/>
      <c r="N809" s="25">
        <f>'Combined Retirement'!$C$18/12</f>
        <v>33932.660666666663</v>
      </c>
      <c r="O809" s="25">
        <f t="shared" si="785"/>
        <v>11007.82546143035</v>
      </c>
      <c r="P809" s="25">
        <f t="shared" si="786"/>
        <v>22924.835205236312</v>
      </c>
      <c r="Q809" s="25">
        <f t="array" aca="1" ref="Q809" ca="1">INDEX('Isaac 401k'!L:L,MATCH('Retirement Calculator'!A809,'Isaac 401k'!N:N,0),0)</f>
        <v>12316609.323025472</v>
      </c>
      <c r="R809" s="25">
        <f t="array" aca="1" ref="R809" ca="1">INDEX('Lorri 401b'!L:L,MATCH('Retirement Calculator'!A809,'Lorri 401b'!N:N,0),0)</f>
        <v>10028320.958538543</v>
      </c>
      <c r="S809" s="25">
        <f t="shared" ca="1" si="787"/>
        <v>22344930.281564016</v>
      </c>
    </row>
    <row r="810" spans="1:19" ht="15.75" customHeight="1" x14ac:dyDescent="0.3">
      <c r="A810" s="37">
        <v>75607</v>
      </c>
      <c r="B810" s="409">
        <f t="shared" ref="B810:C810" si="821">($A810-B$9)/365.25</f>
        <v>125.12251882272416</v>
      </c>
      <c r="C810" s="409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3525.4531757812501</v>
      </c>
      <c r="H810" s="25">
        <f>IF(B810&lt;62,0,'Combined Retirement'!$I$14)</f>
        <v>2192</v>
      </c>
      <c r="I810" s="25">
        <f>IF(C810&lt;62,0,'Combined Retirement'!$I$13)</f>
        <v>2420</v>
      </c>
      <c r="J810" s="25">
        <f t="shared" si="783"/>
        <v>6404.7404596389215</v>
      </c>
      <c r="K810" s="25">
        <f t="shared" si="784"/>
        <v>16520.094745597391</v>
      </c>
      <c r="L810" s="25"/>
      <c r="N810" s="25">
        <f>'Combined Retirement'!$C$18/12</f>
        <v>33932.660666666663</v>
      </c>
      <c r="O810" s="25">
        <f t="shared" si="785"/>
        <v>11007.82546143035</v>
      </c>
      <c r="P810" s="25">
        <f t="shared" si="786"/>
        <v>22924.835205236312</v>
      </c>
      <c r="Q810" s="25">
        <f t="array" aca="1" ref="Q810" ca="1">INDEX('Isaac 401k'!L:L,MATCH('Retirement Calculator'!A810,'Isaac 401k'!N:N,0),0)</f>
        <v>12361497.101659857</v>
      </c>
      <c r="R810" s="25">
        <f t="array" aca="1" ref="R810" ca="1">INDEX('Lorri 401b'!L:L,MATCH('Retirement Calculator'!A810,'Lorri 401b'!N:N,0),0)</f>
        <v>10053516.700725418</v>
      </c>
      <c r="S810" s="25">
        <f t="shared" ca="1" si="787"/>
        <v>22415013.802385274</v>
      </c>
    </row>
    <row r="811" spans="1:19" ht="15.75" customHeight="1" x14ac:dyDescent="0.3">
      <c r="A811" s="37">
        <v>75638</v>
      </c>
      <c r="B811" s="409">
        <f t="shared" ref="B811:C811" si="822">($A811-B$9)/365.25</f>
        <v>125.20739219712526</v>
      </c>
      <c r="C811" s="409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3525.4531757812501</v>
      </c>
      <c r="H811" s="25">
        <f>IF(B811&lt;62,0,'Combined Retirement'!$I$14)</f>
        <v>2192</v>
      </c>
      <c r="I811" s="25">
        <f>IF(C811&lt;62,0,'Combined Retirement'!$I$13)</f>
        <v>2420</v>
      </c>
      <c r="J811" s="25">
        <f t="shared" si="783"/>
        <v>6404.7404596389215</v>
      </c>
      <c r="K811" s="25">
        <f t="shared" si="784"/>
        <v>16520.094745597391</v>
      </c>
      <c r="L811" s="25"/>
      <c r="N811" s="25">
        <f>'Combined Retirement'!$C$18/12</f>
        <v>33932.660666666663</v>
      </c>
      <c r="O811" s="25">
        <f t="shared" si="785"/>
        <v>11007.82546143035</v>
      </c>
      <c r="P811" s="25">
        <f t="shared" si="786"/>
        <v>22924.835205236312</v>
      </c>
      <c r="Q811" s="25">
        <f t="array" aca="1" ref="Q811" ca="1">INDEX('Isaac 401k'!L:L,MATCH('Retirement Calculator'!A811,'Isaac 401k'!N:N,0),0)</f>
        <v>12406571.912705218</v>
      </c>
      <c r="R811" s="25">
        <f t="array" aca="1" ref="R811" ca="1">INDEX('Lorri 401b'!L:L,MATCH('Retirement Calculator'!A811,'Lorri 401b'!N:N,0),0)</f>
        <v>10078817.425171403</v>
      </c>
      <c r="S811" s="25">
        <f t="shared" ca="1" si="787"/>
        <v>22485389.337876622</v>
      </c>
    </row>
    <row r="812" spans="1:19" ht="15.75" customHeight="1" x14ac:dyDescent="0.3">
      <c r="A812" s="37">
        <v>75666</v>
      </c>
      <c r="B812" s="409">
        <f t="shared" ref="B812:C812" si="823">($A812-B$9)/365.25</f>
        <v>125.28405201916496</v>
      </c>
      <c r="C812" s="409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3525.4531757812501</v>
      </c>
      <c r="H812" s="25">
        <f>IF(B812&lt;62,0,'Combined Retirement'!$I$14)</f>
        <v>2192</v>
      </c>
      <c r="I812" s="25">
        <f>IF(C812&lt;62,0,'Combined Retirement'!$I$13)</f>
        <v>2420</v>
      </c>
      <c r="J812" s="25">
        <f t="shared" si="783"/>
        <v>6404.7404596389215</v>
      </c>
      <c r="K812" s="25">
        <f t="shared" si="784"/>
        <v>16520.094745597391</v>
      </c>
      <c r="L812" s="25"/>
      <c r="N812" s="25">
        <f>'Combined Retirement'!$C$18/12</f>
        <v>33932.660666666663</v>
      </c>
      <c r="O812" s="25">
        <f t="shared" si="785"/>
        <v>11007.82546143035</v>
      </c>
      <c r="P812" s="25">
        <f t="shared" si="786"/>
        <v>22924.835205236312</v>
      </c>
      <c r="Q812" s="25">
        <f t="array" aca="1" ref="Q812" ca="1">INDEX('Isaac 401k'!L:L,MATCH('Retirement Calculator'!A812,'Isaac 401k'!N:N,0),0)</f>
        <v>12451834.535463268</v>
      </c>
      <c r="R812" s="25">
        <f t="array" aca="1" ref="R812" ca="1">INDEX('Lorri 401b'!L:L,MATCH('Retirement Calculator'!A812,'Lorri 401b'!N:N,0),0)</f>
        <v>10104223.569302581</v>
      </c>
      <c r="S812" s="25">
        <f t="shared" ca="1" si="787"/>
        <v>22556058.104765847</v>
      </c>
    </row>
    <row r="813" spans="1:19" ht="15.75" customHeight="1" x14ac:dyDescent="0.3">
      <c r="A813" s="37">
        <v>75697</v>
      </c>
      <c r="B813" s="409">
        <f t="shared" ref="B813:C813" si="824">($A813-B$9)/365.25</f>
        <v>125.36892539356604</v>
      </c>
      <c r="C813" s="409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3525.4531757812501</v>
      </c>
      <c r="H813" s="25">
        <f>IF(B813&lt;62,0,'Combined Retirement'!$I$14)</f>
        <v>2192</v>
      </c>
      <c r="I813" s="25">
        <f>IF(C813&lt;62,0,'Combined Retirement'!$I$13)</f>
        <v>2420</v>
      </c>
      <c r="J813" s="25">
        <f t="shared" si="783"/>
        <v>6404.7404596389215</v>
      </c>
      <c r="K813" s="25">
        <f t="shared" si="784"/>
        <v>16520.094745597391</v>
      </c>
      <c r="L813" s="25"/>
      <c r="N813" s="25">
        <f>'Combined Retirement'!$C$18/12</f>
        <v>33932.660666666663</v>
      </c>
      <c r="O813" s="25">
        <f t="shared" si="785"/>
        <v>11007.82546143035</v>
      </c>
      <c r="P813" s="25">
        <f t="shared" si="786"/>
        <v>22924.835205236312</v>
      </c>
      <c r="Q813" s="25">
        <f t="array" aca="1" ref="Q813" ca="1">INDEX('Isaac 401k'!L:L,MATCH('Retirement Calculator'!A813,'Isaac 401k'!N:N,0),0)</f>
        <v>12497285.752482811</v>
      </c>
      <c r="R813" s="25">
        <f t="array" aca="1" ref="R813" ca="1">INDEX('Lorri 401b'!L:L,MATCH('Retirement Calculator'!A813,'Lorri 401b'!N:N,0),0)</f>
        <v>10129735.572367638</v>
      </c>
      <c r="S813" s="25">
        <f t="shared" ca="1" si="787"/>
        <v>22627021.324850447</v>
      </c>
    </row>
    <row r="814" spans="1:19" ht="15.75" customHeight="1" x14ac:dyDescent="0.3">
      <c r="A814" s="37">
        <v>75727</v>
      </c>
      <c r="B814" s="409">
        <f t="shared" ref="B814:C814" si="825">($A814-B$9)/365.25</f>
        <v>125.45106091718002</v>
      </c>
      <c r="C814" s="409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3525.4531757812501</v>
      </c>
      <c r="H814" s="25">
        <f>IF(B814&lt;62,0,'Combined Retirement'!$I$14)</f>
        <v>2192</v>
      </c>
      <c r="I814" s="25">
        <f>IF(C814&lt;62,0,'Combined Retirement'!$I$13)</f>
        <v>2420</v>
      </c>
      <c r="J814" s="25">
        <f t="shared" si="783"/>
        <v>6404.7404596389215</v>
      </c>
      <c r="K814" s="25">
        <f t="shared" si="784"/>
        <v>16520.094745597391</v>
      </c>
      <c r="L814" s="25"/>
      <c r="N814" s="25">
        <f>'Combined Retirement'!$C$18/12</f>
        <v>33932.660666666663</v>
      </c>
      <c r="O814" s="25">
        <f t="shared" si="785"/>
        <v>11007.82546143035</v>
      </c>
      <c r="P814" s="25">
        <f t="shared" si="786"/>
        <v>22924.835205236312</v>
      </c>
      <c r="Q814" s="25">
        <f t="array" aca="1" ref="Q814" ca="1">INDEX('Isaac 401k'!L:L,MATCH('Retirement Calculator'!A814,'Isaac 401k'!N:N,0),0)</f>
        <v>12542926.349573268</v>
      </c>
      <c r="R814" s="25">
        <f t="array" aca="1" ref="R814" ca="1">INDEX('Lorri 401b'!L:L,MATCH('Retirement Calculator'!A814,'Lorri 401b'!N:N,0),0)</f>
        <v>10155353.875445466</v>
      </c>
      <c r="S814" s="25">
        <f t="shared" ca="1" si="787"/>
        <v>22698280.225018732</v>
      </c>
    </row>
    <row r="815" spans="1:19" ht="15.75" customHeight="1" x14ac:dyDescent="0.3">
      <c r="A815" s="37">
        <v>75758</v>
      </c>
      <c r="B815" s="409">
        <f t="shared" ref="B815:C815" si="826">($A815-B$9)/365.25</f>
        <v>125.53593429158111</v>
      </c>
      <c r="C815" s="409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3525.4531757812501</v>
      </c>
      <c r="H815" s="25">
        <f>IF(B815&lt;62,0,'Combined Retirement'!$I$14)</f>
        <v>2192</v>
      </c>
      <c r="I815" s="25">
        <f>IF(C815&lt;62,0,'Combined Retirement'!$I$13)</f>
        <v>2420</v>
      </c>
      <c r="J815" s="25">
        <f t="shared" si="783"/>
        <v>6404.7404596389215</v>
      </c>
      <c r="K815" s="25">
        <f t="shared" si="784"/>
        <v>16520.094745597391</v>
      </c>
      <c r="L815" s="25"/>
      <c r="N815" s="25">
        <f>'Combined Retirement'!$C$18/12</f>
        <v>33932.660666666663</v>
      </c>
      <c r="O815" s="25">
        <f t="shared" si="785"/>
        <v>11007.82546143035</v>
      </c>
      <c r="P815" s="25">
        <f t="shared" si="786"/>
        <v>22924.835205236312</v>
      </c>
      <c r="Q815" s="25">
        <f t="array" aca="1" ref="Q815" ca="1">INDEX('Isaac 401k'!L:L,MATCH('Retirement Calculator'!A815,'Isaac 401k'!N:N,0),0)</f>
        <v>12588757.115818268</v>
      </c>
      <c r="R815" s="25">
        <f t="array" aca="1" ref="R815" ca="1">INDEX('Lorri 401b'!L:L,MATCH('Retirement Calculator'!A815,'Lorri 401b'!N:N,0),0)</f>
        <v>10181078.921452785</v>
      </c>
      <c r="S815" s="25">
        <f t="shared" ca="1" si="787"/>
        <v>22769836.037271053</v>
      </c>
    </row>
    <row r="816" spans="1:19" ht="15.75" customHeight="1" x14ac:dyDescent="0.3">
      <c r="A816" s="37">
        <v>75788</v>
      </c>
      <c r="B816" s="409">
        <f t="shared" ref="B816:C816" si="827">($A816-B$9)/365.25</f>
        <v>125.61806981519507</v>
      </c>
      <c r="C816" s="409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3525.4531757812501</v>
      </c>
      <c r="H816" s="25">
        <f>IF(B816&lt;62,0,'Combined Retirement'!$I$14)</f>
        <v>2192</v>
      </c>
      <c r="I816" s="25">
        <f>IF(C816&lt;62,0,'Combined Retirement'!$I$13)</f>
        <v>2420</v>
      </c>
      <c r="J816" s="25">
        <f t="shared" si="783"/>
        <v>6404.7404596389215</v>
      </c>
      <c r="K816" s="25">
        <f t="shared" si="784"/>
        <v>16520.094745597391</v>
      </c>
      <c r="L816" s="25"/>
      <c r="N816" s="25">
        <f>'Combined Retirement'!$C$18/12</f>
        <v>33932.660666666663</v>
      </c>
      <c r="O816" s="25">
        <f t="shared" si="785"/>
        <v>11007.82546143035</v>
      </c>
      <c r="P816" s="25">
        <f t="shared" si="786"/>
        <v>22924.835205236312</v>
      </c>
      <c r="Q816" s="25">
        <f t="array" aca="1" ref="Q816" ca="1">INDEX('Isaac 401k'!L:L,MATCH('Retirement Calculator'!A816,'Isaac 401k'!N:N,0),0)</f>
        <v>12634778.843589289</v>
      </c>
      <c r="R816" s="25">
        <f t="array" aca="1" ref="R816" ca="1">INDEX('Lorri 401b'!L:L,MATCH('Retirement Calculator'!A816,'Lorri 401b'!N:N,0),0)</f>
        <v>10206911.155151801</v>
      </c>
      <c r="S816" s="25">
        <f t="shared" ca="1" si="787"/>
        <v>22841689.99874109</v>
      </c>
    </row>
    <row r="817" spans="1:19" ht="15.75" customHeight="1" x14ac:dyDescent="0.3">
      <c r="A817" s="37">
        <v>75819</v>
      </c>
      <c r="B817" s="409">
        <f t="shared" ref="B817:C817" si="828">($A817-B$9)/365.25</f>
        <v>125.70294318959617</v>
      </c>
      <c r="C817" s="409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3525.4531757812501</v>
      </c>
      <c r="H817" s="25">
        <f>IF(B817&lt;62,0,'Combined Retirement'!$I$14)</f>
        <v>2192</v>
      </c>
      <c r="I817" s="25">
        <f>IF(C817&lt;62,0,'Combined Retirement'!$I$13)</f>
        <v>2420</v>
      </c>
      <c r="J817" s="25">
        <f t="shared" si="783"/>
        <v>6404.7404596389215</v>
      </c>
      <c r="K817" s="25">
        <f t="shared" si="784"/>
        <v>16520.094745597391</v>
      </c>
      <c r="L817" s="25"/>
      <c r="N817" s="25">
        <f>'Combined Retirement'!$C$18/12</f>
        <v>33932.660666666663</v>
      </c>
      <c r="O817" s="25">
        <f t="shared" si="785"/>
        <v>11007.82546143035</v>
      </c>
      <c r="P817" s="25">
        <f t="shared" si="786"/>
        <v>22924.835205236312</v>
      </c>
      <c r="Q817" s="25">
        <f t="array" aca="1" ref="Q817" ca="1">INDEX('Isaac 401k'!L:L,MATCH('Retirement Calculator'!A817,'Isaac 401k'!N:N,0),0)</f>
        <v>12680992.328559356</v>
      </c>
      <c r="R817" s="25">
        <f t="array" aca="1" ref="R817" ca="1">INDEX('Lorri 401b'!L:L,MATCH('Retirement Calculator'!A817,'Lorri 401b'!N:N,0),0)</f>
        <v>10232851.023157896</v>
      </c>
      <c r="S817" s="25">
        <f t="shared" ca="1" si="787"/>
        <v>22913843.351717252</v>
      </c>
    </row>
    <row r="818" spans="1:19" ht="15.75" customHeight="1" x14ac:dyDescent="0.3">
      <c r="A818" s="37">
        <v>75850</v>
      </c>
      <c r="B818" s="409">
        <f t="shared" ref="B818:C818" si="829">($A818-B$9)/365.25</f>
        <v>125.78781656399727</v>
      </c>
      <c r="C818" s="409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3525.4531757812501</v>
      </c>
      <c r="H818" s="25">
        <f>IF(B818&lt;62,0,'Combined Retirement'!$I$14)</f>
        <v>2192</v>
      </c>
      <c r="I818" s="25">
        <f>IF(C818&lt;62,0,'Combined Retirement'!$I$13)</f>
        <v>2420</v>
      </c>
      <c r="J818" s="25">
        <f t="shared" si="783"/>
        <v>6404.7404596389215</v>
      </c>
      <c r="K818" s="25">
        <f t="shared" si="784"/>
        <v>16520.094745597391</v>
      </c>
      <c r="L818" s="25"/>
      <c r="N818" s="25">
        <f>'Combined Retirement'!$C$18/12</f>
        <v>33932.660666666663</v>
      </c>
      <c r="O818" s="25">
        <f t="shared" si="785"/>
        <v>11007.82546143035</v>
      </c>
      <c r="P818" s="25">
        <f t="shared" si="786"/>
        <v>22924.835205236312</v>
      </c>
      <c r="Q818" s="25">
        <f t="array" aca="1" ref="Q818" ca="1">INDEX('Isaac 401k'!L:L,MATCH('Retirement Calculator'!A818,'Isaac 401k'!N:N,0),0)</f>
        <v>12727398.369716799</v>
      </c>
      <c r="R818" s="25">
        <f t="array" aca="1" ref="R818" ca="1">INDEX('Lorri 401b'!L:L,MATCH('Retirement Calculator'!A818,'Lorri 401b'!N:N,0),0)</f>
        <v>10258898.97394735</v>
      </c>
      <c r="S818" s="25">
        <f t="shared" ca="1" si="787"/>
        <v>22986297.343664147</v>
      </c>
    </row>
    <row r="819" spans="1:19" ht="15.75" customHeight="1" x14ac:dyDescent="0.3">
      <c r="A819" s="37">
        <v>75880</v>
      </c>
      <c r="B819" s="409">
        <f t="shared" ref="B819:C819" si="830">($A819-B$9)/365.25</f>
        <v>125.86995208761122</v>
      </c>
      <c r="C819" s="409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3525.4531757812501</v>
      </c>
      <c r="H819" s="25">
        <f>IF(B819&lt;62,0,'Combined Retirement'!$I$14)</f>
        <v>2192</v>
      </c>
      <c r="I819" s="25">
        <f>IF(C819&lt;62,0,'Combined Retirement'!$I$13)</f>
        <v>2420</v>
      </c>
      <c r="J819" s="25">
        <f t="shared" si="783"/>
        <v>6404.7404596389215</v>
      </c>
      <c r="K819" s="25">
        <f t="shared" si="784"/>
        <v>16520.094745597391</v>
      </c>
      <c r="L819" s="25"/>
      <c r="N819" s="25">
        <f>'Combined Retirement'!$C$18/12</f>
        <v>33932.660666666663</v>
      </c>
      <c r="O819" s="25">
        <f t="shared" si="785"/>
        <v>11007.82546143035</v>
      </c>
      <c r="P819" s="25">
        <f t="shared" si="786"/>
        <v>22924.835205236312</v>
      </c>
      <c r="Q819" s="25">
        <f t="array" aca="1" ref="Q819" ca="1">INDEX('Isaac 401k'!L:L,MATCH('Retirement Calculator'!A819,'Isaac 401k'!N:N,0),0)</f>
        <v>12773997.769379064</v>
      </c>
      <c r="R819" s="25">
        <f t="array" aca="1" ref="R819" ca="1">INDEX('Lorri 401b'!L:L,MATCH('Retirement Calculator'!A819,'Lorri 401b'!N:N,0),0)</f>
        <v>10285055.457865093</v>
      </c>
      <c r="S819" s="25">
        <f t="shared" ca="1" si="787"/>
        <v>23059053.227244157</v>
      </c>
    </row>
    <row r="820" spans="1:19" ht="15.75" customHeight="1" x14ac:dyDescent="0.3">
      <c r="A820" s="37">
        <v>75911</v>
      </c>
      <c r="B820" s="409">
        <f t="shared" ref="B820:C820" si="831">($A820-B$9)/365.25</f>
        <v>125.95482546201232</v>
      </c>
      <c r="C820" s="409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3525.4531757812501</v>
      </c>
      <c r="H820" s="25">
        <f>IF(B820&lt;62,0,'Combined Retirement'!$I$14)</f>
        <v>2192</v>
      </c>
      <c r="I820" s="25">
        <f>IF(C820&lt;62,0,'Combined Retirement'!$I$13)</f>
        <v>2420</v>
      </c>
      <c r="J820" s="25">
        <f t="shared" si="783"/>
        <v>6404.7404596389215</v>
      </c>
      <c r="K820" s="25">
        <f t="shared" si="784"/>
        <v>16520.094745597391</v>
      </c>
      <c r="L820" s="25"/>
      <c r="N820" s="25">
        <f>'Combined Retirement'!$C$18/12</f>
        <v>33932.660666666663</v>
      </c>
      <c r="O820" s="25">
        <f t="shared" si="785"/>
        <v>11007.82546143035</v>
      </c>
      <c r="P820" s="25">
        <f t="shared" si="786"/>
        <v>22924.835205236312</v>
      </c>
      <c r="Q820" s="25">
        <f t="array" aca="1" ref="Q820" ca="1">INDEX('Isaac 401k'!L:L,MATCH('Retirement Calculator'!A820,'Isaac 401k'!N:N,0),0)</f>
        <v>12820791.333206588</v>
      </c>
      <c r="R820" s="25">
        <f t="array" aca="1" ref="R820" ca="1">INDEX('Lorri 401b'!L:L,MATCH('Retirement Calculator'!A820,'Lorri 401b'!N:N,0),0)</f>
        <v>10311320.927132495</v>
      </c>
      <c r="S820" s="25">
        <f t="shared" ca="1" si="787"/>
        <v>23132112.260339081</v>
      </c>
    </row>
    <row r="821" spans="1:19" ht="15.75" customHeight="1" x14ac:dyDescent="0.3">
      <c r="A821" s="37">
        <v>75941</v>
      </c>
      <c r="B821" s="409">
        <f t="shared" ref="B821:C821" si="832">($A821-B$9)/365.25</f>
        <v>126.03696098562628</v>
      </c>
      <c r="C821" s="409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3525.4531757812501</v>
      </c>
      <c r="H821" s="25">
        <f>IF(B821&lt;62,0,'Combined Retirement'!$I$14)</f>
        <v>2192</v>
      </c>
      <c r="I821" s="25">
        <f>IF(C821&lt;62,0,'Combined Retirement'!$I$13)</f>
        <v>2420</v>
      </c>
      <c r="J821" s="25">
        <f t="shared" si="783"/>
        <v>6404.7404596389215</v>
      </c>
      <c r="K821" s="25">
        <f t="shared" si="784"/>
        <v>16520.094745597391</v>
      </c>
      <c r="L821" s="25"/>
      <c r="N821" s="25">
        <f>'Combined Retirement'!$C$18/12</f>
        <v>33932.660666666663</v>
      </c>
      <c r="O821" s="25">
        <f t="shared" si="785"/>
        <v>11007.82546143035</v>
      </c>
      <c r="P821" s="25">
        <f t="shared" si="786"/>
        <v>22924.835205236312</v>
      </c>
      <c r="Q821" s="25">
        <f t="array" aca="1" ref="Q821" ca="1">INDEX('Isaac 401k'!L:L,MATCH('Retirement Calculator'!A821,'Isaac 401k'!N:N,0),0)</f>
        <v>12867779.870216727</v>
      </c>
      <c r="R821" s="25">
        <f t="array" aca="1" ref="R821" ca="1">INDEX('Lorri 401b'!L:L,MATCH('Retirement Calculator'!A821,'Lorri 401b'!N:N,0),0)</f>
        <v>10337695.835855177</v>
      </c>
      <c r="S821" s="25">
        <f t="shared" ca="1" si="787"/>
        <v>23205475.706071906</v>
      </c>
    </row>
    <row r="822" spans="1:19" ht="15.75" customHeight="1" x14ac:dyDescent="0.3">
      <c r="A822" s="37">
        <v>75972</v>
      </c>
      <c r="B822" s="409">
        <f t="shared" ref="B822:C822" si="833">($A822-B$9)/365.25</f>
        <v>126.12183436002738</v>
      </c>
      <c r="C822" s="409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3525.4531757812501</v>
      </c>
      <c r="H822" s="25">
        <f>IF(B822&lt;62,0,'Combined Retirement'!$I$14)</f>
        <v>2192</v>
      </c>
      <c r="I822" s="25">
        <f>IF(C822&lt;62,0,'Combined Retirement'!$I$13)</f>
        <v>2420</v>
      </c>
      <c r="J822" s="25">
        <f t="shared" si="783"/>
        <v>6404.7404596389215</v>
      </c>
      <c r="K822" s="25">
        <f t="shared" si="784"/>
        <v>16520.094745597391</v>
      </c>
      <c r="L822" s="25"/>
      <c r="N822" s="25">
        <f>'Combined Retirement'!$C$18/12</f>
        <v>33932.660666666663</v>
      </c>
      <c r="O822" s="25">
        <f t="shared" si="785"/>
        <v>11007.82546143035</v>
      </c>
      <c r="P822" s="25">
        <f t="shared" si="786"/>
        <v>22924.835205236312</v>
      </c>
      <c r="Q822" s="25">
        <f t="array" aca="1" ref="Q822" ca="1">INDEX('Isaac 401k'!L:L,MATCH('Retirement Calculator'!A822,'Isaac 401k'!N:N,0),0)</f>
        <v>12914964.192797743</v>
      </c>
      <c r="R822" s="25">
        <f t="array" aca="1" ref="R822" ca="1">INDEX('Lorri 401b'!L:L,MATCH('Retirement Calculator'!A822,'Lorri 401b'!N:N,0),0)</f>
        <v>10364180.64003087</v>
      </c>
      <c r="S822" s="25">
        <f t="shared" ca="1" si="787"/>
        <v>23279144.832828611</v>
      </c>
    </row>
    <row r="823" spans="1:19" ht="15.75" customHeight="1" x14ac:dyDescent="0.3">
      <c r="A823" s="37">
        <v>76003</v>
      </c>
      <c r="B823" s="409">
        <f t="shared" ref="B823:C823" si="834">($A823-B$9)/365.25</f>
        <v>126.20670773442848</v>
      </c>
      <c r="C823" s="409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3525.4531757812501</v>
      </c>
      <c r="H823" s="25">
        <f>IF(B823&lt;62,0,'Combined Retirement'!$I$14)</f>
        <v>2192</v>
      </c>
      <c r="I823" s="25">
        <f>IF(C823&lt;62,0,'Combined Retirement'!$I$13)</f>
        <v>2420</v>
      </c>
      <c r="J823" s="25">
        <f t="shared" si="783"/>
        <v>6404.7404596389215</v>
      </c>
      <c r="K823" s="25">
        <f t="shared" si="784"/>
        <v>16520.094745597391</v>
      </c>
      <c r="L823" s="25"/>
      <c r="N823" s="25">
        <f>'Combined Retirement'!$C$18/12</f>
        <v>33932.660666666663</v>
      </c>
      <c r="O823" s="25">
        <f t="shared" si="785"/>
        <v>11007.82546143035</v>
      </c>
      <c r="P823" s="25">
        <f t="shared" si="786"/>
        <v>22924.835205236312</v>
      </c>
      <c r="Q823" s="25">
        <f t="array" aca="1" ref="Q823" ca="1">INDEX('Isaac 401k'!L:L,MATCH('Retirement Calculator'!A823,'Isaac 401k'!N:N,0),0)</f>
        <v>12962345.116722845</v>
      </c>
      <c r="R823" s="25">
        <f t="array" aca="1" ref="R823" ca="1">INDEX('Lorri 401b'!L:L,MATCH('Retirement Calculator'!A823,'Lorri 401b'!N:N,0),0)</f>
        <v>10390775.797557296</v>
      </c>
      <c r="S823" s="25">
        <f t="shared" ca="1" si="787"/>
        <v>23353120.914280139</v>
      </c>
    </row>
    <row r="824" spans="1:19" ht="15.75" customHeight="1" x14ac:dyDescent="0.3">
      <c r="A824" s="37">
        <v>76032</v>
      </c>
      <c r="B824" s="409">
        <f t="shared" ref="B824:C824" si="835">($A824-B$9)/365.25</f>
        <v>126.28610540725531</v>
      </c>
      <c r="C824" s="409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3525.4531757812501</v>
      </c>
      <c r="H824" s="25">
        <f>IF(B824&lt;62,0,'Combined Retirement'!$I$14)</f>
        <v>2192</v>
      </c>
      <c r="I824" s="25">
        <f>IF(C824&lt;62,0,'Combined Retirement'!$I$13)</f>
        <v>2420</v>
      </c>
      <c r="J824" s="25">
        <f t="shared" si="783"/>
        <v>6404.7404596389215</v>
      </c>
      <c r="K824" s="25">
        <f t="shared" si="784"/>
        <v>16520.094745597391</v>
      </c>
      <c r="L824" s="25"/>
      <c r="N824" s="25">
        <f>'Combined Retirement'!$C$18/12</f>
        <v>33932.660666666663</v>
      </c>
      <c r="O824" s="25">
        <f t="shared" si="785"/>
        <v>11007.82546143035</v>
      </c>
      <c r="P824" s="25">
        <f t="shared" si="786"/>
        <v>22924.835205236312</v>
      </c>
      <c r="Q824" s="25">
        <f t="array" aca="1" ref="Q824" ca="1">INDEX('Isaac 401k'!L:L,MATCH('Retirement Calculator'!A824,'Isaac 401k'!N:N,0),0)</f>
        <v>13009923.461164301</v>
      </c>
      <c r="R824" s="25">
        <f t="array" aca="1" ref="R824" ca="1">INDEX('Lorri 401b'!L:L,MATCH('Retirement Calculator'!A824,'Lorri 401b'!N:N,0),0)</f>
        <v>10417481.768240081</v>
      </c>
      <c r="S824" s="25">
        <f t="shared" ca="1" si="787"/>
        <v>23427405.229404382</v>
      </c>
    </row>
    <row r="825" spans="1:19" ht="15.75" customHeight="1" x14ac:dyDescent="0.3">
      <c r="A825" s="37">
        <v>76063</v>
      </c>
      <c r="B825" s="409">
        <f t="shared" ref="B825:C825" si="836">($A825-B$9)/365.25</f>
        <v>126.3709787816564</v>
      </c>
      <c r="C825" s="409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3525.4531757812501</v>
      </c>
      <c r="H825" s="25">
        <f>IF(B825&lt;62,0,'Combined Retirement'!$I$14)</f>
        <v>2192</v>
      </c>
      <c r="I825" s="25">
        <f>IF(C825&lt;62,0,'Combined Retirement'!$I$13)</f>
        <v>2420</v>
      </c>
      <c r="J825" s="25">
        <f t="shared" si="783"/>
        <v>6404.7404596389215</v>
      </c>
      <c r="K825" s="25">
        <f t="shared" si="784"/>
        <v>16520.094745597391</v>
      </c>
      <c r="L825" s="25"/>
      <c r="N825" s="25">
        <f>'Combined Retirement'!$C$18/12</f>
        <v>33932.660666666663</v>
      </c>
      <c r="O825" s="25">
        <f t="shared" si="785"/>
        <v>11007.82546143035</v>
      </c>
      <c r="P825" s="25">
        <f t="shared" si="786"/>
        <v>22924.835205236312</v>
      </c>
      <c r="Q825" s="25">
        <f t="array" aca="1" ref="Q825" ca="1">INDEX('Isaac 401k'!L:L,MATCH('Retirement Calculator'!A825,'Isaac 401k'!N:N,0),0)</f>
        <v>13057700.048707597</v>
      </c>
      <c r="R825" s="25">
        <f t="array" aca="1" ref="R825" ca="1">INDEX('Lorri 401b'!L:L,MATCH('Retirement Calculator'!A825,'Lorri 401b'!N:N,0),0)</f>
        <v>10444299.01380071</v>
      </c>
      <c r="S825" s="25">
        <f t="shared" ca="1" si="787"/>
        <v>23501999.062508307</v>
      </c>
    </row>
    <row r="826" spans="1:19" ht="15.75" customHeight="1" x14ac:dyDescent="0.3">
      <c r="A826" s="37">
        <v>76093</v>
      </c>
      <c r="B826" s="409">
        <f t="shared" ref="B826:C826" si="837">($A826-B$9)/365.25</f>
        <v>126.45311430527036</v>
      </c>
      <c r="C826" s="409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3525.4531757812501</v>
      </c>
      <c r="H826" s="25">
        <f>IF(B826&lt;62,0,'Combined Retirement'!$I$14)</f>
        <v>2192</v>
      </c>
      <c r="I826" s="25">
        <f>IF(C826&lt;62,0,'Combined Retirement'!$I$13)</f>
        <v>2420</v>
      </c>
      <c r="J826" s="25">
        <f t="shared" si="783"/>
        <v>6404.7404596389215</v>
      </c>
      <c r="K826" s="25">
        <f t="shared" si="784"/>
        <v>16520.094745597391</v>
      </c>
      <c r="L826" s="25"/>
      <c r="N826" s="25">
        <f>'Combined Retirement'!$C$18/12</f>
        <v>33932.660666666663</v>
      </c>
      <c r="O826" s="25">
        <f t="shared" si="785"/>
        <v>11007.82546143035</v>
      </c>
      <c r="P826" s="25">
        <f t="shared" si="786"/>
        <v>22924.835205236312</v>
      </c>
      <c r="Q826" s="25">
        <f t="array" aca="1" ref="Q826" ca="1">INDEX('Isaac 401k'!L:L,MATCH('Retirement Calculator'!A826,'Isaac 401k'!N:N,0),0)</f>
        <v>13105675.705365658</v>
      </c>
      <c r="R826" s="25">
        <f t="array" aca="1" ref="R826" ca="1">INDEX('Lorri 401b'!L:L,MATCH('Retirement Calculator'!A826,'Lorri 401b'!N:N,0),0)</f>
        <v>10471227.99788451</v>
      </c>
      <c r="S826" s="25">
        <f t="shared" ca="1" si="787"/>
        <v>23576903.70325017</v>
      </c>
    </row>
    <row r="827" spans="1:19" ht="15.75" customHeight="1" x14ac:dyDescent="0.3">
      <c r="A827" s="37">
        <v>76124</v>
      </c>
      <c r="B827" s="409">
        <f t="shared" ref="B827:C827" si="838">($A827-B$9)/365.25</f>
        <v>126.53798767967146</v>
      </c>
      <c r="C827" s="409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3525.4531757812501</v>
      </c>
      <c r="H827" s="25">
        <f>IF(B827&lt;62,0,'Combined Retirement'!$I$14)</f>
        <v>2192</v>
      </c>
      <c r="I827" s="25">
        <f>IF(C827&lt;62,0,'Combined Retirement'!$I$13)</f>
        <v>2420</v>
      </c>
      <c r="J827" s="25">
        <f t="shared" si="783"/>
        <v>6404.7404596389215</v>
      </c>
      <c r="K827" s="25">
        <f t="shared" si="784"/>
        <v>16520.094745597391</v>
      </c>
      <c r="L827" s="25"/>
      <c r="N827" s="25">
        <f>'Combined Retirement'!$C$18/12</f>
        <v>33932.660666666663</v>
      </c>
      <c r="O827" s="25">
        <f t="shared" si="785"/>
        <v>11007.82546143035</v>
      </c>
      <c r="P827" s="25">
        <f t="shared" si="786"/>
        <v>22924.835205236312</v>
      </c>
      <c r="Q827" s="25">
        <f t="array" aca="1" ref="Q827" ca="1">INDEX('Isaac 401k'!L:L,MATCH('Retirement Calculator'!A827,'Isaac 401k'!N:N,0),0)</f>
        <v>13153851.260593127</v>
      </c>
      <c r="R827" s="25">
        <f t="array" aca="1" ref="R827" ca="1">INDEX('Lorri 401b'!L:L,MATCH('Retirement Calculator'!A827,'Lorri 401b'!N:N,0),0)</f>
        <v>10498269.186068658</v>
      </c>
      <c r="S827" s="25">
        <f t="shared" ca="1" si="787"/>
        <v>23652120.446661785</v>
      </c>
    </row>
    <row r="828" spans="1:19" ht="15.75" customHeight="1" x14ac:dyDescent="0.3">
      <c r="A828" s="37">
        <v>76154</v>
      </c>
      <c r="B828" s="409">
        <f t="shared" ref="B828:C828" si="839">($A828-B$9)/365.25</f>
        <v>126.62012320328542</v>
      </c>
      <c r="C828" s="409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3525.4531757812501</v>
      </c>
      <c r="H828" s="25">
        <f>IF(B828&lt;62,0,'Combined Retirement'!$I$14)</f>
        <v>2192</v>
      </c>
      <c r="I828" s="25">
        <f>IF(C828&lt;62,0,'Combined Retirement'!$I$13)</f>
        <v>2420</v>
      </c>
      <c r="J828" s="25">
        <f t="shared" si="783"/>
        <v>6404.7404596389215</v>
      </c>
      <c r="K828" s="25">
        <f t="shared" si="784"/>
        <v>16520.094745597391</v>
      </c>
      <c r="L828" s="25"/>
      <c r="N828" s="25">
        <f>'Combined Retirement'!$C$18/12</f>
        <v>33932.660666666663</v>
      </c>
      <c r="O828" s="25">
        <f t="shared" si="785"/>
        <v>11007.82546143035</v>
      </c>
      <c r="P828" s="25">
        <f t="shared" si="786"/>
        <v>22924.835205236312</v>
      </c>
      <c r="Q828" s="25">
        <f t="array" aca="1" ref="Q828" ca="1">INDEX('Isaac 401k'!L:L,MATCH('Retirement Calculator'!A828,'Isaac 401k'!N:N,0),0)</f>
        <v>13202227.547300711</v>
      </c>
      <c r="R828" s="25">
        <f t="array" aca="1" ref="R828" ca="1">INDEX('Lorri 401b'!L:L,MATCH('Retirement Calculator'!A828,'Lorri 401b'!N:N,0),0)</f>
        <v>10525423.045870241</v>
      </c>
      <c r="S828" s="25">
        <f t="shared" ca="1" si="787"/>
        <v>23727650.593170952</v>
      </c>
    </row>
    <row r="829" spans="1:19" ht="15.75" customHeight="1" x14ac:dyDescent="0.3">
      <c r="A829" s="37">
        <v>76185</v>
      </c>
      <c r="B829" s="409">
        <f t="shared" ref="B829:C829" si="840">($A829-B$9)/365.25</f>
        <v>126.70499657768652</v>
      </c>
      <c r="C829" s="409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3525.4531757812501</v>
      </c>
      <c r="H829" s="25">
        <f>IF(B829&lt;62,0,'Combined Retirement'!$I$14)</f>
        <v>2192</v>
      </c>
      <c r="I829" s="25">
        <f>IF(C829&lt;62,0,'Combined Retirement'!$I$13)</f>
        <v>2420</v>
      </c>
      <c r="J829" s="25">
        <f t="shared" si="783"/>
        <v>6404.7404596389215</v>
      </c>
      <c r="K829" s="25">
        <f t="shared" si="784"/>
        <v>16520.094745597391</v>
      </c>
      <c r="L829" s="25"/>
      <c r="N829" s="25">
        <f>'Combined Retirement'!$C$18/12</f>
        <v>33932.660666666663</v>
      </c>
      <c r="O829" s="25">
        <f t="shared" si="785"/>
        <v>11007.82546143035</v>
      </c>
      <c r="P829" s="25">
        <f t="shared" si="786"/>
        <v>22924.835205236312</v>
      </c>
      <c r="Q829" s="25">
        <f t="array" aca="1" ref="Q829" ca="1">INDEX('Isaac 401k'!L:L,MATCH('Retirement Calculator'!A829,'Isaac 401k'!N:N,0),0)</f>
        <v>13250805.401869576</v>
      </c>
      <c r="R829" s="25">
        <f t="array" aca="1" ref="R829" ca="1">INDEX('Lorri 401b'!L:L,MATCH('Retirement Calculator'!A829,'Lorri 401b'!N:N,0),0)</f>
        <v>10552690.04675433</v>
      </c>
      <c r="S829" s="25">
        <f t="shared" ca="1" si="787"/>
        <v>23803495.448623907</v>
      </c>
    </row>
    <row r="830" spans="1:19" ht="15.75" customHeight="1" x14ac:dyDescent="0.3">
      <c r="A830" s="37">
        <v>76216</v>
      </c>
      <c r="B830" s="409">
        <f t="shared" ref="B830:C830" si="841">($A830-B$9)/365.25</f>
        <v>126.78986995208761</v>
      </c>
      <c r="C830" s="409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3525.4531757812501</v>
      </c>
      <c r="H830" s="25">
        <f>IF(B830&lt;62,0,'Combined Retirement'!$I$14)</f>
        <v>2192</v>
      </c>
      <c r="I830" s="25">
        <f>IF(C830&lt;62,0,'Combined Retirement'!$I$13)</f>
        <v>2420</v>
      </c>
      <c r="J830" s="25">
        <f t="shared" si="783"/>
        <v>6404.7404596389215</v>
      </c>
      <c r="K830" s="25">
        <f t="shared" si="784"/>
        <v>16520.094745597391</v>
      </c>
      <c r="L830" s="25"/>
      <c r="N830" s="25">
        <f>'Combined Retirement'!$C$18/12</f>
        <v>33932.660666666663</v>
      </c>
      <c r="O830" s="25">
        <f t="shared" si="785"/>
        <v>11007.82546143035</v>
      </c>
      <c r="P830" s="25">
        <f t="shared" si="786"/>
        <v>22924.835205236312</v>
      </c>
      <c r="Q830" s="25">
        <f t="array" aca="1" ref="Q830" ca="1">INDEX('Isaac 401k'!L:L,MATCH('Retirement Calculator'!A830,'Isaac 401k'!N:N,0),0)</f>
        <v>13299585.664165812</v>
      </c>
      <c r="R830" s="25">
        <f t="array" aca="1" ref="R830" ca="1">INDEX('Lorri 401b'!L:L,MATCH('Retirement Calculator'!A830,'Lorri 401b'!N:N,0),0)</f>
        <v>10580070.660142103</v>
      </c>
      <c r="S830" s="25">
        <f t="shared" ca="1" si="787"/>
        <v>23879656.324307915</v>
      </c>
    </row>
    <row r="831" spans="1:19" ht="15.75" customHeight="1" x14ac:dyDescent="0.3">
      <c r="A831" s="37">
        <v>76246</v>
      </c>
      <c r="B831" s="409">
        <f t="shared" ref="B831:C831" si="842">($A831-B$9)/365.25</f>
        <v>126.87200547570157</v>
      </c>
      <c r="C831" s="409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3525.4531757812501</v>
      </c>
      <c r="H831" s="25">
        <f>IF(B831&lt;62,0,'Combined Retirement'!$I$14)</f>
        <v>2192</v>
      </c>
      <c r="I831" s="25">
        <f>IF(C831&lt;62,0,'Combined Retirement'!$I$13)</f>
        <v>2420</v>
      </c>
      <c r="J831" s="25">
        <f t="shared" si="783"/>
        <v>6404.7404596389215</v>
      </c>
      <c r="K831" s="25">
        <f t="shared" si="784"/>
        <v>16520.094745597391</v>
      </c>
      <c r="L831" s="25"/>
      <c r="N831" s="25">
        <f>'Combined Retirement'!$C$18/12</f>
        <v>33932.660666666663</v>
      </c>
      <c r="O831" s="25">
        <f t="shared" si="785"/>
        <v>11007.82546143035</v>
      </c>
      <c r="P831" s="25">
        <f t="shared" si="786"/>
        <v>22924.835205236312</v>
      </c>
      <c r="Q831" s="25">
        <f t="array" aca="1" ref="Q831" ca="1">INDEX('Isaac 401k'!L:L,MATCH('Retirement Calculator'!A831,'Isaac 401k'!N:N,0),0)</f>
        <v>13348569.177554948</v>
      </c>
      <c r="R831" s="25">
        <f t="array" aca="1" ref="R831" ca="1">INDEX('Lorri 401b'!L:L,MATCH('Retirement Calculator'!A831,'Lorri 401b'!N:N,0),0)</f>
        <v>10607565.359418992</v>
      </c>
      <c r="S831" s="25">
        <f t="shared" ca="1" si="787"/>
        <v>23956134.536973938</v>
      </c>
    </row>
    <row r="832" spans="1:19" ht="15.75" customHeight="1" x14ac:dyDescent="0.3">
      <c r="A832" s="37">
        <v>76277</v>
      </c>
      <c r="B832" s="409">
        <f t="shared" ref="B832:C832" si="843">($A832-B$9)/365.25</f>
        <v>126.95687885010267</v>
      </c>
      <c r="C832" s="409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3525.4531757812501</v>
      </c>
      <c r="H832" s="25">
        <f>IF(B832&lt;62,0,'Combined Retirement'!$I$14)</f>
        <v>2192</v>
      </c>
      <c r="I832" s="25">
        <f>IF(C832&lt;62,0,'Combined Retirement'!$I$13)</f>
        <v>2420</v>
      </c>
      <c r="J832" s="25">
        <f t="shared" si="783"/>
        <v>6404.7404596389215</v>
      </c>
      <c r="K832" s="25">
        <f t="shared" si="784"/>
        <v>16520.094745597391</v>
      </c>
      <c r="L832" s="25"/>
      <c r="N832" s="25">
        <f>'Combined Retirement'!$C$18/12</f>
        <v>33932.660666666663</v>
      </c>
      <c r="O832" s="25">
        <f t="shared" si="785"/>
        <v>11007.82546143035</v>
      </c>
      <c r="P832" s="25">
        <f t="shared" si="786"/>
        <v>22924.835205236312</v>
      </c>
      <c r="Q832" s="25">
        <f t="array" aca="1" ref="Q832" ca="1">INDEX('Isaac 401k'!L:L,MATCH('Retirement Calculator'!A832,'Isaac 401k'!N:N,0),0)</f>
        <v>13397756.788916539</v>
      </c>
      <c r="R832" s="25">
        <f t="array" aca="1" ref="R832" ca="1">INDEX('Lorri 401b'!L:L,MATCH('Retirement Calculator'!A832,'Lorri 401b'!N:N,0),0)</f>
        <v>10635174.619942868</v>
      </c>
      <c r="S832" s="25">
        <f t="shared" ca="1" si="787"/>
        <v>24032931.408859409</v>
      </c>
    </row>
    <row r="833" spans="1:19" ht="15.75" customHeight="1" x14ac:dyDescent="0.3">
      <c r="A833" s="37">
        <v>76307</v>
      </c>
      <c r="B833" s="409">
        <f t="shared" ref="B833:C833" si="844">($A833-B$9)/365.25</f>
        <v>127.03901437371663</v>
      </c>
      <c r="C833" s="409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3525.4531757812501</v>
      </c>
      <c r="H833" s="25">
        <f>IF(B833&lt;62,0,'Combined Retirement'!$I$14)</f>
        <v>2192</v>
      </c>
      <c r="I833" s="25">
        <f>IF(C833&lt;62,0,'Combined Retirement'!$I$13)</f>
        <v>2420</v>
      </c>
      <c r="J833" s="25">
        <f t="shared" si="783"/>
        <v>6404.7404596389215</v>
      </c>
      <c r="K833" s="25">
        <f t="shared" si="784"/>
        <v>16520.094745597391</v>
      </c>
      <c r="L833" s="25"/>
      <c r="N833" s="25">
        <f>'Combined Retirement'!$C$18/12</f>
        <v>33932.660666666663</v>
      </c>
      <c r="O833" s="25">
        <f t="shared" si="785"/>
        <v>11007.82546143035</v>
      </c>
      <c r="P833" s="25">
        <f t="shared" si="786"/>
        <v>22924.835205236312</v>
      </c>
      <c r="Q833" s="25">
        <f t="array" aca="1" ref="Q833" ca="1">INDEX('Isaac 401k'!L:L,MATCH('Retirement Calculator'!A833,'Isaac 401k'!N:N,0),0)</f>
        <v>13447149.348658804</v>
      </c>
      <c r="R833" s="25">
        <f t="array" aca="1" ref="R833" ca="1">INDEX('Lorri 401b'!L:L,MATCH('Retirement Calculator'!A833,'Lorri 401b'!N:N,0),0)</f>
        <v>10662898.91905226</v>
      </c>
      <c r="S833" s="25">
        <f t="shared" ca="1" si="787"/>
        <v>24110048.267711066</v>
      </c>
    </row>
    <row r="834" spans="1:19" ht="15.75" customHeight="1" x14ac:dyDescent="0.3">
      <c r="A834" s="37">
        <v>76338</v>
      </c>
      <c r="B834" s="409">
        <f t="shared" ref="B834:C834" si="845">($A834-B$9)/365.25</f>
        <v>127.12388774811772</v>
      </c>
      <c r="C834" s="409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3525.4531757812501</v>
      </c>
      <c r="H834" s="25">
        <f>IF(B834&lt;62,0,'Combined Retirement'!$I$14)</f>
        <v>2192</v>
      </c>
      <c r="I834" s="25">
        <f>IF(C834&lt;62,0,'Combined Retirement'!$I$13)</f>
        <v>2420</v>
      </c>
      <c r="J834" s="25">
        <f t="shared" si="783"/>
        <v>6404.7404596389215</v>
      </c>
      <c r="K834" s="25">
        <f t="shared" si="784"/>
        <v>16520.094745597391</v>
      </c>
      <c r="L834" s="25"/>
      <c r="N834" s="25">
        <f>'Combined Retirement'!$C$18/12</f>
        <v>33932.660666666663</v>
      </c>
      <c r="O834" s="25">
        <f t="shared" si="785"/>
        <v>11007.82546143035</v>
      </c>
      <c r="P834" s="25">
        <f t="shared" si="786"/>
        <v>22924.835205236312</v>
      </c>
      <c r="Q834" s="25">
        <f t="array" aca="1" ref="Q834" ca="1">INDEX('Isaac 401k'!L:L,MATCH('Retirement Calculator'!A834,'Isaac 401k'!N:N,0),0)</f>
        <v>13496747.710733328</v>
      </c>
      <c r="R834" s="25">
        <f t="array" aca="1" ref="R834" ca="1">INDEX('Lorri 401b'!L:L,MATCH('Retirement Calculator'!A834,'Lorri 401b'!N:N,0),0)</f>
        <v>10690738.736074608</v>
      </c>
      <c r="S834" s="25">
        <f t="shared" ca="1" si="787"/>
        <v>24187486.446807936</v>
      </c>
    </row>
    <row r="835" spans="1:19" ht="15.75" customHeight="1" x14ac:dyDescent="0.3">
      <c r="A835" s="37">
        <v>76369</v>
      </c>
      <c r="B835" s="409">
        <f t="shared" ref="B835:C835" si="846">($A835-B$9)/365.25</f>
        <v>127.20876112251882</v>
      </c>
      <c r="C835" s="409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3525.4531757812501</v>
      </c>
      <c r="H835" s="25">
        <f>IF(B835&lt;62,0,'Combined Retirement'!$I$14)</f>
        <v>2192</v>
      </c>
      <c r="I835" s="25">
        <f>IF(C835&lt;62,0,'Combined Retirement'!$I$13)</f>
        <v>2420</v>
      </c>
      <c r="J835" s="25">
        <f t="shared" si="783"/>
        <v>6404.7404596389215</v>
      </c>
      <c r="K835" s="25">
        <f t="shared" si="784"/>
        <v>16520.094745597391</v>
      </c>
      <c r="L835" s="25"/>
      <c r="N835" s="25">
        <f>'Combined Retirement'!$C$18/12</f>
        <v>33932.660666666663</v>
      </c>
      <c r="O835" s="25">
        <f t="shared" si="785"/>
        <v>11007.82546143035</v>
      </c>
      <c r="P835" s="25">
        <f t="shared" si="786"/>
        <v>22924.835205236312</v>
      </c>
      <c r="Q835" s="25">
        <f t="array" aca="1" ref="Q835" ca="1">INDEX('Isaac 401k'!L:L,MATCH('Retirement Calculator'!A835,'Isaac 401k'!N:N,0),0)</f>
        <v>13546552.732649829</v>
      </c>
      <c r="R835" s="25">
        <f t="array" aca="1" ref="R835" ca="1">INDEX('Lorri 401b'!L:L,MATCH('Retirement Calculator'!A835,'Lorri 401b'!N:N,0),0)</f>
        <v>10718694.552334549</v>
      </c>
      <c r="S835" s="25">
        <f t="shared" ca="1" si="787"/>
        <v>24265247.28498438</v>
      </c>
    </row>
    <row r="836" spans="1:19" ht="15.75" customHeight="1" x14ac:dyDescent="0.3">
      <c r="A836" s="37">
        <v>76397</v>
      </c>
      <c r="B836" s="409">
        <f t="shared" ref="B836:C836" si="847">($A836-B$9)/365.25</f>
        <v>127.28542094455852</v>
      </c>
      <c r="C836" s="409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3525.4531757812501</v>
      </c>
      <c r="H836" s="25">
        <f>IF(B836&lt;62,0,'Combined Retirement'!$I$14)</f>
        <v>2192</v>
      </c>
      <c r="I836" s="25">
        <f>IF(C836&lt;62,0,'Combined Retirement'!$I$13)</f>
        <v>2420</v>
      </c>
      <c r="J836" s="25">
        <f t="shared" si="783"/>
        <v>6404.7404596389215</v>
      </c>
      <c r="K836" s="25">
        <f t="shared" si="784"/>
        <v>16520.094745597391</v>
      </c>
      <c r="L836" s="25"/>
      <c r="N836" s="25">
        <f>'Combined Retirement'!$C$18/12</f>
        <v>33932.660666666663</v>
      </c>
      <c r="O836" s="25">
        <f t="shared" si="785"/>
        <v>11007.82546143035</v>
      </c>
      <c r="P836" s="25">
        <f t="shared" si="786"/>
        <v>22924.835205236312</v>
      </c>
      <c r="Q836" s="25">
        <f t="array" aca="1" ref="Q836" ca="1">INDEX('Isaac 401k'!L:L,MATCH('Retirement Calculator'!A836,'Isaac 401k'!N:N,0),0)</f>
        <v>13596565.275490982</v>
      </c>
      <c r="R836" s="25">
        <f t="array" aca="1" ref="R836" ca="1">INDEX('Lorri 401b'!L:L,MATCH('Retirement Calculator'!A836,'Lorri 401b'!N:N,0),0)</f>
        <v>10746766.85116224</v>
      </c>
      <c r="S836" s="25">
        <f t="shared" ca="1" si="787"/>
        <v>24343332.126653224</v>
      </c>
    </row>
    <row r="837" spans="1:19" ht="15.75" customHeight="1" x14ac:dyDescent="0.3">
      <c r="A837" s="37">
        <v>76428</v>
      </c>
      <c r="B837" s="409">
        <f t="shared" ref="B837:C837" si="848">($A837-B$9)/365.25</f>
        <v>127.37029431895962</v>
      </c>
      <c r="C837" s="409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3525.4531757812501</v>
      </c>
      <c r="H837" s="25">
        <f>IF(B837&lt;62,0,'Combined Retirement'!$I$14)</f>
        <v>2192</v>
      </c>
      <c r="I837" s="25">
        <f>IF(C837&lt;62,0,'Combined Retirement'!$I$13)</f>
        <v>2420</v>
      </c>
      <c r="J837" s="25">
        <f t="shared" si="783"/>
        <v>6404.7404596389215</v>
      </c>
      <c r="K837" s="25">
        <f t="shared" si="784"/>
        <v>16520.094745597391</v>
      </c>
      <c r="L837" s="25"/>
      <c r="N837" s="25">
        <f>'Combined Retirement'!$C$18/12</f>
        <v>33932.660666666663</v>
      </c>
      <c r="O837" s="25">
        <f t="shared" si="785"/>
        <v>11007.82546143035</v>
      </c>
      <c r="P837" s="25">
        <f t="shared" si="786"/>
        <v>22924.835205236312</v>
      </c>
      <c r="Q837" s="25">
        <f t="array" aca="1" ref="Q837" ca="1">INDEX('Isaac 401k'!L:L,MATCH('Retirement Calculator'!A837,'Isaac 401k'!N:N,0),0)</f>
        <v>13646786.203927306</v>
      </c>
      <c r="R837" s="25">
        <f t="array" aca="1" ref="R837" ca="1">INDEX('Lorri 401b'!L:L,MATCH('Retirement Calculator'!A837,'Lorri 401b'!N:N,0),0)</f>
        <v>10774956.117901713</v>
      </c>
      <c r="S837" s="25">
        <f t="shared" ca="1" si="787"/>
        <v>24421742.321829021</v>
      </c>
    </row>
    <row r="838" spans="1:19" ht="15.75" customHeight="1" x14ac:dyDescent="0.3">
      <c r="A838" s="37">
        <v>76458</v>
      </c>
      <c r="B838" s="409">
        <f t="shared" ref="B838:C838" si="849">($A838-B$9)/365.25</f>
        <v>127.45242984257358</v>
      </c>
      <c r="C838" s="409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3525.4531757812501</v>
      </c>
      <c r="H838" s="25">
        <f>IF(B838&lt;62,0,'Combined Retirement'!$I$14)</f>
        <v>2192</v>
      </c>
      <c r="I838" s="25">
        <f>IF(C838&lt;62,0,'Combined Retirement'!$I$13)</f>
        <v>2420</v>
      </c>
      <c r="J838" s="25">
        <f t="shared" si="783"/>
        <v>6404.7404596389215</v>
      </c>
      <c r="K838" s="25">
        <f t="shared" si="784"/>
        <v>16520.094745597391</v>
      </c>
      <c r="L838" s="25"/>
      <c r="N838" s="25">
        <f>'Combined Retirement'!$C$18/12</f>
        <v>33932.660666666663</v>
      </c>
      <c r="O838" s="25">
        <f t="shared" si="785"/>
        <v>11007.82546143035</v>
      </c>
      <c r="P838" s="25">
        <f t="shared" si="786"/>
        <v>22924.835205236312</v>
      </c>
      <c r="Q838" s="25">
        <f t="array" aca="1" ref="Q838" ca="1">INDEX('Isaac 401k'!L:L,MATCH('Retirement Calculator'!A838,'Isaac 401k'!N:N,0),0)</f>
        <v>13697216.386232115</v>
      </c>
      <c r="R838" s="25">
        <f t="array" aca="1" ref="R838" ca="1">INDEX('Lorri 401b'!L:L,MATCH('Retirement Calculator'!A838,'Lorri 401b'!N:N,0),0)</f>
        <v>10803262.839919265</v>
      </c>
      <c r="S838" s="25">
        <f t="shared" ca="1" si="787"/>
        <v>24500479.226151381</v>
      </c>
    </row>
    <row r="839" spans="1:19" ht="15.75" customHeight="1" x14ac:dyDescent="0.3">
      <c r="A839" s="37">
        <v>76489</v>
      </c>
      <c r="B839" s="409">
        <f t="shared" ref="B839:C839" si="850">($A839-B$9)/365.25</f>
        <v>127.53730321697468</v>
      </c>
      <c r="C839" s="409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3525.4531757812501</v>
      </c>
      <c r="H839" s="25">
        <f>IF(B839&lt;62,0,'Combined Retirement'!$I$14)</f>
        <v>2192</v>
      </c>
      <c r="I839" s="25">
        <f>IF(C839&lt;62,0,'Combined Retirement'!$I$13)</f>
        <v>2420</v>
      </c>
      <c r="J839" s="25">
        <f t="shared" si="783"/>
        <v>6404.7404596389215</v>
      </c>
      <c r="K839" s="25">
        <f t="shared" si="784"/>
        <v>16520.094745597391</v>
      </c>
      <c r="L839" s="25"/>
      <c r="N839" s="25">
        <f>'Combined Retirement'!$C$18/12</f>
        <v>33932.660666666663</v>
      </c>
      <c r="O839" s="25">
        <f t="shared" si="785"/>
        <v>11007.82546143035</v>
      </c>
      <c r="P839" s="25">
        <f t="shared" si="786"/>
        <v>22924.835205236312</v>
      </c>
      <c r="Q839" s="25">
        <f t="array" aca="1" ref="Q839" ca="1">INDEX('Isaac 401k'!L:L,MATCH('Retirement Calculator'!A839,'Isaac 401k'!N:N,0),0)</f>
        <v>13747856.694296528</v>
      </c>
      <c r="R839" s="25">
        <f t="array" aca="1" ref="R839" ca="1">INDEX('Lorri 401b'!L:L,MATCH('Retirement Calculator'!A839,'Lorri 401b'!N:N,0),0)</f>
        <v>10831687.506611893</v>
      </c>
      <c r="S839" s="25">
        <f t="shared" ca="1" si="787"/>
        <v>24579544.200908422</v>
      </c>
    </row>
    <row r="840" spans="1:19" ht="15.75" customHeight="1" x14ac:dyDescent="0.3">
      <c r="A840" s="37">
        <v>76519</v>
      </c>
      <c r="B840" s="409">
        <f t="shared" ref="B840:C840" si="851">($A840-B$9)/365.25</f>
        <v>127.61943874058863</v>
      </c>
      <c r="C840" s="409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3525.4531757812501</v>
      </c>
      <c r="H840" s="25">
        <f>IF(B840&lt;62,0,'Combined Retirement'!$I$14)</f>
        <v>2192</v>
      </c>
      <c r="I840" s="25">
        <f>IF(C840&lt;62,0,'Combined Retirement'!$I$13)</f>
        <v>2420</v>
      </c>
      <c r="J840" s="25">
        <f t="shared" si="783"/>
        <v>6404.7404596389215</v>
      </c>
      <c r="K840" s="25">
        <f t="shared" si="784"/>
        <v>16520.094745597391</v>
      </c>
      <c r="L840" s="25"/>
      <c r="N840" s="25">
        <f>'Combined Retirement'!$C$18/12</f>
        <v>33932.660666666663</v>
      </c>
      <c r="O840" s="25">
        <f t="shared" si="785"/>
        <v>11007.82546143035</v>
      </c>
      <c r="P840" s="25">
        <f t="shared" si="786"/>
        <v>22924.835205236312</v>
      </c>
      <c r="Q840" s="25">
        <f t="array" aca="1" ref="Q840" ca="1">INDEX('Isaac 401k'!L:L,MATCH('Retirement Calculator'!A840,'Isaac 401k'!N:N,0),0)</f>
        <v>13798708.003644541</v>
      </c>
      <c r="R840" s="25">
        <f t="array" aca="1" ref="R840" ca="1">INDEX('Lorri 401b'!L:L,MATCH('Retirement Calculator'!A840,'Lorri 401b'!N:N,0),0)</f>
        <v>10860230.60941574</v>
      </c>
      <c r="S840" s="25">
        <f t="shared" ca="1" si="787"/>
        <v>24658938.613060281</v>
      </c>
    </row>
    <row r="841" spans="1:19" ht="15.75" customHeight="1" x14ac:dyDescent="0.3">
      <c r="A841" s="37">
        <v>76550</v>
      </c>
      <c r="B841" s="409">
        <f t="shared" ref="B841:C841" si="852">($A841-B$9)/365.25</f>
        <v>127.70431211498973</v>
      </c>
      <c r="C841" s="409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3525.4531757812501</v>
      </c>
      <c r="H841" s="25">
        <f>IF(B841&lt;62,0,'Combined Retirement'!$I$14)</f>
        <v>2192</v>
      </c>
      <c r="I841" s="25">
        <f>IF(C841&lt;62,0,'Combined Retirement'!$I$13)</f>
        <v>2420</v>
      </c>
      <c r="J841" s="25">
        <f t="shared" si="783"/>
        <v>6404.7404596389215</v>
      </c>
      <c r="K841" s="25">
        <f t="shared" si="784"/>
        <v>16520.094745597391</v>
      </c>
      <c r="L841" s="25"/>
      <c r="N841" s="25">
        <f>'Combined Retirement'!$C$18/12</f>
        <v>33932.660666666663</v>
      </c>
      <c r="O841" s="25">
        <f t="shared" si="785"/>
        <v>11007.82546143035</v>
      </c>
      <c r="P841" s="25">
        <f t="shared" si="786"/>
        <v>22924.835205236312</v>
      </c>
      <c r="Q841" s="25">
        <f t="array" aca="1" ref="Q841" ca="1">INDEX('Isaac 401k'!L:L,MATCH('Retirement Calculator'!A841,'Isaac 401k'!N:N,0),0)</f>
        <v>13849771.193448171</v>
      </c>
      <c r="R841" s="25">
        <f t="array" aca="1" ref="R841" ca="1">INDEX('Lorri 401b'!L:L,MATCH('Retirement Calculator'!A841,'Lorri 401b'!N:N,0),0)</f>
        <v>10888892.641814603</v>
      </c>
      <c r="S841" s="25">
        <f t="shared" ca="1" si="787"/>
        <v>24738663.835262775</v>
      </c>
    </row>
    <row r="842" spans="1:19" ht="15.75" customHeight="1" x14ac:dyDescent="0.3">
      <c r="A842" s="37">
        <v>76581</v>
      </c>
      <c r="B842" s="409">
        <f t="shared" ref="B842:C842" si="853">($A842-B$9)/365.25</f>
        <v>127.78918548939083</v>
      </c>
      <c r="C842" s="409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3525.4531757812501</v>
      </c>
      <c r="H842" s="25">
        <f>IF(B842&lt;62,0,'Combined Retirement'!$I$14)</f>
        <v>2192</v>
      </c>
      <c r="I842" s="25">
        <f>IF(C842&lt;62,0,'Combined Retirement'!$I$13)</f>
        <v>2420</v>
      </c>
      <c r="J842" s="25">
        <f t="shared" si="783"/>
        <v>6404.7404596389215</v>
      </c>
      <c r="K842" s="25">
        <f t="shared" si="784"/>
        <v>16520.094745597391</v>
      </c>
      <c r="L842" s="25"/>
      <c r="N842" s="25">
        <f>'Combined Retirement'!$C$18/12</f>
        <v>33932.660666666663</v>
      </c>
      <c r="O842" s="25">
        <f t="shared" si="785"/>
        <v>11007.82546143035</v>
      </c>
      <c r="P842" s="25">
        <f t="shared" si="786"/>
        <v>22924.835205236312</v>
      </c>
      <c r="Q842" s="25">
        <f t="array" aca="1" ref="Q842" ca="1">INDEX('Isaac 401k'!L:L,MATCH('Retirement Calculator'!A842,'Isaac 401k'!N:N,0),0)</f>
        <v>13901047.14654265</v>
      </c>
      <c r="R842" s="25">
        <f t="array" aca="1" ref="R842" ca="1">INDEX('Lorri 401b'!L:L,MATCH('Retirement Calculator'!A842,'Lorri 401b'!N:N,0),0)</f>
        <v>10917674.099348459</v>
      </c>
      <c r="S842" s="25">
        <f t="shared" ca="1" si="787"/>
        <v>24818721.245891109</v>
      </c>
    </row>
    <row r="843" spans="1:19" ht="15.75" customHeight="1" x14ac:dyDescent="0.3">
      <c r="A843" s="37">
        <v>76611</v>
      </c>
      <c r="B843" s="409">
        <f t="shared" ref="B843:C843" si="854">($A843-B$9)/365.25</f>
        <v>127.87132101300479</v>
      </c>
      <c r="C843" s="409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3525.4531757812501</v>
      </c>
      <c r="H843" s="25">
        <f>IF(B843&lt;62,0,'Combined Retirement'!$I$14)</f>
        <v>2192</v>
      </c>
      <c r="I843" s="25">
        <f>IF(C843&lt;62,0,'Combined Retirement'!$I$13)</f>
        <v>2420</v>
      </c>
      <c r="J843" s="25">
        <f t="shared" si="783"/>
        <v>6404.7404596389215</v>
      </c>
      <c r="K843" s="25">
        <f t="shared" si="784"/>
        <v>16520.094745597391</v>
      </c>
      <c r="L843" s="25"/>
      <c r="N843" s="25">
        <f>'Combined Retirement'!$C$18/12</f>
        <v>33932.660666666663</v>
      </c>
      <c r="O843" s="25">
        <f t="shared" si="785"/>
        <v>11007.82546143035</v>
      </c>
      <c r="P843" s="25">
        <f t="shared" si="786"/>
        <v>22924.835205236312</v>
      </c>
      <c r="Q843" s="25">
        <f t="array" aca="1" ref="Q843" ca="1">INDEX('Isaac 401k'!L:L,MATCH('Retirement Calculator'!A843,'Isaac 401k'!N:N,0),0)</f>
        <v>13952536.749441689</v>
      </c>
      <c r="R843" s="25">
        <f t="array" aca="1" ref="R843" ca="1">INDEX('Lorri 401b'!L:L,MATCH('Retirement Calculator'!A843,'Lorri 401b'!N:N,0),0)</f>
        <v>10946575.479622042</v>
      </c>
      <c r="S843" s="25">
        <f t="shared" ca="1" si="787"/>
        <v>24899112.229063731</v>
      </c>
    </row>
    <row r="844" spans="1:19" ht="15.75" customHeight="1" x14ac:dyDescent="0.3">
      <c r="A844" s="37">
        <v>76642</v>
      </c>
      <c r="B844" s="409">
        <f t="shared" ref="B844:C844" si="855">($A844-B$9)/365.25</f>
        <v>127.95619438740589</v>
      </c>
      <c r="C844" s="409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3525.4531757812501</v>
      </c>
      <c r="H844" s="25">
        <f>IF(B844&lt;62,0,'Combined Retirement'!$I$14)</f>
        <v>2192</v>
      </c>
      <c r="I844" s="25">
        <f>IF(C844&lt;62,0,'Combined Retirement'!$I$13)</f>
        <v>2420</v>
      </c>
      <c r="J844" s="25">
        <f t="shared" si="783"/>
        <v>6404.7404596389215</v>
      </c>
      <c r="K844" s="25">
        <f t="shared" si="784"/>
        <v>16520.094745597391</v>
      </c>
      <c r="L844" s="25"/>
      <c r="N844" s="25">
        <f>'Combined Retirement'!$C$18/12</f>
        <v>33932.660666666663</v>
      </c>
      <c r="O844" s="25">
        <f t="shared" si="785"/>
        <v>11007.82546143035</v>
      </c>
      <c r="P844" s="25">
        <f t="shared" si="786"/>
        <v>22924.835205236312</v>
      </c>
      <c r="Q844" s="25">
        <f t="array" aca="1" ref="Q844" ca="1">INDEX('Isaac 401k'!L:L,MATCH('Retirement Calculator'!A844,'Isaac 401k'!N:N,0),0)</f>
        <v>14004240.892352808</v>
      </c>
      <c r="R844" s="25">
        <f t="array" aca="1" ref="R844" ca="1">INDEX('Lorri 401b'!L:L,MATCH('Retirement Calculator'!A844,'Lorri 401b'!N:N,0),0)</f>
        <v>10975597.282313431</v>
      </c>
      <c r="S844" s="25">
        <f t="shared" ca="1" si="787"/>
        <v>24979838.174666241</v>
      </c>
    </row>
    <row r="845" spans="1:19" ht="15.75" customHeight="1" x14ac:dyDescent="0.3">
      <c r="A845" s="37">
        <v>76672</v>
      </c>
      <c r="B845" s="409">
        <f t="shared" ref="B845:C845" si="856">($A845-B$9)/365.25</f>
        <v>128.03832991101984</v>
      </c>
      <c r="C845" s="409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3525.4531757812501</v>
      </c>
      <c r="H845" s="25">
        <f>IF(B845&lt;62,0,'Combined Retirement'!$I$14)</f>
        <v>2192</v>
      </c>
      <c r="I845" s="25">
        <f>IF(C845&lt;62,0,'Combined Retirement'!$I$13)</f>
        <v>2420</v>
      </c>
      <c r="J845" s="25">
        <f t="shared" si="783"/>
        <v>6404.7404596389215</v>
      </c>
      <c r="K845" s="25">
        <f t="shared" si="784"/>
        <v>16520.094745597391</v>
      </c>
      <c r="L845" s="25"/>
      <c r="N845" s="25">
        <f>'Combined Retirement'!$C$18/12</f>
        <v>33932.660666666663</v>
      </c>
      <c r="O845" s="25">
        <f t="shared" si="785"/>
        <v>11007.82546143035</v>
      </c>
      <c r="P845" s="25">
        <f t="shared" si="786"/>
        <v>22924.835205236312</v>
      </c>
      <c r="Q845" s="25">
        <f t="array" aca="1" ref="Q845" ca="1">INDEX('Isaac 401k'!L:L,MATCH('Retirement Calculator'!A845,'Isaac 401k'!N:N,0),0)</f>
        <v>14056160.469192723</v>
      </c>
      <c r="R845" s="25">
        <f t="array" aca="1" ref="R845" ca="1">INDEX('Lorri 401b'!L:L,MATCH('Retirement Calculator'!A845,'Lorri 401b'!N:N,0),0)</f>
        <v>11004740.009182699</v>
      </c>
      <c r="S845" s="25">
        <f t="shared" ca="1" si="787"/>
        <v>25060900.47837542</v>
      </c>
    </row>
    <row r="846" spans="1:19" ht="15.75" customHeight="1" x14ac:dyDescent="0.3">
      <c r="A846" s="37">
        <v>76703</v>
      </c>
      <c r="B846" s="409">
        <f t="shared" ref="B846:C846" si="857">($A846-B$9)/365.25</f>
        <v>128.12320328542094</v>
      </c>
      <c r="C846" s="409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3525.4531757812501</v>
      </c>
      <c r="H846" s="25">
        <f>IF(B846&lt;62,0,'Combined Retirement'!$I$14)</f>
        <v>2192</v>
      </c>
      <c r="I846" s="25">
        <f>IF(C846&lt;62,0,'Combined Retirement'!$I$13)</f>
        <v>2420</v>
      </c>
      <c r="J846" s="25">
        <f t="shared" si="783"/>
        <v>6404.7404596389215</v>
      </c>
      <c r="K846" s="25">
        <f t="shared" si="784"/>
        <v>16520.094745597391</v>
      </c>
      <c r="L846" s="25"/>
      <c r="N846" s="25">
        <f>'Combined Retirement'!$C$18/12</f>
        <v>33932.660666666663</v>
      </c>
      <c r="O846" s="25">
        <f t="shared" si="785"/>
        <v>11007.82546143035</v>
      </c>
      <c r="P846" s="25">
        <f t="shared" si="786"/>
        <v>22924.835205236312</v>
      </c>
      <c r="Q846" s="25">
        <f t="array" aca="1" ref="Q846" ca="1">INDEX('Isaac 401k'!L:L,MATCH('Retirement Calculator'!A846,'Isaac 401k'!N:N,0),0)</f>
        <v>14108296.377602804</v>
      </c>
      <c r="R846" s="25">
        <f t="array" aca="1" ref="R846" ca="1">INDEX('Lorri 401b'!L:L,MATCH('Retirement Calculator'!A846,'Lorri 401b'!N:N,0),0)</f>
        <v>11034004.16408059</v>
      </c>
      <c r="S846" s="25">
        <f t="shared" ca="1" si="787"/>
        <v>25142300.541683394</v>
      </c>
    </row>
    <row r="847" spans="1:19" ht="15.75" customHeight="1" x14ac:dyDescent="0.3">
      <c r="A847" s="37">
        <v>76734</v>
      </c>
      <c r="B847" s="409">
        <f t="shared" ref="B847:C847" si="858">($A847-B$9)/365.25</f>
        <v>128.20807665982204</v>
      </c>
      <c r="C847" s="409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3525.4531757812501</v>
      </c>
      <c r="H847" s="25">
        <f>IF(B847&lt;62,0,'Combined Retirement'!$I$14)</f>
        <v>2192</v>
      </c>
      <c r="I847" s="25">
        <f>IF(C847&lt;62,0,'Combined Retirement'!$I$13)</f>
        <v>2420</v>
      </c>
      <c r="J847" s="25">
        <f t="shared" si="783"/>
        <v>6404.7404596389215</v>
      </c>
      <c r="K847" s="25">
        <f t="shared" si="784"/>
        <v>16520.094745597391</v>
      </c>
      <c r="L847" s="25"/>
      <c r="N847" s="25">
        <f>'Combined Retirement'!$C$18/12</f>
        <v>33932.660666666663</v>
      </c>
      <c r="O847" s="25">
        <f t="shared" si="785"/>
        <v>11007.82546143035</v>
      </c>
      <c r="P847" s="25">
        <f t="shared" si="786"/>
        <v>22924.835205236312</v>
      </c>
      <c r="Q847" s="25">
        <f t="array" aca="1" ref="Q847" ca="1">INDEX('Isaac 401k'!L:L,MATCH('Retirement Calculator'!A847,'Isaac 401k'!N:N,0),0)</f>
        <v>14160649.518964594</v>
      </c>
      <c r="R847" s="25">
        <f t="array" aca="1" ref="R847" ca="1">INDEX('Lorri 401b'!L:L,MATCH('Retirement Calculator'!A847,'Lorri 401b'!N:N,0),0)</f>
        <v>11063390.252957223</v>
      </c>
      <c r="S847" s="25">
        <f t="shared" ca="1" si="787"/>
        <v>25224039.771921817</v>
      </c>
    </row>
    <row r="848" spans="1:19" ht="15.75" customHeight="1" x14ac:dyDescent="0.3">
      <c r="A848" s="37">
        <v>76762</v>
      </c>
      <c r="B848" s="409">
        <f t="shared" ref="B848:C848" si="859">($A848-B$9)/365.25</f>
        <v>128.28473648186173</v>
      </c>
      <c r="C848" s="409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3525.4531757812501</v>
      </c>
      <c r="H848" s="25">
        <f>IF(B848&lt;62,0,'Combined Retirement'!$I$14)</f>
        <v>2192</v>
      </c>
      <c r="I848" s="25">
        <f>IF(C848&lt;62,0,'Combined Retirement'!$I$13)</f>
        <v>2420</v>
      </c>
      <c r="J848" s="25">
        <f t="shared" si="783"/>
        <v>6404.7404596389215</v>
      </c>
      <c r="K848" s="25">
        <f t="shared" si="784"/>
        <v>16520.094745597391</v>
      </c>
      <c r="L848" s="25"/>
      <c r="N848" s="25">
        <f>'Combined Retirement'!$C$18/12</f>
        <v>33932.660666666663</v>
      </c>
      <c r="O848" s="25">
        <f t="shared" si="785"/>
        <v>11007.82546143035</v>
      </c>
      <c r="P848" s="25">
        <f t="shared" si="786"/>
        <v>22924.835205236312</v>
      </c>
      <c r="Q848" s="25">
        <f t="array" aca="1" ref="Q848" ca="1">INDEX('Isaac 401k'!L:L,MATCH('Retirement Calculator'!A848,'Isaac 401k'!N:N,0),0)</f>
        <v>14213220.798415393</v>
      </c>
      <c r="R848" s="25">
        <f t="array" aca="1" ref="R848" ca="1">INDEX('Lorri 401b'!L:L,MATCH('Retirement Calculator'!A848,'Lorri 401b'!N:N,0),0)</f>
        <v>11092898.78387084</v>
      </c>
      <c r="S848" s="25">
        <f t="shared" ca="1" si="787"/>
        <v>25306119.582286231</v>
      </c>
    </row>
    <row r="849" spans="1:19" ht="15.75" customHeight="1" x14ac:dyDescent="0.3">
      <c r="A849" s="37">
        <v>76793</v>
      </c>
      <c r="B849" s="409">
        <f t="shared" ref="B849:C849" si="860">($A849-B$9)/365.25</f>
        <v>128.36960985626283</v>
      </c>
      <c r="C849" s="409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3525.4531757812501</v>
      </c>
      <c r="H849" s="25">
        <f>IF(B849&lt;62,0,'Combined Retirement'!$I$14)</f>
        <v>2192</v>
      </c>
      <c r="I849" s="25">
        <f>IF(C849&lt;62,0,'Combined Retirement'!$I$13)</f>
        <v>2420</v>
      </c>
      <c r="J849" s="25">
        <f t="shared" si="783"/>
        <v>6404.7404596389215</v>
      </c>
      <c r="K849" s="25">
        <f t="shared" si="784"/>
        <v>16520.094745597391</v>
      </c>
      <c r="L849" s="25"/>
      <c r="N849" s="25">
        <f>'Combined Retirement'!$C$18/12</f>
        <v>33932.660666666663</v>
      </c>
      <c r="O849" s="25">
        <f t="shared" si="785"/>
        <v>11007.82546143035</v>
      </c>
      <c r="P849" s="25">
        <f t="shared" si="786"/>
        <v>22924.835205236312</v>
      </c>
      <c r="Q849" s="25">
        <f t="array" aca="1" ref="Q849" ca="1">INDEX('Isaac 401k'!L:L,MATCH('Retirement Calculator'!A849,'Isaac 401k'!N:N,0),0)</f>
        <v>14266011.124863902</v>
      </c>
      <c r="R849" s="25">
        <f t="array" aca="1" ref="R849" ca="1">INDEX('Lorri 401b'!L:L,MATCH('Retirement Calculator'!A849,'Lorri 401b'!N:N,0),0)</f>
        <v>11122530.266996598</v>
      </c>
      <c r="S849" s="25">
        <f t="shared" ca="1" si="787"/>
        <v>25388541.3918605</v>
      </c>
    </row>
    <row r="850" spans="1:19" ht="15.75" customHeight="1" x14ac:dyDescent="0.3">
      <c r="A850" s="37">
        <v>76823</v>
      </c>
      <c r="B850" s="409">
        <f t="shared" ref="B850:C850" si="861">($A850-B$9)/365.25</f>
        <v>128.4517453798768</v>
      </c>
      <c r="C850" s="409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3525.4531757812501</v>
      </c>
      <c r="H850" s="25">
        <f>IF(B850&lt;62,0,'Combined Retirement'!$I$14)</f>
        <v>2192</v>
      </c>
      <c r="I850" s="25">
        <f>IF(C850&lt;62,0,'Combined Retirement'!$I$13)</f>
        <v>2420</v>
      </c>
      <c r="J850" s="25">
        <f t="shared" si="783"/>
        <v>6404.7404596389215</v>
      </c>
      <c r="K850" s="25">
        <f t="shared" si="784"/>
        <v>16520.094745597391</v>
      </c>
      <c r="L850" s="25"/>
      <c r="N850" s="25">
        <f>'Combined Retirement'!$C$18/12</f>
        <v>33932.660666666663</v>
      </c>
      <c r="O850" s="25">
        <f t="shared" si="785"/>
        <v>11007.82546143035</v>
      </c>
      <c r="P850" s="25">
        <f t="shared" si="786"/>
        <v>22924.835205236312</v>
      </c>
      <c r="Q850" s="25">
        <f t="array" aca="1" ref="Q850" ca="1">INDEX('Isaac 401k'!L:L,MATCH('Retirement Calculator'!A850,'Isaac 401k'!N:N,0),0)</f>
        <v>14319021.411005948</v>
      </c>
      <c r="R850" s="25">
        <f t="array" aca="1" ref="R850" ca="1">INDEX('Lorri 401b'!L:L,MATCH('Retirement Calculator'!A850,'Lorri 401b'!N:N,0),0)</f>
        <v>11152285.21463538</v>
      </c>
      <c r="S850" s="25">
        <f t="shared" ca="1" si="787"/>
        <v>25471306.625641327</v>
      </c>
    </row>
    <row r="851" spans="1:19" ht="15.75" customHeight="1" x14ac:dyDescent="0.3">
      <c r="A851" s="37">
        <v>76854</v>
      </c>
      <c r="B851" s="409">
        <f t="shared" ref="B851:C851" si="862">($A851-B$9)/365.25</f>
        <v>128.5366187542779</v>
      </c>
      <c r="C851" s="409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3525.4531757812501</v>
      </c>
      <c r="H851" s="25">
        <f>IF(B851&lt;62,0,'Combined Retirement'!$I$14)</f>
        <v>2192</v>
      </c>
      <c r="I851" s="25">
        <f>IF(C851&lt;62,0,'Combined Retirement'!$I$13)</f>
        <v>2420</v>
      </c>
      <c r="J851" s="25">
        <f t="shared" si="783"/>
        <v>6404.7404596389215</v>
      </c>
      <c r="K851" s="25">
        <f t="shared" si="784"/>
        <v>16520.094745597391</v>
      </c>
      <c r="L851" s="25"/>
      <c r="N851" s="25">
        <f>'Combined Retirement'!$C$18/12</f>
        <v>33932.660666666663</v>
      </c>
      <c r="O851" s="25">
        <f t="shared" si="785"/>
        <v>11007.82546143035</v>
      </c>
      <c r="P851" s="25">
        <f t="shared" si="786"/>
        <v>22924.835205236312</v>
      </c>
      <c r="Q851" s="25">
        <f t="array" aca="1" ref="Q851" ca="1">INDEX('Isaac 401k'!L:L,MATCH('Retirement Calculator'!A851,'Isaac 401k'!N:N,0),0)</f>
        <v>14372252.57334025</v>
      </c>
      <c r="R851" s="25">
        <f t="array" aca="1" ref="R851" ca="1">INDEX('Lorri 401b'!L:L,MATCH('Retirement Calculator'!A851,'Lorri 401b'!N:N,0),0)</f>
        <v>11182164.141222658</v>
      </c>
      <c r="S851" s="25">
        <f t="shared" ca="1" si="787"/>
        <v>25554416.714562908</v>
      </c>
    </row>
    <row r="852" spans="1:19" ht="15.75" customHeight="1" x14ac:dyDescent="0.3">
      <c r="A852" s="37">
        <v>76884</v>
      </c>
      <c r="B852" s="409">
        <f t="shared" ref="B852:C852" si="863">($A852-B$9)/365.25</f>
        <v>128.61875427789187</v>
      </c>
      <c r="C852" s="409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3525.4531757812501</v>
      </c>
      <c r="H852" s="25">
        <f>IF(B852&lt;62,0,'Combined Retirement'!$I$14)</f>
        <v>2192</v>
      </c>
      <c r="I852" s="25">
        <f>IF(C852&lt;62,0,'Combined Retirement'!$I$13)</f>
        <v>2420</v>
      </c>
      <c r="J852" s="25">
        <f t="shared" si="783"/>
        <v>6404.7404596389215</v>
      </c>
      <c r="K852" s="25">
        <f t="shared" si="784"/>
        <v>16520.094745597391</v>
      </c>
      <c r="L852" s="25"/>
      <c r="N852" s="25">
        <f>'Combined Retirement'!$C$18/12</f>
        <v>33932.660666666663</v>
      </c>
      <c r="O852" s="25">
        <f t="shared" si="785"/>
        <v>11007.82546143035</v>
      </c>
      <c r="P852" s="25">
        <f t="shared" si="786"/>
        <v>22924.835205236312</v>
      </c>
      <c r="Q852" s="25">
        <f t="array" aca="1" ref="Q852" ca="1">INDEX('Isaac 401k'!L:L,MATCH('Retirement Calculator'!A852,'Isaac 401k'!N:N,0),0)</f>
        <v>14425705.53218428</v>
      </c>
      <c r="R852" s="25">
        <f t="array" aca="1" ref="R852" ca="1">INDEX('Lorri 401b'!L:L,MATCH('Retirement Calculator'!A852,'Lorri 401b'!N:N,0),0)</f>
        <v>11212167.563337382</v>
      </c>
      <c r="S852" s="25">
        <f t="shared" ca="1" si="787"/>
        <v>25637873.095521662</v>
      </c>
    </row>
    <row r="853" spans="1:19" ht="15.75" customHeight="1" x14ac:dyDescent="0.3">
      <c r="A853" s="37">
        <v>76915</v>
      </c>
      <c r="B853" s="409">
        <f t="shared" ref="B853:C853" si="864">($A853-B$9)/365.25</f>
        <v>128.70362765229294</v>
      </c>
      <c r="C853" s="409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3525.4531757812501</v>
      </c>
      <c r="H853" s="25">
        <f>IF(B853&lt;62,0,'Combined Retirement'!$I$14)</f>
        <v>2192</v>
      </c>
      <c r="I853" s="25">
        <f>IF(C853&lt;62,0,'Combined Retirement'!$I$13)</f>
        <v>2420</v>
      </c>
      <c r="J853" s="25">
        <f t="shared" si="783"/>
        <v>6404.7404596389215</v>
      </c>
      <c r="K853" s="25">
        <f t="shared" si="784"/>
        <v>16520.094745597391</v>
      </c>
      <c r="L853" s="25"/>
      <c r="N853" s="25">
        <f>'Combined Retirement'!$C$18/12</f>
        <v>33932.660666666663</v>
      </c>
      <c r="O853" s="25">
        <f t="shared" si="785"/>
        <v>11007.82546143035</v>
      </c>
      <c r="P853" s="25">
        <f t="shared" si="786"/>
        <v>22924.835205236312</v>
      </c>
      <c r="Q853" s="25">
        <f t="array" aca="1" ref="Q853" ca="1">INDEX('Isaac 401k'!L:L,MATCH('Retirement Calculator'!A853,'Isaac 401k'!N:N,0),0)</f>
        <v>14479381.21169016</v>
      </c>
      <c r="R853" s="25">
        <f t="array" aca="1" ref="R853" ca="1">INDEX('Lorri 401b'!L:L,MATCH('Retirement Calculator'!A853,'Lorri 401b'!N:N,0),0)</f>
        <v>11242295.999710917</v>
      </c>
      <c r="S853" s="25">
        <f t="shared" ca="1" si="787"/>
        <v>25721677.211401075</v>
      </c>
    </row>
    <row r="854" spans="1:19" ht="15.75" customHeight="1" x14ac:dyDescent="0.3">
      <c r="A854" s="37">
        <v>76946</v>
      </c>
      <c r="B854" s="409">
        <f t="shared" ref="B854:C854" si="865">($A854-B$9)/365.25</f>
        <v>128.78850102669404</v>
      </c>
      <c r="C854" s="409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3525.4531757812501</v>
      </c>
      <c r="H854" s="25">
        <f>IF(B854&lt;62,0,'Combined Retirement'!$I$14)</f>
        <v>2192</v>
      </c>
      <c r="I854" s="25">
        <f>IF(C854&lt;62,0,'Combined Retirement'!$I$13)</f>
        <v>2420</v>
      </c>
      <c r="J854" s="25">
        <f t="shared" si="783"/>
        <v>6404.7404596389215</v>
      </c>
      <c r="K854" s="25">
        <f t="shared" si="784"/>
        <v>16520.094745597391</v>
      </c>
      <c r="L854" s="25"/>
      <c r="N854" s="25">
        <f>'Combined Retirement'!$C$18/12</f>
        <v>33932.660666666663</v>
      </c>
      <c r="O854" s="25">
        <f t="shared" si="785"/>
        <v>11007.82546143035</v>
      </c>
      <c r="P854" s="25">
        <f t="shared" si="786"/>
        <v>22924.835205236312</v>
      </c>
      <c r="Q854" s="25">
        <f t="array" aca="1" ref="Q854" ca="1">INDEX('Isaac 401k'!L:L,MATCH('Retirement Calculator'!A854,'Isaac 401k'!N:N,0),0)</f>
        <v>14533280.539860647</v>
      </c>
      <c r="R854" s="25">
        <f t="array" aca="1" ref="R854" ca="1">INDEX('Lorri 401b'!L:L,MATCH('Retirement Calculator'!A854,'Lorri 401b'!N:N,0),0)</f>
        <v>11272549.971236009</v>
      </c>
      <c r="S854" s="25">
        <f t="shared" ca="1" si="787"/>
        <v>25805830.511096656</v>
      </c>
    </row>
    <row r="855" spans="1:19" ht="15.75" customHeight="1" x14ac:dyDescent="0.3">
      <c r="A855" s="37">
        <v>76976</v>
      </c>
      <c r="B855" s="409">
        <f t="shared" ref="B855:C855" si="866">($A855-B$9)/365.25</f>
        <v>128.87063655030801</v>
      </c>
      <c r="C855" s="409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3525.4531757812501</v>
      </c>
      <c r="H855" s="25">
        <f>IF(B855&lt;62,0,'Combined Retirement'!$I$14)</f>
        <v>2192</v>
      </c>
      <c r="I855" s="25">
        <f>IF(C855&lt;62,0,'Combined Retirement'!$I$13)</f>
        <v>2420</v>
      </c>
      <c r="J855" s="25">
        <f t="shared" si="783"/>
        <v>6404.7404596389215</v>
      </c>
      <c r="K855" s="25">
        <f t="shared" si="784"/>
        <v>16520.094745597391</v>
      </c>
      <c r="L855" s="25"/>
      <c r="N855" s="25">
        <f>'Combined Retirement'!$C$18/12</f>
        <v>33932.660666666663</v>
      </c>
      <c r="O855" s="25">
        <f t="shared" si="785"/>
        <v>11007.82546143035</v>
      </c>
      <c r="P855" s="25">
        <f t="shared" si="786"/>
        <v>22924.835205236312</v>
      </c>
      <c r="Q855" s="25">
        <f t="array" aca="1" ref="Q855" ca="1">INDEX('Isaac 401k'!L:L,MATCH('Retirement Calculator'!A855,'Isaac 401k'!N:N,0),0)</f>
        <v>14587404.448565178</v>
      </c>
      <c r="R855" s="25">
        <f t="array" aca="1" ref="R855" ca="1">INDEX('Lorri 401b'!L:L,MATCH('Retirement Calculator'!A855,'Lorri 401b'!N:N,0),0)</f>
        <v>11302930.00097579</v>
      </c>
      <c r="S855" s="25">
        <f t="shared" ca="1" si="787"/>
        <v>25890334.449540965</v>
      </c>
    </row>
    <row r="856" spans="1:19" ht="15.75" customHeight="1" x14ac:dyDescent="0.3">
      <c r="A856" s="37">
        <v>77007</v>
      </c>
      <c r="B856" s="409">
        <f t="shared" ref="B856:C856" si="867">($A856-B$9)/365.25</f>
        <v>128.95550992470911</v>
      </c>
      <c r="C856" s="409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3525.4531757812501</v>
      </c>
      <c r="H856" s="25">
        <f>IF(B856&lt;62,0,'Combined Retirement'!$I$14)</f>
        <v>2192</v>
      </c>
      <c r="I856" s="25">
        <f>IF(C856&lt;62,0,'Combined Retirement'!$I$13)</f>
        <v>2420</v>
      </c>
      <c r="J856" s="25">
        <f t="shared" si="783"/>
        <v>6404.7404596389215</v>
      </c>
      <c r="K856" s="25">
        <f t="shared" si="784"/>
        <v>16520.094745597391</v>
      </c>
      <c r="L856" s="25"/>
      <c r="N856" s="25">
        <f>'Combined Retirement'!$C$18/12</f>
        <v>33932.660666666663</v>
      </c>
      <c r="O856" s="25">
        <f t="shared" si="785"/>
        <v>11007.82546143035</v>
      </c>
      <c r="P856" s="25">
        <f t="shared" si="786"/>
        <v>22924.835205236312</v>
      </c>
      <c r="Q856" s="25">
        <f t="array" aca="1" ref="Q856" ca="1">INDEX('Isaac 401k'!L:L,MATCH('Retirement Calculator'!A856,'Isaac 401k'!N:N,0),0)</f>
        <v>14641753.873555977</v>
      </c>
      <c r="R856" s="25">
        <f t="array" aca="1" ref="R856" ca="1">INDEX('Lorri 401b'!L:L,MATCH('Retirement Calculator'!A856,'Lorri 401b'!N:N,0),0)</f>
        <v>11333436.614172818</v>
      </c>
      <c r="S856" s="25">
        <f t="shared" ca="1" si="787"/>
        <v>25975190.487728797</v>
      </c>
    </row>
    <row r="857" spans="1:19" ht="15.75" customHeight="1" x14ac:dyDescent="0.3">
      <c r="A857" s="37">
        <v>77037</v>
      </c>
      <c r="B857" s="409">
        <f t="shared" ref="B857:C857" si="868">($A857-B$9)/365.25</f>
        <v>129.03764544832308</v>
      </c>
      <c r="C857" s="409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3525.4531757812501</v>
      </c>
      <c r="H857" s="25">
        <f>IF(B857&lt;62,0,'Combined Retirement'!$I$14)</f>
        <v>2192</v>
      </c>
      <c r="I857" s="25">
        <f>IF(C857&lt;62,0,'Combined Retirement'!$I$13)</f>
        <v>2420</v>
      </c>
      <c r="J857" s="25">
        <f t="shared" si="783"/>
        <v>6404.7404596389215</v>
      </c>
      <c r="K857" s="25">
        <f t="shared" si="784"/>
        <v>16520.094745597391</v>
      </c>
      <c r="L857" s="25"/>
      <c r="N857" s="25">
        <f>'Combined Retirement'!$C$18/12</f>
        <v>33932.660666666663</v>
      </c>
      <c r="O857" s="25">
        <f t="shared" si="785"/>
        <v>11007.82546143035</v>
      </c>
      <c r="P857" s="25">
        <f t="shared" si="786"/>
        <v>22924.835205236312</v>
      </c>
      <c r="Q857" s="25">
        <f t="array" aca="1" ref="Q857" ca="1">INDEX('Isaac 401k'!L:L,MATCH('Retirement Calculator'!A857,'Isaac 401k'!N:N,0),0)</f>
        <v>14696329.754484238</v>
      </c>
      <c r="R857" s="25">
        <f t="array" aca="1" ref="R857" ca="1">INDEX('Lorri 401b'!L:L,MATCH('Retirement Calculator'!A857,'Lorri 401b'!N:N,0),0)</f>
        <v>11364070.338258168</v>
      </c>
      <c r="S857" s="25">
        <f t="shared" ca="1" si="787"/>
        <v>26060400.092742406</v>
      </c>
    </row>
    <row r="858" spans="1:19" ht="15.75" customHeight="1" x14ac:dyDescent="0.3">
      <c r="A858" s="37">
        <v>77068</v>
      </c>
      <c r="B858" s="409">
        <f t="shared" ref="B858:C858" si="869">($A858-B$9)/365.25</f>
        <v>129.12251882272417</v>
      </c>
      <c r="C858" s="409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3525.4531757812501</v>
      </c>
      <c r="H858" s="25">
        <f>IF(B858&lt;62,0,'Combined Retirement'!$I$14)</f>
        <v>2192</v>
      </c>
      <c r="I858" s="25">
        <f>IF(C858&lt;62,0,'Combined Retirement'!$I$13)</f>
        <v>2420</v>
      </c>
      <c r="J858" s="25">
        <f t="shared" si="783"/>
        <v>6404.7404596389215</v>
      </c>
      <c r="K858" s="25">
        <f t="shared" si="784"/>
        <v>16520.094745597391</v>
      </c>
      <c r="L858" s="25"/>
      <c r="N858" s="25">
        <f>'Combined Retirement'!$C$18/12</f>
        <v>33932.660666666663</v>
      </c>
      <c r="O858" s="25">
        <f t="shared" si="785"/>
        <v>11007.82546143035</v>
      </c>
      <c r="P858" s="25">
        <f t="shared" si="786"/>
        <v>22924.835205236312</v>
      </c>
      <c r="Q858" s="25">
        <f t="array" aca="1" ref="Q858" ca="1">INDEX('Isaac 401k'!L:L,MATCH('Retirement Calculator'!A858,'Isaac 401k'!N:N,0),0)</f>
        <v>14751133.034916367</v>
      </c>
      <c r="R858" s="25">
        <f t="array" aca="1" ref="R858" ca="1">INDEX('Lorri 401b'!L:L,MATCH('Retirement Calculator'!A858,'Lorri 401b'!N:N,0),0)</f>
        <v>11394831.70286054</v>
      </c>
      <c r="S858" s="25">
        <f t="shared" ca="1" si="787"/>
        <v>26145964.737776905</v>
      </c>
    </row>
    <row r="859" spans="1:19" ht="15.75" customHeight="1" x14ac:dyDescent="0.3">
      <c r="A859" s="37">
        <v>77099</v>
      </c>
      <c r="B859" s="409">
        <f t="shared" ref="B859:C859" si="870">($A859-B$9)/365.25</f>
        <v>129.20739219712524</v>
      </c>
      <c r="C859" s="409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3525.4531757812501</v>
      </c>
      <c r="H859" s="25">
        <f>IF(B859&lt;62,0,'Combined Retirement'!$I$14)</f>
        <v>2192</v>
      </c>
      <c r="I859" s="25">
        <f>IF(C859&lt;62,0,'Combined Retirement'!$I$13)</f>
        <v>2420</v>
      </c>
      <c r="J859" s="25">
        <f t="shared" si="783"/>
        <v>6404.7404596389215</v>
      </c>
      <c r="K859" s="25">
        <f t="shared" si="784"/>
        <v>16520.094745597391</v>
      </c>
      <c r="L859" s="25"/>
      <c r="N859" s="25">
        <f>'Combined Retirement'!$C$18/12</f>
        <v>33932.660666666663</v>
      </c>
      <c r="O859" s="25">
        <f t="shared" si="785"/>
        <v>11007.82546143035</v>
      </c>
      <c r="P859" s="25">
        <f t="shared" si="786"/>
        <v>22924.835205236312</v>
      </c>
      <c r="Q859" s="25">
        <f t="array" aca="1" ref="Q859" ca="1">INDEX('Isaac 401k'!L:L,MATCH('Retirement Calculator'!A859,'Isaac 401k'!N:N,0),0)</f>
        <v>14806164.662350297</v>
      </c>
      <c r="R859" s="25">
        <f t="array" aca="1" ref="R859" ca="1">INDEX('Lorri 401b'!L:L,MATCH('Retirement Calculator'!A859,'Lorri 401b'!N:N,0),0)</f>
        <v>11425721.239815421</v>
      </c>
      <c r="S859" s="25">
        <f t="shared" ca="1" si="787"/>
        <v>26231885.902165718</v>
      </c>
    </row>
    <row r="860" spans="1:19" ht="15.75" customHeight="1" x14ac:dyDescent="0.3">
      <c r="A860" s="37">
        <v>77127</v>
      </c>
      <c r="B860" s="409">
        <f t="shared" ref="B860:C860" si="871">($A860-B$9)/365.25</f>
        <v>129.28405201916496</v>
      </c>
      <c r="C860" s="409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3525.4531757812501</v>
      </c>
      <c r="H860" s="25">
        <f>IF(B860&lt;62,0,'Combined Retirement'!$I$14)</f>
        <v>2192</v>
      </c>
      <c r="I860" s="25">
        <f>IF(C860&lt;62,0,'Combined Retirement'!$I$13)</f>
        <v>2420</v>
      </c>
      <c r="J860" s="25">
        <f t="shared" si="783"/>
        <v>6404.7404596389215</v>
      </c>
      <c r="K860" s="25">
        <f t="shared" si="784"/>
        <v>16520.094745597391</v>
      </c>
      <c r="L860" s="25"/>
      <c r="N860" s="25">
        <f>'Combined Retirement'!$C$18/12</f>
        <v>33932.660666666663</v>
      </c>
      <c r="O860" s="25">
        <f t="shared" si="785"/>
        <v>11007.82546143035</v>
      </c>
      <c r="P860" s="25">
        <f t="shared" si="786"/>
        <v>22924.835205236312</v>
      </c>
      <c r="Q860" s="25">
        <f t="array" aca="1" ref="Q860" ca="1">INDEX('Isaac 401k'!L:L,MATCH('Retirement Calculator'!A860,'Isaac 401k'!N:N,0),0)</f>
        <v>14861425.588231869</v>
      </c>
      <c r="R860" s="25">
        <f t="array" aca="1" ref="R860" ca="1">INDEX('Lorri 401b'!L:L,MATCH('Retirement Calculator'!A860,'Lorri 401b'!N:N,0),0)</f>
        <v>11456739.483174283</v>
      </c>
      <c r="S860" s="25">
        <f t="shared" ca="1" si="787"/>
        <v>26318165.071406152</v>
      </c>
    </row>
    <row r="861" spans="1:19" ht="15.75" customHeight="1" x14ac:dyDescent="0.3">
      <c r="A861" s="37">
        <v>77158</v>
      </c>
      <c r="B861" s="409">
        <f t="shared" ref="B861:C861" si="872">($A861-B$9)/365.25</f>
        <v>129.36892539356606</v>
      </c>
      <c r="C861" s="409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3525.4531757812501</v>
      </c>
      <c r="H861" s="25">
        <f>IF(B861&lt;62,0,'Combined Retirement'!$I$14)</f>
        <v>2192</v>
      </c>
      <c r="I861" s="25">
        <f>IF(C861&lt;62,0,'Combined Retirement'!$I$13)</f>
        <v>2420</v>
      </c>
      <c r="J861" s="25">
        <f t="shared" si="783"/>
        <v>6404.7404596389215</v>
      </c>
      <c r="K861" s="25">
        <f t="shared" si="784"/>
        <v>16520.094745597391</v>
      </c>
      <c r="L861" s="25"/>
      <c r="N861" s="25">
        <f>'Combined Retirement'!$C$18/12</f>
        <v>33932.660666666663</v>
      </c>
      <c r="O861" s="25">
        <f t="shared" si="785"/>
        <v>11007.82546143035</v>
      </c>
      <c r="P861" s="25">
        <f t="shared" si="786"/>
        <v>22924.835205236312</v>
      </c>
      <c r="Q861" s="25">
        <f t="array" aca="1" ref="Q861" ca="1">INDEX('Isaac 401k'!L:L,MATCH('Retirement Calculator'!A861,'Isaac 401k'!N:N,0),0)</f>
        <v>14916916.767971281</v>
      </c>
      <c r="R861" s="25">
        <f t="array" aca="1" ref="R861" ca="1">INDEX('Lorri 401b'!L:L,MATCH('Retirement Calculator'!A861,'Lorri 401b'!N:N,0),0)</f>
        <v>11487886.969213806</v>
      </c>
      <c r="S861" s="25">
        <f t="shared" ca="1" si="787"/>
        <v>26404803.737185087</v>
      </c>
    </row>
    <row r="862" spans="1:19" ht="15.75" customHeight="1" x14ac:dyDescent="0.3">
      <c r="A862" s="37">
        <v>77188</v>
      </c>
      <c r="B862" s="409">
        <f t="shared" ref="B862:C862" si="873">($A862-B$9)/365.25</f>
        <v>129.45106091718</v>
      </c>
      <c r="C862" s="409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3525.4531757812501</v>
      </c>
      <c r="H862" s="25">
        <f>IF(B862&lt;62,0,'Combined Retirement'!$I$14)</f>
        <v>2192</v>
      </c>
      <c r="I862" s="25">
        <f>IF(C862&lt;62,0,'Combined Retirement'!$I$13)</f>
        <v>2420</v>
      </c>
      <c r="J862" s="25">
        <f t="shared" si="783"/>
        <v>6404.7404596389215</v>
      </c>
      <c r="K862" s="25">
        <f t="shared" si="784"/>
        <v>16520.094745597391</v>
      </c>
      <c r="L862" s="25"/>
      <c r="N862" s="25">
        <f>'Combined Retirement'!$C$18/12</f>
        <v>33932.660666666663</v>
      </c>
      <c r="O862" s="25">
        <f t="shared" si="785"/>
        <v>11007.82546143035</v>
      </c>
      <c r="P862" s="25">
        <f t="shared" si="786"/>
        <v>22924.835205236312</v>
      </c>
      <c r="Q862" s="25">
        <f t="array" aca="1" ref="Q862" ca="1">INDEX('Isaac 401k'!L:L,MATCH('Retirement Calculator'!A862,'Isaac 401k'!N:N,0),0)</f>
        <v>14972639.160959607</v>
      </c>
      <c r="R862" s="25">
        <f t="array" aca="1" ref="R862" ca="1">INDEX('Lorri 401b'!L:L,MATCH('Retirement Calculator'!A862,'Lorri 401b'!N:N,0),0)</f>
        <v>11519164.236445161</v>
      </c>
      <c r="S862" s="25">
        <f t="shared" ca="1" si="787"/>
        <v>26491803.397404768</v>
      </c>
    </row>
    <row r="863" spans="1:19" ht="15.75" customHeight="1" x14ac:dyDescent="0.3">
      <c r="A863" s="37">
        <v>77219</v>
      </c>
      <c r="B863" s="409">
        <f t="shared" ref="B863:C863" si="874">($A863-B$9)/365.25</f>
        <v>129.5359342915811</v>
      </c>
      <c r="C863" s="409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3525.4531757812501</v>
      </c>
      <c r="H863" s="25">
        <f>IF(B863&lt;62,0,'Combined Retirement'!$I$14)</f>
        <v>2192</v>
      </c>
      <c r="I863" s="25">
        <f>IF(C863&lt;62,0,'Combined Retirement'!$I$13)</f>
        <v>2420</v>
      </c>
      <c r="J863" s="25">
        <f t="shared" si="783"/>
        <v>6404.7404596389215</v>
      </c>
      <c r="K863" s="25">
        <f t="shared" si="784"/>
        <v>16520.094745597391</v>
      </c>
      <c r="L863" s="25"/>
      <c r="N863" s="25">
        <f>'Combined Retirement'!$C$18/12</f>
        <v>33932.660666666663</v>
      </c>
      <c r="O863" s="25">
        <f t="shared" si="785"/>
        <v>11007.82546143035</v>
      </c>
      <c r="P863" s="25">
        <f t="shared" si="786"/>
        <v>22924.835205236312</v>
      </c>
      <c r="Q863" s="25">
        <f t="array" aca="1" ref="Q863" ca="1">INDEX('Isaac 401k'!L:L,MATCH('Retirement Calculator'!A863,'Isaac 401k'!N:N,0),0)</f>
        <v>15028593.730585383</v>
      </c>
      <c r="R863" s="25">
        <f t="array" aca="1" ref="R863" ca="1">INDEX('Lorri 401b'!L:L,MATCH('Retirement Calculator'!A863,'Lorri 401b'!N:N,0),0)</f>
        <v>11550571.825623311</v>
      </c>
      <c r="S863" s="25">
        <f t="shared" ca="1" si="787"/>
        <v>26579165.556208692</v>
      </c>
    </row>
    <row r="864" spans="1:19" ht="15.75" customHeight="1" x14ac:dyDescent="0.3">
      <c r="A864" s="37">
        <v>77249</v>
      </c>
      <c r="B864" s="409">
        <f t="shared" ref="B864:C864" si="875">($A864-B$9)/365.25</f>
        <v>129.61806981519507</v>
      </c>
      <c r="C864" s="409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3525.4531757812501</v>
      </c>
      <c r="H864" s="25">
        <f>IF(B864&lt;62,0,'Combined Retirement'!$I$14)</f>
        <v>2192</v>
      </c>
      <c r="I864" s="25">
        <f>IF(C864&lt;62,0,'Combined Retirement'!$I$13)</f>
        <v>2420</v>
      </c>
      <c r="J864" s="25">
        <f t="shared" si="783"/>
        <v>6404.7404596389215</v>
      </c>
      <c r="K864" s="25">
        <f t="shared" si="784"/>
        <v>16520.094745597391</v>
      </c>
      <c r="L864" s="25"/>
      <c r="N864" s="25">
        <f>'Combined Retirement'!$C$18/12</f>
        <v>33932.660666666663</v>
      </c>
      <c r="O864" s="25">
        <f t="shared" si="785"/>
        <v>11007.82546143035</v>
      </c>
      <c r="P864" s="25">
        <f t="shared" si="786"/>
        <v>22924.835205236312</v>
      </c>
      <c r="Q864" s="25">
        <f t="array" aca="1" ref="Q864" ca="1">INDEX('Isaac 401k'!L:L,MATCH('Retirement Calculator'!A864,'Isaac 401k'!N:N,0),0)</f>
        <v>15084781.444251267</v>
      </c>
      <c r="R864" s="25">
        <f t="array" aca="1" ref="R864" ca="1">INDEX('Lorri 401b'!L:L,MATCH('Retirement Calculator'!A864,'Lorri 401b'!N:N,0),0)</f>
        <v>11582110.279756371</v>
      </c>
      <c r="S864" s="25">
        <f t="shared" ca="1" si="787"/>
        <v>26666891.724007636</v>
      </c>
    </row>
    <row r="865" spans="1:19" ht="15.75" customHeight="1" x14ac:dyDescent="0.3">
      <c r="A865" s="37">
        <v>77280</v>
      </c>
      <c r="B865" s="409">
        <f t="shared" ref="B865:C865" si="876">($A865-B$9)/365.25</f>
        <v>129.70294318959617</v>
      </c>
      <c r="C865" s="409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3525.4531757812501</v>
      </c>
      <c r="H865" s="25">
        <f>IF(B865&lt;62,0,'Combined Retirement'!$I$14)</f>
        <v>2192</v>
      </c>
      <c r="I865" s="25">
        <f>IF(C865&lt;62,0,'Combined Retirement'!$I$13)</f>
        <v>2420</v>
      </c>
      <c r="J865" s="25">
        <f t="shared" si="783"/>
        <v>6404.7404596389215</v>
      </c>
      <c r="K865" s="25">
        <f t="shared" si="784"/>
        <v>16520.094745597391</v>
      </c>
      <c r="L865" s="25"/>
      <c r="N865" s="25">
        <f>'Combined Retirement'!$C$18/12</f>
        <v>33932.660666666663</v>
      </c>
      <c r="O865" s="25">
        <f t="shared" si="785"/>
        <v>11007.82546143035</v>
      </c>
      <c r="P865" s="25">
        <f t="shared" si="786"/>
        <v>22924.835205236312</v>
      </c>
      <c r="Q865" s="25">
        <f t="array" aca="1" ref="Q865" ca="1">INDEX('Isaac 401k'!L:L,MATCH('Retirement Calculator'!A865,'Isaac 401k'!N:N,0),0)</f>
        <v>15141203.273390759</v>
      </c>
      <c r="R865" s="25">
        <f t="array" aca="1" ref="R865" ca="1">INDEX('Lorri 401b'!L:L,MATCH('Retirement Calculator'!A865,'Lorri 401b'!N:N,0),0)</f>
        <v>11613780.144114986</v>
      </c>
      <c r="S865" s="25">
        <f t="shared" ca="1" si="787"/>
        <v>26754983.417505745</v>
      </c>
    </row>
    <row r="866" spans="1:19" ht="15.75" customHeight="1" x14ac:dyDescent="0.3">
      <c r="A866" s="37">
        <v>77311</v>
      </c>
      <c r="B866" s="409">
        <f t="shared" ref="B866:C866" si="877">($A866-B$9)/365.25</f>
        <v>129.78781656399727</v>
      </c>
      <c r="C866" s="409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3525.4531757812501</v>
      </c>
      <c r="H866" s="25">
        <f>IF(B866&lt;62,0,'Combined Retirement'!$I$14)</f>
        <v>2192</v>
      </c>
      <c r="I866" s="25">
        <f>IF(C866&lt;62,0,'Combined Retirement'!$I$13)</f>
        <v>2420</v>
      </c>
      <c r="J866" s="25">
        <f t="shared" si="783"/>
        <v>6404.7404596389215</v>
      </c>
      <c r="K866" s="25">
        <f t="shared" si="784"/>
        <v>16520.094745597391</v>
      </c>
      <c r="L866" s="25"/>
      <c r="N866" s="25">
        <f>'Combined Retirement'!$C$18/12</f>
        <v>33932.660666666663</v>
      </c>
      <c r="O866" s="25">
        <f t="shared" si="785"/>
        <v>11007.82546143035</v>
      </c>
      <c r="P866" s="25">
        <f t="shared" si="786"/>
        <v>22924.835205236312</v>
      </c>
      <c r="Q866" s="25">
        <f t="array" aca="1" ref="Q866" ca="1">INDEX('Isaac 401k'!L:L,MATCH('Retirement Calculator'!A866,'Isaac 401k'!N:N,0),0)</f>
        <v>15197860.193484999</v>
      </c>
      <c r="R866" s="25">
        <f t="array" aca="1" ref="R866" ca="1">INDEX('Lorri 401b'!L:L,MATCH('Retirement Calculator'!A866,'Lorri 401b'!N:N,0),0)</f>
        <v>11645581.966241762</v>
      </c>
      <c r="S866" s="25">
        <f t="shared" ca="1" si="787"/>
        <v>26843442.159726761</v>
      </c>
    </row>
    <row r="867" spans="1:19" ht="15.75" customHeight="1" x14ac:dyDescent="0.3">
      <c r="A867" s="37">
        <v>77341</v>
      </c>
      <c r="B867" s="409">
        <f t="shared" ref="B867:C867" si="878">($A867-B$9)/365.25</f>
        <v>129.86995208761124</v>
      </c>
      <c r="C867" s="409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3525.4531757812501</v>
      </c>
      <c r="H867" s="25">
        <f>IF(B867&lt;62,0,'Combined Retirement'!$I$14)</f>
        <v>2192</v>
      </c>
      <c r="I867" s="25">
        <f>IF(C867&lt;62,0,'Combined Retirement'!$I$13)</f>
        <v>2420</v>
      </c>
      <c r="J867" s="25">
        <f t="shared" si="783"/>
        <v>6404.7404596389215</v>
      </c>
      <c r="K867" s="25">
        <f t="shared" si="784"/>
        <v>16520.094745597391</v>
      </c>
      <c r="L867" s="25"/>
      <c r="N867" s="25">
        <f>'Combined Retirement'!$C$18/12</f>
        <v>33932.660666666663</v>
      </c>
      <c r="O867" s="25">
        <f t="shared" si="785"/>
        <v>11007.82546143035</v>
      </c>
      <c r="P867" s="25">
        <f t="shared" si="786"/>
        <v>22924.835205236312</v>
      </c>
      <c r="Q867" s="25">
        <f t="array" aca="1" ref="Q867" ca="1">INDEX('Isaac 401k'!L:L,MATCH('Retirement Calculator'!A867,'Isaac 401k'!N:N,0),0)</f>
        <v>15254753.184079632</v>
      </c>
      <c r="R867" s="25">
        <f t="array" aca="1" ref="R867" ca="1">INDEX('Lorri 401b'!L:L,MATCH('Retirement Calculator'!A867,'Lorri 401b'!N:N,0),0)</f>
        <v>11677516.295960732</v>
      </c>
      <c r="S867" s="25">
        <f t="shared" ca="1" si="787"/>
        <v>26932269.480040364</v>
      </c>
    </row>
    <row r="868" spans="1:19" ht="15.75" customHeight="1" x14ac:dyDescent="0.3">
      <c r="A868" s="37">
        <v>77372</v>
      </c>
      <c r="B868" s="409">
        <f t="shared" ref="B868:C868" si="879">($A868-B$9)/365.25</f>
        <v>129.95482546201231</v>
      </c>
      <c r="C868" s="409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3525.4531757812501</v>
      </c>
      <c r="H868" s="25">
        <f>IF(B868&lt;62,0,'Combined Retirement'!$I$14)</f>
        <v>2192</v>
      </c>
      <c r="I868" s="25">
        <f>IF(C868&lt;62,0,'Combined Retirement'!$I$13)</f>
        <v>2420</v>
      </c>
      <c r="J868" s="25">
        <f t="shared" si="783"/>
        <v>6404.7404596389215</v>
      </c>
      <c r="K868" s="25">
        <f t="shared" si="784"/>
        <v>16520.094745597391</v>
      </c>
      <c r="L868" s="25"/>
      <c r="N868" s="25">
        <f>'Combined Retirement'!$C$18/12</f>
        <v>33932.660666666663</v>
      </c>
      <c r="O868" s="25">
        <f t="shared" si="785"/>
        <v>11007.82546143035</v>
      </c>
      <c r="P868" s="25">
        <f t="shared" si="786"/>
        <v>22924.835205236312</v>
      </c>
      <c r="Q868" s="25">
        <f t="array" aca="1" ref="Q868" ca="1">INDEX('Isaac 401k'!L:L,MATCH('Retirement Calculator'!A868,'Isaac 401k'!N:N,0),0)</f>
        <v>15311883.228801742</v>
      </c>
      <c r="R868" s="25">
        <f t="array" aca="1" ref="R868" ca="1">INDEX('Lorri 401b'!L:L,MATCH('Retirement Calculator'!A868,'Lorri 401b'!N:N,0),0)</f>
        <v>11709583.685386864</v>
      </c>
      <c r="S868" s="25">
        <f t="shared" ca="1" si="787"/>
        <v>27021466.914188609</v>
      </c>
    </row>
    <row r="869" spans="1:19" ht="15.75" customHeight="1" x14ac:dyDescent="0.3">
      <c r="A869" s="37">
        <v>77402</v>
      </c>
      <c r="B869" s="409">
        <f t="shared" ref="B869:C869" si="880">($A869-B$9)/365.25</f>
        <v>130.03696098562628</v>
      </c>
      <c r="C869" s="409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3525.4531757812501</v>
      </c>
      <c r="H869" s="25">
        <f>IF(B869&lt;62,0,'Combined Retirement'!$I$14)</f>
        <v>2192</v>
      </c>
      <c r="I869" s="25">
        <f>IF(C869&lt;62,0,'Combined Retirement'!$I$13)</f>
        <v>2420</v>
      </c>
      <c r="J869" s="25">
        <f t="shared" si="783"/>
        <v>6404.7404596389215</v>
      </c>
      <c r="K869" s="25">
        <f t="shared" si="784"/>
        <v>16520.094745597391</v>
      </c>
      <c r="L869" s="25"/>
      <c r="N869" s="25">
        <f>'Combined Retirement'!$C$18/12</f>
        <v>33932.660666666663</v>
      </c>
      <c r="O869" s="25">
        <f t="shared" si="785"/>
        <v>11007.82546143035</v>
      </c>
      <c r="P869" s="25">
        <f t="shared" si="786"/>
        <v>22924.835205236312</v>
      </c>
      <c r="Q869" s="25">
        <f t="array" aca="1" ref="Q869" ca="1">INDEX('Isaac 401k'!L:L,MATCH('Retirement Calculator'!A869,'Isaac 401k'!N:N,0),0)</f>
        <v>15369251.315376861</v>
      </c>
      <c r="R869" s="25">
        <f t="array" aca="1" ref="R869" ca="1">INDEX('Lorri 401b'!L:L,MATCH('Retirement Calculator'!A869,'Lorri 401b'!N:N,0),0)</f>
        <v>11741784.688935606</v>
      </c>
      <c r="S869" s="25">
        <f t="shared" ca="1" si="787"/>
        <v>27111036.004312467</v>
      </c>
    </row>
    <row r="870" spans="1:19" ht="15.75" customHeight="1" x14ac:dyDescent="0.3">
      <c r="A870" s="37">
        <v>77433</v>
      </c>
      <c r="B870" s="409">
        <f t="shared" ref="B870:C870" si="881">($A870-B$9)/365.25</f>
        <v>130.12183436002738</v>
      </c>
      <c r="C870" s="409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3525.4531757812501</v>
      </c>
      <c r="H870" s="25">
        <f>IF(B870&lt;62,0,'Combined Retirement'!$I$14)</f>
        <v>2192</v>
      </c>
      <c r="I870" s="25">
        <f>IF(C870&lt;62,0,'Combined Retirement'!$I$13)</f>
        <v>2420</v>
      </c>
      <c r="J870" s="25">
        <f t="shared" si="783"/>
        <v>6404.7404596389215</v>
      </c>
      <c r="K870" s="25">
        <f t="shared" si="784"/>
        <v>16520.094745597391</v>
      </c>
      <c r="L870" s="25"/>
      <c r="N870" s="25">
        <f>'Combined Retirement'!$C$18/12</f>
        <v>33932.660666666663</v>
      </c>
      <c r="O870" s="25">
        <f t="shared" si="785"/>
        <v>11007.82546143035</v>
      </c>
      <c r="P870" s="25">
        <f t="shared" si="786"/>
        <v>22924.835205236312</v>
      </c>
      <c r="Q870" s="25">
        <f t="array" aca="1" ref="Q870" ca="1">INDEX('Isaac 401k'!L:L,MATCH('Retirement Calculator'!A870,'Isaac 401k'!N:N,0),0)</f>
        <v>15426858.435646044</v>
      </c>
      <c r="R870" s="25">
        <f t="array" aca="1" ref="R870" ca="1">INDEX('Lorri 401b'!L:L,MATCH('Retirement Calculator'!A870,'Lorri 401b'!N:N,0),0)</f>
        <v>11774119.863332467</v>
      </c>
      <c r="S870" s="25">
        <f t="shared" ca="1" si="787"/>
        <v>27200978.298978511</v>
      </c>
    </row>
    <row r="871" spans="1:19" ht="15.75" customHeight="1" x14ac:dyDescent="0.3">
      <c r="A871" s="37">
        <v>77464</v>
      </c>
      <c r="B871" s="409">
        <f t="shared" ref="B871:C871" si="882">($A871-B$9)/365.25</f>
        <v>130.20670773442848</v>
      </c>
      <c r="C871" s="409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3525.4531757812501</v>
      </c>
      <c r="H871" s="25">
        <f>IF(B871&lt;62,0,'Combined Retirement'!$I$14)</f>
        <v>2192</v>
      </c>
      <c r="I871" s="25">
        <f>IF(C871&lt;62,0,'Combined Retirement'!$I$13)</f>
        <v>2420</v>
      </c>
      <c r="J871" s="25">
        <f t="shared" si="783"/>
        <v>6404.7404596389215</v>
      </c>
      <c r="K871" s="25">
        <f t="shared" si="784"/>
        <v>16520.094745597391</v>
      </c>
      <c r="L871" s="25"/>
      <c r="N871" s="25">
        <f>'Combined Retirement'!$C$18/12</f>
        <v>33932.660666666663</v>
      </c>
      <c r="O871" s="25">
        <f t="shared" si="785"/>
        <v>11007.82546143035</v>
      </c>
      <c r="P871" s="25">
        <f t="shared" si="786"/>
        <v>22924.835205236312</v>
      </c>
      <c r="Q871" s="25">
        <f t="array" aca="1" ref="Q871" ca="1">INDEX('Isaac 401k'!L:L,MATCH('Retirement Calculator'!A871,'Isaac 401k'!N:N,0),0)</f>
        <v>15484705.585583014</v>
      </c>
      <c r="R871" s="25">
        <f t="array" aca="1" ref="R871" ca="1">INDEX('Lorri 401b'!L:L,MATCH('Retirement Calculator'!A871,'Lorri 401b'!N:N,0),0)</f>
        <v>11806589.76762265</v>
      </c>
      <c r="S871" s="25">
        <f t="shared" ca="1" si="787"/>
        <v>27291295.353205666</v>
      </c>
    </row>
    <row r="872" spans="1:19" ht="15.75" customHeight="1" x14ac:dyDescent="0.3">
      <c r="A872" s="37">
        <v>77493</v>
      </c>
      <c r="B872" s="409">
        <f t="shared" ref="B872:C872" si="883">($A872-B$9)/365.25</f>
        <v>130.28610540725529</v>
      </c>
      <c r="C872" s="409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3525.4531757812501</v>
      </c>
      <c r="H872" s="25">
        <f>IF(B872&lt;62,0,'Combined Retirement'!$I$14)</f>
        <v>2192</v>
      </c>
      <c r="I872" s="25">
        <f>IF(C872&lt;62,0,'Combined Retirement'!$I$13)</f>
        <v>2420</v>
      </c>
      <c r="J872" s="25">
        <f t="shared" si="783"/>
        <v>6404.7404596389215</v>
      </c>
      <c r="K872" s="25">
        <f t="shared" si="784"/>
        <v>16520.094745597391</v>
      </c>
      <c r="L872" s="25"/>
      <c r="N872" s="25">
        <f>'Combined Retirement'!$C$18/12</f>
        <v>33932.660666666663</v>
      </c>
      <c r="O872" s="25">
        <f t="shared" si="785"/>
        <v>11007.82546143035</v>
      </c>
      <c r="P872" s="25">
        <f t="shared" si="786"/>
        <v>22924.835205236312</v>
      </c>
      <c r="Q872" s="25">
        <f t="array" aca="1" ref="Q872" ca="1">INDEX('Isaac 401k'!L:L,MATCH('Retirement Calculator'!A872,'Isaac 401k'!N:N,0),0)</f>
        <v>15542793.765311388</v>
      </c>
      <c r="R872" s="25">
        <f t="array" aca="1" ref="R872" ca="1">INDEX('Lorri 401b'!L:L,MATCH('Retirement Calculator'!A872,'Lorri 401b'!N:N,0),0)</f>
        <v>11839194.963180708</v>
      </c>
      <c r="S872" s="25">
        <f t="shared" ca="1" si="787"/>
        <v>27381988.728492096</v>
      </c>
    </row>
    <row r="873" spans="1:19" ht="15.75" customHeight="1" x14ac:dyDescent="0.3">
      <c r="A873" s="37">
        <v>77524</v>
      </c>
      <c r="B873" s="409">
        <f t="shared" ref="B873:C873" si="884">($A873-B$9)/365.25</f>
        <v>130.37097878165639</v>
      </c>
      <c r="C873" s="409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3525.4531757812501</v>
      </c>
      <c r="H873" s="25">
        <f>IF(B873&lt;62,0,'Combined Retirement'!$I$14)</f>
        <v>2192</v>
      </c>
      <c r="I873" s="25">
        <f>IF(C873&lt;62,0,'Combined Retirement'!$I$13)</f>
        <v>2420</v>
      </c>
      <c r="J873" s="25">
        <f t="shared" si="783"/>
        <v>6404.7404596389215</v>
      </c>
      <c r="K873" s="25">
        <f t="shared" si="784"/>
        <v>16520.094745597391</v>
      </c>
      <c r="L873" s="25"/>
      <c r="N873" s="25">
        <f>'Combined Retirement'!$C$18/12</f>
        <v>33932.660666666663</v>
      </c>
      <c r="O873" s="25">
        <f t="shared" si="785"/>
        <v>11007.82546143035</v>
      </c>
      <c r="P873" s="25">
        <f t="shared" si="786"/>
        <v>22924.835205236312</v>
      </c>
      <c r="Q873" s="25">
        <f t="array" aca="1" ref="Q873" ca="1">INDEX('Isaac 401k'!L:L,MATCH('Retirement Calculator'!A873,'Isaac 401k'!N:N,0),0)</f>
        <v>15601123.979121964</v>
      </c>
      <c r="R873" s="25">
        <f t="array" aca="1" ref="R873" ca="1">INDEX('Lorri 401b'!L:L,MATCH('Retirement Calculator'!A873,'Lorri 401b'!N:N,0),0)</f>
        <v>11871936.013720257</v>
      </c>
      <c r="S873" s="25">
        <f t="shared" ca="1" si="787"/>
        <v>27473059.99284222</v>
      </c>
    </row>
    <row r="874" spans="1:19" ht="15.75" customHeight="1" x14ac:dyDescent="0.3">
      <c r="A874" s="37">
        <v>77554</v>
      </c>
      <c r="B874" s="409">
        <f t="shared" ref="B874:C874" si="885">($A874-B$9)/365.25</f>
        <v>130.45311430527036</v>
      </c>
      <c r="C874" s="409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3525.4531757812501</v>
      </c>
      <c r="H874" s="25">
        <f>IF(B874&lt;62,0,'Combined Retirement'!$I$14)</f>
        <v>2192</v>
      </c>
      <c r="I874" s="25">
        <f>IF(C874&lt;62,0,'Combined Retirement'!$I$13)</f>
        <v>2420</v>
      </c>
      <c r="J874" s="25">
        <f t="shared" si="783"/>
        <v>6404.7404596389215</v>
      </c>
      <c r="K874" s="25">
        <f t="shared" si="784"/>
        <v>16520.094745597391</v>
      </c>
      <c r="L874" s="25"/>
      <c r="N874" s="25">
        <f>'Combined Retirement'!$C$18/12</f>
        <v>33932.660666666663</v>
      </c>
      <c r="O874" s="25">
        <f t="shared" si="785"/>
        <v>11007.82546143035</v>
      </c>
      <c r="P874" s="25">
        <f t="shared" si="786"/>
        <v>22924.835205236312</v>
      </c>
      <c r="Q874" s="25">
        <f t="array" aca="1" ref="Q874" ca="1">INDEX('Isaac 401k'!L:L,MATCH('Retirement Calculator'!A874,'Isaac 401k'!N:N,0),0)</f>
        <v>15659697.235490084</v>
      </c>
      <c r="R874" s="25">
        <f t="array" aca="1" ref="R874" ca="1">INDEX('Lorri 401b'!L:L,MATCH('Retirement Calculator'!A874,'Lorri 401b'!N:N,0),0)</f>
        <v>11904813.485303722</v>
      </c>
      <c r="S874" s="25">
        <f t="shared" ca="1" si="787"/>
        <v>27564510.720793806</v>
      </c>
    </row>
    <row r="875" spans="1:19" ht="15.75" customHeight="1" x14ac:dyDescent="0.3">
      <c r="A875" s="37">
        <v>77585</v>
      </c>
      <c r="B875" s="409">
        <f t="shared" ref="B875:C875" si="886">($A875-B$9)/365.25</f>
        <v>130.53798767967146</v>
      </c>
      <c r="C875" s="409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3525.4531757812501</v>
      </c>
      <c r="H875" s="25">
        <f>IF(B875&lt;62,0,'Combined Retirement'!$I$14)</f>
        <v>2192</v>
      </c>
      <c r="I875" s="25">
        <f>IF(C875&lt;62,0,'Combined Retirement'!$I$13)</f>
        <v>2420</v>
      </c>
      <c r="J875" s="25">
        <f t="shared" si="783"/>
        <v>6404.7404596389215</v>
      </c>
      <c r="K875" s="25">
        <f t="shared" si="784"/>
        <v>16520.094745597391</v>
      </c>
      <c r="L875" s="25"/>
      <c r="N875" s="25">
        <f>'Combined Retirement'!$C$18/12</f>
        <v>33932.660666666663</v>
      </c>
      <c r="O875" s="25">
        <f t="shared" si="785"/>
        <v>11007.82546143035</v>
      </c>
      <c r="P875" s="25">
        <f t="shared" si="786"/>
        <v>22924.835205236312</v>
      </c>
      <c r="Q875" s="25">
        <f t="array" aca="1" ref="Q875" ca="1">INDEX('Isaac 401k'!L:L,MATCH('Retirement Calculator'!A875,'Isaac 401k'!N:N,0),0)</f>
        <v>15718514.547093071</v>
      </c>
      <c r="R875" s="25">
        <f t="array" aca="1" ref="R875" ca="1">INDEX('Lorri 401b'!L:L,MATCH('Retirement Calculator'!A875,'Lorri 401b'!N:N,0),0)</f>
        <v>11937827.946352117</v>
      </c>
      <c r="S875" s="25">
        <f t="shared" ca="1" si="787"/>
        <v>27656342.493445188</v>
      </c>
    </row>
    <row r="876" spans="1:19" ht="15.75" customHeight="1" x14ac:dyDescent="0.3">
      <c r="A876" s="37">
        <v>77615</v>
      </c>
      <c r="B876" s="409">
        <f t="shared" ref="B876:C876" si="887">($A876-B$9)/365.25</f>
        <v>130.62012320328543</v>
      </c>
      <c r="C876" s="409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3525.4531757812501</v>
      </c>
      <c r="H876" s="25">
        <f>IF(B876&lt;62,0,'Combined Retirement'!$I$14)</f>
        <v>2192</v>
      </c>
      <c r="I876" s="25">
        <f>IF(C876&lt;62,0,'Combined Retirement'!$I$13)</f>
        <v>2420</v>
      </c>
      <c r="J876" s="25">
        <f t="shared" si="783"/>
        <v>6404.7404596389215</v>
      </c>
      <c r="K876" s="25">
        <f t="shared" si="784"/>
        <v>16520.094745597391</v>
      </c>
      <c r="L876" s="25"/>
      <c r="N876" s="25">
        <f>'Combined Retirement'!$C$18/12</f>
        <v>33932.660666666663</v>
      </c>
      <c r="O876" s="25">
        <f t="shared" si="785"/>
        <v>11007.82546143035</v>
      </c>
      <c r="P876" s="25">
        <f t="shared" si="786"/>
        <v>22924.835205236312</v>
      </c>
      <c r="Q876" s="25">
        <f t="array" aca="1" ref="Q876" ca="1">INDEX('Isaac 401k'!L:L,MATCH('Retirement Calculator'!A876,'Isaac 401k'!N:N,0),0)</f>
        <v>15777576.930827737</v>
      </c>
      <c r="R876" s="25">
        <f t="array" aca="1" ref="R876" ca="1">INDEX('Lorri 401b'!L:L,MATCH('Retirement Calculator'!A876,'Lorri 401b'!N:N,0),0)</f>
        <v>11970979.96765488</v>
      </c>
      <c r="S876" s="25">
        <f t="shared" ca="1" si="787"/>
        <v>27748556.898482617</v>
      </c>
    </row>
    <row r="877" spans="1:19" ht="15.75" customHeight="1" x14ac:dyDescent="0.3">
      <c r="A877" s="37">
        <v>77646</v>
      </c>
      <c r="B877" s="409">
        <f t="shared" ref="B877:C877" si="888">($A877-B$9)/365.25</f>
        <v>130.70499657768653</v>
      </c>
      <c r="C877" s="409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3525.4531757812501</v>
      </c>
      <c r="H877" s="25">
        <f>IF(B877&lt;62,0,'Combined Retirement'!$I$14)</f>
        <v>2192</v>
      </c>
      <c r="I877" s="25">
        <f>IF(C877&lt;62,0,'Combined Retirement'!$I$13)</f>
        <v>2420</v>
      </c>
      <c r="J877" s="25">
        <f t="shared" si="783"/>
        <v>6404.7404596389215</v>
      </c>
      <c r="K877" s="25">
        <f t="shared" si="784"/>
        <v>16520.094745597391</v>
      </c>
      <c r="L877" s="25"/>
      <c r="N877" s="25">
        <f>'Combined Retirement'!$C$18/12</f>
        <v>33932.660666666663</v>
      </c>
      <c r="O877" s="25">
        <f t="shared" si="785"/>
        <v>11007.82546143035</v>
      </c>
      <c r="P877" s="25">
        <f t="shared" si="786"/>
        <v>22924.835205236312</v>
      </c>
      <c r="Q877" s="25">
        <f t="array" aca="1" ref="Q877" ca="1">INDEX('Isaac 401k'!L:L,MATCH('Retirement Calculator'!A877,'Isaac 401k'!N:N,0),0)</f>
        <v>15836885.407827964</v>
      </c>
      <c r="R877" s="25">
        <f t="array" aca="1" ref="R877" ca="1">INDEX('Lorri 401b'!L:L,MATCH('Retirement Calculator'!A877,'Lorri 401b'!N:N,0),0)</f>
        <v>12004270.122379739</v>
      </c>
      <c r="S877" s="25">
        <f t="shared" ca="1" si="787"/>
        <v>27841155.530207701</v>
      </c>
    </row>
    <row r="878" spans="1:19" ht="15.75" customHeight="1" x14ac:dyDescent="0.3">
      <c r="A878" s="37">
        <v>77677</v>
      </c>
      <c r="B878" s="409">
        <f t="shared" ref="B878:C878" si="889">($A878-B$9)/365.25</f>
        <v>130.7898699520876</v>
      </c>
      <c r="C878" s="409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3525.4531757812501</v>
      </c>
      <c r="H878" s="25">
        <f>IF(B878&lt;62,0,'Combined Retirement'!$I$14)</f>
        <v>2192</v>
      </c>
      <c r="I878" s="25">
        <f>IF(C878&lt;62,0,'Combined Retirement'!$I$13)</f>
        <v>2420</v>
      </c>
      <c r="J878" s="25">
        <f t="shared" si="783"/>
        <v>6404.7404596389215</v>
      </c>
      <c r="K878" s="25">
        <f t="shared" si="784"/>
        <v>16520.094745597391</v>
      </c>
      <c r="L878" s="25"/>
      <c r="N878" s="25">
        <f>'Combined Retirement'!$C$18/12</f>
        <v>33932.660666666663</v>
      </c>
      <c r="O878" s="25">
        <f t="shared" si="785"/>
        <v>11007.82546143035</v>
      </c>
      <c r="P878" s="25">
        <f t="shared" si="786"/>
        <v>22924.835205236312</v>
      </c>
      <c r="Q878" s="25">
        <f t="array" aca="1" ref="Q878" ca="1">INDEX('Isaac 401k'!L:L,MATCH('Retirement Calculator'!A878,'Isaac 401k'!N:N,0),0)</f>
        <v>15896441.003482359</v>
      </c>
      <c r="R878" s="25">
        <f t="array" aca="1" ref="R878" ca="1">INDEX('Lorri 401b'!L:L,MATCH('Retirement Calculator'!A878,'Lorri 401b'!N:N,0),0)</f>
        <v>12037698.986082617</v>
      </c>
      <c r="S878" s="25">
        <f t="shared" ca="1" si="787"/>
        <v>27934139.989564978</v>
      </c>
    </row>
    <row r="879" spans="1:19" ht="15.75" customHeight="1" x14ac:dyDescent="0.3">
      <c r="A879" s="37">
        <v>77707</v>
      </c>
      <c r="B879" s="409">
        <f t="shared" ref="B879:C879" si="890">($A879-B$9)/365.25</f>
        <v>130.87200547570157</v>
      </c>
      <c r="C879" s="409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3525.4531757812501</v>
      </c>
      <c r="H879" s="25">
        <f>IF(B879&lt;62,0,'Combined Retirement'!$I$14)</f>
        <v>2192</v>
      </c>
      <c r="I879" s="25">
        <f>IF(C879&lt;62,0,'Combined Retirement'!$I$13)</f>
        <v>2420</v>
      </c>
      <c r="J879" s="25">
        <f t="shared" si="783"/>
        <v>6404.7404596389215</v>
      </c>
      <c r="K879" s="25">
        <f t="shared" si="784"/>
        <v>16520.094745597391</v>
      </c>
      <c r="L879" s="25"/>
      <c r="N879" s="25">
        <f>'Combined Retirement'!$C$18/12</f>
        <v>33932.660666666663</v>
      </c>
      <c r="O879" s="25">
        <f t="shared" si="785"/>
        <v>11007.82546143035</v>
      </c>
      <c r="P879" s="25">
        <f t="shared" si="786"/>
        <v>22924.835205236312</v>
      </c>
      <c r="Q879" s="25">
        <f t="array" aca="1" ref="Q879" ca="1">INDEX('Isaac 401k'!L:L,MATCH('Retirement Calculator'!A879,'Isaac 401k'!N:N,0),0)</f>
        <v>15956244.74745198</v>
      </c>
      <c r="R879" s="25">
        <f t="array" aca="1" ref="R879" ca="1">INDEX('Lorri 401b'!L:L,MATCH('Retirement Calculator'!A879,'Lorri 401b'!N:N,0),0)</f>
        <v>12071267.136717591</v>
      </c>
      <c r="S879" s="25">
        <f t="shared" ca="1" si="787"/>
        <v>28027511.884169571</v>
      </c>
    </row>
    <row r="880" spans="1:19" ht="15.75" customHeight="1" x14ac:dyDescent="0.3">
      <c r="A880" s="37">
        <v>77738</v>
      </c>
      <c r="B880" s="409">
        <f t="shared" ref="B880:C880" si="891">($A880-B$9)/365.25</f>
        <v>130.95687885010267</v>
      </c>
      <c r="C880" s="409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3525.4531757812501</v>
      </c>
      <c r="H880" s="25">
        <f>IF(B880&lt;62,0,'Combined Retirement'!$I$14)</f>
        <v>2192</v>
      </c>
      <c r="I880" s="25">
        <f>IF(C880&lt;62,0,'Combined Retirement'!$I$13)</f>
        <v>2420</v>
      </c>
      <c r="J880" s="25">
        <f t="shared" si="783"/>
        <v>6404.7404596389215</v>
      </c>
      <c r="K880" s="25">
        <f t="shared" si="784"/>
        <v>16520.094745597391</v>
      </c>
      <c r="L880" s="25"/>
      <c r="N880" s="25">
        <f>'Combined Retirement'!$C$18/12</f>
        <v>33932.660666666663</v>
      </c>
      <c r="O880" s="25">
        <f t="shared" si="785"/>
        <v>11007.82546143035</v>
      </c>
      <c r="P880" s="25">
        <f t="shared" si="786"/>
        <v>22924.835205236312</v>
      </c>
      <c r="Q880" s="25">
        <f t="array" aca="1" ref="Q880" ca="1">INDEX('Isaac 401k'!L:L,MATCH('Retirement Calculator'!A880,'Isaac 401k'!N:N,0),0)</f>
        <v>16016297.673688142</v>
      </c>
      <c r="R880" s="25">
        <f t="array" aca="1" ref="R880" ca="1">INDEX('Lorri 401b'!L:L,MATCH('Retirement Calculator'!A880,'Lorri 401b'!N:N,0),0)</f>
        <v>12104975.154646877</v>
      </c>
      <c r="S880" s="25">
        <f t="shared" ca="1" si="787"/>
        <v>28121272.828335017</v>
      </c>
    </row>
    <row r="881" spans="1:19" ht="15.75" customHeight="1" x14ac:dyDescent="0.3">
      <c r="A881" s="37">
        <v>77768</v>
      </c>
      <c r="B881" s="409">
        <f t="shared" ref="B881:C881" si="892">($A881-B$9)/365.25</f>
        <v>131.03901437371664</v>
      </c>
      <c r="C881" s="409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3525.4531757812501</v>
      </c>
      <c r="H881" s="25">
        <f>IF(B881&lt;62,0,'Combined Retirement'!$I$14)</f>
        <v>2192</v>
      </c>
      <c r="I881" s="25">
        <f>IF(C881&lt;62,0,'Combined Retirement'!$I$13)</f>
        <v>2420</v>
      </c>
      <c r="J881" s="25">
        <f t="shared" si="783"/>
        <v>6404.7404596389215</v>
      </c>
      <c r="K881" s="25">
        <f t="shared" si="784"/>
        <v>16520.094745597391</v>
      </c>
      <c r="L881" s="25"/>
      <c r="N881" s="25">
        <f>'Combined Retirement'!$C$18/12</f>
        <v>33932.660666666663</v>
      </c>
      <c r="O881" s="25">
        <f t="shared" si="785"/>
        <v>11007.82546143035</v>
      </c>
      <c r="P881" s="25">
        <f t="shared" si="786"/>
        <v>22924.835205236312</v>
      </c>
      <c r="Q881" s="25">
        <f t="array" aca="1" ref="Q881" ca="1">INDEX('Isaac 401k'!L:L,MATCH('Retirement Calculator'!A881,'Isaac 401k'!N:N,0),0)</f>
        <v>16076600.820450287</v>
      </c>
      <c r="R881" s="25">
        <f t="array" aca="1" ref="R881" ca="1">INDEX('Lorri 401b'!L:L,MATCH('Retirement Calculator'!A881,'Lorri 401b'!N:N,0),0)</f>
        <v>12138823.622650869</v>
      </c>
      <c r="S881" s="25">
        <f t="shared" ca="1" si="787"/>
        <v>28215424.443101157</v>
      </c>
    </row>
    <row r="882" spans="1:19" ht="15.75" customHeight="1" x14ac:dyDescent="0.3">
      <c r="A882" s="37">
        <v>77799</v>
      </c>
      <c r="B882" s="409">
        <f t="shared" ref="B882:C882" si="893">($A882-B$9)/365.25</f>
        <v>131.12388774811774</v>
      </c>
      <c r="C882" s="409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3525.4531757812501</v>
      </c>
      <c r="H882" s="25">
        <f>IF(B882&lt;62,0,'Combined Retirement'!$I$14)</f>
        <v>2192</v>
      </c>
      <c r="I882" s="25">
        <f>IF(C882&lt;62,0,'Combined Retirement'!$I$13)</f>
        <v>2420</v>
      </c>
      <c r="J882" s="25">
        <f t="shared" si="783"/>
        <v>6404.7404596389215</v>
      </c>
      <c r="K882" s="25">
        <f t="shared" si="784"/>
        <v>16520.094745597391</v>
      </c>
      <c r="L882" s="25"/>
      <c r="N882" s="25">
        <f>'Combined Retirement'!$C$18/12</f>
        <v>33932.660666666663</v>
      </c>
      <c r="O882" s="25">
        <f t="shared" si="785"/>
        <v>11007.82546143035</v>
      </c>
      <c r="P882" s="25">
        <f t="shared" si="786"/>
        <v>22924.835205236312</v>
      </c>
      <c r="Q882" s="25">
        <f t="array" aca="1" ref="Q882" ca="1">INDEX('Isaac 401k'!L:L,MATCH('Retirement Calculator'!A882,'Isaac 401k'!N:N,0),0)</f>
        <v>16137155.230323942</v>
      </c>
      <c r="R882" s="25">
        <f t="array" aca="1" ref="R882" ca="1">INDEX('Lorri 401b'!L:L,MATCH('Retirement Calculator'!A882,'Lorri 401b'!N:N,0),0)</f>
        <v>12172813.125938211</v>
      </c>
      <c r="S882" s="25">
        <f t="shared" ca="1" si="787"/>
        <v>28309968.356262155</v>
      </c>
    </row>
    <row r="883" spans="1:19" ht="15.75" customHeight="1" x14ac:dyDescent="0.3">
      <c r="A883" s="37">
        <v>77830</v>
      </c>
      <c r="B883" s="409">
        <f t="shared" ref="B883:C883" si="894">($A883-B$9)/365.25</f>
        <v>131.20876112251884</v>
      </c>
      <c r="C883" s="409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3525.4531757812501</v>
      </c>
      <c r="H883" s="25">
        <f>IF(B883&lt;62,0,'Combined Retirement'!$I$14)</f>
        <v>2192</v>
      </c>
      <c r="I883" s="25">
        <f>IF(C883&lt;62,0,'Combined Retirement'!$I$13)</f>
        <v>2420</v>
      </c>
      <c r="J883" s="25">
        <f t="shared" si="783"/>
        <v>6404.7404596389215</v>
      </c>
      <c r="K883" s="25">
        <f t="shared" si="784"/>
        <v>16520.094745597391</v>
      </c>
      <c r="L883" s="25"/>
      <c r="N883" s="25">
        <f>'Combined Retirement'!$C$18/12</f>
        <v>33932.660666666663</v>
      </c>
      <c r="O883" s="25">
        <f t="shared" si="785"/>
        <v>11007.82546143035</v>
      </c>
      <c r="P883" s="25">
        <f t="shared" si="786"/>
        <v>22924.835205236312</v>
      </c>
      <c r="Q883" s="25">
        <f t="array" aca="1" ref="Q883" ca="1">INDEX('Isaac 401k'!L:L,MATCH('Retirement Calculator'!A883,'Isaac 401k'!N:N,0),0)</f>
        <v>16197961.950238738</v>
      </c>
      <c r="R883" s="25">
        <f t="array" aca="1" ref="R883" ca="1">INDEX('Lorri 401b'!L:L,MATCH('Retirement Calculator'!A883,'Lorri 401b'!N:N,0),0)</f>
        <v>12206944.252155917</v>
      </c>
      <c r="S883" s="25">
        <f t="shared" ca="1" si="787"/>
        <v>28404906.202394657</v>
      </c>
    </row>
    <row r="884" spans="1:19" ht="15.75" customHeight="1" x14ac:dyDescent="0.3">
      <c r="A884" s="37">
        <v>77858</v>
      </c>
      <c r="B884" s="409">
        <f t="shared" ref="B884:C884" si="895">($A884-B$9)/365.25</f>
        <v>131.28542094455852</v>
      </c>
      <c r="C884" s="409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3525.4531757812501</v>
      </c>
      <c r="H884" s="25">
        <f>IF(B884&lt;62,0,'Combined Retirement'!$I$14)</f>
        <v>2192</v>
      </c>
      <c r="I884" s="25">
        <f>IF(C884&lt;62,0,'Combined Retirement'!$I$13)</f>
        <v>2420</v>
      </c>
      <c r="J884" s="25">
        <f t="shared" si="783"/>
        <v>6404.7404596389215</v>
      </c>
      <c r="K884" s="25">
        <f t="shared" si="784"/>
        <v>16520.094745597391</v>
      </c>
      <c r="L884" s="25"/>
      <c r="N884" s="25">
        <f>'Combined Retirement'!$C$18/12</f>
        <v>33932.660666666663</v>
      </c>
      <c r="O884" s="25">
        <f t="shared" si="785"/>
        <v>11007.82546143035</v>
      </c>
      <c r="P884" s="25">
        <f t="shared" si="786"/>
        <v>22924.835205236312</v>
      </c>
      <c r="Q884" s="25">
        <f t="array" aca="1" ref="Q884" ca="1">INDEX('Isaac 401k'!L:L,MATCH('Retirement Calculator'!A884,'Isaac 401k'!N:N,0),0)</f>
        <v>16259022.031486511</v>
      </c>
      <c r="R884" s="25">
        <f t="array" aca="1" ref="R884" ca="1">INDEX('Lorri 401b'!L:L,MATCH('Retirement Calculator'!A884,'Lorri 401b'!N:N,0),0)</f>
        <v>12241217.59139953</v>
      </c>
      <c r="S884" s="25">
        <f t="shared" ca="1" si="787"/>
        <v>28500239.622886039</v>
      </c>
    </row>
    <row r="885" spans="1:19" ht="15.75" customHeight="1" x14ac:dyDescent="0.3">
      <c r="A885" s="37">
        <v>77889</v>
      </c>
      <c r="B885" s="409">
        <f t="shared" ref="B885:C885" si="896">($A885-B$9)/365.25</f>
        <v>131.37029431895962</v>
      </c>
      <c r="C885" s="409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3525.4531757812501</v>
      </c>
      <c r="H885" s="25">
        <f>IF(B885&lt;62,0,'Combined Retirement'!$I$14)</f>
        <v>2192</v>
      </c>
      <c r="I885" s="25">
        <f>IF(C885&lt;62,0,'Combined Retirement'!$I$13)</f>
        <v>2420</v>
      </c>
      <c r="J885" s="25">
        <f t="shared" si="783"/>
        <v>6404.7404596389215</v>
      </c>
      <c r="K885" s="25">
        <f t="shared" si="784"/>
        <v>16520.094745597391</v>
      </c>
      <c r="L885" s="25"/>
      <c r="N885" s="25">
        <f>'Combined Retirement'!$C$18/12</f>
        <v>33932.660666666663</v>
      </c>
      <c r="O885" s="25">
        <f t="shared" si="785"/>
        <v>11007.82546143035</v>
      </c>
      <c r="P885" s="25">
        <f t="shared" si="786"/>
        <v>22924.835205236312</v>
      </c>
      <c r="Q885" s="25">
        <f t="array" aca="1" ref="Q885" ca="1">INDEX('Isaac 401k'!L:L,MATCH('Retirement Calculator'!A885,'Isaac 401k'!N:N,0),0)</f>
        <v>16320336.529739484</v>
      </c>
      <c r="R885" s="25">
        <f t="array" aca="1" ref="R885" ca="1">INDEX('Lorri 401b'!L:L,MATCH('Retirement Calculator'!A885,'Lorri 401b'!N:N,0),0)</f>
        <v>12275633.736223325</v>
      </c>
      <c r="S885" s="25">
        <f t="shared" ca="1" si="787"/>
        <v>28595970.265962809</v>
      </c>
    </row>
    <row r="886" spans="1:19" ht="15.75" customHeight="1" x14ac:dyDescent="0.3">
      <c r="A886" s="37">
        <v>77919</v>
      </c>
      <c r="B886" s="409">
        <f t="shared" ref="B886:C886" si="897">($A886-B$9)/365.25</f>
        <v>131.45242984257359</v>
      </c>
      <c r="C886" s="409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3525.4531757812501</v>
      </c>
      <c r="H886" s="25">
        <f>IF(B886&lt;62,0,'Combined Retirement'!$I$14)</f>
        <v>2192</v>
      </c>
      <c r="I886" s="25">
        <f>IF(C886&lt;62,0,'Combined Retirement'!$I$13)</f>
        <v>2420</v>
      </c>
      <c r="J886" s="25">
        <f t="shared" si="783"/>
        <v>6404.7404596389215</v>
      </c>
      <c r="K886" s="25">
        <f t="shared" si="784"/>
        <v>16520.094745597391</v>
      </c>
      <c r="L886" s="25"/>
      <c r="N886" s="25">
        <f>'Combined Retirement'!$C$18/12</f>
        <v>33932.660666666663</v>
      </c>
      <c r="O886" s="25">
        <f t="shared" si="785"/>
        <v>11007.82546143035</v>
      </c>
      <c r="P886" s="25">
        <f t="shared" si="786"/>
        <v>22924.835205236312</v>
      </c>
      <c r="Q886" s="25">
        <f t="array" aca="1" ref="Q886" ca="1">INDEX('Isaac 401k'!L:L,MATCH('Retirement Calculator'!A886,'Isaac 401k'!N:N,0),0)</f>
        <v>16381906.505068511</v>
      </c>
      <c r="R886" s="25">
        <f t="array" aca="1" ref="R886" ca="1">INDEX('Lorri 401b'!L:L,MATCH('Retirement Calculator'!A886,'Lorri 401b'!N:N,0),0)</f>
        <v>12310193.281650553</v>
      </c>
      <c r="S886" s="25">
        <f t="shared" ca="1" si="787"/>
        <v>28692099.786719061</v>
      </c>
    </row>
    <row r="887" spans="1:19" ht="15.75" customHeight="1" x14ac:dyDescent="0.3">
      <c r="A887" s="37">
        <v>77950</v>
      </c>
      <c r="B887" s="409">
        <f t="shared" ref="B887:C887" si="898">($A887-B$9)/365.25</f>
        <v>131.53730321697466</v>
      </c>
      <c r="C887" s="409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3525.4531757812501</v>
      </c>
      <c r="H887" s="25">
        <f>IF(B887&lt;62,0,'Combined Retirement'!$I$14)</f>
        <v>2192</v>
      </c>
      <c r="I887" s="25">
        <f>IF(C887&lt;62,0,'Combined Retirement'!$I$13)</f>
        <v>2420</v>
      </c>
      <c r="J887" s="25">
        <f t="shared" si="783"/>
        <v>6404.7404596389215</v>
      </c>
      <c r="K887" s="25">
        <f t="shared" si="784"/>
        <v>16520.094745597391</v>
      </c>
      <c r="L887" s="25"/>
      <c r="N887" s="25">
        <f>'Combined Retirement'!$C$18/12</f>
        <v>33932.660666666663</v>
      </c>
      <c r="O887" s="25">
        <f t="shared" si="785"/>
        <v>11007.82546143035</v>
      </c>
      <c r="P887" s="25">
        <f t="shared" si="786"/>
        <v>22924.835205236312</v>
      </c>
      <c r="Q887" s="25">
        <f t="array" aca="1" ref="Q887" ca="1">INDEX('Isaac 401k'!L:L,MATCH('Retirement Calculator'!A887,'Isaac 401k'!N:N,0),0)</f>
        <v>16443733.021961408</v>
      </c>
      <c r="R887" s="25">
        <f t="array" aca="1" ref="R887" ca="1">INDEX('Lorri 401b'!L:L,MATCH('Retirement Calculator'!A887,'Lorri 401b'!N:N,0),0)</f>
        <v>12344896.825183727</v>
      </c>
      <c r="S887" s="25">
        <f t="shared" ca="1" si="787"/>
        <v>28788629.847145133</v>
      </c>
    </row>
    <row r="888" spans="1:19" ht="15.75" customHeight="1" x14ac:dyDescent="0.3">
      <c r="A888" s="37">
        <v>77980</v>
      </c>
      <c r="B888" s="409">
        <f t="shared" ref="B888:C888" si="899">($A888-B$9)/365.25</f>
        <v>131.61943874058863</v>
      </c>
      <c r="C888" s="409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3525.4531757812501</v>
      </c>
      <c r="H888" s="25">
        <f>IF(B888&lt;62,0,'Combined Retirement'!$I$14)</f>
        <v>2192</v>
      </c>
      <c r="I888" s="25">
        <f>IF(C888&lt;62,0,'Combined Retirement'!$I$13)</f>
        <v>2420</v>
      </c>
      <c r="J888" s="25">
        <f t="shared" si="783"/>
        <v>6404.7404596389215</v>
      </c>
      <c r="K888" s="25">
        <f t="shared" si="784"/>
        <v>16520.094745597391</v>
      </c>
      <c r="L888" s="25"/>
      <c r="N888" s="25">
        <f>'Combined Retirement'!$C$18/12</f>
        <v>33932.660666666663</v>
      </c>
      <c r="O888" s="25">
        <f t="shared" si="785"/>
        <v>11007.82546143035</v>
      </c>
      <c r="P888" s="25">
        <f t="shared" si="786"/>
        <v>22924.835205236312</v>
      </c>
      <c r="Q888" s="25">
        <f t="array" aca="1" ref="Q888" ca="1">INDEX('Isaac 401k'!L:L,MATCH('Retirement Calculator'!A888,'Isaac 401k'!N:N,0),0)</f>
        <v>16505817.14934136</v>
      </c>
      <c r="R888" s="25">
        <f t="array" aca="1" ref="R888" ca="1">INDEX('Lorri 401b'!L:L,MATCH('Retirement Calculator'!A888,'Lorri 401b'!N:N,0),0)</f>
        <v>12379744.966814956</v>
      </c>
      <c r="S888" s="25">
        <f t="shared" ca="1" si="787"/>
        <v>28885562.116156317</v>
      </c>
    </row>
    <row r="889" spans="1:19" ht="15.75" customHeight="1" x14ac:dyDescent="0.3">
      <c r="A889" s="37">
        <v>78011</v>
      </c>
      <c r="B889" s="409">
        <f t="shared" ref="B889:C889" si="900">($A889-B$9)/365.25</f>
        <v>131.70431211498973</v>
      </c>
      <c r="C889" s="409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3525.4531757812501</v>
      </c>
      <c r="H889" s="25">
        <f>IF(B889&lt;62,0,'Combined Retirement'!$I$14)</f>
        <v>2192</v>
      </c>
      <c r="I889" s="25">
        <f>IF(C889&lt;62,0,'Combined Retirement'!$I$13)</f>
        <v>2420</v>
      </c>
      <c r="J889" s="25">
        <f t="shared" si="783"/>
        <v>6404.7404596389215</v>
      </c>
      <c r="K889" s="25">
        <f t="shared" si="784"/>
        <v>16520.094745597391</v>
      </c>
      <c r="L889" s="25"/>
      <c r="N889" s="25">
        <f>'Combined Retirement'!$C$18/12</f>
        <v>33932.660666666663</v>
      </c>
      <c r="O889" s="25">
        <f t="shared" si="785"/>
        <v>11007.82546143035</v>
      </c>
      <c r="P889" s="25">
        <f t="shared" si="786"/>
        <v>22924.835205236312</v>
      </c>
      <c r="Q889" s="25">
        <f t="array" aca="1" ref="Q889" ca="1">INDEX('Isaac 401k'!L:L,MATCH('Retirement Calculator'!A889,'Isaac 401k'!N:N,0),0)</f>
        <v>16568159.960585395</v>
      </c>
      <c r="R889" s="25">
        <f t="array" aca="1" ref="R889" ca="1">INDEX('Lorri 401b'!L:L,MATCH('Retirement Calculator'!A889,'Lorri 401b'!N:N,0),0)</f>
        <v>12414738.309036314</v>
      </c>
      <c r="S889" s="25">
        <f t="shared" ca="1" si="787"/>
        <v>28982898.269621707</v>
      </c>
    </row>
    <row r="890" spans="1:19" ht="15.75" customHeight="1" x14ac:dyDescent="0.3">
      <c r="A890" s="37">
        <v>78042</v>
      </c>
      <c r="B890" s="409">
        <f t="shared" ref="B890:C890" si="901">($A890-B$9)/365.25</f>
        <v>131.78918548939083</v>
      </c>
      <c r="C890" s="409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3525.4531757812501</v>
      </c>
      <c r="H890" s="25">
        <f>IF(B890&lt;62,0,'Combined Retirement'!$I$14)</f>
        <v>2192</v>
      </c>
      <c r="I890" s="25">
        <f>IF(C890&lt;62,0,'Combined Retirement'!$I$13)</f>
        <v>2420</v>
      </c>
      <c r="J890" s="25">
        <f t="shared" si="783"/>
        <v>6404.7404596389215</v>
      </c>
      <c r="K890" s="25">
        <f t="shared" si="784"/>
        <v>16520.094745597391</v>
      </c>
      <c r="L890" s="25"/>
      <c r="N890" s="25">
        <f>'Combined Retirement'!$C$18/12</f>
        <v>33932.660666666663</v>
      </c>
      <c r="O890" s="25">
        <f t="shared" si="785"/>
        <v>11007.82546143035</v>
      </c>
      <c r="P890" s="25">
        <f t="shared" si="786"/>
        <v>22924.835205236312</v>
      </c>
      <c r="Q890" s="25">
        <f t="array" aca="1" ref="Q890" ca="1">INDEX('Isaac 401k'!L:L,MATCH('Retirement Calculator'!A890,'Isaac 401k'!N:N,0),0)</f>
        <v>16630762.533542946</v>
      </c>
      <c r="R890" s="25">
        <f t="array" aca="1" ref="R890" ca="1">INDEX('Lorri 401b'!L:L,MATCH('Retirement Calculator'!A890,'Lorri 401b'!N:N,0),0)</f>
        <v>12449877.456850262</v>
      </c>
      <c r="S890" s="25">
        <f t="shared" ca="1" si="787"/>
        <v>29080639.990393206</v>
      </c>
    </row>
    <row r="891" spans="1:19" ht="15.75" customHeight="1" x14ac:dyDescent="0.3">
      <c r="A891" s="37">
        <v>78072</v>
      </c>
      <c r="B891" s="409">
        <f t="shared" ref="B891:C891" si="902">($A891-B$9)/365.25</f>
        <v>131.8713210130048</v>
      </c>
      <c r="C891" s="409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3525.4531757812501</v>
      </c>
      <c r="H891" s="25">
        <f>IF(B891&lt;62,0,'Combined Retirement'!$I$14)</f>
        <v>2192</v>
      </c>
      <c r="I891" s="25">
        <f>IF(C891&lt;62,0,'Combined Retirement'!$I$13)</f>
        <v>2420</v>
      </c>
      <c r="J891" s="25">
        <f t="shared" si="783"/>
        <v>6404.7404596389215</v>
      </c>
      <c r="K891" s="25">
        <f t="shared" si="784"/>
        <v>16520.094745597391</v>
      </c>
      <c r="L891" s="25"/>
      <c r="N891" s="25">
        <f>'Combined Retirement'!$C$18/12</f>
        <v>33932.660666666663</v>
      </c>
      <c r="O891" s="25">
        <f t="shared" si="785"/>
        <v>11007.82546143035</v>
      </c>
      <c r="P891" s="25">
        <f t="shared" si="786"/>
        <v>22924.835205236312</v>
      </c>
      <c r="Q891" s="25">
        <f t="array" aca="1" ref="Q891" ca="1">INDEX('Isaac 401k'!L:L,MATCH('Retirement Calculator'!A891,'Isaac 401k'!N:N,0),0)</f>
        <v>16693625.950554486</v>
      </c>
      <c r="R891" s="25">
        <f t="array" aca="1" ref="R891" ca="1">INDEX('Lorri 401b'!L:L,MATCH('Retirement Calculator'!A891,'Lorri 401b'!N:N,0),0)</f>
        <v>12485163.017780101</v>
      </c>
      <c r="S891" s="25">
        <f t="shared" ca="1" si="787"/>
        <v>29178788.968334585</v>
      </c>
    </row>
    <row r="892" spans="1:19" ht="15.75" customHeight="1" x14ac:dyDescent="0.3">
      <c r="A892" s="37">
        <v>78103</v>
      </c>
      <c r="B892" s="409">
        <f t="shared" ref="B892:C892" si="903">($A892-B$9)/365.25</f>
        <v>131.95619438740587</v>
      </c>
      <c r="C892" s="409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3525.4531757812501</v>
      </c>
      <c r="H892" s="25">
        <f>IF(B892&lt;62,0,'Combined Retirement'!$I$14)</f>
        <v>2192</v>
      </c>
      <c r="I892" s="25">
        <f>IF(C892&lt;62,0,'Combined Retirement'!$I$13)</f>
        <v>2420</v>
      </c>
      <c r="J892" s="25">
        <f t="shared" si="783"/>
        <v>6404.7404596389215</v>
      </c>
      <c r="K892" s="25">
        <f t="shared" si="784"/>
        <v>16520.094745597391</v>
      </c>
      <c r="L892" s="25"/>
      <c r="N892" s="25">
        <f>'Combined Retirement'!$C$18/12</f>
        <v>33932.660666666663</v>
      </c>
      <c r="O892" s="25">
        <f t="shared" si="785"/>
        <v>11007.82546143035</v>
      </c>
      <c r="P892" s="25">
        <f t="shared" si="786"/>
        <v>22924.835205236312</v>
      </c>
      <c r="Q892" s="25">
        <f t="array" aca="1" ref="Q892" ca="1">INDEX('Isaac 401k'!L:L,MATCH('Retirement Calculator'!A892,'Isaac 401k'!N:N,0),0)</f>
        <v>16756751.298470242</v>
      </c>
      <c r="R892" s="25">
        <f t="array" aca="1" ref="R892" ca="1">INDEX('Lorri 401b'!L:L,MATCH('Retirement Calculator'!A892,'Lorri 401b'!N:N,0),0)</f>
        <v>12520595.601880481</v>
      </c>
      <c r="S892" s="25">
        <f t="shared" ca="1" si="787"/>
        <v>29277346.900350723</v>
      </c>
    </row>
    <row r="893" spans="1:19" ht="15.75" customHeight="1" x14ac:dyDescent="0.3">
      <c r="A893" s="37">
        <v>78133</v>
      </c>
      <c r="B893" s="409">
        <f t="shared" ref="B893:C893" si="904">($A893-B$9)/365.25</f>
        <v>132.03832991101984</v>
      </c>
      <c r="C893" s="409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3525.4531757812501</v>
      </c>
      <c r="H893" s="25">
        <f>IF(B893&lt;62,0,'Combined Retirement'!$I$14)</f>
        <v>2192</v>
      </c>
      <c r="I893" s="25">
        <f>IF(C893&lt;62,0,'Combined Retirement'!$I$13)</f>
        <v>2420</v>
      </c>
      <c r="J893" s="25">
        <f t="shared" si="783"/>
        <v>6404.7404596389215</v>
      </c>
      <c r="K893" s="25">
        <f t="shared" si="784"/>
        <v>16520.094745597391</v>
      </c>
      <c r="L893" s="25"/>
      <c r="N893" s="25">
        <f>'Combined Retirement'!$C$18/12</f>
        <v>33932.660666666663</v>
      </c>
      <c r="O893" s="25">
        <f t="shared" si="785"/>
        <v>11007.82546143035</v>
      </c>
      <c r="P893" s="25">
        <f t="shared" si="786"/>
        <v>22924.835205236312</v>
      </c>
      <c r="Q893" s="25">
        <f t="array" aca="1" ref="Q893" ca="1">INDEX('Isaac 401k'!L:L,MATCH('Retirement Calculator'!A893,'Isaac 401k'!N:N,0),0)</f>
        <v>16820139.668668982</v>
      </c>
      <c r="R893" s="25">
        <f t="array" aca="1" ref="R893" ca="1">INDEX('Lorri 401b'!L:L,MATCH('Retirement Calculator'!A893,'Lorri 401b'!N:N,0),0)</f>
        <v>12556175.821747947</v>
      </c>
      <c r="S893" s="25">
        <f t="shared" ca="1" si="787"/>
        <v>29376315.490416929</v>
      </c>
    </row>
    <row r="894" spans="1:19" ht="15.75" customHeight="1" x14ac:dyDescent="0.3">
      <c r="A894" s="37">
        <v>78164</v>
      </c>
      <c r="B894" s="409">
        <f t="shared" ref="B894:C894" si="905">($A894-B$9)/365.25</f>
        <v>132.12320328542094</v>
      </c>
      <c r="C894" s="409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3525.4531757812501</v>
      </c>
      <c r="H894" s="25">
        <f>IF(B894&lt;62,0,'Combined Retirement'!$I$14)</f>
        <v>2192</v>
      </c>
      <c r="I894" s="25">
        <f>IF(C894&lt;62,0,'Combined Retirement'!$I$13)</f>
        <v>2420</v>
      </c>
      <c r="J894" s="25">
        <f t="shared" si="783"/>
        <v>6404.7404596389215</v>
      </c>
      <c r="K894" s="25">
        <f t="shared" si="784"/>
        <v>16520.094745597391</v>
      </c>
      <c r="L894" s="25"/>
      <c r="N894" s="25">
        <f>'Combined Retirement'!$C$18/12</f>
        <v>33932.660666666663</v>
      </c>
      <c r="O894" s="25">
        <f t="shared" si="785"/>
        <v>11007.82546143035</v>
      </c>
      <c r="P894" s="25">
        <f t="shared" si="786"/>
        <v>22924.835205236312</v>
      </c>
      <c r="Q894" s="25">
        <f t="array" aca="1" ref="Q894" ca="1">INDEX('Isaac 401k'!L:L,MATCH('Retirement Calculator'!A894,'Isaac 401k'!N:N,0),0)</f>
        <v>16883792.15707688</v>
      </c>
      <c r="R894" s="25">
        <f t="array" aca="1" ref="R894" ca="1">INDEX('Lorri 401b'!L:L,MATCH('Retirement Calculator'!A894,'Lorri 401b'!N:N,0),0)</f>
        <v>12591904.292531528</v>
      </c>
      <c r="S894" s="25">
        <f t="shared" ca="1" si="787"/>
        <v>29475696.449608408</v>
      </c>
    </row>
    <row r="895" spans="1:19" ht="15.75" customHeight="1" x14ac:dyDescent="0.3">
      <c r="A895" s="37">
        <v>78195</v>
      </c>
      <c r="B895" s="409">
        <f t="shared" ref="B895:C895" si="906">($A895-B$9)/365.25</f>
        <v>132.20807665982204</v>
      </c>
      <c r="C895" s="409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3525.4531757812501</v>
      </c>
      <c r="H895" s="25">
        <f>IF(B895&lt;62,0,'Combined Retirement'!$I$14)</f>
        <v>2192</v>
      </c>
      <c r="I895" s="25">
        <f>IF(C895&lt;62,0,'Combined Retirement'!$I$13)</f>
        <v>2420</v>
      </c>
      <c r="J895" s="25">
        <f t="shared" si="783"/>
        <v>6404.7404596389215</v>
      </c>
      <c r="K895" s="25">
        <f t="shared" si="784"/>
        <v>16520.094745597391</v>
      </c>
      <c r="L895" s="25"/>
      <c r="N895" s="25">
        <f>'Combined Retirement'!$C$18/12</f>
        <v>33932.660666666663</v>
      </c>
      <c r="O895" s="25">
        <f t="shared" si="785"/>
        <v>11007.82546143035</v>
      </c>
      <c r="P895" s="25">
        <f t="shared" si="786"/>
        <v>22924.835205236312</v>
      </c>
      <c r="Q895" s="25">
        <f t="array" aca="1" ref="Q895" ca="1">INDEX('Isaac 401k'!L:L,MATCH('Retirement Calculator'!A895,'Isaac 401k'!N:N,0),0)</f>
        <v>16947709.864186481</v>
      </c>
      <c r="R895" s="25">
        <f t="array" aca="1" ref="R895" ca="1">INDEX('Lorri 401b'!L:L,MATCH('Retirement Calculator'!A895,'Lorri 401b'!N:N,0),0)</f>
        <v>12627781.631943373</v>
      </c>
      <c r="S895" s="25">
        <f t="shared" ca="1" si="787"/>
        <v>29575491.496129856</v>
      </c>
    </row>
    <row r="896" spans="1:19" ht="15.75" customHeight="1" x14ac:dyDescent="0.3">
      <c r="A896" s="37">
        <v>78223</v>
      </c>
      <c r="B896" s="409">
        <f t="shared" ref="B896:C896" si="907">($A896-B$9)/365.25</f>
        <v>132.28473648186173</v>
      </c>
      <c r="C896" s="409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3525.4531757812501</v>
      </c>
      <c r="H896" s="25">
        <f>IF(B896&lt;62,0,'Combined Retirement'!$I$14)</f>
        <v>2192</v>
      </c>
      <c r="I896" s="25">
        <f>IF(C896&lt;62,0,'Combined Retirement'!$I$13)</f>
        <v>2420</v>
      </c>
      <c r="J896" s="25">
        <f t="shared" si="783"/>
        <v>6404.7404596389215</v>
      </c>
      <c r="K896" s="25">
        <f t="shared" si="784"/>
        <v>16520.094745597391</v>
      </c>
      <c r="L896" s="25"/>
      <c r="N896" s="25">
        <f>'Combined Retirement'!$C$18/12</f>
        <v>33932.660666666663</v>
      </c>
      <c r="O896" s="25">
        <f t="shared" si="785"/>
        <v>11007.82546143035</v>
      </c>
      <c r="P896" s="25">
        <f t="shared" si="786"/>
        <v>22924.835205236312</v>
      </c>
      <c r="Q896" s="25">
        <f t="array" aca="1" ref="Q896" ca="1">INDEX('Isaac 401k'!L:L,MATCH('Retirement Calculator'!A896,'Isaac 401k'!N:N,0),0)</f>
        <v>17011893.895075701</v>
      </c>
      <c r="R896" s="25">
        <f t="array" aca="1" ref="R896" ca="1">INDEX('Lorri 401b'!L:L,MATCH('Retirement Calculator'!A896,'Lorri 401b'!N:N,0),0)</f>
        <v>12663808.460269434</v>
      </c>
      <c r="S896" s="25">
        <f t="shared" ca="1" si="787"/>
        <v>29675702.355345137</v>
      </c>
    </row>
    <row r="897" spans="1:19" ht="15.75" customHeight="1" x14ac:dyDescent="0.3">
      <c r="A897" s="37">
        <v>78254</v>
      </c>
      <c r="B897" s="409">
        <f t="shared" ref="B897:C897" si="908">($A897-B$9)/365.25</f>
        <v>132.36960985626283</v>
      </c>
      <c r="C897" s="409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3525.4531757812501</v>
      </c>
      <c r="H897" s="25">
        <f>IF(B897&lt;62,0,'Combined Retirement'!$I$14)</f>
        <v>2192</v>
      </c>
      <c r="I897" s="25">
        <f>IF(C897&lt;62,0,'Combined Retirement'!$I$13)</f>
        <v>2420</v>
      </c>
      <c r="J897" s="25">
        <f t="shared" si="783"/>
        <v>6404.7404596389215</v>
      </c>
      <c r="K897" s="25">
        <f t="shared" si="784"/>
        <v>16520.094745597391</v>
      </c>
      <c r="L897" s="25"/>
      <c r="N897" s="25">
        <f>'Combined Retirement'!$C$18/12</f>
        <v>33932.660666666663</v>
      </c>
      <c r="O897" s="25">
        <f t="shared" si="785"/>
        <v>11007.82546143035</v>
      </c>
      <c r="P897" s="25">
        <f t="shared" si="786"/>
        <v>22924.835205236312</v>
      </c>
      <c r="Q897" s="25">
        <f t="array" aca="1" ref="Q897" ca="1">INDEX('Isaac 401k'!L:L,MATCH('Retirement Calculator'!A897,'Isaac 401k'!N:N,0),0)</f>
        <v>17076345.35942696</v>
      </c>
      <c r="R897" s="25">
        <f t="array" aca="1" ref="R897" ca="1">INDEX('Lorri 401b'!L:L,MATCH('Retirement Calculator'!A897,'Lorri 401b'!N:N,0),0)</f>
        <v>12699985.400380187</v>
      </c>
      <c r="S897" s="25">
        <f t="shared" ca="1" si="787"/>
        <v>29776330.759807147</v>
      </c>
    </row>
    <row r="898" spans="1:19" ht="15.75" customHeight="1" x14ac:dyDescent="0.3">
      <c r="A898" s="37">
        <v>78284</v>
      </c>
      <c r="B898" s="409">
        <f t="shared" ref="B898:C898" si="909">($A898-B$9)/365.25</f>
        <v>132.4517453798768</v>
      </c>
      <c r="C898" s="409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3525.4531757812501</v>
      </c>
      <c r="H898" s="25">
        <f>IF(B898&lt;62,0,'Combined Retirement'!$I$14)</f>
        <v>2192</v>
      </c>
      <c r="I898" s="25">
        <f>IF(C898&lt;62,0,'Combined Retirement'!$I$13)</f>
        <v>2420</v>
      </c>
      <c r="J898" s="25">
        <f t="shared" si="783"/>
        <v>6404.7404596389215</v>
      </c>
      <c r="K898" s="25">
        <f t="shared" si="784"/>
        <v>16520.094745597391</v>
      </c>
      <c r="L898" s="25"/>
      <c r="N898" s="25">
        <f>'Combined Retirement'!$C$18/12</f>
        <v>33932.660666666663</v>
      </c>
      <c r="O898" s="25">
        <f t="shared" si="785"/>
        <v>11007.82546143035</v>
      </c>
      <c r="P898" s="25">
        <f t="shared" si="786"/>
        <v>22924.835205236312</v>
      </c>
      <c r="Q898" s="25">
        <f t="array" aca="1" ref="Q898" ca="1">INDEX('Isaac 401k'!L:L,MATCH('Retirement Calculator'!A898,'Isaac 401k'!N:N,0),0)</f>
        <v>17141065.37154635</v>
      </c>
      <c r="R898" s="25">
        <f t="array" aca="1" ref="R898" ca="1">INDEX('Lorri 401b'!L:L,MATCH('Retirement Calculator'!A898,'Lorri 401b'!N:N,0),0)</f>
        <v>12736313.077741401</v>
      </c>
      <c r="S898" s="25">
        <f t="shared" ca="1" si="787"/>
        <v>29877378.44928775</v>
      </c>
    </row>
    <row r="899" spans="1:19" ht="15.75" customHeight="1" x14ac:dyDescent="0.3">
      <c r="A899" s="37">
        <v>78315</v>
      </c>
      <c r="B899" s="409">
        <f t="shared" ref="B899:C899" si="910">($A899-B$9)/365.25</f>
        <v>132.5366187542779</v>
      </c>
      <c r="C899" s="409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3525.4531757812501</v>
      </c>
      <c r="H899" s="25">
        <f>IF(B899&lt;62,0,'Combined Retirement'!$I$14)</f>
        <v>2192</v>
      </c>
      <c r="I899" s="25">
        <f>IF(C899&lt;62,0,'Combined Retirement'!$I$13)</f>
        <v>2420</v>
      </c>
      <c r="J899" s="25">
        <f t="shared" si="783"/>
        <v>6404.7404596389215</v>
      </c>
      <c r="K899" s="25">
        <f t="shared" si="784"/>
        <v>16520.094745597391</v>
      </c>
      <c r="L899" s="25"/>
      <c r="N899" s="25">
        <f>'Combined Retirement'!$C$18/12</f>
        <v>33932.660666666663</v>
      </c>
      <c r="O899" s="25">
        <f t="shared" si="785"/>
        <v>11007.82546143035</v>
      </c>
      <c r="P899" s="25">
        <f t="shared" si="786"/>
        <v>22924.835205236312</v>
      </c>
      <c r="Q899" s="25">
        <f t="array" aca="1" ref="Q899" ca="1">INDEX('Isaac 401k'!L:L,MATCH('Retirement Calculator'!A899,'Isaac 401k'!N:N,0),0)</f>
        <v>17206055.050382905</v>
      </c>
      <c r="R899" s="25">
        <f t="array" aca="1" ref="R899" ca="1">INDEX('Lorri 401b'!L:L,MATCH('Retirement Calculator'!A899,'Lorri 401b'!N:N,0),0)</f>
        <v>12772792.120424954</v>
      </c>
      <c r="S899" s="25">
        <f t="shared" ca="1" si="787"/>
        <v>29978847.170807861</v>
      </c>
    </row>
    <row r="900" spans="1:19" ht="15.75" customHeight="1" x14ac:dyDescent="0.3">
      <c r="A900" s="37">
        <v>78345</v>
      </c>
      <c r="B900" s="409">
        <f t="shared" ref="B900:C900" si="911">($A900-B$9)/365.25</f>
        <v>132.61875427789187</v>
      </c>
      <c r="C900" s="409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3525.4531757812501</v>
      </c>
      <c r="H900" s="25">
        <f>IF(B900&lt;62,0,'Combined Retirement'!$I$14)</f>
        <v>2192</v>
      </c>
      <c r="I900" s="25">
        <f>IF(C900&lt;62,0,'Combined Retirement'!$I$13)</f>
        <v>2420</v>
      </c>
      <c r="J900" s="25">
        <f t="shared" si="783"/>
        <v>6404.7404596389215</v>
      </c>
      <c r="K900" s="25">
        <f t="shared" si="784"/>
        <v>16520.094745597391</v>
      </c>
      <c r="L900" s="25"/>
      <c r="N900" s="25">
        <f>'Combined Retirement'!$C$18/12</f>
        <v>33932.660666666663</v>
      </c>
      <c r="O900" s="25">
        <f t="shared" si="785"/>
        <v>11007.82546143035</v>
      </c>
      <c r="P900" s="25">
        <f t="shared" si="786"/>
        <v>22924.835205236312</v>
      </c>
      <c r="Q900" s="25">
        <f t="array" aca="1" ref="Q900" ca="1">INDEX('Isaac 401k'!L:L,MATCH('Retirement Calculator'!A900,'Isaac 401k'!N:N,0),0)</f>
        <v>17271315.519547947</v>
      </c>
      <c r="R900" s="25">
        <f t="array" aca="1" ref="R900" ca="1">INDEX('Lorri 401b'!L:L,MATCH('Retirement Calculator'!A900,'Lorri 401b'!N:N,0),0)</f>
        <v>12809423.159119688</v>
      </c>
      <c r="S900" s="25">
        <f t="shared" ca="1" si="787"/>
        <v>30080738.678667635</v>
      </c>
    </row>
    <row r="901" spans="1:19" ht="15.75" customHeight="1" x14ac:dyDescent="0.3">
      <c r="A901" s="37">
        <v>78376</v>
      </c>
      <c r="B901" s="409">
        <f t="shared" ref="B901:C901" si="912">($A901-B$9)/365.25</f>
        <v>132.70362765229294</v>
      </c>
      <c r="C901" s="409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3525.4531757812501</v>
      </c>
      <c r="H901" s="25">
        <f>IF(B901&lt;62,0,'Combined Retirement'!$I$14)</f>
        <v>2192</v>
      </c>
      <c r="I901" s="25">
        <f>IF(C901&lt;62,0,'Combined Retirement'!$I$13)</f>
        <v>2420</v>
      </c>
      <c r="J901" s="25">
        <f t="shared" si="783"/>
        <v>6404.7404596389215</v>
      </c>
      <c r="K901" s="25">
        <f t="shared" si="784"/>
        <v>16520.094745597391</v>
      </c>
      <c r="L901" s="25"/>
      <c r="N901" s="25">
        <f>'Combined Retirement'!$C$18/12</f>
        <v>33932.660666666663</v>
      </c>
      <c r="O901" s="25">
        <f t="shared" si="785"/>
        <v>11007.82546143035</v>
      </c>
      <c r="P901" s="25">
        <f t="shared" si="786"/>
        <v>22924.835205236312</v>
      </c>
      <c r="Q901" s="25">
        <f t="array" aca="1" ref="Q901" ca="1">INDEX('Isaac 401k'!L:L,MATCH('Retirement Calculator'!A901,'Isaac 401k'!N:N,0),0)</f>
        <v>17336847.90733451</v>
      </c>
      <c r="R901" s="25">
        <f t="array" aca="1" ref="R901" ca="1">INDEX('Lorri 401b'!L:L,MATCH('Retirement Calculator'!A901,'Lorri 401b'!N:N,0),0)</f>
        <v>12846206.827142317</v>
      </c>
      <c r="S901" s="25">
        <f t="shared" ca="1" si="787"/>
        <v>30183054.734476827</v>
      </c>
    </row>
    <row r="902" spans="1:19" ht="15.75" customHeight="1" x14ac:dyDescent="0.3">
      <c r="A902" s="37">
        <v>78407</v>
      </c>
      <c r="B902" s="409">
        <f t="shared" ref="B902:C902" si="913">($A902-B$9)/365.25</f>
        <v>132.78850102669404</v>
      </c>
      <c r="C902" s="409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3525.4531757812501</v>
      </c>
      <c r="H902" s="25">
        <f>IF(B902&lt;62,0,'Combined Retirement'!$I$14)</f>
        <v>2192</v>
      </c>
      <c r="I902" s="25">
        <f>IF(C902&lt;62,0,'Combined Retirement'!$I$13)</f>
        <v>2420</v>
      </c>
      <c r="J902" s="25">
        <f t="shared" si="783"/>
        <v>6404.7404596389215</v>
      </c>
      <c r="K902" s="25">
        <f t="shared" si="784"/>
        <v>16520.094745597391</v>
      </c>
      <c r="L902" s="25"/>
      <c r="N902" s="25">
        <f>'Combined Retirement'!$C$18/12</f>
        <v>33932.660666666663</v>
      </c>
      <c r="O902" s="25">
        <f t="shared" si="785"/>
        <v>11007.82546143035</v>
      </c>
      <c r="P902" s="25">
        <f t="shared" si="786"/>
        <v>22924.835205236312</v>
      </c>
      <c r="Q902" s="25">
        <f t="array" aca="1" ref="Q902" ca="1">INDEX('Isaac 401k'!L:L,MATCH('Retirement Calculator'!A902,'Isaac 401k'!N:N,0),0)</f>
        <v>17402653.346736848</v>
      </c>
      <c r="R902" s="25">
        <f t="array" aca="1" ref="R902" ca="1">INDEX('Lorri 401b'!L:L,MATCH('Retirement Calculator'!A902,'Lorri 401b'!N:N,0),0)</f>
        <v>12883143.760448374</v>
      </c>
      <c r="S902" s="25">
        <f t="shared" ca="1" si="787"/>
        <v>30285797.107185222</v>
      </c>
    </row>
    <row r="903" spans="1:19" ht="15.75" customHeight="1" x14ac:dyDescent="0.3">
      <c r="A903" s="37">
        <v>78437</v>
      </c>
      <c r="B903" s="409">
        <f t="shared" ref="B903:C903" si="914">($A903-B$9)/365.25</f>
        <v>132.87063655030801</v>
      </c>
      <c r="C903" s="409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3525.4531757812501</v>
      </c>
      <c r="H903" s="25">
        <f>IF(B903&lt;62,0,'Combined Retirement'!$I$14)</f>
        <v>2192</v>
      </c>
      <c r="I903" s="25">
        <f>IF(C903&lt;62,0,'Combined Retirement'!$I$13)</f>
        <v>2420</v>
      </c>
      <c r="J903" s="25">
        <f t="shared" si="783"/>
        <v>6404.7404596389215</v>
      </c>
      <c r="K903" s="25">
        <f t="shared" si="784"/>
        <v>16520.094745597391</v>
      </c>
      <c r="L903" s="25"/>
      <c r="N903" s="25">
        <f>'Combined Retirement'!$C$18/12</f>
        <v>33932.660666666663</v>
      </c>
      <c r="O903" s="25">
        <f t="shared" si="785"/>
        <v>11007.82546143035</v>
      </c>
      <c r="P903" s="25">
        <f t="shared" si="786"/>
        <v>22924.835205236312</v>
      </c>
      <c r="Q903" s="25">
        <f t="array" aca="1" ref="Q903" ca="1">INDEX('Isaac 401k'!L:L,MATCH('Retirement Calculator'!A903,'Isaac 401k'!N:N,0),0)</f>
        <v>17468732.975470029</v>
      </c>
      <c r="R903" s="25">
        <f t="array" aca="1" ref="R903" ca="1">INDEX('Lorri 401b'!L:L,MATCH('Retirement Calculator'!A903,'Lorri 401b'!N:N,0),0)</f>
        <v>12920234.597643206</v>
      </c>
      <c r="S903" s="25">
        <f t="shared" ca="1" si="787"/>
        <v>30388967.573113233</v>
      </c>
    </row>
    <row r="904" spans="1:19" ht="15.75" customHeight="1" x14ac:dyDescent="0.3">
      <c r="A904" s="37">
        <v>78468</v>
      </c>
      <c r="B904" s="409">
        <f t="shared" ref="B904:C904" si="915">($A904-B$9)/365.25</f>
        <v>132.95550992470911</v>
      </c>
      <c r="C904" s="409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3525.4531757812501</v>
      </c>
      <c r="H904" s="25">
        <f>IF(B904&lt;62,0,'Combined Retirement'!$I$14)</f>
        <v>2192</v>
      </c>
      <c r="I904" s="25">
        <f>IF(C904&lt;62,0,'Combined Retirement'!$I$13)</f>
        <v>2420</v>
      </c>
      <c r="J904" s="25">
        <f t="shared" si="783"/>
        <v>6404.7404596389215</v>
      </c>
      <c r="K904" s="25">
        <f t="shared" si="784"/>
        <v>16520.094745597391</v>
      </c>
      <c r="L904" s="25"/>
      <c r="N904" s="25">
        <f>'Combined Retirement'!$C$18/12</f>
        <v>33932.660666666663</v>
      </c>
      <c r="O904" s="25">
        <f t="shared" si="785"/>
        <v>11007.82546143035</v>
      </c>
      <c r="P904" s="25">
        <f t="shared" si="786"/>
        <v>22924.835205236312</v>
      </c>
      <c r="Q904" s="25">
        <f t="array" aca="1" ref="Q904" ca="1">INDEX('Isaac 401k'!L:L,MATCH('Retirement Calculator'!A904,'Isaac 401k'!N:N,0),0)</f>
        <v>17535087.9359896</v>
      </c>
      <c r="R904" s="25">
        <f t="array" aca="1" ref="R904" ca="1">INDEX('Lorri 401b'!L:L,MATCH('Retirement Calculator'!A904,'Lorri 401b'!N:N,0),0)</f>
        <v>12957479.979993016</v>
      </c>
      <c r="S904" s="25">
        <f t="shared" ca="1" si="787"/>
        <v>30492567.915982615</v>
      </c>
    </row>
    <row r="905" spans="1:19" ht="15.75" customHeight="1" x14ac:dyDescent="0.3">
      <c r="A905" s="37">
        <v>78498</v>
      </c>
      <c r="B905" s="409">
        <f t="shared" ref="B905:C905" si="916">($A905-B$9)/365.25</f>
        <v>133.03764544832308</v>
      </c>
      <c r="C905" s="409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3525.4531757812501</v>
      </c>
      <c r="H905" s="25">
        <f>IF(B905&lt;62,0,'Combined Retirement'!$I$14)</f>
        <v>2192</v>
      </c>
      <c r="I905" s="25">
        <f>IF(C905&lt;62,0,'Combined Retirement'!$I$13)</f>
        <v>2420</v>
      </c>
      <c r="J905" s="25">
        <f t="shared" si="783"/>
        <v>6404.7404596389215</v>
      </c>
      <c r="K905" s="25">
        <f t="shared" si="784"/>
        <v>16520.094745597391</v>
      </c>
      <c r="L905" s="25"/>
      <c r="N905" s="25">
        <f>'Combined Retirement'!$C$18/12</f>
        <v>33932.660666666663</v>
      </c>
      <c r="O905" s="25">
        <f t="shared" si="785"/>
        <v>11007.82546143035</v>
      </c>
      <c r="P905" s="25">
        <f t="shared" si="786"/>
        <v>22924.835205236312</v>
      </c>
      <c r="Q905" s="25">
        <f t="array" aca="1" ref="Q905" ca="1">INDEX('Isaac 401k'!L:L,MATCH('Retirement Calculator'!A905,'Isaac 401k'!N:N,0),0)</f>
        <v>17601719.375511333</v>
      </c>
      <c r="R905" s="25">
        <f t="array" aca="1" ref="R905" ca="1">INDEX('Lorri 401b'!L:L,MATCH('Retirement Calculator'!A905,'Lorri 401b'!N:N,0),0)</f>
        <v>12994880.551435949</v>
      </c>
      <c r="S905" s="25">
        <f t="shared" ca="1" si="787"/>
        <v>30596599.926947281</v>
      </c>
    </row>
    <row r="906" spans="1:19" ht="15.75" customHeight="1" x14ac:dyDescent="0.3">
      <c r="A906" s="37">
        <v>78529</v>
      </c>
      <c r="B906" s="409">
        <f t="shared" ref="B906:C906" si="917">($A906-B$9)/365.25</f>
        <v>133.12251882272417</v>
      </c>
      <c r="C906" s="409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3525.4531757812501</v>
      </c>
      <c r="H906" s="25">
        <f>IF(B906&lt;62,0,'Combined Retirement'!$I$14)</f>
        <v>2192</v>
      </c>
      <c r="I906" s="25">
        <f>IF(C906&lt;62,0,'Combined Retirement'!$I$13)</f>
        <v>2420</v>
      </c>
      <c r="J906" s="25">
        <f t="shared" si="783"/>
        <v>6404.7404596389215</v>
      </c>
      <c r="K906" s="25">
        <f t="shared" si="784"/>
        <v>16520.094745597391</v>
      </c>
      <c r="L906" s="25"/>
      <c r="N906" s="25">
        <f>'Combined Retirement'!$C$18/12</f>
        <v>33932.660666666663</v>
      </c>
      <c r="O906" s="25">
        <f t="shared" si="785"/>
        <v>11007.82546143035</v>
      </c>
      <c r="P906" s="25">
        <f t="shared" si="786"/>
        <v>22924.835205236312</v>
      </c>
      <c r="Q906" s="25">
        <f t="array" aca="1" ref="Q906" ca="1">INDEX('Isaac 401k'!L:L,MATCH('Retirement Calculator'!A906,'Isaac 401k'!N:N,0),0)</f>
        <v>17668628.446031075</v>
      </c>
      <c r="R906" s="25">
        <f t="array" aca="1" ref="R906" ca="1">INDEX('Lorri 401b'!L:L,MATCH('Retirement Calculator'!A906,'Lorri 401b'!N:N,0),0)</f>
        <v>13032436.958593229</v>
      </c>
      <c r="S906" s="25">
        <f t="shared" ca="1" si="787"/>
        <v>30701065.404624306</v>
      </c>
    </row>
    <row r="907" spans="1:19" ht="15.75" customHeight="1" x14ac:dyDescent="0.3">
      <c r="A907" s="37">
        <v>78560</v>
      </c>
      <c r="B907" s="409">
        <f t="shared" ref="B907:C907" si="918">($A907-B$9)/365.25</f>
        <v>133.20739219712524</v>
      </c>
      <c r="C907" s="409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3525.4531757812501</v>
      </c>
      <c r="H907" s="25">
        <f>IF(B907&lt;62,0,'Combined Retirement'!$I$14)</f>
        <v>2192</v>
      </c>
      <c r="I907" s="25">
        <f>IF(C907&lt;62,0,'Combined Retirement'!$I$13)</f>
        <v>2420</v>
      </c>
      <c r="J907" s="25">
        <f t="shared" si="783"/>
        <v>6404.7404596389215</v>
      </c>
      <c r="K907" s="25">
        <f t="shared" si="784"/>
        <v>16520.094745597391</v>
      </c>
      <c r="L907" s="25"/>
      <c r="N907" s="25">
        <f>'Combined Retirement'!$C$18/12</f>
        <v>33932.660666666663</v>
      </c>
      <c r="O907" s="25">
        <f t="shared" si="785"/>
        <v>11007.82546143035</v>
      </c>
      <c r="P907" s="25">
        <f t="shared" si="786"/>
        <v>22924.835205236312</v>
      </c>
      <c r="Q907" s="25">
        <f t="array" aca="1" ref="Q907" ca="1">INDEX('Isaac 401k'!L:L,MATCH('Retirement Calculator'!A907,'Isaac 401k'!N:N,0),0)</f>
        <v>17735816.30434465</v>
      </c>
      <c r="R907" s="25">
        <f t="array" aca="1" ref="R907" ca="1">INDEX('Lorri 401b'!L:L,MATCH('Retirement Calculator'!A907,'Lorri 401b'!N:N,0),0)</f>
        <v>13070149.850780331</v>
      </c>
      <c r="S907" s="25">
        <f t="shared" ca="1" si="787"/>
        <v>30805966.155124981</v>
      </c>
    </row>
    <row r="908" spans="1:19" ht="15.75" customHeight="1" x14ac:dyDescent="0.3">
      <c r="A908" s="37">
        <v>78588</v>
      </c>
      <c r="B908" s="409">
        <f t="shared" ref="B908:C908" si="919">($A908-B$9)/365.25</f>
        <v>133.28405201916496</v>
      </c>
      <c r="C908" s="409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3525.4531757812501</v>
      </c>
      <c r="H908" s="25">
        <f>IF(B908&lt;62,0,'Combined Retirement'!$I$14)</f>
        <v>2192</v>
      </c>
      <c r="I908" s="25">
        <f>IF(C908&lt;62,0,'Combined Retirement'!$I$13)</f>
        <v>2420</v>
      </c>
      <c r="J908" s="25">
        <f t="shared" si="783"/>
        <v>6404.7404596389215</v>
      </c>
      <c r="K908" s="25">
        <f t="shared" si="784"/>
        <v>16520.094745597391</v>
      </c>
      <c r="L908" s="25"/>
      <c r="N908" s="25">
        <f>'Combined Retirement'!$C$18/12</f>
        <v>33932.660666666663</v>
      </c>
      <c r="O908" s="25">
        <f t="shared" si="785"/>
        <v>11007.82546143035</v>
      </c>
      <c r="P908" s="25">
        <f t="shared" si="786"/>
        <v>22924.835205236312</v>
      </c>
      <c r="Q908" s="25">
        <f t="array" aca="1" ref="Q908" ca="1">INDEX('Isaac 401k'!L:L,MATCH('Retirement Calculator'!A908,'Isaac 401k'!N:N,0),0)</f>
        <v>17803284.112067863</v>
      </c>
      <c r="R908" s="25">
        <f t="array" aca="1" ref="R908" ca="1">INDEX('Lorri 401b'!L:L,MATCH('Retirement Calculator'!A908,'Lorri 401b'!N:N,0),0)</f>
        <v>13108019.880018212</v>
      </c>
      <c r="S908" s="25">
        <f t="shared" ca="1" si="787"/>
        <v>30911303.992086075</v>
      </c>
    </row>
    <row r="909" spans="1:19" ht="15.75" customHeight="1" x14ac:dyDescent="0.3">
      <c r="A909" s="37">
        <v>78619</v>
      </c>
      <c r="B909" s="409">
        <f t="shared" ref="B909:C909" si="920">($A909-B$9)/365.25</f>
        <v>133.36892539356606</v>
      </c>
      <c r="C909" s="409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3525.4531757812501</v>
      </c>
      <c r="H909" s="25">
        <f>IF(B909&lt;62,0,'Combined Retirement'!$I$14)</f>
        <v>2192</v>
      </c>
      <c r="I909" s="25">
        <f>IF(C909&lt;62,0,'Combined Retirement'!$I$13)</f>
        <v>2420</v>
      </c>
      <c r="J909" s="25">
        <f t="shared" si="783"/>
        <v>6404.7404596389215</v>
      </c>
      <c r="K909" s="25">
        <f t="shared" si="784"/>
        <v>16520.094745597391</v>
      </c>
      <c r="L909" s="25"/>
      <c r="N909" s="25">
        <f>'Combined Retirement'!$C$18/12</f>
        <v>33932.660666666663</v>
      </c>
      <c r="O909" s="25">
        <f t="shared" si="785"/>
        <v>11007.82546143035</v>
      </c>
      <c r="P909" s="25">
        <f t="shared" si="786"/>
        <v>22924.835205236312</v>
      </c>
      <c r="Q909" s="25">
        <f t="array" aca="1" ref="Q909" ca="1">INDEX('Isaac 401k'!L:L,MATCH('Retirement Calculator'!A909,'Isaac 401k'!N:N,0),0)</f>
        <v>17871033.03565659</v>
      </c>
      <c r="R909" s="25">
        <f t="array" aca="1" ref="R909" ca="1">INDEX('Lorri 401b'!L:L,MATCH('Retirement Calculator'!A909,'Lorri 401b'!N:N,0),0)</f>
        <v>13146047.701044584</v>
      </c>
      <c r="S909" s="25">
        <f t="shared" ca="1" si="787"/>
        <v>31017080.736701176</v>
      </c>
    </row>
    <row r="910" spans="1:19" ht="15.75" customHeight="1" x14ac:dyDescent="0.3">
      <c r="A910" s="37">
        <v>78649</v>
      </c>
      <c r="B910" s="409">
        <f t="shared" ref="B910:C910" si="921">($A910-B$9)/365.25</f>
        <v>133.45106091718</v>
      </c>
      <c r="C910" s="409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3525.4531757812501</v>
      </c>
      <c r="H910" s="25">
        <f>IF(B910&lt;62,0,'Combined Retirement'!$I$14)</f>
        <v>2192</v>
      </c>
      <c r="I910" s="25">
        <f>IF(C910&lt;62,0,'Combined Retirement'!$I$13)</f>
        <v>2420</v>
      </c>
      <c r="J910" s="25">
        <f t="shared" si="783"/>
        <v>6404.7404596389215</v>
      </c>
      <c r="K910" s="25">
        <f t="shared" si="784"/>
        <v>16520.094745597391</v>
      </c>
      <c r="L910" s="25"/>
      <c r="N910" s="25">
        <f>'Combined Retirement'!$C$18/12</f>
        <v>33932.660666666663</v>
      </c>
      <c r="O910" s="25">
        <f t="shared" si="785"/>
        <v>11007.82546143035</v>
      </c>
      <c r="P910" s="25">
        <f t="shared" si="786"/>
        <v>22924.835205236312</v>
      </c>
      <c r="Q910" s="25">
        <f t="array" aca="1" ref="Q910" ca="1">INDEX('Isaac 401k'!L:L,MATCH('Retirement Calculator'!A910,'Isaac 401k'!N:N,0),0)</f>
        <v>17939064.246426936</v>
      </c>
      <c r="R910" s="25">
        <f t="array" aca="1" ref="R910" ca="1">INDEX('Lorri 401b'!L:L,MATCH('Retirement Calculator'!A910,'Lorri 401b'!N:N,0),0)</f>
        <v>13184233.971325232</v>
      </c>
      <c r="S910" s="25">
        <f t="shared" ca="1" si="787"/>
        <v>31123298.217752166</v>
      </c>
    </row>
    <row r="911" spans="1:19" ht="15.75" customHeight="1" x14ac:dyDescent="0.3">
      <c r="A911" s="37">
        <v>78680</v>
      </c>
      <c r="B911" s="409">
        <f t="shared" ref="B911:C911" si="922">($A911-B$9)/365.25</f>
        <v>133.5359342915811</v>
      </c>
      <c r="C911" s="409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3525.4531757812501</v>
      </c>
      <c r="H911" s="25">
        <f>IF(B911&lt;62,0,'Combined Retirement'!$I$14)</f>
        <v>2192</v>
      </c>
      <c r="I911" s="25">
        <f>IF(C911&lt;62,0,'Combined Retirement'!$I$13)</f>
        <v>2420</v>
      </c>
      <c r="J911" s="25">
        <f t="shared" si="783"/>
        <v>6404.7404596389215</v>
      </c>
      <c r="K911" s="25">
        <f t="shared" si="784"/>
        <v>16520.094745597391</v>
      </c>
      <c r="L911" s="25"/>
      <c r="N911" s="25">
        <f>'Combined Retirement'!$C$18/12</f>
        <v>33932.660666666663</v>
      </c>
      <c r="O911" s="25">
        <f t="shared" si="785"/>
        <v>11007.82546143035</v>
      </c>
      <c r="P911" s="25">
        <f t="shared" si="786"/>
        <v>22924.835205236312</v>
      </c>
      <c r="Q911" s="25">
        <f t="array" aca="1" ref="Q911" ca="1">INDEX('Isaac 401k'!L:L,MATCH('Retirement Calculator'!A911,'Isaac 401k'!N:N,0),0)</f>
        <v>18007378.920575492</v>
      </c>
      <c r="R911" s="25">
        <f t="array" aca="1" ref="R911" ca="1">INDEX('Lorri 401b'!L:L,MATCH('Retirement Calculator'!A911,'Lorri 401b'!N:N,0),0)</f>
        <v>13222579.351065384</v>
      </c>
      <c r="S911" s="25">
        <f t="shared" ca="1" si="787"/>
        <v>31229958.271640874</v>
      </c>
    </row>
    <row r="912" spans="1:19" ht="15.75" customHeight="1" x14ac:dyDescent="0.3">
      <c r="A912" s="37">
        <v>78710</v>
      </c>
      <c r="B912" s="409">
        <f t="shared" ref="B912:C912" si="923">($A912-B$9)/365.25</f>
        <v>133.61806981519507</v>
      </c>
      <c r="C912" s="409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3525.4531757812501</v>
      </c>
      <c r="H912" s="25">
        <f>IF(B912&lt;62,0,'Combined Retirement'!$I$14)</f>
        <v>2192</v>
      </c>
      <c r="I912" s="25">
        <f>IF(C912&lt;62,0,'Combined Retirement'!$I$13)</f>
        <v>2420</v>
      </c>
      <c r="J912" s="25">
        <f t="shared" si="783"/>
        <v>6404.7404596389215</v>
      </c>
      <c r="K912" s="25">
        <f t="shared" si="784"/>
        <v>16520.094745597391</v>
      </c>
      <c r="L912" s="25"/>
      <c r="N912" s="25">
        <f>'Combined Retirement'!$C$18/12</f>
        <v>33932.660666666663</v>
      </c>
      <c r="O912" s="25">
        <f t="shared" si="785"/>
        <v>11007.82546143035</v>
      </c>
      <c r="P912" s="25">
        <f t="shared" si="786"/>
        <v>22924.835205236312</v>
      </c>
      <c r="Q912" s="25">
        <f t="array" aca="1" ref="Q912" ca="1">INDEX('Isaac 401k'!L:L,MATCH('Retirement Calculator'!A912,'Isaac 401k'!N:N,0),0)</f>
        <v>18075978.239199668</v>
      </c>
      <c r="R912" s="25">
        <f t="array" aca="1" ref="R912" ca="1">INDEX('Lorri 401b'!L:L,MATCH('Retirement Calculator'!A912,'Lorri 401b'!N:N,0),0)</f>
        <v>13261084.503221121</v>
      </c>
      <c r="S912" s="25">
        <f t="shared" ca="1" si="787"/>
        <v>31337062.742420789</v>
      </c>
    </row>
    <row r="913" spans="1:19" ht="15.75" customHeight="1" x14ac:dyDescent="0.3">
      <c r="A913" s="37">
        <v>78741</v>
      </c>
      <c r="B913" s="409">
        <f t="shared" ref="B913:C913" si="924">($A913-B$9)/365.25</f>
        <v>133.70294318959617</v>
      </c>
      <c r="C913" s="409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3525.4531757812501</v>
      </c>
      <c r="H913" s="25">
        <f>IF(B913&lt;62,0,'Combined Retirement'!$I$14)</f>
        <v>2192</v>
      </c>
      <c r="I913" s="25">
        <f>IF(C913&lt;62,0,'Combined Retirement'!$I$13)</f>
        <v>2420</v>
      </c>
      <c r="J913" s="25">
        <f t="shared" si="783"/>
        <v>6404.7404596389215</v>
      </c>
      <c r="K913" s="25">
        <f t="shared" si="784"/>
        <v>16520.094745597391</v>
      </c>
      <c r="L913" s="25"/>
      <c r="N913" s="25">
        <f>'Combined Retirement'!$C$18/12</f>
        <v>33932.660666666663</v>
      </c>
      <c r="O913" s="25">
        <f t="shared" si="785"/>
        <v>11007.82546143035</v>
      </c>
      <c r="P913" s="25">
        <f t="shared" si="786"/>
        <v>22924.835205236312</v>
      </c>
      <c r="Q913" s="25">
        <f t="array" aca="1" ref="Q913" ca="1">INDEX('Isaac 401k'!L:L,MATCH('Retirement Calculator'!A913,'Isaac 401k'!N:N,0),0)</f>
        <v>18144863.38831811</v>
      </c>
      <c r="R913" s="25">
        <f t="array" aca="1" ref="R913" ca="1">INDEX('Lorri 401b'!L:L,MATCH('Retirement Calculator'!A913,'Lorri 401b'!N:N,0),0)</f>
        <v>13299750.093510838</v>
      </c>
      <c r="S913" s="25">
        <f t="shared" ca="1" si="787"/>
        <v>31444613.48182895</v>
      </c>
    </row>
    <row r="914" spans="1:19" ht="15.75" customHeight="1" x14ac:dyDescent="0.3">
      <c r="A914" s="37">
        <v>78772</v>
      </c>
      <c r="B914" s="409">
        <f t="shared" ref="B914:C914" si="925">($A914-B$9)/365.25</f>
        <v>133.78781656399727</v>
      </c>
      <c r="C914" s="409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3525.4531757812501</v>
      </c>
      <c r="H914" s="25">
        <f>IF(B914&lt;62,0,'Combined Retirement'!$I$14)</f>
        <v>2192</v>
      </c>
      <c r="I914" s="25">
        <f>IF(C914&lt;62,0,'Combined Retirement'!$I$13)</f>
        <v>2420</v>
      </c>
      <c r="J914" s="25">
        <f t="shared" si="783"/>
        <v>6404.7404596389215</v>
      </c>
      <c r="K914" s="25">
        <f t="shared" si="784"/>
        <v>16520.094745597391</v>
      </c>
      <c r="L914" s="25"/>
      <c r="N914" s="25">
        <f>'Combined Retirement'!$C$18/12</f>
        <v>33932.660666666663</v>
      </c>
      <c r="O914" s="25">
        <f t="shared" si="785"/>
        <v>11007.82546143035</v>
      </c>
      <c r="P914" s="25">
        <f t="shared" si="786"/>
        <v>22924.835205236312</v>
      </c>
      <c r="Q914" s="25">
        <f t="array" aca="1" ref="Q914" ca="1">INDEX('Isaac 401k'!L:L,MATCH('Retirement Calculator'!A914,'Isaac 401k'!N:N,0),0)</f>
        <v>18214035.558891214</v>
      </c>
      <c r="R914" s="25">
        <f t="array" aca="1" ref="R914" ca="1">INDEX('Lorri 401b'!L:L,MATCH('Retirement Calculator'!A914,'Lorri 401b'!N:N,0),0)</f>
        <v>13338576.790426763</v>
      </c>
      <c r="S914" s="25">
        <f t="shared" ca="1" si="787"/>
        <v>31552612.349317975</v>
      </c>
    </row>
    <row r="915" spans="1:19" ht="15.75" customHeight="1" x14ac:dyDescent="0.3">
      <c r="A915" s="37">
        <v>78802</v>
      </c>
      <c r="B915" s="409">
        <f t="shared" ref="B915:C915" si="926">($A915-B$9)/365.25</f>
        <v>133.86995208761124</v>
      </c>
      <c r="C915" s="409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3525.4531757812501</v>
      </c>
      <c r="H915" s="25">
        <f>IF(B915&lt;62,0,'Combined Retirement'!$I$14)</f>
        <v>2192</v>
      </c>
      <c r="I915" s="25">
        <f>IF(C915&lt;62,0,'Combined Retirement'!$I$13)</f>
        <v>2420</v>
      </c>
      <c r="J915" s="25">
        <f t="shared" si="783"/>
        <v>6404.7404596389215</v>
      </c>
      <c r="K915" s="25">
        <f t="shared" si="784"/>
        <v>16520.094745597391</v>
      </c>
      <c r="L915" s="25"/>
      <c r="N915" s="25">
        <f>'Combined Retirement'!$C$18/12</f>
        <v>33932.660666666663</v>
      </c>
      <c r="O915" s="25">
        <f t="shared" si="785"/>
        <v>11007.82546143035</v>
      </c>
      <c r="P915" s="25">
        <f t="shared" si="786"/>
        <v>22924.835205236312</v>
      </c>
      <c r="Q915" s="25">
        <f t="array" aca="1" ref="Q915" ca="1">INDEX('Isaac 401k'!L:L,MATCH('Retirement Calculator'!A915,'Isaac 401k'!N:N,0),0)</f>
        <v>18283495.946841706</v>
      </c>
      <c r="R915" s="25">
        <f t="array" aca="1" ref="R915" ca="1">INDEX('Lorri 401b'!L:L,MATCH('Retirement Calculator'!A915,'Lorri 401b'!N:N,0),0)</f>
        <v>13377565.265246505</v>
      </c>
      <c r="S915" s="25">
        <f t="shared" ca="1" si="787"/>
        <v>31661061.212088212</v>
      </c>
    </row>
    <row r="916" spans="1:19" ht="15.75" customHeight="1" x14ac:dyDescent="0.3">
      <c r="A916" s="37">
        <v>78833</v>
      </c>
      <c r="B916" s="409">
        <f t="shared" ref="B916:C916" si="927">($A916-B$9)/365.25</f>
        <v>133.95482546201231</v>
      </c>
      <c r="C916" s="409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3525.4531757812501</v>
      </c>
      <c r="H916" s="25">
        <f>IF(B916&lt;62,0,'Combined Retirement'!$I$14)</f>
        <v>2192</v>
      </c>
      <c r="I916" s="25">
        <f>IF(C916&lt;62,0,'Combined Retirement'!$I$13)</f>
        <v>2420</v>
      </c>
      <c r="J916" s="25">
        <f t="shared" si="783"/>
        <v>6404.7404596389215</v>
      </c>
      <c r="K916" s="25">
        <f t="shared" si="784"/>
        <v>16520.094745597391</v>
      </c>
      <c r="L916" s="25"/>
      <c r="N916" s="25">
        <f>'Combined Retirement'!$C$18/12</f>
        <v>33932.660666666663</v>
      </c>
      <c r="O916" s="25">
        <f t="shared" si="785"/>
        <v>11007.82546143035</v>
      </c>
      <c r="P916" s="25">
        <f t="shared" si="786"/>
        <v>22924.835205236312</v>
      </c>
      <c r="Q916" s="25">
        <f t="array" aca="1" ref="Q916" ca="1">INDEX('Isaac 401k'!L:L,MATCH('Retirement Calculator'!A916,'Isaac 401k'!N:N,0),0)</f>
        <v>18353245.753075324</v>
      </c>
      <c r="R916" s="25">
        <f t="array" aca="1" ref="R916" ca="1">INDEX('Lorri 401b'!L:L,MATCH('Retirement Calculator'!A916,'Lorri 401b'!N:N,0),0)</f>
        <v>13416716.192044662</v>
      </c>
      <c r="S916" s="25">
        <f t="shared" ca="1" si="787"/>
        <v>31769961.945119984</v>
      </c>
    </row>
    <row r="917" spans="1:19" ht="15.75" customHeight="1" x14ac:dyDescent="0.3">
      <c r="A917" s="37">
        <v>78863</v>
      </c>
      <c r="B917" s="409">
        <f t="shared" ref="B917:C917" si="928">($A917-B$9)/365.25</f>
        <v>134.03696098562628</v>
      </c>
      <c r="C917" s="409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3525.4531757812501</v>
      </c>
      <c r="H917" s="25">
        <f>IF(B917&lt;62,0,'Combined Retirement'!$I$14)</f>
        <v>2192</v>
      </c>
      <c r="I917" s="25">
        <f>IF(C917&lt;62,0,'Combined Retirement'!$I$13)</f>
        <v>2420</v>
      </c>
      <c r="J917" s="25">
        <f t="shared" si="783"/>
        <v>6404.7404596389215</v>
      </c>
      <c r="K917" s="25">
        <f t="shared" si="784"/>
        <v>16520.094745597391</v>
      </c>
      <c r="L917" s="25"/>
      <c r="N917" s="25">
        <f>'Combined Retirement'!$C$18/12</f>
        <v>33932.660666666663</v>
      </c>
      <c r="O917" s="25">
        <f t="shared" si="785"/>
        <v>11007.82546143035</v>
      </c>
      <c r="P917" s="25">
        <f t="shared" si="786"/>
        <v>22924.835205236312</v>
      </c>
      <c r="Q917" s="25">
        <f t="array" aca="1" ref="Q917" ca="1">INDEX('Isaac 401k'!L:L,MATCH('Retirement Calculator'!A917,'Isaac 401k'!N:N,0),0)</f>
        <v>18423286.183501583</v>
      </c>
      <c r="R917" s="25">
        <f t="array" aca="1" ref="R917" ca="1">INDEX('Lorri 401b'!L:L,MATCH('Retirement Calculator'!A917,'Lorri 401b'!N:N,0),0)</f>
        <v>13456030.247704478</v>
      </c>
      <c r="S917" s="25">
        <f t="shared" ca="1" si="787"/>
        <v>31879316.431206062</v>
      </c>
    </row>
    <row r="918" spans="1:19" ht="15.75" customHeight="1" x14ac:dyDescent="0.3">
      <c r="A918" s="37">
        <v>78894</v>
      </c>
      <c r="B918" s="409">
        <f t="shared" ref="B918:C918" si="929">($A918-B$9)/365.25</f>
        <v>134.12183436002738</v>
      </c>
      <c r="C918" s="409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3525.4531757812501</v>
      </c>
      <c r="H918" s="25">
        <f>IF(B918&lt;62,0,'Combined Retirement'!$I$14)</f>
        <v>2192</v>
      </c>
      <c r="I918" s="25">
        <f>IF(C918&lt;62,0,'Combined Retirement'!$I$13)</f>
        <v>2420</v>
      </c>
      <c r="J918" s="25">
        <f t="shared" si="783"/>
        <v>6404.7404596389215</v>
      </c>
      <c r="K918" s="25">
        <f t="shared" si="784"/>
        <v>16520.094745597391</v>
      </c>
      <c r="L918" s="25"/>
      <c r="N918" s="25">
        <f>'Combined Retirement'!$C$18/12</f>
        <v>33932.660666666663</v>
      </c>
      <c r="O918" s="25">
        <f t="shared" si="785"/>
        <v>11007.82546143035</v>
      </c>
      <c r="P918" s="25">
        <f t="shared" si="786"/>
        <v>22924.835205236312</v>
      </c>
      <c r="Q918" s="25">
        <f t="array" aca="1" ref="Q918" ca="1">INDEX('Isaac 401k'!L:L,MATCH('Retirement Calculator'!A918,'Isaac 401k'!N:N,0),0)</f>
        <v>18493618.449054617</v>
      </c>
      <c r="R918" s="25">
        <f t="array" aca="1" ref="R918" ca="1">INDEX('Lorri 401b'!L:L,MATCH('Retirement Calculator'!A918,'Lorri 401b'!N:N,0),0)</f>
        <v>13495508.111929543</v>
      </c>
      <c r="S918" s="25">
        <f t="shared" ca="1" si="787"/>
        <v>31989126.560984161</v>
      </c>
    </row>
    <row r="919" spans="1:19" ht="15.75" customHeight="1" x14ac:dyDescent="0.3">
      <c r="A919" s="37">
        <v>78925</v>
      </c>
      <c r="B919" s="409">
        <f t="shared" ref="B919:C919" si="930">($A919-B$9)/365.25</f>
        <v>134.20670773442848</v>
      </c>
      <c r="C919" s="409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3525.4531757812501</v>
      </c>
      <c r="H919" s="25">
        <f>IF(B919&lt;62,0,'Combined Retirement'!$I$14)</f>
        <v>2192</v>
      </c>
      <c r="I919" s="25">
        <f>IF(C919&lt;62,0,'Combined Retirement'!$I$13)</f>
        <v>2420</v>
      </c>
      <c r="J919" s="25">
        <f t="shared" si="783"/>
        <v>6404.7404596389215</v>
      </c>
      <c r="K919" s="25">
        <f t="shared" si="784"/>
        <v>16520.094745597391</v>
      </c>
      <c r="L919" s="25"/>
      <c r="N919" s="25">
        <f>'Combined Retirement'!$C$18/12</f>
        <v>33932.660666666663</v>
      </c>
      <c r="O919" s="25">
        <f t="shared" si="785"/>
        <v>11007.82546143035</v>
      </c>
      <c r="P919" s="25">
        <f t="shared" si="786"/>
        <v>22924.835205236312</v>
      </c>
      <c r="Q919" s="25">
        <f t="array" aca="1" ref="Q919" ca="1">INDEX('Isaac 401k'!L:L,MATCH('Retirement Calculator'!A919,'Isaac 401k'!N:N,0),0)</f>
        <v>18564243.765714124</v>
      </c>
      <c r="R919" s="25">
        <f t="array" aca="1" ref="R919" ca="1">INDEX('Lorri 401b'!L:L,MATCH('Retirement Calculator'!A919,'Lorri 401b'!N:N,0),0)</f>
        <v>13535150.467255546</v>
      </c>
      <c r="S919" s="25">
        <f t="shared" ca="1" si="787"/>
        <v>32099394.232969671</v>
      </c>
    </row>
    <row r="920" spans="1:19" ht="15.75" customHeight="1" x14ac:dyDescent="0.3">
      <c r="A920" s="37">
        <v>78954</v>
      </c>
      <c r="B920" s="409">
        <f t="shared" ref="B920:C920" si="931">($A920-B$9)/365.25</f>
        <v>134.28610540725529</v>
      </c>
      <c r="C920" s="409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3525.4531757812501</v>
      </c>
      <c r="H920" s="25">
        <f>IF(B920&lt;62,0,'Combined Retirement'!$I$14)</f>
        <v>2192</v>
      </c>
      <c r="I920" s="25">
        <f>IF(C920&lt;62,0,'Combined Retirement'!$I$13)</f>
        <v>2420</v>
      </c>
      <c r="J920" s="25">
        <f t="shared" si="783"/>
        <v>6404.7404596389215</v>
      </c>
      <c r="K920" s="25">
        <f t="shared" si="784"/>
        <v>16520.094745597391</v>
      </c>
      <c r="L920" s="25"/>
      <c r="N920" s="25">
        <f>'Combined Retirement'!$C$18/12</f>
        <v>33932.660666666663</v>
      </c>
      <c r="O920" s="25">
        <f t="shared" si="785"/>
        <v>11007.82546143035</v>
      </c>
      <c r="P920" s="25">
        <f t="shared" si="786"/>
        <v>22924.835205236312</v>
      </c>
      <c r="Q920" s="25">
        <f t="array" aca="1" ref="Q920" ca="1">INDEX('Isaac 401k'!L:L,MATCH('Retirement Calculator'!A920,'Isaac 401k'!N:N,0),0)</f>
        <v>18635163.354526378</v>
      </c>
      <c r="R920" s="25">
        <f t="array" aca="1" ref="R920" ca="1">INDEX('Lorri 401b'!L:L,MATCH('Retirement Calculator'!A920,'Lorri 401b'!N:N,0),0)</f>
        <v>13574957.999062074</v>
      </c>
      <c r="S920" s="25">
        <f t="shared" ca="1" si="787"/>
        <v>32210121.353588454</v>
      </c>
    </row>
    <row r="921" spans="1:19" ht="15.75" customHeight="1" x14ac:dyDescent="0.3">
      <c r="A921" s="37">
        <v>78985</v>
      </c>
      <c r="B921" s="409">
        <f t="shared" ref="B921:C921" si="932">($A921-B$9)/365.25</f>
        <v>134.37097878165639</v>
      </c>
      <c r="C921" s="409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3525.4531757812501</v>
      </c>
      <c r="H921" s="25">
        <f>IF(B921&lt;62,0,'Combined Retirement'!$I$14)</f>
        <v>2192</v>
      </c>
      <c r="I921" s="25">
        <f>IF(C921&lt;62,0,'Combined Retirement'!$I$13)</f>
        <v>2420</v>
      </c>
      <c r="J921" s="25">
        <f t="shared" si="783"/>
        <v>6404.7404596389215</v>
      </c>
      <c r="K921" s="25">
        <f t="shared" si="784"/>
        <v>16520.094745597391</v>
      </c>
      <c r="L921" s="25"/>
      <c r="N921" s="25">
        <f>'Combined Retirement'!$C$18/12</f>
        <v>33932.660666666663</v>
      </c>
      <c r="O921" s="25">
        <f t="shared" si="785"/>
        <v>11007.82546143035</v>
      </c>
      <c r="P921" s="25">
        <f t="shared" si="786"/>
        <v>22924.835205236312</v>
      </c>
      <c r="Q921" s="25">
        <f t="array" aca="1" ref="Q921" ca="1">INDEX('Isaac 401k'!L:L,MATCH('Retirement Calculator'!A921,'Isaac 401k'!N:N,0),0)</f>
        <v>18706378.441625349</v>
      </c>
      <c r="R921" s="25">
        <f t="array" aca="1" ref="R921" ca="1">INDEX('Lorri 401b'!L:L,MATCH('Retirement Calculator'!A921,'Lorri 401b'!N:N,0),0)</f>
        <v>13614931.395584462</v>
      </c>
      <c r="S921" s="25">
        <f t="shared" ca="1" si="787"/>
        <v>32321309.837209813</v>
      </c>
    </row>
    <row r="922" spans="1:19" ht="15.75" customHeight="1" x14ac:dyDescent="0.3">
      <c r="A922" s="37">
        <v>79015</v>
      </c>
      <c r="B922" s="409">
        <f t="shared" ref="B922:C922" si="933">($A922-B$9)/365.25</f>
        <v>134.45311430527036</v>
      </c>
      <c r="C922" s="409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3525.4531757812501</v>
      </c>
      <c r="H922" s="25">
        <f>IF(B922&lt;62,0,'Combined Retirement'!$I$14)</f>
        <v>2192</v>
      </c>
      <c r="I922" s="25">
        <f>IF(C922&lt;62,0,'Combined Retirement'!$I$13)</f>
        <v>2420</v>
      </c>
      <c r="J922" s="25">
        <f t="shared" si="783"/>
        <v>6404.7404596389215</v>
      </c>
      <c r="K922" s="25">
        <f t="shared" si="784"/>
        <v>16520.094745597391</v>
      </c>
      <c r="L922" s="25"/>
      <c r="N922" s="25">
        <f>'Combined Retirement'!$C$18/12</f>
        <v>33932.660666666663</v>
      </c>
      <c r="O922" s="25">
        <f t="shared" si="785"/>
        <v>11007.82546143035</v>
      </c>
      <c r="P922" s="25">
        <f t="shared" si="786"/>
        <v>22924.835205236312</v>
      </c>
      <c r="Q922" s="25">
        <f t="array" aca="1" ref="Q922" ca="1">INDEX('Isaac 401k'!L:L,MATCH('Retirement Calculator'!A922,'Isaac 401k'!N:N,0),0)</f>
        <v>18777890.258253898</v>
      </c>
      <c r="R922" s="25">
        <f t="array" aca="1" ref="R922" ca="1">INDEX('Lorri 401b'!L:L,MATCH('Retirement Calculator'!A922,'Lorri 401b'!N:N,0),0)</f>
        <v>13655071.347925695</v>
      </c>
      <c r="S922" s="25">
        <f t="shared" ca="1" si="787"/>
        <v>32432961.606179595</v>
      </c>
    </row>
    <row r="923" spans="1:19" ht="15.75" customHeight="1" x14ac:dyDescent="0.3">
      <c r="A923" s="37">
        <v>79046</v>
      </c>
      <c r="B923" s="409">
        <f t="shared" ref="B923:C923" si="934">($A923-B$9)/365.25</f>
        <v>134.53798767967146</v>
      </c>
      <c r="C923" s="409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3525.4531757812501</v>
      </c>
      <c r="H923" s="25">
        <f>IF(B923&lt;62,0,'Combined Retirement'!$I$14)</f>
        <v>2192</v>
      </c>
      <c r="I923" s="25">
        <f>IF(C923&lt;62,0,'Combined Retirement'!$I$13)</f>
        <v>2420</v>
      </c>
      <c r="J923" s="25">
        <f t="shared" si="783"/>
        <v>6404.7404596389215</v>
      </c>
      <c r="K923" s="25">
        <f t="shared" si="784"/>
        <v>16520.094745597391</v>
      </c>
      <c r="L923" s="25"/>
      <c r="N923" s="25">
        <f>'Combined Retirement'!$C$18/12</f>
        <v>33932.660666666663</v>
      </c>
      <c r="O923" s="25">
        <f t="shared" si="785"/>
        <v>11007.82546143035</v>
      </c>
      <c r="P923" s="25">
        <f t="shared" si="786"/>
        <v>22924.835205236312</v>
      </c>
      <c r="Q923" s="25">
        <f t="array" aca="1" ref="Q923" ca="1">INDEX('Isaac 401k'!L:L,MATCH('Retirement Calculator'!A923,'Isaac 401k'!N:N,0),0)</f>
        <v>18849700.040785067</v>
      </c>
      <c r="R923" s="25">
        <f t="array" aca="1" ref="R923" ca="1">INDEX('Lorri 401b'!L:L,MATCH('Retirement Calculator'!A923,'Lorri 401b'!N:N,0),0)</f>
        <v>13695378.550068349</v>
      </c>
      <c r="S923" s="25">
        <f t="shared" ca="1" si="787"/>
        <v>32545078.590853415</v>
      </c>
    </row>
    <row r="924" spans="1:19" ht="15.75" customHeight="1" x14ac:dyDescent="0.3">
      <c r="A924" s="37">
        <v>79076</v>
      </c>
      <c r="B924" s="409">
        <f t="shared" ref="B924:C924" si="935">($A924-B$9)/365.25</f>
        <v>134.62012320328543</v>
      </c>
      <c r="C924" s="409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3525.4531757812501</v>
      </c>
      <c r="H924" s="25">
        <f>IF(B924&lt;62,0,'Combined Retirement'!$I$14)</f>
        <v>2192</v>
      </c>
      <c r="I924" s="25">
        <f>IF(C924&lt;62,0,'Combined Retirement'!$I$13)</f>
        <v>2420</v>
      </c>
      <c r="J924" s="25">
        <f t="shared" si="783"/>
        <v>6404.7404596389215</v>
      </c>
      <c r="K924" s="25">
        <f t="shared" si="784"/>
        <v>16520.094745597391</v>
      </c>
      <c r="L924" s="25"/>
      <c r="N924" s="25">
        <f>'Combined Retirement'!$C$18/12</f>
        <v>33932.660666666663</v>
      </c>
      <c r="O924" s="25">
        <f t="shared" si="785"/>
        <v>11007.82546143035</v>
      </c>
      <c r="P924" s="25">
        <f t="shared" si="786"/>
        <v>22924.835205236312</v>
      </c>
      <c r="Q924" s="25">
        <f t="array" aca="1" ref="Q924" ca="1">INDEX('Isaac 401k'!L:L,MATCH('Retirement Calculator'!A924,'Isaac 401k'!N:N,0),0)</f>
        <v>18921809.03074345</v>
      </c>
      <c r="R924" s="25">
        <f t="array" aca="1" ref="R924" ca="1">INDEX('Lorri 401b'!L:L,MATCH('Retirement Calculator'!A924,'Lorri 401b'!N:N,0),0)</f>
        <v>13735853.698886596</v>
      </c>
      <c r="S924" s="25">
        <f t="shared" ca="1" si="787"/>
        <v>32657662.729630046</v>
      </c>
    </row>
    <row r="925" spans="1:19" ht="15.75" customHeight="1" x14ac:dyDescent="0.3">
      <c r="A925" s="37">
        <v>79107</v>
      </c>
      <c r="B925" s="409">
        <f t="shared" ref="B925:C925" si="936">($A925-B$9)/365.25</f>
        <v>134.70499657768653</v>
      </c>
      <c r="C925" s="409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3525.4531757812501</v>
      </c>
      <c r="H925" s="25">
        <f>IF(B925&lt;62,0,'Combined Retirement'!$I$14)</f>
        <v>2192</v>
      </c>
      <c r="I925" s="25">
        <f>IF(C925&lt;62,0,'Combined Retirement'!$I$13)</f>
        <v>2420</v>
      </c>
      <c r="J925" s="25">
        <f t="shared" si="783"/>
        <v>6404.7404596389215</v>
      </c>
      <c r="K925" s="25">
        <f t="shared" si="784"/>
        <v>16520.094745597391</v>
      </c>
      <c r="L925" s="25"/>
      <c r="N925" s="25">
        <f>'Combined Retirement'!$C$18/12</f>
        <v>33932.660666666663</v>
      </c>
      <c r="O925" s="25">
        <f t="shared" si="785"/>
        <v>11007.82546143035</v>
      </c>
      <c r="P925" s="25">
        <f t="shared" si="786"/>
        <v>22924.835205236312</v>
      </c>
      <c r="Q925" s="25">
        <f t="array" aca="1" ref="Q925" ca="1">INDEX('Isaac 401k'!L:L,MATCH('Retirement Calculator'!A925,'Isaac 401k'!N:N,0),0)</f>
        <v>18994218.47482666</v>
      </c>
      <c r="R925" s="25">
        <f t="array" aca="1" ref="R925" ca="1">INDEX('Lorri 401b'!L:L,MATCH('Retirement Calculator'!A925,'Lorri 401b'!N:N,0),0)</f>
        <v>13776497.494158253</v>
      </c>
      <c r="S925" s="25">
        <f t="shared" ca="1" si="787"/>
        <v>32770715.968984913</v>
      </c>
    </row>
    <row r="926" spans="1:19" ht="15.75" customHeight="1" x14ac:dyDescent="0.3">
      <c r="A926" s="37">
        <v>79138</v>
      </c>
      <c r="B926" s="409">
        <f t="shared" ref="B926:C926" si="937">($A926-B$9)/365.25</f>
        <v>134.7898699520876</v>
      </c>
      <c r="C926" s="409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3525.4531757812501</v>
      </c>
      <c r="H926" s="25">
        <f>IF(B926&lt;62,0,'Combined Retirement'!$I$14)</f>
        <v>2192</v>
      </c>
      <c r="I926" s="25">
        <f>IF(C926&lt;62,0,'Combined Retirement'!$I$13)</f>
        <v>2420</v>
      </c>
      <c r="J926" s="25">
        <f t="shared" si="783"/>
        <v>6404.7404596389215</v>
      </c>
      <c r="K926" s="25">
        <f t="shared" si="784"/>
        <v>16520.094745597391</v>
      </c>
      <c r="L926" s="25"/>
      <c r="N926" s="25">
        <f>'Combined Retirement'!$C$18/12</f>
        <v>33932.660666666663</v>
      </c>
      <c r="O926" s="25">
        <f t="shared" si="785"/>
        <v>11007.82546143035</v>
      </c>
      <c r="P926" s="25">
        <f t="shared" si="786"/>
        <v>22924.835205236312</v>
      </c>
      <c r="Q926" s="25">
        <f t="array" aca="1" ref="Q926" ca="1">INDEX('Isaac 401k'!L:L,MATCH('Retirement Calculator'!A926,'Isaac 401k'!N:N,0),0)</f>
        <v>19066929.624926884</v>
      </c>
      <c r="R926" s="25">
        <f t="array" aca="1" ref="R926" ca="1">INDEX('Lorri 401b'!L:L,MATCH('Retirement Calculator'!A926,'Lorri 401b'!N:N,0),0)</f>
        <v>13817310.638576876</v>
      </c>
      <c r="S926" s="25">
        <f t="shared" ca="1" si="787"/>
        <v>32884240.26350376</v>
      </c>
    </row>
    <row r="927" spans="1:19" ht="15.75" customHeight="1" x14ac:dyDescent="0.3">
      <c r="A927" s="37">
        <v>79168</v>
      </c>
      <c r="B927" s="409">
        <f t="shared" ref="B927:C927" si="938">($A927-B$9)/365.25</f>
        <v>134.87200547570157</v>
      </c>
      <c r="C927" s="409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3525.4531757812501</v>
      </c>
      <c r="H927" s="25">
        <f>IF(B927&lt;62,0,'Combined Retirement'!$I$14)</f>
        <v>2192</v>
      </c>
      <c r="I927" s="25">
        <f>IF(C927&lt;62,0,'Combined Retirement'!$I$13)</f>
        <v>2420</v>
      </c>
      <c r="J927" s="25">
        <f t="shared" si="783"/>
        <v>6404.7404596389215</v>
      </c>
      <c r="K927" s="25">
        <f t="shared" si="784"/>
        <v>16520.094745597391</v>
      </c>
      <c r="L927" s="25"/>
      <c r="N927" s="25">
        <f>'Combined Retirement'!$C$18/12</f>
        <v>33932.660666666663</v>
      </c>
      <c r="O927" s="25">
        <f t="shared" si="785"/>
        <v>11007.82546143035</v>
      </c>
      <c r="P927" s="25">
        <f t="shared" si="786"/>
        <v>22924.835205236312</v>
      </c>
      <c r="Q927" s="25">
        <f t="array" aca="1" ref="Q927" ca="1">INDEX('Isaac 401k'!L:L,MATCH('Retirement Calculator'!A927,'Isaac 401k'!N:N,0),0)</f>
        <v>19139943.738152523</v>
      </c>
      <c r="R927" s="25">
        <f t="array" aca="1" ref="R927" ca="1">INDEX('Lorri 401b'!L:L,MATCH('Retirement Calculator'!A927,'Lorri 401b'!N:N,0),0)</f>
        <v>13858293.837763909</v>
      </c>
      <c r="S927" s="25">
        <f t="shared" ca="1" si="787"/>
        <v>32998237.575916432</v>
      </c>
    </row>
    <row r="928" spans="1:19" ht="15.75" customHeight="1" x14ac:dyDescent="0.3">
      <c r="A928" s="37">
        <v>79199</v>
      </c>
      <c r="B928" s="409">
        <f t="shared" ref="B928:C928" si="939">($A928-B$9)/365.25</f>
        <v>134.95687885010267</v>
      </c>
      <c r="C928" s="409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3525.4531757812501</v>
      </c>
      <c r="H928" s="25">
        <f>IF(B928&lt;62,0,'Combined Retirement'!$I$14)</f>
        <v>2192</v>
      </c>
      <c r="I928" s="25">
        <f>IF(C928&lt;62,0,'Combined Retirement'!$I$13)</f>
        <v>2420</v>
      </c>
      <c r="J928" s="25">
        <f t="shared" si="783"/>
        <v>6404.7404596389215</v>
      </c>
      <c r="K928" s="25">
        <f t="shared" si="784"/>
        <v>16520.094745597391</v>
      </c>
      <c r="L928" s="25"/>
      <c r="N928" s="25">
        <f>'Combined Retirement'!$C$18/12</f>
        <v>33932.660666666663</v>
      </c>
      <c r="O928" s="25">
        <f t="shared" si="785"/>
        <v>11007.82546143035</v>
      </c>
      <c r="P928" s="25">
        <f t="shared" si="786"/>
        <v>22924.835205236312</v>
      </c>
      <c r="Q928" s="25">
        <f t="array" aca="1" ref="Q928" ca="1">INDEX('Isaac 401k'!L:L,MATCH('Retirement Calculator'!A928,'Isaac 401k'!N:N,0),0)</f>
        <v>19213262.076849937</v>
      </c>
      <c r="R928" s="25">
        <f t="array" aca="1" ref="R928" ca="1">INDEX('Lorri 401b'!L:L,MATCH('Retirement Calculator'!A928,'Lorri 401b'!N:N,0),0)</f>
        <v>13899447.800280889</v>
      </c>
      <c r="S928" s="25">
        <f t="shared" ca="1" si="787"/>
        <v>33112709.877130829</v>
      </c>
    </row>
    <row r="929" spans="1:19" ht="15.75" customHeight="1" x14ac:dyDescent="0.3">
      <c r="A929" s="37">
        <v>79229</v>
      </c>
      <c r="B929" s="409">
        <f t="shared" ref="B929:C929" si="940">($A929-B$9)/365.25</f>
        <v>135.03901437371664</v>
      </c>
      <c r="C929" s="409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3525.4531757812501</v>
      </c>
      <c r="H929" s="25">
        <f>IF(B929&lt;62,0,'Combined Retirement'!$I$14)</f>
        <v>2192</v>
      </c>
      <c r="I929" s="25">
        <f>IF(C929&lt;62,0,'Combined Retirement'!$I$13)</f>
        <v>2420</v>
      </c>
      <c r="J929" s="25">
        <f t="shared" si="783"/>
        <v>6404.7404596389215</v>
      </c>
      <c r="K929" s="25">
        <f t="shared" si="784"/>
        <v>16520.094745597391</v>
      </c>
      <c r="L929" s="25"/>
      <c r="N929" s="25">
        <f>'Combined Retirement'!$C$18/12</f>
        <v>33932.660666666663</v>
      </c>
      <c r="O929" s="25">
        <f t="shared" si="785"/>
        <v>11007.82546143035</v>
      </c>
      <c r="P929" s="25">
        <f t="shared" si="786"/>
        <v>22924.835205236312</v>
      </c>
      <c r="Q929" s="25">
        <f t="array" aca="1" ref="Q929" ca="1">INDEX('Isaac 401k'!L:L,MATCH('Retirement Calculator'!A929,'Isaac 401k'!N:N,0),0)</f>
        <v>19286885.908625256</v>
      </c>
      <c r="R929" s="25">
        <f t="array" aca="1" ref="R929" ca="1">INDEX('Lorri 401b'!L:L,MATCH('Retirement Calculator'!A929,'Lorri 401b'!N:N,0),0)</f>
        <v>13940773.23764169</v>
      </c>
      <c r="S929" s="25">
        <f t="shared" ca="1" si="787"/>
        <v>33227659.146266945</v>
      </c>
    </row>
    <row r="930" spans="1:19" ht="15.75" customHeight="1" x14ac:dyDescent="0.3">
      <c r="A930" s="37">
        <v>79260</v>
      </c>
      <c r="B930" s="409">
        <f t="shared" ref="B930:C930" si="941">($A930-B$9)/365.25</f>
        <v>135.12388774811774</v>
      </c>
      <c r="C930" s="409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3525.4531757812501</v>
      </c>
      <c r="H930" s="25">
        <f>IF(B930&lt;62,0,'Combined Retirement'!$I$14)</f>
        <v>2192</v>
      </c>
      <c r="I930" s="25">
        <f>IF(C930&lt;62,0,'Combined Retirement'!$I$13)</f>
        <v>2420</v>
      </c>
      <c r="J930" s="25">
        <f t="shared" si="783"/>
        <v>6404.7404596389215</v>
      </c>
      <c r="K930" s="25">
        <f t="shared" si="784"/>
        <v>16520.094745597391</v>
      </c>
      <c r="L930" s="25"/>
      <c r="N930" s="25">
        <f>'Combined Retirement'!$C$18/12</f>
        <v>33932.660666666663</v>
      </c>
      <c r="O930" s="25">
        <f t="shared" si="785"/>
        <v>11007.82546143035</v>
      </c>
      <c r="P930" s="25">
        <f t="shared" si="786"/>
        <v>22924.835205236312</v>
      </c>
      <c r="Q930" s="25">
        <f t="array" aca="1" ref="Q930" ca="1">INDEX('Isaac 401k'!L:L,MATCH('Retirement Calculator'!A930,'Isaac 401k'!N:N,0),0)</f>
        <v>19360816.506366305</v>
      </c>
      <c r="R930" s="25">
        <f t="array" aca="1" ref="R930" ca="1">INDEX('Lorri 401b'!L:L,MATCH('Retirement Calculator'!A930,'Lorri 401b'!N:N,0),0)</f>
        <v>13982270.864324827</v>
      </c>
      <c r="S930" s="25">
        <f t="shared" ca="1" si="787"/>
        <v>33343087.370691132</v>
      </c>
    </row>
    <row r="931" spans="1:19" ht="15.75" customHeight="1" x14ac:dyDescent="0.3">
      <c r="A931" s="37">
        <v>79291</v>
      </c>
      <c r="B931" s="409">
        <f t="shared" ref="B931:C931" si="942">($A931-B$9)/365.25</f>
        <v>135.20876112251884</v>
      </c>
      <c r="C931" s="409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3525.4531757812501</v>
      </c>
      <c r="H931" s="25">
        <f>IF(B931&lt;62,0,'Combined Retirement'!$I$14)</f>
        <v>2192</v>
      </c>
      <c r="I931" s="25">
        <f>IF(C931&lt;62,0,'Combined Retirement'!$I$13)</f>
        <v>2420</v>
      </c>
      <c r="J931" s="25">
        <f t="shared" si="783"/>
        <v>6404.7404596389215</v>
      </c>
      <c r="K931" s="25">
        <f t="shared" si="784"/>
        <v>16520.094745597391</v>
      </c>
      <c r="L931" s="25"/>
      <c r="N931" s="25">
        <f>'Combined Retirement'!$C$18/12</f>
        <v>33932.660666666663</v>
      </c>
      <c r="O931" s="25">
        <f t="shared" si="785"/>
        <v>11007.82546143035</v>
      </c>
      <c r="P931" s="25">
        <f t="shared" si="786"/>
        <v>22924.835205236312</v>
      </c>
      <c r="Q931" s="25">
        <f t="array" aca="1" ref="Q931" ca="1">INDEX('Isaac 401k'!L:L,MATCH('Retirement Calculator'!A931,'Isaac 401k'!N:N,0),0)</f>
        <v>19435055.148264609</v>
      </c>
      <c r="R931" s="25">
        <f t="array" aca="1" ref="R931" ca="1">INDEX('Lorri 401b'!L:L,MATCH('Retirement Calculator'!A931,'Lorri 401b'!N:N,0),0)</f>
        <v>14023941.397785811</v>
      </c>
      <c r="S931" s="25">
        <f t="shared" ca="1" si="787"/>
        <v>33458996.546050422</v>
      </c>
    </row>
    <row r="932" spans="1:19" ht="15.75" customHeight="1" x14ac:dyDescent="0.3">
      <c r="A932" s="37">
        <v>79319</v>
      </c>
      <c r="B932" s="409">
        <f t="shared" ref="B932:C932" si="943">($A932-B$9)/365.25</f>
        <v>135.28542094455852</v>
      </c>
      <c r="C932" s="409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3525.4531757812501</v>
      </c>
      <c r="H932" s="25">
        <f>IF(B932&lt;62,0,'Combined Retirement'!$I$14)</f>
        <v>2192</v>
      </c>
      <c r="I932" s="25">
        <f>IF(C932&lt;62,0,'Combined Retirement'!$I$13)</f>
        <v>2420</v>
      </c>
      <c r="J932" s="25">
        <f t="shared" si="783"/>
        <v>6404.7404596389215</v>
      </c>
      <c r="K932" s="25">
        <f t="shared" si="784"/>
        <v>16520.094745597391</v>
      </c>
      <c r="L932" s="25"/>
      <c r="N932" s="25">
        <f>'Combined Retirement'!$C$18/12</f>
        <v>33932.660666666663</v>
      </c>
      <c r="O932" s="25">
        <f t="shared" si="785"/>
        <v>11007.82546143035</v>
      </c>
      <c r="P932" s="25">
        <f t="shared" si="786"/>
        <v>22924.835205236312</v>
      </c>
      <c r="Q932" s="25">
        <f t="array" aca="1" ref="Q932" ca="1">INDEX('Isaac 401k'!L:L,MATCH('Retirement Calculator'!A932,'Isaac 401k'!N:N,0),0)</f>
        <v>19509603.117837489</v>
      </c>
      <c r="R932" s="25">
        <f t="array" aca="1" ref="R932" ca="1">INDEX('Lorri 401b'!L:L,MATCH('Retirement Calculator'!A932,'Lorri 401b'!N:N,0),0)</f>
        <v>14065785.558469549</v>
      </c>
      <c r="S932" s="25">
        <f t="shared" ca="1" si="787"/>
        <v>33575388.676307037</v>
      </c>
    </row>
    <row r="933" spans="1:19" ht="15.75" customHeight="1" x14ac:dyDescent="0.3">
      <c r="A933" s="37">
        <v>79350</v>
      </c>
      <c r="B933" s="409">
        <f t="shared" ref="B933:C933" si="944">($A933-B$9)/365.25</f>
        <v>135.37029431895962</v>
      </c>
      <c r="C933" s="409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3525.4531757812501</v>
      </c>
      <c r="H933" s="25">
        <f>IF(B933&lt;62,0,'Combined Retirement'!$I$14)</f>
        <v>2192</v>
      </c>
      <c r="I933" s="25">
        <f>IF(C933&lt;62,0,'Combined Retirement'!$I$13)</f>
        <v>2420</v>
      </c>
      <c r="J933" s="25">
        <f t="shared" si="783"/>
        <v>6404.7404596389215</v>
      </c>
      <c r="K933" s="25">
        <f t="shared" si="784"/>
        <v>16520.094745597391</v>
      </c>
      <c r="L933" s="25"/>
      <c r="N933" s="25">
        <f>'Combined Retirement'!$C$18/12</f>
        <v>33932.660666666663</v>
      </c>
      <c r="O933" s="25">
        <f t="shared" si="785"/>
        <v>11007.82546143035</v>
      </c>
      <c r="P933" s="25">
        <f t="shared" si="786"/>
        <v>22924.835205236312</v>
      </c>
      <c r="Q933" s="25">
        <f t="array" aca="1" ref="Q933" ca="1">INDEX('Isaac 401k'!L:L,MATCH('Retirement Calculator'!A933,'Isaac 401k'!N:N,0),0)</f>
        <v>19584461.703950256</v>
      </c>
      <c r="R933" s="25">
        <f t="array" aca="1" ref="R933" ca="1">INDEX('Lorri 401b'!L:L,MATCH('Retirement Calculator'!A933,'Lorri 401b'!N:N,0),0)</f>
        <v>14107804.069822801</v>
      </c>
      <c r="S933" s="25">
        <f t="shared" ca="1" si="787"/>
        <v>33692265.773773059</v>
      </c>
    </row>
    <row r="934" spans="1:19" ht="15.75" customHeight="1" x14ac:dyDescent="0.3">
      <c r="A934" s="37">
        <v>79380</v>
      </c>
      <c r="B934" s="409">
        <f t="shared" ref="B934:C934" si="945">($A934-B$9)/365.25</f>
        <v>135.45242984257359</v>
      </c>
      <c r="C934" s="409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3525.4531757812501</v>
      </c>
      <c r="H934" s="25">
        <f>IF(B934&lt;62,0,'Combined Retirement'!$I$14)</f>
        <v>2192</v>
      </c>
      <c r="I934" s="25">
        <f>IF(C934&lt;62,0,'Combined Retirement'!$I$13)</f>
        <v>2420</v>
      </c>
      <c r="J934" s="25">
        <f t="shared" si="783"/>
        <v>6404.7404596389215</v>
      </c>
      <c r="K934" s="25">
        <f t="shared" si="784"/>
        <v>16520.094745597391</v>
      </c>
      <c r="L934" s="25"/>
      <c r="N934" s="25">
        <f>'Combined Retirement'!$C$18/12</f>
        <v>33932.660666666663</v>
      </c>
      <c r="O934" s="25">
        <f t="shared" si="785"/>
        <v>11007.82546143035</v>
      </c>
      <c r="P934" s="25">
        <f t="shared" si="786"/>
        <v>22924.835205236312</v>
      </c>
      <c r="Q934" s="25">
        <f t="array" aca="1" ref="Q934" ca="1">INDEX('Isaac 401k'!L:L,MATCH('Retirement Calculator'!A934,'Isaac 401k'!N:N,0),0)</f>
        <v>19659632.200838495</v>
      </c>
      <c r="R934" s="25">
        <f t="array" aca="1" ref="R934" ca="1">INDEX('Lorri 401b'!L:L,MATCH('Retirement Calculator'!A934,'Lorri 401b'!N:N,0),0)</f>
        <v>14149997.658306694</v>
      </c>
      <c r="S934" s="25">
        <f t="shared" ca="1" si="787"/>
        <v>33809629.859145187</v>
      </c>
    </row>
    <row r="935" spans="1:19" ht="15.75" customHeight="1" x14ac:dyDescent="0.3">
      <c r="A935" s="37">
        <v>79411</v>
      </c>
      <c r="B935" s="409">
        <f t="shared" ref="B935:C935" si="946">($A935-B$9)/365.25</f>
        <v>135.53730321697466</v>
      </c>
      <c r="C935" s="409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3525.4531757812501</v>
      </c>
      <c r="H935" s="25">
        <f>IF(B935&lt;62,0,'Combined Retirement'!$I$14)</f>
        <v>2192</v>
      </c>
      <c r="I935" s="25">
        <f>IF(C935&lt;62,0,'Combined Retirement'!$I$13)</f>
        <v>2420</v>
      </c>
      <c r="J935" s="25">
        <f t="shared" si="783"/>
        <v>6404.7404596389215</v>
      </c>
      <c r="K935" s="25">
        <f t="shared" si="784"/>
        <v>16520.094745597391</v>
      </c>
      <c r="L935" s="25"/>
      <c r="N935" s="25">
        <f>'Combined Retirement'!$C$18/12</f>
        <v>33932.660666666663</v>
      </c>
      <c r="O935" s="25">
        <f t="shared" si="785"/>
        <v>11007.82546143035</v>
      </c>
      <c r="P935" s="25">
        <f t="shared" si="786"/>
        <v>22924.835205236312</v>
      </c>
      <c r="Q935" s="25">
        <f t="array" aca="1" ref="Q935" ca="1">INDEX('Isaac 401k'!L:L,MATCH('Retirement Calculator'!A935,'Isaac 401k'!N:N,0),0)</f>
        <v>19735115.908130433</v>
      </c>
      <c r="R935" s="25">
        <f t="array" aca="1" ref="R935" ca="1">INDEX('Lorri 401b'!L:L,MATCH('Retirement Calculator'!A935,'Lorri 401b'!N:N,0),0)</f>
        <v>14192367.053409267</v>
      </c>
      <c r="S935" s="25">
        <f t="shared" ca="1" si="787"/>
        <v>33927482.961539701</v>
      </c>
    </row>
    <row r="936" spans="1:19" ht="15.75" customHeight="1" x14ac:dyDescent="0.3">
      <c r="A936" s="37">
        <v>79441</v>
      </c>
      <c r="B936" s="409">
        <f t="shared" ref="B936:C936" si="947">($A936-B$9)/365.25</f>
        <v>135.61943874058863</v>
      </c>
      <c r="C936" s="409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3525.4531757812501</v>
      </c>
      <c r="H936" s="25">
        <f>IF(B936&lt;62,0,'Combined Retirement'!$I$14)</f>
        <v>2192</v>
      </c>
      <c r="I936" s="25">
        <f>IF(C936&lt;62,0,'Combined Retirement'!$I$13)</f>
        <v>2420</v>
      </c>
      <c r="J936" s="25">
        <f t="shared" si="783"/>
        <v>6404.7404596389215</v>
      </c>
      <c r="K936" s="25">
        <f t="shared" si="784"/>
        <v>16520.094745597391</v>
      </c>
      <c r="L936" s="25"/>
      <c r="N936" s="25">
        <f>'Combined Retirement'!$C$18/12</f>
        <v>33932.660666666663</v>
      </c>
      <c r="O936" s="25">
        <f t="shared" si="785"/>
        <v>11007.82546143035</v>
      </c>
      <c r="P936" s="25">
        <f t="shared" si="786"/>
        <v>22924.835205236312</v>
      </c>
      <c r="Q936" s="25">
        <f t="array" aca="1" ref="Q936" ca="1">INDEX('Isaac 401k'!L:L,MATCH('Retirement Calculator'!A936,'Isaac 401k'!N:N,0),0)</f>
        <v>19810914.130869422</v>
      </c>
      <c r="R936" s="25">
        <f t="array" aca="1" ref="R936" ca="1">INDEX('Lorri 401b'!L:L,MATCH('Retirement Calculator'!A936,'Lorri 401b'!N:N,0),0)</f>
        <v>14234912.987658102</v>
      </c>
      <c r="S936" s="25">
        <f t="shared" ca="1" si="787"/>
        <v>34045827.118527524</v>
      </c>
    </row>
    <row r="937" spans="1:19" ht="15.75" customHeight="1" x14ac:dyDescent="0.3">
      <c r="A937" s="37">
        <v>79472</v>
      </c>
      <c r="B937" s="409">
        <f t="shared" ref="B937:C937" si="948">($A937-B$9)/365.25</f>
        <v>135.70431211498973</v>
      </c>
      <c r="C937" s="409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3525.4531757812501</v>
      </c>
      <c r="H937" s="25">
        <f>IF(B937&lt;62,0,'Combined Retirement'!$I$14)</f>
        <v>2192</v>
      </c>
      <c r="I937" s="25">
        <f>IF(C937&lt;62,0,'Combined Retirement'!$I$13)</f>
        <v>2420</v>
      </c>
      <c r="J937" s="25">
        <f t="shared" si="783"/>
        <v>6404.7404596389215</v>
      </c>
      <c r="K937" s="25">
        <f t="shared" si="784"/>
        <v>16520.094745597391</v>
      </c>
      <c r="L937" s="25"/>
      <c r="N937" s="25">
        <f>'Combined Retirement'!$C$18/12</f>
        <v>33932.660666666663</v>
      </c>
      <c r="O937" s="25">
        <f t="shared" si="785"/>
        <v>11007.82546143035</v>
      </c>
      <c r="P937" s="25">
        <f t="shared" si="786"/>
        <v>22924.835205236312</v>
      </c>
      <c r="Q937" s="25">
        <f t="array" aca="1" ref="Q937" ca="1">INDEX('Isaac 401k'!L:L,MATCH('Retirement Calculator'!A937,'Isaac 401k'!N:N,0),0)</f>
        <v>19887028.179536492</v>
      </c>
      <c r="R937" s="25">
        <f t="array" aca="1" ref="R937" ca="1">INDEX('Lorri 401b'!L:L,MATCH('Retirement Calculator'!A937,'Lorri 401b'!N:N,0),0)</f>
        <v>14277636.196632974</v>
      </c>
      <c r="S937" s="25">
        <f t="shared" ca="1" si="787"/>
        <v>34164664.376169465</v>
      </c>
    </row>
    <row r="938" spans="1:19" ht="15.75" customHeight="1" x14ac:dyDescent="0.3">
      <c r="A938" s="37">
        <v>79503</v>
      </c>
      <c r="B938" s="409">
        <f t="shared" ref="B938:C938" si="949">($A938-B$9)/365.25</f>
        <v>135.78918548939083</v>
      </c>
      <c r="C938" s="409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3525.4531757812501</v>
      </c>
      <c r="H938" s="25">
        <f>IF(B938&lt;62,0,'Combined Retirement'!$I$14)</f>
        <v>2192</v>
      </c>
      <c r="I938" s="25">
        <f>IF(C938&lt;62,0,'Combined Retirement'!$I$13)</f>
        <v>2420</v>
      </c>
      <c r="J938" s="25">
        <f t="shared" si="783"/>
        <v>6404.7404596389215</v>
      </c>
      <c r="K938" s="25">
        <f t="shared" si="784"/>
        <v>16520.094745597391</v>
      </c>
      <c r="L938" s="25"/>
      <c r="N938" s="25">
        <f>'Combined Retirement'!$C$18/12</f>
        <v>33932.660666666663</v>
      </c>
      <c r="O938" s="25">
        <f t="shared" si="785"/>
        <v>11007.82546143035</v>
      </c>
      <c r="P938" s="25">
        <f t="shared" si="786"/>
        <v>22924.835205236312</v>
      </c>
      <c r="Q938" s="25">
        <f t="array" aca="1" ref="Q938" ca="1">INDEX('Isaac 401k'!L:L,MATCH('Retirement Calculator'!A938,'Isaac 401k'!N:N,0),0)</f>
        <v>19963459.370073006</v>
      </c>
      <c r="R938" s="25">
        <f t="array" aca="1" ref="R938" ca="1">INDEX('Lorri 401b'!L:L,MATCH('Retirement Calculator'!A938,'Lorri 401b'!N:N,0),0)</f>
        <v>14320537.418978574</v>
      </c>
      <c r="S938" s="25">
        <f t="shared" ca="1" si="787"/>
        <v>34283996.789051577</v>
      </c>
    </row>
    <row r="939" spans="1:19" ht="15.75" customHeight="1" x14ac:dyDescent="0.3">
      <c r="A939" s="37">
        <v>79533</v>
      </c>
      <c r="B939" s="409">
        <f t="shared" ref="B939:C939" si="950">($A939-B$9)/365.25</f>
        <v>135.8713210130048</v>
      </c>
      <c r="C939" s="409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3525.4531757812501</v>
      </c>
      <c r="H939" s="25">
        <f>IF(B939&lt;62,0,'Combined Retirement'!$I$14)</f>
        <v>2192</v>
      </c>
      <c r="I939" s="25">
        <f>IF(C939&lt;62,0,'Combined Retirement'!$I$13)</f>
        <v>2420</v>
      </c>
      <c r="J939" s="25">
        <f t="shared" si="783"/>
        <v>6404.7404596389215</v>
      </c>
      <c r="K939" s="25">
        <f t="shared" si="784"/>
        <v>16520.094745597391</v>
      </c>
      <c r="L939" s="25"/>
      <c r="N939" s="25">
        <f>'Combined Retirement'!$C$18/12</f>
        <v>33932.660666666663</v>
      </c>
      <c r="O939" s="25">
        <f t="shared" si="785"/>
        <v>11007.82546143035</v>
      </c>
      <c r="P939" s="25">
        <f t="shared" si="786"/>
        <v>22924.835205236312</v>
      </c>
      <c r="Q939" s="25">
        <f t="array" aca="1" ref="Q939" ca="1">INDEX('Isaac 401k'!L:L,MATCH('Retirement Calculator'!A939,'Isaac 401k'!N:N,0),0)</f>
        <v>20040209.023903422</v>
      </c>
      <c r="R939" s="25">
        <f t="array" aca="1" ref="R939" ca="1">INDEX('Lorri 401b'!L:L,MATCH('Retirement Calculator'!A939,'Lorri 401b'!N:N,0),0)</f>
        <v>14363617.396417281</v>
      </c>
      <c r="S939" s="25">
        <f t="shared" ca="1" si="787"/>
        <v>34403826.420320705</v>
      </c>
    </row>
    <row r="940" spans="1:19" ht="15.75" customHeight="1" x14ac:dyDescent="0.3">
      <c r="A940" s="37">
        <v>79564</v>
      </c>
      <c r="B940" s="409">
        <f t="shared" ref="B940:C940" si="951">($A940-B$9)/365.25</f>
        <v>135.95619438740587</v>
      </c>
      <c r="C940" s="409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3525.4531757812501</v>
      </c>
      <c r="H940" s="25">
        <f>IF(B940&lt;62,0,'Combined Retirement'!$I$14)</f>
        <v>2192</v>
      </c>
      <c r="I940" s="25">
        <f>IF(C940&lt;62,0,'Combined Retirement'!$I$13)</f>
        <v>2420</v>
      </c>
      <c r="J940" s="25">
        <f t="shared" si="783"/>
        <v>6404.7404596389215</v>
      </c>
      <c r="K940" s="25">
        <f t="shared" si="784"/>
        <v>16520.094745597391</v>
      </c>
      <c r="L940" s="25"/>
      <c r="N940" s="25">
        <f>'Combined Retirement'!$C$18/12</f>
        <v>33932.660666666663</v>
      </c>
      <c r="O940" s="25">
        <f t="shared" si="785"/>
        <v>11007.82546143035</v>
      </c>
      <c r="P940" s="25">
        <f t="shared" si="786"/>
        <v>22924.835205236312</v>
      </c>
      <c r="Q940" s="25">
        <f t="array" aca="1" ref="Q940" ca="1">INDEX('Isaac 401k'!L:L,MATCH('Retirement Calculator'!A940,'Isaac 401k'!N:N,0),0)</f>
        <v>20117278.46795813</v>
      </c>
      <c r="R940" s="25">
        <f t="array" aca="1" ref="R940" ca="1">INDEX('Lorri 401b'!L:L,MATCH('Retirement Calculator'!A940,'Lorri 401b'!N:N,0),0)</f>
        <v>14406876.873761982</v>
      </c>
      <c r="S940" s="25">
        <f t="shared" ca="1" si="787"/>
        <v>34524155.341720112</v>
      </c>
    </row>
    <row r="941" spans="1:19" ht="15.75" customHeight="1" x14ac:dyDescent="0.3">
      <c r="A941" s="37">
        <v>79594</v>
      </c>
      <c r="B941" s="409">
        <f t="shared" ref="B941:C941" si="952">($A941-B$9)/365.25</f>
        <v>136.03832991101984</v>
      </c>
      <c r="C941" s="409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3525.4531757812501</v>
      </c>
      <c r="H941" s="25">
        <f>IF(B941&lt;62,0,'Combined Retirement'!$I$14)</f>
        <v>2192</v>
      </c>
      <c r="I941" s="25">
        <f>IF(C941&lt;62,0,'Combined Retirement'!$I$13)</f>
        <v>2420</v>
      </c>
      <c r="J941" s="25">
        <f t="shared" si="783"/>
        <v>6404.7404596389215</v>
      </c>
      <c r="K941" s="25">
        <f t="shared" si="784"/>
        <v>16520.094745597391</v>
      </c>
      <c r="L941" s="25"/>
      <c r="N941" s="25">
        <f>'Combined Retirement'!$C$18/12</f>
        <v>33932.660666666663</v>
      </c>
      <c r="O941" s="25">
        <f t="shared" si="785"/>
        <v>11007.82546143035</v>
      </c>
      <c r="P941" s="25">
        <f t="shared" si="786"/>
        <v>22924.835205236312</v>
      </c>
      <c r="Q941" s="25">
        <f t="array" aca="1" ref="Q941" ca="1">INDEX('Isaac 401k'!L:L,MATCH('Retirement Calculator'!A941,'Isaac 401k'!N:N,0),0)</f>
        <v>20194669.0346964</v>
      </c>
      <c r="R941" s="25">
        <f t="array" aca="1" ref="R941" ca="1">INDEX('Lorri 401b'!L:L,MATCH('Retirement Calculator'!A941,'Lorri 401b'!N:N,0),0)</f>
        <v>14450316.598928953</v>
      </c>
      <c r="S941" s="25">
        <f t="shared" ca="1" si="787"/>
        <v>34644985.633625351</v>
      </c>
    </row>
    <row r="942" spans="1:19" ht="15.75" customHeight="1" x14ac:dyDescent="0.3">
      <c r="A942" s="37">
        <v>79625</v>
      </c>
      <c r="B942" s="409">
        <f t="shared" ref="B942:C942" si="953">($A942-B$9)/365.25</f>
        <v>136.12320328542094</v>
      </c>
      <c r="C942" s="409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3525.4531757812501</v>
      </c>
      <c r="H942" s="25">
        <f>IF(B942&lt;62,0,'Combined Retirement'!$I$14)</f>
        <v>2192</v>
      </c>
      <c r="I942" s="25">
        <f>IF(C942&lt;62,0,'Combined Retirement'!$I$13)</f>
        <v>2420</v>
      </c>
      <c r="J942" s="25">
        <f t="shared" si="783"/>
        <v>6404.7404596389215</v>
      </c>
      <c r="K942" s="25">
        <f t="shared" si="784"/>
        <v>16520.094745597391</v>
      </c>
      <c r="L942" s="25"/>
      <c r="N942" s="25">
        <f>'Combined Retirement'!$C$18/12</f>
        <v>33932.660666666663</v>
      </c>
      <c r="O942" s="25">
        <f t="shared" si="785"/>
        <v>11007.82546143035</v>
      </c>
      <c r="P942" s="25">
        <f t="shared" si="786"/>
        <v>22924.835205236312</v>
      </c>
      <c r="Q942" s="25">
        <f t="array" aca="1" ref="Q942" ca="1">INDEX('Isaac 401k'!L:L,MATCH('Retirement Calculator'!A942,'Isaac 401k'!N:N,0),0)</f>
        <v>20272382.062129416</v>
      </c>
      <c r="R942" s="25">
        <f t="array" aca="1" ref="R942" ca="1">INDEX('Lorri 401b'!L:L,MATCH('Retirement Calculator'!A942,'Lorri 401b'!N:N,0),0)</f>
        <v>14493937.322950786</v>
      </c>
      <c r="S942" s="25">
        <f t="shared" ca="1" si="787"/>
        <v>34766319.385080203</v>
      </c>
    </row>
    <row r="943" spans="1:19" ht="15.75" customHeight="1" x14ac:dyDescent="0.3">
      <c r="A943" s="37">
        <v>79656</v>
      </c>
      <c r="B943" s="409">
        <f t="shared" ref="B943:C943" si="954">($A943-B$9)/365.25</f>
        <v>136.20807665982204</v>
      </c>
      <c r="C943" s="409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3525.4531757812501</v>
      </c>
      <c r="H943" s="25">
        <f>IF(B943&lt;62,0,'Combined Retirement'!$I$14)</f>
        <v>2192</v>
      </c>
      <c r="I943" s="25">
        <f>IF(C943&lt;62,0,'Combined Retirement'!$I$13)</f>
        <v>2420</v>
      </c>
      <c r="J943" s="25">
        <f t="shared" si="783"/>
        <v>6404.7404596389215</v>
      </c>
      <c r="K943" s="25">
        <f t="shared" si="784"/>
        <v>16520.094745597391</v>
      </c>
      <c r="L943" s="25"/>
      <c r="N943" s="25">
        <f>'Combined Retirement'!$C$18/12</f>
        <v>33932.660666666663</v>
      </c>
      <c r="O943" s="25">
        <f t="shared" si="785"/>
        <v>11007.82546143035</v>
      </c>
      <c r="P943" s="25">
        <f t="shared" si="786"/>
        <v>22924.835205236312</v>
      </c>
      <c r="Q943" s="25">
        <f t="array" aca="1" ref="Q943" ca="1">INDEX('Isaac 401k'!L:L,MATCH('Retirement Calculator'!A943,'Isaac 401k'!N:N,0),0)</f>
        <v>20350418.893843401</v>
      </c>
      <c r="R943" s="25">
        <f t="array" aca="1" ref="R943" ca="1">INDEX('Lorri 401b'!L:L,MATCH('Retirement Calculator'!A943,'Lorri 401b'!N:N,0),0)</f>
        <v>14537739.799989378</v>
      </c>
      <c r="S943" s="25">
        <f t="shared" ca="1" si="787"/>
        <v>34888158.693832777</v>
      </c>
    </row>
    <row r="944" spans="1:19" ht="15.75" customHeight="1" x14ac:dyDescent="0.3">
      <c r="A944" s="37">
        <v>79684</v>
      </c>
      <c r="B944" s="409">
        <f t="shared" ref="B944:C944" si="955">($A944-B$9)/365.25</f>
        <v>136.28473648186173</v>
      </c>
      <c r="C944" s="409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3525.4531757812501</v>
      </c>
      <c r="H944" s="25">
        <f>IF(B944&lt;62,0,'Combined Retirement'!$I$14)</f>
        <v>2192</v>
      </c>
      <c r="I944" s="25">
        <f>IF(C944&lt;62,0,'Combined Retirement'!$I$13)</f>
        <v>2420</v>
      </c>
      <c r="J944" s="25">
        <f t="shared" si="783"/>
        <v>6404.7404596389215</v>
      </c>
      <c r="K944" s="25">
        <f t="shared" si="784"/>
        <v>16520.094745597391</v>
      </c>
      <c r="L944" s="25"/>
      <c r="N944" s="25">
        <f>'Combined Retirement'!$C$18/12</f>
        <v>33932.660666666663</v>
      </c>
      <c r="O944" s="25">
        <f t="shared" si="785"/>
        <v>11007.82546143035</v>
      </c>
      <c r="P944" s="25">
        <f t="shared" si="786"/>
        <v>22924.835205236312</v>
      </c>
      <c r="Q944" s="25">
        <f t="array" aca="1" ref="Q944" ca="1">INDEX('Isaac 401k'!L:L,MATCH('Retirement Calculator'!A944,'Isaac 401k'!N:N,0),0)</f>
        <v>20428780.879022859</v>
      </c>
      <c r="R944" s="25">
        <f t="array" aca="1" ref="R944" ca="1">INDEX('Lorri 401b'!L:L,MATCH('Retirement Calculator'!A944,'Lorri 401b'!N:N,0),0)</f>
        <v>14581724.787348963</v>
      </c>
      <c r="S944" s="25">
        <f t="shared" ca="1" si="787"/>
        <v>35010505.666371822</v>
      </c>
    </row>
    <row r="945" spans="1:19" ht="15.75" customHeight="1" x14ac:dyDescent="0.3">
      <c r="A945" s="37">
        <v>79715</v>
      </c>
      <c r="B945" s="409">
        <f t="shared" ref="B945:C945" si="956">($A945-B$9)/365.25</f>
        <v>136.36960985626283</v>
      </c>
      <c r="C945" s="409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3525.4531757812501</v>
      </c>
      <c r="H945" s="25">
        <f>IF(B945&lt;62,0,'Combined Retirement'!$I$14)</f>
        <v>2192</v>
      </c>
      <c r="I945" s="25">
        <f>IF(C945&lt;62,0,'Combined Retirement'!$I$13)</f>
        <v>2420</v>
      </c>
      <c r="J945" s="25">
        <f t="shared" si="783"/>
        <v>6404.7404596389215</v>
      </c>
      <c r="K945" s="25">
        <f t="shared" si="784"/>
        <v>16520.094745597391</v>
      </c>
      <c r="L945" s="25"/>
      <c r="N945" s="25">
        <f>'Combined Retirement'!$C$18/12</f>
        <v>33932.660666666663</v>
      </c>
      <c r="O945" s="25">
        <f t="shared" si="785"/>
        <v>11007.82546143035</v>
      </c>
      <c r="P945" s="25">
        <f t="shared" si="786"/>
        <v>22924.835205236312</v>
      </c>
      <c r="Q945" s="25">
        <f t="array" aca="1" ref="Q945" ca="1">INDEX('Isaac 401k'!L:L,MATCH('Retirement Calculator'!A945,'Isaac 401k'!N:N,0),0)</f>
        <v>20507469.372473899</v>
      </c>
      <c r="R945" s="25">
        <f t="array" aca="1" ref="R945" ca="1">INDEX('Lorri 401b'!L:L,MATCH('Retirement Calculator'!A945,'Lorri 401b'!N:N,0),0)</f>
        <v>14625893.045489214</v>
      </c>
      <c r="S945" s="25">
        <f t="shared" ca="1" si="787"/>
        <v>35133362.417963117</v>
      </c>
    </row>
    <row r="946" spans="1:19" ht="15.75" customHeight="1" x14ac:dyDescent="0.3">
      <c r="A946" s="37">
        <v>79745</v>
      </c>
      <c r="B946" s="409">
        <f t="shared" ref="B946:C946" si="957">($A946-B$9)/365.25</f>
        <v>136.4517453798768</v>
      </c>
      <c r="C946" s="409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3525.4531757812501</v>
      </c>
      <c r="H946" s="25">
        <f>IF(B946&lt;62,0,'Combined Retirement'!$I$14)</f>
        <v>2192</v>
      </c>
      <c r="I946" s="25">
        <f>IF(C946&lt;62,0,'Combined Retirement'!$I$13)</f>
        <v>2420</v>
      </c>
      <c r="J946" s="25">
        <f t="shared" si="783"/>
        <v>6404.7404596389215</v>
      </c>
      <c r="K946" s="25">
        <f t="shared" si="784"/>
        <v>16520.094745597391</v>
      </c>
      <c r="L946" s="25"/>
      <c r="N946" s="25">
        <f>'Combined Retirement'!$C$18/12</f>
        <v>33932.660666666663</v>
      </c>
      <c r="O946" s="25">
        <f t="shared" si="785"/>
        <v>11007.82546143035</v>
      </c>
      <c r="P946" s="25">
        <f t="shared" si="786"/>
        <v>22924.835205236312</v>
      </c>
      <c r="Q946" s="25">
        <f t="array" aca="1" ref="Q946" ca="1">INDEX('Isaac 401k'!L:L,MATCH('Retirement Calculator'!A946,'Isaac 401k'!N:N,0),0)</f>
        <v>20586485.734647654</v>
      </c>
      <c r="R946" s="25">
        <f t="array" aca="1" ref="R946" ca="1">INDEX('Lorri 401b'!L:L,MATCH('Retirement Calculator'!A946,'Lorri 401b'!N:N,0),0)</f>
        <v>14670245.338038383</v>
      </c>
      <c r="S946" s="25">
        <f t="shared" ca="1" si="787"/>
        <v>35256731.072686039</v>
      </c>
    </row>
    <row r="947" spans="1:19" ht="15.75" customHeight="1" x14ac:dyDescent="0.3">
      <c r="A947" s="37">
        <v>79776</v>
      </c>
      <c r="B947" s="409">
        <f t="shared" ref="B947:C947" si="958">($A947-B$9)/365.25</f>
        <v>136.5366187542779</v>
      </c>
      <c r="C947" s="409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3525.4531757812501</v>
      </c>
      <c r="H947" s="25">
        <f>IF(B947&lt;62,0,'Combined Retirement'!$I$14)</f>
        <v>2192</v>
      </c>
      <c r="I947" s="25">
        <f>IF(C947&lt;62,0,'Combined Retirement'!$I$13)</f>
        <v>2420</v>
      </c>
      <c r="J947" s="25">
        <f t="shared" si="783"/>
        <v>6404.7404596389215</v>
      </c>
      <c r="K947" s="25">
        <f t="shared" si="784"/>
        <v>16520.094745597391</v>
      </c>
      <c r="L947" s="25"/>
      <c r="N947" s="25">
        <f>'Combined Retirement'!$C$18/12</f>
        <v>33932.660666666663</v>
      </c>
      <c r="O947" s="25">
        <f t="shared" si="785"/>
        <v>11007.82546143035</v>
      </c>
      <c r="P947" s="25">
        <f t="shared" si="786"/>
        <v>22924.835205236312</v>
      </c>
      <c r="Q947" s="25">
        <f t="array" aca="1" ref="Q947" ca="1">INDEX('Isaac 401k'!L:L,MATCH('Retirement Calculator'!A947,'Isaac 401k'!N:N,0),0)</f>
        <v>20665831.331663799</v>
      </c>
      <c r="R947" s="25">
        <f t="array" aca="1" ref="R947" ca="1">INDEX('Lorri 401b'!L:L,MATCH('Retirement Calculator'!A947,'Lorri 401b'!N:N,0),0)</f>
        <v>14714782.431806507</v>
      </c>
      <c r="S947" s="25">
        <f t="shared" ca="1" si="787"/>
        <v>35380613.763470307</v>
      </c>
    </row>
    <row r="948" spans="1:19" ht="15.75" customHeight="1" x14ac:dyDescent="0.3">
      <c r="A948" s="37">
        <v>79806</v>
      </c>
      <c r="B948" s="409">
        <f t="shared" ref="B948:C948" si="959">($A948-B$9)/365.25</f>
        <v>136.61875427789187</v>
      </c>
      <c r="C948" s="409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3525.4531757812501</v>
      </c>
      <c r="H948" s="25">
        <f>IF(B948&lt;62,0,'Combined Retirement'!$I$14)</f>
        <v>2192</v>
      </c>
      <c r="I948" s="25">
        <f>IF(C948&lt;62,0,'Combined Retirement'!$I$13)</f>
        <v>2420</v>
      </c>
      <c r="J948" s="25">
        <f t="shared" si="783"/>
        <v>6404.7404596389215</v>
      </c>
      <c r="K948" s="25">
        <f t="shared" si="784"/>
        <v>16520.094745597391</v>
      </c>
      <c r="L948" s="25"/>
      <c r="N948" s="25">
        <f>'Combined Retirement'!$C$18/12</f>
        <v>33932.660666666663</v>
      </c>
      <c r="O948" s="25">
        <f t="shared" si="785"/>
        <v>11007.82546143035</v>
      </c>
      <c r="P948" s="25">
        <f t="shared" si="786"/>
        <v>22924.835205236312</v>
      </c>
      <c r="Q948" s="25">
        <f t="array" aca="1" ref="Q948" ca="1">INDEX('Isaac 401k'!L:L,MATCH('Retirement Calculator'!A948,'Isaac 401k'!N:N,0),0)</f>
        <v>20745507.535334177</v>
      </c>
      <c r="R948" s="25">
        <f t="array" aca="1" ref="R948" ca="1">INDEX('Lorri 401b'!L:L,MATCH('Retirement Calculator'!A948,'Lorri 401b'!N:N,0),0)</f>
        <v>14759505.096798664</v>
      </c>
      <c r="S948" s="25">
        <f t="shared" ca="1" si="787"/>
        <v>35505012.632132843</v>
      </c>
    </row>
    <row r="949" spans="1:19" ht="15.75" customHeight="1" x14ac:dyDescent="0.3">
      <c r="A949" s="37">
        <v>79837</v>
      </c>
      <c r="B949" s="409">
        <f t="shared" ref="B949:C949" si="960">($A949-B$9)/365.25</f>
        <v>136.70362765229294</v>
      </c>
      <c r="C949" s="409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3525.4531757812501</v>
      </c>
      <c r="H949" s="25">
        <f>IF(B949&lt;62,0,'Combined Retirement'!$I$14)</f>
        <v>2192</v>
      </c>
      <c r="I949" s="25">
        <f>IF(C949&lt;62,0,'Combined Retirement'!$I$13)</f>
        <v>2420</v>
      </c>
      <c r="J949" s="25">
        <f t="shared" si="783"/>
        <v>6404.7404596389215</v>
      </c>
      <c r="K949" s="25">
        <f t="shared" si="784"/>
        <v>16520.094745597391</v>
      </c>
      <c r="L949" s="25"/>
      <c r="N949" s="25">
        <f>'Combined Retirement'!$C$18/12</f>
        <v>33932.660666666663</v>
      </c>
      <c r="O949" s="25">
        <f t="shared" si="785"/>
        <v>11007.82546143035</v>
      </c>
      <c r="P949" s="25">
        <f t="shared" si="786"/>
        <v>22924.835205236312</v>
      </c>
      <c r="Q949" s="25">
        <f t="array" aca="1" ref="Q949" ca="1">INDEX('Isaac 401k'!L:L,MATCH('Retirement Calculator'!A949,'Isaac 401k'!N:N,0),0)</f>
        <v>20825515.723186515</v>
      </c>
      <c r="R949" s="25">
        <f t="array" aca="1" ref="R949" ca="1">INDEX('Lorri 401b'!L:L,MATCH('Retirement Calculator'!A949,'Lorri 401b'!N:N,0),0)</f>
        <v>14804414.106228288</v>
      </c>
      <c r="S949" s="25">
        <f t="shared" ca="1" si="787"/>
        <v>35629929.8294148</v>
      </c>
    </row>
    <row r="950" spans="1:19" ht="15.75" customHeight="1" x14ac:dyDescent="0.3">
      <c r="A950" s="37">
        <v>79868</v>
      </c>
      <c r="B950" s="409">
        <f t="shared" ref="B950:C950" si="961">($A950-B$9)/365.25</f>
        <v>136.78850102669404</v>
      </c>
      <c r="C950" s="409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3525.4531757812501</v>
      </c>
      <c r="H950" s="25">
        <f>IF(B950&lt;62,0,'Combined Retirement'!$I$14)</f>
        <v>2192</v>
      </c>
      <c r="I950" s="25">
        <f>IF(C950&lt;62,0,'Combined Retirement'!$I$13)</f>
        <v>2420</v>
      </c>
      <c r="J950" s="25">
        <f t="shared" si="783"/>
        <v>6404.7404596389215</v>
      </c>
      <c r="K950" s="25">
        <f t="shared" si="784"/>
        <v>16520.094745597391</v>
      </c>
      <c r="L950" s="25"/>
      <c r="N950" s="25">
        <f>'Combined Retirement'!$C$18/12</f>
        <v>33932.660666666663</v>
      </c>
      <c r="O950" s="25">
        <f t="shared" si="785"/>
        <v>11007.82546143035</v>
      </c>
      <c r="P950" s="25">
        <f t="shared" si="786"/>
        <v>22924.835205236312</v>
      </c>
      <c r="Q950" s="25">
        <f t="array" aca="1" ref="Q950" ca="1">INDEX('Isaac 401k'!L:L,MATCH('Retirement Calculator'!A950,'Isaac 401k'!N:N,0),0)</f>
        <v>20905857.278488237</v>
      </c>
      <c r="R950" s="25">
        <f t="array" aca="1" ref="R950" ca="1">INDEX('Lorri 401b'!L:L,MATCH('Retirement Calculator'!A950,'Lorri 401b'!N:N,0),0)</f>
        <v>14849510.236530537</v>
      </c>
      <c r="S950" s="25">
        <f t="shared" ca="1" si="787"/>
        <v>35755367.515018776</v>
      </c>
    </row>
    <row r="951" spans="1:19" ht="15.75" customHeight="1" x14ac:dyDescent="0.3">
      <c r="A951" s="37">
        <v>79898</v>
      </c>
      <c r="B951" s="409">
        <f t="shared" ref="B951:C951" si="962">($A951-B$9)/365.25</f>
        <v>136.87063655030801</v>
      </c>
      <c r="C951" s="409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3525.4531757812501</v>
      </c>
      <c r="H951" s="25">
        <f>IF(B951&lt;62,0,'Combined Retirement'!$I$14)</f>
        <v>2192</v>
      </c>
      <c r="I951" s="25">
        <f>IF(C951&lt;62,0,'Combined Retirement'!$I$13)</f>
        <v>2420</v>
      </c>
      <c r="J951" s="25">
        <f t="shared" si="783"/>
        <v>6404.7404596389215</v>
      </c>
      <c r="K951" s="25">
        <f t="shared" si="784"/>
        <v>16520.094745597391</v>
      </c>
      <c r="L951" s="25"/>
      <c r="N951" s="25">
        <f>'Combined Retirement'!$C$18/12</f>
        <v>33932.660666666663</v>
      </c>
      <c r="O951" s="25">
        <f t="shared" si="785"/>
        <v>11007.82546143035</v>
      </c>
      <c r="P951" s="25">
        <f t="shared" si="786"/>
        <v>22924.835205236312</v>
      </c>
      <c r="Q951" s="25">
        <f t="array" aca="1" ref="Q951" ca="1">INDEX('Isaac 401k'!L:L,MATCH('Retirement Calculator'!A951,'Isaac 401k'!N:N,0),0)</f>
        <v>20986533.590270385</v>
      </c>
      <c r="R951" s="25">
        <f t="array" aca="1" ref="R951" ca="1">INDEX('Lorri 401b'!L:L,MATCH('Retirement Calculator'!A951,'Lorri 401b'!N:N,0),0)</f>
        <v>14894794.267375711</v>
      </c>
      <c r="S951" s="25">
        <f t="shared" ca="1" si="787"/>
        <v>35881327.857646093</v>
      </c>
    </row>
    <row r="952" spans="1:19" ht="15.75" customHeight="1" x14ac:dyDescent="0.3">
      <c r="A952" s="37">
        <v>79929</v>
      </c>
      <c r="B952" s="409">
        <f t="shared" ref="B952:C952" si="963">($A952-B$9)/365.25</f>
        <v>136.95550992470911</v>
      </c>
      <c r="C952" s="409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3525.4531757812501</v>
      </c>
      <c r="H952" s="25">
        <f>IF(B952&lt;62,0,'Combined Retirement'!$I$14)</f>
        <v>2192</v>
      </c>
      <c r="I952" s="25">
        <f>IF(C952&lt;62,0,'Combined Retirement'!$I$13)</f>
        <v>2420</v>
      </c>
      <c r="J952" s="25">
        <f t="shared" si="783"/>
        <v>6404.7404596389215</v>
      </c>
      <c r="K952" s="25">
        <f t="shared" si="784"/>
        <v>16520.094745597391</v>
      </c>
      <c r="L952" s="25"/>
      <c r="N952" s="25">
        <f>'Combined Retirement'!$C$18/12</f>
        <v>33932.660666666663</v>
      </c>
      <c r="O952" s="25">
        <f t="shared" si="785"/>
        <v>11007.82546143035</v>
      </c>
      <c r="P952" s="25">
        <f t="shared" si="786"/>
        <v>22924.835205236312</v>
      </c>
      <c r="Q952" s="25">
        <f t="array" aca="1" ref="Q952" ca="1">INDEX('Isaac 401k'!L:L,MATCH('Retirement Calculator'!A952,'Isaac 401k'!N:N,0),0)</f>
        <v>21067546.053351622</v>
      </c>
      <c r="R952" s="25">
        <f t="array" aca="1" ref="R952" ca="1">INDEX('Lorri 401b'!L:L,MATCH('Retirement Calculator'!A952,'Lorri 401b'!N:N,0),0)</f>
        <v>14940266.98168274</v>
      </c>
      <c r="S952" s="25">
        <f t="shared" ca="1" si="787"/>
        <v>36007813.035034359</v>
      </c>
    </row>
    <row r="953" spans="1:19" ht="15.75" customHeight="1" x14ac:dyDescent="0.3">
      <c r="A953" s="37">
        <v>79959</v>
      </c>
      <c r="B953" s="409">
        <f t="shared" ref="B953:C953" si="964">($A953-B$9)/365.25</f>
        <v>137.03764544832308</v>
      </c>
      <c r="C953" s="409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3525.4531757812501</v>
      </c>
      <c r="H953" s="25">
        <f>IF(B953&lt;62,0,'Combined Retirement'!$I$14)</f>
        <v>2192</v>
      </c>
      <c r="I953" s="25">
        <f>IF(C953&lt;62,0,'Combined Retirement'!$I$13)</f>
        <v>2420</v>
      </c>
      <c r="J953" s="25">
        <f t="shared" si="783"/>
        <v>6404.7404596389215</v>
      </c>
      <c r="K953" s="25">
        <f t="shared" si="784"/>
        <v>16520.094745597391</v>
      </c>
      <c r="L953" s="25"/>
      <c r="N953" s="25">
        <f>'Combined Retirement'!$C$18/12</f>
        <v>33932.660666666663</v>
      </c>
      <c r="O953" s="25">
        <f t="shared" si="785"/>
        <v>11007.82546143035</v>
      </c>
      <c r="P953" s="25">
        <f t="shared" si="786"/>
        <v>22924.835205236312</v>
      </c>
      <c r="Q953" s="25">
        <f t="array" aca="1" ref="Q953" ca="1">INDEX('Isaac 401k'!L:L,MATCH('Retirement Calculator'!A953,'Isaac 401k'!N:N,0),0)</f>
        <v>21148896.068362366</v>
      </c>
      <c r="R953" s="25">
        <f t="array" aca="1" ref="R953" ca="1">INDEX('Lorri 401b'!L:L,MATCH('Retirement Calculator'!A953,'Lorri 401b'!N:N,0),0)</f>
        <v>14985929.165632715</v>
      </c>
      <c r="S953" s="25">
        <f t="shared" ca="1" si="787"/>
        <v>36134825.23399508</v>
      </c>
    </row>
    <row r="954" spans="1:19" ht="15.75" customHeight="1" x14ac:dyDescent="0.3">
      <c r="A954" s="37">
        <v>79990</v>
      </c>
      <c r="B954" s="409">
        <f t="shared" ref="B954:C954" si="965">($A954-B$9)/365.25</f>
        <v>137.12251882272417</v>
      </c>
      <c r="C954" s="409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3525.4531757812501</v>
      </c>
      <c r="H954" s="25">
        <f>IF(B954&lt;62,0,'Combined Retirement'!$I$14)</f>
        <v>2192</v>
      </c>
      <c r="I954" s="25">
        <f>IF(C954&lt;62,0,'Combined Retirement'!$I$13)</f>
        <v>2420</v>
      </c>
      <c r="J954" s="25">
        <f t="shared" si="783"/>
        <v>6404.7404596389215</v>
      </c>
      <c r="K954" s="25">
        <f t="shared" si="784"/>
        <v>16520.094745597391</v>
      </c>
      <c r="L954" s="25"/>
      <c r="N954" s="25">
        <f>'Combined Retirement'!$C$18/12</f>
        <v>33932.660666666663</v>
      </c>
      <c r="O954" s="25">
        <f t="shared" si="785"/>
        <v>11007.82546143035</v>
      </c>
      <c r="P954" s="25">
        <f t="shared" si="786"/>
        <v>22924.835205236312</v>
      </c>
      <c r="Q954" s="25">
        <f t="array" aca="1" ref="Q954" ca="1">INDEX('Isaac 401k'!L:L,MATCH('Retirement Calculator'!A954,'Isaac 401k'!N:N,0),0)</f>
        <v>21230585.041768987</v>
      </c>
      <c r="R954" s="25">
        <f t="array" aca="1" ref="R954" ca="1">INDEX('Lorri 401b'!L:L,MATCH('Retirement Calculator'!A954,'Lorri 401b'!N:N,0),0)</f>
        <v>15031781.608682482</v>
      </c>
      <c r="S954" s="25">
        <f t="shared" ca="1" si="787"/>
        <v>36262366.650451466</v>
      </c>
    </row>
    <row r="955" spans="1:19" ht="15.75" customHeight="1" x14ac:dyDescent="0.3">
      <c r="A955" s="37">
        <v>80021</v>
      </c>
      <c r="B955" s="409">
        <f t="shared" ref="B955:C955" si="966">($A955-B$9)/365.25</f>
        <v>137.20739219712524</v>
      </c>
      <c r="C955" s="409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3525.4531757812501</v>
      </c>
      <c r="H955" s="25">
        <f>IF(B955&lt;62,0,'Combined Retirement'!$I$14)</f>
        <v>2192</v>
      </c>
      <c r="I955" s="25">
        <f>IF(C955&lt;62,0,'Combined Retirement'!$I$13)</f>
        <v>2420</v>
      </c>
      <c r="J955" s="25">
        <f t="shared" si="783"/>
        <v>6404.7404596389215</v>
      </c>
      <c r="K955" s="25">
        <f t="shared" si="784"/>
        <v>16520.094745597391</v>
      </c>
      <c r="L955" s="25"/>
      <c r="N955" s="25">
        <f>'Combined Retirement'!$C$18/12</f>
        <v>33932.660666666663</v>
      </c>
      <c r="O955" s="25">
        <f t="shared" si="785"/>
        <v>11007.82546143035</v>
      </c>
      <c r="P955" s="25">
        <f t="shared" si="786"/>
        <v>22924.835205236312</v>
      </c>
      <c r="Q955" s="25">
        <f t="array" aca="1" ref="Q955" ca="1">INDEX('Isaac 401k'!L:L,MATCH('Retirement Calculator'!A955,'Isaac 401k'!N:N,0),0)</f>
        <v>21312614.385898136</v>
      </c>
      <c r="R955" s="25">
        <f t="array" aca="1" ref="R955" ca="1">INDEX('Lorri 401b'!L:L,MATCH('Retirement Calculator'!A955,'Lorri 401b'!N:N,0),0)</f>
        <v>15077825.103578288</v>
      </c>
      <c r="S955" s="25">
        <f t="shared" ca="1" si="787"/>
        <v>36390439.489476427</v>
      </c>
    </row>
    <row r="956" spans="1:19" ht="15.75" customHeight="1" x14ac:dyDescent="0.3">
      <c r="A956" s="37">
        <v>80049</v>
      </c>
      <c r="B956" s="409">
        <f t="shared" ref="B956:C956" si="967">($A956-B$9)/365.25</f>
        <v>137.28405201916496</v>
      </c>
      <c r="C956" s="409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3525.4531757812501</v>
      </c>
      <c r="H956" s="25">
        <f>IF(B956&lt;62,0,'Combined Retirement'!$I$14)</f>
        <v>2192</v>
      </c>
      <c r="I956" s="25">
        <f>IF(C956&lt;62,0,'Combined Retirement'!$I$13)</f>
        <v>2420</v>
      </c>
      <c r="J956" s="25">
        <f t="shared" si="783"/>
        <v>6404.7404596389215</v>
      </c>
      <c r="K956" s="25">
        <f t="shared" si="784"/>
        <v>16520.094745597391</v>
      </c>
      <c r="L956" s="25"/>
      <c r="N956" s="25">
        <f>'Combined Retirement'!$C$18/12</f>
        <v>33932.660666666663</v>
      </c>
      <c r="O956" s="25">
        <f t="shared" si="785"/>
        <v>11007.82546143035</v>
      </c>
      <c r="P956" s="25">
        <f t="shared" si="786"/>
        <v>22924.835205236312</v>
      </c>
      <c r="Q956" s="25">
        <f t="array" aca="1" ref="Q956" ca="1">INDEX('Isaac 401k'!L:L,MATCH('Retirement Calculator'!A956,'Isaac 401k'!N:N,0),0)</f>
        <v>21394985.518961158</v>
      </c>
      <c r="R956" s="25">
        <f t="array" aca="1" ref="R956" ca="1">INDEX('Lorri 401b'!L:L,MATCH('Retirement Calculator'!A956,'Lorri 401b'!N:N,0),0)</f>
        <v>15124060.446369493</v>
      </c>
      <c r="S956" s="25">
        <f t="shared" ca="1" si="787"/>
        <v>36519045.965330653</v>
      </c>
    </row>
    <row r="957" spans="1:19" ht="15.75" customHeight="1" x14ac:dyDescent="0.3">
      <c r="A957" s="37">
        <v>80080</v>
      </c>
      <c r="B957" s="409">
        <f t="shared" ref="B957:C957" si="968">($A957-B$9)/365.25</f>
        <v>137.36892539356606</v>
      </c>
      <c r="C957" s="409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3525.4531757812501</v>
      </c>
      <c r="H957" s="25">
        <f>IF(B957&lt;62,0,'Combined Retirement'!$I$14)</f>
        <v>2192</v>
      </c>
      <c r="I957" s="25">
        <f>IF(C957&lt;62,0,'Combined Retirement'!$I$13)</f>
        <v>2420</v>
      </c>
      <c r="J957" s="25">
        <f t="shared" si="783"/>
        <v>6404.7404596389215</v>
      </c>
      <c r="K957" s="25">
        <f t="shared" si="784"/>
        <v>16520.094745597391</v>
      </c>
      <c r="L957" s="25"/>
      <c r="N957" s="25">
        <f>'Combined Retirement'!$C$18/12</f>
        <v>33932.660666666663</v>
      </c>
      <c r="O957" s="25">
        <f t="shared" si="785"/>
        <v>11007.82546143035</v>
      </c>
      <c r="P957" s="25">
        <f t="shared" si="786"/>
        <v>22924.835205236312</v>
      </c>
      <c r="Q957" s="25">
        <f t="array" aca="1" ref="Q957" ca="1">INDEX('Isaac 401k'!L:L,MATCH('Retirement Calculator'!A957,'Isaac 401k'!N:N,0),0)</f>
        <v>21477699.865078609</v>
      </c>
      <c r="R957" s="25">
        <f t="array" aca="1" ref="R957" ca="1">INDEX('Lorri 401b'!L:L,MATCH('Retirement Calculator'!A957,'Lorri 401b'!N:N,0),0)</f>
        <v>15170488.436422329</v>
      </c>
      <c r="S957" s="25">
        <f t="shared" ca="1" si="787"/>
        <v>36648188.301500939</v>
      </c>
    </row>
    <row r="958" spans="1:19" ht="15.75" customHeight="1" x14ac:dyDescent="0.3">
      <c r="A958" s="37">
        <v>80110</v>
      </c>
      <c r="B958" s="409">
        <f t="shared" ref="B958:C958" si="969">($A958-B$9)/365.25</f>
        <v>137.45106091718</v>
      </c>
      <c r="C958" s="409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3525.4531757812501</v>
      </c>
      <c r="H958" s="25">
        <f>IF(B958&lt;62,0,'Combined Retirement'!$I$14)</f>
        <v>2192</v>
      </c>
      <c r="I958" s="25">
        <f>IF(C958&lt;62,0,'Combined Retirement'!$I$13)</f>
        <v>2420</v>
      </c>
      <c r="J958" s="25">
        <f t="shared" si="783"/>
        <v>6404.7404596389215</v>
      </c>
      <c r="K958" s="25">
        <f t="shared" si="784"/>
        <v>16520.094745597391</v>
      </c>
      <c r="L958" s="25"/>
      <c r="N958" s="25">
        <f>'Combined Retirement'!$C$18/12</f>
        <v>33932.660666666663</v>
      </c>
      <c r="O958" s="25">
        <f t="shared" si="785"/>
        <v>11007.82546143035</v>
      </c>
      <c r="P958" s="25">
        <f t="shared" si="786"/>
        <v>22924.835205236312</v>
      </c>
      <c r="Q958" s="25">
        <f t="array" aca="1" ref="Q958" ca="1">INDEX('Isaac 401k'!L:L,MATCH('Retirement Calculator'!A958,'Isaac 401k'!N:N,0),0)</f>
        <v>21560758.854304884</v>
      </c>
      <c r="R958" s="25">
        <f t="array" aca="1" ref="R958" ca="1">INDEX('Lorri 401b'!L:L,MATCH('Retirement Calculator'!A958,'Lorri 401b'!N:N,0),0)</f>
        <v>15217109.876433719</v>
      </c>
      <c r="S958" s="25">
        <f t="shared" ca="1" si="787"/>
        <v>36777868.730738603</v>
      </c>
    </row>
    <row r="959" spans="1:19" ht="15.75" customHeight="1" x14ac:dyDescent="0.3">
      <c r="A959" s="37">
        <v>80141</v>
      </c>
      <c r="B959" s="409">
        <f t="shared" ref="B959:C959" si="970">($A959-B$9)/365.25</f>
        <v>137.5359342915811</v>
      </c>
      <c r="C959" s="409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3525.4531757812501</v>
      </c>
      <c r="H959" s="25">
        <f>IF(B959&lt;62,0,'Combined Retirement'!$I$14)</f>
        <v>2192</v>
      </c>
      <c r="I959" s="25">
        <f>IF(C959&lt;62,0,'Combined Retirement'!$I$13)</f>
        <v>2420</v>
      </c>
      <c r="J959" s="25">
        <f t="shared" si="783"/>
        <v>6404.7404596389215</v>
      </c>
      <c r="K959" s="25">
        <f t="shared" si="784"/>
        <v>16520.094745597391</v>
      </c>
      <c r="L959" s="25"/>
      <c r="N959" s="25">
        <f>'Combined Retirement'!$C$18/12</f>
        <v>33932.660666666663</v>
      </c>
      <c r="O959" s="25">
        <f t="shared" si="785"/>
        <v>11007.82546143035</v>
      </c>
      <c r="P959" s="25">
        <f t="shared" si="786"/>
        <v>22924.835205236312</v>
      </c>
      <c r="Q959" s="25">
        <f t="array" aca="1" ref="Q959" ca="1">INDEX('Isaac 401k'!L:L,MATCH('Retirement Calculator'!A959,'Isaac 401k'!N:N,0),0)</f>
        <v>21644163.922652934</v>
      </c>
      <c r="R959" s="25">
        <f t="array" aca="1" ref="R959" ca="1">INDEX('Lorri 401b'!L:L,MATCH('Retirement Calculator'!A959,'Lorri 401b'!N:N,0),0)</f>
        <v>15263925.572445156</v>
      </c>
      <c r="S959" s="25">
        <f t="shared" ca="1" si="787"/>
        <v>36908089.495098092</v>
      </c>
    </row>
    <row r="960" spans="1:19" ht="15.75" customHeight="1" x14ac:dyDescent="0.3">
      <c r="A960" s="37">
        <v>80171</v>
      </c>
      <c r="B960" s="409">
        <f t="shared" ref="B960:C960" si="971">($A960-B$9)/365.25</f>
        <v>137.61806981519507</v>
      </c>
      <c r="C960" s="409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3525.4531757812501</v>
      </c>
      <c r="H960" s="25">
        <f>IF(B960&lt;62,0,'Combined Retirement'!$I$14)</f>
        <v>2192</v>
      </c>
      <c r="I960" s="25">
        <f>IF(C960&lt;62,0,'Combined Retirement'!$I$13)</f>
        <v>2420</v>
      </c>
      <c r="J960" s="25">
        <f t="shared" si="783"/>
        <v>6404.7404596389215</v>
      </c>
      <c r="K960" s="25">
        <f t="shared" si="784"/>
        <v>16520.094745597391</v>
      </c>
      <c r="L960" s="25"/>
      <c r="N960" s="25">
        <f>'Combined Retirement'!$C$18/12</f>
        <v>33932.660666666663</v>
      </c>
      <c r="O960" s="25">
        <f t="shared" si="785"/>
        <v>11007.82546143035</v>
      </c>
      <c r="P960" s="25">
        <f t="shared" si="786"/>
        <v>22924.835205236312</v>
      </c>
      <c r="Q960" s="25">
        <f t="array" aca="1" ref="Q960" ca="1">INDEX('Isaac 401k'!L:L,MATCH('Retirement Calculator'!A960,'Isaac 401k'!N:N,0),0)</f>
        <v>21727916.512119099</v>
      </c>
      <c r="R960" s="25">
        <f t="array" aca="1" ref="R960" ca="1">INDEX('Lorri 401b'!L:L,MATCH('Retirement Calculator'!A960,'Lorri 401b'!N:N,0),0)</f>
        <v>15310936.33385664</v>
      </c>
      <c r="S960" s="25">
        <f t="shared" ca="1" si="787"/>
        <v>37038852.845975742</v>
      </c>
    </row>
    <row r="961" spans="1:19" ht="15.75" customHeight="1" x14ac:dyDescent="0.3">
      <c r="A961" s="37">
        <v>80202</v>
      </c>
      <c r="B961" s="409">
        <f t="shared" ref="B961:C961" si="972">($A961-B$9)/365.25</f>
        <v>137.70294318959617</v>
      </c>
      <c r="C961" s="409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3525.4531757812501</v>
      </c>
      <c r="H961" s="25">
        <f>IF(B961&lt;62,0,'Combined Retirement'!$I$14)</f>
        <v>2192</v>
      </c>
      <c r="I961" s="25">
        <f>IF(C961&lt;62,0,'Combined Retirement'!$I$13)</f>
        <v>2420</v>
      </c>
      <c r="J961" s="25">
        <f t="shared" si="783"/>
        <v>6404.7404596389215</v>
      </c>
      <c r="K961" s="25">
        <f t="shared" si="784"/>
        <v>16520.094745597391</v>
      </c>
      <c r="L961" s="25"/>
      <c r="N961" s="25">
        <f>'Combined Retirement'!$C$18/12</f>
        <v>33932.660666666663</v>
      </c>
      <c r="O961" s="25">
        <f t="shared" si="785"/>
        <v>11007.82546143035</v>
      </c>
      <c r="P961" s="25">
        <f t="shared" si="786"/>
        <v>22924.835205236312</v>
      </c>
      <c r="Q961" s="25">
        <f t="array" aca="1" ref="Q961" ca="1">INDEX('Isaac 401k'!L:L,MATCH('Retirement Calculator'!A961,'Isaac 401k'!N:N,0),0)</f>
        <v>21812018.07070804</v>
      </c>
      <c r="R961" s="25">
        <f t="array" aca="1" ref="R961" ca="1">INDEX('Lorri 401b'!L:L,MATCH('Retirement Calculator'!A961,'Lorri 401b'!N:N,0),0)</f>
        <v>15358142.973440673</v>
      </c>
      <c r="S961" s="25">
        <f t="shared" ca="1" si="787"/>
        <v>37170161.044148713</v>
      </c>
    </row>
    <row r="962" spans="1:19" ht="15.75" customHeight="1" x14ac:dyDescent="0.3">
      <c r="A962" s="37">
        <v>80233</v>
      </c>
      <c r="B962" s="409">
        <f t="shared" ref="B962:C962" si="973">($A962-B$9)/365.25</f>
        <v>137.78781656399727</v>
      </c>
      <c r="C962" s="409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3525.4531757812501</v>
      </c>
      <c r="H962" s="25">
        <f>IF(B962&lt;62,0,'Combined Retirement'!$I$14)</f>
        <v>2192</v>
      </c>
      <c r="I962" s="25">
        <f>IF(C962&lt;62,0,'Combined Retirement'!$I$13)</f>
        <v>2420</v>
      </c>
      <c r="J962" s="25">
        <f t="shared" si="783"/>
        <v>6404.7404596389215</v>
      </c>
      <c r="K962" s="25">
        <f t="shared" si="784"/>
        <v>16520.094745597391</v>
      </c>
      <c r="L962" s="25"/>
      <c r="N962" s="25">
        <f>'Combined Retirement'!$C$18/12</f>
        <v>33932.660666666663</v>
      </c>
      <c r="O962" s="25">
        <f t="shared" si="785"/>
        <v>11007.82546143035</v>
      </c>
      <c r="P962" s="25">
        <f t="shared" si="786"/>
        <v>22924.835205236312</v>
      </c>
      <c r="Q962" s="25">
        <f t="array" aca="1" ref="Q962" ca="1">INDEX('Isaac 401k'!L:L,MATCH('Retirement Calculator'!A962,'Isaac 401k'!N:N,0),0)</f>
        <v>21896470.052457768</v>
      </c>
      <c r="R962" s="25">
        <f t="array" aca="1" ref="R962" ca="1">INDEX('Lorri 401b'!L:L,MATCH('Retirement Calculator'!A962,'Lorri 401b'!N:N,0),0)</f>
        <v>15405546.307356305</v>
      </c>
      <c r="S962" s="25">
        <f t="shared" ca="1" si="787"/>
        <v>37302016.359814078</v>
      </c>
    </row>
    <row r="963" spans="1:19" ht="15.75" customHeight="1" x14ac:dyDescent="0.3">
      <c r="A963" s="37">
        <v>80263</v>
      </c>
      <c r="B963" s="409">
        <f t="shared" ref="B963:C963" si="974">($A963-B$9)/365.25</f>
        <v>137.86995208761124</v>
      </c>
      <c r="C963" s="409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3525.4531757812501</v>
      </c>
      <c r="H963" s="25">
        <f>IF(B963&lt;62,0,'Combined Retirement'!$I$14)</f>
        <v>2192</v>
      </c>
      <c r="I963" s="25">
        <f>IF(C963&lt;62,0,'Combined Retirement'!$I$13)</f>
        <v>2420</v>
      </c>
      <c r="J963" s="25">
        <f t="shared" si="783"/>
        <v>6404.7404596389215</v>
      </c>
      <c r="K963" s="25">
        <f t="shared" si="784"/>
        <v>16520.094745597391</v>
      </c>
      <c r="L963" s="25"/>
      <c r="N963" s="25">
        <f>'Combined Retirement'!$C$18/12</f>
        <v>33932.660666666663</v>
      </c>
      <c r="O963" s="25">
        <f t="shared" si="785"/>
        <v>11007.82546143035</v>
      </c>
      <c r="P963" s="25">
        <f t="shared" si="786"/>
        <v>22924.835205236312</v>
      </c>
      <c r="Q963" s="25">
        <f t="array" aca="1" ref="Q963" ca="1">INDEX('Isaac 401k'!L:L,MATCH('Retirement Calculator'!A963,'Isaac 401k'!N:N,0),0)</f>
        <v>21981273.917464789</v>
      </c>
      <c r="R963" s="25">
        <f t="array" aca="1" ref="R963" ca="1">INDEX('Lorri 401b'!L:L,MATCH('Retirement Calculator'!A963,'Lorri 401b'!N:N,0),0)</f>
        <v>15453147.155163253</v>
      </c>
      <c r="S963" s="25">
        <f t="shared" ca="1" si="787"/>
        <v>37434421.072628044</v>
      </c>
    </row>
    <row r="964" spans="1:19" ht="15.75" customHeight="1" x14ac:dyDescent="0.3">
      <c r="A964" s="37">
        <v>80294</v>
      </c>
      <c r="B964" s="409">
        <f t="shared" ref="B964:C964" si="975">($A964-B$9)/365.25</f>
        <v>137.95482546201231</v>
      </c>
      <c r="C964" s="409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3525.4531757812501</v>
      </c>
      <c r="H964" s="25">
        <f>IF(B964&lt;62,0,'Combined Retirement'!$I$14)</f>
        <v>2192</v>
      </c>
      <c r="I964" s="25">
        <f>IF(C964&lt;62,0,'Combined Retirement'!$I$13)</f>
        <v>2420</v>
      </c>
      <c r="J964" s="25">
        <f t="shared" si="783"/>
        <v>6404.7404596389215</v>
      </c>
      <c r="K964" s="25">
        <f t="shared" si="784"/>
        <v>16520.094745597391</v>
      </c>
      <c r="L964" s="25"/>
      <c r="N964" s="25">
        <f>'Combined Retirement'!$C$18/12</f>
        <v>33932.660666666663</v>
      </c>
      <c r="O964" s="25">
        <f t="shared" si="785"/>
        <v>11007.82546143035</v>
      </c>
      <c r="P964" s="25">
        <f t="shared" si="786"/>
        <v>22924.835205236312</v>
      </c>
      <c r="Q964" s="25">
        <f t="array" aca="1" ref="Q964" ca="1">INDEX('Isaac 401k'!L:L,MATCH('Retirement Calculator'!A964,'Isaac 401k'!N:N,0),0)</f>
        <v>22066431.131909337</v>
      </c>
      <c r="R964" s="25">
        <f t="array" aca="1" ref="R964" ca="1">INDEX('Lorri 401b'!L:L,MATCH('Retirement Calculator'!A964,'Lorri 401b'!N:N,0),0)</f>
        <v>15500946.339836063</v>
      </c>
      <c r="S964" s="25">
        <f t="shared" ca="1" si="787"/>
        <v>37567377.471745402</v>
      </c>
    </row>
    <row r="965" spans="1:19" ht="15.75" customHeight="1" x14ac:dyDescent="0.3">
      <c r="A965" s="37">
        <v>80324</v>
      </c>
      <c r="B965" s="409">
        <f t="shared" ref="B965:C965" si="976">($A965-B$9)/365.25</f>
        <v>138.03696098562628</v>
      </c>
      <c r="C965" s="409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3525.4531757812501</v>
      </c>
      <c r="H965" s="25">
        <f>IF(B965&lt;62,0,'Combined Retirement'!$I$14)</f>
        <v>2192</v>
      </c>
      <c r="I965" s="25">
        <f>IF(C965&lt;62,0,'Combined Retirement'!$I$13)</f>
        <v>2420</v>
      </c>
      <c r="J965" s="25">
        <f t="shared" si="783"/>
        <v>6404.7404596389215</v>
      </c>
      <c r="K965" s="25">
        <f t="shared" si="784"/>
        <v>16520.094745597391</v>
      </c>
      <c r="L965" s="25"/>
      <c r="N965" s="25">
        <f>'Combined Retirement'!$C$18/12</f>
        <v>33932.660666666663</v>
      </c>
      <c r="O965" s="25">
        <f t="shared" si="785"/>
        <v>11007.82546143035</v>
      </c>
      <c r="P965" s="25">
        <f t="shared" si="786"/>
        <v>22924.835205236312</v>
      </c>
      <c r="Q965" s="25">
        <f t="array" aca="1" ref="Q965" ca="1">INDEX('Isaac 401k'!L:L,MATCH('Retirement Calculator'!A965,'Isaac 401k'!N:N,0),0)</f>
        <v>22151943.168080736</v>
      </c>
      <c r="R965" s="25">
        <f t="array" aca="1" ref="R965" ca="1">INDEX('Lorri 401b'!L:L,MATCH('Retirement Calculator'!A965,'Lorri 401b'!N:N,0),0)</f>
        <v>15548944.687778343</v>
      </c>
      <c r="S965" s="25">
        <f t="shared" ca="1" si="787"/>
        <v>37700887.855859078</v>
      </c>
    </row>
    <row r="966" spans="1:19" ht="15.75" customHeight="1" x14ac:dyDescent="0.3">
      <c r="A966" s="37">
        <v>80355</v>
      </c>
      <c r="B966" s="409">
        <f t="shared" ref="B966:C966" si="977">($A966-B$9)/365.25</f>
        <v>138.12183436002738</v>
      </c>
      <c r="C966" s="409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3525.4531757812501</v>
      </c>
      <c r="H966" s="25">
        <f>IF(B966&lt;62,0,'Combined Retirement'!$I$14)</f>
        <v>2192</v>
      </c>
      <c r="I966" s="25">
        <f>IF(C966&lt;62,0,'Combined Retirement'!$I$13)</f>
        <v>2420</v>
      </c>
      <c r="J966" s="25">
        <f t="shared" si="783"/>
        <v>6404.7404596389215</v>
      </c>
      <c r="K966" s="25">
        <f t="shared" si="784"/>
        <v>16520.094745597391</v>
      </c>
      <c r="L966" s="25"/>
      <c r="N966" s="25">
        <f>'Combined Retirement'!$C$18/12</f>
        <v>33932.660666666663</v>
      </c>
      <c r="O966" s="25">
        <f t="shared" si="785"/>
        <v>11007.82546143035</v>
      </c>
      <c r="P966" s="25">
        <f t="shared" si="786"/>
        <v>22924.835205236312</v>
      </c>
      <c r="Q966" s="25">
        <f t="array" aca="1" ref="Q966" ca="1">INDEX('Isaac 401k'!L:L,MATCH('Retirement Calculator'!A966,'Isaac 401k'!N:N,0),0)</f>
        <v>22237811.50440285</v>
      </c>
      <c r="R966" s="25">
        <f t="array" aca="1" ref="R966" ca="1">INDEX('Lorri 401b'!L:L,MATCH('Retirement Calculator'!A966,'Lorri 401b'!N:N,0),0)</f>
        <v>15597143.028837049</v>
      </c>
      <c r="S966" s="25">
        <f t="shared" ca="1" si="787"/>
        <v>37834954.533239901</v>
      </c>
    </row>
    <row r="967" spans="1:19" ht="15.75" customHeight="1" x14ac:dyDescent="0.3">
      <c r="A967" s="37">
        <v>80386</v>
      </c>
      <c r="B967" s="409">
        <f t="shared" ref="B967:C967" si="978">($A967-B$9)/365.25</f>
        <v>138.20670773442848</v>
      </c>
      <c r="C967" s="409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3525.4531757812501</v>
      </c>
      <c r="H967" s="25">
        <f>IF(B967&lt;62,0,'Combined Retirement'!$I$14)</f>
        <v>2192</v>
      </c>
      <c r="I967" s="25">
        <f>IF(C967&lt;62,0,'Combined Retirement'!$I$13)</f>
        <v>2420</v>
      </c>
      <c r="J967" s="25">
        <f t="shared" si="783"/>
        <v>6404.7404596389215</v>
      </c>
      <c r="K967" s="25">
        <f t="shared" si="784"/>
        <v>16520.094745597391</v>
      </c>
      <c r="L967" s="25"/>
      <c r="N967" s="25">
        <f>'Combined Retirement'!$C$18/12</f>
        <v>33932.660666666663</v>
      </c>
      <c r="O967" s="25">
        <f t="shared" si="785"/>
        <v>11007.82546143035</v>
      </c>
      <c r="P967" s="25">
        <f t="shared" si="786"/>
        <v>22924.835205236312</v>
      </c>
      <c r="Q967" s="25">
        <f t="array" aca="1" ref="Q967" ca="1">INDEX('Isaac 401k'!L:L,MATCH('Retirement Calculator'!A967,'Isaac 401k'!N:N,0),0)</f>
        <v>22324037.625459641</v>
      </c>
      <c r="R967" s="25">
        <f t="array" aca="1" ref="R967" ca="1">INDEX('Lorri 401b'!L:L,MATCH('Retirement Calculator'!A967,'Lorri 401b'!N:N,0),0)</f>
        <v>15645542.196316833</v>
      </c>
      <c r="S967" s="25">
        <f t="shared" ca="1" si="787"/>
        <v>37969579.821776472</v>
      </c>
    </row>
    <row r="968" spans="1:19" ht="15.75" customHeight="1" x14ac:dyDescent="0.3">
      <c r="A968" s="37">
        <v>80415</v>
      </c>
      <c r="B968" s="409">
        <f t="shared" ref="B968:C968" si="979">($A968-B$9)/365.25</f>
        <v>138.28610540725529</v>
      </c>
      <c r="C968" s="409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3525.4531757812501</v>
      </c>
      <c r="H968" s="25">
        <f>IF(B968&lt;62,0,'Combined Retirement'!$I$14)</f>
        <v>2192</v>
      </c>
      <c r="I968" s="25">
        <f>IF(C968&lt;62,0,'Combined Retirement'!$I$13)</f>
        <v>2420</v>
      </c>
      <c r="J968" s="25">
        <f t="shared" si="783"/>
        <v>6404.7404596389215</v>
      </c>
      <c r="K968" s="25">
        <f t="shared" si="784"/>
        <v>16520.094745597391</v>
      </c>
      <c r="L968" s="25"/>
      <c r="N968" s="25">
        <f>'Combined Retirement'!$C$18/12</f>
        <v>33932.660666666663</v>
      </c>
      <c r="O968" s="25">
        <f t="shared" si="785"/>
        <v>11007.82546143035</v>
      </c>
      <c r="P968" s="25">
        <f t="shared" si="786"/>
        <v>22924.835205236312</v>
      </c>
      <c r="Q968" s="25">
        <f t="array" aca="1" ref="Q968" ca="1">INDEX('Isaac 401k'!L:L,MATCH('Retirement Calculator'!A968,'Isaac 401k'!N:N,0),0)</f>
        <v>22410623.022020835</v>
      </c>
      <c r="R968" s="25">
        <f t="array" aca="1" ref="R968" ca="1">INDEX('Lorri 401b'!L:L,MATCH('Retirement Calculator'!A968,'Lorri 401b'!N:N,0),0)</f>
        <v>15694143.02699445</v>
      </c>
      <c r="S968" s="25">
        <f t="shared" ca="1" si="787"/>
        <v>38104766.049015284</v>
      </c>
    </row>
    <row r="969" spans="1:19" ht="15.75" customHeight="1" x14ac:dyDescent="0.3">
      <c r="A969" s="37">
        <v>80446</v>
      </c>
      <c r="B969" s="409">
        <f t="shared" ref="B969:C969" si="980">($A969-B$9)/365.25</f>
        <v>138.37097878165639</v>
      </c>
      <c r="C969" s="409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3525.4531757812501</v>
      </c>
      <c r="H969" s="25">
        <f>IF(B969&lt;62,0,'Combined Retirement'!$I$14)</f>
        <v>2192</v>
      </c>
      <c r="I969" s="25">
        <f>IF(C969&lt;62,0,'Combined Retirement'!$I$13)</f>
        <v>2420</v>
      </c>
      <c r="J969" s="25">
        <f t="shared" si="783"/>
        <v>6404.7404596389215</v>
      </c>
      <c r="K969" s="25">
        <f t="shared" si="784"/>
        <v>16520.094745597391</v>
      </c>
      <c r="L969" s="25"/>
      <c r="N969" s="25">
        <f>'Combined Retirement'!$C$18/12</f>
        <v>33932.660666666663</v>
      </c>
      <c r="O969" s="25">
        <f t="shared" si="785"/>
        <v>11007.82546143035</v>
      </c>
      <c r="P969" s="25">
        <f t="shared" si="786"/>
        <v>22924.835205236312</v>
      </c>
      <c r="Q969" s="25">
        <f t="array" aca="1" ref="Q969" ca="1">INDEX('Isaac 401k'!L:L,MATCH('Retirement Calculator'!A969,'Isaac 401k'!N:N,0),0)</f>
        <v>22497569.191067699</v>
      </c>
      <c r="R969" s="25">
        <f t="array" aca="1" ref="R969" ca="1">INDEX('Lorri 401b'!L:L,MATCH('Retirement Calculator'!A969,'Lorri 401b'!N:N,0),0)</f>
        <v>15742946.361133223</v>
      </c>
      <c r="S969" s="25">
        <f t="shared" ca="1" si="787"/>
        <v>38240515.552200921</v>
      </c>
    </row>
    <row r="970" spans="1:19" ht="15.75" customHeight="1" x14ac:dyDescent="0.3">
      <c r="A970" s="37">
        <v>80476</v>
      </c>
      <c r="B970" s="409">
        <f t="shared" ref="B970:C970" si="981">($A970-B$9)/365.25</f>
        <v>138.45311430527036</v>
      </c>
      <c r="C970" s="409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3525.4531757812501</v>
      </c>
      <c r="H970" s="25">
        <f>IF(B970&lt;62,0,'Combined Retirement'!$I$14)</f>
        <v>2192</v>
      </c>
      <c r="I970" s="25">
        <f>IF(C970&lt;62,0,'Combined Retirement'!$I$13)</f>
        <v>2420</v>
      </c>
      <c r="J970" s="25">
        <f t="shared" si="783"/>
        <v>6404.7404596389215</v>
      </c>
      <c r="K970" s="25">
        <f t="shared" si="784"/>
        <v>16520.094745597391</v>
      </c>
      <c r="L970" s="25"/>
      <c r="N970" s="25">
        <f>'Combined Retirement'!$C$18/12</f>
        <v>33932.660666666663</v>
      </c>
      <c r="O970" s="25">
        <f t="shared" si="785"/>
        <v>11007.82546143035</v>
      </c>
      <c r="P970" s="25">
        <f t="shared" si="786"/>
        <v>22924.835205236312</v>
      </c>
      <c r="Q970" s="25">
        <f t="array" aca="1" ref="Q970" ca="1">INDEX('Isaac 401k'!L:L,MATCH('Retirement Calculator'!A970,'Isaac 401k'!N:N,0),0)</f>
        <v>22584877.635818928</v>
      </c>
      <c r="R970" s="25">
        <f t="array" aca="1" ref="R970" ca="1">INDEX('Lorri 401b'!L:L,MATCH('Retirement Calculator'!A970,'Lorri 401b'!N:N,0),0)</f>
        <v>15791953.042497575</v>
      </c>
      <c r="S970" s="25">
        <f t="shared" ca="1" si="787"/>
        <v>38376830.678316504</v>
      </c>
    </row>
    <row r="971" spans="1:19" ht="15.75" customHeight="1" x14ac:dyDescent="0.3">
      <c r="A971" s="37">
        <v>80507</v>
      </c>
      <c r="B971" s="409">
        <f t="shared" ref="B971:C971" si="982">($A971-B$9)/365.25</f>
        <v>138.53798767967146</v>
      </c>
      <c r="C971" s="409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3525.4531757812501</v>
      </c>
      <c r="H971" s="25">
        <f>IF(B971&lt;62,0,'Combined Retirement'!$I$14)</f>
        <v>2192</v>
      </c>
      <c r="I971" s="25">
        <f>IF(C971&lt;62,0,'Combined Retirement'!$I$13)</f>
        <v>2420</v>
      </c>
      <c r="J971" s="25">
        <f t="shared" si="783"/>
        <v>6404.7404596389215</v>
      </c>
      <c r="K971" s="25">
        <f t="shared" si="784"/>
        <v>16520.094745597391</v>
      </c>
      <c r="L971" s="25"/>
      <c r="N971" s="25">
        <f>'Combined Retirement'!$C$18/12</f>
        <v>33932.660666666663</v>
      </c>
      <c r="O971" s="25">
        <f t="shared" si="785"/>
        <v>11007.82546143035</v>
      </c>
      <c r="P971" s="25">
        <f t="shared" si="786"/>
        <v>22924.835205236312</v>
      </c>
      <c r="Q971" s="25">
        <f t="array" aca="1" ref="Q971" ca="1">INDEX('Isaac 401k'!L:L,MATCH('Retirement Calculator'!A971,'Isaac 401k'!N:N,0),0)</f>
        <v>22672549.86575662</v>
      </c>
      <c r="R971" s="25">
        <f t="array" aca="1" ref="R971" ca="1">INDEX('Lorri 401b'!L:L,MATCH('Retirement Calculator'!A971,'Lorri 401b'!N:N,0),0)</f>
        <v>15841163.918367611</v>
      </c>
      <c r="S971" s="25">
        <f t="shared" ca="1" si="787"/>
        <v>38513713.784124233</v>
      </c>
    </row>
    <row r="972" spans="1:19" ht="15.75" customHeight="1" x14ac:dyDescent="0.3">
      <c r="A972" s="37">
        <v>80537</v>
      </c>
      <c r="B972" s="409">
        <f t="shared" ref="B972:C972" si="983">($A972-B$9)/365.25</f>
        <v>138.62012320328543</v>
      </c>
      <c r="C972" s="409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3525.4531757812501</v>
      </c>
      <c r="H972" s="25">
        <f>IF(B972&lt;62,0,'Combined Retirement'!$I$14)</f>
        <v>2192</v>
      </c>
      <c r="I972" s="25">
        <f>IF(C972&lt;62,0,'Combined Retirement'!$I$13)</f>
        <v>2420</v>
      </c>
      <c r="J972" s="25">
        <f t="shared" si="783"/>
        <v>6404.7404596389215</v>
      </c>
      <c r="K972" s="25">
        <f t="shared" si="784"/>
        <v>16520.094745597391</v>
      </c>
      <c r="L972" s="25"/>
      <c r="N972" s="25">
        <f>'Combined Retirement'!$C$18/12</f>
        <v>33932.660666666663</v>
      </c>
      <c r="O972" s="25">
        <f t="shared" si="785"/>
        <v>11007.82546143035</v>
      </c>
      <c r="P972" s="25">
        <f t="shared" si="786"/>
        <v>22924.835205236312</v>
      </c>
      <c r="Q972" s="25">
        <f t="array" aca="1" ref="Q972" ca="1">INDEX('Isaac 401k'!L:L,MATCH('Retirement Calculator'!A972,'Isaac 401k'!N:N,0),0)</f>
        <v>22760587.396652386</v>
      </c>
      <c r="R972" s="25">
        <f t="array" aca="1" ref="R972" ca="1">INDEX('Lorri 401b'!L:L,MATCH('Retirement Calculator'!A972,'Lorri 401b'!N:N,0),0)</f>
        <v>15890579.839553773</v>
      </c>
      <c r="S972" s="25">
        <f t="shared" ca="1" si="787"/>
        <v>38651167.236206159</v>
      </c>
    </row>
    <row r="973" spans="1:19" ht="15.75" customHeight="1" x14ac:dyDescent="0.3">
      <c r="A973" s="37">
        <v>80568</v>
      </c>
      <c r="B973" s="409">
        <f t="shared" ref="B973:C973" si="984">($A973-B$9)/365.25</f>
        <v>138.70499657768653</v>
      </c>
      <c r="C973" s="409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3525.4531757812501</v>
      </c>
      <c r="H973" s="25">
        <f>IF(B973&lt;62,0,'Combined Retirement'!$I$14)</f>
        <v>2192</v>
      </c>
      <c r="I973" s="25">
        <f>IF(C973&lt;62,0,'Combined Retirement'!$I$13)</f>
        <v>2420</v>
      </c>
      <c r="J973" s="25">
        <f t="shared" si="783"/>
        <v>6404.7404596389215</v>
      </c>
      <c r="K973" s="25">
        <f t="shared" si="784"/>
        <v>16520.094745597391</v>
      </c>
      <c r="L973" s="25"/>
      <c r="N973" s="25">
        <f>'Combined Retirement'!$C$18/12</f>
        <v>33932.660666666663</v>
      </c>
      <c r="O973" s="25">
        <f t="shared" si="785"/>
        <v>11007.82546143035</v>
      </c>
      <c r="P973" s="25">
        <f t="shared" si="786"/>
        <v>22924.835205236312</v>
      </c>
      <c r="Q973" s="25">
        <f t="array" aca="1" ref="Q973" ca="1">INDEX('Isaac 401k'!L:L,MATCH('Retirement Calculator'!A973,'Isaac 401k'!N:N,0),0)</f>
        <v>22848991.750593551</v>
      </c>
      <c r="R973" s="25">
        <f t="array" aca="1" ref="R973" ca="1">INDEX('Lorri 401b'!L:L,MATCH('Retirement Calculator'!A973,'Lorri 401b'!N:N,0),0)</f>
        <v>15940201.660411544</v>
      </c>
      <c r="S973" s="25">
        <f t="shared" ca="1" si="787"/>
        <v>38789193.411005095</v>
      </c>
    </row>
    <row r="974" spans="1:19" ht="15.75" customHeight="1" x14ac:dyDescent="0.3">
      <c r="A974" s="37">
        <v>80599</v>
      </c>
      <c r="B974" s="409">
        <f t="shared" ref="B974:C974" si="985">($A974-B$9)/365.25</f>
        <v>138.7898699520876</v>
      </c>
      <c r="C974" s="409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3525.4531757812501</v>
      </c>
      <c r="H974" s="25">
        <f>IF(B974&lt;62,0,'Combined Retirement'!$I$14)</f>
        <v>2192</v>
      </c>
      <c r="I974" s="25">
        <f>IF(C974&lt;62,0,'Combined Retirement'!$I$13)</f>
        <v>2420</v>
      </c>
      <c r="J974" s="25">
        <f t="shared" si="783"/>
        <v>6404.7404596389215</v>
      </c>
      <c r="K974" s="25">
        <f t="shared" si="784"/>
        <v>16520.094745597391</v>
      </c>
      <c r="L974" s="25"/>
      <c r="N974" s="25">
        <f>'Combined Retirement'!$C$18/12</f>
        <v>33932.660666666663</v>
      </c>
      <c r="O974" s="25">
        <f t="shared" si="785"/>
        <v>11007.82546143035</v>
      </c>
      <c r="P974" s="25">
        <f t="shared" si="786"/>
        <v>22924.835205236312</v>
      </c>
      <c r="Q974" s="25">
        <f t="array" aca="1" ref="Q974" ca="1">INDEX('Isaac 401k'!L:L,MATCH('Retirement Calculator'!A974,'Isaac 401k'!N:N,0),0)</f>
        <v>22937764.45600947</v>
      </c>
      <c r="R974" s="25">
        <f t="array" aca="1" ref="R974" ca="1">INDEX('Lorri 401b'!L:L,MATCH('Retirement Calculator'!A974,'Lorri 401b'!N:N,0),0)</f>
        <v>15990030.238856222</v>
      </c>
      <c r="S974" s="25">
        <f t="shared" ca="1" si="787"/>
        <v>38927794.694865689</v>
      </c>
    </row>
    <row r="975" spans="1:19" ht="15.75" customHeight="1" x14ac:dyDescent="0.3">
      <c r="A975" s="37">
        <v>80629</v>
      </c>
      <c r="B975" s="409">
        <f t="shared" ref="B975:C975" si="986">($A975-B$9)/365.25</f>
        <v>138.87200547570157</v>
      </c>
      <c r="C975" s="409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3525.4531757812501</v>
      </c>
      <c r="H975" s="25">
        <f>IF(B975&lt;62,0,'Combined Retirement'!$I$14)</f>
        <v>2192</v>
      </c>
      <c r="I975" s="25">
        <f>IF(C975&lt;62,0,'Combined Retirement'!$I$13)</f>
        <v>2420</v>
      </c>
      <c r="J975" s="25">
        <f t="shared" si="783"/>
        <v>6404.7404596389215</v>
      </c>
      <c r="K975" s="25">
        <f t="shared" si="784"/>
        <v>16520.094745597391</v>
      </c>
      <c r="L975" s="25"/>
      <c r="N975" s="25">
        <f>'Combined Retirement'!$C$18/12</f>
        <v>33932.660666666663</v>
      </c>
      <c r="O975" s="25">
        <f t="shared" si="785"/>
        <v>11007.82546143035</v>
      </c>
      <c r="P975" s="25">
        <f t="shared" si="786"/>
        <v>22924.835205236312</v>
      </c>
      <c r="Q975" s="25">
        <f t="array" aca="1" ref="Q975" ca="1">INDEX('Isaac 401k'!L:L,MATCH('Retirement Calculator'!A975,'Isaac 401k'!N:N,0),0)</f>
        <v>23026907.047697954</v>
      </c>
      <c r="R975" s="25">
        <f t="array" aca="1" ref="R975" ca="1">INDEX('Lorri 401b'!L:L,MATCH('Retirement Calculator'!A975,'Lorri 401b'!N:N,0),0)</f>
        <v>16040066.436377753</v>
      </c>
      <c r="S975" s="25">
        <f t="shared" ca="1" si="787"/>
        <v>39066973.48407571</v>
      </c>
    </row>
    <row r="976" spans="1:19" ht="15.75" customHeight="1" x14ac:dyDescent="0.3">
      <c r="A976" s="37">
        <v>80660</v>
      </c>
      <c r="B976" s="409">
        <f t="shared" ref="B976:C976" si="987">($A976-B$9)/365.25</f>
        <v>138.95687885010267</v>
      </c>
      <c r="C976" s="409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3525.4531757812501</v>
      </c>
      <c r="H976" s="25">
        <f>IF(B976&lt;62,0,'Combined Retirement'!$I$14)</f>
        <v>2192</v>
      </c>
      <c r="I976" s="25">
        <f>IF(C976&lt;62,0,'Combined Retirement'!$I$13)</f>
        <v>2420</v>
      </c>
      <c r="J976" s="25">
        <f t="shared" si="783"/>
        <v>6404.7404596389215</v>
      </c>
      <c r="K976" s="25">
        <f t="shared" si="784"/>
        <v>16520.094745597391</v>
      </c>
      <c r="L976" s="25"/>
      <c r="N976" s="25">
        <f>'Combined Retirement'!$C$18/12</f>
        <v>33932.660666666663</v>
      </c>
      <c r="O976" s="25">
        <f t="shared" si="785"/>
        <v>11007.82546143035</v>
      </c>
      <c r="P976" s="25">
        <f t="shared" si="786"/>
        <v>22924.835205236312</v>
      </c>
      <c r="Q976" s="25">
        <f t="array" aca="1" ref="Q976" ca="1">INDEX('Isaac 401k'!L:L,MATCH('Retirement Calculator'!A976,'Isaac 401k'!N:N,0),0)</f>
        <v>23116421.066851806</v>
      </c>
      <c r="R976" s="25">
        <f t="array" aca="1" ref="R976" ca="1">INDEX('Lorri 401b'!L:L,MATCH('Retirement Calculator'!A976,'Lorri 401b'!N:N,0),0)</f>
        <v>16090311.118055623</v>
      </c>
      <c r="S976" s="25">
        <f t="shared" ca="1" si="787"/>
        <v>39206732.184907429</v>
      </c>
    </row>
    <row r="977" spans="1:19" ht="15.75" customHeight="1" x14ac:dyDescent="0.3">
      <c r="A977" s="37">
        <v>80690</v>
      </c>
      <c r="B977" s="409">
        <f t="shared" ref="B977:C977" si="988">($A977-B$9)/365.25</f>
        <v>139.03901437371664</v>
      </c>
      <c r="C977" s="409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3525.4531757812501</v>
      </c>
      <c r="H977" s="25">
        <f>IF(B977&lt;62,0,'Combined Retirement'!$I$14)</f>
        <v>2192</v>
      </c>
      <c r="I977" s="25">
        <f>IF(C977&lt;62,0,'Combined Retirement'!$I$13)</f>
        <v>2420</v>
      </c>
      <c r="J977" s="25">
        <f t="shared" si="783"/>
        <v>6404.7404596389215</v>
      </c>
      <c r="K977" s="25">
        <f t="shared" si="784"/>
        <v>16520.094745597391</v>
      </c>
      <c r="L977" s="25"/>
      <c r="N977" s="25">
        <f>'Combined Retirement'!$C$18/12</f>
        <v>33932.660666666663</v>
      </c>
      <c r="O977" s="25">
        <f t="shared" si="785"/>
        <v>11007.82546143035</v>
      </c>
      <c r="P977" s="25">
        <f t="shared" si="786"/>
        <v>22924.835205236312</v>
      </c>
      <c r="Q977" s="25">
        <f t="array" aca="1" ref="Q977" ca="1">INDEX('Isaac 401k'!L:L,MATCH('Retirement Calculator'!A977,'Isaac 401k'!N:N,0),0)</f>
        <v>23206308.061085466</v>
      </c>
      <c r="R977" s="25">
        <f t="array" aca="1" ref="R977" ca="1">INDEX('Lorri 401b'!L:L,MATCH('Retirement Calculator'!A977,'Lorri 401b'!N:N,0),0)</f>
        <v>16140765.152573818</v>
      </c>
      <c r="S977" s="25">
        <f t="shared" ca="1" si="787"/>
        <v>39347073.213659286</v>
      </c>
    </row>
    <row r="978" spans="1:19" ht="15.75" customHeight="1" x14ac:dyDescent="0.3">
      <c r="A978" s="37">
        <v>80721</v>
      </c>
      <c r="B978" s="409">
        <f t="shared" ref="B978:C978" si="989">($A978-B$9)/365.25</f>
        <v>139.12388774811774</v>
      </c>
      <c r="C978" s="409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3525.4531757812501</v>
      </c>
      <c r="H978" s="25">
        <f>IF(B978&lt;62,0,'Combined Retirement'!$I$14)</f>
        <v>2192</v>
      </c>
      <c r="I978" s="25">
        <f>IF(C978&lt;62,0,'Combined Retirement'!$I$13)</f>
        <v>2420</v>
      </c>
      <c r="J978" s="25">
        <f t="shared" si="783"/>
        <v>6404.7404596389215</v>
      </c>
      <c r="K978" s="25">
        <f t="shared" si="784"/>
        <v>16520.094745597391</v>
      </c>
      <c r="L978" s="25"/>
      <c r="N978" s="25">
        <f>'Combined Retirement'!$C$18/12</f>
        <v>33932.660666666663</v>
      </c>
      <c r="O978" s="25">
        <f t="shared" si="785"/>
        <v>11007.82546143035</v>
      </c>
      <c r="P978" s="25">
        <f t="shared" si="786"/>
        <v>22924.835205236312</v>
      </c>
      <c r="Q978" s="25">
        <f t="array" aca="1" ref="Q978" ca="1">INDEX('Isaac 401k'!L:L,MATCH('Retirement Calculator'!A978,'Isaac 401k'!N:N,0),0)</f>
        <v>23296569.584461767</v>
      </c>
      <c r="R978" s="25">
        <f t="array" aca="1" ref="R978" ca="1">INDEX('Lorri 401b'!L:L,MATCH('Retirement Calculator'!A978,'Lorri 401b'!N:N,0),0)</f>
        <v>16191429.412235839</v>
      </c>
      <c r="S978" s="25">
        <f t="shared" ca="1" si="787"/>
        <v>39487998.996697605</v>
      </c>
    </row>
    <row r="979" spans="1:19" ht="15.75" customHeight="1" x14ac:dyDescent="0.3">
      <c r="A979" s="37">
        <v>80752</v>
      </c>
      <c r="B979" s="409">
        <f t="shared" ref="B979:C979" si="990">($A979-B$9)/365.25</f>
        <v>139.20876112251884</v>
      </c>
      <c r="C979" s="409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3525.4531757812501</v>
      </c>
      <c r="H979" s="25">
        <f>IF(B979&lt;62,0,'Combined Retirement'!$I$14)</f>
        <v>2192</v>
      </c>
      <c r="I979" s="25">
        <f>IF(C979&lt;62,0,'Combined Retirement'!$I$13)</f>
        <v>2420</v>
      </c>
      <c r="J979" s="25">
        <f t="shared" si="783"/>
        <v>6404.7404596389215</v>
      </c>
      <c r="K979" s="25">
        <f t="shared" si="784"/>
        <v>16520.094745597391</v>
      </c>
      <c r="L979" s="25"/>
      <c r="N979" s="25">
        <f>'Combined Retirement'!$C$18/12</f>
        <v>33932.660666666663</v>
      </c>
      <c r="O979" s="25">
        <f t="shared" si="785"/>
        <v>11007.82546143035</v>
      </c>
      <c r="P979" s="25">
        <f t="shared" si="786"/>
        <v>22924.835205236312</v>
      </c>
      <c r="Q979" s="25">
        <f t="array" aca="1" ref="Q979" ca="1">INDEX('Isaac 401k'!L:L,MATCH('Retirement Calculator'!A979,'Isaac 401k'!N:N,0),0)</f>
        <v>23387207.197518803</v>
      </c>
      <c r="R979" s="25">
        <f t="array" aca="1" ref="R979" ca="1">INDEX('Lorri 401b'!L:L,MATCH('Retirement Calculator'!A979,'Lorri 401b'!N:N,0),0)</f>
        <v>16242304.772979785</v>
      </c>
      <c r="S979" s="25">
        <f t="shared" ca="1" si="787"/>
        <v>39629511.970498592</v>
      </c>
    </row>
    <row r="980" spans="1:19" ht="15.75" customHeight="1" x14ac:dyDescent="0.3">
      <c r="A980" s="37">
        <v>80780</v>
      </c>
      <c r="B980" s="409">
        <f t="shared" ref="B980:C980" si="991">($A980-B$9)/365.25</f>
        <v>139.28542094455852</v>
      </c>
      <c r="C980" s="409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3525.4531757812501</v>
      </c>
      <c r="H980" s="25">
        <f>IF(B980&lt;62,0,'Combined Retirement'!$I$14)</f>
        <v>2192</v>
      </c>
      <c r="I980" s="25">
        <f>IF(C980&lt;62,0,'Combined Retirement'!$I$13)</f>
        <v>2420</v>
      </c>
      <c r="J980" s="25">
        <f t="shared" si="783"/>
        <v>6404.7404596389215</v>
      </c>
      <c r="K980" s="25">
        <f t="shared" si="784"/>
        <v>16520.094745597391</v>
      </c>
      <c r="L980" s="25"/>
      <c r="N980" s="25">
        <f>'Combined Retirement'!$C$18/12</f>
        <v>33932.660666666663</v>
      </c>
      <c r="O980" s="25">
        <f t="shared" si="785"/>
        <v>11007.82546143035</v>
      </c>
      <c r="P980" s="25">
        <f t="shared" si="786"/>
        <v>22924.835205236312</v>
      </c>
      <c r="Q980" s="25">
        <f t="array" aca="1" ref="Q980" ca="1">INDEX('Isaac 401k'!L:L,MATCH('Retirement Calculator'!A980,'Isaac 401k'!N:N,0),0)</f>
        <v>23478222.46729691</v>
      </c>
      <c r="R980" s="25">
        <f t="array" aca="1" ref="R980" ca="1">INDEX('Lorri 401b'!L:L,MATCH('Retirement Calculator'!A980,'Lorri 401b'!N:N,0),0)</f>
        <v>16293392.114393497</v>
      </c>
      <c r="S980" s="25">
        <f t="shared" ca="1" si="787"/>
        <v>39771614.581690408</v>
      </c>
    </row>
    <row r="981" spans="1:19" ht="15.75" customHeight="1" x14ac:dyDescent="0.3">
      <c r="A981" s="37">
        <v>80811</v>
      </c>
      <c r="B981" s="409">
        <f t="shared" ref="B981:C981" si="992">($A981-B$9)/365.25</f>
        <v>139.37029431895962</v>
      </c>
      <c r="C981" s="409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3525.4531757812501</v>
      </c>
      <c r="H981" s="25">
        <f>IF(B981&lt;62,0,'Combined Retirement'!$I$14)</f>
        <v>2192</v>
      </c>
      <c r="I981" s="25">
        <f>IF(C981&lt;62,0,'Combined Retirement'!$I$13)</f>
        <v>2420</v>
      </c>
      <c r="J981" s="25">
        <f t="shared" si="783"/>
        <v>6404.7404596389215</v>
      </c>
      <c r="K981" s="25">
        <f t="shared" si="784"/>
        <v>16520.094745597391</v>
      </c>
      <c r="L981" s="25"/>
      <c r="N981" s="25">
        <f>'Combined Retirement'!$C$18/12</f>
        <v>33932.660666666663</v>
      </c>
      <c r="O981" s="25">
        <f t="shared" si="785"/>
        <v>11007.82546143035</v>
      </c>
      <c r="P981" s="25">
        <f t="shared" si="786"/>
        <v>22924.835205236312</v>
      </c>
      <c r="Q981" s="25">
        <f t="array" aca="1" ref="Q981" ca="1">INDEX('Isaac 401k'!L:L,MATCH('Retirement Calculator'!A981,'Isaac 401k'!N:N,0),0)</f>
        <v>23569616.96736576</v>
      </c>
      <c r="R981" s="25">
        <f t="array" aca="1" ref="R981" ca="1">INDEX('Lorri 401b'!L:L,MATCH('Retirement Calculator'!A981,'Lorri 401b'!N:N,0),0)</f>
        <v>16344692.319729766</v>
      </c>
      <c r="S981" s="25">
        <f t="shared" ca="1" si="787"/>
        <v>39914309.287095524</v>
      </c>
    </row>
    <row r="982" spans="1:19" ht="15.75" customHeight="1" x14ac:dyDescent="0.3">
      <c r="A982" s="37">
        <v>80841</v>
      </c>
      <c r="B982" s="409">
        <f t="shared" ref="B982:C982" si="993">($A982-B$9)/365.25</f>
        <v>139.45242984257359</v>
      </c>
      <c r="C982" s="409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3525.4531757812501</v>
      </c>
      <c r="H982" s="25">
        <f>IF(B982&lt;62,0,'Combined Retirement'!$I$14)</f>
        <v>2192</v>
      </c>
      <c r="I982" s="25">
        <f>IF(C982&lt;62,0,'Combined Retirement'!$I$13)</f>
        <v>2420</v>
      </c>
      <c r="J982" s="25">
        <f t="shared" si="783"/>
        <v>6404.7404596389215</v>
      </c>
      <c r="K982" s="25">
        <f t="shared" si="784"/>
        <v>16520.094745597391</v>
      </c>
      <c r="L982" s="25"/>
      <c r="N982" s="25">
        <f>'Combined Retirement'!$C$18/12</f>
        <v>33932.660666666663</v>
      </c>
      <c r="O982" s="25">
        <f t="shared" si="785"/>
        <v>11007.82546143035</v>
      </c>
      <c r="P982" s="25">
        <f t="shared" si="786"/>
        <v>22924.835205236312</v>
      </c>
      <c r="Q982" s="25">
        <f t="array" aca="1" ref="Q982" ca="1">INDEX('Isaac 401k'!L:L,MATCH('Retirement Calculator'!A982,'Isaac 401k'!N:N,0),0)</f>
        <v>23661392.277851563</v>
      </c>
      <c r="R982" s="25">
        <f t="array" aca="1" ref="R982" ca="1">INDEX('Lorri 401b'!L:L,MATCH('Retirement Calculator'!A982,'Lorri 401b'!N:N,0),0)</f>
        <v>16396206.275921604</v>
      </c>
      <c r="S982" s="25">
        <f t="shared" ca="1" si="787"/>
        <v>40057598.553773165</v>
      </c>
    </row>
    <row r="983" spans="1:19" ht="15.75" customHeight="1" x14ac:dyDescent="0.3">
      <c r="A983" s="37">
        <v>80872</v>
      </c>
      <c r="B983" s="409">
        <f t="shared" ref="B983:C983" si="994">($A983-B$9)/365.25</f>
        <v>139.53730321697466</v>
      </c>
      <c r="C983" s="409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3525.4531757812501</v>
      </c>
      <c r="H983" s="25">
        <f>IF(B983&lt;62,0,'Combined Retirement'!$I$14)</f>
        <v>2192</v>
      </c>
      <c r="I983" s="25">
        <f>IF(C983&lt;62,0,'Combined Retirement'!$I$13)</f>
        <v>2420</v>
      </c>
      <c r="J983" s="25">
        <f t="shared" si="783"/>
        <v>6404.7404596389215</v>
      </c>
      <c r="K983" s="25">
        <f t="shared" si="784"/>
        <v>16520.094745597391</v>
      </c>
      <c r="L983" s="25"/>
      <c r="N983" s="25">
        <f>'Combined Retirement'!$C$18/12</f>
        <v>33932.660666666663</v>
      </c>
      <c r="O983" s="25">
        <f t="shared" si="785"/>
        <v>11007.82546143035</v>
      </c>
      <c r="P983" s="25">
        <f t="shared" si="786"/>
        <v>22924.835205236312</v>
      </c>
      <c r="Q983" s="25">
        <f t="array" aca="1" ref="Q983" ca="1">INDEX('Isaac 401k'!L:L,MATCH('Retirement Calculator'!A983,'Isaac 401k'!N:N,0),0)</f>
        <v>23753549.98546439</v>
      </c>
      <c r="R983" s="25">
        <f t="array" aca="1" ref="R983" ca="1">INDEX('Lorri 401b'!L:L,MATCH('Retirement Calculator'!A983,'Lorri 401b'!N:N,0),0)</f>
        <v>16447934.873597573</v>
      </c>
      <c r="S983" s="25">
        <f t="shared" ca="1" si="787"/>
        <v>40201484.859061964</v>
      </c>
    </row>
    <row r="984" spans="1:19" ht="15.75" customHeight="1" x14ac:dyDescent="0.3">
      <c r="A984" s="37">
        <v>80902</v>
      </c>
      <c r="B984" s="409">
        <f t="shared" ref="B984:C984" si="995">($A984-B$9)/365.25</f>
        <v>139.61943874058863</v>
      </c>
      <c r="C984" s="409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3525.4531757812501</v>
      </c>
      <c r="H984" s="25">
        <f>IF(B984&lt;62,0,'Combined Retirement'!$I$14)</f>
        <v>2192</v>
      </c>
      <c r="I984" s="25">
        <f>IF(C984&lt;62,0,'Combined Retirement'!$I$13)</f>
        <v>2420</v>
      </c>
      <c r="J984" s="25">
        <f t="shared" si="783"/>
        <v>6404.7404596389215</v>
      </c>
      <c r="K984" s="25">
        <f t="shared" si="784"/>
        <v>16520.094745597391</v>
      </c>
      <c r="L984" s="25"/>
      <c r="N984" s="25">
        <f>'Combined Retirement'!$C$18/12</f>
        <v>33932.660666666663</v>
      </c>
      <c r="O984" s="25">
        <f t="shared" si="785"/>
        <v>11007.82546143035</v>
      </c>
      <c r="P984" s="25">
        <f t="shared" si="786"/>
        <v>22924.835205236312</v>
      </c>
      <c r="Q984" s="25">
        <f t="array" aca="1" ref="Q984" ca="1">INDEX('Isaac 401k'!L:L,MATCH('Retirement Calculator'!A984,'Isaac 401k'!N:N,0),0)</f>
        <v>23846091.683525603</v>
      </c>
      <c r="R984" s="25">
        <f t="array" aca="1" ref="R984" ca="1">INDEX('Lorri 401b'!L:L,MATCH('Retirement Calculator'!A984,'Lorri 401b'!N:N,0),0)</f>
        <v>16499879.007097194</v>
      </c>
      <c r="S984" s="25">
        <f t="shared" ca="1" si="787"/>
        <v>40345970.690622799</v>
      </c>
    </row>
    <row r="985" spans="1:19" ht="15.75" customHeight="1" x14ac:dyDescent="0.3">
      <c r="A985" s="37">
        <v>80933</v>
      </c>
      <c r="B985" s="409">
        <f t="shared" ref="B985:C985" si="996">($A985-B$9)/365.25</f>
        <v>139.70431211498973</v>
      </c>
      <c r="C985" s="409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3525.4531757812501</v>
      </c>
      <c r="H985" s="25">
        <f>IF(B985&lt;62,0,'Combined Retirement'!$I$14)</f>
        <v>2192</v>
      </c>
      <c r="I985" s="25">
        <f>IF(C985&lt;62,0,'Combined Retirement'!$I$13)</f>
        <v>2420</v>
      </c>
      <c r="J985" s="25">
        <f t="shared" si="783"/>
        <v>6404.7404596389215</v>
      </c>
      <c r="K985" s="25">
        <f t="shared" si="784"/>
        <v>16520.094745597391</v>
      </c>
      <c r="L985" s="25"/>
      <c r="N985" s="25">
        <f>'Combined Retirement'!$C$18/12</f>
        <v>33932.660666666663</v>
      </c>
      <c r="O985" s="25">
        <f t="shared" si="785"/>
        <v>11007.82546143035</v>
      </c>
      <c r="P985" s="25">
        <f t="shared" si="786"/>
        <v>22924.835205236312</v>
      </c>
      <c r="Q985" s="25">
        <f t="array" aca="1" ref="Q985" ca="1">INDEX('Isaac 401k'!L:L,MATCH('Retirement Calculator'!A985,'Isaac 401k'!N:N,0),0)</f>
        <v>23939018.971995406</v>
      </c>
      <c r="R985" s="25">
        <f t="array" aca="1" ref="R985" ca="1">INDEX('Lorri 401b'!L:L,MATCH('Retirement Calculator'!A985,'Lorri 401b'!N:N,0),0)</f>
        <v>16552039.574486395</v>
      </c>
      <c r="S985" s="25">
        <f t="shared" ca="1" si="787"/>
        <v>40491058.546481803</v>
      </c>
    </row>
    <row r="986" spans="1:19" ht="15.75" customHeight="1" x14ac:dyDescent="0.3">
      <c r="A986" s="37">
        <v>80964</v>
      </c>
      <c r="B986" s="409">
        <f t="shared" ref="B986:C986" si="997">($A986-B$9)/365.25</f>
        <v>139.78918548939083</v>
      </c>
      <c r="C986" s="409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3525.4531757812501</v>
      </c>
      <c r="H986" s="25">
        <f>IF(B986&lt;62,0,'Combined Retirement'!$I$14)</f>
        <v>2192</v>
      </c>
      <c r="I986" s="25">
        <f>IF(C986&lt;62,0,'Combined Retirement'!$I$13)</f>
        <v>2420</v>
      </c>
      <c r="J986" s="25">
        <f t="shared" si="783"/>
        <v>6404.7404596389215</v>
      </c>
      <c r="K986" s="25">
        <f t="shared" si="784"/>
        <v>16520.094745597391</v>
      </c>
      <c r="L986" s="25"/>
      <c r="N986" s="25">
        <f>'Combined Retirement'!$C$18/12</f>
        <v>33932.660666666663</v>
      </c>
      <c r="O986" s="25">
        <f t="shared" si="785"/>
        <v>11007.82546143035</v>
      </c>
      <c r="P986" s="25">
        <f t="shared" si="786"/>
        <v>22924.835205236312</v>
      </c>
      <c r="Q986" s="25">
        <f t="array" aca="1" ref="Q986" ca="1">INDEX('Isaac 401k'!L:L,MATCH('Retirement Calculator'!A986,'Isaac 401k'!N:N,0),0)</f>
        <v>24032333.457500499</v>
      </c>
      <c r="R986" s="25">
        <f t="array" aca="1" ref="R986" ca="1">INDEX('Lorri 401b'!L:L,MATCH('Retirement Calculator'!A986,'Lorri 401b'!N:N,0),0)</f>
        <v>16604417.477573052</v>
      </c>
      <c r="S986" s="25">
        <f t="shared" ca="1" si="787"/>
        <v>40636750.935073555</v>
      </c>
    </row>
    <row r="987" spans="1:19" ht="15.75" customHeight="1" x14ac:dyDescent="0.3">
      <c r="A987" s="37">
        <v>80994</v>
      </c>
      <c r="B987" s="409">
        <f t="shared" ref="B987:C987" si="998">($A987-B$9)/365.25</f>
        <v>139.8713210130048</v>
      </c>
      <c r="C987" s="409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3525.4531757812501</v>
      </c>
      <c r="H987" s="25">
        <f>IF(B987&lt;62,0,'Combined Retirement'!$I$14)</f>
        <v>2192</v>
      </c>
      <c r="I987" s="25">
        <f>IF(C987&lt;62,0,'Combined Retirement'!$I$13)</f>
        <v>2420</v>
      </c>
      <c r="J987" s="25">
        <f t="shared" si="783"/>
        <v>6404.7404596389215</v>
      </c>
      <c r="K987" s="25">
        <f t="shared" si="784"/>
        <v>16520.094745597391</v>
      </c>
      <c r="L987" s="25"/>
      <c r="N987" s="25">
        <f>'Combined Retirement'!$C$18/12</f>
        <v>33932.660666666663</v>
      </c>
      <c r="O987" s="25">
        <f t="shared" si="785"/>
        <v>11007.82546143035</v>
      </c>
      <c r="P987" s="25">
        <f t="shared" si="786"/>
        <v>22924.835205236312</v>
      </c>
      <c r="Q987" s="25">
        <f t="array" aca="1" ref="Q987" ca="1">INDEX('Isaac 401k'!L:L,MATCH('Retirement Calculator'!A987,'Isaac 401k'!N:N,0),0)</f>
        <v>24126036.753361862</v>
      </c>
      <c r="R987" s="25">
        <f t="array" aca="1" ref="R987" ca="1">INDEX('Lorri 401b'!L:L,MATCH('Retirement Calculator'!A987,'Lorri 401b'!N:N,0),0)</f>
        <v>16657013.621922569</v>
      </c>
      <c r="S987" s="25">
        <f t="shared" ca="1" si="787"/>
        <v>40783050.375284433</v>
      </c>
    </row>
    <row r="988" spans="1:19" ht="15.75" customHeight="1" x14ac:dyDescent="0.3">
      <c r="A988" s="37">
        <v>81025</v>
      </c>
      <c r="B988" s="409">
        <f t="shared" ref="B988:C988" si="999">($A988-B$9)/365.25</f>
        <v>139.95619438740587</v>
      </c>
      <c r="C988" s="409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3525.4531757812501</v>
      </c>
      <c r="H988" s="25">
        <f>IF(B988&lt;62,0,'Combined Retirement'!$I$14)</f>
        <v>2192</v>
      </c>
      <c r="I988" s="25">
        <f>IF(C988&lt;62,0,'Combined Retirement'!$I$13)</f>
        <v>2420</v>
      </c>
      <c r="J988" s="25">
        <f t="shared" si="783"/>
        <v>6404.7404596389215</v>
      </c>
      <c r="K988" s="25">
        <f t="shared" si="784"/>
        <v>16520.094745597391</v>
      </c>
      <c r="L988" s="25"/>
      <c r="N988" s="25">
        <f>'Combined Retirement'!$C$18/12</f>
        <v>33932.660666666663</v>
      </c>
      <c r="O988" s="25">
        <f t="shared" si="785"/>
        <v>11007.82546143035</v>
      </c>
      <c r="P988" s="25">
        <f t="shared" si="786"/>
        <v>22924.835205236312</v>
      </c>
      <c r="Q988" s="25">
        <f t="array" aca="1" ref="Q988" ca="1">INDEX('Isaac 401k'!L:L,MATCH('Retirement Calculator'!A988,'Isaac 401k'!N:N,0),0)</f>
        <v>24220130.479622647</v>
      </c>
      <c r="R988" s="25">
        <f t="array" aca="1" ref="R988" ca="1">INDEX('Lorri 401b'!L:L,MATCH('Retirement Calculator'!A988,'Lorri 401b'!N:N,0),0)</f>
        <v>16709828.916873543</v>
      </c>
      <c r="S988" s="25">
        <f t="shared" ca="1" si="787"/>
        <v>40929959.396496192</v>
      </c>
    </row>
    <row r="989" spans="1:19" ht="15.75" customHeight="1" x14ac:dyDescent="0.3">
      <c r="A989" s="37">
        <v>81055</v>
      </c>
      <c r="B989" s="409">
        <f t="shared" ref="B989:C989" si="1000">($A989-B$9)/365.25</f>
        <v>140.03832991101984</v>
      </c>
      <c r="C989" s="409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3525.4531757812501</v>
      </c>
      <c r="H989" s="25">
        <f>IF(B989&lt;62,0,'Combined Retirement'!$I$14)</f>
        <v>2192</v>
      </c>
      <c r="I989" s="25">
        <f>IF(C989&lt;62,0,'Combined Retirement'!$I$13)</f>
        <v>2420</v>
      </c>
      <c r="J989" s="25">
        <f t="shared" si="783"/>
        <v>6404.7404596389215</v>
      </c>
      <c r="K989" s="25">
        <f t="shared" si="784"/>
        <v>16520.094745597391</v>
      </c>
      <c r="L989" s="25"/>
      <c r="N989" s="25">
        <f>'Combined Retirement'!$C$18/12</f>
        <v>33932.660666666663</v>
      </c>
      <c r="O989" s="25">
        <f t="shared" si="785"/>
        <v>11007.82546143035</v>
      </c>
      <c r="P989" s="25">
        <f t="shared" si="786"/>
        <v>22924.835205236312</v>
      </c>
      <c r="Q989" s="25">
        <f t="array" aca="1" ref="Q989" ca="1">INDEX('Isaac 401k'!L:L,MATCH('Retirement Calculator'!A989,'Isaac 401k'!N:N,0),0)</f>
        <v>24314616.263076186</v>
      </c>
      <c r="R989" s="25">
        <f t="array" aca="1" ref="R989" ca="1">INDEX('Lorri 401b'!L:L,MATCH('Retirement Calculator'!A989,'Lorri 401b'!N:N,0),0)</f>
        <v>16762864.275553478</v>
      </c>
      <c r="S989" s="25">
        <f t="shared" ca="1" si="787"/>
        <v>41077480.538629666</v>
      </c>
    </row>
    <row r="990" spans="1:19" ht="15.75" customHeight="1" x14ac:dyDescent="0.3">
      <c r="A990" s="37">
        <v>81086</v>
      </c>
      <c r="B990" s="409">
        <f t="shared" ref="B990:C990" si="1001">($A990-B$9)/365.25</f>
        <v>140.12320328542094</v>
      </c>
      <c r="C990" s="409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3525.4531757812501</v>
      </c>
      <c r="H990" s="25">
        <f>IF(B990&lt;62,0,'Combined Retirement'!$I$14)</f>
        <v>2192</v>
      </c>
      <c r="I990" s="25">
        <f>IF(C990&lt;62,0,'Combined Retirement'!$I$13)</f>
        <v>2420</v>
      </c>
      <c r="J990" s="25">
        <f t="shared" si="783"/>
        <v>6404.7404596389215</v>
      </c>
      <c r="K990" s="25">
        <f t="shared" si="784"/>
        <v>16520.094745597391</v>
      </c>
      <c r="L990" s="25"/>
      <c r="N990" s="25">
        <f>'Combined Retirement'!$C$18/12</f>
        <v>33932.660666666663</v>
      </c>
      <c r="O990" s="25">
        <f t="shared" si="785"/>
        <v>11007.82546143035</v>
      </c>
      <c r="P990" s="25">
        <f t="shared" si="786"/>
        <v>22924.835205236312</v>
      </c>
      <c r="Q990" s="25">
        <f t="array" aca="1" ref="Q990" ca="1">INDEX('Isaac 401k'!L:L,MATCH('Retirement Calculator'!A990,'Isaac 401k'!N:N,0),0)</f>
        <v>24409495.737294115</v>
      </c>
      <c r="R990" s="25">
        <f t="array" aca="1" ref="R990" ca="1">INDEX('Lorri 401b'!L:L,MATCH('Retirement Calculator'!A990,'Lorri 401b'!N:N,0),0)</f>
        <v>16816120.61489458</v>
      </c>
      <c r="S990" s="25">
        <f t="shared" ca="1" si="787"/>
        <v>41225616.352188691</v>
      </c>
    </row>
    <row r="991" spans="1:19" ht="15.75" customHeight="1" x14ac:dyDescent="0.3">
      <c r="A991" s="37">
        <v>81117</v>
      </c>
      <c r="B991" s="409">
        <f t="shared" ref="B991:C991" si="1002">($A991-B$9)/365.25</f>
        <v>140.20807665982204</v>
      </c>
      <c r="C991" s="409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3525.4531757812501</v>
      </c>
      <c r="H991" s="25">
        <f>IF(B991&lt;62,0,'Combined Retirement'!$I$14)</f>
        <v>2192</v>
      </c>
      <c r="I991" s="25">
        <f>IF(C991&lt;62,0,'Combined Retirement'!$I$13)</f>
        <v>2420</v>
      </c>
      <c r="J991" s="25">
        <f t="shared" si="783"/>
        <v>6404.7404596389215</v>
      </c>
      <c r="K991" s="25">
        <f t="shared" si="784"/>
        <v>16520.094745597391</v>
      </c>
      <c r="L991" s="25"/>
      <c r="N991" s="25">
        <f>'Combined Retirement'!$C$18/12</f>
        <v>33932.660666666663</v>
      </c>
      <c r="O991" s="25">
        <f t="shared" si="785"/>
        <v>11007.82546143035</v>
      </c>
      <c r="P991" s="25">
        <f t="shared" si="786"/>
        <v>22924.835205236312</v>
      </c>
      <c r="Q991" s="25">
        <f t="array" aca="1" ref="Q991" ca="1">INDEX('Isaac 401k'!L:L,MATCH('Retirement Calculator'!A991,'Isaac 401k'!N:N,0),0)</f>
        <v>24504770.542654619</v>
      </c>
      <c r="R991" s="25">
        <f t="array" aca="1" ref="R991" ca="1">INDEX('Lorri 401b'!L:L,MATCH('Retirement Calculator'!A991,'Lorri 401b'!N:N,0),0)</f>
        <v>16869598.855649602</v>
      </c>
      <c r="S991" s="25">
        <f t="shared" ca="1" si="787"/>
        <v>41374369.398304224</v>
      </c>
    </row>
    <row r="992" spans="1:19" ht="15.75" customHeight="1" x14ac:dyDescent="0.3">
      <c r="A992" s="37">
        <v>81145</v>
      </c>
      <c r="B992" s="409">
        <f t="shared" ref="B992:C992" si="1003">($A992-B$9)/365.25</f>
        <v>140.28473648186173</v>
      </c>
      <c r="C992" s="409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3525.4531757812501</v>
      </c>
      <c r="H992" s="25">
        <f>IF(B992&lt;62,0,'Combined Retirement'!$I$14)</f>
        <v>2192</v>
      </c>
      <c r="I992" s="25">
        <f>IF(C992&lt;62,0,'Combined Retirement'!$I$13)</f>
        <v>2420</v>
      </c>
      <c r="J992" s="25">
        <f t="shared" si="783"/>
        <v>6404.7404596389215</v>
      </c>
      <c r="K992" s="25">
        <f t="shared" si="784"/>
        <v>16520.094745597391</v>
      </c>
      <c r="L992" s="25"/>
      <c r="N992" s="25">
        <f>'Combined Retirement'!$C$18/12</f>
        <v>33932.660666666663</v>
      </c>
      <c r="O992" s="25">
        <f t="shared" si="785"/>
        <v>11007.82546143035</v>
      </c>
      <c r="P992" s="25">
        <f t="shared" si="786"/>
        <v>22924.835205236312</v>
      </c>
      <c r="Q992" s="25">
        <f t="array" aca="1" ref="Q992" ca="1">INDEX('Isaac 401k'!L:L,MATCH('Retirement Calculator'!A992,'Isaac 401k'!N:N,0),0)</f>
        <v>24600442.326370791</v>
      </c>
      <c r="R992" s="25">
        <f t="array" aca="1" ref="R992" ca="1">INDEX('Lorri 401b'!L:L,MATCH('Retirement Calculator'!A992,'Lorri 401b'!N:N,0),0)</f>
        <v>16923299.922407769</v>
      </c>
      <c r="S992" s="25">
        <f t="shared" ca="1" si="787"/>
        <v>41523742.248778559</v>
      </c>
    </row>
    <row r="993" spans="1:19" ht="15.75" customHeight="1" x14ac:dyDescent="0.3">
      <c r="A993" s="37">
        <v>81176</v>
      </c>
      <c r="B993" s="409">
        <f t="shared" ref="B993:C993" si="1004">($A993-B$9)/365.25</f>
        <v>140.36960985626283</v>
      </c>
      <c r="C993" s="409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3525.4531757812501</v>
      </c>
      <c r="H993" s="25">
        <f>IF(B993&lt;62,0,'Combined Retirement'!$I$14)</f>
        <v>2192</v>
      </c>
      <c r="I993" s="25">
        <f>IF(C993&lt;62,0,'Combined Retirement'!$I$13)</f>
        <v>2420</v>
      </c>
      <c r="J993" s="25">
        <f t="shared" si="783"/>
        <v>6404.7404596389215</v>
      </c>
      <c r="K993" s="25">
        <f t="shared" si="784"/>
        <v>16520.094745597391</v>
      </c>
      <c r="L993" s="25"/>
      <c r="N993" s="25">
        <f>'Combined Retirement'!$C$18/12</f>
        <v>33932.660666666663</v>
      </c>
      <c r="O993" s="25">
        <f t="shared" si="785"/>
        <v>11007.82546143035</v>
      </c>
      <c r="P993" s="25">
        <f t="shared" si="786"/>
        <v>22924.835205236312</v>
      </c>
      <c r="Q993" s="25">
        <f t="array" aca="1" ref="Q993" ca="1">INDEX('Isaac 401k'!L:L,MATCH('Retirement Calculator'!A993,'Isaac 401k'!N:N,0),0)</f>
        <v>24696512.742519114</v>
      </c>
      <c r="R993" s="25">
        <f t="array" aca="1" ref="R993" ca="1">INDEX('Lorri 401b'!L:L,MATCH('Retirement Calculator'!A993,'Lorri 401b'!N:N,0),0)</f>
        <v>16977224.743610762</v>
      </c>
      <c r="S993" s="25">
        <f t="shared" ca="1" si="787"/>
        <v>41673737.48612988</v>
      </c>
    </row>
    <row r="994" spans="1:19" ht="15.75" customHeight="1" x14ac:dyDescent="0.3">
      <c r="A994" s="37">
        <v>81206</v>
      </c>
      <c r="B994" s="409">
        <f t="shared" ref="B994:C994" si="1005">($A994-B$9)/365.25</f>
        <v>140.4517453798768</v>
      </c>
      <c r="C994" s="409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3525.4531757812501</v>
      </c>
      <c r="H994" s="25">
        <f>IF(B994&lt;62,0,'Combined Retirement'!$I$14)</f>
        <v>2192</v>
      </c>
      <c r="I994" s="25">
        <f>IF(C994&lt;62,0,'Combined Retirement'!$I$13)</f>
        <v>2420</v>
      </c>
      <c r="J994" s="25">
        <f t="shared" si="783"/>
        <v>6404.7404596389215</v>
      </c>
      <c r="K994" s="25">
        <f t="shared" si="784"/>
        <v>16520.094745597391</v>
      </c>
      <c r="L994" s="25"/>
      <c r="N994" s="25">
        <f>'Combined Retirement'!$C$18/12</f>
        <v>33932.660666666663</v>
      </c>
      <c r="O994" s="25">
        <f t="shared" si="785"/>
        <v>11007.82546143035</v>
      </c>
      <c r="P994" s="25">
        <f t="shared" si="786"/>
        <v>22924.835205236312</v>
      </c>
      <c r="Q994" s="25">
        <f t="array" aca="1" ref="Q994" ca="1">INDEX('Isaac 401k'!L:L,MATCH('Retirement Calculator'!A994,'Isaac 401k'!N:N,0),0)</f>
        <v>24792983.452068057</v>
      </c>
      <c r="R994" s="25">
        <f t="array" aca="1" ref="R994" ca="1">INDEX('Lorri 401b'!L:L,MATCH('Retirement Calculator'!A994,'Lorri 401b'!N:N,0),0)</f>
        <v>17031374.251568768</v>
      </c>
      <c r="S994" s="25">
        <f t="shared" ca="1" si="787"/>
        <v>41824357.703636825</v>
      </c>
    </row>
    <row r="995" spans="1:19" ht="15.75" customHeight="1" x14ac:dyDescent="0.3">
      <c r="A995" s="37">
        <v>81237</v>
      </c>
      <c r="B995" s="409">
        <f t="shared" ref="B995:C995" si="1006">($A995-B$9)/365.25</f>
        <v>140.5366187542779</v>
      </c>
      <c r="C995" s="409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3525.4531757812501</v>
      </c>
      <c r="H995" s="25">
        <f>IF(B995&lt;62,0,'Combined Retirement'!$I$14)</f>
        <v>2192</v>
      </c>
      <c r="I995" s="25">
        <f>IF(C995&lt;62,0,'Combined Retirement'!$I$13)</f>
        <v>2420</v>
      </c>
      <c r="J995" s="25">
        <f t="shared" si="783"/>
        <v>6404.7404596389215</v>
      </c>
      <c r="K995" s="25">
        <f t="shared" si="784"/>
        <v>16520.094745597391</v>
      </c>
      <c r="L995" s="25"/>
      <c r="N995" s="25">
        <f>'Combined Retirement'!$C$18/12</f>
        <v>33932.660666666663</v>
      </c>
      <c r="O995" s="25">
        <f t="shared" si="785"/>
        <v>11007.82546143035</v>
      </c>
      <c r="P995" s="25">
        <f t="shared" si="786"/>
        <v>22924.835205236312</v>
      </c>
      <c r="Q995" s="25">
        <f t="array" aca="1" ref="Q995" ca="1">INDEX('Isaac 401k'!L:L,MATCH('Retirement Calculator'!A995,'Isaac 401k'!N:N,0),0)</f>
        <v>24889856.122906785</v>
      </c>
      <c r="R995" s="25">
        <f t="array" aca="1" ref="R995" ca="1">INDEX('Lorri 401b'!L:L,MATCH('Retirement Calculator'!A995,'Lorri 401b'!N:N,0),0)</f>
        <v>17085749.382476598</v>
      </c>
      <c r="S995" s="25">
        <f t="shared" ca="1" si="787"/>
        <v>41975605.505383387</v>
      </c>
    </row>
    <row r="996" spans="1:19" ht="15.75" customHeight="1" x14ac:dyDescent="0.3">
      <c r="A996" s="37">
        <v>81267</v>
      </c>
      <c r="B996" s="409">
        <f t="shared" ref="B996:C996" si="1007">($A996-B$9)/365.25</f>
        <v>140.61875427789187</v>
      </c>
      <c r="C996" s="409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3525.4531757812501</v>
      </c>
      <c r="H996" s="25">
        <f>IF(B996&lt;62,0,'Combined Retirement'!$I$14)</f>
        <v>2192</v>
      </c>
      <c r="I996" s="25">
        <f>IF(C996&lt;62,0,'Combined Retirement'!$I$13)</f>
        <v>2420</v>
      </c>
      <c r="J996" s="25">
        <f t="shared" si="783"/>
        <v>6404.7404596389215</v>
      </c>
      <c r="K996" s="25">
        <f t="shared" si="784"/>
        <v>16520.094745597391</v>
      </c>
      <c r="L996" s="25"/>
      <c r="N996" s="25">
        <f>'Combined Retirement'!$C$18/12</f>
        <v>33932.660666666663</v>
      </c>
      <c r="O996" s="25">
        <f t="shared" si="785"/>
        <v>11007.82546143035</v>
      </c>
      <c r="P996" s="25">
        <f t="shared" si="786"/>
        <v>22924.835205236312</v>
      </c>
      <c r="Q996" s="25">
        <f t="array" aca="1" ref="Q996" ca="1">INDEX('Isaac 401k'!L:L,MATCH('Retirement Calculator'!A996,'Isaac 401k'!N:N,0),0)</f>
        <v>24987132.42987401</v>
      </c>
      <c r="R996" s="25">
        <f t="array" aca="1" ref="R996" ca="1">INDEX('Lorri 401b'!L:L,MATCH('Retirement Calculator'!A996,'Lorri 401b'!N:N,0),0)</f>
        <v>17140351.076429877</v>
      </c>
      <c r="S996" s="25">
        <f t="shared" ca="1" si="787"/>
        <v>42127483.506303892</v>
      </c>
    </row>
    <row r="997" spans="1:19" ht="15.75" customHeight="1" x14ac:dyDescent="0.3">
      <c r="A997" s="37">
        <v>81298</v>
      </c>
      <c r="B997" s="409">
        <f t="shared" ref="B997:C997" si="1008">($A997-B$9)/365.25</f>
        <v>140.70362765229294</v>
      </c>
      <c r="C997" s="409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3525.4531757812501</v>
      </c>
      <c r="H997" s="25">
        <f>IF(B997&lt;62,0,'Combined Retirement'!$I$14)</f>
        <v>2192</v>
      </c>
      <c r="I997" s="25">
        <f>IF(C997&lt;62,0,'Combined Retirement'!$I$13)</f>
        <v>2420</v>
      </c>
      <c r="J997" s="25">
        <f t="shared" si="783"/>
        <v>6404.7404596389215</v>
      </c>
      <c r="K997" s="25">
        <f t="shared" si="784"/>
        <v>16520.094745597391</v>
      </c>
      <c r="L997" s="25"/>
      <c r="N997" s="25">
        <f>'Combined Retirement'!$C$18/12</f>
        <v>33932.660666666663</v>
      </c>
      <c r="O997" s="25">
        <f t="shared" si="785"/>
        <v>11007.82546143035</v>
      </c>
      <c r="P997" s="25">
        <f t="shared" si="786"/>
        <v>22924.835205236312</v>
      </c>
      <c r="Q997" s="25">
        <f t="array" aca="1" ref="Q997" ca="1">INDEX('Isaac 401k'!L:L,MATCH('Retirement Calculator'!A997,'Isaac 401k'!N:N,0),0)</f>
        <v>25084814.054786932</v>
      </c>
      <c r="R997" s="25">
        <f t="array" aca="1" ref="R997" ca="1">INDEX('Lorri 401b'!L:L,MATCH('Retirement Calculator'!A997,'Lorri 401b'!N:N,0),0)</f>
        <v>17195180.277441297</v>
      </c>
      <c r="S997" s="25">
        <f t="shared" ca="1" si="787"/>
        <v>42279994.332228228</v>
      </c>
    </row>
    <row r="998" spans="1:19" ht="15.75" customHeight="1" x14ac:dyDescent="0.3">
      <c r="A998" s="37">
        <v>81329</v>
      </c>
      <c r="B998" s="409">
        <f t="shared" ref="B998:C998" si="1009">($A998-B$9)/365.25</f>
        <v>140.78850102669404</v>
      </c>
      <c r="C998" s="409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3525.4531757812501</v>
      </c>
      <c r="H998" s="25">
        <f>IF(B998&lt;62,0,'Combined Retirement'!$I$14)</f>
        <v>2192</v>
      </c>
      <c r="I998" s="25">
        <f>IF(C998&lt;62,0,'Combined Retirement'!$I$13)</f>
        <v>2420</v>
      </c>
      <c r="J998" s="25">
        <f t="shared" si="783"/>
        <v>6404.7404596389215</v>
      </c>
      <c r="K998" s="25">
        <f t="shared" si="784"/>
        <v>16520.094745597391</v>
      </c>
      <c r="L998" s="25"/>
      <c r="N998" s="25">
        <f>'Combined Retirement'!$C$18/12</f>
        <v>33932.660666666663</v>
      </c>
      <c r="O998" s="25">
        <f t="shared" si="785"/>
        <v>11007.82546143035</v>
      </c>
      <c r="P998" s="25">
        <f t="shared" si="786"/>
        <v>22924.835205236312</v>
      </c>
      <c r="Q998" s="25">
        <f t="array" aca="1" ref="Q998" ca="1">INDEX('Isaac 401k'!L:L,MATCH('Retirement Calculator'!A998,'Isaac 401k'!N:N,0),0)</f>
        <v>25182902.686470322</v>
      </c>
      <c r="R998" s="25">
        <f t="array" aca="1" ref="R998" ca="1">INDEX('Lorri 401b'!L:L,MATCH('Retirement Calculator'!A998,'Lorri 401b'!N:N,0),0)</f>
        <v>17250237.933456931</v>
      </c>
      <c r="S998" s="25">
        <f t="shared" ca="1" si="787"/>
        <v>42433140.619927257</v>
      </c>
    </row>
    <row r="999" spans="1:19" ht="15.75" customHeight="1" x14ac:dyDescent="0.3">
      <c r="A999" s="37">
        <v>81359</v>
      </c>
      <c r="B999" s="409">
        <f t="shared" ref="B999:C999" si="1010">($A999-B$9)/365.25</f>
        <v>140.87063655030801</v>
      </c>
      <c r="C999" s="409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3525.4531757812501</v>
      </c>
      <c r="H999" s="25">
        <f>IF(B999&lt;62,0,'Combined Retirement'!$I$14)</f>
        <v>2192</v>
      </c>
      <c r="I999" s="25">
        <f>IF(C999&lt;62,0,'Combined Retirement'!$I$13)</f>
        <v>2420</v>
      </c>
      <c r="J999" s="25">
        <f t="shared" si="783"/>
        <v>6404.7404596389215</v>
      </c>
      <c r="K999" s="25">
        <f t="shared" si="784"/>
        <v>16520.094745597391</v>
      </c>
      <c r="L999" s="25"/>
      <c r="N999" s="25">
        <f>'Combined Retirement'!$C$18/12</f>
        <v>33932.660666666663</v>
      </c>
      <c r="O999" s="25">
        <f t="shared" si="785"/>
        <v>11007.82546143035</v>
      </c>
      <c r="P999" s="25">
        <f t="shared" si="786"/>
        <v>22924.835205236312</v>
      </c>
      <c r="Q999" s="25">
        <f t="array" aca="1" ref="Q999" ca="1">INDEX('Isaac 401k'!L:L,MATCH('Retirement Calculator'!A999,'Isaac 401k'!N:N,0),0)</f>
        <v>25281400.020785727</v>
      </c>
      <c r="R999" s="25">
        <f t="array" aca="1" ref="R999" ca="1">INDEX('Lorri 401b'!L:L,MATCH('Retirement Calculator'!A999,'Lorri 401b'!N:N,0),0)</f>
        <v>17305524.996372629</v>
      </c>
      <c r="S999" s="25">
        <f t="shared" ca="1" si="787"/>
        <v>42586925.017158359</v>
      </c>
    </row>
    <row r="1000" spans="1:19" ht="15.75" customHeight="1" x14ac:dyDescent="0.3">
      <c r="A1000" s="37">
        <v>81390</v>
      </c>
      <c r="B1000" s="409">
        <f t="shared" ref="B1000:C1000" si="1011">($A1000-B$9)/365.25</f>
        <v>140.95550992470911</v>
      </c>
      <c r="C1000" s="409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3525.4531757812501</v>
      </c>
      <c r="H1000" s="25">
        <f>IF(B1000&lt;62,0,'Combined Retirement'!$I$14)</f>
        <v>2192</v>
      </c>
      <c r="I1000" s="25">
        <f>IF(C1000&lt;62,0,'Combined Retirement'!$I$13)</f>
        <v>2420</v>
      </c>
      <c r="J1000" s="25">
        <f t="shared" si="783"/>
        <v>6404.7404596389215</v>
      </c>
      <c r="K1000" s="25">
        <f t="shared" si="784"/>
        <v>16520.094745597391</v>
      </c>
      <c r="L1000" s="25"/>
      <c r="N1000" s="25">
        <f>'Combined Retirement'!$C$18/12</f>
        <v>33932.660666666663</v>
      </c>
      <c r="O1000" s="25">
        <f t="shared" si="785"/>
        <v>11007.82546143035</v>
      </c>
      <c r="P1000" s="25">
        <f t="shared" si="786"/>
        <v>22924.835205236312</v>
      </c>
      <c r="Q1000" s="25">
        <f t="array" aca="1" ref="Q1000" ca="1">INDEX('Isaac 401k'!L:L,MATCH('Retirement Calculator'!A1000,'Isaac 401k'!N:N,0),0)</f>
        <v>25380307.760660779</v>
      </c>
      <c r="R1000" s="25">
        <f t="array" aca="1" ref="R1000" ca="1">INDEX('Lorri 401b'!L:L,MATCH('Retirement Calculator'!A1000,'Lorri 401b'!N:N,0),0)</f>
        <v>17361042.422050476</v>
      </c>
      <c r="S1000" s="25">
        <f t="shared" ca="1" si="787"/>
        <v>42741350.182711259</v>
      </c>
    </row>
    <row r="1001" spans="1:19" ht="15.75" customHeight="1" x14ac:dyDescent="0.3">
      <c r="A1001" s="37">
        <v>81420</v>
      </c>
      <c r="B1001" s="409">
        <f t="shared" ref="B1001:C1001" si="1012">($A1001-B$9)/365.25</f>
        <v>141.03764544832308</v>
      </c>
      <c r="C1001" s="409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3525.4531757812501</v>
      </c>
      <c r="H1001" s="25">
        <f>IF(B1001&lt;62,0,'Combined Retirement'!$I$14)</f>
        <v>2192</v>
      </c>
      <c r="I1001" s="25">
        <f>IF(C1001&lt;62,0,'Combined Retirement'!$I$13)</f>
        <v>2420</v>
      </c>
      <c r="J1001" s="25">
        <f t="shared" si="783"/>
        <v>6404.7404596389215</v>
      </c>
      <c r="K1001" s="25">
        <f t="shared" si="784"/>
        <v>16520.094745597391</v>
      </c>
      <c r="L1001" s="25"/>
      <c r="N1001" s="25">
        <f>'Combined Retirement'!$C$18/12</f>
        <v>33932.660666666663</v>
      </c>
      <c r="O1001" s="25">
        <f t="shared" si="785"/>
        <v>11007.82546143035</v>
      </c>
      <c r="P1001" s="25">
        <f t="shared" si="786"/>
        <v>22924.835205236312</v>
      </c>
      <c r="Q1001" s="25">
        <f t="array" aca="1" ref="Q1001" ca="1">INDEX('Isaac 401k'!L:L,MATCH('Retirement Calculator'!A1001,'Isaac 401k'!N:N,0),0)</f>
        <v>25479627.616118643</v>
      </c>
      <c r="R1001" s="25">
        <f t="array" aca="1" ref="R1001" ca="1">INDEX('Lorri 401b'!L:L,MATCH('Retirement Calculator'!A1001,'Lorri 401b'!N:N,0),0)</f>
        <v>17416791.170335315</v>
      </c>
      <c r="S1001" s="25">
        <f t="shared" ca="1" si="787"/>
        <v>42896418.786453962</v>
      </c>
    </row>
    <row r="1002" spans="1:19" ht="15.75" customHeight="1" x14ac:dyDescent="0.3">
      <c r="A1002" s="37">
        <v>81451</v>
      </c>
      <c r="B1002" s="409">
        <f t="shared" ref="B1002:C1002" si="1013">($A1002-B$9)/365.25</f>
        <v>141.12251882272417</v>
      </c>
      <c r="C1002" s="409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3525.4531757812501</v>
      </c>
      <c r="H1002" s="25">
        <f>IF(B1002&lt;62,0,'Combined Retirement'!$I$14)</f>
        <v>2192</v>
      </c>
      <c r="I1002" s="25">
        <f>IF(C1002&lt;62,0,'Combined Retirement'!$I$13)</f>
        <v>2420</v>
      </c>
      <c r="J1002" s="25">
        <f t="shared" si="783"/>
        <v>6404.7404596389215</v>
      </c>
      <c r="K1002" s="25">
        <f t="shared" si="784"/>
        <v>16520.094745597391</v>
      </c>
      <c r="L1002" s="25"/>
      <c r="N1002" s="25">
        <f>'Combined Retirement'!$C$18/12</f>
        <v>33932.660666666663</v>
      </c>
      <c r="O1002" s="25">
        <f t="shared" si="785"/>
        <v>11007.82546143035</v>
      </c>
      <c r="P1002" s="25">
        <f t="shared" si="786"/>
        <v>22924.835205236312</v>
      </c>
      <c r="Q1002" s="25">
        <f t="array" aca="1" ref="Q1002" ca="1">INDEX('Isaac 401k'!L:L,MATCH('Retirement Calculator'!A1002,'Isaac 401k'!N:N,0),0)</f>
        <v>25579361.304307584</v>
      </c>
      <c r="R1002" s="25">
        <f t="array" aca="1" ref="R1002" ca="1">INDEX('Lorri 401b'!L:L,MATCH('Retirement Calculator'!A1002,'Lorri 401b'!N:N,0),0)</f>
        <v>17472772.205071341</v>
      </c>
      <c r="S1002" s="25">
        <f t="shared" ca="1" si="787"/>
        <v>43052133.509378925</v>
      </c>
    </row>
    <row r="1003" spans="1:19" ht="15.75" customHeight="1" x14ac:dyDescent="0.3">
      <c r="A1003" s="37">
        <v>81482</v>
      </c>
      <c r="B1003" s="409">
        <f t="shared" ref="B1003:C1003" si="1014">($A1003-B$9)/365.25</f>
        <v>141.20739219712524</v>
      </c>
      <c r="C1003" s="409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3525.4531757812501</v>
      </c>
      <c r="H1003" s="25">
        <f>IF(B1003&lt;62,0,'Combined Retirement'!$I$14)</f>
        <v>2192</v>
      </c>
      <c r="I1003" s="25">
        <f>IF(C1003&lt;62,0,'Combined Retirement'!$I$13)</f>
        <v>2420</v>
      </c>
      <c r="J1003" s="25">
        <f t="shared" si="783"/>
        <v>6404.7404596389215</v>
      </c>
      <c r="K1003" s="25">
        <f t="shared" si="784"/>
        <v>16520.094745597391</v>
      </c>
      <c r="L1003" s="25"/>
      <c r="N1003" s="25">
        <f>'Combined Retirement'!$C$18/12</f>
        <v>33932.660666666663</v>
      </c>
      <c r="O1003" s="25">
        <f t="shared" si="785"/>
        <v>11007.82546143035</v>
      </c>
      <c r="P1003" s="25">
        <f t="shared" si="786"/>
        <v>22924.835205236312</v>
      </c>
      <c r="Q1003" s="25">
        <f t="array" aca="1" ref="Q1003" ca="1">INDEX('Isaac 401k'!L:L,MATCH('Retirement Calculator'!A1003,'Isaac 401k'!N:N,0),0)</f>
        <v>25679510.549530644</v>
      </c>
      <c r="R1003" s="25">
        <f t="array" aca="1" ref="R1003" ca="1">INDEX('Lorri 401b'!L:L,MATCH('Retirement Calculator'!A1003,'Lorri 401b'!N:N,0),0)</f>
        <v>17528986.494118765</v>
      </c>
      <c r="S1003" s="25">
        <f t="shared" ca="1" si="787"/>
        <v>43208497.043649405</v>
      </c>
    </row>
    <row r="1004" spans="1:19" ht="15.75" customHeight="1" x14ac:dyDescent="0.3">
      <c r="A1004" s="37">
        <v>81510</v>
      </c>
      <c r="B1004" s="409">
        <f t="shared" ref="B1004:C1004" si="1015">($A1004-B$9)/365.25</f>
        <v>141.28405201916496</v>
      </c>
      <c r="C1004" s="409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3525.4531757812501</v>
      </c>
      <c r="H1004" s="25">
        <f>IF(B1004&lt;62,0,'Combined Retirement'!$I$14)</f>
        <v>2192</v>
      </c>
      <c r="I1004" s="25">
        <f>IF(C1004&lt;62,0,'Combined Retirement'!$I$13)</f>
        <v>2420</v>
      </c>
      <c r="J1004" s="25">
        <f t="shared" si="783"/>
        <v>6404.7404596389215</v>
      </c>
      <c r="K1004" s="25">
        <f t="shared" si="784"/>
        <v>16520.094745597391</v>
      </c>
      <c r="L1004" s="25"/>
      <c r="N1004" s="25">
        <f>'Combined Retirement'!$C$18/12</f>
        <v>33932.660666666663</v>
      </c>
      <c r="O1004" s="25">
        <f t="shared" si="785"/>
        <v>11007.82546143035</v>
      </c>
      <c r="P1004" s="25">
        <f t="shared" si="786"/>
        <v>22924.835205236312</v>
      </c>
      <c r="Q1004" s="25">
        <f t="array" aca="1" ref="Q1004" ca="1">INDEX('Isaac 401k'!L:L,MATCH('Retirement Calculator'!A1004,'Isaac 401k'!N:N,0),0)</f>
        <v>25780077.083275467</v>
      </c>
      <c r="R1004" s="25">
        <f t="array" aca="1" ref="R1004" ca="1">INDEX('Lorri 401b'!L:L,MATCH('Retirement Calculator'!A1004,'Lorri 401b'!N:N,0),0)</f>
        <v>17585435.009370554</v>
      </c>
      <c r="S1004" s="25">
        <f t="shared" ca="1" si="787"/>
        <v>43365512.092646018</v>
      </c>
    </row>
    <row r="1005" spans="1:19" ht="15.75" customHeight="1" x14ac:dyDescent="0.3">
      <c r="A1005" s="37">
        <v>81541</v>
      </c>
      <c r="B1005" s="409">
        <f t="shared" ref="B1005:C1005" si="1016">($A1005-B$9)/365.25</f>
        <v>141.36892539356606</v>
      </c>
      <c r="C1005" s="409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3525.4531757812501</v>
      </c>
      <c r="H1005" s="25">
        <f>IF(B1005&lt;62,0,'Combined Retirement'!$I$14)</f>
        <v>2192</v>
      </c>
      <c r="I1005" s="25">
        <f>IF(C1005&lt;62,0,'Combined Retirement'!$I$13)</f>
        <v>2420</v>
      </c>
      <c r="J1005" s="25">
        <f t="shared" si="783"/>
        <v>6404.7404596389215</v>
      </c>
      <c r="K1005" s="25">
        <f t="shared" si="784"/>
        <v>16520.094745597391</v>
      </c>
      <c r="L1005" s="25"/>
      <c r="N1005" s="25">
        <f>'Combined Retirement'!$C$18/12</f>
        <v>33932.660666666663</v>
      </c>
      <c r="O1005" s="25">
        <f t="shared" si="785"/>
        <v>11007.82546143035</v>
      </c>
      <c r="P1005" s="25">
        <f t="shared" si="786"/>
        <v>22924.835205236312</v>
      </c>
      <c r="Q1005" s="25">
        <f t="array" aca="1" ref="Q1005" ca="1">INDEX('Isaac 401k'!L:L,MATCH('Retirement Calculator'!A1005,'Isaac 401k'!N:N,0),0)</f>
        <v>25881062.644244228</v>
      </c>
      <c r="R1005" s="25">
        <f t="array" aca="1" ref="R1005" ca="1">INDEX('Lorri 401b'!L:L,MATCH('Retirement Calculator'!A1005,'Lorri 401b'!N:N,0),0)</f>
        <v>17642118.726769228</v>
      </c>
      <c r="S1005" s="25">
        <f t="shared" ca="1" si="787"/>
        <v>43523181.371013455</v>
      </c>
    </row>
    <row r="1006" spans="1:19" ht="15.75" customHeight="1" x14ac:dyDescent="0.3">
      <c r="A1006" s="37">
        <v>81571</v>
      </c>
      <c r="B1006" s="409">
        <f t="shared" ref="B1006:C1006" si="1017">($A1006-B$9)/365.25</f>
        <v>141.45106091718</v>
      </c>
      <c r="C1006" s="409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3525.4531757812501</v>
      </c>
      <c r="H1006" s="25">
        <f>IF(B1006&lt;62,0,'Combined Retirement'!$I$14)</f>
        <v>2192</v>
      </c>
      <c r="I1006" s="25">
        <f>IF(C1006&lt;62,0,'Combined Retirement'!$I$13)</f>
        <v>2420</v>
      </c>
      <c r="J1006" s="25">
        <f t="shared" si="783"/>
        <v>6404.7404596389215</v>
      </c>
      <c r="K1006" s="25">
        <f t="shared" si="784"/>
        <v>16520.094745597391</v>
      </c>
      <c r="L1006" s="25"/>
      <c r="N1006" s="25">
        <f>'Combined Retirement'!$C$18/12</f>
        <v>33932.660666666663</v>
      </c>
      <c r="O1006" s="25">
        <f t="shared" si="785"/>
        <v>11007.82546143035</v>
      </c>
      <c r="P1006" s="25">
        <f t="shared" si="786"/>
        <v>22924.835205236312</v>
      </c>
      <c r="Q1006" s="25">
        <f t="array" aca="1" ref="Q1006" ca="1">INDEX('Isaac 401k'!L:L,MATCH('Retirement Calculator'!A1006,'Isaac 401k'!N:N,0),0)</f>
        <v>25982468.97838369</v>
      </c>
      <c r="R1006" s="25">
        <f t="array" aca="1" ref="R1006" ca="1">INDEX('Lorri 401b'!L:L,MATCH('Retirement Calculator'!A1006,'Lorri 401b'!N:N,0),0)</f>
        <v>17699038.626323726</v>
      </c>
      <c r="S1006" s="25">
        <f t="shared" ca="1" si="787"/>
        <v>43681507.60470742</v>
      </c>
    </row>
    <row r="1007" spans="1:19" ht="15.75" customHeight="1" x14ac:dyDescent="0.3">
      <c r="A1007" s="37">
        <v>81602</v>
      </c>
      <c r="B1007" s="409">
        <f t="shared" ref="B1007:C1007" si="1018">($A1007-B$9)/365.25</f>
        <v>141.5359342915811</v>
      </c>
      <c r="C1007" s="409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3525.4531757812501</v>
      </c>
      <c r="H1007" s="25">
        <f>IF(B1007&lt;62,0,'Combined Retirement'!$I$14)</f>
        <v>2192</v>
      </c>
      <c r="I1007" s="25">
        <f>IF(C1007&lt;62,0,'Combined Retirement'!$I$13)</f>
        <v>2420</v>
      </c>
      <c r="J1007" s="25">
        <f t="shared" si="783"/>
        <v>6404.7404596389215</v>
      </c>
      <c r="K1007" s="25">
        <f t="shared" si="784"/>
        <v>16520.094745597391</v>
      </c>
      <c r="L1007" s="25"/>
      <c r="N1007" s="25">
        <f>'Combined Retirement'!$C$18/12</f>
        <v>33932.660666666663</v>
      </c>
      <c r="O1007" s="25">
        <f t="shared" si="785"/>
        <v>11007.82546143035</v>
      </c>
      <c r="P1007" s="25">
        <f t="shared" si="786"/>
        <v>22924.835205236312</v>
      </c>
      <c r="Q1007" s="25">
        <f t="array" aca="1" ref="Q1007" ca="1">INDEX('Isaac 401k'!L:L,MATCH('Retirement Calculator'!A1007,'Isaac 401k'!N:N,0),0)</f>
        <v>26084297.8389154</v>
      </c>
      <c r="R1007" s="25">
        <f t="array" aca="1" ref="R1007" ca="1">INDEX('Lorri 401b'!L:L,MATCH('Retirement Calculator'!A1007,'Lorri 401b'!N:N,0),0)</f>
        <v>17756195.692126371</v>
      </c>
      <c r="S1007" s="25">
        <f t="shared" ca="1" si="787"/>
        <v>43840493.531041771</v>
      </c>
    </row>
    <row r="1008" spans="1:19" ht="15.75" customHeight="1" x14ac:dyDescent="0.3">
      <c r="A1008" s="37">
        <v>81632</v>
      </c>
      <c r="B1008" s="409">
        <f t="shared" ref="B1008:C1008" si="1019">($A1008-B$9)/365.25</f>
        <v>141.61806981519507</v>
      </c>
      <c r="C1008" s="409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3525.4531757812501</v>
      </c>
      <c r="H1008" s="25">
        <f>IF(B1008&lt;62,0,'Combined Retirement'!$I$14)</f>
        <v>2192</v>
      </c>
      <c r="I1008" s="25">
        <f>IF(C1008&lt;62,0,'Combined Retirement'!$I$13)</f>
        <v>2420</v>
      </c>
      <c r="J1008" s="25">
        <f t="shared" si="783"/>
        <v>6404.7404596389215</v>
      </c>
      <c r="K1008" s="25">
        <f t="shared" si="784"/>
        <v>16520.094745597391</v>
      </c>
      <c r="L1008" s="25"/>
      <c r="N1008" s="25">
        <f>'Combined Retirement'!$C$18/12</f>
        <v>33932.660666666663</v>
      </c>
      <c r="O1008" s="25">
        <f t="shared" si="785"/>
        <v>11007.82546143035</v>
      </c>
      <c r="P1008" s="25">
        <f t="shared" si="786"/>
        <v>22924.835205236312</v>
      </c>
      <c r="Q1008" s="25">
        <f t="array" aca="1" ref="Q1008" ca="1">INDEX('Isaac 401k'!L:L,MATCH('Retirement Calculator'!A1008,'Isaac 401k'!N:N,0),0)</f>
        <v>26186550.986365993</v>
      </c>
      <c r="R1008" s="25">
        <f t="array" aca="1" ref="R1008" ca="1">INDEX('Lorri 401b'!L:L,MATCH('Retirement Calculator'!A1008,'Lorri 401b'!N:N,0),0)</f>
        <v>17813590.912369858</v>
      </c>
      <c r="S1008" s="25">
        <f t="shared" ca="1" si="787"/>
        <v>44000141.898735851</v>
      </c>
    </row>
    <row r="1009" spans="1:19" ht="15.75" customHeight="1" x14ac:dyDescent="0.3">
      <c r="A1009" s="37">
        <v>81663</v>
      </c>
      <c r="B1009" s="409">
        <f t="shared" ref="B1009:C1009" si="1020">($A1009-B$9)/365.25</f>
        <v>141.70294318959617</v>
      </c>
      <c r="C1009" s="409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3525.4531757812501</v>
      </c>
      <c r="H1009" s="25">
        <f>IF(B1009&lt;62,0,'Combined Retirement'!$I$14)</f>
        <v>2192</v>
      </c>
      <c r="I1009" s="25">
        <f>IF(C1009&lt;62,0,'Combined Retirement'!$I$13)</f>
        <v>2420</v>
      </c>
      <c r="J1009" s="25">
        <f t="shared" si="783"/>
        <v>6404.7404596389215</v>
      </c>
      <c r="K1009" s="25">
        <f t="shared" si="784"/>
        <v>16520.094745597391</v>
      </c>
      <c r="L1009" s="25"/>
      <c r="N1009" s="25">
        <f>'Combined Retirement'!$C$18/12</f>
        <v>33932.660666666663</v>
      </c>
      <c r="O1009" s="25">
        <f t="shared" si="785"/>
        <v>11007.82546143035</v>
      </c>
      <c r="P1009" s="25">
        <f t="shared" si="786"/>
        <v>22924.835205236312</v>
      </c>
      <c r="Q1009" s="25">
        <f t="array" aca="1" ref="Q1009" ca="1">INDEX('Isaac 401k'!L:L,MATCH('Retirement Calculator'!A1009,'Isaac 401k'!N:N,0),0)</f>
        <v>26289230.188597631</v>
      </c>
      <c r="R1009" s="25">
        <f t="array" aca="1" ref="R1009" ca="1">INDEX('Lorri 401b'!L:L,MATCH('Retirement Calculator'!A1009,'Lorri 401b'!N:N,0),0)</f>
        <v>17871225.279364362</v>
      </c>
      <c r="S1009" s="25">
        <f t="shared" ca="1" si="787"/>
        <v>44160455.467961997</v>
      </c>
    </row>
    <row r="1010" spans="1:19" ht="15.75" customHeight="1" x14ac:dyDescent="0.3">
      <c r="A1010" s="37">
        <v>81694</v>
      </c>
      <c r="B1010" s="409">
        <f t="shared" ref="B1010:C1010" si="1021">($A1010-B$9)/365.25</f>
        <v>141.78781656399727</v>
      </c>
      <c r="C1010" s="409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3525.4531757812501</v>
      </c>
      <c r="H1010" s="25">
        <f>IF(B1010&lt;62,0,'Combined Retirement'!$I$14)</f>
        <v>2192</v>
      </c>
      <c r="I1010" s="25">
        <f>IF(C1010&lt;62,0,'Combined Retirement'!$I$13)</f>
        <v>2420</v>
      </c>
      <c r="J1010" s="25">
        <f t="shared" si="783"/>
        <v>6404.7404596389215</v>
      </c>
      <c r="K1010" s="25">
        <f t="shared" si="784"/>
        <v>16520.094745597391</v>
      </c>
      <c r="L1010" s="25"/>
      <c r="N1010" s="25">
        <f>'Combined Retirement'!$C$18/12</f>
        <v>33932.660666666663</v>
      </c>
      <c r="O1010" s="25">
        <f t="shared" si="785"/>
        <v>11007.82546143035</v>
      </c>
      <c r="P1010" s="25">
        <f t="shared" si="786"/>
        <v>22924.835205236312</v>
      </c>
      <c r="Q1010" s="25">
        <f t="array" aca="1" ref="Q1010" ca="1">INDEX('Isaac 401k'!L:L,MATCH('Retirement Calculator'!A1010,'Isaac 401k'!N:N,0),0)</f>
        <v>26392337.220838565</v>
      </c>
      <c r="R1010" s="25">
        <f t="array" aca="1" ref="R1010" ca="1">INDEX('Lorri 401b'!L:L,MATCH('Retirement Calculator'!A1010,'Lorri 401b'!N:N,0),0)</f>
        <v>17929099.789554674</v>
      </c>
      <c r="S1010" s="25">
        <f t="shared" ca="1" si="787"/>
        <v>44321437.01039324</v>
      </c>
    </row>
    <row r="1011" spans="1:19" ht="15.75" customHeight="1" x14ac:dyDescent="0.3">
      <c r="A1011" s="37">
        <v>81724</v>
      </c>
      <c r="B1011" s="409">
        <f t="shared" ref="B1011:C1011" si="1022">($A1011-B$9)/365.25</f>
        <v>141.86995208761124</v>
      </c>
      <c r="C1011" s="409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3525.4531757812501</v>
      </c>
      <c r="H1011" s="25">
        <f>IF(B1011&lt;62,0,'Combined Retirement'!$I$14)</f>
        <v>2192</v>
      </c>
      <c r="I1011" s="25">
        <f>IF(C1011&lt;62,0,'Combined Retirement'!$I$13)</f>
        <v>2420</v>
      </c>
      <c r="J1011" s="25">
        <f t="shared" si="783"/>
        <v>6404.7404596389215</v>
      </c>
      <c r="K1011" s="25">
        <f t="shared" si="784"/>
        <v>16520.094745597391</v>
      </c>
      <c r="L1011" s="25"/>
      <c r="N1011" s="25">
        <f>'Combined Retirement'!$C$18/12</f>
        <v>33932.660666666663</v>
      </c>
      <c r="O1011" s="25">
        <f t="shared" si="785"/>
        <v>11007.82546143035</v>
      </c>
      <c r="P1011" s="25">
        <f t="shared" si="786"/>
        <v>22924.835205236312</v>
      </c>
      <c r="Q1011" s="25">
        <f t="array" aca="1" ref="Q1011" ca="1">INDEX('Isaac 401k'!L:L,MATCH('Retirement Calculator'!A1011,'Isaac 401k'!N:N,0),0)</f>
        <v>26495873.865713838</v>
      </c>
      <c r="R1011" s="25">
        <f t="array" aca="1" ref="R1011" ca="1">INDEX('Lorri 401b'!L:L,MATCH('Retirement Calculator'!A1011,'Lorri 401b'!N:N,0),0)</f>
        <v>17987215.443537448</v>
      </c>
      <c r="S1011" s="25">
        <f t="shared" ca="1" si="787"/>
        <v>44483089.309251286</v>
      </c>
    </row>
    <row r="1012" spans="1:19" ht="15.75" customHeight="1" x14ac:dyDescent="0.3">
      <c r="A1012" s="37">
        <v>81755</v>
      </c>
      <c r="B1012" s="409">
        <f t="shared" ref="B1012:C1012" si="1023">($A1012-B$9)/365.25</f>
        <v>141.95482546201231</v>
      </c>
      <c r="C1012" s="409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3525.4531757812501</v>
      </c>
      <c r="H1012" s="25">
        <f>IF(B1012&lt;62,0,'Combined Retirement'!$I$14)</f>
        <v>2192</v>
      </c>
      <c r="I1012" s="25">
        <f>IF(C1012&lt;62,0,'Combined Retirement'!$I$13)</f>
        <v>2420</v>
      </c>
      <c r="J1012" s="25">
        <f t="shared" si="783"/>
        <v>6404.7404596389215</v>
      </c>
      <c r="K1012" s="25">
        <f t="shared" si="784"/>
        <v>16520.094745597391</v>
      </c>
      <c r="L1012" s="25"/>
      <c r="N1012" s="25">
        <f>'Combined Retirement'!$C$18/12</f>
        <v>33932.660666666663</v>
      </c>
      <c r="O1012" s="25">
        <f t="shared" si="785"/>
        <v>11007.82546143035</v>
      </c>
      <c r="P1012" s="25">
        <f t="shared" si="786"/>
        <v>22924.835205236312</v>
      </c>
      <c r="Q1012" s="25">
        <f t="array" aca="1" ref="Q1012" ca="1">INDEX('Isaac 401k'!L:L,MATCH('Retirement Calculator'!A1012,'Isaac 401k'!N:N,0),0)</f>
        <v>26599841.913276091</v>
      </c>
      <c r="R1012" s="25">
        <f t="array" aca="1" ref="R1012" ca="1">INDEX('Lorri 401b'!L:L,MATCH('Retirement Calculator'!A1012,'Lorri 401b'!N:N,0),0)</f>
        <v>18045573.24607848</v>
      </c>
      <c r="S1012" s="25">
        <f t="shared" ca="1" si="787"/>
        <v>44645415.159354568</v>
      </c>
    </row>
    <row r="1013" spans="1:19" ht="15.75" customHeight="1" x14ac:dyDescent="0.3">
      <c r="A1013" s="37">
        <v>81785</v>
      </c>
      <c r="B1013" s="409">
        <f t="shared" ref="B1013:C1013" si="1024">($A1013-B$9)/365.25</f>
        <v>142.03696098562628</v>
      </c>
      <c r="C1013" s="409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3525.4531757812501</v>
      </c>
      <c r="H1013" s="25">
        <f>IF(B1013&lt;62,0,'Combined Retirement'!$I$14)</f>
        <v>2192</v>
      </c>
      <c r="I1013" s="25">
        <f>IF(C1013&lt;62,0,'Combined Retirement'!$I$13)</f>
        <v>2420</v>
      </c>
      <c r="J1013" s="25">
        <f t="shared" si="783"/>
        <v>6404.7404596389215</v>
      </c>
      <c r="K1013" s="25">
        <f t="shared" si="784"/>
        <v>16520.094745597391</v>
      </c>
      <c r="L1013" s="25"/>
      <c r="N1013" s="25">
        <f>'Combined Retirement'!$C$18/12</f>
        <v>33932.660666666663</v>
      </c>
      <c r="O1013" s="25">
        <f t="shared" si="785"/>
        <v>11007.82546143035</v>
      </c>
      <c r="P1013" s="25">
        <f t="shared" si="786"/>
        <v>22924.835205236312</v>
      </c>
      <c r="Q1013" s="25">
        <f t="array" aca="1" ref="Q1013" ca="1">INDEX('Isaac 401k'!L:L,MATCH('Retirement Calculator'!A1013,'Isaac 401k'!N:N,0),0)</f>
        <v>26704243.161036521</v>
      </c>
      <c r="R1013" s="25">
        <f t="array" aca="1" ref="R1013" ca="1">INDEX('Lorri 401b'!L:L,MATCH('Retirement Calculator'!A1013,'Lorri 401b'!N:N,0),0)</f>
        <v>18104174.206130102</v>
      </c>
      <c r="S1013" s="25">
        <f t="shared" ca="1" si="787"/>
        <v>44808417.367166623</v>
      </c>
    </row>
    <row r="1014" spans="1:19" ht="15.75" customHeight="1" x14ac:dyDescent="0.3">
      <c r="A1014" s="37">
        <v>81816</v>
      </c>
      <c r="B1014" s="409">
        <f t="shared" ref="B1014:C1014" si="1025">($A1014-B$9)/365.25</f>
        <v>142.12183436002738</v>
      </c>
      <c r="C1014" s="409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3525.4531757812501</v>
      </c>
      <c r="H1014" s="25">
        <f>IF(B1014&lt;62,0,'Combined Retirement'!$I$14)</f>
        <v>2192</v>
      </c>
      <c r="I1014" s="25">
        <f>IF(C1014&lt;62,0,'Combined Retirement'!$I$13)</f>
        <v>2420</v>
      </c>
      <c r="J1014" s="25">
        <f t="shared" si="783"/>
        <v>6404.7404596389215</v>
      </c>
      <c r="K1014" s="25">
        <f t="shared" si="784"/>
        <v>16520.094745597391</v>
      </c>
      <c r="L1014" s="25"/>
      <c r="N1014" s="25">
        <f>'Combined Retirement'!$C$18/12</f>
        <v>33932.660666666663</v>
      </c>
      <c r="O1014" s="25">
        <f t="shared" si="785"/>
        <v>11007.82546143035</v>
      </c>
      <c r="P1014" s="25">
        <f t="shared" si="786"/>
        <v>22924.835205236312</v>
      </c>
      <c r="Q1014" s="25">
        <f t="array" aca="1" ref="Q1014" ca="1">INDEX('Isaac 401k'!L:L,MATCH('Retirement Calculator'!A1014,'Isaac 401k'!N:N,0),0)</f>
        <v>26809079.413995951</v>
      </c>
      <c r="R1014" s="25">
        <f t="array" aca="1" ref="R1014" ca="1">INDEX('Lorri 401b'!L:L,MATCH('Retirement Calculator'!A1014,'Lorri 401b'!N:N,0),0)</f>
        <v>18163019.336848605</v>
      </c>
      <c r="S1014" s="25">
        <f t="shared" ca="1" si="787"/>
        <v>44972098.750844553</v>
      </c>
    </row>
    <row r="1015" spans="1:19" ht="15.75" customHeight="1" x14ac:dyDescent="0.3">
      <c r="A1015" s="37">
        <v>81847</v>
      </c>
      <c r="B1015" s="409">
        <f t="shared" ref="B1015:C1015" si="1026">($A1015-B$9)/365.25</f>
        <v>142.20670773442848</v>
      </c>
      <c r="C1015" s="409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3525.4531757812501</v>
      </c>
      <c r="H1015" s="25">
        <f>IF(B1015&lt;62,0,'Combined Retirement'!$I$14)</f>
        <v>2192</v>
      </c>
      <c r="I1015" s="25">
        <f>IF(C1015&lt;62,0,'Combined Retirement'!$I$13)</f>
        <v>2420</v>
      </c>
      <c r="J1015" s="25">
        <f t="shared" si="783"/>
        <v>6404.7404596389215</v>
      </c>
      <c r="K1015" s="25">
        <f t="shared" si="784"/>
        <v>16520.094745597391</v>
      </c>
      <c r="L1015" s="25"/>
      <c r="N1015" s="25">
        <f>'Combined Retirement'!$C$18/12</f>
        <v>33932.660666666663</v>
      </c>
      <c r="O1015" s="25">
        <f t="shared" si="785"/>
        <v>11007.82546143035</v>
      </c>
      <c r="P1015" s="25">
        <f t="shared" si="786"/>
        <v>22924.835205236312</v>
      </c>
      <c r="Q1015" s="25">
        <f t="array" aca="1" ref="Q1015" ca="1">INDEX('Isaac 401k'!L:L,MATCH('Retirement Calculator'!A1015,'Isaac 401k'!N:N,0),0)</f>
        <v>26914352.484676048</v>
      </c>
      <c r="R1015" s="25">
        <f t="array" aca="1" ref="R1015" ca="1">INDEX('Lorri 401b'!L:L,MATCH('Retirement Calculator'!A1015,'Lorri 401b'!N:N,0),0)</f>
        <v>18222109.655611768</v>
      </c>
      <c r="S1015" s="25">
        <f t="shared" ca="1" si="787"/>
        <v>45136462.140287817</v>
      </c>
    </row>
    <row r="1016" spans="1:19" ht="15.75" customHeight="1" x14ac:dyDescent="0.3">
      <c r="A1016" s="37">
        <v>81876</v>
      </c>
      <c r="B1016" s="409">
        <f t="shared" ref="B1016:C1016" si="1027">($A1016-B$9)/365.25</f>
        <v>142.28610540725529</v>
      </c>
      <c r="C1016" s="409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3525.4531757812501</v>
      </c>
      <c r="H1016" s="25">
        <f>IF(B1016&lt;62,0,'Combined Retirement'!$I$14)</f>
        <v>2192</v>
      </c>
      <c r="I1016" s="25">
        <f>IF(C1016&lt;62,0,'Combined Retirement'!$I$13)</f>
        <v>2420</v>
      </c>
      <c r="J1016" s="25">
        <f t="shared" si="783"/>
        <v>6404.7404596389215</v>
      </c>
      <c r="K1016" s="25">
        <f t="shared" si="784"/>
        <v>16520.094745597391</v>
      </c>
      <c r="L1016" s="25"/>
      <c r="N1016" s="25">
        <f>'Combined Retirement'!$C$18/12</f>
        <v>33932.660666666663</v>
      </c>
      <c r="O1016" s="25">
        <f t="shared" si="785"/>
        <v>11007.82546143035</v>
      </c>
      <c r="P1016" s="25">
        <f t="shared" si="786"/>
        <v>22924.835205236312</v>
      </c>
      <c r="Q1016" s="25">
        <f t="array" aca="1" ref="Q1016" ca="1">INDEX('Isaac 401k'!L:L,MATCH('Retirement Calculator'!A1016,'Isaac 401k'!N:N,0),0)</f>
        <v>27020064.193150643</v>
      </c>
      <c r="R1016" s="25">
        <f t="array" aca="1" ref="R1016" ca="1">INDEX('Lorri 401b'!L:L,MATCH('Retirement Calculator'!A1016,'Lorri 401b'!N:N,0),0)</f>
        <v>18281446.184036445</v>
      </c>
      <c r="S1016" s="25">
        <f t="shared" ca="1" si="787"/>
        <v>45301510.377187088</v>
      </c>
    </row>
    <row r="1017" spans="1:19" ht="15.75" customHeight="1" x14ac:dyDescent="0.3">
      <c r="A1017" s="37">
        <v>81907</v>
      </c>
      <c r="B1017" s="409">
        <f t="shared" ref="B1017:C1017" si="1028">($A1017-B$9)/365.25</f>
        <v>142.37097878165639</v>
      </c>
      <c r="C1017" s="409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3525.4531757812501</v>
      </c>
      <c r="H1017" s="25">
        <f>IF(B1017&lt;62,0,'Combined Retirement'!$I$14)</f>
        <v>2192</v>
      </c>
      <c r="I1017" s="25">
        <f>IF(C1017&lt;62,0,'Combined Retirement'!$I$13)</f>
        <v>2420</v>
      </c>
      <c r="J1017" s="25">
        <f t="shared" si="783"/>
        <v>6404.7404596389215</v>
      </c>
      <c r="K1017" s="25">
        <f t="shared" si="784"/>
        <v>16520.094745597391</v>
      </c>
      <c r="L1017" s="25"/>
      <c r="N1017" s="25">
        <f>'Combined Retirement'!$C$18/12</f>
        <v>33932.660666666663</v>
      </c>
      <c r="O1017" s="25">
        <f t="shared" si="785"/>
        <v>11007.82546143035</v>
      </c>
      <c r="P1017" s="25">
        <f t="shared" si="786"/>
        <v>22924.835205236312</v>
      </c>
      <c r="Q1017" s="25">
        <f t="array" aca="1" ref="Q1017" ca="1">INDEX('Isaac 401k'!L:L,MATCH('Retirement Calculator'!A1017,'Isaac 401k'!N:N,0),0)</f>
        <v>27126216.367077217</v>
      </c>
      <c r="R1017" s="25">
        <f t="array" aca="1" ref="R1017" ca="1">INDEX('Lorri 401b'!L:L,MATCH('Retirement Calculator'!A1017,'Lorri 401b'!N:N,0),0)</f>
        <v>18341029.947996225</v>
      </c>
      <c r="S1017" s="25">
        <f t="shared" ca="1" si="787"/>
        <v>45467246.315073445</v>
      </c>
    </row>
    <row r="1018" spans="1:19" ht="15.75" customHeight="1" x14ac:dyDescent="0.3">
      <c r="A1018" s="37">
        <v>81937</v>
      </c>
      <c r="B1018" s="409">
        <f t="shared" ref="B1018:C1018" si="1029">($A1018-B$9)/365.25</f>
        <v>142.45311430527036</v>
      </c>
      <c r="C1018" s="409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3525.4531757812501</v>
      </c>
      <c r="H1018" s="25">
        <f>IF(B1018&lt;62,0,'Combined Retirement'!$I$14)</f>
        <v>2192</v>
      </c>
      <c r="I1018" s="25">
        <f>IF(C1018&lt;62,0,'Combined Retirement'!$I$13)</f>
        <v>2420</v>
      </c>
      <c r="J1018" s="25">
        <f t="shared" si="783"/>
        <v>6404.7404596389215</v>
      </c>
      <c r="K1018" s="25">
        <f t="shared" si="784"/>
        <v>16520.094745597391</v>
      </c>
      <c r="L1018" s="25"/>
      <c r="N1018" s="25">
        <f>'Combined Retirement'!$C$18/12</f>
        <v>33932.660666666663</v>
      </c>
      <c r="O1018" s="25">
        <f t="shared" si="785"/>
        <v>11007.82546143035</v>
      </c>
      <c r="P1018" s="25">
        <f t="shared" si="786"/>
        <v>22924.835205236312</v>
      </c>
      <c r="Q1018" s="25">
        <f t="array" aca="1" ref="Q1018" ca="1">INDEX('Isaac 401k'!L:L,MATCH('Retirement Calculator'!A1018,'Isaac 401k'!N:N,0),0)</f>
        <v>27232810.841728482</v>
      </c>
      <c r="R1018" s="25">
        <f t="array" aca="1" ref="R1018" ca="1">INDEX('Lorri 401b'!L:L,MATCH('Retirement Calculator'!A1018,'Lorri 401b'!N:N,0),0)</f>
        <v>18400861.977639172</v>
      </c>
      <c r="S1018" s="25">
        <f t="shared" ca="1" si="787"/>
        <v>45633672.819367655</v>
      </c>
    </row>
    <row r="1019" spans="1:19" ht="15.75" customHeight="1" x14ac:dyDescent="0.3">
      <c r="A1019" s="37">
        <v>81968</v>
      </c>
      <c r="B1019" s="409">
        <f t="shared" ref="B1019:C1019" si="1030">($A1019-B$9)/365.25</f>
        <v>142.53798767967146</v>
      </c>
      <c r="C1019" s="409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3525.4531757812501</v>
      </c>
      <c r="H1019" s="25">
        <f>IF(B1019&lt;62,0,'Combined Retirement'!$I$14)</f>
        <v>2192</v>
      </c>
      <c r="I1019" s="25">
        <f>IF(C1019&lt;62,0,'Combined Retirement'!$I$13)</f>
        <v>2420</v>
      </c>
      <c r="J1019" s="25">
        <f t="shared" si="783"/>
        <v>6404.7404596389215</v>
      </c>
      <c r="K1019" s="25">
        <f t="shared" si="784"/>
        <v>16520.094745597391</v>
      </c>
      <c r="L1019" s="25"/>
      <c r="N1019" s="25">
        <f>'Combined Retirement'!$C$18/12</f>
        <v>33932.660666666663</v>
      </c>
      <c r="O1019" s="25">
        <f t="shared" si="785"/>
        <v>11007.82546143035</v>
      </c>
      <c r="P1019" s="25">
        <f t="shared" si="786"/>
        <v>22924.835205236312</v>
      </c>
      <c r="Q1019" s="25">
        <f t="array" aca="1" ref="Q1019" ca="1">INDEX('Isaac 401k'!L:L,MATCH('Retirement Calculator'!A1019,'Isaac 401k'!N:N,0),0)</f>
        <v>27339849.46002413</v>
      </c>
      <c r="R1019" s="25">
        <f t="array" aca="1" ref="R1019" ca="1">INDEX('Lorri 401b'!L:L,MATCH('Retirement Calculator'!A1019,'Lorri 401b'!N:N,0),0)</f>
        <v>18460943.307405628</v>
      </c>
      <c r="S1019" s="25">
        <f t="shared" ca="1" si="787"/>
        <v>45800792.767429754</v>
      </c>
    </row>
    <row r="1020" spans="1:19" ht="15.75" customHeight="1" x14ac:dyDescent="0.3">
      <c r="A1020" s="37">
        <v>81998</v>
      </c>
      <c r="B1020" s="409">
        <f t="shared" ref="B1020:C1020" si="1031">($A1020-B$9)/365.25</f>
        <v>142.62012320328543</v>
      </c>
      <c r="C1020" s="409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3525.4531757812501</v>
      </c>
      <c r="H1020" s="25">
        <f>IF(B1020&lt;62,0,'Combined Retirement'!$I$14)</f>
        <v>2192</v>
      </c>
      <c r="I1020" s="25">
        <f>IF(C1020&lt;62,0,'Combined Retirement'!$I$13)</f>
        <v>2420</v>
      </c>
      <c r="J1020" s="25">
        <f t="shared" si="783"/>
        <v>6404.7404596389215</v>
      </c>
      <c r="K1020" s="25">
        <f t="shared" si="784"/>
        <v>16520.094745597391</v>
      </c>
      <c r="L1020" s="25"/>
      <c r="N1020" s="25">
        <f>'Combined Retirement'!$C$18/12</f>
        <v>33932.660666666663</v>
      </c>
      <c r="O1020" s="25">
        <f t="shared" si="785"/>
        <v>11007.82546143035</v>
      </c>
      <c r="P1020" s="25">
        <f t="shared" si="786"/>
        <v>22924.835205236312</v>
      </c>
      <c r="Q1020" s="25">
        <f t="array" aca="1" ref="Q1020" ca="1">INDEX('Isaac 401k'!L:L,MATCH('Retirement Calculator'!A1020,'Isaac 401k'!N:N,0),0)</f>
        <v>27447334.072562676</v>
      </c>
      <c r="R1020" s="25">
        <f t="array" aca="1" ref="R1020" ca="1">INDEX('Lorri 401b'!L:L,MATCH('Retirement Calculator'!A1020,'Lorri 401b'!N:N,0),0)</f>
        <v>18521274.976046111</v>
      </c>
      <c r="S1020" s="25">
        <f t="shared" ca="1" si="787"/>
        <v>45968609.048608787</v>
      </c>
    </row>
    <row r="1021" spans="1:19" ht="15.75" customHeight="1" x14ac:dyDescent="0.3">
      <c r="A1021" s="37">
        <v>82029</v>
      </c>
      <c r="B1021" s="409">
        <f t="shared" ref="B1021:C1021" si="1032">($A1021-B$9)/365.25</f>
        <v>142.70499657768653</v>
      </c>
      <c r="C1021" s="409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3525.4531757812501</v>
      </c>
      <c r="H1021" s="25">
        <f>IF(B1021&lt;62,0,'Combined Retirement'!$I$14)</f>
        <v>2192</v>
      </c>
      <c r="I1021" s="25">
        <f>IF(C1021&lt;62,0,'Combined Retirement'!$I$13)</f>
        <v>2420</v>
      </c>
      <c r="J1021" s="25">
        <f t="shared" si="783"/>
        <v>6404.7404596389215</v>
      </c>
      <c r="K1021" s="25">
        <f t="shared" si="784"/>
        <v>16520.094745597391</v>
      </c>
      <c r="L1021" s="25"/>
      <c r="N1021" s="25">
        <f>'Combined Retirement'!$C$18/12</f>
        <v>33932.660666666663</v>
      </c>
      <c r="O1021" s="25">
        <f t="shared" si="785"/>
        <v>11007.82546143035</v>
      </c>
      <c r="P1021" s="25">
        <f t="shared" si="786"/>
        <v>22924.835205236312</v>
      </c>
      <c r="Q1021" s="25">
        <f t="array" aca="1" ref="Q1021" ca="1">INDEX('Isaac 401k'!L:L,MATCH('Retirement Calculator'!A1021,'Isaac 401k'!N:N,0),0)</f>
        <v>27555266.537653465</v>
      </c>
      <c r="R1021" s="25">
        <f t="array" aca="1" ref="R1021" ca="1">INDEX('Lorri 401b'!L:L,MATCH('Retirement Calculator'!A1021,'Lorri 401b'!N:N,0),0)</f>
        <v>18581858.026639264</v>
      </c>
      <c r="S1021" s="25">
        <f t="shared" ca="1" si="787"/>
        <v>46137124.564292729</v>
      </c>
    </row>
    <row r="1022" spans="1:19" ht="15.75" customHeight="1" x14ac:dyDescent="0.3">
      <c r="A1022" s="37">
        <v>82060</v>
      </c>
      <c r="B1022" s="409">
        <f t="shared" ref="B1022:C1022" si="1033">($A1022-B$9)/365.25</f>
        <v>142.7898699520876</v>
      </c>
      <c r="C1022" s="409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3525.4531757812501</v>
      </c>
      <c r="H1022" s="25">
        <f>IF(B1022&lt;62,0,'Combined Retirement'!$I$14)</f>
        <v>2192</v>
      </c>
      <c r="I1022" s="25">
        <f>IF(C1022&lt;62,0,'Combined Retirement'!$I$13)</f>
        <v>2420</v>
      </c>
      <c r="J1022" s="25">
        <f t="shared" si="783"/>
        <v>6404.7404596389215</v>
      </c>
      <c r="K1022" s="25">
        <f t="shared" si="784"/>
        <v>16520.094745597391</v>
      </c>
      <c r="L1022" s="25"/>
      <c r="N1022" s="25">
        <f>'Combined Retirement'!$C$18/12</f>
        <v>33932.660666666663</v>
      </c>
      <c r="O1022" s="25">
        <f t="shared" si="785"/>
        <v>11007.82546143035</v>
      </c>
      <c r="P1022" s="25">
        <f t="shared" si="786"/>
        <v>22924.835205236312</v>
      </c>
      <c r="Q1022" s="25">
        <f t="array" aca="1" ref="Q1022" ca="1">INDEX('Isaac 401k'!L:L,MATCH('Retirement Calculator'!A1022,'Isaac 401k'!N:N,0),0)</f>
        <v>27663648.7213488</v>
      </c>
      <c r="R1022" s="25">
        <f t="array" aca="1" ref="R1022" ca="1">INDEX('Lorri 401b'!L:L,MATCH('Retirement Calculator'!A1022,'Lorri 401b'!N:N,0),0)</f>
        <v>18642693.506609891</v>
      </c>
      <c r="S1022" s="25">
        <f t="shared" ca="1" si="787"/>
        <v>46306342.227958694</v>
      </c>
    </row>
    <row r="1023" spans="1:19" ht="15.75" customHeight="1" x14ac:dyDescent="0.3">
      <c r="A1023" s="37">
        <v>82090</v>
      </c>
      <c r="B1023" s="409">
        <f t="shared" ref="B1023:C1023" si="1034">($A1023-B$9)/365.25</f>
        <v>142.87200547570157</v>
      </c>
      <c r="C1023" s="409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3525.4531757812501</v>
      </c>
      <c r="H1023" s="25">
        <f>IF(B1023&lt;62,0,'Combined Retirement'!$I$14)</f>
        <v>2192</v>
      </c>
      <c r="I1023" s="25">
        <f>IF(C1023&lt;62,0,'Combined Retirement'!$I$13)</f>
        <v>2420</v>
      </c>
      <c r="J1023" s="25">
        <f t="shared" si="783"/>
        <v>6404.7404596389215</v>
      </c>
      <c r="K1023" s="25">
        <f t="shared" si="784"/>
        <v>16520.094745597391</v>
      </c>
      <c r="L1023" s="25"/>
      <c r="N1023" s="25">
        <f>'Combined Retirement'!$C$18/12</f>
        <v>33932.660666666663</v>
      </c>
      <c r="O1023" s="25">
        <f t="shared" si="785"/>
        <v>11007.82546143035</v>
      </c>
      <c r="P1023" s="25">
        <f t="shared" si="786"/>
        <v>22924.835205236312</v>
      </c>
      <c r="Q1023" s="25">
        <f t="array" aca="1" ref="Q1023" ca="1">INDEX('Isaac 401k'!L:L,MATCH('Retirement Calculator'!A1023,'Isaac 401k'!N:N,0),0)</f>
        <v>27772482.497476198</v>
      </c>
      <c r="R1023" s="25">
        <f t="array" aca="1" ref="R1023" ca="1">INDEX('Lorri 401b'!L:L,MATCH('Retirement Calculator'!A1023,'Lorri 401b'!N:N,0),0)</f>
        <v>18703782.467747059</v>
      </c>
      <c r="S1023" s="25">
        <f t="shared" ca="1" si="787"/>
        <v>46476264.965223253</v>
      </c>
    </row>
    <row r="1024" spans="1:19" ht="15.75" customHeight="1" x14ac:dyDescent="0.3">
      <c r="A1024" s="37">
        <v>82121</v>
      </c>
      <c r="B1024" s="409">
        <f t="shared" ref="B1024:C1024" si="1035">($A1024-B$9)/365.25</f>
        <v>142.95687885010267</v>
      </c>
      <c r="C1024" s="409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3525.4531757812501</v>
      </c>
      <c r="H1024" s="25">
        <f>IF(B1024&lt;62,0,'Combined Retirement'!$I$14)</f>
        <v>2192</v>
      </c>
      <c r="I1024" s="25">
        <f>IF(C1024&lt;62,0,'Combined Retirement'!$I$13)</f>
        <v>2420</v>
      </c>
      <c r="J1024" s="25">
        <f t="shared" si="783"/>
        <v>6404.7404596389215</v>
      </c>
      <c r="K1024" s="25">
        <f t="shared" si="784"/>
        <v>16520.094745597391</v>
      </c>
      <c r="L1024" s="25"/>
      <c r="N1024" s="25">
        <f>'Combined Retirement'!$C$18/12</f>
        <v>33932.660666666663</v>
      </c>
      <c r="O1024" s="25">
        <f t="shared" si="785"/>
        <v>11007.82546143035</v>
      </c>
      <c r="P1024" s="25">
        <f t="shared" si="786"/>
        <v>22924.835205236312</v>
      </c>
      <c r="Q1024" s="25">
        <f t="array" aca="1" ref="Q1024" ca="1">INDEX('Isaac 401k'!L:L,MATCH('Retirement Calculator'!A1024,'Isaac 401k'!N:N,0),0)</f>
        <v>27881769.747670792</v>
      </c>
      <c r="R1024" s="25">
        <f t="array" aca="1" ref="R1024" ca="1">INDEX('Lorri 401b'!L:L,MATCH('Retirement Calculator'!A1024,'Lorri 401b'!N:N,0),0)</f>
        <v>18765125.966222301</v>
      </c>
      <c r="S1024" s="25">
        <f t="shared" ca="1" si="787"/>
        <v>46646895.713893093</v>
      </c>
    </row>
    <row r="1025" spans="1:19" ht="15.75" customHeight="1" x14ac:dyDescent="0.3">
      <c r="A1025" s="37">
        <v>82151</v>
      </c>
      <c r="B1025" s="409">
        <f t="shared" ref="B1025:C1025" si="1036">($A1025-B$9)/365.25</f>
        <v>143.03901437371664</v>
      </c>
      <c r="C1025" s="409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3525.4531757812501</v>
      </c>
      <c r="H1025" s="25">
        <f>IF(B1025&lt;62,0,'Combined Retirement'!$I$14)</f>
        <v>2192</v>
      </c>
      <c r="I1025" s="25">
        <f>IF(C1025&lt;62,0,'Combined Retirement'!$I$13)</f>
        <v>2420</v>
      </c>
      <c r="J1025" s="25">
        <f t="shared" si="783"/>
        <v>6404.7404596389215</v>
      </c>
      <c r="K1025" s="25">
        <f t="shared" si="784"/>
        <v>16520.094745597391</v>
      </c>
      <c r="L1025" s="25"/>
      <c r="N1025" s="25">
        <f>'Combined Retirement'!$C$18/12</f>
        <v>33932.660666666663</v>
      </c>
      <c r="O1025" s="25">
        <f t="shared" si="785"/>
        <v>11007.82546143035</v>
      </c>
      <c r="P1025" s="25">
        <f t="shared" si="786"/>
        <v>22924.835205236312</v>
      </c>
      <c r="Q1025" s="25">
        <f t="array" aca="1" ref="Q1025" ca="1">INDEX('Isaac 401k'!L:L,MATCH('Retirement Calculator'!A1025,'Isaac 401k'!N:N,0),0)</f>
        <v>27991512.361407865</v>
      </c>
      <c r="R1025" s="25">
        <f t="array" aca="1" ref="R1025" ca="1">INDEX('Lorri 401b'!L:L,MATCH('Retirement Calculator'!A1025,'Lorri 401b'!N:N,0),0)</f>
        <v>18826725.062607855</v>
      </c>
      <c r="S1025" s="25">
        <f t="shared" ca="1" si="787"/>
        <v>46818237.424015716</v>
      </c>
    </row>
    <row r="1026" spans="1:19" ht="15.75" customHeight="1" x14ac:dyDescent="0.3">
      <c r="A1026" s="37">
        <v>82182</v>
      </c>
      <c r="B1026" s="409">
        <f t="shared" ref="B1026:C1026" si="1037">($A1026-B$9)/365.25</f>
        <v>143.12388774811774</v>
      </c>
      <c r="C1026" s="409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3525.4531757812501</v>
      </c>
      <c r="H1026" s="25">
        <f>IF(B1026&lt;62,0,'Combined Retirement'!$I$14)</f>
        <v>2192</v>
      </c>
      <c r="I1026" s="25">
        <f>IF(C1026&lt;62,0,'Combined Retirement'!$I$13)</f>
        <v>2420</v>
      </c>
      <c r="J1026" s="25">
        <f t="shared" si="783"/>
        <v>6404.7404596389215</v>
      </c>
      <c r="K1026" s="25">
        <f t="shared" si="784"/>
        <v>16520.094745597391</v>
      </c>
      <c r="L1026" s="25"/>
      <c r="N1026" s="25">
        <f>'Combined Retirement'!$C$18/12</f>
        <v>33932.660666666663</v>
      </c>
      <c r="O1026" s="25">
        <f t="shared" si="785"/>
        <v>11007.82546143035</v>
      </c>
      <c r="P1026" s="25">
        <f t="shared" si="786"/>
        <v>22924.835205236312</v>
      </c>
      <c r="Q1026" s="25">
        <f t="array" aca="1" ref="Q1026" ca="1">INDEX('Isaac 401k'!L:L,MATCH('Retirement Calculator'!A1026,'Isaac 401k'!N:N,0),0)</f>
        <v>28101712.236035511</v>
      </c>
      <c r="R1026" s="25">
        <f t="array" aca="1" ref="R1026" ca="1">INDEX('Lorri 401b'!L:L,MATCH('Retirement Calculator'!A1026,'Lorri 401b'!N:N,0),0)</f>
        <v>18888580.821895014</v>
      </c>
      <c r="S1026" s="25">
        <f t="shared" ca="1" si="787"/>
        <v>46990293.057930529</v>
      </c>
    </row>
    <row r="1027" spans="1:19" ht="15.75" customHeight="1" x14ac:dyDescent="0.3">
      <c r="A1027" s="37">
        <v>82213</v>
      </c>
      <c r="B1027" s="409">
        <f t="shared" ref="B1027:C1027" si="1038">($A1027-B$9)/365.25</f>
        <v>143.20876112251884</v>
      </c>
      <c r="C1027" s="409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3525.4531757812501</v>
      </c>
      <c r="H1027" s="25">
        <f>IF(B1027&lt;62,0,'Combined Retirement'!$I$14)</f>
        <v>2192</v>
      </c>
      <c r="I1027" s="25">
        <f>IF(C1027&lt;62,0,'Combined Retirement'!$I$13)</f>
        <v>2420</v>
      </c>
      <c r="J1027" s="25">
        <f t="shared" si="783"/>
        <v>6404.7404596389215</v>
      </c>
      <c r="K1027" s="25">
        <f t="shared" si="784"/>
        <v>16520.094745597391</v>
      </c>
      <c r="L1027" s="25"/>
      <c r="N1027" s="25">
        <f>'Combined Retirement'!$C$18/12</f>
        <v>33932.660666666663</v>
      </c>
      <c r="O1027" s="25">
        <f t="shared" si="785"/>
        <v>11007.82546143035</v>
      </c>
      <c r="P1027" s="25">
        <f t="shared" si="786"/>
        <v>22924.835205236312</v>
      </c>
      <c r="Q1027" s="25">
        <f t="array" aca="1" ref="Q1027" ca="1">INDEX('Isaac 401k'!L:L,MATCH('Retirement Calculator'!A1027,'Isaac 401k'!N:N,0),0)</f>
        <v>28212371.276807439</v>
      </c>
      <c r="R1027" s="25">
        <f t="array" aca="1" ref="R1027" ca="1">INDEX('Lorri 401b'!L:L,MATCH('Retirement Calculator'!A1027,'Lorri 401b'!N:N,0),0)</f>
        <v>18950694.313512538</v>
      </c>
      <c r="S1027" s="25">
        <f t="shared" ca="1" si="787"/>
        <v>47163065.590319976</v>
      </c>
    </row>
    <row r="1028" spans="1:19" ht="15.75" customHeight="1" x14ac:dyDescent="0.3">
      <c r="A1028" s="37">
        <v>82241</v>
      </c>
      <c r="B1028" s="409">
        <f t="shared" ref="B1028:C1028" si="1039">($A1028-B$9)/365.25</f>
        <v>143.28542094455852</v>
      </c>
      <c r="C1028" s="409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3525.4531757812501</v>
      </c>
      <c r="H1028" s="25">
        <f>IF(B1028&lt;62,0,'Combined Retirement'!$I$14)</f>
        <v>2192</v>
      </c>
      <c r="I1028" s="25">
        <f>IF(C1028&lt;62,0,'Combined Retirement'!$I$13)</f>
        <v>2420</v>
      </c>
      <c r="J1028" s="25">
        <f t="shared" si="783"/>
        <v>6404.7404596389215</v>
      </c>
      <c r="K1028" s="25">
        <f t="shared" si="784"/>
        <v>16520.094745597391</v>
      </c>
      <c r="L1028" s="25"/>
      <c r="N1028" s="25">
        <f>'Combined Retirement'!$C$18/12</f>
        <v>33932.660666666663</v>
      </c>
      <c r="O1028" s="25">
        <f t="shared" si="785"/>
        <v>11007.82546143035</v>
      </c>
      <c r="P1028" s="25">
        <f t="shared" si="786"/>
        <v>22924.835205236312</v>
      </c>
      <c r="Q1028" s="25">
        <f t="array" aca="1" ref="Q1028" ca="1">INDEX('Isaac 401k'!L:L,MATCH('Retirement Calculator'!A1028,'Isaac 401k'!N:N,0),0)</f>
        <v>28323491.396915916</v>
      </c>
      <c r="R1028" s="25">
        <f t="array" aca="1" ref="R1028" ca="1">INDEX('Lorri 401b'!L:L,MATCH('Retirement Calculator'!A1028,'Lorri 401b'!N:N,0),0)</f>
        <v>19013066.611345135</v>
      </c>
      <c r="S1028" s="25">
        <f t="shared" ca="1" si="787"/>
        <v>47336558.008261055</v>
      </c>
    </row>
    <row r="1029" spans="1:19" ht="15.75" customHeight="1" x14ac:dyDescent="0.3">
      <c r="A1029" s="37">
        <v>82272</v>
      </c>
      <c r="B1029" s="409">
        <f t="shared" ref="B1029:C1029" si="1040">($A1029-B$9)/365.25</f>
        <v>143.37029431895962</v>
      </c>
      <c r="C1029" s="409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3525.4531757812501</v>
      </c>
      <c r="H1029" s="25">
        <f>IF(B1029&lt;62,0,'Combined Retirement'!$I$14)</f>
        <v>2192</v>
      </c>
      <c r="I1029" s="25">
        <f>IF(C1029&lt;62,0,'Combined Retirement'!$I$13)</f>
        <v>2420</v>
      </c>
      <c r="J1029" s="25">
        <f t="shared" si="783"/>
        <v>6404.7404596389215</v>
      </c>
      <c r="K1029" s="25">
        <f t="shared" si="784"/>
        <v>16520.094745597391</v>
      </c>
      <c r="L1029" s="25"/>
      <c r="N1029" s="25">
        <f>'Combined Retirement'!$C$18/12</f>
        <v>33932.660666666663</v>
      </c>
      <c r="O1029" s="25">
        <f t="shared" si="785"/>
        <v>11007.82546143035</v>
      </c>
      <c r="P1029" s="25">
        <f t="shared" si="786"/>
        <v>22924.835205236312</v>
      </c>
      <c r="Q1029" s="25">
        <f t="array" aca="1" ref="Q1029" ca="1">INDEX('Isaac 401k'!L:L,MATCH('Retirement Calculator'!A1029,'Isaac 401k'!N:N,0),0)</f>
        <v>28435074.517524846</v>
      </c>
      <c r="R1029" s="25">
        <f t="array" aca="1" ref="R1029" ca="1">INDEX('Lorri 401b'!L:L,MATCH('Retirement Calculator'!A1029,'Lorri 401b'!N:N,0),0)</f>
        <v>19075698.793752033</v>
      </c>
      <c r="S1029" s="25">
        <f t="shared" ca="1" si="787"/>
        <v>47510773.311276883</v>
      </c>
    </row>
    <row r="1030" spans="1:19" ht="15.75" customHeight="1" x14ac:dyDescent="0.3">
      <c r="A1030" s="37">
        <v>82302</v>
      </c>
      <c r="B1030" s="409">
        <f t="shared" ref="B1030:C1030" si="1041">($A1030-B$9)/365.25</f>
        <v>143.45242984257359</v>
      </c>
      <c r="C1030" s="409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3525.4531757812501</v>
      </c>
      <c r="H1030" s="25">
        <f>IF(B1030&lt;62,0,'Combined Retirement'!$I$14)</f>
        <v>2192</v>
      </c>
      <c r="I1030" s="25">
        <f>IF(C1030&lt;62,0,'Combined Retirement'!$I$13)</f>
        <v>2420</v>
      </c>
      <c r="J1030" s="25">
        <f t="shared" si="783"/>
        <v>6404.7404596389215</v>
      </c>
      <c r="K1030" s="25">
        <f t="shared" si="784"/>
        <v>16520.094745597391</v>
      </c>
      <c r="L1030" s="25"/>
      <c r="N1030" s="25">
        <f>'Combined Retirement'!$C$18/12</f>
        <v>33932.660666666663</v>
      </c>
      <c r="O1030" s="25">
        <f t="shared" si="785"/>
        <v>11007.82546143035</v>
      </c>
      <c r="P1030" s="25">
        <f t="shared" si="786"/>
        <v>22924.835205236312</v>
      </c>
      <c r="Q1030" s="25">
        <f t="array" aca="1" ref="Q1030" ca="1">INDEX('Isaac 401k'!L:L,MATCH('Retirement Calculator'!A1030,'Isaac 401k'!N:N,0),0)</f>
        <v>28547122.567802977</v>
      </c>
      <c r="R1030" s="25">
        <f t="array" aca="1" ref="R1030" ca="1">INDEX('Lorri 401b'!L:L,MATCH('Retirement Calculator'!A1030,'Lorri 401b'!N:N,0),0)</f>
        <v>19138591.943585627</v>
      </c>
      <c r="S1030" s="25">
        <f t="shared" ca="1" si="787"/>
        <v>47685714.5113886</v>
      </c>
    </row>
    <row r="1031" spans="1:19" ht="15.75" customHeight="1" x14ac:dyDescent="0.3">
      <c r="A1031" s="37">
        <v>82333</v>
      </c>
      <c r="B1031" s="409">
        <f t="shared" ref="B1031:C1031" si="1042">($A1031-B$9)/365.25</f>
        <v>143.53730321697466</v>
      </c>
      <c r="C1031" s="409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3525.4531757812501</v>
      </c>
      <c r="H1031" s="25">
        <f>IF(B1031&lt;62,0,'Combined Retirement'!$I$14)</f>
        <v>2192</v>
      </c>
      <c r="I1031" s="25">
        <f>IF(C1031&lt;62,0,'Combined Retirement'!$I$13)</f>
        <v>2420</v>
      </c>
      <c r="J1031" s="25">
        <f t="shared" ref="J1031:J1171" si="1043">IF(C1031&lt;59.5,P1031,P1031*$J$7)</f>
        <v>6404.7404596389215</v>
      </c>
      <c r="K1031" s="25">
        <f t="shared" ref="K1031:K1171" si="1044">IF(C1031&lt;59.5,0,IF(C1031&lt;$B$7,0,P1031*$K$7))</f>
        <v>16520.094745597391</v>
      </c>
      <c r="L1031" s="25"/>
      <c r="N1031" s="25">
        <f>'Combined Retirement'!$C$18/12</f>
        <v>33932.660666666663</v>
      </c>
      <c r="O1031" s="25">
        <f t="shared" ref="O1031:O1171" si="1045">SUM(E1031:I1031)</f>
        <v>11007.82546143035</v>
      </c>
      <c r="P1031" s="25">
        <f t="shared" ref="P1031:P1171" si="1046">N1031-O1031</f>
        <v>22924.835205236312</v>
      </c>
      <c r="Q1031" s="25">
        <f t="array" aca="1" ref="Q1031" ca="1">INDEX('Isaac 401k'!L:L,MATCH('Retirement Calculator'!A1031,'Isaac 401k'!N:N,0),0)</f>
        <v>28659637.484957267</v>
      </c>
      <c r="R1031" s="25">
        <f t="array" aca="1" ref="R1031" ca="1">INDEX('Lorri 401b'!L:L,MATCH('Retirement Calculator'!A1031,'Lorri 401b'!N:N,0),0)</f>
        <v>19201747.148210194</v>
      </c>
      <c r="S1031" s="25">
        <f t="shared" ref="S1031:S1171" ca="1" si="1047">SUM(Q1031:R1031)</f>
        <v>47861384.633167461</v>
      </c>
    </row>
    <row r="1032" spans="1:19" ht="15.75" customHeight="1" x14ac:dyDescent="0.3">
      <c r="A1032" s="37">
        <v>82363</v>
      </c>
      <c r="B1032" s="409">
        <f t="shared" ref="B1032:C1032" si="1048">($A1032-B$9)/365.25</f>
        <v>143.61943874058863</v>
      </c>
      <c r="C1032" s="409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3525.4531757812501</v>
      </c>
      <c r="H1032" s="25">
        <f>IF(B1032&lt;62,0,'Combined Retirement'!$I$14)</f>
        <v>2192</v>
      </c>
      <c r="I1032" s="25">
        <f>IF(C1032&lt;62,0,'Combined Retirement'!$I$13)</f>
        <v>2420</v>
      </c>
      <c r="J1032" s="25">
        <f t="shared" si="1043"/>
        <v>6404.7404596389215</v>
      </c>
      <c r="K1032" s="25">
        <f t="shared" si="1044"/>
        <v>16520.094745597391</v>
      </c>
      <c r="L1032" s="25"/>
      <c r="N1032" s="25">
        <f>'Combined Retirement'!$C$18/12</f>
        <v>33932.660666666663</v>
      </c>
      <c r="O1032" s="25">
        <f t="shared" si="1045"/>
        <v>11007.82546143035</v>
      </c>
      <c r="P1032" s="25">
        <f t="shared" si="1046"/>
        <v>22924.835205236312</v>
      </c>
      <c r="Q1032" s="25">
        <f t="array" aca="1" ref="Q1032" ca="1">INDEX('Isaac 401k'!L:L,MATCH('Retirement Calculator'!A1032,'Isaac 401k'!N:N,0),0)</f>
        <v>28772621.214266367</v>
      </c>
      <c r="R1032" s="25">
        <f t="array" aca="1" ref="R1032" ca="1">INDEX('Lorri 401b'!L:L,MATCH('Retirement Calculator'!A1032,'Lorri 401b'!N:N,0),0)</f>
        <v>19265165.499520697</v>
      </c>
      <c r="S1032" s="25">
        <f t="shared" ca="1" si="1047"/>
        <v>48037786.713787064</v>
      </c>
    </row>
    <row r="1033" spans="1:19" ht="15.75" customHeight="1" x14ac:dyDescent="0.3">
      <c r="A1033" s="37">
        <v>82394</v>
      </c>
      <c r="B1033" s="409">
        <f t="shared" ref="B1033:C1033" si="1049">($A1033-B$9)/365.25</f>
        <v>143.70431211498973</v>
      </c>
      <c r="C1033" s="409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3525.4531757812501</v>
      </c>
      <c r="H1033" s="25">
        <f>IF(B1033&lt;62,0,'Combined Retirement'!$I$14)</f>
        <v>2192</v>
      </c>
      <c r="I1033" s="25">
        <f>IF(C1033&lt;62,0,'Combined Retirement'!$I$13)</f>
        <v>2420</v>
      </c>
      <c r="J1033" s="25">
        <f t="shared" si="1043"/>
        <v>6404.7404596389215</v>
      </c>
      <c r="K1033" s="25">
        <f t="shared" si="1044"/>
        <v>16520.094745597391</v>
      </c>
      <c r="L1033" s="25"/>
      <c r="N1033" s="25">
        <f>'Combined Retirement'!$C$18/12</f>
        <v>33932.660666666663</v>
      </c>
      <c r="O1033" s="25">
        <f t="shared" si="1045"/>
        <v>11007.82546143035</v>
      </c>
      <c r="P1033" s="25">
        <f t="shared" si="1046"/>
        <v>22924.835205236312</v>
      </c>
      <c r="Q1033" s="25">
        <f t="array" aca="1" ref="Q1033" ca="1">INDEX('Isaac 401k'!L:L,MATCH('Retirement Calculator'!A1033,'Isaac 401k'!N:N,0),0)</f>
        <v>28886075.709114257</v>
      </c>
      <c r="R1033" s="25">
        <f t="array" aca="1" ref="R1033" ca="1">INDEX('Lorri 401b'!L:L,MATCH('Retirement Calculator'!A1033,'Lorri 401b'!N:N,0),0)</f>
        <v>19328848.09396166</v>
      </c>
      <c r="S1033" s="25">
        <f t="shared" ca="1" si="1047"/>
        <v>48214923.803075917</v>
      </c>
    </row>
    <row r="1034" spans="1:19" ht="15.75" customHeight="1" x14ac:dyDescent="0.3">
      <c r="A1034" s="37">
        <v>82425</v>
      </c>
      <c r="B1034" s="409">
        <f t="shared" ref="B1034:C1034" si="1050">($A1034-B$9)/365.25</f>
        <v>143.78918548939083</v>
      </c>
      <c r="C1034" s="409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3525.4531757812501</v>
      </c>
      <c r="H1034" s="25">
        <f>IF(B1034&lt;62,0,'Combined Retirement'!$I$14)</f>
        <v>2192</v>
      </c>
      <c r="I1034" s="25">
        <f>IF(C1034&lt;62,0,'Combined Retirement'!$I$13)</f>
        <v>2420</v>
      </c>
      <c r="J1034" s="25">
        <f t="shared" si="1043"/>
        <v>6404.7404596389215</v>
      </c>
      <c r="K1034" s="25">
        <f t="shared" si="1044"/>
        <v>16520.094745597391</v>
      </c>
      <c r="L1034" s="25"/>
      <c r="N1034" s="25">
        <f>'Combined Retirement'!$C$18/12</f>
        <v>33932.660666666663</v>
      </c>
      <c r="O1034" s="25">
        <f t="shared" si="1045"/>
        <v>11007.82546143035</v>
      </c>
      <c r="P1034" s="25">
        <f t="shared" si="1046"/>
        <v>22924.835205236312</v>
      </c>
      <c r="Q1034" s="25">
        <f t="array" aca="1" ref="Q1034" ca="1">INDEX('Isaac 401k'!L:L,MATCH('Retirement Calculator'!A1034,'Isaac 401k'!N:N,0),0)</f>
        <v>29000002.931024011</v>
      </c>
      <c r="R1034" s="25">
        <f t="array" aca="1" ref="R1034" ca="1">INDEX('Lorri 401b'!L:L,MATCH('Retirement Calculator'!A1034,'Lorri 401b'!N:N,0),0)</f>
        <v>19392796.032546129</v>
      </c>
      <c r="S1034" s="25">
        <f t="shared" ca="1" si="1047"/>
        <v>48392798.96357014</v>
      </c>
    </row>
    <row r="1035" spans="1:19" ht="15.75" customHeight="1" x14ac:dyDescent="0.3">
      <c r="A1035" s="37">
        <v>82455</v>
      </c>
      <c r="B1035" s="409">
        <f t="shared" ref="B1035:C1035" si="1051">($A1035-B$9)/365.25</f>
        <v>143.8713210130048</v>
      </c>
      <c r="C1035" s="409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3525.4531757812501</v>
      </c>
      <c r="H1035" s="25">
        <f>IF(B1035&lt;62,0,'Combined Retirement'!$I$14)</f>
        <v>2192</v>
      </c>
      <c r="I1035" s="25">
        <f>IF(C1035&lt;62,0,'Combined Retirement'!$I$13)</f>
        <v>2420</v>
      </c>
      <c r="J1035" s="25">
        <f t="shared" si="1043"/>
        <v>6404.7404596389215</v>
      </c>
      <c r="K1035" s="25">
        <f t="shared" si="1044"/>
        <v>16520.094745597391</v>
      </c>
      <c r="L1035" s="25"/>
      <c r="N1035" s="25">
        <f>'Combined Retirement'!$C$18/12</f>
        <v>33932.660666666663</v>
      </c>
      <c r="O1035" s="25">
        <f t="shared" si="1045"/>
        <v>11007.82546143035</v>
      </c>
      <c r="P1035" s="25">
        <f t="shared" si="1046"/>
        <v>22924.835205236312</v>
      </c>
      <c r="Q1035" s="25">
        <f t="array" aca="1" ref="Q1035" ca="1">INDEX('Isaac 401k'!L:L,MATCH('Retirement Calculator'!A1035,'Isaac 401k'!N:N,0),0)</f>
        <v>29114404.849691723</v>
      </c>
      <c r="R1035" s="25">
        <f t="array" aca="1" ref="R1035" ca="1">INDEX('Lorri 401b'!L:L,MATCH('Retirement Calculator'!A1035,'Lorri 401b'!N:N,0),0)</f>
        <v>19457010.4208747</v>
      </c>
      <c r="S1035" s="25">
        <f t="shared" ca="1" si="1047"/>
        <v>48571415.270566419</v>
      </c>
    </row>
    <row r="1036" spans="1:19" ht="15.75" customHeight="1" x14ac:dyDescent="0.3">
      <c r="A1036" s="37">
        <v>82486</v>
      </c>
      <c r="B1036" s="409">
        <f t="shared" ref="B1036:C1036" si="1052">($A1036-B$9)/365.25</f>
        <v>143.95619438740587</v>
      </c>
      <c r="C1036" s="409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3525.4531757812501</v>
      </c>
      <c r="H1036" s="25">
        <f>IF(B1036&lt;62,0,'Combined Retirement'!$I$14)</f>
        <v>2192</v>
      </c>
      <c r="I1036" s="25">
        <f>IF(C1036&lt;62,0,'Combined Retirement'!$I$13)</f>
        <v>2420</v>
      </c>
      <c r="J1036" s="25">
        <f t="shared" si="1043"/>
        <v>6404.7404596389215</v>
      </c>
      <c r="K1036" s="25">
        <f t="shared" si="1044"/>
        <v>16520.094745597391</v>
      </c>
      <c r="L1036" s="25"/>
      <c r="N1036" s="25">
        <f>'Combined Retirement'!$C$18/12</f>
        <v>33932.660666666663</v>
      </c>
      <c r="O1036" s="25">
        <f t="shared" si="1045"/>
        <v>11007.82546143035</v>
      </c>
      <c r="P1036" s="25">
        <f t="shared" si="1046"/>
        <v>22924.835205236312</v>
      </c>
      <c r="Q1036" s="25">
        <f t="array" aca="1" ref="Q1036" ca="1">INDEX('Isaac 401k'!L:L,MATCH('Retirement Calculator'!A1036,'Isaac 401k'!N:N,0),0)</f>
        <v>29229283.443020549</v>
      </c>
      <c r="R1036" s="25">
        <f t="array" aca="1" ref="R1036" ca="1">INDEX('Lorri 401b'!L:L,MATCH('Retirement Calculator'!A1036,'Lorri 401b'!N:N,0),0)</f>
        <v>19521492.36915464</v>
      </c>
      <c r="S1036" s="25">
        <f t="shared" ca="1" si="1047"/>
        <v>48750775.812175184</v>
      </c>
    </row>
    <row r="1037" spans="1:19" ht="15.75" customHeight="1" x14ac:dyDescent="0.3">
      <c r="A1037" s="37">
        <v>82516</v>
      </c>
      <c r="B1037" s="409">
        <f t="shared" ref="B1037:C1037" si="1053">($A1037-B$9)/365.25</f>
        <v>144.03832991101984</v>
      </c>
      <c r="C1037" s="409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3525.4531757812501</v>
      </c>
      <c r="H1037" s="25">
        <f>IF(B1037&lt;62,0,'Combined Retirement'!$I$14)</f>
        <v>2192</v>
      </c>
      <c r="I1037" s="25">
        <f>IF(C1037&lt;62,0,'Combined Retirement'!$I$13)</f>
        <v>2420</v>
      </c>
      <c r="J1037" s="25">
        <f t="shared" si="1043"/>
        <v>6404.7404596389215</v>
      </c>
      <c r="K1037" s="25">
        <f t="shared" si="1044"/>
        <v>16520.094745597391</v>
      </c>
      <c r="L1037" s="25"/>
      <c r="N1037" s="25">
        <f>'Combined Retirement'!$C$18/12</f>
        <v>33932.660666666663</v>
      </c>
      <c r="O1037" s="25">
        <f t="shared" si="1045"/>
        <v>11007.82546143035</v>
      </c>
      <c r="P1037" s="25">
        <f t="shared" si="1046"/>
        <v>22924.835205236312</v>
      </c>
      <c r="Q1037" s="25">
        <f t="array" aca="1" ref="Q1037" ca="1">INDEX('Isaac 401k'!L:L,MATCH('Retirement Calculator'!A1037,'Isaac 401k'!N:N,0),0)</f>
        <v>29344640.697154913</v>
      </c>
      <c r="R1037" s="25">
        <f t="array" aca="1" ref="R1037" ca="1">INDEX('Lorri 401b'!L:L,MATCH('Retirement Calculator'!A1037,'Lorri 401b'!N:N,0),0)</f>
        <v>19586242.992219079</v>
      </c>
      <c r="S1037" s="25">
        <f t="shared" ca="1" si="1047"/>
        <v>48930883.689373992</v>
      </c>
    </row>
    <row r="1038" spans="1:19" ht="15.75" customHeight="1" x14ac:dyDescent="0.3">
      <c r="A1038" s="37">
        <v>82547</v>
      </c>
      <c r="B1038" s="409">
        <f t="shared" ref="B1038:C1038" si="1054">($A1038-B$9)/365.25</f>
        <v>144.12320328542094</v>
      </c>
      <c r="C1038" s="409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3525.4531757812501</v>
      </c>
      <c r="H1038" s="25">
        <f>IF(B1038&lt;62,0,'Combined Retirement'!$I$14)</f>
        <v>2192</v>
      </c>
      <c r="I1038" s="25">
        <f>IF(C1038&lt;62,0,'Combined Retirement'!$I$13)</f>
        <v>2420</v>
      </c>
      <c r="J1038" s="25">
        <f t="shared" si="1043"/>
        <v>6404.7404596389215</v>
      </c>
      <c r="K1038" s="25">
        <f t="shared" si="1044"/>
        <v>16520.094745597391</v>
      </c>
      <c r="L1038" s="25"/>
      <c r="N1038" s="25">
        <f>'Combined Retirement'!$C$18/12</f>
        <v>33932.660666666663</v>
      </c>
      <c r="O1038" s="25">
        <f t="shared" si="1045"/>
        <v>11007.82546143035</v>
      </c>
      <c r="P1038" s="25">
        <f t="shared" si="1046"/>
        <v>22924.835205236312</v>
      </c>
      <c r="Q1038" s="25">
        <f t="array" aca="1" ref="Q1038" ca="1">INDEX('Isaac 401k'!L:L,MATCH('Retirement Calculator'!A1038,'Isaac 401k'!N:N,0),0)</f>
        <v>29460478.606514838</v>
      </c>
      <c r="R1038" s="25">
        <f t="array" aca="1" ref="R1038" ca="1">INDEX('Lorri 401b'!L:L,MATCH('Retirement Calculator'!A1038,'Lorri 401b'!N:N,0),0)</f>
        <v>19651263.409546286</v>
      </c>
      <c r="S1038" s="25">
        <f t="shared" ca="1" si="1047"/>
        <v>49111742.016061127</v>
      </c>
    </row>
    <row r="1039" spans="1:19" ht="15.75" customHeight="1" x14ac:dyDescent="0.3">
      <c r="A1039" s="37">
        <v>82578</v>
      </c>
      <c r="B1039" s="409">
        <f t="shared" ref="B1039:C1039" si="1055">($A1039-B$9)/365.25</f>
        <v>144.20807665982204</v>
      </c>
      <c r="C1039" s="409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3525.4531757812501</v>
      </c>
      <c r="H1039" s="25">
        <f>IF(B1039&lt;62,0,'Combined Retirement'!$I$14)</f>
        <v>2192</v>
      </c>
      <c r="I1039" s="25">
        <f>IF(C1039&lt;62,0,'Combined Retirement'!$I$13)</f>
        <v>2420</v>
      </c>
      <c r="J1039" s="25">
        <f t="shared" si="1043"/>
        <v>6404.7404596389215</v>
      </c>
      <c r="K1039" s="25">
        <f t="shared" si="1044"/>
        <v>16520.094745597391</v>
      </c>
      <c r="L1039" s="25"/>
      <c r="N1039" s="25">
        <f>'Combined Retirement'!$C$18/12</f>
        <v>33932.660666666663</v>
      </c>
      <c r="O1039" s="25">
        <f t="shared" si="1045"/>
        <v>11007.82546143035</v>
      </c>
      <c r="P1039" s="25">
        <f t="shared" si="1046"/>
        <v>22924.835205236312</v>
      </c>
      <c r="Q1039" s="25">
        <f t="array" aca="1" ref="Q1039" ca="1">INDEX('Isaac 401k'!L:L,MATCH('Retirement Calculator'!A1039,'Isaac 401k'!N:N,0),0)</f>
        <v>29576799.173830427</v>
      </c>
      <c r="R1039" s="25">
        <f t="array" aca="1" ref="R1039" ca="1">INDEX('Lorri 401b'!L:L,MATCH('Retirement Calculator'!A1039,'Lorri 401b'!N:N,0),0)</f>
        <v>19716554.745279022</v>
      </c>
      <c r="S1039" s="25">
        <f t="shared" ca="1" si="1047"/>
        <v>49293353.919109449</v>
      </c>
    </row>
    <row r="1040" spans="1:19" ht="15.75" customHeight="1" x14ac:dyDescent="0.3">
      <c r="A1040" s="37">
        <v>82606</v>
      </c>
      <c r="B1040" s="409">
        <f t="shared" ref="B1040:C1040" si="1056">($A1040-B$9)/365.25</f>
        <v>144.28473648186173</v>
      </c>
      <c r="C1040" s="409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3525.4531757812501</v>
      </c>
      <c r="H1040" s="25">
        <f>IF(B1040&lt;62,0,'Combined Retirement'!$I$14)</f>
        <v>2192</v>
      </c>
      <c r="I1040" s="25">
        <f>IF(C1040&lt;62,0,'Combined Retirement'!$I$13)</f>
        <v>2420</v>
      </c>
      <c r="J1040" s="25">
        <f t="shared" si="1043"/>
        <v>6404.7404596389215</v>
      </c>
      <c r="K1040" s="25">
        <f t="shared" si="1044"/>
        <v>16520.094745597391</v>
      </c>
      <c r="L1040" s="25"/>
      <c r="N1040" s="25">
        <f>'Combined Retirement'!$C$18/12</f>
        <v>33932.660666666663</v>
      </c>
      <c r="O1040" s="25">
        <f t="shared" si="1045"/>
        <v>11007.82546143035</v>
      </c>
      <c r="P1040" s="25">
        <f t="shared" si="1046"/>
        <v>22924.835205236312</v>
      </c>
      <c r="Q1040" s="25">
        <f t="array" aca="1" ref="Q1040" ca="1">INDEX('Isaac 401k'!L:L,MATCH('Retirement Calculator'!A1040,'Isaac 401k'!N:N,0),0)</f>
        <v>29693604.410176501</v>
      </c>
      <c r="R1040" s="25">
        <f t="array" aca="1" ref="R1040" ca="1">INDEX('Lorri 401b'!L:L,MATCH('Retirement Calculator'!A1040,'Lorri 401b'!N:N,0),0)</f>
        <v>19782118.128243979</v>
      </c>
      <c r="S1040" s="25">
        <f t="shared" ca="1" si="1047"/>
        <v>49475722.538420483</v>
      </c>
    </row>
    <row r="1041" spans="1:19" ht="15.75" customHeight="1" x14ac:dyDescent="0.3">
      <c r="A1041" s="37">
        <v>82637</v>
      </c>
      <c r="B1041" s="409">
        <f t="shared" ref="B1041:C1041" si="1057">($A1041-B$9)/365.25</f>
        <v>144.36960985626283</v>
      </c>
      <c r="C1041" s="409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3525.4531757812501</v>
      </c>
      <c r="H1041" s="25">
        <f>IF(B1041&lt;62,0,'Combined Retirement'!$I$14)</f>
        <v>2192</v>
      </c>
      <c r="I1041" s="25">
        <f>IF(C1041&lt;62,0,'Combined Retirement'!$I$13)</f>
        <v>2420</v>
      </c>
      <c r="J1041" s="25">
        <f t="shared" si="1043"/>
        <v>6404.7404596389215</v>
      </c>
      <c r="K1041" s="25">
        <f t="shared" si="1044"/>
        <v>16520.094745597391</v>
      </c>
      <c r="L1041" s="25"/>
      <c r="N1041" s="25">
        <f>'Combined Retirement'!$C$18/12</f>
        <v>33932.660666666663</v>
      </c>
      <c r="O1041" s="25">
        <f t="shared" si="1045"/>
        <v>11007.82546143035</v>
      </c>
      <c r="P1041" s="25">
        <f t="shared" si="1046"/>
        <v>22924.835205236312</v>
      </c>
      <c r="Q1041" s="25">
        <f t="array" aca="1" ref="Q1041" ca="1">INDEX('Isaac 401k'!L:L,MATCH('Retirement Calculator'!A1041,'Isaac 401k'!N:N,0),0)</f>
        <v>29810896.335007347</v>
      </c>
      <c r="R1041" s="25">
        <f t="array" aca="1" ref="R1041" ca="1">INDEX('Lorri 401b'!L:L,MATCH('Retirement Calculator'!A1041,'Lorri 401b'!N:N,0),0)</f>
        <v>19847954.691971291</v>
      </c>
      <c r="S1041" s="25">
        <f t="shared" ca="1" si="1047"/>
        <v>49658851.026978642</v>
      </c>
    </row>
    <row r="1042" spans="1:19" ht="15.75" customHeight="1" x14ac:dyDescent="0.3">
      <c r="A1042" s="37">
        <v>82667</v>
      </c>
      <c r="B1042" s="409">
        <f t="shared" ref="B1042:C1042" si="1058">($A1042-B$9)/365.25</f>
        <v>144.4517453798768</v>
      </c>
      <c r="C1042" s="409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3525.4531757812501</v>
      </c>
      <c r="H1042" s="25">
        <f>IF(B1042&lt;62,0,'Combined Retirement'!$I$14)</f>
        <v>2192</v>
      </c>
      <c r="I1042" s="25">
        <f>IF(C1042&lt;62,0,'Combined Retirement'!$I$13)</f>
        <v>2420</v>
      </c>
      <c r="J1042" s="25">
        <f t="shared" si="1043"/>
        <v>6404.7404596389215</v>
      </c>
      <c r="K1042" s="25">
        <f t="shared" si="1044"/>
        <v>16520.094745597391</v>
      </c>
      <c r="L1042" s="25"/>
      <c r="N1042" s="25">
        <f>'Combined Retirement'!$C$18/12</f>
        <v>33932.660666666663</v>
      </c>
      <c r="O1042" s="25">
        <f t="shared" si="1045"/>
        <v>11007.82546143035</v>
      </c>
      <c r="P1042" s="25">
        <f t="shared" si="1046"/>
        <v>22924.835205236312</v>
      </c>
      <c r="Q1042" s="25">
        <f t="array" aca="1" ref="Q1042" ca="1">INDEX('Isaac 401k'!L:L,MATCH('Retirement Calculator'!A1042,'Isaac 401k'!N:N,0),0)</f>
        <v>29928676.976191655</v>
      </c>
      <c r="R1042" s="25">
        <f t="array" aca="1" ref="R1042" ca="1">INDEX('Lorri 401b'!L:L,MATCH('Retirement Calculator'!A1042,'Lorri 401b'!N:N,0),0)</f>
        <v>19914065.574714132</v>
      </c>
      <c r="S1042" s="25">
        <f t="shared" ca="1" si="1047"/>
        <v>49842742.550905786</v>
      </c>
    </row>
    <row r="1043" spans="1:19" ht="15.75" customHeight="1" x14ac:dyDescent="0.3">
      <c r="A1043" s="37">
        <v>82698</v>
      </c>
      <c r="B1043" s="409">
        <f t="shared" ref="B1043:C1043" si="1059">($A1043-B$9)/365.25</f>
        <v>144.5366187542779</v>
      </c>
      <c r="C1043" s="409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3525.4531757812501</v>
      </c>
      <c r="H1043" s="25">
        <f>IF(B1043&lt;62,0,'Combined Retirement'!$I$14)</f>
        <v>2192</v>
      </c>
      <c r="I1043" s="25">
        <f>IF(C1043&lt;62,0,'Combined Retirement'!$I$13)</f>
        <v>2420</v>
      </c>
      <c r="J1043" s="25">
        <f t="shared" si="1043"/>
        <v>6404.7404596389215</v>
      </c>
      <c r="K1043" s="25">
        <f t="shared" si="1044"/>
        <v>16520.094745597391</v>
      </c>
      <c r="L1043" s="25"/>
      <c r="N1043" s="25">
        <f>'Combined Retirement'!$C$18/12</f>
        <v>33932.660666666663</v>
      </c>
      <c r="O1043" s="25">
        <f t="shared" si="1045"/>
        <v>11007.82546143035</v>
      </c>
      <c r="P1043" s="25">
        <f t="shared" si="1046"/>
        <v>22924.835205236312</v>
      </c>
      <c r="Q1043" s="25">
        <f t="array" aca="1" ref="Q1043" ca="1">INDEX('Isaac 401k'!L:L,MATCH('Retirement Calculator'!A1043,'Isaac 401k'!N:N,0),0)</f>
        <v>30046948.370047566</v>
      </c>
      <c r="R1043" s="25">
        <f t="array" aca="1" ref="R1043" ca="1">INDEX('Lorri 401b'!L:L,MATCH('Retirement Calculator'!A1043,'Lorri 401b'!N:N,0),0)</f>
        <v>19980451.919468403</v>
      </c>
      <c r="S1043" s="25">
        <f t="shared" ca="1" si="1047"/>
        <v>50027400.289515972</v>
      </c>
    </row>
    <row r="1044" spans="1:19" ht="15.75" customHeight="1" x14ac:dyDescent="0.3">
      <c r="A1044" s="37">
        <v>82728</v>
      </c>
      <c r="B1044" s="409">
        <f t="shared" ref="B1044:C1044" si="1060">($A1044-B$9)/365.25</f>
        <v>144.61875427789187</v>
      </c>
      <c r="C1044" s="409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3525.4531757812501</v>
      </c>
      <c r="H1044" s="25">
        <f>IF(B1044&lt;62,0,'Combined Retirement'!$I$14)</f>
        <v>2192</v>
      </c>
      <c r="I1044" s="25">
        <f>IF(C1044&lt;62,0,'Combined Retirement'!$I$13)</f>
        <v>2420</v>
      </c>
      <c r="J1044" s="25">
        <f t="shared" si="1043"/>
        <v>6404.7404596389215</v>
      </c>
      <c r="K1044" s="25">
        <f t="shared" si="1044"/>
        <v>16520.094745597391</v>
      </c>
      <c r="L1044" s="25"/>
      <c r="N1044" s="25">
        <f>'Combined Retirement'!$C$18/12</f>
        <v>33932.660666666663</v>
      </c>
      <c r="O1044" s="25">
        <f t="shared" si="1045"/>
        <v>11007.82546143035</v>
      </c>
      <c r="P1044" s="25">
        <f t="shared" si="1046"/>
        <v>22924.835205236312</v>
      </c>
      <c r="Q1044" s="25">
        <f t="array" aca="1" ref="Q1044" ca="1">INDEX('Isaac 401k'!L:L,MATCH('Retirement Calculator'!A1044,'Isaac 401k'!N:N,0),0)</f>
        <v>30165712.561377876</v>
      </c>
      <c r="R1044" s="25">
        <f t="array" aca="1" ref="R1044" ca="1">INDEX('Lorri 401b'!L:L,MATCH('Retirement Calculator'!A1044,'Lorri 401b'!N:N,0),0)</f>
        <v>20047114.873992484</v>
      </c>
      <c r="S1044" s="25">
        <f t="shared" ca="1" si="1047"/>
        <v>50212827.435370356</v>
      </c>
    </row>
    <row r="1045" spans="1:19" ht="15.75" customHeight="1" x14ac:dyDescent="0.3">
      <c r="A1045" s="37">
        <v>82759</v>
      </c>
      <c r="B1045" s="409">
        <f t="shared" ref="B1045:C1045" si="1061">($A1045-B$9)/365.25</f>
        <v>144.70362765229294</v>
      </c>
      <c r="C1045" s="409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3525.4531757812501</v>
      </c>
      <c r="H1045" s="25">
        <f>IF(B1045&lt;62,0,'Combined Retirement'!$I$14)</f>
        <v>2192</v>
      </c>
      <c r="I1045" s="25">
        <f>IF(C1045&lt;62,0,'Combined Retirement'!$I$13)</f>
        <v>2420</v>
      </c>
      <c r="J1045" s="25">
        <f t="shared" si="1043"/>
        <v>6404.7404596389215</v>
      </c>
      <c r="K1045" s="25">
        <f t="shared" si="1044"/>
        <v>16520.094745597391</v>
      </c>
      <c r="L1045" s="25"/>
      <c r="N1045" s="25">
        <f>'Combined Retirement'!$C$18/12</f>
        <v>33932.660666666663</v>
      </c>
      <c r="O1045" s="25">
        <f t="shared" si="1045"/>
        <v>11007.82546143035</v>
      </c>
      <c r="P1045" s="25">
        <f t="shared" si="1046"/>
        <v>22924.835205236312</v>
      </c>
      <c r="Q1045" s="25">
        <f t="array" aca="1" ref="Q1045" ca="1">INDEX('Isaac 401k'!L:L,MATCH('Retirement Calculator'!A1045,'Isaac 401k'!N:N,0),0)</f>
        <v>30284971.603505395</v>
      </c>
      <c r="R1045" s="25">
        <f t="array" aca="1" ref="R1045" ca="1">INDEX('Lorri 401b'!L:L,MATCH('Retirement Calculator'!A1045,'Lorri 401b'!N:N,0),0)</f>
        <v>20114055.590827081</v>
      </c>
      <c r="S1045" s="25">
        <f t="shared" ca="1" si="1047"/>
        <v>50399027.19433248</v>
      </c>
    </row>
    <row r="1046" spans="1:19" ht="15.75" customHeight="1" x14ac:dyDescent="0.3">
      <c r="A1046" s="37">
        <v>82790</v>
      </c>
      <c r="B1046" s="409">
        <f t="shared" ref="B1046:C1046" si="1062">($A1046-B$9)/365.25</f>
        <v>144.78850102669404</v>
      </c>
      <c r="C1046" s="409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3525.4531757812501</v>
      </c>
      <c r="H1046" s="25">
        <f>IF(B1046&lt;62,0,'Combined Retirement'!$I$14)</f>
        <v>2192</v>
      </c>
      <c r="I1046" s="25">
        <f>IF(C1046&lt;62,0,'Combined Retirement'!$I$13)</f>
        <v>2420</v>
      </c>
      <c r="J1046" s="25">
        <f t="shared" si="1043"/>
        <v>6404.7404596389215</v>
      </c>
      <c r="K1046" s="25">
        <f t="shared" si="1044"/>
        <v>16520.094745597391</v>
      </c>
      <c r="L1046" s="25"/>
      <c r="N1046" s="25">
        <f>'Combined Retirement'!$C$18/12</f>
        <v>33932.660666666663</v>
      </c>
      <c r="O1046" s="25">
        <f t="shared" si="1045"/>
        <v>11007.82546143035</v>
      </c>
      <c r="P1046" s="25">
        <f t="shared" si="1046"/>
        <v>22924.835205236312</v>
      </c>
      <c r="Q1046" s="25">
        <f t="array" aca="1" ref="Q1046" ca="1">INDEX('Isaac 401k'!L:L,MATCH('Retirement Calculator'!A1046,'Isaac 401k'!N:N,0),0)</f>
        <v>30404727.558308445</v>
      </c>
      <c r="R1046" s="25">
        <f t="array" aca="1" ref="R1046" ca="1">INDEX('Lorri 401b'!L:L,MATCH('Retirement Calculator'!A1046,'Lorri 401b'!N:N,0),0)</f>
        <v>20181275.227315154</v>
      </c>
      <c r="S1046" s="25">
        <f t="shared" ca="1" si="1047"/>
        <v>50586002.785623595</v>
      </c>
    </row>
    <row r="1047" spans="1:19" ht="15.75" customHeight="1" x14ac:dyDescent="0.3">
      <c r="A1047" s="37">
        <v>82820</v>
      </c>
      <c r="B1047" s="409">
        <f t="shared" ref="B1047:C1047" si="1063">($A1047-B$9)/365.25</f>
        <v>144.87063655030801</v>
      </c>
      <c r="C1047" s="409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3525.4531757812501</v>
      </c>
      <c r="H1047" s="25">
        <f>IF(B1047&lt;62,0,'Combined Retirement'!$I$14)</f>
        <v>2192</v>
      </c>
      <c r="I1047" s="25">
        <f>IF(C1047&lt;62,0,'Combined Retirement'!$I$13)</f>
        <v>2420</v>
      </c>
      <c r="J1047" s="25">
        <f t="shared" si="1043"/>
        <v>6404.7404596389215</v>
      </c>
      <c r="K1047" s="25">
        <f t="shared" si="1044"/>
        <v>16520.094745597391</v>
      </c>
      <c r="L1047" s="25"/>
      <c r="N1047" s="25">
        <f>'Combined Retirement'!$C$18/12</f>
        <v>33932.660666666663</v>
      </c>
      <c r="O1047" s="25">
        <f t="shared" si="1045"/>
        <v>11007.82546143035</v>
      </c>
      <c r="P1047" s="25">
        <f t="shared" si="1046"/>
        <v>22924.835205236312</v>
      </c>
      <c r="Q1047" s="25">
        <f t="array" aca="1" ref="Q1047" ca="1">INDEX('Isaac 401k'!L:L,MATCH('Retirement Calculator'!A1047,'Isaac 401k'!N:N,0),0)</f>
        <v>30524982.496256508</v>
      </c>
      <c r="R1047" s="25">
        <f t="array" aca="1" ref="R1047" ca="1">INDEX('Lorri 401b'!L:L,MATCH('Retirement Calculator'!A1047,'Lorri 401b'!N:N,0),0)</f>
        <v>20248774.94562193</v>
      </c>
      <c r="S1047" s="25">
        <f t="shared" ca="1" si="1047"/>
        <v>50773757.441878438</v>
      </c>
    </row>
    <row r="1048" spans="1:19" ht="15.75" customHeight="1" x14ac:dyDescent="0.3">
      <c r="A1048" s="37">
        <v>82851</v>
      </c>
      <c r="B1048" s="409">
        <f t="shared" ref="B1048:C1048" si="1064">($A1048-B$9)/365.25</f>
        <v>144.95550992470911</v>
      </c>
      <c r="C1048" s="409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3525.4531757812501</v>
      </c>
      <c r="H1048" s="25">
        <f>IF(B1048&lt;62,0,'Combined Retirement'!$I$14)</f>
        <v>2192</v>
      </c>
      <c r="I1048" s="25">
        <f>IF(C1048&lt;62,0,'Combined Retirement'!$I$13)</f>
        <v>2420</v>
      </c>
      <c r="J1048" s="25">
        <f t="shared" si="1043"/>
        <v>6404.7404596389215</v>
      </c>
      <c r="K1048" s="25">
        <f t="shared" si="1044"/>
        <v>16520.094745597391</v>
      </c>
      <c r="L1048" s="25"/>
      <c r="N1048" s="25">
        <f>'Combined Retirement'!$C$18/12</f>
        <v>33932.660666666663</v>
      </c>
      <c r="O1048" s="25">
        <f t="shared" si="1045"/>
        <v>11007.82546143035</v>
      </c>
      <c r="P1048" s="25">
        <f t="shared" si="1046"/>
        <v>22924.835205236312</v>
      </c>
      <c r="Q1048" s="25">
        <f t="array" aca="1" ref="Q1048" ca="1">INDEX('Isaac 401k'!L:L,MATCH('Retirement Calculator'!A1048,'Isaac 401k'!N:N,0),0)</f>
        <v>30645738.496446021</v>
      </c>
      <c r="R1048" s="25">
        <f t="array" aca="1" ref="R1048" ca="1">INDEX('Lorri 401b'!L:L,MATCH('Retirement Calculator'!A1048,'Lorri 401b'!N:N,0),0)</f>
        <v>20316555.912754983</v>
      </c>
      <c r="S1048" s="25">
        <f t="shared" ca="1" si="1047"/>
        <v>50962294.409201004</v>
      </c>
    </row>
    <row r="1049" spans="1:19" ht="15.75" customHeight="1" x14ac:dyDescent="0.3">
      <c r="A1049" s="37">
        <v>82881</v>
      </c>
      <c r="B1049" s="409">
        <f t="shared" ref="B1049:C1049" si="1065">($A1049-B$9)/365.25</f>
        <v>145.03764544832308</v>
      </c>
      <c r="C1049" s="409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3525.4531757812501</v>
      </c>
      <c r="H1049" s="25">
        <f>IF(B1049&lt;62,0,'Combined Retirement'!$I$14)</f>
        <v>2192</v>
      </c>
      <c r="I1049" s="25">
        <f>IF(C1049&lt;62,0,'Combined Retirement'!$I$13)</f>
        <v>2420</v>
      </c>
      <c r="J1049" s="25">
        <f t="shared" si="1043"/>
        <v>6404.7404596389215</v>
      </c>
      <c r="K1049" s="25">
        <f t="shared" si="1044"/>
        <v>16520.094745597391</v>
      </c>
      <c r="L1049" s="25"/>
      <c r="N1049" s="25">
        <f>'Combined Retirement'!$C$18/12</f>
        <v>33932.660666666663</v>
      </c>
      <c r="O1049" s="25">
        <f t="shared" si="1045"/>
        <v>11007.82546143035</v>
      </c>
      <c r="P1049" s="25">
        <f t="shared" si="1046"/>
        <v>22924.835205236312</v>
      </c>
      <c r="Q1049" s="25">
        <f t="array" aca="1" ref="Q1049" ca="1">INDEX('Isaac 401k'!L:L,MATCH('Retirement Calculator'!A1049,'Isaac 401k'!N:N,0),0)</f>
        <v>30766997.646636326</v>
      </c>
      <c r="R1049" s="25">
        <f t="array" aca="1" ref="R1049" ca="1">INDEX('Lorri 401b'!L:L,MATCH('Retirement Calculator'!A1049,'Lorri 401b'!N:N,0),0)</f>
        <v>20384619.300584424</v>
      </c>
      <c r="S1049" s="25">
        <f t="shared" ca="1" si="1047"/>
        <v>51151616.94722075</v>
      </c>
    </row>
    <row r="1050" spans="1:19" ht="15.75" customHeight="1" x14ac:dyDescent="0.3">
      <c r="A1050" s="37">
        <v>82912</v>
      </c>
      <c r="B1050" s="409">
        <f t="shared" ref="B1050:C1050" si="1066">($A1050-B$9)/365.25</f>
        <v>145.12251882272417</v>
      </c>
      <c r="C1050" s="409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3525.4531757812501</v>
      </c>
      <c r="H1050" s="25">
        <f>IF(B1050&lt;62,0,'Combined Retirement'!$I$14)</f>
        <v>2192</v>
      </c>
      <c r="I1050" s="25">
        <f>IF(C1050&lt;62,0,'Combined Retirement'!$I$13)</f>
        <v>2420</v>
      </c>
      <c r="J1050" s="25">
        <f t="shared" si="1043"/>
        <v>6404.7404596389215</v>
      </c>
      <c r="K1050" s="25">
        <f t="shared" si="1044"/>
        <v>16520.094745597391</v>
      </c>
      <c r="L1050" s="25"/>
      <c r="N1050" s="25">
        <f>'Combined Retirement'!$C$18/12</f>
        <v>33932.660666666663</v>
      </c>
      <c r="O1050" s="25">
        <f t="shared" si="1045"/>
        <v>11007.82546143035</v>
      </c>
      <c r="P1050" s="25">
        <f t="shared" si="1046"/>
        <v>22924.835205236312</v>
      </c>
      <c r="Q1050" s="25">
        <f t="array" aca="1" ref="Q1050" ca="1">INDEX('Isaac 401k'!L:L,MATCH('Retirement Calculator'!A1050,'Isaac 401k'!N:N,0),0)</f>
        <v>30888762.043285757</v>
      </c>
      <c r="R1050" s="25">
        <f t="array" aca="1" ref="R1050" ca="1">INDEX('Lorri 401b'!L:L,MATCH('Retirement Calculator'!A1050,'Lorri 401b'!N:N,0),0)</f>
        <v>20452966.285863154</v>
      </c>
      <c r="S1050" s="25">
        <f t="shared" ca="1" si="1047"/>
        <v>51341728.329148911</v>
      </c>
    </row>
    <row r="1051" spans="1:19" ht="15.75" customHeight="1" x14ac:dyDescent="0.3">
      <c r="A1051" s="37">
        <v>82943</v>
      </c>
      <c r="B1051" s="409">
        <f t="shared" ref="B1051:C1051" si="1067">($A1051-B$9)/365.25</f>
        <v>145.20739219712524</v>
      </c>
      <c r="C1051" s="409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3525.4531757812501</v>
      </c>
      <c r="H1051" s="25">
        <f>IF(B1051&lt;62,0,'Combined Retirement'!$I$14)</f>
        <v>2192</v>
      </c>
      <c r="I1051" s="25">
        <f>IF(C1051&lt;62,0,'Combined Retirement'!$I$13)</f>
        <v>2420</v>
      </c>
      <c r="J1051" s="25">
        <f t="shared" si="1043"/>
        <v>6404.7404596389215</v>
      </c>
      <c r="K1051" s="25">
        <f t="shared" si="1044"/>
        <v>16520.094745597391</v>
      </c>
      <c r="L1051" s="25"/>
      <c r="N1051" s="25">
        <f>'Combined Retirement'!$C$18/12</f>
        <v>33932.660666666663</v>
      </c>
      <c r="O1051" s="25">
        <f t="shared" si="1045"/>
        <v>11007.82546143035</v>
      </c>
      <c r="P1051" s="25">
        <f t="shared" si="1046"/>
        <v>22924.835205236312</v>
      </c>
      <c r="Q1051" s="25">
        <f t="array" aca="1" ref="Q1051" ca="1">INDEX('Isaac 401k'!L:L,MATCH('Retirement Calculator'!A1051,'Isaac 401k'!N:N,0),0)</f>
        <v>31011033.791587893</v>
      </c>
      <c r="R1051" s="25">
        <f t="array" aca="1" ref="R1051" ca="1">INDEX('Lorri 401b'!L:L,MATCH('Retirement Calculator'!A1051,'Lorri 401b'!N:N,0),0)</f>
        <v>20521598.050247211</v>
      </c>
      <c r="S1051" s="25">
        <f t="shared" ca="1" si="1047"/>
        <v>51532631.841835104</v>
      </c>
    </row>
    <row r="1052" spans="1:19" ht="15.75" customHeight="1" x14ac:dyDescent="0.3">
      <c r="A1052" s="37">
        <v>82971</v>
      </c>
      <c r="B1052" s="409">
        <f t="shared" ref="B1052:C1052" si="1068">($A1052-B$9)/365.25</f>
        <v>145.28405201916496</v>
      </c>
      <c r="C1052" s="409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3525.4531757812501</v>
      </c>
      <c r="H1052" s="25">
        <f>IF(B1052&lt;62,0,'Combined Retirement'!$I$14)</f>
        <v>2192</v>
      </c>
      <c r="I1052" s="25">
        <f>IF(C1052&lt;62,0,'Combined Retirement'!$I$13)</f>
        <v>2420</v>
      </c>
      <c r="J1052" s="25">
        <f t="shared" si="1043"/>
        <v>6404.7404596389215</v>
      </c>
      <c r="K1052" s="25">
        <f t="shared" si="1044"/>
        <v>16520.094745597391</v>
      </c>
      <c r="L1052" s="25"/>
      <c r="N1052" s="25">
        <f>'Combined Retirement'!$C$18/12</f>
        <v>33932.660666666663</v>
      </c>
      <c r="O1052" s="25">
        <f t="shared" si="1045"/>
        <v>11007.82546143035</v>
      </c>
      <c r="P1052" s="25">
        <f t="shared" si="1046"/>
        <v>22924.835205236312</v>
      </c>
      <c r="Q1052" s="25">
        <f t="array" aca="1" ref="Q1052" ca="1">INDEX('Isaac 401k'!L:L,MATCH('Retirement Calculator'!A1052,'Isaac 401k'!N:N,0),0)</f>
        <v>31133815.005507953</v>
      </c>
      <c r="R1052" s="25">
        <f t="array" aca="1" ref="R1052" ca="1">INDEX('Lorri 401b'!L:L,MATCH('Retirement Calculator'!A1052,'Lorri 401b'!N:N,0),0)</f>
        <v>20590515.780316204</v>
      </c>
      <c r="S1052" s="25">
        <f t="shared" ca="1" si="1047"/>
        <v>51724330.785824157</v>
      </c>
    </row>
    <row r="1053" spans="1:19" ht="15.75" customHeight="1" x14ac:dyDescent="0.3">
      <c r="A1053" s="37">
        <v>83002</v>
      </c>
      <c r="B1053" s="409">
        <f t="shared" ref="B1053:C1053" si="1069">($A1053-B$9)/365.25</f>
        <v>145.36892539356606</v>
      </c>
      <c r="C1053" s="409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3525.4531757812501</v>
      </c>
      <c r="H1053" s="25">
        <f>IF(B1053&lt;62,0,'Combined Retirement'!$I$14)</f>
        <v>2192</v>
      </c>
      <c r="I1053" s="25">
        <f>IF(C1053&lt;62,0,'Combined Retirement'!$I$13)</f>
        <v>2420</v>
      </c>
      <c r="J1053" s="25">
        <f t="shared" si="1043"/>
        <v>6404.7404596389215</v>
      </c>
      <c r="K1053" s="25">
        <f t="shared" si="1044"/>
        <v>16520.094745597391</v>
      </c>
      <c r="L1053" s="25"/>
      <c r="N1053" s="25">
        <f>'Combined Retirement'!$C$18/12</f>
        <v>33932.660666666663</v>
      </c>
      <c r="O1053" s="25">
        <f t="shared" si="1045"/>
        <v>11007.82546143035</v>
      </c>
      <c r="P1053" s="25">
        <f t="shared" si="1046"/>
        <v>22924.835205236312</v>
      </c>
      <c r="Q1053" s="25">
        <f t="array" aca="1" ref="Q1053" ca="1">INDEX('Isaac 401k'!L:L,MATCH('Retirement Calculator'!A1053,'Isaac 401k'!N:N,0),0)</f>
        <v>31257107.807819348</v>
      </c>
      <c r="R1053" s="25">
        <f t="array" aca="1" ref="R1053" ca="1">INDEX('Lorri 401b'!L:L,MATCH('Retirement Calculator'!A1053,'Lorri 401b'!N:N,0),0)</f>
        <v>20659720.667593814</v>
      </c>
      <c r="S1053" s="25">
        <f t="shared" ca="1" si="1047"/>
        <v>51916828.475413159</v>
      </c>
    </row>
    <row r="1054" spans="1:19" ht="15.75" customHeight="1" x14ac:dyDescent="0.3">
      <c r="A1054" s="37">
        <v>83032</v>
      </c>
      <c r="B1054" s="409">
        <f t="shared" ref="B1054:C1054" si="1070">($A1054-B$9)/365.25</f>
        <v>145.45106091718</v>
      </c>
      <c r="C1054" s="409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3525.4531757812501</v>
      </c>
      <c r="H1054" s="25">
        <f>IF(B1054&lt;62,0,'Combined Retirement'!$I$14)</f>
        <v>2192</v>
      </c>
      <c r="I1054" s="25">
        <f>IF(C1054&lt;62,0,'Combined Retirement'!$I$13)</f>
        <v>2420</v>
      </c>
      <c r="J1054" s="25">
        <f t="shared" si="1043"/>
        <v>6404.7404596389215</v>
      </c>
      <c r="K1054" s="25">
        <f t="shared" si="1044"/>
        <v>16520.094745597391</v>
      </c>
      <c r="L1054" s="25"/>
      <c r="N1054" s="25">
        <f>'Combined Retirement'!$C$18/12</f>
        <v>33932.660666666663</v>
      </c>
      <c r="O1054" s="25">
        <f t="shared" si="1045"/>
        <v>11007.82546143035</v>
      </c>
      <c r="P1054" s="25">
        <f t="shared" si="1046"/>
        <v>22924.835205236312</v>
      </c>
      <c r="Q1054" s="25">
        <f t="array" aca="1" ref="Q1054" ca="1">INDEX('Isaac 401k'!L:L,MATCH('Retirement Calculator'!A1054,'Isaac 401k'!N:N,0),0)</f>
        <v>31380914.330140375</v>
      </c>
      <c r="R1054" s="25">
        <f t="array" aca="1" ref="R1054" ca="1">INDEX('Lorri 401b'!L:L,MATCH('Retirement Calculator'!A1054,'Lorri 401b'!N:N,0),0)</f>
        <v>20729213.908568416</v>
      </c>
      <c r="S1054" s="25">
        <f t="shared" ca="1" si="1047"/>
        <v>52110128.238708794</v>
      </c>
    </row>
    <row r="1055" spans="1:19" ht="15.75" customHeight="1" x14ac:dyDescent="0.3">
      <c r="A1055" s="37">
        <v>83063</v>
      </c>
      <c r="B1055" s="409">
        <f t="shared" ref="B1055:C1055" si="1071">($A1055-B$9)/365.25</f>
        <v>145.5359342915811</v>
      </c>
      <c r="C1055" s="409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3525.4531757812501</v>
      </c>
      <c r="H1055" s="25">
        <f>IF(B1055&lt;62,0,'Combined Retirement'!$I$14)</f>
        <v>2192</v>
      </c>
      <c r="I1055" s="25">
        <f>IF(C1055&lt;62,0,'Combined Retirement'!$I$13)</f>
        <v>2420</v>
      </c>
      <c r="J1055" s="25">
        <f t="shared" si="1043"/>
        <v>6404.7404596389215</v>
      </c>
      <c r="K1055" s="25">
        <f t="shared" si="1044"/>
        <v>16520.094745597391</v>
      </c>
      <c r="L1055" s="25"/>
      <c r="N1055" s="25">
        <f>'Combined Retirement'!$C$18/12</f>
        <v>33932.660666666663</v>
      </c>
      <c r="O1055" s="25">
        <f t="shared" si="1045"/>
        <v>11007.82546143035</v>
      </c>
      <c r="P1055" s="25">
        <f t="shared" si="1046"/>
        <v>22924.835205236312</v>
      </c>
      <c r="Q1055" s="25">
        <f t="array" aca="1" ref="Q1055" ca="1">INDEX('Isaac 401k'!L:L,MATCH('Retirement Calculator'!A1055,'Isaac 401k'!N:N,0),0)</f>
        <v>31505236.712971073</v>
      </c>
      <c r="R1055" s="25">
        <f t="array" aca="1" ref="R1055" ca="1">INDEX('Lorri 401b'!L:L,MATCH('Retirement Calculator'!A1055,'Lorri 401b'!N:N,0),0)</f>
        <v>20798996.704713747</v>
      </c>
      <c r="S1055" s="25">
        <f t="shared" ca="1" si="1047"/>
        <v>52304233.417684823</v>
      </c>
    </row>
    <row r="1056" spans="1:19" ht="15.75" customHeight="1" x14ac:dyDescent="0.3">
      <c r="A1056" s="37">
        <v>83093</v>
      </c>
      <c r="B1056" s="409">
        <f t="shared" ref="B1056:C1056" si="1072">($A1056-B$9)/365.25</f>
        <v>145.61806981519507</v>
      </c>
      <c r="C1056" s="409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3525.4531757812501</v>
      </c>
      <c r="H1056" s="25">
        <f>IF(B1056&lt;62,0,'Combined Retirement'!$I$14)</f>
        <v>2192</v>
      </c>
      <c r="I1056" s="25">
        <f>IF(C1056&lt;62,0,'Combined Retirement'!$I$13)</f>
        <v>2420</v>
      </c>
      <c r="J1056" s="25">
        <f t="shared" si="1043"/>
        <v>6404.7404596389215</v>
      </c>
      <c r="K1056" s="25">
        <f t="shared" si="1044"/>
        <v>16520.094745597391</v>
      </c>
      <c r="L1056" s="25"/>
      <c r="N1056" s="25">
        <f>'Combined Retirement'!$C$18/12</f>
        <v>33932.660666666663</v>
      </c>
      <c r="O1056" s="25">
        <f t="shared" si="1045"/>
        <v>11007.82546143035</v>
      </c>
      <c r="P1056" s="25">
        <f t="shared" si="1046"/>
        <v>22924.835205236312</v>
      </c>
      <c r="Q1056" s="25">
        <f t="array" aca="1" ref="Q1056" ca="1">INDEX('Isaac 401k'!L:L,MATCH('Retirement Calculator'!A1056,'Isaac 401k'!N:N,0),0)</f>
        <v>31630077.105730232</v>
      </c>
      <c r="R1056" s="25">
        <f t="array" aca="1" ref="R1056" ca="1">INDEX('Lorri 401b'!L:L,MATCH('Retirement Calculator'!A1056,'Lorri 401b'!N:N,0),0)</f>
        <v>20869070.262509681</v>
      </c>
      <c r="S1056" s="25">
        <f t="shared" ca="1" si="1047"/>
        <v>52499147.368239909</v>
      </c>
    </row>
    <row r="1057" spans="1:19" ht="15.75" customHeight="1" x14ac:dyDescent="0.3">
      <c r="A1057" s="37">
        <v>83124</v>
      </c>
      <c r="B1057" s="409">
        <f t="shared" ref="B1057:C1057" si="1073">($A1057-B$9)/365.25</f>
        <v>145.70294318959617</v>
      </c>
      <c r="C1057" s="409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3525.4531757812501</v>
      </c>
      <c r="H1057" s="25">
        <f>IF(B1057&lt;62,0,'Combined Retirement'!$I$14)</f>
        <v>2192</v>
      </c>
      <c r="I1057" s="25">
        <f>IF(C1057&lt;62,0,'Combined Retirement'!$I$13)</f>
        <v>2420</v>
      </c>
      <c r="J1057" s="25">
        <f t="shared" si="1043"/>
        <v>6404.7404596389215</v>
      </c>
      <c r="K1057" s="25">
        <f t="shared" si="1044"/>
        <v>16520.094745597391</v>
      </c>
      <c r="L1057" s="25"/>
      <c r="N1057" s="25">
        <f>'Combined Retirement'!$C$18/12</f>
        <v>33932.660666666663</v>
      </c>
      <c r="O1057" s="25">
        <f t="shared" si="1045"/>
        <v>11007.82546143035</v>
      </c>
      <c r="P1057" s="25">
        <f t="shared" si="1046"/>
        <v>22924.835205236312</v>
      </c>
      <c r="Q1057" s="25">
        <f t="array" aca="1" ref="Q1057" ca="1">INDEX('Isaac 401k'!L:L,MATCH('Retirement Calculator'!A1057,'Isaac 401k'!N:N,0),0)</f>
        <v>31755437.666792553</v>
      </c>
      <c r="R1057" s="25">
        <f t="array" aca="1" ref="R1057" ca="1">INDEX('Lorri 401b'!L:L,MATCH('Retirement Calculator'!A1057,'Lorri 401b'!N:N,0),0)</f>
        <v>20939435.7934631</v>
      </c>
      <c r="S1057" s="25">
        <f t="shared" ca="1" si="1047"/>
        <v>52694873.460255653</v>
      </c>
    </row>
    <row r="1058" spans="1:19" ht="15.75" customHeight="1" x14ac:dyDescent="0.3">
      <c r="A1058" s="37">
        <v>83155</v>
      </c>
      <c r="B1058" s="409">
        <f t="shared" ref="B1058:C1058" si="1074">($A1058-B$9)/365.25</f>
        <v>145.78781656399727</v>
      </c>
      <c r="C1058" s="409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3525.4531757812501</v>
      </c>
      <c r="H1058" s="25">
        <f>IF(B1058&lt;62,0,'Combined Retirement'!$I$14)</f>
        <v>2192</v>
      </c>
      <c r="I1058" s="25">
        <f>IF(C1058&lt;62,0,'Combined Retirement'!$I$13)</f>
        <v>2420</v>
      </c>
      <c r="J1058" s="25">
        <f t="shared" si="1043"/>
        <v>6404.7404596389215</v>
      </c>
      <c r="K1058" s="25">
        <f t="shared" si="1044"/>
        <v>16520.094745597391</v>
      </c>
      <c r="L1058" s="25"/>
      <c r="N1058" s="25">
        <f>'Combined Retirement'!$C$18/12</f>
        <v>33932.660666666663</v>
      </c>
      <c r="O1058" s="25">
        <f t="shared" si="1045"/>
        <v>11007.82546143035</v>
      </c>
      <c r="P1058" s="25">
        <f t="shared" si="1046"/>
        <v>22924.835205236312</v>
      </c>
      <c r="Q1058" s="25">
        <f t="array" aca="1" ref="Q1058" ca="1">INDEX('Isaac 401k'!L:L,MATCH('Retirement Calculator'!A1058,'Isaac 401k'!N:N,0),0)</f>
        <v>31881320.563525967</v>
      </c>
      <c r="R1058" s="25">
        <f t="array" aca="1" ref="R1058" ca="1">INDEX('Lorri 401b'!L:L,MATCH('Retirement Calculator'!A1058,'Lorri 401b'!N:N,0),0)</f>
        <v>21010094.514128823</v>
      </c>
      <c r="S1058" s="25">
        <f t="shared" ca="1" si="1047"/>
        <v>52891415.077654794</v>
      </c>
    </row>
    <row r="1059" spans="1:19" ht="15.75" customHeight="1" x14ac:dyDescent="0.3">
      <c r="A1059" s="37">
        <v>83185</v>
      </c>
      <c r="B1059" s="409">
        <f t="shared" ref="B1059:C1059" si="1075">($A1059-B$9)/365.25</f>
        <v>145.86995208761124</v>
      </c>
      <c r="C1059" s="409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3525.4531757812501</v>
      </c>
      <c r="H1059" s="25">
        <f>IF(B1059&lt;62,0,'Combined Retirement'!$I$14)</f>
        <v>2192</v>
      </c>
      <c r="I1059" s="25">
        <f>IF(C1059&lt;62,0,'Combined Retirement'!$I$13)</f>
        <v>2420</v>
      </c>
      <c r="J1059" s="25">
        <f t="shared" si="1043"/>
        <v>6404.7404596389215</v>
      </c>
      <c r="K1059" s="25">
        <f t="shared" si="1044"/>
        <v>16520.094745597391</v>
      </c>
      <c r="L1059" s="25"/>
      <c r="N1059" s="25">
        <f>'Combined Retirement'!$C$18/12</f>
        <v>33932.660666666663</v>
      </c>
      <c r="O1059" s="25">
        <f t="shared" si="1045"/>
        <v>11007.82546143035</v>
      </c>
      <c r="P1059" s="25">
        <f t="shared" si="1046"/>
        <v>22924.835205236312</v>
      </c>
      <c r="Q1059" s="25">
        <f t="array" aca="1" ref="Q1059" ca="1">INDEX('Isaac 401k'!L:L,MATCH('Retirement Calculator'!A1059,'Isaac 401k'!N:N,0),0)</f>
        <v>32007727.972329102</v>
      </c>
      <c r="R1059" s="25">
        <f t="array" aca="1" ref="R1059" ca="1">INDEX('Lorri 401b'!L:L,MATCH('Retirement Calculator'!A1059,'Lorri 401b'!N:N,0),0)</f>
        <v>21081047.646130655</v>
      </c>
      <c r="S1059" s="25">
        <f t="shared" ca="1" si="1047"/>
        <v>53088775.618459761</v>
      </c>
    </row>
    <row r="1060" spans="1:19" ht="15.75" customHeight="1" x14ac:dyDescent="0.3">
      <c r="A1060" s="37">
        <v>83216</v>
      </c>
      <c r="B1060" s="409">
        <f t="shared" ref="B1060:C1060" si="1076">($A1060-B$9)/365.25</f>
        <v>145.95482546201231</v>
      </c>
      <c r="C1060" s="409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3525.4531757812501</v>
      </c>
      <c r="H1060" s="25">
        <f>IF(B1060&lt;62,0,'Combined Retirement'!$I$14)</f>
        <v>2192</v>
      </c>
      <c r="I1060" s="25">
        <f>IF(C1060&lt;62,0,'Combined Retirement'!$I$13)</f>
        <v>2420</v>
      </c>
      <c r="J1060" s="25">
        <f t="shared" si="1043"/>
        <v>6404.7404596389215</v>
      </c>
      <c r="K1060" s="25">
        <f t="shared" si="1044"/>
        <v>16520.094745597391</v>
      </c>
      <c r="L1060" s="25"/>
      <c r="N1060" s="25">
        <f>'Combined Retirement'!$C$18/12</f>
        <v>33932.660666666663</v>
      </c>
      <c r="O1060" s="25">
        <f t="shared" si="1045"/>
        <v>11007.82546143035</v>
      </c>
      <c r="P1060" s="25">
        <f t="shared" si="1046"/>
        <v>22924.835205236312</v>
      </c>
      <c r="Q1060" s="25">
        <f t="array" aca="1" ref="Q1060" ca="1">INDEX('Isaac 401k'!L:L,MATCH('Retirement Calculator'!A1060,'Isaac 401k'!N:N,0),0)</f>
        <v>32134662.078668918</v>
      </c>
      <c r="R1060" s="25">
        <f t="array" aca="1" ref="R1060" ca="1">INDEX('Lorri 401b'!L:L,MATCH('Retirement Calculator'!A1060,'Lorri 401b'!N:N,0),0)</f>
        <v>21152296.416182496</v>
      </c>
      <c r="S1060" s="25">
        <f t="shared" ca="1" si="1047"/>
        <v>53286958.49485141</v>
      </c>
    </row>
    <row r="1061" spans="1:19" ht="15.75" customHeight="1" x14ac:dyDescent="0.3">
      <c r="A1061" s="37">
        <v>83246</v>
      </c>
      <c r="B1061" s="409">
        <f t="shared" ref="B1061:C1061" si="1077">($A1061-B$9)/365.25</f>
        <v>146.03696098562628</v>
      </c>
      <c r="C1061" s="409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3525.4531757812501</v>
      </c>
      <c r="H1061" s="25">
        <f>IF(B1061&lt;62,0,'Combined Retirement'!$I$14)</f>
        <v>2192</v>
      </c>
      <c r="I1061" s="25">
        <f>IF(C1061&lt;62,0,'Combined Retirement'!$I$13)</f>
        <v>2420</v>
      </c>
      <c r="J1061" s="25">
        <f t="shared" si="1043"/>
        <v>6404.7404596389215</v>
      </c>
      <c r="K1061" s="25">
        <f t="shared" si="1044"/>
        <v>16520.094745597391</v>
      </c>
      <c r="L1061" s="25"/>
      <c r="N1061" s="25">
        <f>'Combined Retirement'!$C$18/12</f>
        <v>33932.660666666663</v>
      </c>
      <c r="O1061" s="25">
        <f t="shared" si="1045"/>
        <v>11007.82546143035</v>
      </c>
      <c r="P1061" s="25">
        <f t="shared" si="1046"/>
        <v>22924.835205236312</v>
      </c>
      <c r="Q1061" s="25">
        <f t="array" aca="1" ref="Q1061" ca="1">INDEX('Isaac 401k'!L:L,MATCH('Retirement Calculator'!A1061,'Isaac 401k'!N:N,0),0)</f>
        <v>32262125.077118482</v>
      </c>
      <c r="R1061" s="25">
        <f t="array" aca="1" ref="R1061" ca="1">INDEX('Lorri 401b'!L:L,MATCH('Retirement Calculator'!A1061,'Lorri 401b'!N:N,0),0)</f>
        <v>21223842.056109551</v>
      </c>
      <c r="S1061" s="25">
        <f t="shared" ca="1" si="1047"/>
        <v>53485967.133228034</v>
      </c>
    </row>
    <row r="1062" spans="1:19" ht="15.75" customHeight="1" x14ac:dyDescent="0.3">
      <c r="A1062" s="37">
        <v>83277</v>
      </c>
      <c r="B1062" s="409">
        <f t="shared" ref="B1062:C1062" si="1078">($A1062-B$9)/365.25</f>
        <v>146.12183436002738</v>
      </c>
      <c r="C1062" s="409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3525.4531757812501</v>
      </c>
      <c r="H1062" s="25">
        <f>IF(B1062&lt;62,0,'Combined Retirement'!$I$14)</f>
        <v>2192</v>
      </c>
      <c r="I1062" s="25">
        <f>IF(C1062&lt;62,0,'Combined Retirement'!$I$13)</f>
        <v>2420</v>
      </c>
      <c r="J1062" s="25">
        <f t="shared" si="1043"/>
        <v>6404.7404596389215</v>
      </c>
      <c r="K1062" s="25">
        <f t="shared" si="1044"/>
        <v>16520.094745597391</v>
      </c>
      <c r="L1062" s="25"/>
      <c r="N1062" s="25">
        <f>'Combined Retirement'!$C$18/12</f>
        <v>33932.660666666663</v>
      </c>
      <c r="O1062" s="25">
        <f t="shared" si="1045"/>
        <v>11007.82546143035</v>
      </c>
      <c r="P1062" s="25">
        <f t="shared" si="1046"/>
        <v>22924.835205236312</v>
      </c>
      <c r="Q1062" s="25">
        <f t="array" aca="1" ref="Q1062" ca="1">INDEX('Isaac 401k'!L:L,MATCH('Retirement Calculator'!A1062,'Isaac 401k'!N:N,0),0)</f>
        <v>32390119.171394922</v>
      </c>
      <c r="R1062" s="25">
        <f t="array" aca="1" ref="R1062" ca="1">INDEX('Lorri 401b'!L:L,MATCH('Retirement Calculator'!A1062,'Lorri 401b'!N:N,0),0)</f>
        <v>21295685.802869637</v>
      </c>
      <c r="S1062" s="25">
        <f t="shared" ca="1" si="1047"/>
        <v>53685804.974264562</v>
      </c>
    </row>
    <row r="1063" spans="1:19" ht="15.75" customHeight="1" x14ac:dyDescent="0.3">
      <c r="A1063" s="37">
        <v>83308</v>
      </c>
      <c r="B1063" s="409">
        <f t="shared" ref="B1063:C1063" si="1079">($A1063-B$9)/365.25</f>
        <v>146.20670773442848</v>
      </c>
      <c r="C1063" s="409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3525.4531757812501</v>
      </c>
      <c r="H1063" s="25">
        <f>IF(B1063&lt;62,0,'Combined Retirement'!$I$14)</f>
        <v>2192</v>
      </c>
      <c r="I1063" s="25">
        <f>IF(C1063&lt;62,0,'Combined Retirement'!$I$13)</f>
        <v>2420</v>
      </c>
      <c r="J1063" s="25">
        <f t="shared" si="1043"/>
        <v>6404.7404596389215</v>
      </c>
      <c r="K1063" s="25">
        <f t="shared" si="1044"/>
        <v>16520.094745597391</v>
      </c>
      <c r="L1063" s="25"/>
      <c r="N1063" s="25">
        <f>'Combined Retirement'!$C$18/12</f>
        <v>33932.660666666663</v>
      </c>
      <c r="O1063" s="25">
        <f t="shared" si="1045"/>
        <v>11007.82546143035</v>
      </c>
      <c r="P1063" s="25">
        <f t="shared" si="1046"/>
        <v>22924.835205236312</v>
      </c>
      <c r="Q1063" s="25">
        <f t="array" aca="1" ref="Q1063" ca="1">INDEX('Isaac 401k'!L:L,MATCH('Retirement Calculator'!A1063,'Isaac 401k'!N:N,0),0)</f>
        <v>32518646.574397512</v>
      </c>
      <c r="R1063" s="25">
        <f t="array" aca="1" ref="R1063" ca="1">INDEX('Lorri 401b'!L:L,MATCH('Retirement Calculator'!A1063,'Lorri 401b'!N:N,0),0)</f>
        <v>21367828.898574553</v>
      </c>
      <c r="S1063" s="25">
        <f t="shared" ca="1" si="1047"/>
        <v>53886475.472972065</v>
      </c>
    </row>
    <row r="1064" spans="1:19" ht="15.75" customHeight="1" x14ac:dyDescent="0.3">
      <c r="A1064" s="37">
        <v>83337</v>
      </c>
      <c r="B1064" s="409">
        <f t="shared" ref="B1064:C1064" si="1080">($A1064-B$9)/365.25</f>
        <v>146.28610540725529</v>
      </c>
      <c r="C1064" s="409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3525.4531757812501</v>
      </c>
      <c r="H1064" s="25">
        <f>IF(B1064&lt;62,0,'Combined Retirement'!$I$14)</f>
        <v>2192</v>
      </c>
      <c r="I1064" s="25">
        <f>IF(C1064&lt;62,0,'Combined Retirement'!$I$13)</f>
        <v>2420</v>
      </c>
      <c r="J1064" s="25">
        <f t="shared" si="1043"/>
        <v>6404.7404596389215</v>
      </c>
      <c r="K1064" s="25">
        <f t="shared" si="1044"/>
        <v>16520.094745597391</v>
      </c>
      <c r="L1064" s="25"/>
      <c r="N1064" s="25">
        <f>'Combined Retirement'!$C$18/12</f>
        <v>33932.660666666663</v>
      </c>
      <c r="O1064" s="25">
        <f t="shared" si="1045"/>
        <v>11007.82546143035</v>
      </c>
      <c r="P1064" s="25">
        <f t="shared" si="1046"/>
        <v>22924.835205236312</v>
      </c>
      <c r="Q1064" s="25">
        <f t="array" aca="1" ref="Q1064" ca="1">INDEX('Isaac 401k'!L:L,MATCH('Retirement Calculator'!A1064,'Isaac 401k'!N:N,0),0)</f>
        <v>32647709.508245945</v>
      </c>
      <c r="R1064" s="25">
        <f t="array" aca="1" ref="R1064" ca="1">INDEX('Lorri 401b'!L:L,MATCH('Retirement Calculator'!A1064,'Lorri 401b'!N:N,0),0)</f>
        <v>21440272.590511575</v>
      </c>
      <c r="S1064" s="25">
        <f t="shared" ca="1" si="1047"/>
        <v>54087982.09875752</v>
      </c>
    </row>
    <row r="1065" spans="1:19" ht="15.75" customHeight="1" x14ac:dyDescent="0.3">
      <c r="A1065" s="37">
        <v>83368</v>
      </c>
      <c r="B1065" s="409">
        <f t="shared" ref="B1065:C1065" si="1081">($A1065-B$9)/365.25</f>
        <v>146.37097878165639</v>
      </c>
      <c r="C1065" s="409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3525.4531757812501</v>
      </c>
      <c r="H1065" s="25">
        <f>IF(B1065&lt;62,0,'Combined Retirement'!$I$14)</f>
        <v>2192</v>
      </c>
      <c r="I1065" s="25">
        <f>IF(C1065&lt;62,0,'Combined Retirement'!$I$13)</f>
        <v>2420</v>
      </c>
      <c r="J1065" s="25">
        <f t="shared" si="1043"/>
        <v>6404.7404596389215</v>
      </c>
      <c r="K1065" s="25">
        <f t="shared" si="1044"/>
        <v>16520.094745597391</v>
      </c>
      <c r="L1065" s="25"/>
      <c r="N1065" s="25">
        <f>'Combined Retirement'!$C$18/12</f>
        <v>33932.660666666663</v>
      </c>
      <c r="O1065" s="25">
        <f t="shared" si="1045"/>
        <v>11007.82546143035</v>
      </c>
      <c r="P1065" s="25">
        <f t="shared" si="1046"/>
        <v>22924.835205236312</v>
      </c>
      <c r="Q1065" s="25">
        <f t="array" aca="1" ref="Q1065" ca="1">INDEX('Isaac 401k'!L:L,MATCH('Retirement Calculator'!A1065,'Isaac 401k'!N:N,0),0)</f>
        <v>32777310.204318747</v>
      </c>
      <c r="R1065" s="25">
        <f t="array" aca="1" ref="R1065" ca="1">INDEX('Lorri 401b'!L:L,MATCH('Retirement Calculator'!A1065,'Lorri 401b'!N:N,0),0)</f>
        <v>21513018.131165002</v>
      </c>
      <c r="S1065" s="25">
        <f t="shared" ca="1" si="1047"/>
        <v>54290328.335483745</v>
      </c>
    </row>
    <row r="1066" spans="1:19" ht="15.75" customHeight="1" x14ac:dyDescent="0.3">
      <c r="A1066" s="37">
        <v>83398</v>
      </c>
      <c r="B1066" s="409">
        <f t="shared" ref="B1066:C1066" si="1082">($A1066-B$9)/365.25</f>
        <v>146.45311430527036</v>
      </c>
      <c r="C1066" s="409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3525.4531757812501</v>
      </c>
      <c r="H1066" s="25">
        <f>IF(B1066&lt;62,0,'Combined Retirement'!$I$14)</f>
        <v>2192</v>
      </c>
      <c r="I1066" s="25">
        <f>IF(C1066&lt;62,0,'Combined Retirement'!$I$13)</f>
        <v>2420</v>
      </c>
      <c r="J1066" s="25">
        <f t="shared" si="1043"/>
        <v>6404.7404596389215</v>
      </c>
      <c r="K1066" s="25">
        <f t="shared" si="1044"/>
        <v>16520.094745597391</v>
      </c>
      <c r="L1066" s="25"/>
      <c r="N1066" s="25">
        <f>'Combined Retirement'!$C$18/12</f>
        <v>33932.660666666663</v>
      </c>
      <c r="O1066" s="25">
        <f t="shared" si="1045"/>
        <v>11007.82546143035</v>
      </c>
      <c r="P1066" s="25">
        <f t="shared" si="1046"/>
        <v>22924.835205236312</v>
      </c>
      <c r="Q1066" s="25">
        <f t="array" aca="1" ref="Q1066" ca="1">INDEX('Isaac 401k'!L:L,MATCH('Retirement Calculator'!A1066,'Isaac 401k'!N:N,0),0)</f>
        <v>32907450.903291855</v>
      </c>
      <c r="R1066" s="25">
        <f t="array" aca="1" ref="R1066" ca="1">INDEX('Lorri 401b'!L:L,MATCH('Retirement Calculator'!A1066,'Lorri 401b'!N:N,0),0)</f>
        <v>21586066.778237816</v>
      </c>
      <c r="S1066" s="25">
        <f t="shared" ca="1" si="1047"/>
        <v>54493517.681529671</v>
      </c>
    </row>
    <row r="1067" spans="1:19" ht="15.75" customHeight="1" x14ac:dyDescent="0.3">
      <c r="A1067" s="37">
        <v>83429</v>
      </c>
      <c r="B1067" s="409">
        <f t="shared" ref="B1067:C1067" si="1083">($A1067-B$9)/365.25</f>
        <v>146.53798767967146</v>
      </c>
      <c r="C1067" s="409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3525.4531757812501</v>
      </c>
      <c r="H1067" s="25">
        <f>IF(B1067&lt;62,0,'Combined Retirement'!$I$14)</f>
        <v>2192</v>
      </c>
      <c r="I1067" s="25">
        <f>IF(C1067&lt;62,0,'Combined Retirement'!$I$13)</f>
        <v>2420</v>
      </c>
      <c r="J1067" s="25">
        <f t="shared" si="1043"/>
        <v>6404.7404596389215</v>
      </c>
      <c r="K1067" s="25">
        <f t="shared" si="1044"/>
        <v>16520.094745597391</v>
      </c>
      <c r="L1067" s="25"/>
      <c r="N1067" s="25">
        <f>'Combined Retirement'!$C$18/12</f>
        <v>33932.660666666663</v>
      </c>
      <c r="O1067" s="25">
        <f t="shared" si="1045"/>
        <v>11007.82546143035</v>
      </c>
      <c r="P1067" s="25">
        <f t="shared" si="1046"/>
        <v>22924.835205236312</v>
      </c>
      <c r="Q1067" s="25">
        <f t="array" aca="1" ref="Q1067" ca="1">INDEX('Isaac 401k'!L:L,MATCH('Retirement Calculator'!A1067,'Isaac 401k'!N:N,0),0)</f>
        <v>33038133.85517735</v>
      </c>
      <c r="R1067" s="25">
        <f t="array" aca="1" ref="R1067" ca="1">INDEX('Lorri 401b'!L:L,MATCH('Retirement Calculator'!A1067,'Lorri 401b'!N:N,0),0)</f>
        <v>21659419.794673435</v>
      </c>
      <c r="S1067" s="25">
        <f t="shared" ca="1" si="1047"/>
        <v>54697553.649850786</v>
      </c>
    </row>
    <row r="1068" spans="1:19" ht="15.75" customHeight="1" x14ac:dyDescent="0.3">
      <c r="A1068" s="37">
        <v>83459</v>
      </c>
      <c r="B1068" s="409">
        <f t="shared" ref="B1068:C1068" si="1084">($A1068-B$9)/365.25</f>
        <v>146.62012320328543</v>
      </c>
      <c r="C1068" s="409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3525.4531757812501</v>
      </c>
      <c r="H1068" s="25">
        <f>IF(B1068&lt;62,0,'Combined Retirement'!$I$14)</f>
        <v>2192</v>
      </c>
      <c r="I1068" s="25">
        <f>IF(C1068&lt;62,0,'Combined Retirement'!$I$13)</f>
        <v>2420</v>
      </c>
      <c r="J1068" s="25">
        <f t="shared" si="1043"/>
        <v>6404.7404596389215</v>
      </c>
      <c r="K1068" s="25">
        <f t="shared" si="1044"/>
        <v>16520.094745597391</v>
      </c>
      <c r="L1068" s="25"/>
      <c r="N1068" s="25">
        <f>'Combined Retirement'!$C$18/12</f>
        <v>33932.660666666663</v>
      </c>
      <c r="O1068" s="25">
        <f t="shared" si="1045"/>
        <v>11007.82546143035</v>
      </c>
      <c r="P1068" s="25">
        <f t="shared" si="1046"/>
        <v>22924.835205236312</v>
      </c>
      <c r="Q1068" s="25">
        <f t="array" aca="1" ref="Q1068" ca="1">INDEX('Isaac 401k'!L:L,MATCH('Retirement Calculator'!A1068,'Isaac 401k'!N:N,0),0)</f>
        <v>33169361.319362368</v>
      </c>
      <c r="R1068" s="25">
        <f t="array" aca="1" ref="R1068" ca="1">INDEX('Lorri 401b'!L:L,MATCH('Retirement Calculator'!A1068,'Lorri 401b'!N:N,0),0)</f>
        <v>21733078.448677536</v>
      </c>
      <c r="S1068" s="25">
        <f t="shared" ca="1" si="1047"/>
        <v>54902439.768039905</v>
      </c>
    </row>
    <row r="1069" spans="1:19" ht="15.75" customHeight="1" x14ac:dyDescent="0.3">
      <c r="A1069" s="37">
        <v>83490</v>
      </c>
      <c r="B1069" s="409">
        <f t="shared" ref="B1069:C1069" si="1085">($A1069-B$9)/365.25</f>
        <v>146.70499657768653</v>
      </c>
      <c r="C1069" s="409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3525.4531757812501</v>
      </c>
      <c r="H1069" s="25">
        <f>IF(B1069&lt;62,0,'Combined Retirement'!$I$14)</f>
        <v>2192</v>
      </c>
      <c r="I1069" s="25">
        <f>IF(C1069&lt;62,0,'Combined Retirement'!$I$13)</f>
        <v>2420</v>
      </c>
      <c r="J1069" s="25">
        <f t="shared" si="1043"/>
        <v>6404.7404596389215</v>
      </c>
      <c r="K1069" s="25">
        <f t="shared" si="1044"/>
        <v>16520.094745597391</v>
      </c>
      <c r="L1069" s="25"/>
      <c r="N1069" s="25">
        <f>'Combined Retirement'!$C$18/12</f>
        <v>33932.660666666663</v>
      </c>
      <c r="O1069" s="25">
        <f t="shared" si="1045"/>
        <v>11007.82546143035</v>
      </c>
      <c r="P1069" s="25">
        <f t="shared" si="1046"/>
        <v>22924.835205236312</v>
      </c>
      <c r="Q1069" s="25">
        <f t="array" aca="1" ref="Q1069" ca="1">INDEX('Isaac 401k'!L:L,MATCH('Retirement Calculator'!A1069,'Isaac 401k'!N:N,0),0)</f>
        <v>33301135.564648155</v>
      </c>
      <c r="R1069" s="25">
        <f t="array" aca="1" ref="R1069" ca="1">INDEX('Lorri 401b'!L:L,MATCH('Retirement Calculator'!A1069,'Lorri 401b'!N:N,0),0)</f>
        <v>21807044.013739988</v>
      </c>
      <c r="S1069" s="25">
        <f t="shared" ca="1" si="1047"/>
        <v>55108179.57838814</v>
      </c>
    </row>
    <row r="1070" spans="1:19" ht="15.75" customHeight="1" x14ac:dyDescent="0.3">
      <c r="A1070" s="37">
        <v>83521</v>
      </c>
      <c r="B1070" s="409">
        <f t="shared" ref="B1070:C1070" si="1086">($A1070-B$9)/365.25</f>
        <v>146.7898699520876</v>
      </c>
      <c r="C1070" s="409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3525.4531757812501</v>
      </c>
      <c r="H1070" s="25">
        <f>IF(B1070&lt;62,0,'Combined Retirement'!$I$14)</f>
        <v>2192</v>
      </c>
      <c r="I1070" s="25">
        <f>IF(C1070&lt;62,0,'Combined Retirement'!$I$13)</f>
        <v>2420</v>
      </c>
      <c r="J1070" s="25">
        <f t="shared" si="1043"/>
        <v>6404.7404596389215</v>
      </c>
      <c r="K1070" s="25">
        <f t="shared" si="1044"/>
        <v>16520.094745597391</v>
      </c>
      <c r="L1070" s="25"/>
      <c r="N1070" s="25">
        <f>'Combined Retirement'!$C$18/12</f>
        <v>33932.660666666663</v>
      </c>
      <c r="O1070" s="25">
        <f t="shared" si="1045"/>
        <v>11007.82546143035</v>
      </c>
      <c r="P1070" s="25">
        <f t="shared" si="1046"/>
        <v>22924.835205236312</v>
      </c>
      <c r="Q1070" s="25">
        <f t="array" aca="1" ref="Q1070" ca="1">INDEX('Isaac 401k'!L:L,MATCH('Retirement Calculator'!A1070,'Isaac 401k'!N:N,0),0)</f>
        <v>33433458.869289301</v>
      </c>
      <c r="R1070" s="25">
        <f t="array" aca="1" ref="R1070" ca="1">INDEX('Lorri 401b'!L:L,MATCH('Retirement Calculator'!A1070,'Lorri 401b'!N:N,0),0)</f>
        <v>21881317.768656865</v>
      </c>
      <c r="S1070" s="25">
        <f t="shared" ca="1" si="1047"/>
        <v>55314776.637946166</v>
      </c>
    </row>
    <row r="1071" spans="1:19" ht="15.75" customHeight="1" x14ac:dyDescent="0.3">
      <c r="A1071" s="37">
        <v>83551</v>
      </c>
      <c r="B1071" s="409">
        <f t="shared" ref="B1071:C1071" si="1087">($A1071-B$9)/365.25</f>
        <v>146.87200547570157</v>
      </c>
      <c r="C1071" s="409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3525.4531757812501</v>
      </c>
      <c r="H1071" s="25">
        <f>IF(B1071&lt;62,0,'Combined Retirement'!$I$14)</f>
        <v>2192</v>
      </c>
      <c r="I1071" s="25">
        <f>IF(C1071&lt;62,0,'Combined Retirement'!$I$13)</f>
        <v>2420</v>
      </c>
      <c r="J1071" s="25">
        <f t="shared" si="1043"/>
        <v>6404.7404596389215</v>
      </c>
      <c r="K1071" s="25">
        <f t="shared" si="1044"/>
        <v>16520.094745597391</v>
      </c>
      <c r="L1071" s="25"/>
      <c r="N1071" s="25">
        <f>'Combined Retirement'!$C$18/12</f>
        <v>33932.660666666663</v>
      </c>
      <c r="O1071" s="25">
        <f t="shared" si="1045"/>
        <v>11007.82546143035</v>
      </c>
      <c r="P1071" s="25">
        <f t="shared" si="1046"/>
        <v>22924.835205236312</v>
      </c>
      <c r="Q1071" s="25">
        <f t="array" aca="1" ref="Q1071" ca="1">INDEX('Isaac 401k'!L:L,MATCH('Retirement Calculator'!A1071,'Isaac 401k'!N:N,0),0)</f>
        <v>33566333.521033116</v>
      </c>
      <c r="R1071" s="25">
        <f t="array" aca="1" ref="R1071" ca="1">INDEX('Lorri 401b'!L:L,MATCH('Retirement Calculator'!A1071,'Lorri 401b'!N:N,0),0)</f>
        <v>21955900.997552563</v>
      </c>
      <c r="S1071" s="25">
        <f t="shared" ca="1" si="1047"/>
        <v>55522234.518585682</v>
      </c>
    </row>
    <row r="1072" spans="1:19" ht="15.75" customHeight="1" x14ac:dyDescent="0.3">
      <c r="A1072" s="37">
        <v>83582</v>
      </c>
      <c r="B1072" s="409">
        <f t="shared" ref="B1072:C1072" si="1088">($A1072-B$9)/365.25</f>
        <v>146.95687885010267</v>
      </c>
      <c r="C1072" s="409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3525.4531757812501</v>
      </c>
      <c r="H1072" s="25">
        <f>IF(B1072&lt;62,0,'Combined Retirement'!$I$14)</f>
        <v>2192</v>
      </c>
      <c r="I1072" s="25">
        <f>IF(C1072&lt;62,0,'Combined Retirement'!$I$13)</f>
        <v>2420</v>
      </c>
      <c r="J1072" s="25">
        <f t="shared" si="1043"/>
        <v>6404.7404596389215</v>
      </c>
      <c r="K1072" s="25">
        <f t="shared" si="1044"/>
        <v>16520.094745597391</v>
      </c>
      <c r="L1072" s="25"/>
      <c r="N1072" s="25">
        <f>'Combined Retirement'!$C$18/12</f>
        <v>33932.660666666663</v>
      </c>
      <c r="O1072" s="25">
        <f t="shared" si="1045"/>
        <v>11007.82546143035</v>
      </c>
      <c r="P1072" s="25">
        <f t="shared" si="1046"/>
        <v>22924.835205236312</v>
      </c>
      <c r="Q1072" s="25">
        <f t="array" aca="1" ref="Q1072" ca="1">INDEX('Isaac 401k'!L:L,MATCH('Retirement Calculator'!A1072,'Isaac 401k'!N:N,0),0)</f>
        <v>33699761.817159206</v>
      </c>
      <c r="R1072" s="25">
        <f t="array" aca="1" ref="R1072" ca="1">INDEX('Lorri 401b'!L:L,MATCH('Retirement Calculator'!A1072,'Lorri 401b'!N:N,0),0)</f>
        <v>22030794.989901993</v>
      </c>
      <c r="S1072" s="25">
        <f t="shared" ca="1" si="1047"/>
        <v>55730556.807061195</v>
      </c>
    </row>
    <row r="1073" spans="1:19" ht="15.75" customHeight="1" x14ac:dyDescent="0.3">
      <c r="A1073" s="37">
        <v>83612</v>
      </c>
      <c r="B1073" s="409">
        <f t="shared" ref="B1073:C1073" si="1089">($A1073-B$9)/365.25</f>
        <v>147.03901437371664</v>
      </c>
      <c r="C1073" s="409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3525.4531757812501</v>
      </c>
      <c r="H1073" s="25">
        <f>IF(B1073&lt;62,0,'Combined Retirement'!$I$14)</f>
        <v>2192</v>
      </c>
      <c r="I1073" s="25">
        <f>IF(C1073&lt;62,0,'Combined Retirement'!$I$13)</f>
        <v>2420</v>
      </c>
      <c r="J1073" s="25">
        <f t="shared" si="1043"/>
        <v>6404.7404596389215</v>
      </c>
      <c r="K1073" s="25">
        <f t="shared" si="1044"/>
        <v>16520.094745597391</v>
      </c>
      <c r="L1073" s="25"/>
      <c r="N1073" s="25">
        <f>'Combined Retirement'!$C$18/12</f>
        <v>33932.660666666663</v>
      </c>
      <c r="O1073" s="25">
        <f t="shared" si="1045"/>
        <v>11007.82546143035</v>
      </c>
      <c r="P1073" s="25">
        <f t="shared" si="1046"/>
        <v>22924.835205236312</v>
      </c>
      <c r="Q1073" s="25">
        <f t="array" aca="1" ref="Q1073" ca="1">INDEX('Isaac 401k'!L:L,MATCH('Retirement Calculator'!A1073,'Isaac 401k'!N:N,0),0)</f>
        <v>33833746.064519152</v>
      </c>
      <c r="R1073" s="25">
        <f t="array" aca="1" ref="R1073" ca="1">INDEX('Lorri 401b'!L:L,MATCH('Retirement Calculator'!A1073,'Lorri 401b'!N:N,0),0)</f>
        <v>22106001.040552881</v>
      </c>
      <c r="S1073" s="25">
        <f t="shared" ca="1" si="1047"/>
        <v>55939747.105072036</v>
      </c>
    </row>
    <row r="1074" spans="1:19" ht="15.75" customHeight="1" x14ac:dyDescent="0.3">
      <c r="A1074" s="37">
        <v>83643</v>
      </c>
      <c r="B1074" s="409">
        <f t="shared" ref="B1074:C1074" si="1090">($A1074-B$9)/365.25</f>
        <v>147.12388774811774</v>
      </c>
      <c r="C1074" s="409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3525.4531757812501</v>
      </c>
      <c r="H1074" s="25">
        <f>IF(B1074&lt;62,0,'Combined Retirement'!$I$14)</f>
        <v>2192</v>
      </c>
      <c r="I1074" s="25">
        <f>IF(C1074&lt;62,0,'Combined Retirement'!$I$13)</f>
        <v>2420</v>
      </c>
      <c r="J1074" s="25">
        <f t="shared" si="1043"/>
        <v>6404.7404596389215</v>
      </c>
      <c r="K1074" s="25">
        <f t="shared" si="1044"/>
        <v>16520.094745597391</v>
      </c>
      <c r="L1074" s="25"/>
      <c r="N1074" s="25">
        <f>'Combined Retirement'!$C$18/12</f>
        <v>33932.660666666663</v>
      </c>
      <c r="O1074" s="25">
        <f t="shared" si="1045"/>
        <v>11007.82546143035</v>
      </c>
      <c r="P1074" s="25">
        <f t="shared" si="1046"/>
        <v>22924.835205236312</v>
      </c>
      <c r="Q1074" s="25">
        <f t="array" aca="1" ref="Q1074" ca="1">INDEX('Isaac 401k'!L:L,MATCH('Retirement Calculator'!A1074,'Isaac 401k'!N:N,0),0)</f>
        <v>33968288.579576433</v>
      </c>
      <c r="R1074" s="25">
        <f t="array" aca="1" ref="R1074" ca="1">INDEX('Lorri 401b'!L:L,MATCH('Retirement Calculator'!A1074,'Lorri 401b'!N:N,0),0)</f>
        <v>22181520.449748147</v>
      </c>
      <c r="S1074" s="25">
        <f t="shared" ca="1" si="1047"/>
        <v>56149809.029324576</v>
      </c>
    </row>
    <row r="1075" spans="1:19" ht="15.75" customHeight="1" x14ac:dyDescent="0.3">
      <c r="A1075" s="37">
        <v>83674</v>
      </c>
      <c r="B1075" s="409">
        <f t="shared" ref="B1075:C1075" si="1091">($A1075-B$9)/365.25</f>
        <v>147.20876112251884</v>
      </c>
      <c r="C1075" s="409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3525.4531757812501</v>
      </c>
      <c r="H1075" s="25">
        <f>IF(B1075&lt;62,0,'Combined Retirement'!$I$14)</f>
        <v>2192</v>
      </c>
      <c r="I1075" s="25">
        <f>IF(C1075&lt;62,0,'Combined Retirement'!$I$13)</f>
        <v>2420</v>
      </c>
      <c r="J1075" s="25">
        <f t="shared" si="1043"/>
        <v>6404.7404596389215</v>
      </c>
      <c r="K1075" s="25">
        <f t="shared" si="1044"/>
        <v>16520.094745597391</v>
      </c>
      <c r="L1075" s="25"/>
      <c r="N1075" s="25">
        <f>'Combined Retirement'!$C$18/12</f>
        <v>33932.660666666663</v>
      </c>
      <c r="O1075" s="25">
        <f t="shared" si="1045"/>
        <v>11007.82546143035</v>
      </c>
      <c r="P1075" s="25">
        <f t="shared" si="1046"/>
        <v>22924.835205236312</v>
      </c>
      <c r="Q1075" s="25">
        <f t="array" aca="1" ref="Q1075" ca="1">INDEX('Isaac 401k'!L:L,MATCH('Retirement Calculator'!A1075,'Isaac 401k'!N:N,0),0)</f>
        <v>34103391.688446447</v>
      </c>
      <c r="R1075" s="25">
        <f t="array" aca="1" ref="R1075" ca="1">INDEX('Lorri 401b'!L:L,MATCH('Retirement Calculator'!A1075,'Lorri 401b'!N:N,0),0)</f>
        <v>22257354.523148391</v>
      </c>
      <c r="S1075" s="25">
        <f t="shared" ca="1" si="1047"/>
        <v>56360746.211594835</v>
      </c>
    </row>
    <row r="1076" spans="1:19" ht="15.75" customHeight="1" x14ac:dyDescent="0.3">
      <c r="A1076" s="37">
        <v>83702</v>
      </c>
      <c r="B1076" s="409">
        <f t="shared" ref="B1076:C1076" si="1092">($A1076-B$9)/365.25</f>
        <v>147.28542094455852</v>
      </c>
      <c r="C1076" s="409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3525.4531757812501</v>
      </c>
      <c r="H1076" s="25">
        <f>IF(B1076&lt;62,0,'Combined Retirement'!$I$14)</f>
        <v>2192</v>
      </c>
      <c r="I1076" s="25">
        <f>IF(C1076&lt;62,0,'Combined Retirement'!$I$13)</f>
        <v>2420</v>
      </c>
      <c r="J1076" s="25">
        <f t="shared" si="1043"/>
        <v>6404.7404596389215</v>
      </c>
      <c r="K1076" s="25">
        <f t="shared" si="1044"/>
        <v>16520.094745597391</v>
      </c>
      <c r="L1076" s="25"/>
      <c r="N1076" s="25">
        <f>'Combined Retirement'!$C$18/12</f>
        <v>33932.660666666663</v>
      </c>
      <c r="O1076" s="25">
        <f t="shared" si="1045"/>
        <v>11007.82546143035</v>
      </c>
      <c r="P1076" s="25">
        <f t="shared" si="1046"/>
        <v>22924.835205236312</v>
      </c>
      <c r="Q1076" s="25">
        <f t="array" aca="1" ref="Q1076" ca="1">INDEX('Isaac 401k'!L:L,MATCH('Retirement Calculator'!A1076,'Isaac 401k'!N:N,0),0)</f>
        <v>34239057.726936758</v>
      </c>
      <c r="R1076" s="25">
        <f t="array" aca="1" ref="R1076" ca="1">INDEX('Lorri 401b'!L:L,MATCH('Retirement Calculator'!A1076,'Lorri 401b'!N:N,0),0)</f>
        <v>22333504.571854472</v>
      </c>
      <c r="S1076" s="25">
        <f t="shared" ca="1" si="1047"/>
        <v>56572562.29879123</v>
      </c>
    </row>
    <row r="1077" spans="1:19" ht="15.75" customHeight="1" x14ac:dyDescent="0.3">
      <c r="A1077" s="37">
        <v>83733</v>
      </c>
      <c r="B1077" s="409">
        <f t="shared" ref="B1077:C1077" si="1093">($A1077-B$9)/365.25</f>
        <v>147.37029431895962</v>
      </c>
      <c r="C1077" s="409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3525.4531757812501</v>
      </c>
      <c r="H1077" s="25">
        <f>IF(B1077&lt;62,0,'Combined Retirement'!$I$14)</f>
        <v>2192</v>
      </c>
      <c r="I1077" s="25">
        <f>IF(C1077&lt;62,0,'Combined Retirement'!$I$13)</f>
        <v>2420</v>
      </c>
      <c r="J1077" s="25">
        <f t="shared" si="1043"/>
        <v>6404.7404596389215</v>
      </c>
      <c r="K1077" s="25">
        <f t="shared" si="1044"/>
        <v>16520.094745597391</v>
      </c>
      <c r="L1077" s="25"/>
      <c r="N1077" s="25">
        <f>'Combined Retirement'!$C$18/12</f>
        <v>33932.660666666663</v>
      </c>
      <c r="O1077" s="25">
        <f t="shared" si="1045"/>
        <v>11007.82546143035</v>
      </c>
      <c r="P1077" s="25">
        <f t="shared" si="1046"/>
        <v>22924.835205236312</v>
      </c>
      <c r="Q1077" s="25">
        <f t="array" aca="1" ref="Q1077" ca="1">INDEX('Isaac 401k'!L:L,MATCH('Retirement Calculator'!A1077,'Isaac 401k'!N:N,0),0)</f>
        <v>34375289.04058744</v>
      </c>
      <c r="R1077" s="25">
        <f t="array" aca="1" ref="R1077" ca="1">INDEX('Lorri 401b'!L:L,MATCH('Retirement Calculator'!A1077,'Lorri 401b'!N:N,0),0)</f>
        <v>22409971.91243016</v>
      </c>
      <c r="S1077" s="25">
        <f t="shared" ca="1" si="1047"/>
        <v>56785260.9530176</v>
      </c>
    </row>
    <row r="1078" spans="1:19" ht="15.75" customHeight="1" x14ac:dyDescent="0.3">
      <c r="A1078" s="37">
        <v>83763</v>
      </c>
      <c r="B1078" s="409">
        <f t="shared" ref="B1078:C1078" si="1094">($A1078-B$9)/365.25</f>
        <v>147.45242984257359</v>
      </c>
      <c r="C1078" s="409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3525.4531757812501</v>
      </c>
      <c r="H1078" s="25">
        <f>IF(B1078&lt;62,0,'Combined Retirement'!$I$14)</f>
        <v>2192</v>
      </c>
      <c r="I1078" s="25">
        <f>IF(C1078&lt;62,0,'Combined Retirement'!$I$13)</f>
        <v>2420</v>
      </c>
      <c r="J1078" s="25">
        <f t="shared" si="1043"/>
        <v>6404.7404596389215</v>
      </c>
      <c r="K1078" s="25">
        <f t="shared" si="1044"/>
        <v>16520.094745597391</v>
      </c>
      <c r="L1078" s="25"/>
      <c r="N1078" s="25">
        <f>'Combined Retirement'!$C$18/12</f>
        <v>33932.660666666663</v>
      </c>
      <c r="O1078" s="25">
        <f t="shared" si="1045"/>
        <v>11007.82546143035</v>
      </c>
      <c r="P1078" s="25">
        <f t="shared" si="1046"/>
        <v>22924.835205236312</v>
      </c>
      <c r="Q1078" s="25">
        <f t="array" aca="1" ref="Q1078" ca="1">INDEX('Isaac 401k'!L:L,MATCH('Retirement Calculator'!A1078,'Isaac 401k'!N:N,0),0)</f>
        <v>34512087.984711669</v>
      </c>
      <c r="R1078" s="25">
        <f t="array" aca="1" ref="R1078" ca="1">INDEX('Lorri 401b'!L:L,MATCH('Retirement Calculator'!A1078,'Lorri 401b'!N:N,0),0)</f>
        <v>22486757.866924912</v>
      </c>
      <c r="S1078" s="25">
        <f t="shared" ca="1" si="1047"/>
        <v>56998845.851636581</v>
      </c>
    </row>
    <row r="1079" spans="1:19" ht="15.75" customHeight="1" x14ac:dyDescent="0.3">
      <c r="A1079" s="37">
        <v>83794</v>
      </c>
      <c r="B1079" s="409">
        <f t="shared" ref="B1079:C1079" si="1095">($A1079-B$9)/365.25</f>
        <v>147.53730321697466</v>
      </c>
      <c r="C1079" s="409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3525.4531757812501</v>
      </c>
      <c r="H1079" s="25">
        <f>IF(B1079&lt;62,0,'Combined Retirement'!$I$14)</f>
        <v>2192</v>
      </c>
      <c r="I1079" s="25">
        <f>IF(C1079&lt;62,0,'Combined Retirement'!$I$13)</f>
        <v>2420</v>
      </c>
      <c r="J1079" s="25">
        <f t="shared" si="1043"/>
        <v>6404.7404596389215</v>
      </c>
      <c r="K1079" s="25">
        <f t="shared" si="1044"/>
        <v>16520.094745597391</v>
      </c>
      <c r="L1079" s="25"/>
      <c r="N1079" s="25">
        <f>'Combined Retirement'!$C$18/12</f>
        <v>33932.660666666663</v>
      </c>
      <c r="O1079" s="25">
        <f t="shared" si="1045"/>
        <v>11007.82546143035</v>
      </c>
      <c r="P1079" s="25">
        <f t="shared" si="1046"/>
        <v>22924.835205236312</v>
      </c>
      <c r="Q1079" s="25">
        <f t="array" aca="1" ref="Q1079" ca="1">INDEX('Isaac 401k'!L:L,MATCH('Retirement Calculator'!A1079,'Isaac 401k'!N:N,0),0)</f>
        <v>34649456.92443642</v>
      </c>
      <c r="R1079" s="25">
        <f t="array" aca="1" ref="R1079" ca="1">INDEX('Lorri 401b'!L:L,MATCH('Retirement Calculator'!A1079,'Lorri 401b'!N:N,0),0)</f>
        <v>22563863.762896728</v>
      </c>
      <c r="S1079" s="25">
        <f t="shared" ca="1" si="1047"/>
        <v>57213320.687333152</v>
      </c>
    </row>
    <row r="1080" spans="1:19" ht="15.75" customHeight="1" x14ac:dyDescent="0.3">
      <c r="A1080" s="37">
        <v>83824</v>
      </c>
      <c r="B1080" s="409">
        <f t="shared" ref="B1080:C1080" si="1096">($A1080-B$9)/365.25</f>
        <v>147.61943874058863</v>
      </c>
      <c r="C1080" s="409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3525.4531757812501</v>
      </c>
      <c r="H1080" s="25">
        <f>IF(B1080&lt;62,0,'Combined Retirement'!$I$14)</f>
        <v>2192</v>
      </c>
      <c r="I1080" s="25">
        <f>IF(C1080&lt;62,0,'Combined Retirement'!$I$13)</f>
        <v>2420</v>
      </c>
      <c r="J1080" s="25">
        <f t="shared" si="1043"/>
        <v>6404.7404596389215</v>
      </c>
      <c r="K1080" s="25">
        <f t="shared" si="1044"/>
        <v>16520.094745597391</v>
      </c>
      <c r="L1080" s="25"/>
      <c r="N1080" s="25">
        <f>'Combined Retirement'!$C$18/12</f>
        <v>33932.660666666663</v>
      </c>
      <c r="O1080" s="25">
        <f t="shared" si="1045"/>
        <v>11007.82546143035</v>
      </c>
      <c r="P1080" s="25">
        <f t="shared" si="1046"/>
        <v>22924.835205236312</v>
      </c>
      <c r="Q1080" s="25">
        <f t="array" aca="1" ref="Q1080" ca="1">INDEX('Isaac 401k'!L:L,MATCH('Retirement Calculator'!A1080,'Isaac 401k'!N:N,0),0)</f>
        <v>34787398.234743357</v>
      </c>
      <c r="R1080" s="25">
        <f t="array" aca="1" ref="R1080" ca="1">INDEX('Lorri 401b'!L:L,MATCH('Retirement Calculator'!A1080,'Lorri 401b'!N:N,0),0)</f>
        <v>22641290.933435094</v>
      </c>
      <c r="S1080" s="25">
        <f t="shared" ca="1" si="1047"/>
        <v>57428689.168178454</v>
      </c>
    </row>
    <row r="1081" spans="1:19" ht="15.75" customHeight="1" x14ac:dyDescent="0.3">
      <c r="A1081" s="37">
        <v>83855</v>
      </c>
      <c r="B1081" s="409">
        <f t="shared" ref="B1081:C1081" si="1097">($A1081-B$9)/365.25</f>
        <v>147.70431211498973</v>
      </c>
      <c r="C1081" s="409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3525.4531757812501</v>
      </c>
      <c r="H1081" s="25">
        <f>IF(B1081&lt;62,0,'Combined Retirement'!$I$14)</f>
        <v>2192</v>
      </c>
      <c r="I1081" s="25">
        <f>IF(C1081&lt;62,0,'Combined Retirement'!$I$13)</f>
        <v>2420</v>
      </c>
      <c r="J1081" s="25">
        <f t="shared" si="1043"/>
        <v>6404.7404596389215</v>
      </c>
      <c r="K1081" s="25">
        <f t="shared" si="1044"/>
        <v>16520.094745597391</v>
      </c>
      <c r="L1081" s="25"/>
      <c r="N1081" s="25">
        <f>'Combined Retirement'!$C$18/12</f>
        <v>33932.660666666663</v>
      </c>
      <c r="O1081" s="25">
        <f t="shared" si="1045"/>
        <v>11007.82546143035</v>
      </c>
      <c r="P1081" s="25">
        <f t="shared" si="1046"/>
        <v>22924.835205236312</v>
      </c>
      <c r="Q1081" s="25">
        <f t="array" aca="1" ref="Q1081" ca="1">INDEX('Isaac 401k'!L:L,MATCH('Retirement Calculator'!A1081,'Isaac 401k'!N:N,0),0)</f>
        <v>34925914.3005099</v>
      </c>
      <c r="R1081" s="25">
        <f t="array" aca="1" ref="R1081" ca="1">INDEX('Lorri 401b'!L:L,MATCH('Retirement Calculator'!A1081,'Lorri 401b'!N:N,0),0)</f>
        <v>22719040.717184033</v>
      </c>
      <c r="S1081" s="25">
        <f t="shared" ca="1" si="1047"/>
        <v>57644955.017693937</v>
      </c>
    </row>
    <row r="1082" spans="1:19" ht="15.75" customHeight="1" x14ac:dyDescent="0.3">
      <c r="A1082" s="37">
        <v>83886</v>
      </c>
      <c r="B1082" s="409">
        <f t="shared" ref="B1082:C1082" si="1098">($A1082-B$9)/365.25</f>
        <v>147.78918548939083</v>
      </c>
      <c r="C1082" s="409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3525.4531757812501</v>
      </c>
      <c r="H1082" s="25">
        <f>IF(B1082&lt;62,0,'Combined Retirement'!$I$14)</f>
        <v>2192</v>
      </c>
      <c r="I1082" s="25">
        <f>IF(C1082&lt;62,0,'Combined Retirement'!$I$13)</f>
        <v>2420</v>
      </c>
      <c r="J1082" s="25">
        <f t="shared" si="1043"/>
        <v>6404.7404596389215</v>
      </c>
      <c r="K1082" s="25">
        <f t="shared" si="1044"/>
        <v>16520.094745597391</v>
      </c>
      <c r="L1082" s="25"/>
      <c r="N1082" s="25">
        <f>'Combined Retirement'!$C$18/12</f>
        <v>33932.660666666663</v>
      </c>
      <c r="O1082" s="25">
        <f t="shared" si="1045"/>
        <v>11007.82546143035</v>
      </c>
      <c r="P1082" s="25">
        <f t="shared" si="1046"/>
        <v>22924.835205236312</v>
      </c>
      <c r="Q1082" s="25">
        <f t="array" aca="1" ref="Q1082" ca="1">INDEX('Isaac 401k'!L:L,MATCH('Retirement Calculator'!A1082,'Isaac 401k'!N:N,0),0)</f>
        <v>35065007.516550474</v>
      </c>
      <c r="R1082" s="25">
        <f t="array" aca="1" ref="R1082" ca="1">INDEX('Lorri 401b'!L:L,MATCH('Retirement Calculator'!A1082,'Lorri 401b'!N:N,0),0)</f>
        <v>22797114.458365262</v>
      </c>
      <c r="S1082" s="25">
        <f t="shared" ca="1" si="1047"/>
        <v>57862121.974915735</v>
      </c>
    </row>
    <row r="1083" spans="1:19" ht="15.75" customHeight="1" x14ac:dyDescent="0.3">
      <c r="A1083" s="37">
        <v>83916</v>
      </c>
      <c r="B1083" s="409">
        <f t="shared" ref="B1083:C1083" si="1099">($A1083-B$9)/365.25</f>
        <v>147.8713210130048</v>
      </c>
      <c r="C1083" s="409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3525.4531757812501</v>
      </c>
      <c r="H1083" s="25">
        <f>IF(B1083&lt;62,0,'Combined Retirement'!$I$14)</f>
        <v>2192</v>
      </c>
      <c r="I1083" s="25">
        <f>IF(C1083&lt;62,0,'Combined Retirement'!$I$13)</f>
        <v>2420</v>
      </c>
      <c r="J1083" s="25">
        <f t="shared" si="1043"/>
        <v>6404.7404596389215</v>
      </c>
      <c r="K1083" s="25">
        <f t="shared" si="1044"/>
        <v>16520.094745597391</v>
      </c>
      <c r="L1083" s="25"/>
      <c r="N1083" s="25">
        <f>'Combined Retirement'!$C$18/12</f>
        <v>33932.660666666663</v>
      </c>
      <c r="O1083" s="25">
        <f t="shared" si="1045"/>
        <v>11007.82546143035</v>
      </c>
      <c r="P1083" s="25">
        <f t="shared" si="1046"/>
        <v>22924.835205236312</v>
      </c>
      <c r="Q1083" s="25">
        <f t="array" aca="1" ref="Q1083" ca="1">INDEX('Isaac 401k'!L:L,MATCH('Retirement Calculator'!A1083,'Isaac 401k'!N:N,0),0)</f>
        <v>35204680.287657887</v>
      </c>
      <c r="R1083" s="25">
        <f t="array" aca="1" ref="R1083" ca="1">INDEX('Lorri 401b'!L:L,MATCH('Retirement Calculator'!A1083,'Lorri 401b'!N:N,0),0)</f>
        <v>22875513.506801412</v>
      </c>
      <c r="S1083" s="25">
        <f t="shared" ca="1" si="1047"/>
        <v>58080193.794459298</v>
      </c>
    </row>
    <row r="1084" spans="1:19" ht="15.75" customHeight="1" x14ac:dyDescent="0.3">
      <c r="A1084" s="37">
        <v>83947</v>
      </c>
      <c r="B1084" s="409">
        <f t="shared" ref="B1084:C1084" si="1100">($A1084-B$9)/365.25</f>
        <v>147.95619438740587</v>
      </c>
      <c r="C1084" s="409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3525.4531757812501</v>
      </c>
      <c r="H1084" s="25">
        <f>IF(B1084&lt;62,0,'Combined Retirement'!$I$14)</f>
        <v>2192</v>
      </c>
      <c r="I1084" s="25">
        <f>IF(C1084&lt;62,0,'Combined Retirement'!$I$13)</f>
        <v>2420</v>
      </c>
      <c r="J1084" s="25">
        <f t="shared" si="1043"/>
        <v>6404.7404596389215</v>
      </c>
      <c r="K1084" s="25">
        <f t="shared" si="1044"/>
        <v>16520.094745597391</v>
      </c>
      <c r="L1084" s="25"/>
      <c r="N1084" s="25">
        <f>'Combined Retirement'!$C$18/12</f>
        <v>33932.660666666663</v>
      </c>
      <c r="O1084" s="25">
        <f t="shared" si="1045"/>
        <v>11007.82546143035</v>
      </c>
      <c r="P1084" s="25">
        <f t="shared" si="1046"/>
        <v>22924.835205236312</v>
      </c>
      <c r="Q1084" s="25">
        <f t="array" aca="1" ref="Q1084" ca="1">INDEX('Isaac 401k'!L:L,MATCH('Retirement Calculator'!A1084,'Isaac 401k'!N:N,0),0)</f>
        <v>35344935.028644912</v>
      </c>
      <c r="R1084" s="25">
        <f t="array" aca="1" ref="R1084" ca="1">INDEX('Lorri 401b'!L:L,MATCH('Retirement Calculator'!A1084,'Lorri 401b'!N:N,0),0)</f>
        <v>22954239.217939377</v>
      </c>
      <c r="S1084" s="25">
        <f t="shared" ca="1" si="1047"/>
        <v>58299174.246584289</v>
      </c>
    </row>
    <row r="1085" spans="1:19" ht="15.75" customHeight="1" x14ac:dyDescent="0.3">
      <c r="A1085" s="37">
        <v>83977</v>
      </c>
      <c r="B1085" s="409">
        <f t="shared" ref="B1085:C1085" si="1101">($A1085-B$9)/365.25</f>
        <v>148.03832991101984</v>
      </c>
      <c r="C1085" s="409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3525.4531757812501</v>
      </c>
      <c r="H1085" s="25">
        <f>IF(B1085&lt;62,0,'Combined Retirement'!$I$14)</f>
        <v>2192</v>
      </c>
      <c r="I1085" s="25">
        <f>IF(C1085&lt;62,0,'Combined Retirement'!$I$13)</f>
        <v>2420</v>
      </c>
      <c r="J1085" s="25">
        <f t="shared" si="1043"/>
        <v>6404.7404596389215</v>
      </c>
      <c r="K1085" s="25">
        <f t="shared" si="1044"/>
        <v>16520.094745597391</v>
      </c>
      <c r="L1085" s="25"/>
      <c r="N1085" s="25">
        <f>'Combined Retirement'!$C$18/12</f>
        <v>33932.660666666663</v>
      </c>
      <c r="O1085" s="25">
        <f t="shared" si="1045"/>
        <v>11007.82546143035</v>
      </c>
      <c r="P1085" s="25">
        <f t="shared" si="1046"/>
        <v>22924.835205236312</v>
      </c>
      <c r="Q1085" s="25">
        <f t="array" aca="1" ref="Q1085" ca="1">INDEX('Isaac 401k'!L:L,MATCH('Retirement Calculator'!A1085,'Isaac 401k'!N:N,0),0)</f>
        <v>35485774.164386049</v>
      </c>
      <c r="R1085" s="25">
        <f t="array" aca="1" ref="R1085" ca="1">INDEX('Lorri 401b'!L:L,MATCH('Retirement Calculator'!A1085,'Lorri 401b'!N:N,0),0)</f>
        <v>23033292.952873752</v>
      </c>
      <c r="S1085" s="25">
        <f t="shared" ca="1" si="1047"/>
        <v>58519067.1172598</v>
      </c>
    </row>
    <row r="1086" spans="1:19" ht="15.75" customHeight="1" x14ac:dyDescent="0.3">
      <c r="A1086" s="37">
        <v>84008</v>
      </c>
      <c r="B1086" s="409">
        <f t="shared" ref="B1086:C1086" si="1102">($A1086-B$9)/365.25</f>
        <v>148.12320328542094</v>
      </c>
      <c r="C1086" s="409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3525.4531757812501</v>
      </c>
      <c r="H1086" s="25">
        <f>IF(B1086&lt;62,0,'Combined Retirement'!$I$14)</f>
        <v>2192</v>
      </c>
      <c r="I1086" s="25">
        <f>IF(C1086&lt;62,0,'Combined Retirement'!$I$13)</f>
        <v>2420</v>
      </c>
      <c r="J1086" s="25">
        <f t="shared" si="1043"/>
        <v>6404.7404596389215</v>
      </c>
      <c r="K1086" s="25">
        <f t="shared" si="1044"/>
        <v>16520.094745597391</v>
      </c>
      <c r="L1086" s="25"/>
      <c r="N1086" s="25">
        <f>'Combined Retirement'!$C$18/12</f>
        <v>33932.660666666663</v>
      </c>
      <c r="O1086" s="25">
        <f t="shared" si="1045"/>
        <v>11007.82546143035</v>
      </c>
      <c r="P1086" s="25">
        <f t="shared" si="1046"/>
        <v>22924.835205236312</v>
      </c>
      <c r="Q1086" s="25">
        <f t="array" aca="1" ref="Q1086" ca="1">INDEX('Isaac 401k'!L:L,MATCH('Retirement Calculator'!A1086,'Isaac 401k'!N:N,0),0)</f>
        <v>35627200.12985944</v>
      </c>
      <c r="R1086" s="25">
        <f t="array" aca="1" ref="R1086" ca="1">INDEX('Lorri 401b'!L:L,MATCH('Retirement Calculator'!A1086,'Lorri 401b'!N:N,0),0)</f>
        <v>23112676.078370355</v>
      </c>
      <c r="S1086" s="25">
        <f t="shared" ca="1" si="1047"/>
        <v>58739876.208229795</v>
      </c>
    </row>
    <row r="1087" spans="1:19" ht="15.75" customHeight="1" x14ac:dyDescent="0.3">
      <c r="A1087" s="37">
        <v>84039</v>
      </c>
      <c r="B1087" s="409">
        <f t="shared" ref="B1087:C1087" si="1103">($A1087-B$9)/365.25</f>
        <v>148.20807665982204</v>
      </c>
      <c r="C1087" s="409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3525.4531757812501</v>
      </c>
      <c r="H1087" s="25">
        <f>IF(B1087&lt;62,0,'Combined Retirement'!$I$14)</f>
        <v>2192</v>
      </c>
      <c r="I1087" s="25">
        <f>IF(C1087&lt;62,0,'Combined Retirement'!$I$13)</f>
        <v>2420</v>
      </c>
      <c r="J1087" s="25">
        <f t="shared" si="1043"/>
        <v>6404.7404596389215</v>
      </c>
      <c r="K1087" s="25">
        <f t="shared" si="1044"/>
        <v>16520.094745597391</v>
      </c>
      <c r="L1087" s="25"/>
      <c r="N1087" s="25">
        <f>'Combined Retirement'!$C$18/12</f>
        <v>33932.660666666663</v>
      </c>
      <c r="O1087" s="25">
        <f t="shared" si="1045"/>
        <v>11007.82546143035</v>
      </c>
      <c r="P1087" s="25">
        <f t="shared" si="1046"/>
        <v>22924.835205236312</v>
      </c>
      <c r="Q1087" s="25">
        <f t="array" aca="1" ref="Q1087" ca="1">INDEX('Isaac 401k'!L:L,MATCH('Retirement Calculator'!A1087,'Isaac 401k'!N:N,0),0)</f>
        <v>35769215.370188966</v>
      </c>
      <c r="R1087" s="25">
        <f t="array" aca="1" ref="R1087" ca="1">INDEX('Lorri 401b'!L:L,MATCH('Retirement Calculator'!A1087,'Lorri 401b'!N:N,0),0)</f>
        <v>23192389.966889858</v>
      </c>
      <c r="S1087" s="25">
        <f t="shared" ca="1" si="1047"/>
        <v>58961605.337078825</v>
      </c>
    </row>
    <row r="1088" spans="1:19" ht="15.75" customHeight="1" x14ac:dyDescent="0.3">
      <c r="A1088" s="37">
        <v>84067</v>
      </c>
      <c r="B1088" s="409">
        <f t="shared" ref="B1088:C1088" si="1104">($A1088-B$9)/365.25</f>
        <v>148.28473648186173</v>
      </c>
      <c r="C1088" s="409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3525.4531757812501</v>
      </c>
      <c r="H1088" s="25">
        <f>IF(B1088&lt;62,0,'Combined Retirement'!$I$14)</f>
        <v>2192</v>
      </c>
      <c r="I1088" s="25">
        <f>IF(C1088&lt;62,0,'Combined Retirement'!$I$13)</f>
        <v>2420</v>
      </c>
      <c r="J1088" s="25">
        <f t="shared" si="1043"/>
        <v>6404.7404596389215</v>
      </c>
      <c r="K1088" s="25">
        <f t="shared" si="1044"/>
        <v>16520.094745597391</v>
      </c>
      <c r="L1088" s="25"/>
      <c r="N1088" s="25">
        <f>'Combined Retirement'!$C$18/12</f>
        <v>33932.660666666663</v>
      </c>
      <c r="O1088" s="25">
        <f t="shared" si="1045"/>
        <v>11007.82546143035</v>
      </c>
      <c r="P1088" s="25">
        <f t="shared" si="1046"/>
        <v>22924.835205236312</v>
      </c>
      <c r="Q1088" s="25">
        <f t="array" aca="1" ref="Q1088" ca="1">INDEX('Isaac 401k'!L:L,MATCH('Retirement Calculator'!A1088,'Isaac 401k'!N:N,0),0)</f>
        <v>35911822.340686537</v>
      </c>
      <c r="R1088" s="25">
        <f t="array" aca="1" ref="R1088" ca="1">INDEX('Lorri 401b'!L:L,MATCH('Retirement Calculator'!A1088,'Lorri 401b'!N:N,0),0)</f>
        <v>23272435.996611528</v>
      </c>
      <c r="S1088" s="25">
        <f t="shared" ca="1" si="1047"/>
        <v>59184258.337298065</v>
      </c>
    </row>
    <row r="1089" spans="1:19" ht="15.75" customHeight="1" x14ac:dyDescent="0.3">
      <c r="A1089" s="37">
        <v>84098</v>
      </c>
      <c r="B1089" s="409">
        <f t="shared" ref="B1089:C1089" si="1105">($A1089-B$9)/365.25</f>
        <v>148.36960985626283</v>
      </c>
      <c r="C1089" s="409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3525.4531757812501</v>
      </c>
      <c r="H1089" s="25">
        <f>IF(B1089&lt;62,0,'Combined Retirement'!$I$14)</f>
        <v>2192</v>
      </c>
      <c r="I1089" s="25">
        <f>IF(C1089&lt;62,0,'Combined Retirement'!$I$13)</f>
        <v>2420</v>
      </c>
      <c r="J1089" s="25">
        <f t="shared" si="1043"/>
        <v>6404.7404596389215</v>
      </c>
      <c r="K1089" s="25">
        <f t="shared" si="1044"/>
        <v>16520.094745597391</v>
      </c>
      <c r="L1089" s="25"/>
      <c r="N1089" s="25">
        <f>'Combined Retirement'!$C$18/12</f>
        <v>33932.660666666663</v>
      </c>
      <c r="O1089" s="25">
        <f t="shared" si="1045"/>
        <v>11007.82546143035</v>
      </c>
      <c r="P1089" s="25">
        <f t="shared" si="1046"/>
        <v>22924.835205236312</v>
      </c>
      <c r="Q1089" s="25">
        <f t="array" aca="1" ref="Q1089" ca="1">INDEX('Isaac 401k'!L:L,MATCH('Retirement Calculator'!A1089,'Isaac 401k'!N:N,0),0)</f>
        <v>36055023.506894514</v>
      </c>
      <c r="R1089" s="25">
        <f t="array" aca="1" ref="R1089" ca="1">INDEX('Lorri 401b'!L:L,MATCH('Retirement Calculator'!A1089,'Lorri 401b'!N:N,0),0)</f>
        <v>23352815.551457036</v>
      </c>
      <c r="S1089" s="25">
        <f t="shared" ca="1" si="1047"/>
        <v>59407839.058351547</v>
      </c>
    </row>
    <row r="1090" spans="1:19" ht="15.75" customHeight="1" x14ac:dyDescent="0.3">
      <c r="A1090" s="37">
        <v>84128</v>
      </c>
      <c r="B1090" s="409">
        <f t="shared" ref="B1090:C1090" si="1106">($A1090-B$9)/365.25</f>
        <v>148.4517453798768</v>
      </c>
      <c r="C1090" s="409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3525.4531757812501</v>
      </c>
      <c r="H1090" s="25">
        <f>IF(B1090&lt;62,0,'Combined Retirement'!$I$14)</f>
        <v>2192</v>
      </c>
      <c r="I1090" s="25">
        <f>IF(C1090&lt;62,0,'Combined Retirement'!$I$13)</f>
        <v>2420</v>
      </c>
      <c r="J1090" s="25">
        <f t="shared" si="1043"/>
        <v>6404.7404596389215</v>
      </c>
      <c r="K1090" s="25">
        <f t="shared" si="1044"/>
        <v>16520.094745597391</v>
      </c>
      <c r="L1090" s="25"/>
      <c r="N1090" s="25">
        <f>'Combined Retirement'!$C$18/12</f>
        <v>33932.660666666663</v>
      </c>
      <c r="O1090" s="25">
        <f t="shared" si="1045"/>
        <v>11007.82546143035</v>
      </c>
      <c r="P1090" s="25">
        <f t="shared" si="1046"/>
        <v>22924.835205236312</v>
      </c>
      <c r="Q1090" s="25">
        <f t="array" aca="1" ref="Q1090" ca="1">INDEX('Isaac 401k'!L:L,MATCH('Retirement Calculator'!A1090,'Isaac 401k'!N:N,0),0)</f>
        <v>36198821.344628356</v>
      </c>
      <c r="R1090" s="25">
        <f t="array" aca="1" ref="R1090" ca="1">INDEX('Lorri 401b'!L:L,MATCH('Retirement Calculator'!A1090,'Lorri 401b'!N:N,0),0)</f>
        <v>23433530.021114402</v>
      </c>
      <c r="S1090" s="25">
        <f t="shared" ca="1" si="1047"/>
        <v>59632351.365742758</v>
      </c>
    </row>
    <row r="1091" spans="1:19" ht="15.75" customHeight="1" x14ac:dyDescent="0.3">
      <c r="A1091" s="37">
        <v>84159</v>
      </c>
      <c r="B1091" s="409">
        <f t="shared" ref="B1091:C1091" si="1107">($A1091-B$9)/365.25</f>
        <v>148.5366187542779</v>
      </c>
      <c r="C1091" s="409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3525.4531757812501</v>
      </c>
      <c r="H1091" s="25">
        <f>IF(B1091&lt;62,0,'Combined Retirement'!$I$14)</f>
        <v>2192</v>
      </c>
      <c r="I1091" s="25">
        <f>IF(C1091&lt;62,0,'Combined Retirement'!$I$13)</f>
        <v>2420</v>
      </c>
      <c r="J1091" s="25">
        <f t="shared" si="1043"/>
        <v>6404.7404596389215</v>
      </c>
      <c r="K1091" s="25">
        <f t="shared" si="1044"/>
        <v>16520.094745597391</v>
      </c>
      <c r="L1091" s="25"/>
      <c r="N1091" s="25">
        <f>'Combined Retirement'!$C$18/12</f>
        <v>33932.660666666663</v>
      </c>
      <c r="O1091" s="25">
        <f t="shared" si="1045"/>
        <v>11007.82546143035</v>
      </c>
      <c r="P1091" s="25">
        <f t="shared" si="1046"/>
        <v>22924.835205236312</v>
      </c>
      <c r="Q1091" s="25">
        <f t="array" aca="1" ref="Q1091" ca="1">INDEX('Isaac 401k'!L:L,MATCH('Retirement Calculator'!A1091,'Isaac 401k'!N:N,0),0)</f>
        <v>36343218.340019427</v>
      </c>
      <c r="R1091" s="25">
        <f t="array" aca="1" ref="R1091" ca="1">INDEX('Lorri 401b'!L:L,MATCH('Retirement Calculator'!A1091,'Lorri 401b'!N:N,0),0)</f>
        <v>23514580.801062007</v>
      </c>
      <c r="S1091" s="25">
        <f t="shared" ca="1" si="1047"/>
        <v>59857799.141081437</v>
      </c>
    </row>
    <row r="1092" spans="1:19" ht="15.75" customHeight="1" x14ac:dyDescent="0.3">
      <c r="A1092" s="37">
        <v>84189</v>
      </c>
      <c r="B1092" s="409">
        <f t="shared" ref="B1092:C1092" si="1108">($A1092-B$9)/365.25</f>
        <v>148.61875427789187</v>
      </c>
      <c r="C1092" s="409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3525.4531757812501</v>
      </c>
      <c r="H1092" s="25">
        <f>IF(B1092&lt;62,0,'Combined Retirement'!$I$14)</f>
        <v>2192</v>
      </c>
      <c r="I1092" s="25">
        <f>IF(C1092&lt;62,0,'Combined Retirement'!$I$13)</f>
        <v>2420</v>
      </c>
      <c r="J1092" s="25">
        <f t="shared" si="1043"/>
        <v>6404.7404596389215</v>
      </c>
      <c r="K1092" s="25">
        <f t="shared" si="1044"/>
        <v>16520.094745597391</v>
      </c>
      <c r="L1092" s="25"/>
      <c r="N1092" s="25">
        <f>'Combined Retirement'!$C$18/12</f>
        <v>33932.660666666663</v>
      </c>
      <c r="O1092" s="25">
        <f t="shared" si="1045"/>
        <v>11007.82546143035</v>
      </c>
      <c r="P1092" s="25">
        <f t="shared" si="1046"/>
        <v>22924.835205236312</v>
      </c>
      <c r="Q1092" s="25">
        <f t="array" aca="1" ref="Q1092" ca="1">INDEX('Isaac 401k'!L:L,MATCH('Retirement Calculator'!A1092,'Isaac 401k'!N:N,0),0)</f>
        <v>36488216.989557959</v>
      </c>
      <c r="R1092" s="25">
        <f t="array" aca="1" ref="R1092" ca="1">INDEX('Lorri 401b'!L:L,MATCH('Retirement Calculator'!A1092,'Lorri 401b'!N:N,0),0)</f>
        <v>23595969.292592727</v>
      </c>
      <c r="S1092" s="25">
        <f t="shared" ca="1" si="1047"/>
        <v>60084186.282150686</v>
      </c>
    </row>
    <row r="1093" spans="1:19" ht="15.75" customHeight="1" x14ac:dyDescent="0.3">
      <c r="A1093" s="37">
        <v>84220</v>
      </c>
      <c r="B1093" s="409">
        <f t="shared" ref="B1093:C1093" si="1109">($A1093-B$9)/365.25</f>
        <v>148.70362765229294</v>
      </c>
      <c r="C1093" s="409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3525.4531757812501</v>
      </c>
      <c r="H1093" s="25">
        <f>IF(B1093&lt;62,0,'Combined Retirement'!$I$14)</f>
        <v>2192</v>
      </c>
      <c r="I1093" s="25">
        <f>IF(C1093&lt;62,0,'Combined Retirement'!$I$13)</f>
        <v>2420</v>
      </c>
      <c r="J1093" s="25">
        <f t="shared" si="1043"/>
        <v>6404.7404596389215</v>
      </c>
      <c r="K1093" s="25">
        <f t="shared" si="1044"/>
        <v>16520.094745597391</v>
      </c>
      <c r="L1093" s="25"/>
      <c r="N1093" s="25">
        <f>'Combined Retirement'!$C$18/12</f>
        <v>33932.660666666663</v>
      </c>
      <c r="O1093" s="25">
        <f t="shared" si="1045"/>
        <v>11007.82546143035</v>
      </c>
      <c r="P1093" s="25">
        <f t="shared" si="1046"/>
        <v>22924.835205236312</v>
      </c>
      <c r="Q1093" s="25">
        <f t="array" aca="1" ref="Q1093" ca="1">INDEX('Isaac 401k'!L:L,MATCH('Retirement Calculator'!A1093,'Isaac 401k'!N:N,0),0)</f>
        <v>36633819.800136231</v>
      </c>
      <c r="R1093" s="25">
        <f t="array" aca="1" ref="R1093" ca="1">INDEX('Lorri 401b'!L:L,MATCH('Retirement Calculator'!A1093,'Lorri 401b'!N:N,0),0)</f>
        <v>23677696.902838159</v>
      </c>
      <c r="S1093" s="25">
        <f t="shared" ca="1" si="1047"/>
        <v>60311516.702974394</v>
      </c>
    </row>
    <row r="1094" spans="1:19" ht="15.75" customHeight="1" x14ac:dyDescent="0.3">
      <c r="A1094" s="37">
        <v>84251</v>
      </c>
      <c r="B1094" s="409">
        <f t="shared" ref="B1094:C1094" si="1110">($A1094-B$9)/365.25</f>
        <v>148.78850102669404</v>
      </c>
      <c r="C1094" s="409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3525.4531757812501</v>
      </c>
      <c r="H1094" s="25">
        <f>IF(B1094&lt;62,0,'Combined Retirement'!$I$14)</f>
        <v>2192</v>
      </c>
      <c r="I1094" s="25">
        <f>IF(C1094&lt;62,0,'Combined Retirement'!$I$13)</f>
        <v>2420</v>
      </c>
      <c r="J1094" s="25">
        <f t="shared" si="1043"/>
        <v>6404.7404596389215</v>
      </c>
      <c r="K1094" s="25">
        <f t="shared" si="1044"/>
        <v>16520.094745597391</v>
      </c>
      <c r="L1094" s="25"/>
      <c r="N1094" s="25">
        <f>'Combined Retirement'!$C$18/12</f>
        <v>33932.660666666663</v>
      </c>
      <c r="O1094" s="25">
        <f t="shared" si="1045"/>
        <v>11007.82546143035</v>
      </c>
      <c r="P1094" s="25">
        <f t="shared" si="1046"/>
        <v>22924.835205236312</v>
      </c>
      <c r="Q1094" s="25">
        <f t="array" aca="1" ref="Q1094" ca="1">INDEX('Isaac 401k'!L:L,MATCH('Retirement Calculator'!A1094,'Isaac 401k'!N:N,0),0)</f>
        <v>36780029.289091915</v>
      </c>
      <c r="R1094" s="25">
        <f t="array" aca="1" ref="R1094" ca="1">INDEX('Lorri 401b'!L:L,MATCH('Retirement Calculator'!A1094,'Lorri 401b'!N:N,0),0)</f>
        <v>23759765.044792946</v>
      </c>
      <c r="S1094" s="25">
        <f t="shared" ca="1" si="1047"/>
        <v>60539794.333884865</v>
      </c>
    </row>
    <row r="1095" spans="1:19" ht="15.75" customHeight="1" x14ac:dyDescent="0.3">
      <c r="A1095" s="37">
        <v>84281</v>
      </c>
      <c r="B1095" s="409">
        <f t="shared" ref="B1095:C1095" si="1111">($A1095-B$9)/365.25</f>
        <v>148.87063655030801</v>
      </c>
      <c r="C1095" s="409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3525.4531757812501</v>
      </c>
      <c r="H1095" s="25">
        <f>IF(B1095&lt;62,0,'Combined Retirement'!$I$14)</f>
        <v>2192</v>
      </c>
      <c r="I1095" s="25">
        <f>IF(C1095&lt;62,0,'Combined Retirement'!$I$13)</f>
        <v>2420</v>
      </c>
      <c r="J1095" s="25">
        <f t="shared" si="1043"/>
        <v>6404.7404596389215</v>
      </c>
      <c r="K1095" s="25">
        <f t="shared" si="1044"/>
        <v>16520.094745597391</v>
      </c>
      <c r="L1095" s="25"/>
      <c r="N1095" s="25">
        <f>'Combined Retirement'!$C$18/12</f>
        <v>33932.660666666663</v>
      </c>
      <c r="O1095" s="25">
        <f t="shared" si="1045"/>
        <v>11007.82546143035</v>
      </c>
      <c r="P1095" s="25">
        <f t="shared" si="1046"/>
        <v>22924.835205236312</v>
      </c>
      <c r="Q1095" s="25">
        <f t="array" aca="1" ref="Q1095" ca="1">INDEX('Isaac 401k'!L:L,MATCH('Retirement Calculator'!A1095,'Isaac 401k'!N:N,0),0)</f>
        <v>36926847.984251581</v>
      </c>
      <c r="R1095" s="25">
        <f t="array" aca="1" ref="R1095" ca="1">INDEX('Lorri 401b'!L:L,MATCH('Retirement Calculator'!A1095,'Lorri 401b'!N:N,0),0)</f>
        <v>23842175.137339212</v>
      </c>
      <c r="S1095" s="25">
        <f t="shared" ca="1" si="1047"/>
        <v>60769023.121590793</v>
      </c>
    </row>
    <row r="1096" spans="1:19" ht="15.75" customHeight="1" x14ac:dyDescent="0.3">
      <c r="A1096" s="37">
        <v>84312</v>
      </c>
      <c r="B1096" s="409">
        <f t="shared" ref="B1096:C1096" si="1112">($A1096-B$9)/365.25</f>
        <v>148.95550992470911</v>
      </c>
      <c r="C1096" s="409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3525.4531757812501</v>
      </c>
      <c r="H1096" s="25">
        <f>IF(B1096&lt;62,0,'Combined Retirement'!$I$14)</f>
        <v>2192</v>
      </c>
      <c r="I1096" s="25">
        <f>IF(C1096&lt;62,0,'Combined Retirement'!$I$13)</f>
        <v>2420</v>
      </c>
      <c r="J1096" s="25">
        <f t="shared" si="1043"/>
        <v>6404.7404596389215</v>
      </c>
      <c r="K1096" s="25">
        <f t="shared" si="1044"/>
        <v>16520.094745597391</v>
      </c>
      <c r="L1096" s="25"/>
      <c r="N1096" s="25">
        <f>'Combined Retirement'!$C$18/12</f>
        <v>33932.660666666663</v>
      </c>
      <c r="O1096" s="25">
        <f t="shared" si="1045"/>
        <v>11007.82546143035</v>
      </c>
      <c r="P1096" s="25">
        <f t="shared" si="1046"/>
        <v>22924.835205236312</v>
      </c>
      <c r="Q1096" s="25">
        <f t="array" aca="1" ref="Q1096" ca="1">INDEX('Isaac 401k'!L:L,MATCH('Retirement Calculator'!A1096,'Isaac 401k'!N:N,0),0)</f>
        <v>37074278.42397441</v>
      </c>
      <c r="R1096" s="25">
        <f t="array" aca="1" ref="R1096" ca="1">INDEX('Lorri 401b'!L:L,MATCH('Retirement Calculator'!A1096,'Lorri 401b'!N:N,0),0)</f>
        <v>23924928.605271086</v>
      </c>
      <c r="S1096" s="25">
        <f t="shared" ca="1" si="1047"/>
        <v>60999207.029245496</v>
      </c>
    </row>
    <row r="1097" spans="1:19" ht="15.75" customHeight="1" x14ac:dyDescent="0.3">
      <c r="A1097" s="37">
        <v>84342</v>
      </c>
      <c r="B1097" s="409">
        <f t="shared" ref="B1097:C1097" si="1113">($A1097-B$9)/365.25</f>
        <v>149.03764544832308</v>
      </c>
      <c r="C1097" s="409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3525.4531757812501</v>
      </c>
      <c r="H1097" s="25">
        <f>IF(B1097&lt;62,0,'Combined Retirement'!$I$14)</f>
        <v>2192</v>
      </c>
      <c r="I1097" s="25">
        <f>IF(C1097&lt;62,0,'Combined Retirement'!$I$13)</f>
        <v>2420</v>
      </c>
      <c r="J1097" s="25">
        <f t="shared" si="1043"/>
        <v>6404.7404596389215</v>
      </c>
      <c r="K1097" s="25">
        <f t="shared" si="1044"/>
        <v>16520.094745597391</v>
      </c>
      <c r="L1097" s="25"/>
      <c r="N1097" s="25">
        <f>'Combined Retirement'!$C$18/12</f>
        <v>33932.660666666663</v>
      </c>
      <c r="O1097" s="25">
        <f t="shared" si="1045"/>
        <v>11007.82546143035</v>
      </c>
      <c r="P1097" s="25">
        <f t="shared" si="1046"/>
        <v>22924.835205236312</v>
      </c>
      <c r="Q1097" s="25">
        <f t="array" aca="1" ref="Q1097" ca="1">INDEX('Isaac 401k'!L:L,MATCH('Retirement Calculator'!A1097,'Isaac 401k'!N:N,0),0)</f>
        <v>37222323.157196082</v>
      </c>
      <c r="R1097" s="25">
        <f t="array" aca="1" ref="R1097" ca="1">INDEX('Lorri 401b'!L:L,MATCH('Retirement Calculator'!A1097,'Lorri 401b'!N:N,0),0)</f>
        <v>24008026.879319344</v>
      </c>
      <c r="S1097" s="25">
        <f t="shared" ca="1" si="1047"/>
        <v>61230350.03651543</v>
      </c>
    </row>
    <row r="1098" spans="1:19" ht="15.75" customHeight="1" x14ac:dyDescent="0.3">
      <c r="A1098" s="37">
        <v>84373</v>
      </c>
      <c r="B1098" s="409">
        <f t="shared" ref="B1098:C1098" si="1114">($A1098-B$9)/365.25</f>
        <v>149.12251882272417</v>
      </c>
      <c r="C1098" s="409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3525.4531757812501</v>
      </c>
      <c r="H1098" s="25">
        <f>IF(B1098&lt;62,0,'Combined Retirement'!$I$14)</f>
        <v>2192</v>
      </c>
      <c r="I1098" s="25">
        <f>IF(C1098&lt;62,0,'Combined Retirement'!$I$13)</f>
        <v>2420</v>
      </c>
      <c r="J1098" s="25">
        <f t="shared" si="1043"/>
        <v>6404.7404596389215</v>
      </c>
      <c r="K1098" s="25">
        <f t="shared" si="1044"/>
        <v>16520.094745597391</v>
      </c>
      <c r="L1098" s="25"/>
      <c r="N1098" s="25">
        <f>'Combined Retirement'!$C$18/12</f>
        <v>33932.660666666663</v>
      </c>
      <c r="O1098" s="25">
        <f t="shared" si="1045"/>
        <v>11007.82546143035</v>
      </c>
      <c r="P1098" s="25">
        <f t="shared" si="1046"/>
        <v>22924.835205236312</v>
      </c>
      <c r="Q1098" s="25">
        <f t="array" aca="1" ref="Q1098" ca="1">INDEX('Isaac 401k'!L:L,MATCH('Retirement Calculator'!A1098,'Isaac 401k'!N:N,0),0)</f>
        <v>37370984.743472852</v>
      </c>
      <c r="R1098" s="25">
        <f t="array" aca="1" ref="R1098" ca="1">INDEX('Lorri 401b'!L:L,MATCH('Retirement Calculator'!A1098,'Lorri 401b'!N:N,0),0)</f>
        <v>24091471.396176137</v>
      </c>
      <c r="S1098" s="25">
        <f t="shared" ca="1" si="1047"/>
        <v>61462456.139648989</v>
      </c>
    </row>
    <row r="1099" spans="1:19" ht="15.75" customHeight="1" x14ac:dyDescent="0.3">
      <c r="A1099" s="37">
        <v>84404</v>
      </c>
      <c r="B1099" s="409">
        <f t="shared" ref="B1099:C1099" si="1115">($A1099-B$9)/365.25</f>
        <v>149.20739219712524</v>
      </c>
      <c r="C1099" s="409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3525.4531757812501</v>
      </c>
      <c r="H1099" s="25">
        <f>IF(B1099&lt;62,0,'Combined Retirement'!$I$14)</f>
        <v>2192</v>
      </c>
      <c r="I1099" s="25">
        <f>IF(C1099&lt;62,0,'Combined Retirement'!$I$13)</f>
        <v>2420</v>
      </c>
      <c r="J1099" s="25">
        <f t="shared" si="1043"/>
        <v>6404.7404596389215</v>
      </c>
      <c r="K1099" s="25">
        <f t="shared" si="1044"/>
        <v>16520.094745597391</v>
      </c>
      <c r="L1099" s="25"/>
      <c r="N1099" s="25">
        <f>'Combined Retirement'!$C$18/12</f>
        <v>33932.660666666663</v>
      </c>
      <c r="O1099" s="25">
        <f t="shared" si="1045"/>
        <v>11007.82546143035</v>
      </c>
      <c r="P1099" s="25">
        <f t="shared" si="1046"/>
        <v>22924.835205236312</v>
      </c>
      <c r="Q1099" s="25">
        <f t="array" aca="1" ref="Q1099" ca="1">INDEX('Isaac 401k'!L:L,MATCH('Retirement Calculator'!A1099,'Isaac 401k'!N:N,0),0)</f>
        <v>37520265.75302577</v>
      </c>
      <c r="R1099" s="25">
        <f t="array" aca="1" ref="R1099" ca="1">INDEX('Lorri 401b'!L:L,MATCH('Retirement Calculator'!A1099,'Lorri 401b'!N:N,0),0)</f>
        <v>24175263.598519832</v>
      </c>
      <c r="S1099" s="25">
        <f t="shared" ca="1" si="1047"/>
        <v>61695529.351545602</v>
      </c>
    </row>
    <row r="1100" spans="1:19" ht="15.75" customHeight="1" x14ac:dyDescent="0.3">
      <c r="A1100" s="37">
        <v>84432</v>
      </c>
      <c r="B1100" s="409">
        <f t="shared" ref="B1100:C1100" si="1116">($A1100-B$9)/365.25</f>
        <v>149.28405201916496</v>
      </c>
      <c r="C1100" s="409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3525.4531757812501</v>
      </c>
      <c r="H1100" s="25">
        <f>IF(B1100&lt;62,0,'Combined Retirement'!$I$14)</f>
        <v>2192</v>
      </c>
      <c r="I1100" s="25">
        <f>IF(C1100&lt;62,0,'Combined Retirement'!$I$13)</f>
        <v>2420</v>
      </c>
      <c r="J1100" s="25">
        <f t="shared" si="1043"/>
        <v>6404.7404596389215</v>
      </c>
      <c r="K1100" s="25">
        <f t="shared" si="1044"/>
        <v>16520.094745597391</v>
      </c>
      <c r="L1100" s="25"/>
      <c r="N1100" s="25">
        <f>'Combined Retirement'!$C$18/12</f>
        <v>33932.660666666663</v>
      </c>
      <c r="O1100" s="25">
        <f t="shared" si="1045"/>
        <v>11007.82546143035</v>
      </c>
      <c r="P1100" s="25">
        <f t="shared" si="1046"/>
        <v>22924.835205236312</v>
      </c>
      <c r="Q1100" s="25">
        <f t="array" aca="1" ref="Q1100" ca="1">INDEX('Isaac 401k'!L:L,MATCH('Retirement Calculator'!A1100,'Isaac 401k'!N:N,0),0)</f>
        <v>37670168.76678516</v>
      </c>
      <c r="R1100" s="25">
        <f t="array" aca="1" ref="R1100" ca="1">INDEX('Lorri 401b'!L:L,MATCH('Retirement Calculator'!A1100,'Lorri 401b'!N:N,0),0)</f>
        <v>24259404.93503996</v>
      </c>
      <c r="S1100" s="25">
        <f t="shared" ca="1" si="1047"/>
        <v>61929573.70182512</v>
      </c>
    </row>
    <row r="1101" spans="1:19" ht="15.75" customHeight="1" x14ac:dyDescent="0.3">
      <c r="A1101" s="37">
        <v>84463</v>
      </c>
      <c r="B1101" s="409">
        <f t="shared" ref="B1101:C1101" si="1117">($A1101-B$9)/365.25</f>
        <v>149.36892539356606</v>
      </c>
      <c r="C1101" s="409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3525.4531757812501</v>
      </c>
      <c r="H1101" s="25">
        <f>IF(B1101&lt;62,0,'Combined Retirement'!$I$14)</f>
        <v>2192</v>
      </c>
      <c r="I1101" s="25">
        <f>IF(C1101&lt;62,0,'Combined Retirement'!$I$13)</f>
        <v>2420</v>
      </c>
      <c r="J1101" s="25">
        <f t="shared" si="1043"/>
        <v>6404.7404596389215</v>
      </c>
      <c r="K1101" s="25">
        <f t="shared" si="1044"/>
        <v>16520.094745597391</v>
      </c>
      <c r="L1101" s="25"/>
      <c r="N1101" s="25">
        <f>'Combined Retirement'!$C$18/12</f>
        <v>33932.660666666663</v>
      </c>
      <c r="O1101" s="25">
        <f t="shared" si="1045"/>
        <v>11007.82546143035</v>
      </c>
      <c r="P1101" s="25">
        <f t="shared" si="1046"/>
        <v>22924.835205236312</v>
      </c>
      <c r="Q1101" s="25">
        <f t="array" aca="1" ref="Q1101" ca="1">INDEX('Isaac 401k'!L:L,MATCH('Retirement Calculator'!A1101,'Isaac 401k'!N:N,0),0)</f>
        <v>37820696.376435213</v>
      </c>
      <c r="R1101" s="25">
        <f t="array" aca="1" ref="R1101" ca="1">INDEX('Lorri 401b'!L:L,MATCH('Retirement Calculator'!A1101,'Lorri 401b'!N:N,0),0)</f>
        <v>24343896.860462256</v>
      </c>
      <c r="S1101" s="25">
        <f t="shared" ca="1" si="1047"/>
        <v>62164593.236897469</v>
      </c>
    </row>
    <row r="1102" spans="1:19" ht="15.75" customHeight="1" x14ac:dyDescent="0.3">
      <c r="A1102" s="37">
        <v>84493</v>
      </c>
      <c r="B1102" s="409">
        <f t="shared" ref="B1102:C1102" si="1118">($A1102-B$9)/365.25</f>
        <v>149.45106091718</v>
      </c>
      <c r="C1102" s="409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3525.4531757812501</v>
      </c>
      <c r="H1102" s="25">
        <f>IF(B1102&lt;62,0,'Combined Retirement'!$I$14)</f>
        <v>2192</v>
      </c>
      <c r="I1102" s="25">
        <f>IF(C1102&lt;62,0,'Combined Retirement'!$I$13)</f>
        <v>2420</v>
      </c>
      <c r="J1102" s="25">
        <f t="shared" si="1043"/>
        <v>6404.7404596389215</v>
      </c>
      <c r="K1102" s="25">
        <f t="shared" si="1044"/>
        <v>16520.094745597391</v>
      </c>
      <c r="L1102" s="25"/>
      <c r="N1102" s="25">
        <f>'Combined Retirement'!$C$18/12</f>
        <v>33932.660666666663</v>
      </c>
      <c r="O1102" s="25">
        <f t="shared" si="1045"/>
        <v>11007.82546143035</v>
      </c>
      <c r="P1102" s="25">
        <f t="shared" si="1046"/>
        <v>22924.835205236312</v>
      </c>
      <c r="Q1102" s="25">
        <f t="array" aca="1" ref="Q1102" ca="1">INDEX('Isaac 401k'!L:L,MATCH('Retirement Calculator'!A1102,'Isaac 401k'!N:N,0),0)</f>
        <v>37971851.184458807</v>
      </c>
      <c r="R1102" s="25">
        <f t="array" aca="1" ref="R1102" ca="1">INDEX('Lorri 401b'!L:L,MATCH('Retirement Calculator'!A1102,'Lorri 401b'!N:N,0),0)</f>
        <v>24428740.835573811</v>
      </c>
      <c r="S1102" s="25">
        <f t="shared" ca="1" si="1047"/>
        <v>62400592.020032614</v>
      </c>
    </row>
    <row r="1103" spans="1:19" ht="15.75" customHeight="1" x14ac:dyDescent="0.3">
      <c r="A1103" s="37">
        <v>84524</v>
      </c>
      <c r="B1103" s="409">
        <f t="shared" ref="B1103:C1103" si="1119">($A1103-B$9)/365.25</f>
        <v>149.5359342915811</v>
      </c>
      <c r="C1103" s="409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3525.4531757812501</v>
      </c>
      <c r="H1103" s="25">
        <f>IF(B1103&lt;62,0,'Combined Retirement'!$I$14)</f>
        <v>2192</v>
      </c>
      <c r="I1103" s="25">
        <f>IF(C1103&lt;62,0,'Combined Retirement'!$I$13)</f>
        <v>2420</v>
      </c>
      <c r="J1103" s="25">
        <f t="shared" si="1043"/>
        <v>6404.7404596389215</v>
      </c>
      <c r="K1103" s="25">
        <f t="shared" si="1044"/>
        <v>16520.094745597391</v>
      </c>
      <c r="L1103" s="25"/>
      <c r="N1103" s="25">
        <f>'Combined Retirement'!$C$18/12</f>
        <v>33932.660666666663</v>
      </c>
      <c r="O1103" s="25">
        <f t="shared" si="1045"/>
        <v>11007.82546143035</v>
      </c>
      <c r="P1103" s="25">
        <f t="shared" si="1046"/>
        <v>22924.835205236312</v>
      </c>
      <c r="Q1103" s="25">
        <f t="array" aca="1" ref="Q1103" ca="1">INDEX('Isaac 401k'!L:L,MATCH('Retirement Calculator'!A1103,'Isaac 401k'!N:N,0),0)</f>
        <v>38123635.8041825</v>
      </c>
      <c r="R1103" s="25">
        <f t="array" aca="1" ref="R1103" ca="1">INDEX('Lorri 401b'!L:L,MATCH('Retirement Calculator'!A1103,'Lorri 401b'!N:N,0),0)</f>
        <v>24513938.327248331</v>
      </c>
      <c r="S1103" s="25">
        <f t="shared" ca="1" si="1047"/>
        <v>62637574.131430835</v>
      </c>
    </row>
    <row r="1104" spans="1:19" ht="15.75" customHeight="1" x14ac:dyDescent="0.3">
      <c r="A1104" s="37">
        <v>84554</v>
      </c>
      <c r="B1104" s="409">
        <f t="shared" ref="B1104:C1104" si="1120">($A1104-B$9)/365.25</f>
        <v>149.61806981519507</v>
      </c>
      <c r="C1104" s="409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3525.4531757812501</v>
      </c>
      <c r="H1104" s="25">
        <f>IF(B1104&lt;62,0,'Combined Retirement'!$I$14)</f>
        <v>2192</v>
      </c>
      <c r="I1104" s="25">
        <f>IF(C1104&lt;62,0,'Combined Retirement'!$I$13)</f>
        <v>2420</v>
      </c>
      <c r="J1104" s="25">
        <f t="shared" si="1043"/>
        <v>6404.7404596389215</v>
      </c>
      <c r="K1104" s="25">
        <f t="shared" si="1044"/>
        <v>16520.094745597391</v>
      </c>
      <c r="L1104" s="25"/>
      <c r="N1104" s="25">
        <f>'Combined Retirement'!$C$18/12</f>
        <v>33932.660666666663</v>
      </c>
      <c r="O1104" s="25">
        <f t="shared" si="1045"/>
        <v>11007.82546143035</v>
      </c>
      <c r="P1104" s="25">
        <f t="shared" si="1046"/>
        <v>22924.835205236312</v>
      </c>
      <c r="Q1104" s="25">
        <f t="array" aca="1" ref="Q1104" ca="1">INDEX('Isaac 401k'!L:L,MATCH('Retirement Calculator'!A1104,'Isaac 401k'!N:N,0),0)</f>
        <v>38276052.859821707</v>
      </c>
      <c r="R1104" s="25">
        <f t="array" aca="1" ref="R1104" ca="1">INDEX('Lorri 401b'!L:L,MATCH('Retirement Calculator'!A1104,'Lorri 401b'!N:N,0),0)</f>
        <v>24599490.808471493</v>
      </c>
      <c r="S1104" s="25">
        <f t="shared" ca="1" si="1047"/>
        <v>62875543.6682932</v>
      </c>
    </row>
    <row r="1105" spans="1:19" ht="15.75" customHeight="1" x14ac:dyDescent="0.3">
      <c r="A1105" s="37">
        <v>84585</v>
      </c>
      <c r="B1105" s="409">
        <f t="shared" ref="B1105:C1105" si="1121">($A1105-B$9)/365.25</f>
        <v>149.70294318959617</v>
      </c>
      <c r="C1105" s="409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3525.4531757812501</v>
      </c>
      <c r="H1105" s="25">
        <f>IF(B1105&lt;62,0,'Combined Retirement'!$I$14)</f>
        <v>2192</v>
      </c>
      <c r="I1105" s="25">
        <f>IF(C1105&lt;62,0,'Combined Retirement'!$I$13)</f>
        <v>2420</v>
      </c>
      <c r="J1105" s="25">
        <f t="shared" si="1043"/>
        <v>6404.7404596389215</v>
      </c>
      <c r="K1105" s="25">
        <f t="shared" si="1044"/>
        <v>16520.094745597391</v>
      </c>
      <c r="L1105" s="25"/>
      <c r="N1105" s="25">
        <f>'Combined Retirement'!$C$18/12</f>
        <v>33932.660666666663</v>
      </c>
      <c r="O1105" s="25">
        <f t="shared" si="1045"/>
        <v>11007.82546143035</v>
      </c>
      <c r="P1105" s="25">
        <f t="shared" si="1046"/>
        <v>22924.835205236312</v>
      </c>
      <c r="Q1105" s="25">
        <f t="array" aca="1" ref="Q1105" ca="1">INDEX('Isaac 401k'!L:L,MATCH('Retirement Calculator'!A1105,'Isaac 401k'!N:N,0),0)</f>
        <v>38429104.986526079</v>
      </c>
      <c r="R1105" s="25">
        <f t="array" aca="1" ref="R1105" ca="1">INDEX('Lorri 401b'!L:L,MATCH('Retirement Calculator'!A1105,'Lorri 401b'!N:N,0),0)</f>
        <v>24685399.758366421</v>
      </c>
      <c r="S1105" s="25">
        <f t="shared" ca="1" si="1047"/>
        <v>63114504.7448925</v>
      </c>
    </row>
    <row r="1106" spans="1:19" ht="15.75" customHeight="1" x14ac:dyDescent="0.3">
      <c r="A1106" s="37">
        <v>84616</v>
      </c>
      <c r="B1106" s="409">
        <f t="shared" ref="B1106:C1106" si="1122">($A1106-B$9)/365.25</f>
        <v>149.78781656399727</v>
      </c>
      <c r="C1106" s="409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3525.4531757812501</v>
      </c>
      <c r="H1106" s="25">
        <f>IF(B1106&lt;62,0,'Combined Retirement'!$I$14)</f>
        <v>2192</v>
      </c>
      <c r="I1106" s="25">
        <f>IF(C1106&lt;62,0,'Combined Retirement'!$I$13)</f>
        <v>2420</v>
      </c>
      <c r="J1106" s="25">
        <f t="shared" si="1043"/>
        <v>6404.7404596389215</v>
      </c>
      <c r="K1106" s="25">
        <f t="shared" si="1044"/>
        <v>16520.094745597391</v>
      </c>
      <c r="L1106" s="25"/>
      <c r="N1106" s="25">
        <f>'Combined Retirement'!$C$18/12</f>
        <v>33932.660666666663</v>
      </c>
      <c r="O1106" s="25">
        <f t="shared" si="1045"/>
        <v>11007.82546143035</v>
      </c>
      <c r="P1106" s="25">
        <f t="shared" si="1046"/>
        <v>22924.835205236312</v>
      </c>
      <c r="Q1106" s="25">
        <f t="array" aca="1" ref="Q1106" ca="1">INDEX('Isaac 401k'!L:L,MATCH('Retirement Calculator'!A1106,'Isaac 401k'!N:N,0),0)</f>
        <v>38582794.830425054</v>
      </c>
      <c r="R1106" s="25">
        <f t="array" aca="1" ref="R1106" ca="1">INDEX('Lorri 401b'!L:L,MATCH('Retirement Calculator'!A1106,'Lorri 401b'!N:N,0),0)</f>
        <v>24771666.662219241</v>
      </c>
      <c r="S1106" s="25">
        <f t="shared" ca="1" si="1047"/>
        <v>63354461.492644295</v>
      </c>
    </row>
    <row r="1107" spans="1:19" ht="15.75" customHeight="1" x14ac:dyDescent="0.3">
      <c r="A1107" s="37">
        <v>84646</v>
      </c>
      <c r="B1107" s="409">
        <f t="shared" ref="B1107:C1107" si="1123">($A1107-B$9)/365.25</f>
        <v>149.86995208761124</v>
      </c>
      <c r="C1107" s="409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3525.4531757812501</v>
      </c>
      <c r="H1107" s="25">
        <f>IF(B1107&lt;62,0,'Combined Retirement'!$I$14)</f>
        <v>2192</v>
      </c>
      <c r="I1107" s="25">
        <f>IF(C1107&lt;62,0,'Combined Retirement'!$I$13)</f>
        <v>2420</v>
      </c>
      <c r="J1107" s="25">
        <f t="shared" si="1043"/>
        <v>6404.7404596389215</v>
      </c>
      <c r="K1107" s="25">
        <f t="shared" si="1044"/>
        <v>16520.094745597391</v>
      </c>
      <c r="L1107" s="25"/>
      <c r="N1107" s="25">
        <f>'Combined Retirement'!$C$18/12</f>
        <v>33932.660666666663</v>
      </c>
      <c r="O1107" s="25">
        <f t="shared" si="1045"/>
        <v>11007.82546143035</v>
      </c>
      <c r="P1107" s="25">
        <f t="shared" si="1046"/>
        <v>22924.835205236312</v>
      </c>
      <c r="Q1107" s="25">
        <f t="array" aca="1" ref="Q1107" ca="1">INDEX('Isaac 401k'!L:L,MATCH('Retirement Calculator'!A1107,'Isaac 401k'!N:N,0),0)</f>
        <v>38737125.048673607</v>
      </c>
      <c r="R1107" s="25">
        <f t="array" aca="1" ref="R1107" ca="1">INDEX('Lorri 401b'!L:L,MATCH('Retirement Calculator'!A1107,'Lorri 401b'!N:N,0),0)</f>
        <v>24858293.011504784</v>
      </c>
      <c r="S1107" s="25">
        <f t="shared" ca="1" si="1047"/>
        <v>63595418.060178392</v>
      </c>
    </row>
    <row r="1108" spans="1:19" ht="15.75" customHeight="1" x14ac:dyDescent="0.3">
      <c r="A1108" s="37">
        <v>84677</v>
      </c>
      <c r="B1108" s="409">
        <f t="shared" ref="B1108:C1108" si="1124">($A1108-B$9)/365.25</f>
        <v>149.95482546201231</v>
      </c>
      <c r="C1108" s="409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3525.4531757812501</v>
      </c>
      <c r="H1108" s="25">
        <f>IF(B1108&lt;62,0,'Combined Retirement'!$I$14)</f>
        <v>2192</v>
      </c>
      <c r="I1108" s="25">
        <f>IF(C1108&lt;62,0,'Combined Retirement'!$I$13)</f>
        <v>2420</v>
      </c>
      <c r="J1108" s="25">
        <f t="shared" si="1043"/>
        <v>6404.7404596389215</v>
      </c>
      <c r="K1108" s="25">
        <f t="shared" si="1044"/>
        <v>16520.094745597391</v>
      </c>
      <c r="L1108" s="25"/>
      <c r="N1108" s="25">
        <f>'Combined Retirement'!$C$18/12</f>
        <v>33932.660666666663</v>
      </c>
      <c r="O1108" s="25">
        <f t="shared" si="1045"/>
        <v>11007.82546143035</v>
      </c>
      <c r="P1108" s="25">
        <f t="shared" si="1046"/>
        <v>22924.835205236312</v>
      </c>
      <c r="Q1108" s="25">
        <f t="array" aca="1" ref="Q1108" ca="1">INDEX('Isaac 401k'!L:L,MATCH('Retirement Calculator'!A1108,'Isaac 401k'!N:N,0),0)</f>
        <v>38892098.309498198</v>
      </c>
      <c r="R1108" s="25">
        <f t="array" aca="1" ref="R1108" ca="1">INDEX('Lorri 401b'!L:L,MATCH('Retirement Calculator'!A1108,'Lorri 401b'!N:N,0),0)</f>
        <v>24945280.303912349</v>
      </c>
      <c r="S1108" s="25">
        <f t="shared" ca="1" si="1047"/>
        <v>63837378.613410547</v>
      </c>
    </row>
    <row r="1109" spans="1:19" ht="15.75" customHeight="1" x14ac:dyDescent="0.3">
      <c r="A1109" s="37">
        <v>84707</v>
      </c>
      <c r="B1109" s="409">
        <f t="shared" ref="B1109:C1109" si="1125">($A1109-B$9)/365.25</f>
        <v>150.03696098562628</v>
      </c>
      <c r="C1109" s="409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3525.4531757812501</v>
      </c>
      <c r="H1109" s="25">
        <f>IF(B1109&lt;62,0,'Combined Retirement'!$I$14)</f>
        <v>2192</v>
      </c>
      <c r="I1109" s="25">
        <f>IF(C1109&lt;62,0,'Combined Retirement'!$I$13)</f>
        <v>2420</v>
      </c>
      <c r="J1109" s="25">
        <f t="shared" si="1043"/>
        <v>6404.7404596389215</v>
      </c>
      <c r="K1109" s="25">
        <f t="shared" si="1044"/>
        <v>16520.094745597391</v>
      </c>
      <c r="L1109" s="25"/>
      <c r="N1109" s="25">
        <f>'Combined Retirement'!$C$18/12</f>
        <v>33932.660666666663</v>
      </c>
      <c r="O1109" s="25">
        <f t="shared" si="1045"/>
        <v>11007.82546143035</v>
      </c>
      <c r="P1109" s="25">
        <f t="shared" si="1046"/>
        <v>22924.835205236312</v>
      </c>
      <c r="Q1109" s="25">
        <f t="array" aca="1" ref="Q1109" ca="1">INDEX('Isaac 401k'!L:L,MATCH('Retirement Calculator'!A1109,'Isaac 401k'!N:N,0),0)</f>
        <v>39047717.292242892</v>
      </c>
      <c r="R1109" s="25">
        <f t="array" aca="1" ref="R1109" ca="1">INDEX('Lorri 401b'!L:L,MATCH('Retirement Calculator'!A1109,'Lorri 401b'!N:N,0),0)</f>
        <v>25032630.04337161</v>
      </c>
      <c r="S1109" s="25">
        <f t="shared" ca="1" si="1047"/>
        <v>64080347.335614502</v>
      </c>
    </row>
    <row r="1110" spans="1:19" ht="15.75" customHeight="1" x14ac:dyDescent="0.3">
      <c r="A1110" s="37">
        <v>84738</v>
      </c>
      <c r="B1110" s="409">
        <f t="shared" ref="B1110:C1110" si="1126">($A1110-B$9)/365.25</f>
        <v>150.12183436002738</v>
      </c>
      <c r="C1110" s="409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3525.4531757812501</v>
      </c>
      <c r="H1110" s="25">
        <f>IF(B1110&lt;62,0,'Combined Retirement'!$I$14)</f>
        <v>2192</v>
      </c>
      <c r="I1110" s="25">
        <f>IF(C1110&lt;62,0,'Combined Retirement'!$I$13)</f>
        <v>2420</v>
      </c>
      <c r="J1110" s="25">
        <f t="shared" si="1043"/>
        <v>6404.7404596389215</v>
      </c>
      <c r="K1110" s="25">
        <f t="shared" si="1044"/>
        <v>16520.094745597391</v>
      </c>
      <c r="L1110" s="25"/>
      <c r="N1110" s="25">
        <f>'Combined Retirement'!$C$18/12</f>
        <v>33932.660666666663</v>
      </c>
      <c r="O1110" s="25">
        <f t="shared" si="1045"/>
        <v>11007.82546143035</v>
      </c>
      <c r="P1110" s="25">
        <f t="shared" si="1046"/>
        <v>22924.835205236312</v>
      </c>
      <c r="Q1110" s="25">
        <f t="array" aca="1" ref="Q1110" ca="1">INDEX('Isaac 401k'!L:L,MATCH('Retirement Calculator'!A1110,'Isaac 401k'!N:N,0),0)</f>
        <v>39203984.687415689</v>
      </c>
      <c r="R1110" s="25">
        <f t="array" aca="1" ref="R1110" ca="1">INDEX('Lorri 401b'!L:L,MATCH('Retirement Calculator'!A1110,'Lorri 401b'!N:N,0),0)</f>
        <v>25120343.740078621</v>
      </c>
      <c r="S1110" s="25">
        <f t="shared" ca="1" si="1047"/>
        <v>64324328.42749431</v>
      </c>
    </row>
    <row r="1111" spans="1:19" ht="15.75" customHeight="1" x14ac:dyDescent="0.3">
      <c r="A1111" s="37">
        <v>84769</v>
      </c>
      <c r="B1111" s="409">
        <f t="shared" ref="B1111:C1111" si="1127">($A1111-B$9)/365.25</f>
        <v>150.20670773442848</v>
      </c>
      <c r="C1111" s="409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3525.4531757812501</v>
      </c>
      <c r="H1111" s="25">
        <f>IF(B1111&lt;62,0,'Combined Retirement'!$I$14)</f>
        <v>2192</v>
      </c>
      <c r="I1111" s="25">
        <f>IF(C1111&lt;62,0,'Combined Retirement'!$I$13)</f>
        <v>2420</v>
      </c>
      <c r="J1111" s="25">
        <f t="shared" si="1043"/>
        <v>6404.7404596389215</v>
      </c>
      <c r="K1111" s="25">
        <f t="shared" si="1044"/>
        <v>16520.094745597391</v>
      </c>
      <c r="L1111" s="25"/>
      <c r="N1111" s="25">
        <f>'Combined Retirement'!$C$18/12</f>
        <v>33932.660666666663</v>
      </c>
      <c r="O1111" s="25">
        <f t="shared" si="1045"/>
        <v>11007.82546143035</v>
      </c>
      <c r="P1111" s="25">
        <f t="shared" si="1046"/>
        <v>22924.835205236312</v>
      </c>
      <c r="Q1111" s="25">
        <f t="array" aca="1" ref="Q1111" ca="1">INDEX('Isaac 401k'!L:L,MATCH('Retirement Calculator'!A1111,'Isaac 401k'!N:N,0),0)</f>
        <v>39360903.196735039</v>
      </c>
      <c r="R1111" s="25">
        <f t="array" aca="1" ref="R1111" ca="1">INDEX('Lorri 401b'!L:L,MATCH('Retirement Calculator'!A1111,'Lorri 401b'!N:N,0),0)</f>
        <v>25208422.91052191</v>
      </c>
      <c r="S1111" s="25">
        <f t="shared" ca="1" si="1047"/>
        <v>64569326.107256949</v>
      </c>
    </row>
    <row r="1112" spans="1:19" ht="15.75" customHeight="1" x14ac:dyDescent="0.3">
      <c r="A1112" s="37">
        <v>84798</v>
      </c>
      <c r="B1112" s="409">
        <f t="shared" ref="B1112:C1112" si="1128">($A1112-B$9)/365.25</f>
        <v>150.28610540725529</v>
      </c>
      <c r="C1112" s="409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3525.4531757812501</v>
      </c>
      <c r="H1112" s="25">
        <f>IF(B1112&lt;62,0,'Combined Retirement'!$I$14)</f>
        <v>2192</v>
      </c>
      <c r="I1112" s="25">
        <f>IF(C1112&lt;62,0,'Combined Retirement'!$I$13)</f>
        <v>2420</v>
      </c>
      <c r="J1112" s="25">
        <f t="shared" si="1043"/>
        <v>6404.7404596389215</v>
      </c>
      <c r="K1112" s="25">
        <f t="shared" si="1044"/>
        <v>16520.094745597391</v>
      </c>
      <c r="L1112" s="25"/>
      <c r="N1112" s="25">
        <f>'Combined Retirement'!$C$18/12</f>
        <v>33932.660666666663</v>
      </c>
      <c r="O1112" s="25">
        <f t="shared" si="1045"/>
        <v>11007.82546143035</v>
      </c>
      <c r="P1112" s="25">
        <f t="shared" si="1046"/>
        <v>22924.835205236312</v>
      </c>
      <c r="Q1112" s="25">
        <f t="array" aca="1" ref="Q1112" ca="1">INDEX('Isaac 401k'!L:L,MATCH('Retirement Calculator'!A1112,'Isaac 401k'!N:N,0),0)</f>
        <v>39518475.533176549</v>
      </c>
      <c r="R1112" s="25">
        <f t="array" aca="1" ref="R1112" ca="1">INDEX('Lorri 401b'!L:L,MATCH('Retirement Calculator'!A1112,'Lorri 401b'!N:N,0),0)</f>
        <v>25296869.07750871</v>
      </c>
      <c r="S1112" s="25">
        <f t="shared" ca="1" si="1047"/>
        <v>64815344.610685259</v>
      </c>
    </row>
    <row r="1113" spans="1:19" ht="15.75" customHeight="1" x14ac:dyDescent="0.3">
      <c r="A1113" s="37">
        <v>84829</v>
      </c>
      <c r="B1113" s="409">
        <f t="shared" ref="B1113:C1113" si="1129">($A1113-B$9)/365.25</f>
        <v>150.37097878165639</v>
      </c>
      <c r="C1113" s="409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3525.4531757812501</v>
      </c>
      <c r="H1113" s="25">
        <f>IF(B1113&lt;62,0,'Combined Retirement'!$I$14)</f>
        <v>2192</v>
      </c>
      <c r="I1113" s="25">
        <f>IF(C1113&lt;62,0,'Combined Retirement'!$I$13)</f>
        <v>2420</v>
      </c>
      <c r="J1113" s="25">
        <f t="shared" si="1043"/>
        <v>6404.7404596389215</v>
      </c>
      <c r="K1113" s="25">
        <f t="shared" si="1044"/>
        <v>16520.094745597391</v>
      </c>
      <c r="L1113" s="25"/>
      <c r="N1113" s="25">
        <f>'Combined Retirement'!$C$18/12</f>
        <v>33932.660666666663</v>
      </c>
      <c r="O1113" s="25">
        <f t="shared" si="1045"/>
        <v>11007.82546143035</v>
      </c>
      <c r="P1113" s="25">
        <f t="shared" si="1046"/>
        <v>22924.835205236312</v>
      </c>
      <c r="Q1113" s="25">
        <f t="array" aca="1" ref="Q1113" ca="1">INDEX('Isaac 401k'!L:L,MATCH('Retirement Calculator'!A1113,'Isaac 401k'!N:N,0),0)</f>
        <v>39676704.421019897</v>
      </c>
      <c r="R1113" s="25">
        <f t="array" aca="1" ref="R1113" ca="1">INDEX('Lorri 401b'!L:L,MATCH('Retirement Calculator'!A1113,'Lorri 401b'!N:N,0),0)</f>
        <v>25385683.770191289</v>
      </c>
      <c r="S1113" s="25">
        <f t="shared" ca="1" si="1047"/>
        <v>65062388.191211186</v>
      </c>
    </row>
    <row r="1114" spans="1:19" ht="15.75" customHeight="1" x14ac:dyDescent="0.3">
      <c r="A1114" s="37">
        <v>84859</v>
      </c>
      <c r="B1114" s="409">
        <f t="shared" ref="B1114:C1114" si="1130">($A1114-B$9)/365.25</f>
        <v>150.45311430527036</v>
      </c>
      <c r="C1114" s="409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3525.4531757812501</v>
      </c>
      <c r="H1114" s="25">
        <f>IF(B1114&lt;62,0,'Combined Retirement'!$I$14)</f>
        <v>2192</v>
      </c>
      <c r="I1114" s="25">
        <f>IF(C1114&lt;62,0,'Combined Retirement'!$I$13)</f>
        <v>2420</v>
      </c>
      <c r="J1114" s="25">
        <f t="shared" si="1043"/>
        <v>6404.7404596389215</v>
      </c>
      <c r="K1114" s="25">
        <f t="shared" si="1044"/>
        <v>16520.094745597391</v>
      </c>
      <c r="L1114" s="25"/>
      <c r="N1114" s="25">
        <f>'Combined Retirement'!$C$18/12</f>
        <v>33932.660666666663</v>
      </c>
      <c r="O1114" s="25">
        <f t="shared" si="1045"/>
        <v>11007.82546143035</v>
      </c>
      <c r="P1114" s="25">
        <f t="shared" si="1046"/>
        <v>22924.835205236312</v>
      </c>
      <c r="Q1114" s="25">
        <f t="array" aca="1" ref="Q1114" ca="1">INDEX('Isaac 401k'!L:L,MATCH('Retirement Calculator'!A1114,'Isaac 401k'!N:N,0),0)</f>
        <v>39835592.595895931</v>
      </c>
      <c r="R1114" s="25">
        <f t="array" aca="1" ref="R1114" ca="1">INDEX('Lorri 401b'!L:L,MATCH('Retirement Calculator'!A1114,'Lorri 401b'!N:N,0),0)</f>
        <v>25474868.524093382</v>
      </c>
      <c r="S1114" s="25">
        <f t="shared" ca="1" si="1047"/>
        <v>65310461.119989313</v>
      </c>
    </row>
    <row r="1115" spans="1:19" ht="15.75" customHeight="1" x14ac:dyDescent="0.3">
      <c r="A1115" s="37">
        <v>84890</v>
      </c>
      <c r="B1115" s="409">
        <f t="shared" ref="B1115:C1115" si="1131">($A1115-B$9)/365.25</f>
        <v>150.53798767967146</v>
      </c>
      <c r="C1115" s="409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3525.4531757812501</v>
      </c>
      <c r="H1115" s="25">
        <f>IF(B1115&lt;62,0,'Combined Retirement'!$I$14)</f>
        <v>2192</v>
      </c>
      <c r="I1115" s="25">
        <f>IF(C1115&lt;62,0,'Combined Retirement'!$I$13)</f>
        <v>2420</v>
      </c>
      <c r="J1115" s="25">
        <f t="shared" si="1043"/>
        <v>6404.7404596389215</v>
      </c>
      <c r="K1115" s="25">
        <f t="shared" si="1044"/>
        <v>16520.094745597391</v>
      </c>
      <c r="L1115" s="25"/>
      <c r="N1115" s="25">
        <f>'Combined Retirement'!$C$18/12</f>
        <v>33932.660666666663</v>
      </c>
      <c r="O1115" s="25">
        <f t="shared" si="1045"/>
        <v>11007.82546143035</v>
      </c>
      <c r="P1115" s="25">
        <f t="shared" si="1046"/>
        <v>22924.835205236312</v>
      </c>
      <c r="Q1115" s="25">
        <f t="array" aca="1" ref="Q1115" ca="1">INDEX('Isaac 401k'!L:L,MATCH('Retirement Calculator'!A1115,'Isaac 401k'!N:N,0),0)</f>
        <v>39995142.804833949</v>
      </c>
      <c r="R1115" s="25">
        <f t="array" aca="1" ref="R1115" ca="1">INDEX('Lorri 401b'!L:L,MATCH('Retirement Calculator'!A1115,'Lorri 401b'!N:N,0),0)</f>
        <v>25564424.881136734</v>
      </c>
      <c r="S1115" s="25">
        <f t="shared" ca="1" si="1047"/>
        <v>65559567.685970679</v>
      </c>
    </row>
    <row r="1116" spans="1:19" ht="15.75" customHeight="1" x14ac:dyDescent="0.3">
      <c r="A1116" s="37">
        <v>84920</v>
      </c>
      <c r="B1116" s="409">
        <f t="shared" ref="B1116:C1116" si="1132">($A1116-B$9)/365.25</f>
        <v>150.62012320328543</v>
      </c>
      <c r="C1116" s="409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3525.4531757812501</v>
      </c>
      <c r="H1116" s="25">
        <f>IF(B1116&lt;62,0,'Combined Retirement'!$I$14)</f>
        <v>2192</v>
      </c>
      <c r="I1116" s="25">
        <f>IF(C1116&lt;62,0,'Combined Retirement'!$I$13)</f>
        <v>2420</v>
      </c>
      <c r="J1116" s="25">
        <f t="shared" si="1043"/>
        <v>6404.7404596389215</v>
      </c>
      <c r="K1116" s="25">
        <f t="shared" si="1044"/>
        <v>16520.094745597391</v>
      </c>
      <c r="L1116" s="25"/>
      <c r="N1116" s="25">
        <f>'Combined Retirement'!$C$18/12</f>
        <v>33932.660666666663</v>
      </c>
      <c r="O1116" s="25">
        <f t="shared" si="1045"/>
        <v>11007.82546143035</v>
      </c>
      <c r="P1116" s="25">
        <f t="shared" si="1046"/>
        <v>22924.835205236312</v>
      </c>
      <c r="Q1116" s="25">
        <f t="array" aca="1" ref="Q1116" ca="1">INDEX('Isaac 401k'!L:L,MATCH('Retirement Calculator'!A1116,'Isaac 401k'!N:N,0),0)</f>
        <v>40155357.806309208</v>
      </c>
      <c r="R1116" s="25">
        <f t="array" aca="1" ref="R1116" ca="1">INDEX('Lorri 401b'!L:L,MATCH('Retirement Calculator'!A1116,'Lorri 401b'!N:N,0),0)</f>
        <v>25654354.389667764</v>
      </c>
      <c r="S1116" s="25">
        <f t="shared" ca="1" si="1047"/>
        <v>65809712.195976973</v>
      </c>
    </row>
    <row r="1117" spans="1:19" ht="15.75" customHeight="1" x14ac:dyDescent="0.3">
      <c r="A1117" s="37">
        <v>84951</v>
      </c>
      <c r="B1117" s="409">
        <f t="shared" ref="B1117:C1117" si="1133">($A1117-B$9)/365.25</f>
        <v>150.70499657768653</v>
      </c>
      <c r="C1117" s="409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3525.4531757812501</v>
      </c>
      <c r="H1117" s="25">
        <f>IF(B1117&lt;62,0,'Combined Retirement'!$I$14)</f>
        <v>2192</v>
      </c>
      <c r="I1117" s="25">
        <f>IF(C1117&lt;62,0,'Combined Retirement'!$I$13)</f>
        <v>2420</v>
      </c>
      <c r="J1117" s="25">
        <f t="shared" si="1043"/>
        <v>6404.7404596389215</v>
      </c>
      <c r="K1117" s="25">
        <f t="shared" si="1044"/>
        <v>16520.094745597391</v>
      </c>
      <c r="L1117" s="25"/>
      <c r="N1117" s="25">
        <f>'Combined Retirement'!$C$18/12</f>
        <v>33932.660666666663</v>
      </c>
      <c r="O1117" s="25">
        <f t="shared" si="1045"/>
        <v>11007.82546143035</v>
      </c>
      <c r="P1117" s="25">
        <f t="shared" si="1046"/>
        <v>22924.835205236312</v>
      </c>
      <c r="Q1117" s="25">
        <f t="array" aca="1" ref="Q1117" ca="1">INDEX('Isaac 401k'!L:L,MATCH('Retirement Calculator'!A1117,'Isaac 401k'!N:N,0),0)</f>
        <v>40316240.370290615</v>
      </c>
      <c r="R1117" s="25">
        <f t="array" aca="1" ref="R1117" ca="1">INDEX('Lorri 401b'!L:L,MATCH('Retirement Calculator'!A1117,'Lorri 401b'!N:N,0),0)</f>
        <v>25744658.604484342</v>
      </c>
      <c r="S1117" s="25">
        <f t="shared" ca="1" si="1047"/>
        <v>66060898.974774957</v>
      </c>
    </row>
    <row r="1118" spans="1:19" ht="15.75" customHeight="1" x14ac:dyDescent="0.3">
      <c r="A1118" s="37">
        <v>84982</v>
      </c>
      <c r="B1118" s="409">
        <f t="shared" ref="B1118:C1118" si="1134">($A1118-B$9)/365.25</f>
        <v>150.7898699520876</v>
      </c>
      <c r="C1118" s="409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3525.4531757812501</v>
      </c>
      <c r="H1118" s="25">
        <f>IF(B1118&lt;62,0,'Combined Retirement'!$I$14)</f>
        <v>2192</v>
      </c>
      <c r="I1118" s="25">
        <f>IF(C1118&lt;62,0,'Combined Retirement'!$I$13)</f>
        <v>2420</v>
      </c>
      <c r="J1118" s="25">
        <f t="shared" si="1043"/>
        <v>6404.7404596389215</v>
      </c>
      <c r="K1118" s="25">
        <f t="shared" si="1044"/>
        <v>16520.094745597391</v>
      </c>
      <c r="L1118" s="25"/>
      <c r="N1118" s="25">
        <f>'Combined Retirement'!$C$18/12</f>
        <v>33932.660666666663</v>
      </c>
      <c r="O1118" s="25">
        <f t="shared" si="1045"/>
        <v>11007.82546143035</v>
      </c>
      <c r="P1118" s="25">
        <f t="shared" si="1046"/>
        <v>22924.835205236312</v>
      </c>
      <c r="Q1118" s="25">
        <f t="array" aca="1" ref="Q1118" ca="1">INDEX('Isaac 401k'!L:L,MATCH('Retirement Calculator'!A1118,'Isaac 401k'!N:N,0),0)</f>
        <v>40477793.27828861</v>
      </c>
      <c r="R1118" s="25">
        <f t="array" aca="1" ref="R1118" ca="1">INDEX('Lorri 401b'!L:L,MATCH('Retirement Calculator'!A1118,'Lorri 401b'!N:N,0),0)</f>
        <v>25835339.086862653</v>
      </c>
      <c r="S1118" s="25">
        <f t="shared" ca="1" si="1047"/>
        <v>66313132.365151264</v>
      </c>
    </row>
    <row r="1119" spans="1:19" ht="15.75" customHeight="1" x14ac:dyDescent="0.3">
      <c r="A1119" s="37">
        <v>85012</v>
      </c>
      <c r="B1119" s="409">
        <f t="shared" ref="B1119:C1119" si="1135">($A1119-B$9)/365.25</f>
        <v>150.87200547570157</v>
      </c>
      <c r="C1119" s="409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3525.4531757812501</v>
      </c>
      <c r="H1119" s="25">
        <f>IF(B1119&lt;62,0,'Combined Retirement'!$I$14)</f>
        <v>2192</v>
      </c>
      <c r="I1119" s="25">
        <f>IF(C1119&lt;62,0,'Combined Retirement'!$I$13)</f>
        <v>2420</v>
      </c>
      <c r="J1119" s="25">
        <f t="shared" si="1043"/>
        <v>6404.7404596389215</v>
      </c>
      <c r="K1119" s="25">
        <f t="shared" si="1044"/>
        <v>16520.094745597391</v>
      </c>
      <c r="L1119" s="25"/>
      <c r="N1119" s="25">
        <f>'Combined Retirement'!$C$18/12</f>
        <v>33932.660666666663</v>
      </c>
      <c r="O1119" s="25">
        <f t="shared" si="1045"/>
        <v>11007.82546143035</v>
      </c>
      <c r="P1119" s="25">
        <f t="shared" si="1046"/>
        <v>22924.835205236312</v>
      </c>
      <c r="Q1119" s="25">
        <f t="array" aca="1" ref="Q1119" ca="1">INDEX('Isaac 401k'!L:L,MATCH('Retirement Calculator'!A1119,'Isaac 401k'!N:N,0),0)</f>
        <v>40640019.323403262</v>
      </c>
      <c r="R1119" s="25">
        <f t="array" aca="1" ref="R1119" ca="1">INDEX('Lorri 401b'!L:L,MATCH('Retirement Calculator'!A1119,'Lorri 401b'!N:N,0),0)</f>
        <v>25926397.40458421</v>
      </c>
      <c r="S1119" s="25">
        <f t="shared" ca="1" si="1047"/>
        <v>66566416.727987468</v>
      </c>
    </row>
    <row r="1120" spans="1:19" ht="15.75" customHeight="1" x14ac:dyDescent="0.3">
      <c r="A1120" s="37">
        <v>85043</v>
      </c>
      <c r="B1120" s="409">
        <f t="shared" ref="B1120:C1120" si="1136">($A1120-B$9)/365.25</f>
        <v>150.95687885010267</v>
      </c>
      <c r="C1120" s="409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3525.4531757812501</v>
      </c>
      <c r="H1120" s="25">
        <f>IF(B1120&lt;62,0,'Combined Retirement'!$I$14)</f>
        <v>2192</v>
      </c>
      <c r="I1120" s="25">
        <f>IF(C1120&lt;62,0,'Combined Retirement'!$I$13)</f>
        <v>2420</v>
      </c>
      <c r="J1120" s="25">
        <f t="shared" si="1043"/>
        <v>6404.7404596389215</v>
      </c>
      <c r="K1120" s="25">
        <f t="shared" si="1044"/>
        <v>16520.094745597391</v>
      </c>
      <c r="L1120" s="25"/>
      <c r="N1120" s="25">
        <f>'Combined Retirement'!$C$18/12</f>
        <v>33932.660666666663</v>
      </c>
      <c r="O1120" s="25">
        <f t="shared" si="1045"/>
        <v>11007.82546143035</v>
      </c>
      <c r="P1120" s="25">
        <f t="shared" si="1046"/>
        <v>22924.835205236312</v>
      </c>
      <c r="Q1120" s="25">
        <f t="array" aca="1" ref="Q1120" ca="1">INDEX('Isaac 401k'!L:L,MATCH('Retirement Calculator'!A1120,'Isaac 401k'!N:N,0),0)</f>
        <v>40802921.310372561</v>
      </c>
      <c r="R1120" s="25">
        <f t="array" aca="1" ref="R1120" ca="1">INDEX('Lorri 401b'!L:L,MATCH('Retirement Calculator'!A1120,'Lorri 401b'!N:N,0),0)</f>
        <v>26017835.13196294</v>
      </c>
      <c r="S1120" s="25">
        <f t="shared" ca="1" si="1047"/>
        <v>66820756.442335501</v>
      </c>
    </row>
    <row r="1121" spans="1:19" ht="15.75" customHeight="1" x14ac:dyDescent="0.3">
      <c r="A1121" s="37">
        <v>85073</v>
      </c>
      <c r="B1121" s="409">
        <f t="shared" ref="B1121:C1121" si="1137">($A1121-B$9)/365.25</f>
        <v>151.03901437371664</v>
      </c>
      <c r="C1121" s="409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3525.4531757812501</v>
      </c>
      <c r="H1121" s="25">
        <f>IF(B1121&lt;62,0,'Combined Retirement'!$I$14)</f>
        <v>2192</v>
      </c>
      <c r="I1121" s="25">
        <f>IF(C1121&lt;62,0,'Combined Retirement'!$I$13)</f>
        <v>2420</v>
      </c>
      <c r="J1121" s="25">
        <f t="shared" si="1043"/>
        <v>6404.7404596389215</v>
      </c>
      <c r="K1121" s="25">
        <f t="shared" si="1044"/>
        <v>16520.094745597391</v>
      </c>
      <c r="L1121" s="25"/>
      <c r="N1121" s="25">
        <f>'Combined Retirement'!$C$18/12</f>
        <v>33932.660666666663</v>
      </c>
      <c r="O1121" s="25">
        <f t="shared" si="1045"/>
        <v>11007.82546143035</v>
      </c>
      <c r="P1121" s="25">
        <f t="shared" si="1046"/>
        <v>22924.835205236312</v>
      </c>
      <c r="Q1121" s="25">
        <f t="array" aca="1" ref="Q1121" ca="1">INDEX('Isaac 401k'!L:L,MATCH('Retirement Calculator'!A1121,'Isaac 401k'!N:N,0),0)</f>
        <v>40966502.055620894</v>
      </c>
      <c r="R1121" s="25">
        <f t="array" aca="1" ref="R1121" ca="1">INDEX('Lorri 401b'!L:L,MATCH('Retirement Calculator'!A1121,'Lorri 401b'!N:N,0),0)</f>
        <v>26109653.849872414</v>
      </c>
      <c r="S1121" s="25">
        <f t="shared" ca="1" si="1047"/>
        <v>67076155.905493304</v>
      </c>
    </row>
    <row r="1122" spans="1:19" ht="15.75" customHeight="1" x14ac:dyDescent="0.3">
      <c r="A1122" s="37">
        <v>85104</v>
      </c>
      <c r="B1122" s="409">
        <f t="shared" ref="B1122:C1122" si="1138">($A1122-B$9)/365.25</f>
        <v>151.12388774811774</v>
      </c>
      <c r="C1122" s="409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3525.4531757812501</v>
      </c>
      <c r="H1122" s="25">
        <f>IF(B1122&lt;62,0,'Combined Retirement'!$I$14)</f>
        <v>2192</v>
      </c>
      <c r="I1122" s="25">
        <f>IF(C1122&lt;62,0,'Combined Retirement'!$I$13)</f>
        <v>2420</v>
      </c>
      <c r="J1122" s="25">
        <f t="shared" si="1043"/>
        <v>6404.7404596389215</v>
      </c>
      <c r="K1122" s="25">
        <f t="shared" si="1044"/>
        <v>16520.094745597391</v>
      </c>
      <c r="L1122" s="25"/>
      <c r="N1122" s="25">
        <f>'Combined Retirement'!$C$18/12</f>
        <v>33932.660666666663</v>
      </c>
      <c r="O1122" s="25">
        <f t="shared" si="1045"/>
        <v>11007.82546143035</v>
      </c>
      <c r="P1122" s="25">
        <f t="shared" si="1046"/>
        <v>22924.835205236312</v>
      </c>
      <c r="Q1122" s="25">
        <f t="array" aca="1" ref="Q1122" ca="1">INDEX('Isaac 401k'!L:L,MATCH('Retirement Calculator'!A1122,'Isaac 401k'!N:N,0),0)</f>
        <v>41130764.387307763</v>
      </c>
      <c r="R1122" s="25">
        <f t="array" aca="1" ref="R1122" ca="1">INDEX('Lorri 401b'!L:L,MATCH('Retirement Calculator'!A1122,'Lorri 401b'!N:N,0),0)</f>
        <v>26201855.145773176</v>
      </c>
      <c r="S1122" s="25">
        <f t="shared" ca="1" si="1047"/>
        <v>67332619.533080935</v>
      </c>
    </row>
    <row r="1123" spans="1:19" ht="15.75" customHeight="1" x14ac:dyDescent="0.3">
      <c r="A1123" s="37">
        <v>85135</v>
      </c>
      <c r="B1123" s="409">
        <f t="shared" ref="B1123:C1123" si="1139">($A1123-B$9)/365.25</f>
        <v>151.20876112251884</v>
      </c>
      <c r="C1123" s="409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3525.4531757812501</v>
      </c>
      <c r="H1123" s="25">
        <f>IF(B1123&lt;62,0,'Combined Retirement'!$I$14)</f>
        <v>2192</v>
      </c>
      <c r="I1123" s="25">
        <f>IF(C1123&lt;62,0,'Combined Retirement'!$I$13)</f>
        <v>2420</v>
      </c>
      <c r="J1123" s="25">
        <f t="shared" si="1043"/>
        <v>6404.7404596389215</v>
      </c>
      <c r="K1123" s="25">
        <f t="shared" si="1044"/>
        <v>16520.094745597391</v>
      </c>
      <c r="L1123" s="25"/>
      <c r="N1123" s="25">
        <f>'Combined Retirement'!$C$18/12</f>
        <v>33932.660666666663</v>
      </c>
      <c r="O1123" s="25">
        <f t="shared" si="1045"/>
        <v>11007.82546143035</v>
      </c>
      <c r="P1123" s="25">
        <f t="shared" si="1046"/>
        <v>22924.835205236312</v>
      </c>
      <c r="Q1123" s="25">
        <f t="array" aca="1" ref="Q1123" ca="1">INDEX('Isaac 401k'!L:L,MATCH('Retirement Calculator'!A1123,'Isaac 401k'!N:N,0),0)</f>
        <v>41295711.14537666</v>
      </c>
      <c r="R1123" s="25">
        <f t="array" aca="1" ref="R1123" ca="1">INDEX('Lorri 401b'!L:L,MATCH('Retirement Calculator'!A1123,'Lorri 401b'!N:N,0),0)</f>
        <v>26294440.613740191</v>
      </c>
      <c r="S1123" s="25">
        <f t="shared" ca="1" si="1047"/>
        <v>67590151.759116858</v>
      </c>
    </row>
    <row r="1124" spans="1:19" ht="15.75" customHeight="1" x14ac:dyDescent="0.3">
      <c r="A1124" s="37">
        <v>85163</v>
      </c>
      <c r="B1124" s="409">
        <f t="shared" ref="B1124:C1124" si="1140">($A1124-B$9)/365.25</f>
        <v>151.28542094455852</v>
      </c>
      <c r="C1124" s="409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3525.4531757812501</v>
      </c>
      <c r="H1124" s="25">
        <f>IF(B1124&lt;62,0,'Combined Retirement'!$I$14)</f>
        <v>2192</v>
      </c>
      <c r="I1124" s="25">
        <f>IF(C1124&lt;62,0,'Combined Retirement'!$I$13)</f>
        <v>2420</v>
      </c>
      <c r="J1124" s="25">
        <f t="shared" si="1043"/>
        <v>6404.7404596389215</v>
      </c>
      <c r="K1124" s="25">
        <f t="shared" si="1044"/>
        <v>16520.094745597391</v>
      </c>
      <c r="L1124" s="25"/>
      <c r="N1124" s="25">
        <f>'Combined Retirement'!$C$18/12</f>
        <v>33932.660666666663</v>
      </c>
      <c r="O1124" s="25">
        <f t="shared" si="1045"/>
        <v>11007.82546143035</v>
      </c>
      <c r="P1124" s="25">
        <f t="shared" si="1046"/>
        <v>22924.835205236312</v>
      </c>
      <c r="Q1124" s="25">
        <f t="array" aca="1" ref="Q1124" ca="1">INDEX('Isaac 401k'!L:L,MATCH('Retirement Calculator'!A1124,'Isaac 401k'!N:N,0),0)</f>
        <v>41461345.181604177</v>
      </c>
      <c r="R1124" s="25">
        <f t="array" aca="1" ref="R1124" ca="1">INDEX('Lorri 401b'!L:L,MATCH('Retirement Calculator'!A1124,'Lorri 401b'!N:N,0),0)</f>
        <v>26387411.854490403</v>
      </c>
      <c r="S1124" s="25">
        <f t="shared" ca="1" si="1047"/>
        <v>67848757.036094576</v>
      </c>
    </row>
    <row r="1125" spans="1:19" ht="15.75" customHeight="1" x14ac:dyDescent="0.3">
      <c r="A1125" s="37">
        <v>85194</v>
      </c>
      <c r="B1125" s="409">
        <f t="shared" ref="B1125:C1125" si="1141">($A1125-B$9)/365.25</f>
        <v>151.37029431895962</v>
      </c>
      <c r="C1125" s="409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3525.4531757812501</v>
      </c>
      <c r="H1125" s="25">
        <f>IF(B1125&lt;62,0,'Combined Retirement'!$I$14)</f>
        <v>2192</v>
      </c>
      <c r="I1125" s="25">
        <f>IF(C1125&lt;62,0,'Combined Retirement'!$I$13)</f>
        <v>2420</v>
      </c>
      <c r="J1125" s="25">
        <f t="shared" si="1043"/>
        <v>6404.7404596389215</v>
      </c>
      <c r="K1125" s="25">
        <f t="shared" si="1044"/>
        <v>16520.094745597391</v>
      </c>
      <c r="L1125" s="25"/>
      <c r="N1125" s="25">
        <f>'Combined Retirement'!$C$18/12</f>
        <v>33932.660666666663</v>
      </c>
      <c r="O1125" s="25">
        <f t="shared" si="1045"/>
        <v>11007.82546143035</v>
      </c>
      <c r="P1125" s="25">
        <f t="shared" si="1046"/>
        <v>22924.835205236312</v>
      </c>
      <c r="Q1125" s="25">
        <f t="array" aca="1" ref="Q1125" ca="1">INDEX('Isaac 401k'!L:L,MATCH('Retirement Calculator'!A1125,'Isaac 401k'!N:N,0),0)</f>
        <v>41627669.359649308</v>
      </c>
      <c r="R1125" s="25">
        <f t="array" aca="1" ref="R1125" ca="1">INDEX('Lorri 401b'!L:L,MATCH('Retirement Calculator'!A1125,'Lorri 401b'!N:N,0),0)</f>
        <v>26480770.475410409</v>
      </c>
      <c r="S1125" s="25">
        <f t="shared" ca="1" si="1047"/>
        <v>68108439.835059717</v>
      </c>
    </row>
    <row r="1126" spans="1:19" ht="15.75" customHeight="1" x14ac:dyDescent="0.3">
      <c r="A1126" s="37">
        <v>85224</v>
      </c>
      <c r="B1126" s="409">
        <f t="shared" ref="B1126:C1126" si="1142">($A1126-B$9)/365.25</f>
        <v>151.45242984257359</v>
      </c>
      <c r="C1126" s="409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3525.4531757812501</v>
      </c>
      <c r="H1126" s="25">
        <f>IF(B1126&lt;62,0,'Combined Retirement'!$I$14)</f>
        <v>2192</v>
      </c>
      <c r="I1126" s="25">
        <f>IF(C1126&lt;62,0,'Combined Retirement'!$I$13)</f>
        <v>2420</v>
      </c>
      <c r="J1126" s="25">
        <f t="shared" si="1043"/>
        <v>6404.7404596389215</v>
      </c>
      <c r="K1126" s="25">
        <f t="shared" si="1044"/>
        <v>16520.094745597391</v>
      </c>
      <c r="L1126" s="25"/>
      <c r="N1126" s="25">
        <f>'Combined Retirement'!$C$18/12</f>
        <v>33932.660666666663</v>
      </c>
      <c r="O1126" s="25">
        <f t="shared" si="1045"/>
        <v>11007.82546143035</v>
      </c>
      <c r="P1126" s="25">
        <f t="shared" si="1046"/>
        <v>22924.835205236312</v>
      </c>
      <c r="Q1126" s="25">
        <f t="array" aca="1" ref="Q1126" ca="1">INDEX('Isaac 401k'!L:L,MATCH('Retirement Calculator'!A1126,'Isaac 401k'!N:N,0),0)</f>
        <v>41794686.555102959</v>
      </c>
      <c r="R1126" s="25">
        <f t="array" aca="1" ref="R1126" ca="1">INDEX('Lorri 401b'!L:L,MATCH('Retirement Calculator'!A1126,'Lorri 401b'!N:N,0),0)</f>
        <v>26574518.090584248</v>
      </c>
      <c r="S1126" s="25">
        <f t="shared" ca="1" si="1047"/>
        <v>68369204.645687208</v>
      </c>
    </row>
    <row r="1127" spans="1:19" ht="15.75" customHeight="1" x14ac:dyDescent="0.3">
      <c r="A1127" s="37">
        <v>85255</v>
      </c>
      <c r="B1127" s="409">
        <f t="shared" ref="B1127:C1127" si="1143">($A1127-B$9)/365.25</f>
        <v>151.53730321697466</v>
      </c>
      <c r="C1127" s="409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3525.4531757812501</v>
      </c>
      <c r="H1127" s="25">
        <f>IF(B1127&lt;62,0,'Combined Retirement'!$I$14)</f>
        <v>2192</v>
      </c>
      <c r="I1127" s="25">
        <f>IF(C1127&lt;62,0,'Combined Retirement'!$I$13)</f>
        <v>2420</v>
      </c>
      <c r="J1127" s="25">
        <f t="shared" si="1043"/>
        <v>6404.7404596389215</v>
      </c>
      <c r="K1127" s="25">
        <f t="shared" si="1044"/>
        <v>16520.094745597391</v>
      </c>
      <c r="L1127" s="25"/>
      <c r="N1127" s="25">
        <f>'Combined Retirement'!$C$18/12</f>
        <v>33932.660666666663</v>
      </c>
      <c r="O1127" s="25">
        <f t="shared" si="1045"/>
        <v>11007.82546143035</v>
      </c>
      <c r="P1127" s="25">
        <f t="shared" si="1046"/>
        <v>22924.835205236312</v>
      </c>
      <c r="Q1127" s="25">
        <f t="array" aca="1" ref="Q1127" ca="1">INDEX('Isaac 401k'!L:L,MATCH('Retirement Calculator'!A1127,'Isaac 401k'!N:N,0),0)</f>
        <v>41962399.655537672</v>
      </c>
      <c r="R1127" s="25">
        <f t="array" aca="1" ref="R1127" ca="1">INDEX('Lorri 401b'!L:L,MATCH('Retirement Calculator'!A1127,'Lorri 401b'!N:N,0),0)</f>
        <v>26668656.320821311</v>
      </c>
      <c r="S1127" s="25">
        <f t="shared" ca="1" si="1047"/>
        <v>68631055.97635898</v>
      </c>
    </row>
    <row r="1128" spans="1:19" ht="15.75" customHeight="1" x14ac:dyDescent="0.3">
      <c r="A1128" s="37">
        <v>85285</v>
      </c>
      <c r="B1128" s="409">
        <f t="shared" ref="B1128:C1128" si="1144">($A1128-B$9)/365.25</f>
        <v>151.61943874058863</v>
      </c>
      <c r="C1128" s="409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3525.4531757812501</v>
      </c>
      <c r="H1128" s="25">
        <f>IF(B1128&lt;62,0,'Combined Retirement'!$I$14)</f>
        <v>2192</v>
      </c>
      <c r="I1128" s="25">
        <f>IF(C1128&lt;62,0,'Combined Retirement'!$I$13)</f>
        <v>2420</v>
      </c>
      <c r="J1128" s="25">
        <f t="shared" si="1043"/>
        <v>6404.7404596389215</v>
      </c>
      <c r="K1128" s="25">
        <f t="shared" si="1044"/>
        <v>16520.094745597391</v>
      </c>
      <c r="L1128" s="25"/>
      <c r="N1128" s="25">
        <f>'Combined Retirement'!$C$18/12</f>
        <v>33932.660666666663</v>
      </c>
      <c r="O1128" s="25">
        <f t="shared" si="1045"/>
        <v>11007.82546143035</v>
      </c>
      <c r="P1128" s="25">
        <f t="shared" si="1046"/>
        <v>22924.835205236312</v>
      </c>
      <c r="Q1128" s="25">
        <f t="array" aca="1" ref="Q1128" ca="1">INDEX('Isaac 401k'!L:L,MATCH('Retirement Calculator'!A1128,'Isaac 401k'!N:N,0),0)</f>
        <v>42130811.560557529</v>
      </c>
      <c r="R1128" s="25">
        <f t="array" aca="1" ref="R1128" ca="1">INDEX('Lorri 401b'!L:L,MATCH('Retirement Calculator'!A1128,'Lorri 401b'!N:N,0),0)</f>
        <v>26763186.79368436</v>
      </c>
      <c r="S1128" s="25">
        <f t="shared" ca="1" si="1047"/>
        <v>68893998.354241893</v>
      </c>
    </row>
    <row r="1129" spans="1:19" ht="15.75" customHeight="1" x14ac:dyDescent="0.3">
      <c r="A1129" s="37">
        <v>85316</v>
      </c>
      <c r="B1129" s="409">
        <f t="shared" ref="B1129:C1129" si="1145">($A1129-B$9)/365.25</f>
        <v>151.70431211498973</v>
      </c>
      <c r="C1129" s="409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3525.4531757812501</v>
      </c>
      <c r="H1129" s="25">
        <f>IF(B1129&lt;62,0,'Combined Retirement'!$I$14)</f>
        <v>2192</v>
      </c>
      <c r="I1129" s="25">
        <f>IF(C1129&lt;62,0,'Combined Retirement'!$I$13)</f>
        <v>2420</v>
      </c>
      <c r="J1129" s="25">
        <f t="shared" si="1043"/>
        <v>6404.7404596389215</v>
      </c>
      <c r="K1129" s="25">
        <f t="shared" si="1044"/>
        <v>16520.094745597391</v>
      </c>
      <c r="L1129" s="25"/>
      <c r="N1129" s="25">
        <f>'Combined Retirement'!$C$18/12</f>
        <v>33932.660666666663</v>
      </c>
      <c r="O1129" s="25">
        <f t="shared" si="1045"/>
        <v>11007.82546143035</v>
      </c>
      <c r="P1129" s="25">
        <f t="shared" si="1046"/>
        <v>22924.835205236312</v>
      </c>
      <c r="Q1129" s="25">
        <f t="array" aca="1" ref="Q1129" ca="1">INDEX('Isaac 401k'!L:L,MATCH('Retirement Calculator'!A1129,'Isaac 401k'!N:N,0),0)</f>
        <v>42299925.181848302</v>
      </c>
      <c r="R1129" s="25">
        <f t="array" aca="1" ref="R1129" ca="1">INDEX('Lorri 401b'!L:L,MATCH('Retirement Calculator'!A1129,'Lorri 401b'!N:N,0),0)</f>
        <v>26858111.143517673</v>
      </c>
      <c r="S1129" s="25">
        <f t="shared" ca="1" si="1047"/>
        <v>69158036.325365975</v>
      </c>
    </row>
    <row r="1130" spans="1:19" ht="15.75" customHeight="1" x14ac:dyDescent="0.3">
      <c r="A1130" s="37">
        <v>85347</v>
      </c>
      <c r="B1130" s="409">
        <f t="shared" ref="B1130:C1130" si="1146">($A1130-B$9)/365.25</f>
        <v>151.78918548939083</v>
      </c>
      <c r="C1130" s="409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3525.4531757812501</v>
      </c>
      <c r="H1130" s="25">
        <f>IF(B1130&lt;62,0,'Combined Retirement'!$I$14)</f>
        <v>2192</v>
      </c>
      <c r="I1130" s="25">
        <f>IF(C1130&lt;62,0,'Combined Retirement'!$I$13)</f>
        <v>2420</v>
      </c>
      <c r="J1130" s="25">
        <f t="shared" si="1043"/>
        <v>6404.7404596389215</v>
      </c>
      <c r="K1130" s="25">
        <f t="shared" si="1044"/>
        <v>16520.094745597391</v>
      </c>
      <c r="L1130" s="25"/>
      <c r="N1130" s="25">
        <f>'Combined Retirement'!$C$18/12</f>
        <v>33932.660666666663</v>
      </c>
      <c r="O1130" s="25">
        <f t="shared" si="1045"/>
        <v>11007.82546143035</v>
      </c>
      <c r="P1130" s="25">
        <f t="shared" si="1046"/>
        <v>22924.835205236312</v>
      </c>
      <c r="Q1130" s="25">
        <f t="array" aca="1" ref="Q1130" ca="1">INDEX('Isaac 401k'!L:L,MATCH('Retirement Calculator'!A1130,'Isaac 401k'!N:N,0),0)</f>
        <v>42469743.443227783</v>
      </c>
      <c r="R1130" s="25">
        <f t="array" aca="1" ref="R1130" ca="1">INDEX('Lorri 401b'!L:L,MATCH('Retirement Calculator'!A1130,'Lorri 401b'!N:N,0),0)</f>
        <v>26953431.011475291</v>
      </c>
      <c r="S1130" s="25">
        <f t="shared" ca="1" si="1047"/>
        <v>69423174.454703078</v>
      </c>
    </row>
    <row r="1131" spans="1:19" ht="15.75" customHeight="1" x14ac:dyDescent="0.3">
      <c r="A1131" s="37">
        <v>85377</v>
      </c>
      <c r="B1131" s="409">
        <f t="shared" ref="B1131:C1131" si="1147">($A1131-B$9)/365.25</f>
        <v>151.8713210130048</v>
      </c>
      <c r="C1131" s="409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3525.4531757812501</v>
      </c>
      <c r="H1131" s="25">
        <f>IF(B1131&lt;62,0,'Combined Retirement'!$I$14)</f>
        <v>2192</v>
      </c>
      <c r="I1131" s="25">
        <f>IF(C1131&lt;62,0,'Combined Retirement'!$I$13)</f>
        <v>2420</v>
      </c>
      <c r="J1131" s="25">
        <f t="shared" si="1043"/>
        <v>6404.7404596389215</v>
      </c>
      <c r="K1131" s="25">
        <f t="shared" si="1044"/>
        <v>16520.094745597391</v>
      </c>
      <c r="L1131" s="25"/>
      <c r="N1131" s="25">
        <f>'Combined Retirement'!$C$18/12</f>
        <v>33932.660666666663</v>
      </c>
      <c r="O1131" s="25">
        <f t="shared" si="1045"/>
        <v>11007.82546143035</v>
      </c>
      <c r="P1131" s="25">
        <f t="shared" si="1046"/>
        <v>22924.835205236312</v>
      </c>
      <c r="Q1131" s="25">
        <f t="array" aca="1" ref="Q1131" ca="1">INDEX('Isaac 401k'!L:L,MATCH('Retirement Calculator'!A1131,'Isaac 401k'!N:N,0),0)</f>
        <v>42640269.280696347</v>
      </c>
      <c r="R1131" s="25">
        <f t="array" aca="1" ref="R1131" ca="1">INDEX('Lorri 401b'!L:L,MATCH('Retirement Calculator'!A1131,'Lorri 401b'!N:N,0),0)</f>
        <v>27049148.0455494</v>
      </c>
      <c r="S1131" s="25">
        <f t="shared" ca="1" si="1047"/>
        <v>69689417.326245755</v>
      </c>
    </row>
    <row r="1132" spans="1:19" ht="15.75" customHeight="1" x14ac:dyDescent="0.3">
      <c r="A1132" s="37">
        <v>85408</v>
      </c>
      <c r="B1132" s="409">
        <f t="shared" ref="B1132:C1132" si="1148">($A1132-B$9)/365.25</f>
        <v>151.95619438740587</v>
      </c>
      <c r="C1132" s="409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3525.4531757812501</v>
      </c>
      <c r="H1132" s="25">
        <f>IF(B1132&lt;62,0,'Combined Retirement'!$I$14)</f>
        <v>2192</v>
      </c>
      <c r="I1132" s="25">
        <f>IF(C1132&lt;62,0,'Combined Retirement'!$I$13)</f>
        <v>2420</v>
      </c>
      <c r="J1132" s="25">
        <f t="shared" si="1043"/>
        <v>6404.7404596389215</v>
      </c>
      <c r="K1132" s="25">
        <f t="shared" si="1044"/>
        <v>16520.094745597391</v>
      </c>
      <c r="L1132" s="25"/>
      <c r="N1132" s="25">
        <f>'Combined Retirement'!$C$18/12</f>
        <v>33932.660666666663</v>
      </c>
      <c r="O1132" s="25">
        <f t="shared" si="1045"/>
        <v>11007.82546143035</v>
      </c>
      <c r="P1132" s="25">
        <f t="shared" si="1046"/>
        <v>22924.835205236312</v>
      </c>
      <c r="Q1132" s="25">
        <f t="array" aca="1" ref="Q1132" ca="1">INDEX('Isaac 401k'!L:L,MATCH('Retirement Calculator'!A1132,'Isaac 401k'!N:N,0),0)</f>
        <v>42811505.642487697</v>
      </c>
      <c r="R1132" s="25">
        <f t="array" aca="1" ref="R1132" ca="1">INDEX('Lorri 401b'!L:L,MATCH('Retirement Calculator'!A1132,'Lorri 401b'!N:N,0),0)</f>
        <v>27145263.900598817</v>
      </c>
      <c r="S1132" s="25">
        <f t="shared" ca="1" si="1047"/>
        <v>69956769.543086514</v>
      </c>
    </row>
    <row r="1133" spans="1:19" ht="15.75" customHeight="1" x14ac:dyDescent="0.3">
      <c r="A1133" s="37">
        <v>85438</v>
      </c>
      <c r="B1133" s="409">
        <f t="shared" ref="B1133:C1133" si="1149">($A1133-B$9)/365.25</f>
        <v>152.03832991101984</v>
      </c>
      <c r="C1133" s="409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3525.4531757812501</v>
      </c>
      <c r="H1133" s="25">
        <f>IF(B1133&lt;62,0,'Combined Retirement'!$I$14)</f>
        <v>2192</v>
      </c>
      <c r="I1133" s="25">
        <f>IF(C1133&lt;62,0,'Combined Retirement'!$I$13)</f>
        <v>2420</v>
      </c>
      <c r="J1133" s="25">
        <f t="shared" si="1043"/>
        <v>6404.7404596389215</v>
      </c>
      <c r="K1133" s="25">
        <f t="shared" si="1044"/>
        <v>16520.094745597391</v>
      </c>
      <c r="L1133" s="25"/>
      <c r="N1133" s="25">
        <f>'Combined Retirement'!$C$18/12</f>
        <v>33932.660666666663</v>
      </c>
      <c r="O1133" s="25">
        <f t="shared" si="1045"/>
        <v>11007.82546143035</v>
      </c>
      <c r="P1133" s="25">
        <f t="shared" si="1046"/>
        <v>22924.835205236312</v>
      </c>
      <c r="Q1133" s="25">
        <f t="array" aca="1" ref="Q1133" ca="1">INDEX('Isaac 401k'!L:L,MATCH('Retirement Calculator'!A1133,'Isaac 401k'!N:N,0),0)</f>
        <v>42983455.489119843</v>
      </c>
      <c r="R1133" s="25">
        <f t="array" aca="1" ref="R1133" ca="1">INDEX('Lorri 401b'!L:L,MATCH('Retirement Calculator'!A1133,'Lorri 401b'!N:N,0),0)</f>
        <v>27241780.238377605</v>
      </c>
      <c r="S1133" s="25">
        <f t="shared" ca="1" si="1047"/>
        <v>70225235.727497444</v>
      </c>
    </row>
    <row r="1134" spans="1:19" ht="15.75" customHeight="1" x14ac:dyDescent="0.3">
      <c r="A1134" s="37">
        <v>85469</v>
      </c>
      <c r="B1134" s="409">
        <f t="shared" ref="B1134:C1134" si="1150">($A1134-B$9)/365.25</f>
        <v>152.12320328542094</v>
      </c>
      <c r="C1134" s="409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3525.4531757812501</v>
      </c>
      <c r="H1134" s="25">
        <f>IF(B1134&lt;62,0,'Combined Retirement'!$I$14)</f>
        <v>2192</v>
      </c>
      <c r="I1134" s="25">
        <f>IF(C1134&lt;62,0,'Combined Retirement'!$I$13)</f>
        <v>2420</v>
      </c>
      <c r="J1134" s="25">
        <f t="shared" si="1043"/>
        <v>6404.7404596389215</v>
      </c>
      <c r="K1134" s="25">
        <f t="shared" si="1044"/>
        <v>16520.094745597391</v>
      </c>
      <c r="L1134" s="25"/>
      <c r="N1134" s="25">
        <f>'Combined Retirement'!$C$18/12</f>
        <v>33932.660666666663</v>
      </c>
      <c r="O1134" s="25">
        <f t="shared" si="1045"/>
        <v>11007.82546143035</v>
      </c>
      <c r="P1134" s="25">
        <f t="shared" si="1046"/>
        <v>22924.835205236312</v>
      </c>
      <c r="Q1134" s="25">
        <f t="array" aca="1" ref="Q1134" ca="1">INDEX('Isaac 401k'!L:L,MATCH('Retirement Calculator'!A1134,'Isaac 401k'!N:N,0),0)</f>
        <v>43156121.793446288</v>
      </c>
      <c r="R1134" s="25">
        <f t="array" aca="1" ref="R1134" ca="1">INDEX('Lorri 401b'!L:L,MATCH('Retirement Calculator'!A1134,'Lorri 401b'!N:N,0),0)</f>
        <v>27338698.727563806</v>
      </c>
      <c r="S1134" s="25">
        <f t="shared" ca="1" si="1047"/>
        <v>70494820.521010101</v>
      </c>
    </row>
    <row r="1135" spans="1:19" ht="15.75" customHeight="1" x14ac:dyDescent="0.3">
      <c r="A1135" s="37">
        <v>85500</v>
      </c>
      <c r="B1135" s="409">
        <f t="shared" ref="B1135:C1135" si="1151">($A1135-B$9)/365.25</f>
        <v>152.20807665982204</v>
      </c>
      <c r="C1135" s="409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3525.4531757812501</v>
      </c>
      <c r="H1135" s="25">
        <f>IF(B1135&lt;62,0,'Combined Retirement'!$I$14)</f>
        <v>2192</v>
      </c>
      <c r="I1135" s="25">
        <f>IF(C1135&lt;62,0,'Combined Retirement'!$I$13)</f>
        <v>2420</v>
      </c>
      <c r="J1135" s="25">
        <f t="shared" si="1043"/>
        <v>6404.7404596389215</v>
      </c>
      <c r="K1135" s="25">
        <f t="shared" si="1044"/>
        <v>16520.094745597391</v>
      </c>
      <c r="L1135" s="25"/>
      <c r="N1135" s="25">
        <f>'Combined Retirement'!$C$18/12</f>
        <v>33932.660666666663</v>
      </c>
      <c r="O1135" s="25">
        <f t="shared" si="1045"/>
        <v>11007.82546143035</v>
      </c>
      <c r="P1135" s="25">
        <f t="shared" si="1046"/>
        <v>22924.835205236312</v>
      </c>
      <c r="Q1135" s="25">
        <f t="array" aca="1" ref="Q1135" ca="1">INDEX('Isaac 401k'!L:L,MATCH('Retirement Calculator'!A1135,'Isaac 401k'!N:N,0),0)</f>
        <v>43329507.540707432</v>
      </c>
      <c r="R1135" s="25">
        <f t="array" aca="1" ref="R1135" ca="1">INDEX('Lorri 401b'!L:L,MATCH('Retirement Calculator'!A1135,'Lorri 401b'!N:N,0),0)</f>
        <v>27436021.043788284</v>
      </c>
      <c r="S1135" s="25">
        <f t="shared" ca="1" si="1047"/>
        <v>70765528.584495723</v>
      </c>
    </row>
    <row r="1136" spans="1:19" ht="15.75" customHeight="1" x14ac:dyDescent="0.3">
      <c r="A1136" s="37">
        <v>85528</v>
      </c>
      <c r="B1136" s="409">
        <f t="shared" ref="B1136:C1136" si="1152">($A1136-B$9)/365.25</f>
        <v>152.28473648186173</v>
      </c>
      <c r="C1136" s="409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3525.4531757812501</v>
      </c>
      <c r="H1136" s="25">
        <f>IF(B1136&lt;62,0,'Combined Retirement'!$I$14)</f>
        <v>2192</v>
      </c>
      <c r="I1136" s="25">
        <f>IF(C1136&lt;62,0,'Combined Retirement'!$I$13)</f>
        <v>2420</v>
      </c>
      <c r="J1136" s="25">
        <f t="shared" si="1043"/>
        <v>6404.7404596389215</v>
      </c>
      <c r="K1136" s="25">
        <f t="shared" si="1044"/>
        <v>16520.094745597391</v>
      </c>
      <c r="L1136" s="25"/>
      <c r="N1136" s="25">
        <f>'Combined Retirement'!$C$18/12</f>
        <v>33932.660666666663</v>
      </c>
      <c r="O1136" s="25">
        <f t="shared" si="1045"/>
        <v>11007.82546143035</v>
      </c>
      <c r="P1136" s="25">
        <f t="shared" si="1046"/>
        <v>22924.835205236312</v>
      </c>
      <c r="Q1136" s="25">
        <f t="array" aca="1" ref="Q1136" ca="1">INDEX('Isaac 401k'!L:L,MATCH('Retirement Calculator'!A1136,'Isaac 401k'!N:N,0),0)</f>
        <v>43503615.728582159</v>
      </c>
      <c r="R1136" s="25">
        <f t="array" aca="1" ref="R1136" ca="1">INDEX('Lorri 401b'!L:L,MATCH('Retirement Calculator'!A1136,'Lorri 401b'!N:N,0),0)</f>
        <v>27533748.869663697</v>
      </c>
      <c r="S1136" s="25">
        <f t="shared" ca="1" si="1047"/>
        <v>71037364.598245859</v>
      </c>
    </row>
    <row r="1137" spans="1:19" ht="15.75" customHeight="1" x14ac:dyDescent="0.3">
      <c r="A1137" s="37">
        <v>85559</v>
      </c>
      <c r="B1137" s="409">
        <f t="shared" ref="B1137:C1137" si="1153">($A1137-B$9)/365.25</f>
        <v>152.36960985626283</v>
      </c>
      <c r="C1137" s="409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3525.4531757812501</v>
      </c>
      <c r="H1137" s="25">
        <f>IF(B1137&lt;62,0,'Combined Retirement'!$I$14)</f>
        <v>2192</v>
      </c>
      <c r="I1137" s="25">
        <f>IF(C1137&lt;62,0,'Combined Retirement'!$I$13)</f>
        <v>2420</v>
      </c>
      <c r="J1137" s="25">
        <f t="shared" si="1043"/>
        <v>6404.7404596389215</v>
      </c>
      <c r="K1137" s="25">
        <f t="shared" si="1044"/>
        <v>16520.094745597391</v>
      </c>
      <c r="L1137" s="25"/>
      <c r="N1137" s="25">
        <f>'Combined Retirement'!$C$18/12</f>
        <v>33932.660666666663</v>
      </c>
      <c r="O1137" s="25">
        <f t="shared" si="1045"/>
        <v>11007.82546143035</v>
      </c>
      <c r="P1137" s="25">
        <f t="shared" si="1046"/>
        <v>22924.835205236312</v>
      </c>
      <c r="Q1137" s="25">
        <f t="array" aca="1" ref="Q1137" ca="1">INDEX('Isaac 401k'!L:L,MATCH('Retirement Calculator'!A1137,'Isaac 401k'!N:N,0),0)</f>
        <v>43678449.367239699</v>
      </c>
      <c r="R1137" s="25">
        <f t="array" aca="1" ref="R1137" ca="1">INDEX('Lorri 401b'!L:L,MATCH('Retirement Calculator'!A1137,'Lorri 401b'!N:N,0),0)</f>
        <v>27631883.89481359</v>
      </c>
      <c r="S1137" s="25">
        <f t="shared" ca="1" si="1047"/>
        <v>71310333.262053281</v>
      </c>
    </row>
    <row r="1138" spans="1:19" ht="15.75" customHeight="1" x14ac:dyDescent="0.3">
      <c r="A1138" s="37">
        <v>85589</v>
      </c>
      <c r="B1138" s="409">
        <f t="shared" ref="B1138:C1138" si="1154">($A1138-B$9)/365.25</f>
        <v>152.4517453798768</v>
      </c>
      <c r="C1138" s="409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3525.4531757812501</v>
      </c>
      <c r="H1138" s="25">
        <f>IF(B1138&lt;62,0,'Combined Retirement'!$I$14)</f>
        <v>2192</v>
      </c>
      <c r="I1138" s="25">
        <f>IF(C1138&lt;62,0,'Combined Retirement'!$I$13)</f>
        <v>2420</v>
      </c>
      <c r="J1138" s="25">
        <f t="shared" si="1043"/>
        <v>6404.7404596389215</v>
      </c>
      <c r="K1138" s="25">
        <f t="shared" si="1044"/>
        <v>16520.094745597391</v>
      </c>
      <c r="L1138" s="25"/>
      <c r="N1138" s="25">
        <f>'Combined Retirement'!$C$18/12</f>
        <v>33932.660666666663</v>
      </c>
      <c r="O1138" s="25">
        <f t="shared" si="1045"/>
        <v>11007.82546143035</v>
      </c>
      <c r="P1138" s="25">
        <f t="shared" si="1046"/>
        <v>22924.835205236312</v>
      </c>
      <c r="Q1138" s="25">
        <f t="array" aca="1" ref="Q1138" ca="1">INDEX('Isaac 401k'!L:L,MATCH('Retirement Calculator'!A1138,'Isaac 401k'!N:N,0),0)</f>
        <v>43854011.479391649</v>
      </c>
      <c r="R1138" s="25">
        <f t="array" aca="1" ref="R1138" ca="1">INDEX('Lorri 401b'!L:L,MATCH('Retirement Calculator'!A1138,'Lorri 401b'!N:N,0),0)</f>
        <v>27730427.815901607</v>
      </c>
      <c r="S1138" s="25">
        <f t="shared" ca="1" si="1047"/>
        <v>71584439.295293257</v>
      </c>
    </row>
    <row r="1139" spans="1:19" ht="15.75" customHeight="1" x14ac:dyDescent="0.3">
      <c r="A1139" s="37">
        <v>85620</v>
      </c>
      <c r="B1139" s="409">
        <f t="shared" ref="B1139:C1139" si="1155">($A1139-B$9)/365.25</f>
        <v>152.5366187542779</v>
      </c>
      <c r="C1139" s="409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3525.4531757812501</v>
      </c>
      <c r="H1139" s="25">
        <f>IF(B1139&lt;62,0,'Combined Retirement'!$I$14)</f>
        <v>2192</v>
      </c>
      <c r="I1139" s="25">
        <f>IF(C1139&lt;62,0,'Combined Retirement'!$I$13)</f>
        <v>2420</v>
      </c>
      <c r="J1139" s="25">
        <f t="shared" si="1043"/>
        <v>6404.7404596389215</v>
      </c>
      <c r="K1139" s="25">
        <f t="shared" si="1044"/>
        <v>16520.094745597391</v>
      </c>
      <c r="L1139" s="25"/>
      <c r="N1139" s="25">
        <f>'Combined Retirement'!$C$18/12</f>
        <v>33932.660666666663</v>
      </c>
      <c r="O1139" s="25">
        <f t="shared" si="1045"/>
        <v>11007.82546143035</v>
      </c>
      <c r="P1139" s="25">
        <f t="shared" si="1046"/>
        <v>22924.835205236312</v>
      </c>
      <c r="Q1139" s="25">
        <f t="array" aca="1" ref="Q1139" ca="1">INDEX('Isaac 401k'!L:L,MATCH('Retirement Calculator'!A1139,'Isaac 401k'!N:N,0),0)</f>
        <v>44030305.100344233</v>
      </c>
      <c r="R1139" s="25">
        <f t="array" aca="1" ref="R1139" ca="1">INDEX('Lorri 401b'!L:L,MATCH('Retirement Calculator'!A1139,'Lorri 401b'!N:N,0),0)</f>
        <v>27829382.336660825</v>
      </c>
      <c r="S1139" s="25">
        <f t="shared" ca="1" si="1047"/>
        <v>71859687.437005058</v>
      </c>
    </row>
    <row r="1140" spans="1:19" ht="15.75" customHeight="1" x14ac:dyDescent="0.3">
      <c r="A1140" s="37">
        <v>85650</v>
      </c>
      <c r="B1140" s="409">
        <f t="shared" ref="B1140:C1140" si="1156">($A1140-B$9)/365.25</f>
        <v>152.61875427789187</v>
      </c>
      <c r="C1140" s="409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3525.4531757812501</v>
      </c>
      <c r="H1140" s="25">
        <f>IF(B1140&lt;62,0,'Combined Retirement'!$I$14)</f>
        <v>2192</v>
      </c>
      <c r="I1140" s="25">
        <f>IF(C1140&lt;62,0,'Combined Retirement'!$I$13)</f>
        <v>2420</v>
      </c>
      <c r="J1140" s="25">
        <f t="shared" si="1043"/>
        <v>6404.7404596389215</v>
      </c>
      <c r="K1140" s="25">
        <f t="shared" si="1044"/>
        <v>16520.094745597391</v>
      </c>
      <c r="L1140" s="25"/>
      <c r="N1140" s="25">
        <f>'Combined Retirement'!$C$18/12</f>
        <v>33932.660666666663</v>
      </c>
      <c r="O1140" s="25">
        <f t="shared" si="1045"/>
        <v>11007.82546143035</v>
      </c>
      <c r="P1140" s="25">
        <f t="shared" si="1046"/>
        <v>22924.835205236312</v>
      </c>
      <c r="Q1140" s="25">
        <f t="array" aca="1" ref="Q1140" ca="1">INDEX('Isaac 401k'!L:L,MATCH('Retirement Calculator'!A1140,'Isaac 401k'!N:N,0),0)</f>
        <v>44207333.27805078</v>
      </c>
      <c r="R1140" s="25">
        <f t="array" aca="1" ref="R1140" ca="1">INDEX('Lorri 401b'!L:L,MATCH('Retirement Calculator'!A1140,'Lorri 401b'!N:N,0),0)</f>
        <v>27928749.167923205</v>
      </c>
      <c r="S1140" s="25">
        <f t="shared" ca="1" si="1047"/>
        <v>72136082.445973992</v>
      </c>
    </row>
    <row r="1141" spans="1:19" ht="15.75" customHeight="1" x14ac:dyDescent="0.3">
      <c r="A1141" s="37">
        <v>85681</v>
      </c>
      <c r="B1141" s="409">
        <f t="shared" ref="B1141:C1141" si="1157">($A1141-B$9)/365.25</f>
        <v>152.70362765229294</v>
      </c>
      <c r="C1141" s="409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3525.4531757812501</v>
      </c>
      <c r="H1141" s="25">
        <f>IF(B1141&lt;62,0,'Combined Retirement'!$I$14)</f>
        <v>2192</v>
      </c>
      <c r="I1141" s="25">
        <f>IF(C1141&lt;62,0,'Combined Retirement'!$I$13)</f>
        <v>2420</v>
      </c>
      <c r="J1141" s="25">
        <f t="shared" si="1043"/>
        <v>6404.7404596389215</v>
      </c>
      <c r="K1141" s="25">
        <f t="shared" si="1044"/>
        <v>16520.094745597391</v>
      </c>
      <c r="L1141" s="25"/>
      <c r="N1141" s="25">
        <f>'Combined Retirement'!$C$18/12</f>
        <v>33932.660666666663</v>
      </c>
      <c r="O1141" s="25">
        <f t="shared" si="1045"/>
        <v>11007.82546143035</v>
      </c>
      <c r="P1141" s="25">
        <f t="shared" si="1046"/>
        <v>22924.835205236312</v>
      </c>
      <c r="Q1141" s="25">
        <f t="array" aca="1" ref="Q1141" ca="1">INDEX('Isaac 401k'!L:L,MATCH('Retirement Calculator'!A1141,'Isaac 401k'!N:N,0),0)</f>
        <v>44385099.073164441</v>
      </c>
      <c r="R1141" s="25">
        <f t="array" aca="1" ref="R1141" ca="1">INDEX('Lorri 401b'!L:L,MATCH('Retirement Calculator'!A1141,'Lorri 401b'!N:N,0),0)</f>
        <v>28028530.027649179</v>
      </c>
      <c r="S1141" s="25">
        <f t="shared" ca="1" si="1047"/>
        <v>72413629.100813627</v>
      </c>
    </row>
    <row r="1142" spans="1:19" ht="15.75" customHeight="1" x14ac:dyDescent="0.3">
      <c r="A1142" s="37">
        <v>85712</v>
      </c>
      <c r="B1142" s="409">
        <f t="shared" ref="B1142:C1142" si="1158">($A1142-B$9)/365.25</f>
        <v>152.78850102669404</v>
      </c>
      <c r="C1142" s="409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3525.4531757812501</v>
      </c>
      <c r="H1142" s="25">
        <f>IF(B1142&lt;62,0,'Combined Retirement'!$I$14)</f>
        <v>2192</v>
      </c>
      <c r="I1142" s="25">
        <f>IF(C1142&lt;62,0,'Combined Retirement'!$I$13)</f>
        <v>2420</v>
      </c>
      <c r="J1142" s="25">
        <f t="shared" si="1043"/>
        <v>6404.7404596389215</v>
      </c>
      <c r="K1142" s="25">
        <f t="shared" si="1044"/>
        <v>16520.094745597391</v>
      </c>
      <c r="L1142" s="25"/>
      <c r="N1142" s="25">
        <f>'Combined Retirement'!$C$18/12</f>
        <v>33932.660666666663</v>
      </c>
      <c r="O1142" s="25">
        <f t="shared" si="1045"/>
        <v>11007.82546143035</v>
      </c>
      <c r="P1142" s="25">
        <f t="shared" si="1046"/>
        <v>22924.835205236312</v>
      </c>
      <c r="Q1142" s="25">
        <f t="array" aca="1" ref="Q1142" ca="1">INDEX('Isaac 401k'!L:L,MATCH('Retirement Calculator'!A1142,'Isaac 401k'!N:N,0),0)</f>
        <v>44563605.559091076</v>
      </c>
      <c r="R1142" s="25">
        <f t="array" aca="1" ref="R1142" ca="1">INDEX('Lorri 401b'!L:L,MATCH('Retirement Calculator'!A1142,'Lorri 401b'!N:N,0),0)</f>
        <v>28128726.640957344</v>
      </c>
      <c r="S1142" s="25">
        <f t="shared" ca="1" si="1047"/>
        <v>72692332.200048417</v>
      </c>
    </row>
    <row r="1143" spans="1:19" ht="15.75" customHeight="1" x14ac:dyDescent="0.3">
      <c r="A1143" s="37">
        <v>85742</v>
      </c>
      <c r="B1143" s="409">
        <f t="shared" ref="B1143:C1143" si="1159">($A1143-B$9)/365.25</f>
        <v>152.87063655030801</v>
      </c>
      <c r="C1143" s="409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3525.4531757812501</v>
      </c>
      <c r="H1143" s="25">
        <f>IF(B1143&lt;62,0,'Combined Retirement'!$I$14)</f>
        <v>2192</v>
      </c>
      <c r="I1143" s="25">
        <f>IF(C1143&lt;62,0,'Combined Retirement'!$I$13)</f>
        <v>2420</v>
      </c>
      <c r="J1143" s="25">
        <f t="shared" si="1043"/>
        <v>6404.7404596389215</v>
      </c>
      <c r="K1143" s="25">
        <f t="shared" si="1044"/>
        <v>16520.094745597391</v>
      </c>
      <c r="L1143" s="25"/>
      <c r="N1143" s="25">
        <f>'Combined Retirement'!$C$18/12</f>
        <v>33932.660666666663</v>
      </c>
      <c r="O1143" s="25">
        <f t="shared" si="1045"/>
        <v>11007.82546143035</v>
      </c>
      <c r="P1143" s="25">
        <f t="shared" si="1046"/>
        <v>22924.835205236312</v>
      </c>
      <c r="Q1143" s="25">
        <f t="array" aca="1" ref="Q1143" ca="1">INDEX('Isaac 401k'!L:L,MATCH('Retirement Calculator'!A1143,'Isaac 401k'!N:N,0),0)</f>
        <v>44742855.822042406</v>
      </c>
      <c r="R1143" s="25">
        <f t="array" aca="1" ref="R1143" ca="1">INDEX('Lorri 401b'!L:L,MATCH('Retirement Calculator'!A1143,'Lorri 401b'!N:N,0),0)</f>
        <v>28229340.740154296</v>
      </c>
      <c r="S1143" s="25">
        <f t="shared" ca="1" si="1047"/>
        <v>72972196.562196702</v>
      </c>
    </row>
    <row r="1144" spans="1:19" ht="15.75" customHeight="1" x14ac:dyDescent="0.3">
      <c r="A1144" s="37">
        <v>85773</v>
      </c>
      <c r="B1144" s="409">
        <f t="shared" ref="B1144:C1144" si="1160">($A1144-B$9)/365.25</f>
        <v>152.95550992470911</v>
      </c>
      <c r="C1144" s="409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3525.4531757812501</v>
      </c>
      <c r="H1144" s="25">
        <f>IF(B1144&lt;62,0,'Combined Retirement'!$I$14)</f>
        <v>2192</v>
      </c>
      <c r="I1144" s="25">
        <f>IF(C1144&lt;62,0,'Combined Retirement'!$I$13)</f>
        <v>2420</v>
      </c>
      <c r="J1144" s="25">
        <f t="shared" si="1043"/>
        <v>6404.7404596389215</v>
      </c>
      <c r="K1144" s="25">
        <f t="shared" si="1044"/>
        <v>16520.094745597391</v>
      </c>
      <c r="L1144" s="25"/>
      <c r="N1144" s="25">
        <f>'Combined Retirement'!$C$18/12</f>
        <v>33932.660666666663</v>
      </c>
      <c r="O1144" s="25">
        <f t="shared" si="1045"/>
        <v>11007.82546143035</v>
      </c>
      <c r="P1144" s="25">
        <f t="shared" si="1046"/>
        <v>22924.835205236312</v>
      </c>
      <c r="Q1144" s="25">
        <f t="array" aca="1" ref="Q1144" ca="1">INDEX('Isaac 401k'!L:L,MATCH('Retirement Calculator'!A1144,'Isaac 401k'!N:N,0),0)</f>
        <v>44922852.961089365</v>
      </c>
      <c r="R1144" s="25">
        <f t="array" aca="1" ref="R1144" ca="1">INDEX('Lorri 401b'!L:L,MATCH('Retirement Calculator'!A1144,'Lorri 401b'!N:N,0),0)</f>
        <v>28330374.064764567</v>
      </c>
      <c r="S1144" s="25">
        <f t="shared" ca="1" si="1047"/>
        <v>73253227.025853932</v>
      </c>
    </row>
    <row r="1145" spans="1:19" ht="15.75" customHeight="1" x14ac:dyDescent="0.3">
      <c r="A1145" s="37">
        <v>85803</v>
      </c>
      <c r="B1145" s="409">
        <f t="shared" ref="B1145:C1145" si="1161">($A1145-B$9)/365.25</f>
        <v>153.03764544832308</v>
      </c>
      <c r="C1145" s="409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3525.4531757812501</v>
      </c>
      <c r="H1145" s="25">
        <f>IF(B1145&lt;62,0,'Combined Retirement'!$I$14)</f>
        <v>2192</v>
      </c>
      <c r="I1145" s="25">
        <f>IF(C1145&lt;62,0,'Combined Retirement'!$I$13)</f>
        <v>2420</v>
      </c>
      <c r="J1145" s="25">
        <f t="shared" si="1043"/>
        <v>6404.7404596389215</v>
      </c>
      <c r="K1145" s="25">
        <f t="shared" si="1044"/>
        <v>16520.094745597391</v>
      </c>
      <c r="L1145" s="25"/>
      <c r="N1145" s="25">
        <f>'Combined Retirement'!$C$18/12</f>
        <v>33932.660666666663</v>
      </c>
      <c r="O1145" s="25">
        <f t="shared" si="1045"/>
        <v>11007.82546143035</v>
      </c>
      <c r="P1145" s="25">
        <f t="shared" si="1046"/>
        <v>22924.835205236312</v>
      </c>
      <c r="Q1145" s="25">
        <f t="array" aca="1" ref="Q1145" ca="1">INDEX('Isaac 401k'!L:L,MATCH('Retirement Calculator'!A1145,'Isaac 401k'!N:N,0),0)</f>
        <v>45103600.088215686</v>
      </c>
      <c r="R1145" s="25">
        <f t="array" aca="1" ref="R1145" ca="1">INDEX('Lorri 401b'!L:L,MATCH('Retirement Calculator'!A1145,'Lorri 401b'!N:N,0),0)</f>
        <v>28431828.361560713</v>
      </c>
      <c r="S1145" s="25">
        <f t="shared" ca="1" si="1047"/>
        <v>73535428.449776396</v>
      </c>
    </row>
    <row r="1146" spans="1:19" ht="15.75" customHeight="1" x14ac:dyDescent="0.3">
      <c r="A1146" s="37">
        <v>85834</v>
      </c>
      <c r="B1146" s="409">
        <f t="shared" ref="B1146:C1146" si="1162">($A1146-B$9)/365.25</f>
        <v>153.12251882272417</v>
      </c>
      <c r="C1146" s="409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3525.4531757812501</v>
      </c>
      <c r="H1146" s="25">
        <f>IF(B1146&lt;62,0,'Combined Retirement'!$I$14)</f>
        <v>2192</v>
      </c>
      <c r="I1146" s="25">
        <f>IF(C1146&lt;62,0,'Combined Retirement'!$I$13)</f>
        <v>2420</v>
      </c>
      <c r="J1146" s="25">
        <f t="shared" si="1043"/>
        <v>6404.7404596389215</v>
      </c>
      <c r="K1146" s="25">
        <f t="shared" si="1044"/>
        <v>16520.094745597391</v>
      </c>
      <c r="L1146" s="25"/>
      <c r="N1146" s="25">
        <f>'Combined Retirement'!$C$18/12</f>
        <v>33932.660666666663</v>
      </c>
      <c r="O1146" s="25">
        <f t="shared" si="1045"/>
        <v>11007.82546143035</v>
      </c>
      <c r="P1146" s="25">
        <f t="shared" si="1046"/>
        <v>22924.835205236312</v>
      </c>
      <c r="Q1146" s="25">
        <f t="array" aca="1" ref="Q1146" ca="1">INDEX('Isaac 401k'!L:L,MATCH('Retirement Calculator'!A1146,'Isaac 401k'!N:N,0),0)</f>
        <v>45285100.328371704</v>
      </c>
      <c r="R1146" s="25">
        <f t="array" aca="1" ref="R1146" ca="1">INDEX('Lorri 401b'!L:L,MATCH('Retirement Calculator'!A1146,'Lorri 401b'!N:N,0),0)</f>
        <v>28533705.384593513</v>
      </c>
      <c r="S1146" s="25">
        <f t="shared" ca="1" si="1047"/>
        <v>73818805.71296522</v>
      </c>
    </row>
    <row r="1147" spans="1:19" ht="15.75" customHeight="1" x14ac:dyDescent="0.3">
      <c r="A1147" s="37">
        <v>85865</v>
      </c>
      <c r="B1147" s="409">
        <f t="shared" ref="B1147:C1147" si="1163">($A1147-B$9)/365.25</f>
        <v>153.20739219712524</v>
      </c>
      <c r="C1147" s="409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3525.4531757812501</v>
      </c>
      <c r="H1147" s="25">
        <f>IF(B1147&lt;62,0,'Combined Retirement'!$I$14)</f>
        <v>2192</v>
      </c>
      <c r="I1147" s="25">
        <f>IF(C1147&lt;62,0,'Combined Retirement'!$I$13)</f>
        <v>2420</v>
      </c>
      <c r="J1147" s="25">
        <f t="shared" si="1043"/>
        <v>6404.7404596389215</v>
      </c>
      <c r="K1147" s="25">
        <f t="shared" si="1044"/>
        <v>16520.094745597391</v>
      </c>
      <c r="L1147" s="25"/>
      <c r="N1147" s="25">
        <f>'Combined Retirement'!$C$18/12</f>
        <v>33932.660666666663</v>
      </c>
      <c r="O1147" s="25">
        <f t="shared" si="1045"/>
        <v>11007.82546143035</v>
      </c>
      <c r="P1147" s="25">
        <f t="shared" si="1046"/>
        <v>22924.835205236312</v>
      </c>
      <c r="Q1147" s="25">
        <f t="array" aca="1" ref="Q1147" ca="1">INDEX('Isaac 401k'!L:L,MATCH('Retirement Calculator'!A1147,'Isaac 401k'!N:N,0),0)</f>
        <v>45467356.819528371</v>
      </c>
      <c r="R1147" s="25">
        <f t="array" aca="1" ref="R1147" ca="1">INDEX('Lorri 401b'!L:L,MATCH('Retirement Calculator'!A1147,'Lorri 401b'!N:N,0),0)</f>
        <v>28636006.89522228</v>
      </c>
      <c r="S1147" s="25">
        <f t="shared" ca="1" si="1047"/>
        <v>74103363.714750648</v>
      </c>
    </row>
    <row r="1148" spans="1:19" ht="15.75" customHeight="1" x14ac:dyDescent="0.3">
      <c r="A1148" s="37">
        <v>85893</v>
      </c>
      <c r="B1148" s="409">
        <f t="shared" ref="B1148:C1148" si="1164">($A1148-B$9)/365.25</f>
        <v>153.28405201916496</v>
      </c>
      <c r="C1148" s="409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3525.4531757812501</v>
      </c>
      <c r="H1148" s="25">
        <f>IF(B1148&lt;62,0,'Combined Retirement'!$I$14)</f>
        <v>2192</v>
      </c>
      <c r="I1148" s="25">
        <f>IF(C1148&lt;62,0,'Combined Retirement'!$I$13)</f>
        <v>2420</v>
      </c>
      <c r="J1148" s="25">
        <f t="shared" si="1043"/>
        <v>6404.7404596389215</v>
      </c>
      <c r="K1148" s="25">
        <f t="shared" si="1044"/>
        <v>16520.094745597391</v>
      </c>
      <c r="L1148" s="25"/>
      <c r="N1148" s="25">
        <f>'Combined Retirement'!$C$18/12</f>
        <v>33932.660666666663</v>
      </c>
      <c r="O1148" s="25">
        <f t="shared" si="1045"/>
        <v>11007.82546143035</v>
      </c>
      <c r="P1148" s="25">
        <f t="shared" si="1046"/>
        <v>22924.835205236312</v>
      </c>
      <c r="Q1148" s="25">
        <f t="array" aca="1" ref="Q1148" ca="1">INDEX('Isaac 401k'!L:L,MATCH('Retirement Calculator'!A1148,'Isaac 401k'!N:N,0),0)</f>
        <v>45650372.712731525</v>
      </c>
      <c r="R1148" s="25">
        <f t="array" aca="1" ref="R1148" ca="1">INDEX('Lorri 401b'!L:L,MATCH('Retirement Calculator'!A1148,'Lorri 401b'!N:N,0),0)</f>
        <v>28738734.662145335</v>
      </c>
      <c r="S1148" s="25">
        <f t="shared" ca="1" si="1047"/>
        <v>74389107.374876857</v>
      </c>
    </row>
    <row r="1149" spans="1:19" ht="15.75" customHeight="1" x14ac:dyDescent="0.3">
      <c r="A1149" s="37">
        <v>85924</v>
      </c>
      <c r="B1149" s="409">
        <f t="shared" ref="B1149:C1149" si="1165">($A1149-B$9)/365.25</f>
        <v>153.36892539356606</v>
      </c>
      <c r="C1149" s="409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3525.4531757812501</v>
      </c>
      <c r="H1149" s="25">
        <f>IF(B1149&lt;62,0,'Combined Retirement'!$I$14)</f>
        <v>2192</v>
      </c>
      <c r="I1149" s="25">
        <f>IF(C1149&lt;62,0,'Combined Retirement'!$I$13)</f>
        <v>2420</v>
      </c>
      <c r="J1149" s="25">
        <f t="shared" si="1043"/>
        <v>6404.7404596389215</v>
      </c>
      <c r="K1149" s="25">
        <f t="shared" si="1044"/>
        <v>16520.094745597391</v>
      </c>
      <c r="L1149" s="25"/>
      <c r="N1149" s="25">
        <f>'Combined Retirement'!$C$18/12</f>
        <v>33932.660666666663</v>
      </c>
      <c r="O1149" s="25">
        <f t="shared" si="1045"/>
        <v>11007.82546143035</v>
      </c>
      <c r="P1149" s="25">
        <f t="shared" si="1046"/>
        <v>22924.835205236312</v>
      </c>
      <c r="Q1149" s="25">
        <f t="array" aca="1" ref="Q1149" ca="1">INDEX('Isaac 401k'!L:L,MATCH('Retirement Calculator'!A1149,'Isaac 401k'!N:N,0),0)</f>
        <v>45834151.172156356</v>
      </c>
      <c r="R1149" s="25">
        <f t="array" aca="1" ref="R1149" ca="1">INDEX('Lorri 401b'!L:L,MATCH('Retirement Calculator'!A1149,'Lorri 401b'!N:N,0),0)</f>
        <v>28841890.461430568</v>
      </c>
      <c r="S1149" s="25">
        <f t="shared" ca="1" si="1047"/>
        <v>74676041.633586928</v>
      </c>
    </row>
    <row r="1150" spans="1:19" ht="15.75" customHeight="1" x14ac:dyDescent="0.3">
      <c r="A1150" s="37">
        <v>85954</v>
      </c>
      <c r="B1150" s="409">
        <f t="shared" ref="B1150:C1150" si="1166">($A1150-B$9)/365.25</f>
        <v>153.45106091718</v>
      </c>
      <c r="C1150" s="409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3525.4531757812501</v>
      </c>
      <c r="H1150" s="25">
        <f>IF(B1150&lt;62,0,'Combined Retirement'!$I$14)</f>
        <v>2192</v>
      </c>
      <c r="I1150" s="25">
        <f>IF(C1150&lt;62,0,'Combined Retirement'!$I$13)</f>
        <v>2420</v>
      </c>
      <c r="J1150" s="25">
        <f t="shared" si="1043"/>
        <v>6404.7404596389215</v>
      </c>
      <c r="K1150" s="25">
        <f t="shared" si="1044"/>
        <v>16520.094745597391</v>
      </c>
      <c r="L1150" s="25"/>
      <c r="N1150" s="25">
        <f>'Combined Retirement'!$C$18/12</f>
        <v>33932.660666666663</v>
      </c>
      <c r="O1150" s="25">
        <f t="shared" si="1045"/>
        <v>11007.82546143035</v>
      </c>
      <c r="P1150" s="25">
        <f t="shared" si="1046"/>
        <v>22924.835205236312</v>
      </c>
      <c r="Q1150" s="25">
        <f t="array" aca="1" ref="Q1150" ca="1">INDEX('Isaac 401k'!L:L,MATCH('Retirement Calculator'!A1150,'Isaac 401k'!N:N,0),0)</f>
        <v>46018695.375162125</v>
      </c>
      <c r="R1150" s="25">
        <f t="array" aca="1" ref="R1150" ca="1">INDEX('Lorri 401b'!L:L,MATCH('Retirement Calculator'!A1150,'Lorri 401b'!N:N,0),0)</f>
        <v>28945476.076546159</v>
      </c>
      <c r="S1150" s="25">
        <f t="shared" ca="1" si="1047"/>
        <v>74964171.451708287</v>
      </c>
    </row>
    <row r="1151" spans="1:19" ht="15.75" customHeight="1" x14ac:dyDescent="0.3">
      <c r="A1151" s="37">
        <v>85985</v>
      </c>
      <c r="B1151" s="409">
        <f t="shared" ref="B1151:C1151" si="1167">($A1151-B$9)/365.25</f>
        <v>153.5359342915811</v>
      </c>
      <c r="C1151" s="409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3525.4531757812501</v>
      </c>
      <c r="H1151" s="25">
        <f>IF(B1151&lt;62,0,'Combined Retirement'!$I$14)</f>
        <v>2192</v>
      </c>
      <c r="I1151" s="25">
        <f>IF(C1151&lt;62,0,'Combined Retirement'!$I$13)</f>
        <v>2420</v>
      </c>
      <c r="J1151" s="25">
        <f t="shared" si="1043"/>
        <v>6404.7404596389215</v>
      </c>
      <c r="K1151" s="25">
        <f t="shared" si="1044"/>
        <v>16520.094745597391</v>
      </c>
      <c r="L1151" s="25"/>
      <c r="N1151" s="25">
        <f>'Combined Retirement'!$C$18/12</f>
        <v>33932.660666666663</v>
      </c>
      <c r="O1151" s="25">
        <f t="shared" si="1045"/>
        <v>11007.82546143035</v>
      </c>
      <c r="P1151" s="25">
        <f t="shared" si="1046"/>
        <v>22924.835205236312</v>
      </c>
      <c r="Q1151" s="25">
        <f t="array" aca="1" ref="Q1151" ca="1">INDEX('Isaac 401k'!L:L,MATCH('Retirement Calculator'!A1151,'Isaac 401k'!N:N,0),0)</f>
        <v>46204008.51234708</v>
      </c>
      <c r="R1151" s="25">
        <f t="array" aca="1" ref="R1151" ca="1">INDEX('Lorri 401b'!L:L,MATCH('Retirement Calculator'!A1151,'Lorri 401b'!N:N,0),0)</f>
        <v>29049493.298391394</v>
      </c>
      <c r="S1151" s="25">
        <f t="shared" ca="1" si="1047"/>
        <v>75253501.810738474</v>
      </c>
    </row>
    <row r="1152" spans="1:19" ht="15.75" customHeight="1" x14ac:dyDescent="0.3">
      <c r="A1152" s="37">
        <v>86015</v>
      </c>
      <c r="B1152" s="409">
        <f t="shared" ref="B1152:C1152" si="1168">($A1152-B$9)/365.25</f>
        <v>153.61806981519507</v>
      </c>
      <c r="C1152" s="409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3525.4531757812501</v>
      </c>
      <c r="H1152" s="25">
        <f>IF(B1152&lt;62,0,'Combined Retirement'!$I$14)</f>
        <v>2192</v>
      </c>
      <c r="I1152" s="25">
        <f>IF(C1152&lt;62,0,'Combined Retirement'!$I$13)</f>
        <v>2420</v>
      </c>
      <c r="J1152" s="25">
        <f t="shared" si="1043"/>
        <v>6404.7404596389215</v>
      </c>
      <c r="K1152" s="25">
        <f t="shared" si="1044"/>
        <v>16520.094745597391</v>
      </c>
      <c r="L1152" s="25"/>
      <c r="N1152" s="25">
        <f>'Combined Retirement'!$C$18/12</f>
        <v>33932.660666666663</v>
      </c>
      <c r="O1152" s="25">
        <f t="shared" si="1045"/>
        <v>11007.82546143035</v>
      </c>
      <c r="P1152" s="25">
        <f t="shared" si="1046"/>
        <v>22924.835205236312</v>
      </c>
      <c r="Q1152" s="25">
        <f t="array" aca="1" ref="Q1152" ca="1">INDEX('Isaac 401k'!L:L,MATCH('Retirement Calculator'!A1152,'Isaac 401k'!N:N,0),0)</f>
        <v>46390093.787603639</v>
      </c>
      <c r="R1152" s="25">
        <f t="array" aca="1" ref="R1152" ca="1">INDEX('Lorri 401b'!L:L,MATCH('Retirement Calculator'!A1152,'Lorri 401b'!N:N,0),0)</f>
        <v>29153943.925327651</v>
      </c>
      <c r="S1152" s="25">
        <f t="shared" ca="1" si="1047"/>
        <v>75544037.71293129</v>
      </c>
    </row>
    <row r="1153" spans="1:19" ht="15.75" customHeight="1" x14ac:dyDescent="0.3">
      <c r="A1153" s="37">
        <v>86046</v>
      </c>
      <c r="B1153" s="409">
        <f t="shared" ref="B1153:C1153" si="1169">($A1153-B$9)/365.25</f>
        <v>153.70294318959617</v>
      </c>
      <c r="C1153" s="409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3525.4531757812501</v>
      </c>
      <c r="H1153" s="25">
        <f>IF(B1153&lt;62,0,'Combined Retirement'!$I$14)</f>
        <v>2192</v>
      </c>
      <c r="I1153" s="25">
        <f>IF(C1153&lt;62,0,'Combined Retirement'!$I$13)</f>
        <v>2420</v>
      </c>
      <c r="J1153" s="25">
        <f t="shared" si="1043"/>
        <v>6404.7404596389215</v>
      </c>
      <c r="K1153" s="25">
        <f t="shared" si="1044"/>
        <v>16520.094745597391</v>
      </c>
      <c r="L1153" s="25"/>
      <c r="N1153" s="25">
        <f>'Combined Retirement'!$C$18/12</f>
        <v>33932.660666666663</v>
      </c>
      <c r="O1153" s="25">
        <f t="shared" si="1045"/>
        <v>11007.82546143035</v>
      </c>
      <c r="P1153" s="25">
        <f t="shared" si="1046"/>
        <v>22924.835205236312</v>
      </c>
      <c r="Q1153" s="25">
        <f t="array" aca="1" ref="Q1153" ca="1">INDEX('Isaac 401k'!L:L,MATCH('Retirement Calculator'!A1153,'Isaac 401k'!N:N,0),0)</f>
        <v>46576954.418173768</v>
      </c>
      <c r="R1153" s="25">
        <f t="array" aca="1" ref="R1153" ca="1">INDEX('Lorri 401b'!L:L,MATCH('Retirement Calculator'!A1153,'Lorri 401b'!N:N,0),0)</f>
        <v>29258829.763209477</v>
      </c>
      <c r="S1153" s="25">
        <f t="shared" ca="1" si="1047"/>
        <v>75835784.181383252</v>
      </c>
    </row>
    <row r="1154" spans="1:19" ht="15.75" customHeight="1" x14ac:dyDescent="0.3">
      <c r="A1154" s="37">
        <v>86077</v>
      </c>
      <c r="B1154" s="409">
        <f t="shared" ref="B1154:C1154" si="1170">($A1154-B$9)/365.25</f>
        <v>153.78781656399727</v>
      </c>
      <c r="C1154" s="409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3525.4531757812501</v>
      </c>
      <c r="H1154" s="25">
        <f>IF(B1154&lt;62,0,'Combined Retirement'!$I$14)</f>
        <v>2192</v>
      </c>
      <c r="I1154" s="25">
        <f>IF(C1154&lt;62,0,'Combined Retirement'!$I$13)</f>
        <v>2420</v>
      </c>
      <c r="J1154" s="25">
        <f t="shared" si="1043"/>
        <v>6404.7404596389215</v>
      </c>
      <c r="K1154" s="25">
        <f t="shared" si="1044"/>
        <v>16520.094745597391</v>
      </c>
      <c r="L1154" s="25"/>
      <c r="N1154" s="25">
        <f>'Combined Retirement'!$C$18/12</f>
        <v>33932.660666666663</v>
      </c>
      <c r="O1154" s="25">
        <f t="shared" si="1045"/>
        <v>11007.82546143035</v>
      </c>
      <c r="P1154" s="25">
        <f t="shared" si="1046"/>
        <v>22924.835205236312</v>
      </c>
      <c r="Q1154" s="25">
        <f t="array" aca="1" ref="Q1154" ca="1">INDEX('Isaac 401k'!L:L,MATCH('Retirement Calculator'!A1154,'Isaac 401k'!N:N,0),0)</f>
        <v>46764593.634704605</v>
      </c>
      <c r="R1154" s="25">
        <f t="array" aca="1" ref="R1154" ca="1">INDEX('Lorri 401b'!L:L,MATCH('Retirement Calculator'!A1154,'Lorri 401b'!N:N,0),0)</f>
        <v>29364152.625415809</v>
      </c>
      <c r="S1154" s="25">
        <f t="shared" ca="1" si="1047"/>
        <v>76128746.260120422</v>
      </c>
    </row>
    <row r="1155" spans="1:19" ht="15.75" customHeight="1" x14ac:dyDescent="0.3">
      <c r="A1155" s="37">
        <v>86107</v>
      </c>
      <c r="B1155" s="409">
        <f t="shared" ref="B1155:C1155" si="1171">($A1155-B$9)/365.25</f>
        <v>153.86995208761124</v>
      </c>
      <c r="C1155" s="409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3525.4531757812501</v>
      </c>
      <c r="H1155" s="25">
        <f>IF(B1155&lt;62,0,'Combined Retirement'!$I$14)</f>
        <v>2192</v>
      </c>
      <c r="I1155" s="25">
        <f>IF(C1155&lt;62,0,'Combined Retirement'!$I$13)</f>
        <v>2420</v>
      </c>
      <c r="J1155" s="25">
        <f t="shared" si="1043"/>
        <v>6404.7404596389215</v>
      </c>
      <c r="K1155" s="25">
        <f t="shared" si="1044"/>
        <v>16520.094745597391</v>
      </c>
      <c r="L1155" s="25"/>
      <c r="N1155" s="25">
        <f>'Combined Retirement'!$C$18/12</f>
        <v>33932.660666666663</v>
      </c>
      <c r="O1155" s="25">
        <f t="shared" si="1045"/>
        <v>11007.82546143035</v>
      </c>
      <c r="P1155" s="25">
        <f t="shared" si="1046"/>
        <v>22924.835205236312</v>
      </c>
      <c r="Q1155" s="25">
        <f t="array" aca="1" ref="Q1155" ca="1">INDEX('Isaac 401k'!L:L,MATCH('Retirement Calculator'!A1155,'Isaac 401k'!N:N,0),0)</f>
        <v>46953014.681304321</v>
      </c>
      <c r="R1155" s="25">
        <f t="array" aca="1" ref="R1155" ca="1">INDEX('Lorri 401b'!L:L,MATCH('Retirement Calculator'!A1155,'Lorri 401b'!N:N,0),0)</f>
        <v>29469914.332881335</v>
      </c>
      <c r="S1155" s="25">
        <f t="shared" ca="1" si="1047"/>
        <v>76422929.014185652</v>
      </c>
    </row>
    <row r="1156" spans="1:19" ht="15.75" customHeight="1" x14ac:dyDescent="0.3">
      <c r="A1156" s="37">
        <v>86138</v>
      </c>
      <c r="B1156" s="409">
        <f t="shared" ref="B1156:C1156" si="1172">($A1156-B$9)/365.25</f>
        <v>153.95482546201231</v>
      </c>
      <c r="C1156" s="409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3525.4531757812501</v>
      </c>
      <c r="H1156" s="25">
        <f>IF(B1156&lt;62,0,'Combined Retirement'!$I$14)</f>
        <v>2192</v>
      </c>
      <c r="I1156" s="25">
        <f>IF(C1156&lt;62,0,'Combined Retirement'!$I$13)</f>
        <v>2420</v>
      </c>
      <c r="J1156" s="25">
        <f t="shared" si="1043"/>
        <v>6404.7404596389215</v>
      </c>
      <c r="K1156" s="25">
        <f t="shared" si="1044"/>
        <v>16520.094745597391</v>
      </c>
      <c r="L1156" s="25"/>
      <c r="N1156" s="25">
        <f>'Combined Retirement'!$C$18/12</f>
        <v>33932.660666666663</v>
      </c>
      <c r="O1156" s="25">
        <f t="shared" si="1045"/>
        <v>11007.82546143035</v>
      </c>
      <c r="P1156" s="25">
        <f t="shared" si="1046"/>
        <v>22924.835205236312</v>
      </c>
      <c r="Q1156" s="25">
        <f t="array" aca="1" ref="Q1156" ca="1">INDEX('Isaac 401k'!L:L,MATCH('Retirement Calculator'!A1156,'Isaac 401k'!N:N,0),0)</f>
        <v>47142220.815598205</v>
      </c>
      <c r="R1156" s="25">
        <f t="array" aca="1" ref="R1156" ca="1">INDEX('Lorri 401b'!L:L,MATCH('Retirement Calculator'!A1156,'Lorri 401b'!N:N,0),0)</f>
        <v>29576116.714127969</v>
      </c>
      <c r="S1156" s="25">
        <f t="shared" ca="1" si="1047"/>
        <v>76718337.529726177</v>
      </c>
    </row>
    <row r="1157" spans="1:19" ht="15.75" customHeight="1" x14ac:dyDescent="0.3">
      <c r="A1157" s="37">
        <v>86168</v>
      </c>
      <c r="B1157" s="409">
        <f t="shared" ref="B1157:C1157" si="1173">($A1157-B$9)/365.25</f>
        <v>154.03696098562628</v>
      </c>
      <c r="C1157" s="409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3525.4531757812501</v>
      </c>
      <c r="H1157" s="25">
        <f>IF(B1157&lt;62,0,'Combined Retirement'!$I$14)</f>
        <v>2192</v>
      </c>
      <c r="I1157" s="25">
        <f>IF(C1157&lt;62,0,'Combined Retirement'!$I$13)</f>
        <v>2420</v>
      </c>
      <c r="J1157" s="25">
        <f t="shared" si="1043"/>
        <v>6404.7404596389215</v>
      </c>
      <c r="K1157" s="25">
        <f t="shared" si="1044"/>
        <v>16520.094745597391</v>
      </c>
      <c r="L1157" s="25"/>
      <c r="N1157" s="25">
        <f>'Combined Retirement'!$C$18/12</f>
        <v>33932.660666666663</v>
      </c>
      <c r="O1157" s="25">
        <f t="shared" si="1045"/>
        <v>11007.82546143035</v>
      </c>
      <c r="P1157" s="25">
        <f t="shared" si="1046"/>
        <v>22924.835205236312</v>
      </c>
      <c r="Q1157" s="25">
        <f t="array" aca="1" ref="Q1157" ca="1">INDEX('Isaac 401k'!L:L,MATCH('Retirement Calculator'!A1157,'Isaac 401k'!N:N,0),0)</f>
        <v>47332215.308784977</v>
      </c>
      <c r="R1157" s="25">
        <f t="array" aca="1" ref="R1157" ca="1">INDEX('Lorri 401b'!L:L,MATCH('Retirement Calculator'!A1157,'Lorri 401b'!N:N,0),0)</f>
        <v>29682761.605296463</v>
      </c>
      <c r="S1157" s="25">
        <f t="shared" ca="1" si="1047"/>
        <v>77014976.914081439</v>
      </c>
    </row>
    <row r="1158" spans="1:19" ht="15.75" customHeight="1" x14ac:dyDescent="0.3">
      <c r="A1158" s="37">
        <v>86199</v>
      </c>
      <c r="B1158" s="409">
        <f t="shared" ref="B1158:C1158" si="1174">($A1158-B$9)/365.25</f>
        <v>154.12183436002738</v>
      </c>
      <c r="C1158" s="409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3525.4531757812501</v>
      </c>
      <c r="H1158" s="25">
        <f>IF(B1158&lt;62,0,'Combined Retirement'!$I$14)</f>
        <v>2192</v>
      </c>
      <c r="I1158" s="25">
        <f>IF(C1158&lt;62,0,'Combined Retirement'!$I$13)</f>
        <v>2420</v>
      </c>
      <c r="J1158" s="25">
        <f t="shared" si="1043"/>
        <v>6404.7404596389215</v>
      </c>
      <c r="K1158" s="25">
        <f t="shared" si="1044"/>
        <v>16520.094745597391</v>
      </c>
      <c r="L1158" s="25"/>
      <c r="N1158" s="25">
        <f>'Combined Retirement'!$C$18/12</f>
        <v>33932.660666666663</v>
      </c>
      <c r="O1158" s="25">
        <f t="shared" si="1045"/>
        <v>11007.82546143035</v>
      </c>
      <c r="P1158" s="25">
        <f t="shared" si="1046"/>
        <v>22924.835205236312</v>
      </c>
      <c r="Q1158" s="25">
        <f t="array" aca="1" ref="Q1158" ca="1">INDEX('Isaac 401k'!L:L,MATCH('Retirement Calculator'!A1158,'Isaac 401k'!N:N,0),0)</f>
        <v>47523001.445693366</v>
      </c>
      <c r="R1158" s="25">
        <f t="array" aca="1" ref="R1158" ca="1">INDEX('Lorri 401b'!L:L,MATCH('Retirement Calculator'!A1158,'Lorri 401b'!N:N,0),0)</f>
        <v>29789850.85017816</v>
      </c>
      <c r="S1158" s="25">
        <f t="shared" ca="1" si="1047"/>
        <v>77312852.295871526</v>
      </c>
    </row>
    <row r="1159" spans="1:19" ht="15.75" customHeight="1" x14ac:dyDescent="0.3">
      <c r="A1159" s="37">
        <v>86230</v>
      </c>
      <c r="B1159" s="409">
        <f t="shared" ref="B1159:C1159" si="1175">($A1159-B$9)/365.25</f>
        <v>154.20670773442848</v>
      </c>
      <c r="C1159" s="409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3525.4531757812501</v>
      </c>
      <c r="H1159" s="25">
        <f>IF(B1159&lt;62,0,'Combined Retirement'!$I$14)</f>
        <v>2192</v>
      </c>
      <c r="I1159" s="25">
        <f>IF(C1159&lt;62,0,'Combined Retirement'!$I$13)</f>
        <v>2420</v>
      </c>
      <c r="J1159" s="25">
        <f t="shared" si="1043"/>
        <v>6404.7404596389215</v>
      </c>
      <c r="K1159" s="25">
        <f t="shared" si="1044"/>
        <v>16520.094745597391</v>
      </c>
      <c r="L1159" s="25"/>
      <c r="N1159" s="25">
        <f>'Combined Retirement'!$C$18/12</f>
        <v>33932.660666666663</v>
      </c>
      <c r="O1159" s="25">
        <f t="shared" si="1045"/>
        <v>11007.82546143035</v>
      </c>
      <c r="P1159" s="25">
        <f t="shared" si="1046"/>
        <v>22924.835205236312</v>
      </c>
      <c r="Q1159" s="25">
        <f t="array" aca="1" ref="Q1159" ca="1">INDEX('Isaac 401k'!L:L,MATCH('Retirement Calculator'!A1159,'Isaac 401k'!N:N,0),0)</f>
        <v>47714582.524838872</v>
      </c>
      <c r="R1159" s="25">
        <f t="array" aca="1" ref="R1159" ca="1">INDEX('Lorri 401b'!L:L,MATCH('Retirement Calculator'!A1159,'Lorri 401b'!N:N,0),0)</f>
        <v>29897386.300246865</v>
      </c>
      <c r="S1159" s="25">
        <f t="shared" ca="1" si="1047"/>
        <v>77611968.825085729</v>
      </c>
    </row>
    <row r="1160" spans="1:19" ht="15.75" customHeight="1" x14ac:dyDescent="0.3">
      <c r="A1160" s="37">
        <v>86259</v>
      </c>
      <c r="B1160" s="409">
        <f t="shared" ref="B1160:C1160" si="1176">($A1160-B$9)/365.25</f>
        <v>154.28610540725529</v>
      </c>
      <c r="C1160" s="409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3525.4531757812501</v>
      </c>
      <c r="H1160" s="25">
        <f>IF(B1160&lt;62,0,'Combined Retirement'!$I$14)</f>
        <v>2192</v>
      </c>
      <c r="I1160" s="25">
        <f>IF(C1160&lt;62,0,'Combined Retirement'!$I$13)</f>
        <v>2420</v>
      </c>
      <c r="J1160" s="25">
        <f t="shared" si="1043"/>
        <v>6404.7404596389215</v>
      </c>
      <c r="K1160" s="25">
        <f t="shared" si="1044"/>
        <v>16520.094745597391</v>
      </c>
      <c r="L1160" s="25"/>
      <c r="N1160" s="25">
        <f>'Combined Retirement'!$C$18/12</f>
        <v>33932.660666666663</v>
      </c>
      <c r="O1160" s="25">
        <f t="shared" si="1045"/>
        <v>11007.82546143035</v>
      </c>
      <c r="P1160" s="25">
        <f t="shared" si="1046"/>
        <v>22924.835205236312</v>
      </c>
      <c r="Q1160" s="25">
        <f t="array" aca="1" ref="Q1160" ca="1">INDEX('Isaac 401k'!L:L,MATCH('Retirement Calculator'!A1160,'Isaac 401k'!N:N,0),0)</f>
        <v>47906961.858480819</v>
      </c>
      <c r="R1160" s="25">
        <f t="array" aca="1" ref="R1160" ca="1">INDEX('Lorri 401b'!L:L,MATCH('Retirement Calculator'!A1160,'Lorri 401b'!N:N,0),0)</f>
        <v>30005369.814690854</v>
      </c>
      <c r="S1160" s="25">
        <f t="shared" ca="1" si="1047"/>
        <v>77912331.673171669</v>
      </c>
    </row>
    <row r="1161" spans="1:19" ht="15.75" customHeight="1" x14ac:dyDescent="0.3">
      <c r="A1161" s="37">
        <v>86290</v>
      </c>
      <c r="B1161" s="409">
        <f t="shared" ref="B1161:C1161" si="1177">($A1161-B$9)/365.25</f>
        <v>154.37097878165639</v>
      </c>
      <c r="C1161" s="409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3525.4531757812501</v>
      </c>
      <c r="H1161" s="25">
        <f>IF(B1161&lt;62,0,'Combined Retirement'!$I$14)</f>
        <v>2192</v>
      </c>
      <c r="I1161" s="25">
        <f>IF(C1161&lt;62,0,'Combined Retirement'!$I$13)</f>
        <v>2420</v>
      </c>
      <c r="J1161" s="25">
        <f t="shared" si="1043"/>
        <v>6404.7404596389215</v>
      </c>
      <c r="K1161" s="25">
        <f t="shared" si="1044"/>
        <v>16520.094745597391</v>
      </c>
      <c r="L1161" s="25"/>
      <c r="N1161" s="25">
        <f>'Combined Retirement'!$C$18/12</f>
        <v>33932.660666666663</v>
      </c>
      <c r="O1161" s="25">
        <f t="shared" si="1045"/>
        <v>11007.82546143035</v>
      </c>
      <c r="P1161" s="25">
        <f t="shared" si="1046"/>
        <v>22924.835205236312</v>
      </c>
      <c r="Q1161" s="25">
        <f t="array" aca="1" ref="Q1161" ca="1">INDEX('Isaac 401k'!L:L,MATCH('Retirement Calculator'!A1161,'Isaac 401k'!N:N,0),0)</f>
        <v>48100142.772679605</v>
      </c>
      <c r="R1161" s="25">
        <f t="array" aca="1" ref="R1161" ca="1">INDEX('Lorri 401b'!L:L,MATCH('Retirement Calculator'!A1161,'Lorri 401b'!N:N,0),0)</f>
        <v>30113803.260445029</v>
      </c>
      <c r="S1161" s="25">
        <f t="shared" ca="1" si="1047"/>
        <v>78213946.033124626</v>
      </c>
    </row>
    <row r="1162" spans="1:19" ht="15.75" customHeight="1" x14ac:dyDescent="0.3">
      <c r="A1162" s="37">
        <v>86320</v>
      </c>
      <c r="B1162" s="409">
        <f t="shared" ref="B1162:C1162" si="1178">($A1162-B$9)/365.25</f>
        <v>154.45311430527036</v>
      </c>
      <c r="C1162" s="409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3525.4531757812501</v>
      </c>
      <c r="H1162" s="25">
        <f>IF(B1162&lt;62,0,'Combined Retirement'!$I$14)</f>
        <v>2192</v>
      </c>
      <c r="I1162" s="25">
        <f>IF(C1162&lt;62,0,'Combined Retirement'!$I$13)</f>
        <v>2420</v>
      </c>
      <c r="J1162" s="25">
        <f t="shared" si="1043"/>
        <v>6404.7404596389215</v>
      </c>
      <c r="K1162" s="25">
        <f t="shared" si="1044"/>
        <v>16520.094745597391</v>
      </c>
      <c r="L1162" s="25"/>
      <c r="N1162" s="25">
        <f>'Combined Retirement'!$C$18/12</f>
        <v>33932.660666666663</v>
      </c>
      <c r="O1162" s="25">
        <f t="shared" si="1045"/>
        <v>11007.82546143035</v>
      </c>
      <c r="P1162" s="25">
        <f t="shared" si="1046"/>
        <v>22924.835205236312</v>
      </c>
      <c r="Q1162" s="25">
        <f t="array" aca="1" ref="Q1162" ca="1">INDEX('Isaac 401k'!L:L,MATCH('Retirement Calculator'!A1162,'Isaac 401k'!N:N,0),0)</f>
        <v>48294128.607354216</v>
      </c>
      <c r="R1162" s="25">
        <f t="array" aca="1" ref="R1162" ca="1">INDEX('Lorri 401b'!L:L,MATCH('Retirement Calculator'!A1162,'Lorri 401b'!N:N,0),0)</f>
        <v>30222688.512223177</v>
      </c>
      <c r="S1162" s="25">
        <f t="shared" ca="1" si="1047"/>
        <v>78516817.119577393</v>
      </c>
    </row>
    <row r="1163" spans="1:19" ht="15.75" customHeight="1" x14ac:dyDescent="0.3">
      <c r="A1163" s="37">
        <v>86351</v>
      </c>
      <c r="B1163" s="409">
        <f t="shared" ref="B1163:C1163" si="1179">($A1163-B$9)/365.25</f>
        <v>154.53798767967146</v>
      </c>
      <c r="C1163" s="409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3525.4531757812501</v>
      </c>
      <c r="H1163" s="25">
        <f>IF(B1163&lt;62,0,'Combined Retirement'!$I$14)</f>
        <v>2192</v>
      </c>
      <c r="I1163" s="25">
        <f>IF(C1163&lt;62,0,'Combined Retirement'!$I$13)</f>
        <v>2420</v>
      </c>
      <c r="J1163" s="25">
        <f t="shared" si="1043"/>
        <v>6404.7404596389215</v>
      </c>
      <c r="K1163" s="25">
        <f t="shared" si="1044"/>
        <v>16520.094745597391</v>
      </c>
      <c r="L1163" s="25"/>
      <c r="N1163" s="25">
        <f>'Combined Retirement'!$C$18/12</f>
        <v>33932.660666666663</v>
      </c>
      <c r="O1163" s="25">
        <f t="shared" si="1045"/>
        <v>11007.82546143035</v>
      </c>
      <c r="P1163" s="25">
        <f t="shared" si="1046"/>
        <v>22924.835205236312</v>
      </c>
      <c r="Q1163" s="25">
        <f t="array" aca="1" ref="Q1163" ca="1">INDEX('Isaac 401k'!L:L,MATCH('Retirement Calculator'!A1163,'Isaac 401k'!N:N,0),0)</f>
        <v>48488922.716339976</v>
      </c>
      <c r="R1163" s="25">
        <f t="array" aca="1" ref="R1163" ca="1">INDEX('Lorri 401b'!L:L,MATCH('Retirement Calculator'!A1163,'Lorri 401b'!N:N,0),0)</f>
        <v>30332027.4525504</v>
      </c>
      <c r="S1163" s="25">
        <f t="shared" ca="1" si="1047"/>
        <v>78820950.168890372</v>
      </c>
    </row>
    <row r="1164" spans="1:19" ht="15.75" customHeight="1" x14ac:dyDescent="0.3">
      <c r="A1164" s="37">
        <v>86381</v>
      </c>
      <c r="B1164" s="409">
        <f t="shared" ref="B1164:C1164" si="1180">($A1164-B$9)/365.25</f>
        <v>154.62012320328543</v>
      </c>
      <c r="C1164" s="409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3525.4531757812501</v>
      </c>
      <c r="H1164" s="25">
        <f>IF(B1164&lt;62,0,'Combined Retirement'!$I$14)</f>
        <v>2192</v>
      </c>
      <c r="I1164" s="25">
        <f>IF(C1164&lt;62,0,'Combined Retirement'!$I$13)</f>
        <v>2420</v>
      </c>
      <c r="J1164" s="25">
        <f t="shared" si="1043"/>
        <v>6404.7404596389215</v>
      </c>
      <c r="K1164" s="25">
        <f t="shared" si="1044"/>
        <v>16520.094745597391</v>
      </c>
      <c r="L1164" s="25"/>
      <c r="N1164" s="25">
        <f>'Combined Retirement'!$C$18/12</f>
        <v>33932.660666666663</v>
      </c>
      <c r="O1164" s="25">
        <f t="shared" si="1045"/>
        <v>11007.82546143035</v>
      </c>
      <c r="P1164" s="25">
        <f t="shared" si="1046"/>
        <v>22924.835205236312</v>
      </c>
      <c r="Q1164" s="25">
        <f t="array" aca="1" ref="Q1164" ca="1">INDEX('Isaac 401k'!L:L,MATCH('Retirement Calculator'!A1164,'Isaac 401k'!N:N,0),0)</f>
        <v>48684528.467446506</v>
      </c>
      <c r="R1164" s="25">
        <f t="array" aca="1" ref="R1164" ca="1">INDEX('Lorri 401b'!L:L,MATCH('Retirement Calculator'!A1164,'Lorri 401b'!N:N,0),0)</f>
        <v>30441821.971795656</v>
      </c>
      <c r="S1164" s="25">
        <f t="shared" ca="1" si="1047"/>
        <v>79126350.439242154</v>
      </c>
    </row>
    <row r="1165" spans="1:19" ht="15.75" customHeight="1" x14ac:dyDescent="0.3">
      <c r="A1165" s="37">
        <v>86412</v>
      </c>
      <c r="B1165" s="409">
        <f t="shared" ref="B1165:C1165" si="1181">($A1165-B$9)/365.25</f>
        <v>154.70499657768653</v>
      </c>
      <c r="C1165" s="409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3525.4531757812501</v>
      </c>
      <c r="H1165" s="25">
        <f>IF(B1165&lt;62,0,'Combined Retirement'!$I$14)</f>
        <v>2192</v>
      </c>
      <c r="I1165" s="25">
        <f>IF(C1165&lt;62,0,'Combined Retirement'!$I$13)</f>
        <v>2420</v>
      </c>
      <c r="J1165" s="25">
        <f t="shared" si="1043"/>
        <v>6404.7404596389215</v>
      </c>
      <c r="K1165" s="25">
        <f t="shared" si="1044"/>
        <v>16520.094745597391</v>
      </c>
      <c r="L1165" s="25"/>
      <c r="N1165" s="25">
        <f>'Combined Retirement'!$C$18/12</f>
        <v>33932.660666666663</v>
      </c>
      <c r="O1165" s="25">
        <f t="shared" si="1045"/>
        <v>11007.82546143035</v>
      </c>
      <c r="P1165" s="25">
        <f t="shared" si="1046"/>
        <v>22924.835205236312</v>
      </c>
      <c r="Q1165" s="25">
        <f t="array" aca="1" ref="Q1165" ca="1">INDEX('Isaac 401k'!L:L,MATCH('Retirement Calculator'!A1165,'Isaac 401k'!N:N,0),0)</f>
        <v>48880949.242515981</v>
      </c>
      <c r="R1165" s="25">
        <f t="array" aca="1" ref="R1165" ca="1">INDEX('Lorri 401b'!L:L,MATCH('Retirement Calculator'!A1165,'Lorri 401b'!N:N,0),0)</f>
        <v>30552073.968204431</v>
      </c>
      <c r="S1165" s="25">
        <f t="shared" ca="1" si="1047"/>
        <v>79433023.21072042</v>
      </c>
    </row>
    <row r="1166" spans="1:19" ht="15.75" customHeight="1" x14ac:dyDescent="0.3">
      <c r="A1166" s="37">
        <v>86443</v>
      </c>
      <c r="B1166" s="409">
        <f t="shared" ref="B1166:C1166" si="1182">($A1166-B$9)/365.25</f>
        <v>154.7898699520876</v>
      </c>
      <c r="C1166" s="409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3525.4531757812501</v>
      </c>
      <c r="H1166" s="25">
        <f>IF(B1166&lt;62,0,'Combined Retirement'!$I$14)</f>
        <v>2192</v>
      </c>
      <c r="I1166" s="25">
        <f>IF(C1166&lt;62,0,'Combined Retirement'!$I$13)</f>
        <v>2420</v>
      </c>
      <c r="J1166" s="25">
        <f t="shared" si="1043"/>
        <v>6404.7404596389215</v>
      </c>
      <c r="K1166" s="25">
        <f t="shared" si="1044"/>
        <v>16520.094745597391</v>
      </c>
      <c r="L1166" s="25"/>
      <c r="N1166" s="25">
        <f>'Combined Retirement'!$C$18/12</f>
        <v>33932.660666666663</v>
      </c>
      <c r="O1166" s="25">
        <f t="shared" si="1045"/>
        <v>11007.82546143035</v>
      </c>
      <c r="P1166" s="25">
        <f t="shared" si="1046"/>
        <v>22924.835205236312</v>
      </c>
      <c r="Q1166" s="25">
        <f t="array" aca="1" ref="Q1166" ca="1">INDEX('Isaac 401k'!L:L,MATCH('Retirement Calculator'!A1166,'Isaac 401k'!N:N,0),0)</f>
        <v>49078188.437481582</v>
      </c>
      <c r="R1166" s="25">
        <f t="array" aca="1" ref="R1166" ca="1">INDEX('Lorri 401b'!L:L,MATCH('Retirement Calculator'!A1166,'Lorri 401b'!N:N,0),0)</f>
        <v>30662785.347931579</v>
      </c>
      <c r="S1166" s="25">
        <f t="shared" ca="1" si="1047"/>
        <v>79740973.785413161</v>
      </c>
    </row>
    <row r="1167" spans="1:19" ht="15.75" customHeight="1" x14ac:dyDescent="0.3">
      <c r="A1167" s="37">
        <v>86473</v>
      </c>
      <c r="B1167" s="409">
        <f t="shared" ref="B1167:C1167" si="1183">($A1167-B$9)/365.25</f>
        <v>154.87200547570157</v>
      </c>
      <c r="C1167" s="409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3525.4531757812501</v>
      </c>
      <c r="H1167" s="25">
        <f>IF(B1167&lt;62,0,'Combined Retirement'!$I$14)</f>
        <v>2192</v>
      </c>
      <c r="I1167" s="25">
        <f>IF(C1167&lt;62,0,'Combined Retirement'!$I$13)</f>
        <v>2420</v>
      </c>
      <c r="J1167" s="25">
        <f t="shared" si="1043"/>
        <v>6404.7404596389215</v>
      </c>
      <c r="K1167" s="25">
        <f t="shared" si="1044"/>
        <v>16520.094745597391</v>
      </c>
      <c r="L1167" s="25"/>
      <c r="N1167" s="25">
        <f>'Combined Retirement'!$C$18/12</f>
        <v>33932.660666666663</v>
      </c>
      <c r="O1167" s="25">
        <f t="shared" si="1045"/>
        <v>11007.82546143035</v>
      </c>
      <c r="P1167" s="25">
        <f t="shared" si="1046"/>
        <v>22924.835205236312</v>
      </c>
      <c r="Q1167" s="25">
        <f t="array" aca="1" ref="Q1167" ca="1">INDEX('Isaac 401k'!L:L,MATCH('Retirement Calculator'!A1167,'Isaac 401k'!N:N,0),0)</f>
        <v>49276249.462426208</v>
      </c>
      <c r="R1167" s="25">
        <f t="array" aca="1" ref="R1167" ca="1">INDEX('Lorri 401b'!L:L,MATCH('Retirement Calculator'!A1167,'Lorri 401b'!N:N,0),0)</f>
        <v>30773958.025074255</v>
      </c>
      <c r="S1167" s="25">
        <f t="shared" ca="1" si="1047"/>
        <v>80050207.487500459</v>
      </c>
    </row>
    <row r="1168" spans="1:19" ht="15.75" customHeight="1" x14ac:dyDescent="0.3">
      <c r="A1168" s="37">
        <v>86504</v>
      </c>
      <c r="B1168" s="409">
        <f t="shared" ref="B1168:C1168" si="1184">($A1168-B$9)/365.25</f>
        <v>154.95687885010267</v>
      </c>
      <c r="C1168" s="409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3525.4531757812501</v>
      </c>
      <c r="H1168" s="25">
        <f>IF(B1168&lt;62,0,'Combined Retirement'!$I$14)</f>
        <v>2192</v>
      </c>
      <c r="I1168" s="25">
        <f>IF(C1168&lt;62,0,'Combined Retirement'!$I$13)</f>
        <v>2420</v>
      </c>
      <c r="J1168" s="25">
        <f t="shared" si="1043"/>
        <v>6404.7404596389215</v>
      </c>
      <c r="K1168" s="25">
        <f t="shared" si="1044"/>
        <v>16520.094745597391</v>
      </c>
      <c r="L1168" s="25"/>
      <c r="N1168" s="25">
        <f>'Combined Retirement'!$C$18/12</f>
        <v>33932.660666666663</v>
      </c>
      <c r="O1168" s="25">
        <f t="shared" si="1045"/>
        <v>11007.82546143035</v>
      </c>
      <c r="P1168" s="25">
        <f t="shared" si="1046"/>
        <v>22924.835205236312</v>
      </c>
      <c r="Q1168" s="25">
        <f t="array" aca="1" ref="Q1168" ca="1">INDEX('Isaac 401k'!L:L,MATCH('Retirement Calculator'!A1168,'Isaac 401k'!N:N,0),0)</f>
        <v>49475135.741641432</v>
      </c>
      <c r="R1168" s="25">
        <f t="array" aca="1" ref="R1168" ca="1">INDEX('Lorri 401b'!L:L,MATCH('Retirement Calculator'!A1168,'Lorri 401b'!N:N,0),0)</f>
        <v>30885593.921705026</v>
      </c>
      <c r="S1168" s="25">
        <f t="shared" ca="1" si="1047"/>
        <v>80360729.663346455</v>
      </c>
    </row>
    <row r="1169" spans="1:19" ht="15.75" customHeight="1" x14ac:dyDescent="0.3">
      <c r="A1169" s="37">
        <v>86534</v>
      </c>
      <c r="B1169" s="409">
        <f t="shared" ref="B1169:C1169" si="1185">($A1169-B$9)/365.25</f>
        <v>155.03901437371664</v>
      </c>
      <c r="C1169" s="409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3525.4531757812501</v>
      </c>
      <c r="H1169" s="25">
        <f>IF(B1169&lt;62,0,'Combined Retirement'!$I$14)</f>
        <v>2192</v>
      </c>
      <c r="I1169" s="25">
        <f>IF(C1169&lt;62,0,'Combined Retirement'!$I$13)</f>
        <v>2420</v>
      </c>
      <c r="J1169" s="25">
        <f t="shared" si="1043"/>
        <v>6404.7404596389215</v>
      </c>
      <c r="K1169" s="25">
        <f t="shared" si="1044"/>
        <v>16520.094745597391</v>
      </c>
      <c r="L1169" s="25"/>
      <c r="N1169" s="25">
        <f>'Combined Retirement'!$C$18/12</f>
        <v>33932.660666666663</v>
      </c>
      <c r="O1169" s="25">
        <f t="shared" si="1045"/>
        <v>11007.82546143035</v>
      </c>
      <c r="P1169" s="25">
        <f t="shared" si="1046"/>
        <v>22924.835205236312</v>
      </c>
      <c r="Q1169" s="25">
        <f t="array" aca="1" ref="Q1169" ca="1">INDEX('Isaac 401k'!L:L,MATCH('Retirement Calculator'!A1169,'Isaac 401k'!N:N,0),0)</f>
        <v>49674850.71368672</v>
      </c>
      <c r="R1169" s="25">
        <f t="array" aca="1" ref="R1169" ca="1">INDEX('Lorri 401b'!L:L,MATCH('Retirement Calculator'!A1169,'Lorri 401b'!N:N,0),0)</f>
        <v>30997694.967905093</v>
      </c>
      <c r="S1169" s="25">
        <f t="shared" ca="1" si="1047"/>
        <v>80672545.681591809</v>
      </c>
    </row>
    <row r="1170" spans="1:19" ht="15.75" customHeight="1" x14ac:dyDescent="0.3">
      <c r="A1170" s="37">
        <v>86565</v>
      </c>
      <c r="B1170" s="409">
        <f t="shared" ref="B1170:C1170" si="1186">($A1170-B$9)/365.25</f>
        <v>155.12388774811774</v>
      </c>
      <c r="C1170" s="409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3525.4531757812501</v>
      </c>
      <c r="H1170" s="25">
        <f>IF(B1170&lt;62,0,'Combined Retirement'!$I$14)</f>
        <v>2192</v>
      </c>
      <c r="I1170" s="25">
        <f>IF(C1170&lt;62,0,'Combined Retirement'!$I$13)</f>
        <v>2420</v>
      </c>
      <c r="J1170" s="25">
        <f t="shared" si="1043"/>
        <v>6404.7404596389215</v>
      </c>
      <c r="K1170" s="25">
        <f t="shared" si="1044"/>
        <v>16520.094745597391</v>
      </c>
      <c r="L1170" s="25"/>
      <c r="N1170" s="25">
        <f>'Combined Retirement'!$C$18/12</f>
        <v>33932.660666666663</v>
      </c>
      <c r="O1170" s="25">
        <f t="shared" si="1045"/>
        <v>11007.82546143035</v>
      </c>
      <c r="P1170" s="25">
        <f t="shared" si="1046"/>
        <v>22924.835205236312</v>
      </c>
      <c r="Q1170" s="25">
        <f t="array" aca="1" ref="Q1170" ca="1">INDEX('Isaac 401k'!L:L,MATCH('Retirement Calculator'!A1170,'Isaac 401k'!N:N,0),0)</f>
        <v>49875397.83144886</v>
      </c>
      <c r="R1170" s="25">
        <f t="array" aca="1" ref="R1170" ca="1">INDEX('Lorri 401b'!L:L,MATCH('Retirement Calculator'!A1170,'Lorri 401b'!N:N,0),0)</f>
        <v>31110263.101797659</v>
      </c>
      <c r="S1170" s="25">
        <f t="shared" ca="1" si="1047"/>
        <v>80985660.933246523</v>
      </c>
    </row>
    <row r="1171" spans="1:19" ht="15.75" customHeight="1" x14ac:dyDescent="0.3">
      <c r="A1171" s="37">
        <v>86596</v>
      </c>
      <c r="B1171" s="409">
        <f t="shared" ref="B1171:C1171" si="1187">($A1171-B$9)/365.25</f>
        <v>155.20876112251884</v>
      </c>
      <c r="C1171" s="409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3525.4531757812501</v>
      </c>
      <c r="H1171" s="25">
        <f>IF(B1171&lt;62,0,'Combined Retirement'!$I$14)</f>
        <v>2192</v>
      </c>
      <c r="I1171" s="25">
        <f>IF(C1171&lt;62,0,'Combined Retirement'!$I$13)</f>
        <v>2420</v>
      </c>
      <c r="J1171" s="25">
        <f t="shared" si="1043"/>
        <v>6404.7404596389215</v>
      </c>
      <c r="K1171" s="25">
        <f t="shared" si="1044"/>
        <v>16520.094745597391</v>
      </c>
      <c r="L1171" s="25"/>
      <c r="N1171" s="25">
        <f>'Combined Retirement'!$C$18/12</f>
        <v>33932.660666666663</v>
      </c>
      <c r="O1171" s="25">
        <f t="shared" si="1045"/>
        <v>11007.82546143035</v>
      </c>
      <c r="P1171" s="25">
        <f t="shared" si="1046"/>
        <v>22924.835205236312</v>
      </c>
      <c r="Q1171" s="25">
        <f t="array" aca="1" ref="Q1171" ca="1">INDEX('Isaac 401k'!L:L,MATCH('Retirement Calculator'!A1171,'Isaac 401k'!N:N,0),0)</f>
        <v>50076780.562201679</v>
      </c>
      <c r="R1171" s="25">
        <f t="array" aca="1" ref="R1171" ca="1">INDEX('Lorri 401b'!L:L,MATCH('Retirement Calculator'!A1171,'Lorri 401b'!N:N,0),0)</f>
        <v>31223300.269581445</v>
      </c>
      <c r="S1171" s="25">
        <f t="shared" ca="1" si="1047"/>
        <v>81300080.831783116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>
      <pane ySplit="6" topLeftCell="A7" activePane="bottomLeft" state="frozen"/>
      <selection pane="bottomLeft" activeCell="B8" sqref="B8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304"/>
      <c r="B1" s="349" t="s">
        <v>607</v>
      </c>
      <c r="C1" s="349" t="s">
        <v>608</v>
      </c>
      <c r="D1" s="410" t="s">
        <v>609</v>
      </c>
      <c r="E1" s="410" t="s">
        <v>610</v>
      </c>
      <c r="F1" s="410" t="s">
        <v>611</v>
      </c>
      <c r="G1" s="410" t="s">
        <v>612</v>
      </c>
      <c r="H1" s="307"/>
      <c r="I1" s="307"/>
      <c r="J1" s="411"/>
      <c r="K1" s="411"/>
      <c r="L1" s="307"/>
      <c r="M1" s="307"/>
      <c r="N1" s="307"/>
      <c r="O1" s="411"/>
      <c r="P1" s="411"/>
      <c r="Q1" s="412">
        <f ca="1">(TODAY()-B18)/365</f>
        <v>15.876712328767123</v>
      </c>
      <c r="R1" s="411"/>
      <c r="S1" s="411"/>
      <c r="T1" s="411"/>
      <c r="U1" s="411"/>
      <c r="V1" s="412">
        <f ca="1">(TODAY()-B16)/365</f>
        <v>16.372602739726027</v>
      </c>
      <c r="W1" s="307"/>
      <c r="X1" s="411"/>
      <c r="Y1" s="307"/>
      <c r="Z1" s="307"/>
    </row>
    <row r="2" spans="1:26" ht="11.25" customHeight="1" x14ac:dyDescent="0.3">
      <c r="A2" s="412">
        <f ca="1">(C2-B2)/365</f>
        <v>18.627397260273973</v>
      </c>
      <c r="B2" s="349">
        <v>39356</v>
      </c>
      <c r="C2" s="349">
        <f ca="1">TODAY()</f>
        <v>46155</v>
      </c>
      <c r="D2" s="410">
        <f>-(SUM(D7:D80))</f>
        <v>-435224.27000000008</v>
      </c>
      <c r="E2" s="410">
        <f>(H82+L82+Q82+V82)*-1</f>
        <v>1063118.3599999999</v>
      </c>
      <c r="F2" s="296">
        <f ca="1">D4</f>
        <v>0.1115842044353485</v>
      </c>
      <c r="G2" s="413">
        <f ca="1">(72/(F2*100))</f>
        <v>6.4525261764729933</v>
      </c>
      <c r="H2" s="412"/>
      <c r="I2" s="307"/>
      <c r="J2" s="411"/>
      <c r="K2" s="411"/>
      <c r="L2" s="307"/>
      <c r="M2" s="307"/>
      <c r="N2" s="307"/>
      <c r="O2" s="411"/>
      <c r="P2" s="411"/>
      <c r="Q2" s="411"/>
      <c r="R2" s="411"/>
      <c r="S2" s="411"/>
      <c r="T2" s="411"/>
      <c r="U2" s="411"/>
      <c r="V2" s="411"/>
      <c r="W2" s="307"/>
      <c r="X2" s="411"/>
      <c r="Y2" s="307"/>
      <c r="Z2" s="307"/>
    </row>
    <row r="3" spans="1:26" ht="11.25" customHeight="1" x14ac:dyDescent="0.3">
      <c r="A3" s="304"/>
      <c r="B3" s="414"/>
      <c r="C3" s="414"/>
      <c r="D3" s="411"/>
      <c r="E3" s="411"/>
      <c r="F3" s="307"/>
      <c r="G3" s="307"/>
      <c r="H3" s="307"/>
      <c r="I3" s="307"/>
      <c r="J3" s="411"/>
      <c r="K3" s="411"/>
      <c r="L3" s="307"/>
      <c r="M3" s="307"/>
      <c r="N3" s="307"/>
      <c r="O3" s="411"/>
      <c r="P3" s="411"/>
      <c r="Q3" s="411"/>
      <c r="R3" s="411"/>
      <c r="S3" s="411"/>
      <c r="T3" s="411"/>
      <c r="U3" s="411"/>
      <c r="V3" s="411"/>
      <c r="W3" s="307"/>
      <c r="X3" s="411"/>
      <c r="Y3" s="307"/>
      <c r="Z3" s="307"/>
    </row>
    <row r="4" spans="1:26" ht="11.25" customHeight="1" x14ac:dyDescent="0.3">
      <c r="A4" s="415"/>
      <c r="B4" s="416"/>
      <c r="C4" s="417"/>
      <c r="D4" s="307">
        <f ca="1">XIRR(D7:D82,B7:B82)</f>
        <v>0.1115842044353485</v>
      </c>
      <c r="E4" s="411"/>
      <c r="F4" s="307"/>
      <c r="G4" s="307"/>
      <c r="H4" s="307"/>
      <c r="I4" s="411"/>
      <c r="J4" s="307">
        <f ca="1">XIRR(H8:H82,B8:B82)</f>
        <v>0.11310397982597351</v>
      </c>
      <c r="K4" s="307"/>
      <c r="L4" s="307"/>
      <c r="M4" s="307"/>
      <c r="N4" s="411"/>
      <c r="O4" s="307">
        <f ca="1">XIRR(L7:L82,B7:B82)</f>
        <v>0.11018785834312439</v>
      </c>
      <c r="P4" s="307"/>
      <c r="Q4" s="307"/>
      <c r="R4" s="411"/>
      <c r="S4" s="411"/>
      <c r="T4" s="307">
        <f ca="1">XIRR(Q18:Q82,B18:B82)</f>
        <v>0.11048911213874815</v>
      </c>
      <c r="U4" s="307"/>
      <c r="V4" s="307"/>
      <c r="W4" s="307"/>
      <c r="X4" s="411"/>
      <c r="Y4" s="307">
        <f ca="1">XIRR(V16:V82,B16:B82)</f>
        <v>0.1110995829105377</v>
      </c>
      <c r="Z4" s="307"/>
    </row>
    <row r="5" spans="1:26" ht="11.25" customHeight="1" x14ac:dyDescent="0.3">
      <c r="A5" s="415"/>
      <c r="B5" s="306"/>
      <c r="C5" s="306"/>
      <c r="D5" s="556" t="s">
        <v>613</v>
      </c>
      <c r="E5" s="552"/>
      <c r="F5" s="552"/>
      <c r="G5" s="537"/>
      <c r="H5" s="557" t="s">
        <v>614</v>
      </c>
      <c r="I5" s="552"/>
      <c r="J5" s="552"/>
      <c r="K5" s="537"/>
      <c r="L5" s="558" t="s">
        <v>615</v>
      </c>
      <c r="M5" s="552"/>
      <c r="N5" s="552"/>
      <c r="O5" s="552"/>
      <c r="P5" s="537"/>
      <c r="Q5" s="557" t="s">
        <v>616</v>
      </c>
      <c r="R5" s="552"/>
      <c r="S5" s="552"/>
      <c r="T5" s="552"/>
      <c r="U5" s="537"/>
      <c r="V5" s="558" t="s">
        <v>617</v>
      </c>
      <c r="W5" s="552"/>
      <c r="X5" s="552"/>
      <c r="Y5" s="552"/>
      <c r="Z5" s="537"/>
    </row>
    <row r="6" spans="1:26" ht="11.25" customHeight="1" x14ac:dyDescent="0.3">
      <c r="A6" s="418" t="s">
        <v>618</v>
      </c>
      <c r="B6" s="418">
        <f ca="1">MAX(A:A)</f>
        <v>75</v>
      </c>
      <c r="C6" s="416"/>
      <c r="D6" s="349" t="s">
        <v>619</v>
      </c>
      <c r="E6" s="296" t="s">
        <v>620</v>
      </c>
      <c r="F6" s="296" t="s">
        <v>621</v>
      </c>
      <c r="G6" s="296" t="s">
        <v>622</v>
      </c>
      <c r="H6" s="419" t="s">
        <v>619</v>
      </c>
      <c r="I6" s="419" t="s">
        <v>620</v>
      </c>
      <c r="J6" s="419" t="s">
        <v>621</v>
      </c>
      <c r="K6" s="419" t="s">
        <v>622</v>
      </c>
      <c r="L6" s="420" t="s">
        <v>619</v>
      </c>
      <c r="M6" s="420" t="s">
        <v>623</v>
      </c>
      <c r="N6" s="420" t="s">
        <v>620</v>
      </c>
      <c r="O6" s="420" t="s">
        <v>621</v>
      </c>
      <c r="P6" s="420" t="s">
        <v>622</v>
      </c>
      <c r="Q6" s="419" t="s">
        <v>624</v>
      </c>
      <c r="R6" s="419" t="s">
        <v>625</v>
      </c>
      <c r="S6" s="419" t="s">
        <v>626</v>
      </c>
      <c r="T6" s="419" t="s">
        <v>621</v>
      </c>
      <c r="U6" s="419" t="s">
        <v>622</v>
      </c>
      <c r="V6" s="420" t="s">
        <v>627</v>
      </c>
      <c r="W6" s="420" t="s">
        <v>625</v>
      </c>
      <c r="X6" s="420" t="s">
        <v>620</v>
      </c>
      <c r="Y6" s="420" t="s">
        <v>621</v>
      </c>
      <c r="Z6" s="420" t="s">
        <v>622</v>
      </c>
    </row>
    <row r="7" spans="1:26" ht="11.25" customHeight="1" x14ac:dyDescent="0.3">
      <c r="A7" s="421">
        <f t="shared" ref="A7:A81" si="0">_xlfn.RANK.EQ(G7,$G$7:$G$81)</f>
        <v>58</v>
      </c>
      <c r="B7" s="422">
        <v>39356</v>
      </c>
      <c r="C7" s="422">
        <v>39447</v>
      </c>
      <c r="D7" s="410">
        <f t="shared" ref="D7:D81" si="1">H7+L7+Q7+V7</f>
        <v>33.119999999999997</v>
      </c>
      <c r="E7" s="352">
        <f t="shared" ref="E7:F7" si="2">I7+N7+S7+X7</f>
        <v>0.05</v>
      </c>
      <c r="F7" s="352">
        <f t="shared" si="2"/>
        <v>33.17</v>
      </c>
      <c r="G7" s="296">
        <f>E7/(0+(D7/2))</f>
        <v>3.0193236714975849E-3</v>
      </c>
      <c r="H7" s="419">
        <v>0</v>
      </c>
      <c r="I7" s="419"/>
      <c r="J7" s="419"/>
      <c r="K7" s="423"/>
      <c r="L7" s="420">
        <v>33.119999999999997</v>
      </c>
      <c r="M7" s="420"/>
      <c r="N7" s="420">
        <v>0.05</v>
      </c>
      <c r="O7" s="420">
        <v>33.17</v>
      </c>
      <c r="P7" s="424">
        <f>N7/(0+(L7/2))</f>
        <v>3.0193236714975849E-3</v>
      </c>
      <c r="Q7" s="419"/>
      <c r="R7" s="419"/>
      <c r="S7" s="419"/>
      <c r="T7" s="419"/>
      <c r="U7" s="419"/>
      <c r="V7" s="420"/>
      <c r="W7" s="420"/>
      <c r="X7" s="420"/>
      <c r="Y7" s="420"/>
      <c r="Z7" s="420"/>
    </row>
    <row r="8" spans="1:26" ht="11.25" customHeight="1" x14ac:dyDescent="0.3">
      <c r="A8" s="421">
        <f t="shared" si="0"/>
        <v>55</v>
      </c>
      <c r="B8" s="422">
        <v>39448</v>
      </c>
      <c r="C8" s="422">
        <v>39538</v>
      </c>
      <c r="D8" s="410">
        <f t="shared" si="1"/>
        <v>616.89</v>
      </c>
      <c r="E8" s="352">
        <f t="shared" ref="E8:F8" si="3">I8+N8+S8+X8</f>
        <v>2.14</v>
      </c>
      <c r="F8" s="352">
        <f t="shared" si="3"/>
        <v>652.20000000000005</v>
      </c>
      <c r="G8" s="296">
        <f t="shared" ref="G8:G81" si="4">E8/(F7+(D8/2))</f>
        <v>6.2643619279012927E-3</v>
      </c>
      <c r="H8" s="419">
        <v>479.8</v>
      </c>
      <c r="I8" s="419">
        <v>1.1200000000000001</v>
      </c>
      <c r="J8" s="419">
        <v>480.92</v>
      </c>
      <c r="K8" s="423">
        <f t="shared" ref="K8:K81" si="5">I8/(J7+(H8/2))</f>
        <v>4.6686119216340144E-3</v>
      </c>
      <c r="L8" s="420">
        <v>137.09</v>
      </c>
      <c r="M8" s="420"/>
      <c r="N8" s="420">
        <v>1.02</v>
      </c>
      <c r="O8" s="420">
        <f t="shared" ref="O8:O75" si="6">O7+L8+N8</f>
        <v>171.28</v>
      </c>
      <c r="P8" s="424">
        <f t="shared" ref="P8:P81" si="7">N8/(O7+(L8/2))</f>
        <v>1.0028019466155435E-2</v>
      </c>
      <c r="Q8" s="419"/>
      <c r="R8" s="419"/>
      <c r="S8" s="419"/>
      <c r="T8" s="419"/>
      <c r="U8" s="419"/>
      <c r="V8" s="420"/>
      <c r="W8" s="420"/>
      <c r="X8" s="420"/>
      <c r="Y8" s="420"/>
      <c r="Z8" s="420"/>
    </row>
    <row r="9" spans="1:26" ht="11.25" customHeight="1" x14ac:dyDescent="0.3">
      <c r="A9" s="421">
        <f t="shared" si="0"/>
        <v>52</v>
      </c>
      <c r="B9" s="422">
        <v>39539</v>
      </c>
      <c r="C9" s="422">
        <v>39629</v>
      </c>
      <c r="D9" s="410">
        <f t="shared" si="1"/>
        <v>1853.77</v>
      </c>
      <c r="E9" s="352">
        <f t="shared" ref="E9:F9" si="8">I9+N9+S9+X9</f>
        <v>12.58</v>
      </c>
      <c r="F9" s="352">
        <f t="shared" si="8"/>
        <v>2518.5500000000002</v>
      </c>
      <c r="G9" s="296">
        <f t="shared" si="4"/>
        <v>7.9666389079751879E-3</v>
      </c>
      <c r="H9" s="419">
        <v>1185.3800000000001</v>
      </c>
      <c r="I9" s="419">
        <v>9.18</v>
      </c>
      <c r="J9" s="419">
        <f t="shared" ref="J9:J81" si="9">J8+H9+I9</f>
        <v>1675.4800000000002</v>
      </c>
      <c r="K9" s="423">
        <f t="shared" si="5"/>
        <v>8.5505909967306549E-3</v>
      </c>
      <c r="L9" s="420">
        <v>668.39</v>
      </c>
      <c r="M9" s="420"/>
      <c r="N9" s="420">
        <v>3.4</v>
      </c>
      <c r="O9" s="420">
        <f t="shared" si="6"/>
        <v>843.06999999999994</v>
      </c>
      <c r="P9" s="424">
        <f t="shared" si="7"/>
        <v>6.7263465057619065E-3</v>
      </c>
      <c r="Q9" s="419"/>
      <c r="R9" s="419"/>
      <c r="S9" s="419"/>
      <c r="T9" s="419"/>
      <c r="U9" s="419"/>
      <c r="V9" s="420"/>
      <c r="W9" s="420"/>
      <c r="X9" s="420"/>
      <c r="Y9" s="420"/>
      <c r="Z9" s="420"/>
    </row>
    <row r="10" spans="1:26" ht="11.25" customHeight="1" x14ac:dyDescent="0.3">
      <c r="A10" s="421">
        <f t="shared" si="0"/>
        <v>49</v>
      </c>
      <c r="B10" s="422">
        <v>39630</v>
      </c>
      <c r="C10" s="422">
        <v>39721</v>
      </c>
      <c r="D10" s="410">
        <f t="shared" si="1"/>
        <v>1317.67</v>
      </c>
      <c r="E10" s="352">
        <f t="shared" ref="E10:F10" si="10">I10+N10+S10+X10</f>
        <v>32.43</v>
      </c>
      <c r="F10" s="352">
        <f t="shared" si="10"/>
        <v>3868.6500000000005</v>
      </c>
      <c r="G10" s="296">
        <f t="shared" si="4"/>
        <v>1.0206506293697489E-2</v>
      </c>
      <c r="H10" s="419">
        <v>1016.04</v>
      </c>
      <c r="I10" s="419">
        <v>22.28</v>
      </c>
      <c r="J10" s="419">
        <f t="shared" si="9"/>
        <v>2713.8000000000006</v>
      </c>
      <c r="K10" s="423">
        <f t="shared" si="5"/>
        <v>1.0203801236546829E-2</v>
      </c>
      <c r="L10" s="420">
        <v>301.63</v>
      </c>
      <c r="M10" s="420"/>
      <c r="N10" s="420">
        <v>10.15</v>
      </c>
      <c r="O10" s="420">
        <f t="shared" si="6"/>
        <v>1154.8499999999999</v>
      </c>
      <c r="P10" s="424">
        <f t="shared" si="7"/>
        <v>1.0212449126407985E-2</v>
      </c>
      <c r="Q10" s="419"/>
      <c r="R10" s="419"/>
      <c r="S10" s="419"/>
      <c r="T10" s="419"/>
      <c r="U10" s="419"/>
      <c r="V10" s="420"/>
      <c r="W10" s="420"/>
      <c r="X10" s="420"/>
      <c r="Y10" s="420"/>
      <c r="Z10" s="420"/>
    </row>
    <row r="11" spans="1:26" ht="11.25" customHeight="1" x14ac:dyDescent="0.3">
      <c r="A11" s="421">
        <f t="shared" si="0"/>
        <v>50</v>
      </c>
      <c r="B11" s="422">
        <v>39722</v>
      </c>
      <c r="C11" s="422">
        <v>39813</v>
      </c>
      <c r="D11" s="410">
        <f t="shared" si="1"/>
        <v>1523.3000000000002</v>
      </c>
      <c r="E11" s="352">
        <f t="shared" ref="E11:F11" si="11">I11+N11+S11+X11</f>
        <v>39.36</v>
      </c>
      <c r="F11" s="352">
        <f t="shared" si="11"/>
        <v>5431.31</v>
      </c>
      <c r="G11" s="296">
        <f t="shared" si="4"/>
        <v>8.5005291233829321E-3</v>
      </c>
      <c r="H11" s="419">
        <v>1255.94</v>
      </c>
      <c r="I11" s="419">
        <v>28.04</v>
      </c>
      <c r="J11" s="419">
        <f t="shared" si="9"/>
        <v>3997.7800000000007</v>
      </c>
      <c r="K11" s="423">
        <f t="shared" si="5"/>
        <v>8.3907629789004012E-3</v>
      </c>
      <c r="L11" s="420">
        <v>267.36</v>
      </c>
      <c r="M11" s="420"/>
      <c r="N11" s="420">
        <v>11.32</v>
      </c>
      <c r="O11" s="420">
        <f t="shared" si="6"/>
        <v>1433.53</v>
      </c>
      <c r="P11" s="424">
        <f t="shared" si="7"/>
        <v>8.7852048458320724E-3</v>
      </c>
      <c r="Q11" s="419"/>
      <c r="R11" s="419"/>
      <c r="S11" s="419"/>
      <c r="T11" s="419"/>
      <c r="U11" s="419"/>
      <c r="V11" s="420"/>
      <c r="W11" s="420"/>
      <c r="X11" s="420"/>
      <c r="Y11" s="420"/>
      <c r="Z11" s="420"/>
    </row>
    <row r="12" spans="1:26" ht="11.25" customHeight="1" x14ac:dyDescent="0.3">
      <c r="A12" s="421">
        <f t="shared" si="0"/>
        <v>63</v>
      </c>
      <c r="B12" s="425">
        <v>39814</v>
      </c>
      <c r="C12" s="425">
        <v>39903</v>
      </c>
      <c r="D12" s="410">
        <f t="shared" si="1"/>
        <v>1580.0299999999997</v>
      </c>
      <c r="E12" s="352">
        <f t="shared" ref="E12:F12" si="12">I12+N12+S12+X12</f>
        <v>-150.55000000000001</v>
      </c>
      <c r="F12" s="352">
        <f t="shared" si="12"/>
        <v>6860.7900000000009</v>
      </c>
      <c r="G12" s="296">
        <f t="shared" si="4"/>
        <v>-2.4199025127283978E-2</v>
      </c>
      <c r="H12" s="419">
        <v>1523.0499999999997</v>
      </c>
      <c r="I12" s="419">
        <v>-105.23</v>
      </c>
      <c r="J12" s="419">
        <f t="shared" si="9"/>
        <v>5415.6</v>
      </c>
      <c r="K12" s="423">
        <f t="shared" si="5"/>
        <v>-2.2110371157133237E-2</v>
      </c>
      <c r="L12" s="420">
        <v>56.98</v>
      </c>
      <c r="M12" s="420"/>
      <c r="N12" s="420">
        <v>-45.32</v>
      </c>
      <c r="O12" s="420">
        <f t="shared" si="6"/>
        <v>1445.19</v>
      </c>
      <c r="P12" s="424">
        <f t="shared" si="7"/>
        <v>-3.0998207958851453E-2</v>
      </c>
      <c r="Q12" s="419"/>
      <c r="R12" s="419"/>
      <c r="S12" s="419"/>
      <c r="T12" s="419"/>
      <c r="U12" s="419"/>
      <c r="V12" s="420"/>
      <c r="W12" s="420"/>
      <c r="X12" s="420"/>
      <c r="Y12" s="420"/>
      <c r="Z12" s="420"/>
    </row>
    <row r="13" spans="1:26" ht="11.25" customHeight="1" x14ac:dyDescent="0.3">
      <c r="A13" s="421">
        <f t="shared" si="0"/>
        <v>2</v>
      </c>
      <c r="B13" s="422">
        <v>39904</v>
      </c>
      <c r="C13" s="422">
        <v>39994</v>
      </c>
      <c r="D13" s="410">
        <f t="shared" si="1"/>
        <v>2024.3000000000002</v>
      </c>
      <c r="E13" s="352">
        <f t="shared" ref="E13:F13" si="13">I13+N13+S13+X13</f>
        <v>1364.23</v>
      </c>
      <c r="F13" s="352">
        <f t="shared" si="13"/>
        <v>10249.32</v>
      </c>
      <c r="G13" s="296">
        <f t="shared" si="4"/>
        <v>0.17328088363432212</v>
      </c>
      <c r="H13" s="419">
        <v>1796.41</v>
      </c>
      <c r="I13" s="419">
        <v>1083.82</v>
      </c>
      <c r="J13" s="419">
        <f t="shared" si="9"/>
        <v>8295.83</v>
      </c>
      <c r="K13" s="423">
        <f t="shared" si="5"/>
        <v>0.17165876994934115</v>
      </c>
      <c r="L13" s="420">
        <v>227.89</v>
      </c>
      <c r="M13" s="420"/>
      <c r="N13" s="420">
        <v>280.41000000000003</v>
      </c>
      <c r="O13" s="420">
        <f t="shared" si="6"/>
        <v>1953.49</v>
      </c>
      <c r="P13" s="424">
        <f t="shared" si="7"/>
        <v>0.17984972436639549</v>
      </c>
      <c r="Q13" s="419"/>
      <c r="R13" s="419"/>
      <c r="S13" s="419"/>
      <c r="T13" s="419"/>
      <c r="U13" s="419"/>
      <c r="V13" s="420"/>
      <c r="W13" s="420"/>
      <c r="X13" s="420"/>
      <c r="Y13" s="420"/>
      <c r="Z13" s="420"/>
    </row>
    <row r="14" spans="1:26" ht="11.25" customHeight="1" x14ac:dyDescent="0.3">
      <c r="A14" s="421">
        <f t="shared" si="0"/>
        <v>3</v>
      </c>
      <c r="B14" s="422">
        <v>39995</v>
      </c>
      <c r="C14" s="422">
        <v>40086</v>
      </c>
      <c r="D14" s="410">
        <f t="shared" si="1"/>
        <v>1150.5</v>
      </c>
      <c r="E14" s="352">
        <f t="shared" ref="E14:F14" si="14">I14+N14+S14+X14</f>
        <v>1817.51</v>
      </c>
      <c r="F14" s="352">
        <f t="shared" si="14"/>
        <v>13217.33</v>
      </c>
      <c r="G14" s="296">
        <f t="shared" si="4"/>
        <v>0.16790597686559375</v>
      </c>
      <c r="H14" s="419">
        <v>256.63</v>
      </c>
      <c r="I14" s="419">
        <v>1434.94</v>
      </c>
      <c r="J14" s="419">
        <f t="shared" si="9"/>
        <v>9987.4</v>
      </c>
      <c r="K14" s="423">
        <f t="shared" si="5"/>
        <v>0.17033657421613707</v>
      </c>
      <c r="L14" s="420">
        <v>893.87</v>
      </c>
      <c r="M14" s="420"/>
      <c r="N14" s="420">
        <v>382.57</v>
      </c>
      <c r="O14" s="420">
        <f t="shared" si="6"/>
        <v>3229.9300000000003</v>
      </c>
      <c r="P14" s="424">
        <f t="shared" si="7"/>
        <v>0.15937594384327775</v>
      </c>
      <c r="Q14" s="419"/>
      <c r="R14" s="419"/>
      <c r="S14" s="419"/>
      <c r="T14" s="419"/>
      <c r="U14" s="419"/>
      <c r="V14" s="420"/>
      <c r="W14" s="420"/>
      <c r="X14" s="420"/>
      <c r="Y14" s="420"/>
      <c r="Z14" s="420"/>
    </row>
    <row r="15" spans="1:26" ht="11.25" customHeight="1" x14ac:dyDescent="0.3">
      <c r="A15" s="421">
        <f t="shared" si="0"/>
        <v>37</v>
      </c>
      <c r="B15" s="422">
        <v>40087</v>
      </c>
      <c r="C15" s="422">
        <v>40178</v>
      </c>
      <c r="D15" s="410">
        <f t="shared" si="1"/>
        <v>1466</v>
      </c>
      <c r="E15" s="352">
        <f t="shared" ref="E15:F15" si="15">I15+N15+S15+X15</f>
        <v>558.29</v>
      </c>
      <c r="F15" s="352">
        <f t="shared" si="15"/>
        <v>15241.619999999999</v>
      </c>
      <c r="G15" s="296">
        <f t="shared" si="4"/>
        <v>4.0019841824530313E-2</v>
      </c>
      <c r="H15" s="419">
        <v>0</v>
      </c>
      <c r="I15" s="419">
        <v>391.74</v>
      </c>
      <c r="J15" s="419">
        <f t="shared" si="9"/>
        <v>10379.14</v>
      </c>
      <c r="K15" s="423">
        <f t="shared" si="5"/>
        <v>3.9223421511103994E-2</v>
      </c>
      <c r="L15" s="420">
        <v>1466</v>
      </c>
      <c r="M15" s="420"/>
      <c r="N15" s="420">
        <v>166.55</v>
      </c>
      <c r="O15" s="420">
        <f t="shared" si="6"/>
        <v>4862.4800000000005</v>
      </c>
      <c r="P15" s="424">
        <f t="shared" si="7"/>
        <v>4.2026985084268456E-2</v>
      </c>
      <c r="Q15" s="419"/>
      <c r="R15" s="419"/>
      <c r="S15" s="419"/>
      <c r="T15" s="419"/>
      <c r="U15" s="419"/>
      <c r="V15" s="420"/>
      <c r="W15" s="420"/>
      <c r="X15" s="420"/>
      <c r="Y15" s="420"/>
      <c r="Z15" s="420"/>
    </row>
    <row r="16" spans="1:26" ht="11.25" customHeight="1" x14ac:dyDescent="0.3">
      <c r="A16" s="421">
        <f t="shared" si="0"/>
        <v>28</v>
      </c>
      <c r="B16" s="422">
        <v>40179</v>
      </c>
      <c r="C16" s="422">
        <v>40268</v>
      </c>
      <c r="D16" s="410">
        <f t="shared" si="1"/>
        <v>1386.53</v>
      </c>
      <c r="E16" s="352">
        <f t="shared" ref="E16:F16" si="16">I16+N16+S16+X16</f>
        <v>828.7700000000001</v>
      </c>
      <c r="F16" s="352">
        <f t="shared" si="16"/>
        <v>17456.920000000002</v>
      </c>
      <c r="G16" s="296">
        <f t="shared" si="4"/>
        <v>5.2009788586488082E-2</v>
      </c>
      <c r="H16" s="419">
        <v>0</v>
      </c>
      <c r="I16" s="419">
        <v>522.48</v>
      </c>
      <c r="J16" s="419">
        <f t="shared" si="9"/>
        <v>10901.619999999999</v>
      </c>
      <c r="K16" s="423">
        <f t="shared" si="5"/>
        <v>5.0339430819894525E-2</v>
      </c>
      <c r="L16" s="420">
        <v>1090</v>
      </c>
      <c r="M16" s="420"/>
      <c r="N16" s="420">
        <v>297.17</v>
      </c>
      <c r="O16" s="420">
        <f t="shared" si="6"/>
        <v>6249.6500000000005</v>
      </c>
      <c r="P16" s="424">
        <f t="shared" si="7"/>
        <v>5.4955358133548342E-2</v>
      </c>
      <c r="Q16" s="419"/>
      <c r="R16" s="419"/>
      <c r="S16" s="419"/>
      <c r="T16" s="419"/>
      <c r="U16" s="419"/>
      <c r="V16" s="420">
        <v>296.52999999999997</v>
      </c>
      <c r="W16" s="420"/>
      <c r="X16" s="420">
        <v>9.1199999999999992</v>
      </c>
      <c r="Y16" s="420">
        <f t="shared" ref="Y16:Y81" si="17">Y15+V16+X16+W16</f>
        <v>305.64999999999998</v>
      </c>
      <c r="Z16" s="424">
        <f t="shared" ref="Z16:Z81" si="18">X16/(Y15+(V16/2))</f>
        <v>6.1511482817927357E-2</v>
      </c>
    </row>
    <row r="17" spans="1:26" ht="11.25" customHeight="1" x14ac:dyDescent="0.3">
      <c r="A17" s="421">
        <f t="shared" si="0"/>
        <v>71</v>
      </c>
      <c r="B17" s="422">
        <v>40269</v>
      </c>
      <c r="C17" s="426">
        <v>40359</v>
      </c>
      <c r="D17" s="410">
        <f t="shared" si="1"/>
        <v>1914.0600000000002</v>
      </c>
      <c r="E17" s="352">
        <f t="shared" ref="E17:F17" si="19">I17+N17+S17+X17</f>
        <v>-1649.6899999999998</v>
      </c>
      <c r="F17" s="352">
        <f t="shared" si="19"/>
        <v>17721.29</v>
      </c>
      <c r="G17" s="296">
        <f t="shared" si="4"/>
        <v>-8.9589143013856329E-2</v>
      </c>
      <c r="H17" s="419">
        <v>269.69</v>
      </c>
      <c r="I17" s="419">
        <v>-964.57</v>
      </c>
      <c r="J17" s="419">
        <f t="shared" si="9"/>
        <v>10206.74</v>
      </c>
      <c r="K17" s="423">
        <f t="shared" si="5"/>
        <v>-8.739845593675151E-2</v>
      </c>
      <c r="L17" s="420">
        <v>1324.91</v>
      </c>
      <c r="M17" s="420"/>
      <c r="N17" s="420">
        <v>-653.51</v>
      </c>
      <c r="O17" s="420">
        <f t="shared" si="6"/>
        <v>6921.05</v>
      </c>
      <c r="P17" s="424">
        <f t="shared" si="7"/>
        <v>-9.4545728110322386E-2</v>
      </c>
      <c r="Q17" s="419"/>
      <c r="R17" s="419"/>
      <c r="S17" s="419"/>
      <c r="T17" s="419"/>
      <c r="U17" s="419"/>
      <c r="V17" s="420">
        <v>319.45999999999998</v>
      </c>
      <c r="W17" s="420"/>
      <c r="X17" s="420">
        <v>-31.61</v>
      </c>
      <c r="Y17" s="420">
        <f t="shared" si="17"/>
        <v>593.49999999999989</v>
      </c>
      <c r="Z17" s="424">
        <f t="shared" si="18"/>
        <v>-6.7922987665993376E-2</v>
      </c>
    </row>
    <row r="18" spans="1:26" ht="11.25" customHeight="1" x14ac:dyDescent="0.3">
      <c r="A18" s="421">
        <f t="shared" si="0"/>
        <v>8</v>
      </c>
      <c r="B18" s="422">
        <v>40360</v>
      </c>
      <c r="C18" s="426">
        <v>40451</v>
      </c>
      <c r="D18" s="410">
        <f t="shared" si="1"/>
        <v>2547.6999999999998</v>
      </c>
      <c r="E18" s="352">
        <f t="shared" ref="E18:F18" si="20">I18+N18+S18+X18</f>
        <v>2062.5700000000002</v>
      </c>
      <c r="F18" s="352">
        <f t="shared" si="20"/>
        <v>22331.559999999998</v>
      </c>
      <c r="G18" s="296">
        <f t="shared" si="4"/>
        <v>0.10858409045682213</v>
      </c>
      <c r="H18" s="419">
        <v>1618.14</v>
      </c>
      <c r="I18" s="419">
        <v>1192.33</v>
      </c>
      <c r="J18" s="419">
        <f t="shared" si="9"/>
        <v>13017.21</v>
      </c>
      <c r="K18" s="423">
        <f t="shared" si="5"/>
        <v>0.10823806873938457</v>
      </c>
      <c r="L18" s="420">
        <v>377.78</v>
      </c>
      <c r="M18" s="420"/>
      <c r="N18" s="420">
        <v>799.23</v>
      </c>
      <c r="O18" s="420">
        <f t="shared" si="6"/>
        <v>8098.0599999999995</v>
      </c>
      <c r="P18" s="424">
        <f t="shared" si="7"/>
        <v>0.11241023130996886</v>
      </c>
      <c r="Q18" s="419">
        <v>273.5</v>
      </c>
      <c r="R18" s="419"/>
      <c r="S18" s="419">
        <v>2.15</v>
      </c>
      <c r="T18" s="419">
        <f t="shared" ref="T18:T81" si="21">T17+Q18+S18+R18</f>
        <v>275.64999999999998</v>
      </c>
      <c r="U18" s="423">
        <f t="shared" ref="U18:U81" si="22">S18/(T17+(Q18/2))</f>
        <v>1.5722120658135282E-2</v>
      </c>
      <c r="V18" s="420">
        <v>278.27999999999997</v>
      </c>
      <c r="W18" s="420"/>
      <c r="X18" s="420">
        <v>68.86</v>
      </c>
      <c r="Y18" s="420">
        <f t="shared" si="17"/>
        <v>940.63999999999987</v>
      </c>
      <c r="Z18" s="424">
        <f t="shared" si="18"/>
        <v>9.3988862196986253E-2</v>
      </c>
    </row>
    <row r="19" spans="1:26" ht="11.25" customHeight="1" x14ac:dyDescent="0.3">
      <c r="A19" s="421">
        <f t="shared" si="0"/>
        <v>11</v>
      </c>
      <c r="B19" s="422">
        <v>40452</v>
      </c>
      <c r="C19" s="426">
        <v>40543</v>
      </c>
      <c r="D19" s="410">
        <f t="shared" si="1"/>
        <v>6533.1900000000005</v>
      </c>
      <c r="E19" s="352">
        <f t="shared" ref="E19:F19" si="23">I19+N19+S19+X19</f>
        <v>2252.0500000000002</v>
      </c>
      <c r="F19" s="352">
        <f t="shared" si="23"/>
        <v>31116.799999999999</v>
      </c>
      <c r="G19" s="296">
        <f t="shared" si="4"/>
        <v>8.7977043658029275E-2</v>
      </c>
      <c r="H19" s="419">
        <v>3863.84</v>
      </c>
      <c r="I19" s="419">
        <v>1331.18</v>
      </c>
      <c r="J19" s="419">
        <f t="shared" si="9"/>
        <v>18212.23</v>
      </c>
      <c r="K19" s="423">
        <f t="shared" si="5"/>
        <v>8.9047322486325298E-2</v>
      </c>
      <c r="L19" s="420">
        <v>283.35000000000002</v>
      </c>
      <c r="M19" s="420"/>
      <c r="N19" s="420">
        <v>687.46</v>
      </c>
      <c r="O19" s="420">
        <f t="shared" si="6"/>
        <v>9068.869999999999</v>
      </c>
      <c r="P19" s="424">
        <f t="shared" si="7"/>
        <v>8.3432294849288255E-2</v>
      </c>
      <c r="Q19" s="419">
        <v>2045.16</v>
      </c>
      <c r="R19" s="419"/>
      <c r="S19" s="419">
        <v>123.52</v>
      </c>
      <c r="T19" s="419">
        <f t="shared" si="21"/>
        <v>2444.33</v>
      </c>
      <c r="U19" s="423">
        <f t="shared" si="22"/>
        <v>9.5144928094405459E-2</v>
      </c>
      <c r="V19" s="420">
        <v>340.84</v>
      </c>
      <c r="W19" s="420"/>
      <c r="X19" s="420">
        <v>109.89</v>
      </c>
      <c r="Y19" s="420">
        <f t="shared" si="17"/>
        <v>1391.37</v>
      </c>
      <c r="Z19" s="424">
        <f t="shared" si="18"/>
        <v>9.8905549655284142E-2</v>
      </c>
    </row>
    <row r="20" spans="1:26" ht="11.25" customHeight="1" x14ac:dyDescent="0.3">
      <c r="A20" s="421">
        <f t="shared" si="0"/>
        <v>31</v>
      </c>
      <c r="B20" s="422">
        <v>40544</v>
      </c>
      <c r="C20" s="426">
        <v>40633</v>
      </c>
      <c r="D20" s="410">
        <f t="shared" si="1"/>
        <v>3746.7000000000007</v>
      </c>
      <c r="E20" s="352">
        <f t="shared" ref="E20:F20" si="24">I20+N20+S20+X20</f>
        <v>1618.06</v>
      </c>
      <c r="F20" s="352">
        <f t="shared" si="24"/>
        <v>36481.56</v>
      </c>
      <c r="G20" s="296">
        <f t="shared" si="4"/>
        <v>4.9046760927125212E-2</v>
      </c>
      <c r="H20" s="419">
        <v>1660.2900000000002</v>
      </c>
      <c r="I20" s="419">
        <v>923.35</v>
      </c>
      <c r="J20" s="419">
        <f t="shared" si="9"/>
        <v>20795.87</v>
      </c>
      <c r="K20" s="423">
        <f t="shared" si="5"/>
        <v>4.8489224689672379E-2</v>
      </c>
      <c r="L20" s="420">
        <v>223.47</v>
      </c>
      <c r="M20" s="420"/>
      <c r="N20" s="420">
        <v>452.46</v>
      </c>
      <c r="O20" s="420">
        <f t="shared" si="6"/>
        <v>9744.7999999999975</v>
      </c>
      <c r="P20" s="424">
        <f t="shared" si="7"/>
        <v>4.9284333657749133E-2</v>
      </c>
      <c r="Q20" s="419">
        <v>1562.47</v>
      </c>
      <c r="R20" s="419"/>
      <c r="S20" s="419">
        <v>163.33000000000001</v>
      </c>
      <c r="T20" s="419">
        <f t="shared" si="21"/>
        <v>4170.13</v>
      </c>
      <c r="U20" s="423">
        <f t="shared" si="22"/>
        <v>5.0636090111344838E-2</v>
      </c>
      <c r="V20" s="420">
        <v>300.47000000000003</v>
      </c>
      <c r="W20" s="420"/>
      <c r="X20" s="420">
        <v>78.92</v>
      </c>
      <c r="Y20" s="420">
        <f t="shared" si="17"/>
        <v>1770.76</v>
      </c>
      <c r="Z20" s="424">
        <f t="shared" si="18"/>
        <v>5.1193399087314843E-2</v>
      </c>
    </row>
    <row r="21" spans="1:26" ht="11.25" customHeight="1" x14ac:dyDescent="0.3">
      <c r="A21" s="421">
        <f t="shared" si="0"/>
        <v>57</v>
      </c>
      <c r="B21" s="422">
        <v>40634</v>
      </c>
      <c r="C21" s="426">
        <v>40724</v>
      </c>
      <c r="D21" s="410">
        <f t="shared" si="1"/>
        <v>4581.7999999999993</v>
      </c>
      <c r="E21" s="352">
        <f t="shared" ref="E21:F21" si="25">I21+N21+S21+X21</f>
        <v>163.54999999999998</v>
      </c>
      <c r="F21" s="352">
        <f t="shared" si="25"/>
        <v>41226.910000000003</v>
      </c>
      <c r="G21" s="296">
        <f t="shared" si="4"/>
        <v>4.2182002380039847E-3</v>
      </c>
      <c r="H21" s="419">
        <v>1946.84</v>
      </c>
      <c r="I21" s="419">
        <v>143.38</v>
      </c>
      <c r="J21" s="419">
        <f t="shared" si="9"/>
        <v>22886.09</v>
      </c>
      <c r="K21" s="423">
        <f t="shared" si="5"/>
        <v>6.5863425035910684E-3</v>
      </c>
      <c r="L21" s="420">
        <v>446.92</v>
      </c>
      <c r="M21" s="420"/>
      <c r="N21" s="420">
        <v>64.150000000000006</v>
      </c>
      <c r="O21" s="420">
        <f t="shared" si="6"/>
        <v>10255.869999999997</v>
      </c>
      <c r="P21" s="424">
        <f t="shared" si="7"/>
        <v>6.4354260422581303E-3</v>
      </c>
      <c r="Q21" s="419">
        <v>1835.14</v>
      </c>
      <c r="R21" s="419"/>
      <c r="S21" s="419">
        <v>-31.3</v>
      </c>
      <c r="T21" s="419">
        <f t="shared" si="21"/>
        <v>5973.97</v>
      </c>
      <c r="U21" s="423">
        <f t="shared" si="22"/>
        <v>-6.1520923010397631E-3</v>
      </c>
      <c r="V21" s="420">
        <v>352.9</v>
      </c>
      <c r="W21" s="420"/>
      <c r="X21" s="420">
        <v>-12.68</v>
      </c>
      <c r="Y21" s="420">
        <f t="shared" si="17"/>
        <v>2110.98</v>
      </c>
      <c r="Z21" s="424">
        <f t="shared" si="18"/>
        <v>-6.5118811016788118E-3</v>
      </c>
    </row>
    <row r="22" spans="1:26" ht="11.25" customHeight="1" x14ac:dyDescent="0.3">
      <c r="A22" s="421">
        <f t="shared" si="0"/>
        <v>74</v>
      </c>
      <c r="B22" s="422">
        <v>40725</v>
      </c>
      <c r="C22" s="426">
        <v>40816</v>
      </c>
      <c r="D22" s="410">
        <f t="shared" si="1"/>
        <v>3774.6600000000008</v>
      </c>
      <c r="E22" s="352">
        <f t="shared" ref="E22:F22" si="26">I22+N22+S22+X22</f>
        <v>-6501.0899999999992</v>
      </c>
      <c r="F22" s="352">
        <f t="shared" si="26"/>
        <v>38500.479999999996</v>
      </c>
      <c r="G22" s="296">
        <f t="shared" si="4"/>
        <v>-0.15078753562628028</v>
      </c>
      <c r="H22" s="419">
        <v>1668.7200000000003</v>
      </c>
      <c r="I22" s="419">
        <v>-3546.62</v>
      </c>
      <c r="J22" s="419">
        <f t="shared" si="9"/>
        <v>21008.190000000002</v>
      </c>
      <c r="K22" s="423">
        <f t="shared" si="5"/>
        <v>-0.14951739954343193</v>
      </c>
      <c r="L22" s="420">
        <v>368.07</v>
      </c>
      <c r="M22" s="420"/>
      <c r="N22" s="420">
        <v>-1548.35</v>
      </c>
      <c r="O22" s="420">
        <f t="shared" si="6"/>
        <v>9075.5899999999965</v>
      </c>
      <c r="P22" s="424">
        <f t="shared" si="7"/>
        <v>-0.14831073654405863</v>
      </c>
      <c r="Q22" s="419">
        <v>1457.5700000000002</v>
      </c>
      <c r="R22" s="419"/>
      <c r="S22" s="419">
        <v>-1054.22</v>
      </c>
      <c r="T22" s="419">
        <f t="shared" si="21"/>
        <v>6377.3200000000006</v>
      </c>
      <c r="U22" s="423">
        <f t="shared" si="22"/>
        <v>-0.15728159540368103</v>
      </c>
      <c r="V22" s="420">
        <v>280.3</v>
      </c>
      <c r="W22" s="420"/>
      <c r="X22" s="420">
        <v>-351.9</v>
      </c>
      <c r="Y22" s="420">
        <f t="shared" si="17"/>
        <v>2039.38</v>
      </c>
      <c r="Z22" s="424">
        <f t="shared" si="18"/>
        <v>-0.15632149187297045</v>
      </c>
    </row>
    <row r="23" spans="1:26" ht="11.25" customHeight="1" x14ac:dyDescent="0.3">
      <c r="A23" s="421">
        <f t="shared" si="0"/>
        <v>12</v>
      </c>
      <c r="B23" s="422">
        <v>40817</v>
      </c>
      <c r="C23" s="426">
        <v>40908</v>
      </c>
      <c r="D23" s="410">
        <f t="shared" si="1"/>
        <v>4156.38</v>
      </c>
      <c r="E23" s="352">
        <f t="shared" ref="E23:F23" si="27">I23+N23+S23+X23</f>
        <v>3470.22</v>
      </c>
      <c r="F23" s="352">
        <f t="shared" si="27"/>
        <v>46127.079999999994</v>
      </c>
      <c r="G23" s="296">
        <f t="shared" si="4"/>
        <v>8.5518327732279048E-2</v>
      </c>
      <c r="H23" s="419">
        <v>2040.26</v>
      </c>
      <c r="I23" s="419">
        <v>1961.05</v>
      </c>
      <c r="J23" s="419">
        <f t="shared" si="9"/>
        <v>25009.5</v>
      </c>
      <c r="K23" s="423">
        <f t="shared" si="5"/>
        <v>8.9024038147257692E-2</v>
      </c>
      <c r="L23" s="420">
        <v>270.62</v>
      </c>
      <c r="M23" s="420"/>
      <c r="N23" s="420">
        <v>824.52</v>
      </c>
      <c r="O23" s="420">
        <f t="shared" si="6"/>
        <v>10170.729999999998</v>
      </c>
      <c r="P23" s="424">
        <f t="shared" si="7"/>
        <v>8.9515682506595487E-2</v>
      </c>
      <c r="Q23" s="419">
        <v>1547.8500000000001</v>
      </c>
      <c r="R23" s="419"/>
      <c r="S23" s="419">
        <v>521.65</v>
      </c>
      <c r="T23" s="419">
        <f t="shared" si="21"/>
        <v>8446.8200000000015</v>
      </c>
      <c r="U23" s="423">
        <f t="shared" si="22"/>
        <v>7.2945340286901084E-2</v>
      </c>
      <c r="V23" s="420">
        <v>297.64999999999998</v>
      </c>
      <c r="W23" s="420"/>
      <c r="X23" s="420">
        <v>163</v>
      </c>
      <c r="Y23" s="420">
        <f t="shared" si="17"/>
        <v>2500.0300000000002</v>
      </c>
      <c r="Z23" s="424">
        <f t="shared" si="18"/>
        <v>7.4490278561652135E-2</v>
      </c>
    </row>
    <row r="24" spans="1:26" ht="11.25" customHeight="1" x14ac:dyDescent="0.3">
      <c r="A24" s="421">
        <f t="shared" si="0"/>
        <v>7</v>
      </c>
      <c r="B24" s="422">
        <v>40909</v>
      </c>
      <c r="C24" s="426">
        <v>40999</v>
      </c>
      <c r="D24" s="410">
        <f t="shared" si="1"/>
        <v>4009.2599999999998</v>
      </c>
      <c r="E24" s="352">
        <f t="shared" ref="E24:F24" si="28">I24+N24+S24+X24</f>
        <v>5260.63</v>
      </c>
      <c r="F24" s="352">
        <f t="shared" si="28"/>
        <v>55396.97</v>
      </c>
      <c r="G24" s="296">
        <f t="shared" si="4"/>
        <v>0.10929655314552508</v>
      </c>
      <c r="H24" s="419">
        <v>1824.4199999999998</v>
      </c>
      <c r="I24" s="419">
        <v>2841.64</v>
      </c>
      <c r="J24" s="419">
        <f t="shared" si="9"/>
        <v>29675.559999999998</v>
      </c>
      <c r="K24" s="423">
        <f t="shared" si="5"/>
        <v>0.10962394070452913</v>
      </c>
      <c r="L24" s="420">
        <v>326.49</v>
      </c>
      <c r="M24" s="420"/>
      <c r="N24" s="420">
        <v>1133.67</v>
      </c>
      <c r="O24" s="420">
        <f t="shared" si="6"/>
        <v>11630.889999999998</v>
      </c>
      <c r="P24" s="424">
        <f t="shared" si="7"/>
        <v>0.10970318778591977</v>
      </c>
      <c r="Q24" s="419">
        <v>1558.6200000000001</v>
      </c>
      <c r="R24" s="419"/>
      <c r="S24" s="419">
        <v>996.22</v>
      </c>
      <c r="T24" s="419">
        <f t="shared" si="21"/>
        <v>11001.660000000002</v>
      </c>
      <c r="U24" s="423">
        <f t="shared" si="22"/>
        <v>0.10797810132742547</v>
      </c>
      <c r="V24" s="420">
        <v>299.73</v>
      </c>
      <c r="W24" s="420"/>
      <c r="X24" s="420">
        <v>289.10000000000002</v>
      </c>
      <c r="Y24" s="420">
        <f t="shared" si="17"/>
        <v>3088.86</v>
      </c>
      <c r="Z24" s="424">
        <f t="shared" si="18"/>
        <v>0.10909866239983093</v>
      </c>
    </row>
    <row r="25" spans="1:26" ht="11.25" customHeight="1" x14ac:dyDescent="0.3">
      <c r="A25" s="421">
        <f t="shared" si="0"/>
        <v>67</v>
      </c>
      <c r="B25" s="422">
        <v>41000</v>
      </c>
      <c r="C25" s="426">
        <v>41090</v>
      </c>
      <c r="D25" s="410">
        <f t="shared" si="1"/>
        <v>4597.21</v>
      </c>
      <c r="E25" s="352">
        <f t="shared" ref="E25:F25" si="29">I25+N25+S25+X25</f>
        <v>-1979.1799999999998</v>
      </c>
      <c r="F25" s="352">
        <f t="shared" si="29"/>
        <v>58014.999999999993</v>
      </c>
      <c r="G25" s="296">
        <f t="shared" si="4"/>
        <v>-3.4303843925639003E-2</v>
      </c>
      <c r="H25" s="419">
        <v>1946.84</v>
      </c>
      <c r="I25" s="419">
        <v>-1067.25</v>
      </c>
      <c r="J25" s="419">
        <f t="shared" si="9"/>
        <v>30555.149999999998</v>
      </c>
      <c r="K25" s="423">
        <f t="shared" si="5"/>
        <v>-3.4821713479535048E-2</v>
      </c>
      <c r="L25" s="420">
        <v>274.95999999999998</v>
      </c>
      <c r="M25" s="420"/>
      <c r="N25" s="420">
        <v>-422.87</v>
      </c>
      <c r="O25" s="420">
        <f t="shared" si="6"/>
        <v>11482.979999999996</v>
      </c>
      <c r="P25" s="424">
        <f t="shared" si="7"/>
        <v>-3.5932758742289725E-2</v>
      </c>
      <c r="Q25" s="419">
        <v>1992.29</v>
      </c>
      <c r="R25" s="419"/>
      <c r="S25" s="419">
        <v>-380.96</v>
      </c>
      <c r="T25" s="419">
        <f t="shared" si="21"/>
        <v>12612.990000000002</v>
      </c>
      <c r="U25" s="423">
        <f t="shared" si="22"/>
        <v>-3.1752474723501498E-2</v>
      </c>
      <c r="V25" s="420">
        <v>383.12</v>
      </c>
      <c r="W25" s="420"/>
      <c r="X25" s="420">
        <v>-108.1</v>
      </c>
      <c r="Y25" s="420">
        <f t="shared" si="17"/>
        <v>3363.88</v>
      </c>
      <c r="Z25" s="424">
        <f t="shared" si="18"/>
        <v>-3.2953097469226499E-2</v>
      </c>
    </row>
    <row r="26" spans="1:26" ht="11.25" customHeight="1" x14ac:dyDescent="0.3">
      <c r="A26" s="421">
        <f t="shared" si="0"/>
        <v>26</v>
      </c>
      <c r="B26" s="422">
        <v>41091</v>
      </c>
      <c r="C26" s="426">
        <v>41182</v>
      </c>
      <c r="D26" s="410">
        <f t="shared" si="1"/>
        <v>3933.5200000000004</v>
      </c>
      <c r="E26" s="352">
        <f t="shared" ref="E26:F26" si="30">I26+N26+S26+X26</f>
        <v>3440.42</v>
      </c>
      <c r="F26" s="352">
        <f t="shared" si="30"/>
        <v>65388.939999999995</v>
      </c>
      <c r="G26" s="296">
        <f t="shared" si="4"/>
        <v>5.7357770095442351E-2</v>
      </c>
      <c r="H26" s="419">
        <v>1529.66</v>
      </c>
      <c r="I26" s="419">
        <v>1808.7</v>
      </c>
      <c r="J26" s="419">
        <f t="shared" si="9"/>
        <v>33893.509999999995</v>
      </c>
      <c r="K26" s="423">
        <f t="shared" si="5"/>
        <v>5.7749079022400403E-2</v>
      </c>
      <c r="L26" s="420">
        <v>532.69000000000005</v>
      </c>
      <c r="M26" s="420"/>
      <c r="N26" s="420">
        <v>676.72</v>
      </c>
      <c r="O26" s="420">
        <f t="shared" si="6"/>
        <v>12692.389999999996</v>
      </c>
      <c r="P26" s="424">
        <f t="shared" si="7"/>
        <v>5.7596500224481005E-2</v>
      </c>
      <c r="Q26" s="419">
        <v>1569.3700000000001</v>
      </c>
      <c r="R26" s="419"/>
      <c r="S26" s="419">
        <v>756.83</v>
      </c>
      <c r="T26" s="419">
        <f t="shared" si="21"/>
        <v>14939.190000000002</v>
      </c>
      <c r="U26" s="423">
        <f t="shared" si="22"/>
        <v>5.6489652122476475E-2</v>
      </c>
      <c r="V26" s="420">
        <v>301.8</v>
      </c>
      <c r="W26" s="420"/>
      <c r="X26" s="420">
        <v>198.17</v>
      </c>
      <c r="Y26" s="420">
        <f t="shared" si="17"/>
        <v>3863.8500000000004</v>
      </c>
      <c r="Z26" s="424">
        <f t="shared" si="18"/>
        <v>5.6381907260198358E-2</v>
      </c>
    </row>
    <row r="27" spans="1:26" ht="11.25" customHeight="1" x14ac:dyDescent="0.3">
      <c r="A27" s="421">
        <f t="shared" si="0"/>
        <v>41</v>
      </c>
      <c r="B27" s="422">
        <v>41183</v>
      </c>
      <c r="C27" s="426">
        <v>41274</v>
      </c>
      <c r="D27" s="410">
        <f t="shared" si="1"/>
        <v>4615.8599999999997</v>
      </c>
      <c r="E27" s="352">
        <f t="shared" ref="E27:F27" si="31">I27+N27+S27+X27</f>
        <v>1640.4599999999998</v>
      </c>
      <c r="F27" s="352">
        <f t="shared" si="31"/>
        <v>71645.25999999998</v>
      </c>
      <c r="G27" s="296">
        <f t="shared" si="4"/>
        <v>2.4232434970774867E-2</v>
      </c>
      <c r="H27" s="419">
        <v>1946.84</v>
      </c>
      <c r="I27" s="419">
        <v>835.2</v>
      </c>
      <c r="J27" s="419">
        <f t="shared" si="9"/>
        <v>36675.549999999988</v>
      </c>
      <c r="K27" s="423">
        <f t="shared" si="5"/>
        <v>2.3953929984658822E-2</v>
      </c>
      <c r="L27" s="420">
        <v>438.25</v>
      </c>
      <c r="M27" s="420"/>
      <c r="N27" s="420">
        <v>307.38</v>
      </c>
      <c r="O27" s="420">
        <f t="shared" si="6"/>
        <v>13438.019999999995</v>
      </c>
      <c r="P27" s="424">
        <f t="shared" si="7"/>
        <v>2.380665630640557E-2</v>
      </c>
      <c r="Q27" s="419">
        <v>1870.98</v>
      </c>
      <c r="R27" s="419"/>
      <c r="S27" s="419">
        <v>398.3</v>
      </c>
      <c r="T27" s="419">
        <f t="shared" si="21"/>
        <v>17208.47</v>
      </c>
      <c r="U27" s="423">
        <f t="shared" si="22"/>
        <v>2.5090269536141827E-2</v>
      </c>
      <c r="V27" s="420">
        <v>359.79</v>
      </c>
      <c r="W27" s="420"/>
      <c r="X27" s="420">
        <v>99.58</v>
      </c>
      <c r="Y27" s="420">
        <f t="shared" si="17"/>
        <v>4323.22</v>
      </c>
      <c r="Z27" s="424">
        <f t="shared" si="18"/>
        <v>2.4625687326970416E-2</v>
      </c>
    </row>
    <row r="28" spans="1:26" ht="11.25" customHeight="1" x14ac:dyDescent="0.3">
      <c r="A28" s="421">
        <f t="shared" si="0"/>
        <v>13</v>
      </c>
      <c r="B28" s="422">
        <v>41275</v>
      </c>
      <c r="C28" s="426">
        <v>41364</v>
      </c>
      <c r="D28" s="410">
        <f t="shared" si="1"/>
        <v>3774.9599999999996</v>
      </c>
      <c r="E28" s="352">
        <f t="shared" ref="E28:F28" si="32">I28+N28+S28+X28</f>
        <v>5662.7</v>
      </c>
      <c r="F28" s="352">
        <f t="shared" si="32"/>
        <v>81082.919999999984</v>
      </c>
      <c r="G28" s="296">
        <f t="shared" si="4"/>
        <v>7.7009234254020745E-2</v>
      </c>
      <c r="H28" s="419">
        <v>1495.97</v>
      </c>
      <c r="I28" s="419">
        <v>3009.58</v>
      </c>
      <c r="J28" s="419">
        <f t="shared" si="9"/>
        <v>41181.099999999991</v>
      </c>
      <c r="K28" s="423">
        <f t="shared" si="5"/>
        <v>8.0419447280969072E-2</v>
      </c>
      <c r="L28" s="420">
        <v>406.95</v>
      </c>
      <c r="M28" s="420"/>
      <c r="N28" s="420">
        <v>1093.82</v>
      </c>
      <c r="O28" s="420">
        <f t="shared" si="6"/>
        <v>14938.789999999995</v>
      </c>
      <c r="P28" s="424">
        <f t="shared" si="7"/>
        <v>8.0183293693249919E-2</v>
      </c>
      <c r="Q28" s="419">
        <v>1570.11</v>
      </c>
      <c r="R28" s="419"/>
      <c r="S28" s="419">
        <v>1248.3</v>
      </c>
      <c r="T28" s="419">
        <f t="shared" si="21"/>
        <v>20026.88</v>
      </c>
      <c r="U28" s="423">
        <f t="shared" si="22"/>
        <v>6.9374955713235723E-2</v>
      </c>
      <c r="V28" s="420">
        <v>301.93</v>
      </c>
      <c r="W28" s="420"/>
      <c r="X28" s="420">
        <v>311</v>
      </c>
      <c r="Y28" s="420">
        <f t="shared" si="17"/>
        <v>4936.1500000000005</v>
      </c>
      <c r="Z28" s="424">
        <f t="shared" si="18"/>
        <v>6.9509866042642393E-2</v>
      </c>
    </row>
    <row r="29" spans="1:26" ht="11.25" customHeight="1" x14ac:dyDescent="0.3">
      <c r="A29" s="421">
        <f t="shared" si="0"/>
        <v>54</v>
      </c>
      <c r="B29" s="422">
        <v>41365</v>
      </c>
      <c r="C29" s="426">
        <v>41455</v>
      </c>
      <c r="D29" s="410">
        <f t="shared" si="1"/>
        <v>4436.24</v>
      </c>
      <c r="E29" s="352">
        <f t="shared" ref="E29:F29" si="33">I29+N29+S29+X29</f>
        <v>607.16</v>
      </c>
      <c r="F29" s="352">
        <f t="shared" si="33"/>
        <v>86126.319999999992</v>
      </c>
      <c r="G29" s="296">
        <f t="shared" si="4"/>
        <v>7.2887445342819266E-3</v>
      </c>
      <c r="H29" s="419">
        <v>501.47</v>
      </c>
      <c r="I29" s="419">
        <v>553.12</v>
      </c>
      <c r="J29" s="419">
        <f t="shared" si="9"/>
        <v>42235.689999999995</v>
      </c>
      <c r="K29" s="423">
        <f t="shared" si="5"/>
        <v>1.3350120746522575E-2</v>
      </c>
      <c r="L29" s="420">
        <v>1453.39</v>
      </c>
      <c r="M29" s="420"/>
      <c r="N29" s="420">
        <v>183.76</v>
      </c>
      <c r="O29" s="420">
        <f t="shared" si="6"/>
        <v>16575.939999999995</v>
      </c>
      <c r="P29" s="424">
        <f t="shared" si="7"/>
        <v>1.1730246462206568E-2</v>
      </c>
      <c r="Q29" s="419">
        <v>2081.16</v>
      </c>
      <c r="R29" s="419"/>
      <c r="S29" s="419">
        <v>-105.6</v>
      </c>
      <c r="T29" s="419">
        <f t="shared" si="21"/>
        <v>22002.440000000002</v>
      </c>
      <c r="U29" s="423">
        <f t="shared" si="22"/>
        <v>-5.0124694671308265E-3</v>
      </c>
      <c r="V29" s="420">
        <v>400.22</v>
      </c>
      <c r="W29" s="420"/>
      <c r="X29" s="420">
        <v>-24.12</v>
      </c>
      <c r="Y29" s="420">
        <f t="shared" si="17"/>
        <v>5312.2500000000009</v>
      </c>
      <c r="Z29" s="424">
        <f t="shared" si="18"/>
        <v>-4.6960239551736092E-3</v>
      </c>
    </row>
    <row r="30" spans="1:26" ht="11.25" customHeight="1" x14ac:dyDescent="0.3">
      <c r="A30" s="421">
        <f t="shared" si="0"/>
        <v>21</v>
      </c>
      <c r="B30" s="422">
        <v>41456</v>
      </c>
      <c r="C30" s="426">
        <v>41547</v>
      </c>
      <c r="D30" s="410">
        <f t="shared" si="1"/>
        <v>3950.57</v>
      </c>
      <c r="E30" s="352">
        <f t="shared" ref="E30:F30" si="34">I30+N30+S30+X30</f>
        <v>5984.2</v>
      </c>
      <c r="F30" s="352">
        <f t="shared" si="34"/>
        <v>96061.090000000011</v>
      </c>
      <c r="G30" s="296">
        <f t="shared" si="4"/>
        <v>6.7923847698347833E-2</v>
      </c>
      <c r="H30" s="419">
        <v>0</v>
      </c>
      <c r="I30" s="419">
        <v>3021.48</v>
      </c>
      <c r="J30" s="419">
        <f t="shared" si="9"/>
        <v>45257.17</v>
      </c>
      <c r="K30" s="423">
        <f t="shared" si="5"/>
        <v>7.1538549506353522E-2</v>
      </c>
      <c r="L30" s="420">
        <v>1744.08</v>
      </c>
      <c r="M30" s="420"/>
      <c r="N30" s="420">
        <v>1238.0899999999999</v>
      </c>
      <c r="O30" s="420">
        <f t="shared" si="6"/>
        <v>19558.109999999997</v>
      </c>
      <c r="P30" s="424">
        <f t="shared" si="7"/>
        <v>7.0958930489374711E-2</v>
      </c>
      <c r="Q30" s="419">
        <v>1850.59</v>
      </c>
      <c r="R30" s="419"/>
      <c r="S30" s="419">
        <v>1390.7</v>
      </c>
      <c r="T30" s="419">
        <f t="shared" si="21"/>
        <v>25243.730000000003</v>
      </c>
      <c r="U30" s="423">
        <f t="shared" si="22"/>
        <v>6.0655795262811611E-2</v>
      </c>
      <c r="V30" s="420">
        <v>355.9</v>
      </c>
      <c r="W30" s="420"/>
      <c r="X30" s="420">
        <v>333.93</v>
      </c>
      <c r="Y30" s="420">
        <f t="shared" si="17"/>
        <v>6002.0800000000008</v>
      </c>
      <c r="Z30" s="424">
        <f t="shared" si="18"/>
        <v>6.0822920840770824E-2</v>
      </c>
    </row>
    <row r="31" spans="1:26" ht="11.25" customHeight="1" x14ac:dyDescent="0.3">
      <c r="A31" s="421">
        <f t="shared" si="0"/>
        <v>17</v>
      </c>
      <c r="B31" s="422">
        <v>41548</v>
      </c>
      <c r="C31" s="426">
        <v>41639</v>
      </c>
      <c r="D31" s="410">
        <f t="shared" si="1"/>
        <v>4145.34</v>
      </c>
      <c r="E31" s="352">
        <f t="shared" ref="E31:F31" si="35">I31+N31+S31+X31</f>
        <v>6997.7899999999991</v>
      </c>
      <c r="F31" s="352">
        <f t="shared" si="35"/>
        <v>107206.51000000001</v>
      </c>
      <c r="G31" s="296">
        <f t="shared" si="4"/>
        <v>7.130869132090728E-2</v>
      </c>
      <c r="H31" s="419">
        <v>0</v>
      </c>
      <c r="I31" s="419">
        <v>3416.72</v>
      </c>
      <c r="J31" s="419">
        <f t="shared" si="9"/>
        <v>48673.89</v>
      </c>
      <c r="K31" s="423">
        <f t="shared" si="5"/>
        <v>7.549566179237456E-2</v>
      </c>
      <c r="L31" s="420">
        <v>2111.1999999999998</v>
      </c>
      <c r="M31" s="420"/>
      <c r="N31" s="420">
        <v>1555.19</v>
      </c>
      <c r="O31" s="420">
        <f t="shared" si="6"/>
        <v>23224.499999999996</v>
      </c>
      <c r="P31" s="424">
        <f t="shared" si="7"/>
        <v>7.5444449349486353E-2</v>
      </c>
      <c r="Q31" s="419">
        <v>1706.06</v>
      </c>
      <c r="R31" s="419">
        <v>2.27</v>
      </c>
      <c r="S31" s="419">
        <v>1638.4</v>
      </c>
      <c r="T31" s="419">
        <f t="shared" si="21"/>
        <v>28590.460000000006</v>
      </c>
      <c r="U31" s="423">
        <f t="shared" si="22"/>
        <v>6.2781739955458077E-2</v>
      </c>
      <c r="V31" s="420">
        <v>328.08</v>
      </c>
      <c r="W31" s="420">
        <v>0.02</v>
      </c>
      <c r="X31" s="420">
        <v>387.48</v>
      </c>
      <c r="Y31" s="420">
        <f t="shared" si="17"/>
        <v>6717.6600000000017</v>
      </c>
      <c r="Z31" s="424">
        <f t="shared" si="18"/>
        <v>6.2840165290328431E-2</v>
      </c>
    </row>
    <row r="32" spans="1:26" ht="11.25" customHeight="1" x14ac:dyDescent="0.3">
      <c r="A32" s="421">
        <f t="shared" si="0"/>
        <v>45</v>
      </c>
      <c r="B32" s="422">
        <v>41640</v>
      </c>
      <c r="C32" s="426">
        <v>41729</v>
      </c>
      <c r="D32" s="410">
        <f t="shared" si="1"/>
        <v>3846.0099999999998</v>
      </c>
      <c r="E32" s="352">
        <f t="shared" ref="E32:F32" si="36">I32+N32+S32+X32</f>
        <v>1931.0800000000002</v>
      </c>
      <c r="F32" s="352">
        <f t="shared" si="36"/>
        <v>112983.6</v>
      </c>
      <c r="G32" s="296">
        <f t="shared" si="4"/>
        <v>1.7695304519588489E-2</v>
      </c>
      <c r="H32" s="419">
        <v>0</v>
      </c>
      <c r="I32" s="419">
        <v>829.61</v>
      </c>
      <c r="J32" s="419">
        <f t="shared" si="9"/>
        <v>49503.5</v>
      </c>
      <c r="K32" s="423">
        <f t="shared" si="5"/>
        <v>1.7044251034795042E-2</v>
      </c>
      <c r="L32" s="420">
        <v>1531.6</v>
      </c>
      <c r="M32" s="420"/>
      <c r="N32" s="420">
        <v>424.27</v>
      </c>
      <c r="O32" s="420">
        <f t="shared" si="6"/>
        <v>25180.369999999995</v>
      </c>
      <c r="P32" s="424">
        <f t="shared" si="7"/>
        <v>1.7685064380186993E-2</v>
      </c>
      <c r="Q32" s="419">
        <v>1823.48</v>
      </c>
      <c r="R32" s="419">
        <v>0</v>
      </c>
      <c r="S32" s="419">
        <v>547.29</v>
      </c>
      <c r="T32" s="419">
        <f t="shared" si="21"/>
        <v>30961.230000000007</v>
      </c>
      <c r="U32" s="423">
        <f t="shared" si="22"/>
        <v>1.8550819938852013E-2</v>
      </c>
      <c r="V32" s="420">
        <v>490.93</v>
      </c>
      <c r="W32" s="420">
        <v>0</v>
      </c>
      <c r="X32" s="420">
        <v>129.91</v>
      </c>
      <c r="Y32" s="420">
        <f t="shared" si="17"/>
        <v>7338.5000000000018</v>
      </c>
      <c r="Z32" s="424">
        <f t="shared" si="18"/>
        <v>1.8656853065254459E-2</v>
      </c>
    </row>
    <row r="33" spans="1:26" ht="11.25" customHeight="1" x14ac:dyDescent="0.3">
      <c r="A33" s="421">
        <f t="shared" si="0"/>
        <v>35</v>
      </c>
      <c r="B33" s="422">
        <v>41730</v>
      </c>
      <c r="C33" s="426">
        <v>41820</v>
      </c>
      <c r="D33" s="410">
        <f t="shared" si="1"/>
        <v>6383.4399999999987</v>
      </c>
      <c r="E33" s="352">
        <f t="shared" ref="E33:F33" si="37">I33+N33+S33+X33</f>
        <v>4965.99</v>
      </c>
      <c r="F33" s="352">
        <f t="shared" si="37"/>
        <v>124333.03</v>
      </c>
      <c r="G33" s="296">
        <f t="shared" si="4"/>
        <v>4.2745653724043965E-2</v>
      </c>
      <c r="H33" s="419">
        <v>3610.98</v>
      </c>
      <c r="I33" s="419">
        <v>2055.4699999999998</v>
      </c>
      <c r="J33" s="419">
        <f t="shared" si="9"/>
        <v>55169.950000000004</v>
      </c>
      <c r="K33" s="423">
        <f t="shared" si="5"/>
        <v>4.0060620955508962E-2</v>
      </c>
      <c r="L33" s="420">
        <v>796.42</v>
      </c>
      <c r="M33" s="420"/>
      <c r="N33" s="420">
        <v>1067.98</v>
      </c>
      <c r="O33" s="420">
        <f t="shared" si="6"/>
        <v>27044.769999999993</v>
      </c>
      <c r="P33" s="424">
        <f t="shared" si="7"/>
        <v>4.1752904187800893E-2</v>
      </c>
      <c r="Q33" s="419">
        <v>1556.8899999999999</v>
      </c>
      <c r="R33" s="419">
        <v>0</v>
      </c>
      <c r="S33" s="419">
        <v>1488.41</v>
      </c>
      <c r="T33" s="419">
        <f t="shared" si="21"/>
        <v>34006.530000000006</v>
      </c>
      <c r="U33" s="423">
        <f t="shared" si="22"/>
        <v>4.6894304998397113E-2</v>
      </c>
      <c r="V33" s="420">
        <v>419.15</v>
      </c>
      <c r="W33" s="420">
        <v>0</v>
      </c>
      <c r="X33" s="420">
        <v>354.13</v>
      </c>
      <c r="Y33" s="420">
        <f t="shared" si="17"/>
        <v>8111.7800000000016</v>
      </c>
      <c r="Z33" s="424">
        <f t="shared" si="18"/>
        <v>4.6916597940534495E-2</v>
      </c>
    </row>
    <row r="34" spans="1:26" ht="11.25" customHeight="1" x14ac:dyDescent="0.3">
      <c r="A34" s="421">
        <f t="shared" si="0"/>
        <v>62</v>
      </c>
      <c r="B34" s="422">
        <v>41821</v>
      </c>
      <c r="C34" s="426">
        <v>41912</v>
      </c>
      <c r="D34" s="410">
        <f t="shared" si="1"/>
        <v>5020.3499999999995</v>
      </c>
      <c r="E34" s="352">
        <f t="shared" ref="E34:F34" si="38">I34+N34+S34+X34</f>
        <v>-2295.38</v>
      </c>
      <c r="F34" s="352">
        <f t="shared" si="38"/>
        <v>127058</v>
      </c>
      <c r="G34" s="296">
        <f t="shared" si="4"/>
        <v>-1.8096199950166824E-2</v>
      </c>
      <c r="H34" s="419">
        <v>2025.8700000000001</v>
      </c>
      <c r="I34" s="419">
        <v>-1025.43</v>
      </c>
      <c r="J34" s="419">
        <f t="shared" si="9"/>
        <v>56170.390000000007</v>
      </c>
      <c r="K34" s="423">
        <f t="shared" si="5"/>
        <v>-1.8251643716765346E-2</v>
      </c>
      <c r="L34" s="420">
        <v>592.21</v>
      </c>
      <c r="M34" s="420"/>
      <c r="N34" s="420">
        <v>-500.96</v>
      </c>
      <c r="O34" s="420">
        <f t="shared" si="6"/>
        <v>27136.019999999993</v>
      </c>
      <c r="P34" s="424">
        <f t="shared" si="7"/>
        <v>-1.8322749363361639E-2</v>
      </c>
      <c r="Q34" s="419">
        <v>1892.7</v>
      </c>
      <c r="R34" s="419">
        <v>0</v>
      </c>
      <c r="S34" s="419">
        <v>-620.16999999999996</v>
      </c>
      <c r="T34" s="419">
        <f t="shared" si="21"/>
        <v>35279.060000000005</v>
      </c>
      <c r="U34" s="423">
        <f t="shared" si="22"/>
        <v>-1.7743030045020609E-2</v>
      </c>
      <c r="V34" s="420">
        <v>509.57</v>
      </c>
      <c r="W34" s="420">
        <v>0</v>
      </c>
      <c r="X34" s="420">
        <v>-148.82</v>
      </c>
      <c r="Y34" s="420">
        <f t="shared" si="17"/>
        <v>8472.5300000000025</v>
      </c>
      <c r="Z34" s="424">
        <f t="shared" si="18"/>
        <v>-1.7787467138544906E-2</v>
      </c>
    </row>
    <row r="35" spans="1:26" ht="11.25" customHeight="1" x14ac:dyDescent="0.3">
      <c r="A35" s="421">
        <f t="shared" si="0"/>
        <v>43</v>
      </c>
      <c r="B35" s="422">
        <v>41913</v>
      </c>
      <c r="C35" s="426">
        <v>42004</v>
      </c>
      <c r="D35" s="410">
        <f t="shared" si="1"/>
        <v>4102.1200000000008</v>
      </c>
      <c r="E35" s="352">
        <f t="shared" ref="E35:F35" si="39">I35+N35+S35+X35</f>
        <v>2984.8799999999997</v>
      </c>
      <c r="F35" s="352">
        <f t="shared" si="39"/>
        <v>134145</v>
      </c>
      <c r="G35" s="296">
        <f t="shared" si="4"/>
        <v>2.3119059189184707E-2</v>
      </c>
      <c r="H35" s="419">
        <v>1736.46</v>
      </c>
      <c r="I35" s="419">
        <v>1319.31</v>
      </c>
      <c r="J35" s="419">
        <f t="shared" si="9"/>
        <v>59226.16</v>
      </c>
      <c r="K35" s="423">
        <f t="shared" si="5"/>
        <v>2.3130117804392877E-2</v>
      </c>
      <c r="L35" s="420">
        <v>326.72000000000003</v>
      </c>
      <c r="M35" s="420"/>
      <c r="N35" s="420">
        <v>634.78</v>
      </c>
      <c r="O35" s="420">
        <f t="shared" si="6"/>
        <v>28097.519999999993</v>
      </c>
      <c r="P35" s="424">
        <f t="shared" si="7"/>
        <v>2.3252542731739701E-2</v>
      </c>
      <c r="Q35" s="419">
        <v>1606.43</v>
      </c>
      <c r="R35" s="419">
        <v>0</v>
      </c>
      <c r="S35" s="419">
        <v>830.77</v>
      </c>
      <c r="T35" s="419">
        <f t="shared" si="21"/>
        <v>37716.26</v>
      </c>
      <c r="U35" s="423">
        <f t="shared" si="22"/>
        <v>2.3024324270019002E-2</v>
      </c>
      <c r="V35" s="420">
        <v>432.51</v>
      </c>
      <c r="W35" s="420">
        <v>0</v>
      </c>
      <c r="X35" s="420">
        <v>200.02</v>
      </c>
      <c r="Y35" s="420">
        <f t="shared" si="17"/>
        <v>9105.0600000000031</v>
      </c>
      <c r="Z35" s="424">
        <f t="shared" si="18"/>
        <v>2.3020479848448312E-2</v>
      </c>
    </row>
    <row r="36" spans="1:26" ht="11.25" customHeight="1" x14ac:dyDescent="0.3">
      <c r="A36" s="421">
        <f t="shared" si="0"/>
        <v>40</v>
      </c>
      <c r="B36" s="422">
        <v>42005</v>
      </c>
      <c r="C36" s="426">
        <v>42094</v>
      </c>
      <c r="D36" s="410">
        <f t="shared" si="1"/>
        <v>4793.9600000000009</v>
      </c>
      <c r="E36" s="352">
        <f t="shared" ref="E36:F36" si="40">I36+N36+S36+X36</f>
        <v>3973.43</v>
      </c>
      <c r="F36" s="352">
        <f t="shared" si="40"/>
        <v>142918.84999999998</v>
      </c>
      <c r="G36" s="296">
        <f t="shared" si="4"/>
        <v>2.910042757546067E-2</v>
      </c>
      <c r="H36" s="419">
        <v>2091.4</v>
      </c>
      <c r="I36" s="419">
        <v>1787.19</v>
      </c>
      <c r="J36" s="419">
        <f t="shared" si="9"/>
        <v>63104.750000000007</v>
      </c>
      <c r="K36" s="423">
        <f t="shared" si="5"/>
        <v>2.9652146125903531E-2</v>
      </c>
      <c r="L36" s="420">
        <v>247.5</v>
      </c>
      <c r="M36" s="420"/>
      <c r="N36" s="420">
        <v>834.13</v>
      </c>
      <c r="O36" s="420">
        <f t="shared" si="6"/>
        <v>29179.149999999994</v>
      </c>
      <c r="P36" s="424">
        <f t="shared" si="7"/>
        <v>2.9556784652143585E-2</v>
      </c>
      <c r="Q36" s="419">
        <v>1934.29</v>
      </c>
      <c r="R36" s="419">
        <v>5.54</v>
      </c>
      <c r="S36" s="419">
        <v>1088.68</v>
      </c>
      <c r="T36" s="419">
        <f t="shared" si="21"/>
        <v>40744.770000000004</v>
      </c>
      <c r="U36" s="423">
        <f t="shared" si="22"/>
        <v>2.8143334331608091E-2</v>
      </c>
      <c r="V36" s="420">
        <v>520.77</v>
      </c>
      <c r="W36" s="420">
        <v>0.92</v>
      </c>
      <c r="X36" s="420">
        <v>263.43</v>
      </c>
      <c r="Y36" s="420">
        <f t="shared" si="17"/>
        <v>9890.1800000000039</v>
      </c>
      <c r="Z36" s="424">
        <f t="shared" si="18"/>
        <v>2.8127867922987101E-2</v>
      </c>
    </row>
    <row r="37" spans="1:26" ht="11.25" customHeight="1" x14ac:dyDescent="0.3">
      <c r="A37" s="421">
        <f t="shared" si="0"/>
        <v>59</v>
      </c>
      <c r="B37" s="422">
        <v>42095</v>
      </c>
      <c r="C37" s="426">
        <v>42185</v>
      </c>
      <c r="D37" s="410">
        <f t="shared" si="1"/>
        <v>4068.3700000000003</v>
      </c>
      <c r="E37" s="352">
        <f t="shared" ref="E37:F37" si="41">I37+N37+S37+X37</f>
        <v>-226.57999999999998</v>
      </c>
      <c r="F37" s="352">
        <f t="shared" si="41"/>
        <v>146760.63999999998</v>
      </c>
      <c r="G37" s="296">
        <f t="shared" si="4"/>
        <v>-1.5631269810942559E-3</v>
      </c>
      <c r="H37" s="419">
        <v>1804.98</v>
      </c>
      <c r="I37" s="419">
        <v>123.14</v>
      </c>
      <c r="J37" s="419">
        <f t="shared" si="9"/>
        <v>65032.87000000001</v>
      </c>
      <c r="K37" s="423">
        <f t="shared" si="5"/>
        <v>1.9238448650496412E-3</v>
      </c>
      <c r="L37" s="420">
        <v>165.03</v>
      </c>
      <c r="M37" s="420"/>
      <c r="N37" s="420">
        <v>69.069999999999993</v>
      </c>
      <c r="O37" s="420">
        <f t="shared" si="6"/>
        <v>29413.249999999993</v>
      </c>
      <c r="P37" s="424">
        <f t="shared" si="7"/>
        <v>2.3604261753389635E-3</v>
      </c>
      <c r="Q37" s="419">
        <v>1653.25</v>
      </c>
      <c r="R37" s="419">
        <v>0</v>
      </c>
      <c r="S37" s="419">
        <v>-336.09</v>
      </c>
      <c r="T37" s="419">
        <f t="shared" si="21"/>
        <v>42061.930000000008</v>
      </c>
      <c r="U37" s="423">
        <f t="shared" si="22"/>
        <v>-8.0846457040953269E-3</v>
      </c>
      <c r="V37" s="420">
        <v>445.11</v>
      </c>
      <c r="W37" s="420">
        <v>0</v>
      </c>
      <c r="X37" s="420">
        <v>-82.7</v>
      </c>
      <c r="Y37" s="420">
        <f t="shared" si="17"/>
        <v>10252.590000000004</v>
      </c>
      <c r="Z37" s="424">
        <f t="shared" si="18"/>
        <v>-8.177807487292011E-3</v>
      </c>
    </row>
    <row r="38" spans="1:26" ht="11.25" customHeight="1" x14ac:dyDescent="0.3">
      <c r="A38" s="421">
        <f t="shared" si="0"/>
        <v>70</v>
      </c>
      <c r="B38" s="422">
        <v>42186</v>
      </c>
      <c r="C38" s="426">
        <v>42277</v>
      </c>
      <c r="D38" s="410">
        <f t="shared" si="1"/>
        <v>5794.38</v>
      </c>
      <c r="E38" s="352">
        <f t="shared" ref="E38:F38" si="42">I38+N38+S38+X38</f>
        <v>-10558.59</v>
      </c>
      <c r="F38" s="352">
        <f t="shared" si="42"/>
        <v>141996.43</v>
      </c>
      <c r="G38" s="296">
        <f t="shared" si="4"/>
        <v>-7.0551537463826655E-2</v>
      </c>
      <c r="H38" s="419">
        <v>2219.66</v>
      </c>
      <c r="I38" s="419">
        <v>-4630.16</v>
      </c>
      <c r="J38" s="419">
        <f t="shared" si="9"/>
        <v>62622.37000000001</v>
      </c>
      <c r="K38" s="423">
        <f t="shared" si="5"/>
        <v>-7.0002585319317162E-2</v>
      </c>
      <c r="L38" s="420">
        <v>845.66</v>
      </c>
      <c r="M38" s="420"/>
      <c r="N38" s="420">
        <v>-2066.1999999999998</v>
      </c>
      <c r="O38" s="420">
        <f t="shared" si="6"/>
        <v>28192.709999999992</v>
      </c>
      <c r="P38" s="424">
        <f t="shared" si="7"/>
        <v>-6.9251724757407818E-2</v>
      </c>
      <c r="Q38" s="419">
        <v>2150.17</v>
      </c>
      <c r="R38" s="419">
        <v>0</v>
      </c>
      <c r="S38" s="419">
        <v>-3103.52</v>
      </c>
      <c r="T38" s="419">
        <f t="shared" si="21"/>
        <v>41108.580000000009</v>
      </c>
      <c r="U38" s="423">
        <f t="shared" si="22"/>
        <v>-7.1945636479482863E-2</v>
      </c>
      <c r="V38" s="420">
        <v>578.89</v>
      </c>
      <c r="W38" s="420">
        <v>0</v>
      </c>
      <c r="X38" s="420">
        <v>-758.71</v>
      </c>
      <c r="Y38" s="420">
        <f t="shared" si="17"/>
        <v>10072.770000000004</v>
      </c>
      <c r="Z38" s="424">
        <f t="shared" si="18"/>
        <v>-7.1969975436431369E-2</v>
      </c>
    </row>
    <row r="39" spans="1:26" ht="11.25" customHeight="1" x14ac:dyDescent="0.3">
      <c r="A39" s="421">
        <f t="shared" si="0"/>
        <v>32</v>
      </c>
      <c r="B39" s="422">
        <v>42278</v>
      </c>
      <c r="C39" s="426">
        <v>42369</v>
      </c>
      <c r="D39" s="410">
        <f t="shared" si="1"/>
        <v>5396.380000000001</v>
      </c>
      <c r="E39" s="352">
        <f t="shared" ref="E39:F39" si="43">I39+N39+S39+X39</f>
        <v>6605.6100000000006</v>
      </c>
      <c r="F39" s="352">
        <f t="shared" si="43"/>
        <v>154009.28</v>
      </c>
      <c r="G39" s="296">
        <f t="shared" si="4"/>
        <v>4.565207745802851E-2</v>
      </c>
      <c r="H39" s="419">
        <v>2032.6799999999998</v>
      </c>
      <c r="I39" s="419">
        <v>2853.65</v>
      </c>
      <c r="J39" s="419">
        <f t="shared" si="9"/>
        <v>67508.700000000012</v>
      </c>
      <c r="K39" s="423">
        <f t="shared" si="5"/>
        <v>4.4841418061428329E-2</v>
      </c>
      <c r="L39" s="420">
        <v>419.55</v>
      </c>
      <c r="M39" s="420"/>
      <c r="N39" s="420">
        <v>1292.8499999999999</v>
      </c>
      <c r="O39" s="420">
        <f t="shared" si="6"/>
        <v>29905.10999999999</v>
      </c>
      <c r="P39" s="424">
        <f t="shared" si="7"/>
        <v>4.5518904419806938E-2</v>
      </c>
      <c r="Q39" s="419">
        <v>2319.63</v>
      </c>
      <c r="R39" s="419">
        <v>8.6199999999999992</v>
      </c>
      <c r="S39" s="419">
        <v>1975.43</v>
      </c>
      <c r="T39" s="419">
        <f t="shared" si="21"/>
        <v>45412.260000000009</v>
      </c>
      <c r="U39" s="423">
        <f t="shared" si="22"/>
        <v>4.6735391774397859E-2</v>
      </c>
      <c r="V39" s="420">
        <v>624.52</v>
      </c>
      <c r="W39" s="420">
        <v>2.2400000000000002</v>
      </c>
      <c r="X39" s="420">
        <v>483.68</v>
      </c>
      <c r="Y39" s="420">
        <f t="shared" si="17"/>
        <v>11183.210000000005</v>
      </c>
      <c r="Z39" s="424">
        <f t="shared" si="18"/>
        <v>4.6574733053250668E-2</v>
      </c>
    </row>
    <row r="40" spans="1:26" ht="11.25" customHeight="1" x14ac:dyDescent="0.3">
      <c r="A40" s="421">
        <f t="shared" si="0"/>
        <v>53</v>
      </c>
      <c r="B40" s="422">
        <v>42370</v>
      </c>
      <c r="C40" s="426">
        <v>42460</v>
      </c>
      <c r="D40" s="410">
        <f t="shared" si="1"/>
        <v>5972.98</v>
      </c>
      <c r="E40" s="352">
        <f t="shared" ref="E40:F40" si="44">I40+N40+S40+X40</f>
        <v>1204.92</v>
      </c>
      <c r="F40" s="352">
        <f t="shared" si="44"/>
        <v>161187.18000000002</v>
      </c>
      <c r="G40" s="296">
        <f t="shared" si="4"/>
        <v>7.6748564626932317E-3</v>
      </c>
      <c r="H40" s="419">
        <v>2391.1600000000003</v>
      </c>
      <c r="I40" s="419">
        <v>216.96</v>
      </c>
      <c r="J40" s="419">
        <f t="shared" si="9"/>
        <v>70116.820000000022</v>
      </c>
      <c r="K40" s="423">
        <f t="shared" si="5"/>
        <v>3.1578818670394328E-3</v>
      </c>
      <c r="L40" s="420">
        <v>257.87</v>
      </c>
      <c r="M40" s="420"/>
      <c r="N40" s="420">
        <v>53.78</v>
      </c>
      <c r="O40" s="420">
        <f t="shared" si="6"/>
        <v>30216.759999999987</v>
      </c>
      <c r="P40" s="424">
        <f t="shared" si="7"/>
        <v>1.7906345948406222E-3</v>
      </c>
      <c r="Q40" s="419">
        <v>2618.87</v>
      </c>
      <c r="R40" s="419">
        <v>0</v>
      </c>
      <c r="S40" s="419">
        <v>746.75</v>
      </c>
      <c r="T40" s="419">
        <f t="shared" si="21"/>
        <v>48777.880000000012</v>
      </c>
      <c r="U40" s="423">
        <f t="shared" si="22"/>
        <v>1.5982938975137778E-2</v>
      </c>
      <c r="V40" s="420">
        <v>705.08</v>
      </c>
      <c r="W40" s="420">
        <v>0</v>
      </c>
      <c r="X40" s="420">
        <v>187.43</v>
      </c>
      <c r="Y40" s="420">
        <f t="shared" si="17"/>
        <v>12075.720000000005</v>
      </c>
      <c r="Z40" s="424">
        <f t="shared" si="18"/>
        <v>1.6247751554948738E-2</v>
      </c>
    </row>
    <row r="41" spans="1:26" ht="11.25" customHeight="1" x14ac:dyDescent="0.3">
      <c r="A41" s="421">
        <f t="shared" si="0"/>
        <v>47</v>
      </c>
      <c r="B41" s="422">
        <v>42461</v>
      </c>
      <c r="C41" s="426">
        <v>42551</v>
      </c>
      <c r="D41" s="410">
        <f t="shared" si="1"/>
        <v>5490.93</v>
      </c>
      <c r="E41" s="352">
        <f t="shared" ref="E41:F41" si="45">I41+N41+S41+X41</f>
        <v>2765.2200000000003</v>
      </c>
      <c r="F41" s="352">
        <f t="shared" si="45"/>
        <v>169443.33000000005</v>
      </c>
      <c r="G41" s="296">
        <f t="shared" si="4"/>
        <v>1.6868025279528673E-2</v>
      </c>
      <c r="H41" s="419">
        <v>2056.3200000000002</v>
      </c>
      <c r="I41" s="419">
        <v>1078.08</v>
      </c>
      <c r="J41" s="419">
        <f t="shared" si="9"/>
        <v>73251.22000000003</v>
      </c>
      <c r="K41" s="423">
        <f t="shared" si="5"/>
        <v>1.5153282775538056E-2</v>
      </c>
      <c r="L41" s="420">
        <v>365.3</v>
      </c>
      <c r="M41" s="420"/>
      <c r="N41" s="420">
        <v>458.99</v>
      </c>
      <c r="O41" s="420">
        <f t="shared" si="6"/>
        <v>31041.049999999988</v>
      </c>
      <c r="P41" s="424">
        <f t="shared" si="7"/>
        <v>1.5098648296134701E-2</v>
      </c>
      <c r="Q41" s="419">
        <v>2418.2399999999998</v>
      </c>
      <c r="R41" s="419">
        <v>0</v>
      </c>
      <c r="S41" s="419">
        <v>984.08</v>
      </c>
      <c r="T41" s="419">
        <f t="shared" si="21"/>
        <v>52180.200000000012</v>
      </c>
      <c r="U41" s="423">
        <f t="shared" si="22"/>
        <v>1.968671854682217E-2</v>
      </c>
      <c r="V41" s="420">
        <v>651.07000000000005</v>
      </c>
      <c r="W41" s="420">
        <v>0</v>
      </c>
      <c r="X41" s="420">
        <v>244.07</v>
      </c>
      <c r="Y41" s="420">
        <f t="shared" si="17"/>
        <v>12970.860000000004</v>
      </c>
      <c r="Z41" s="424">
        <f t="shared" si="18"/>
        <v>1.9681072601119797E-2</v>
      </c>
    </row>
    <row r="42" spans="1:26" ht="11.25" customHeight="1" x14ac:dyDescent="0.3">
      <c r="A42" s="421">
        <f t="shared" si="0"/>
        <v>33</v>
      </c>
      <c r="B42" s="422">
        <v>42552</v>
      </c>
      <c r="C42" s="426">
        <v>42643</v>
      </c>
      <c r="D42" s="410">
        <f t="shared" si="1"/>
        <v>6394.45</v>
      </c>
      <c r="E42" s="352">
        <f t="shared" ref="E42:F42" si="46">I42+N42+S42+X42</f>
        <v>7537.78</v>
      </c>
      <c r="F42" s="352">
        <f t="shared" si="46"/>
        <v>183375.56000000003</v>
      </c>
      <c r="G42" s="296">
        <f t="shared" si="4"/>
        <v>4.3661699303503727E-2</v>
      </c>
      <c r="H42" s="419">
        <v>2432.4899999999998</v>
      </c>
      <c r="I42" s="419">
        <v>3287.43</v>
      </c>
      <c r="J42" s="419">
        <f t="shared" si="9"/>
        <v>78971.140000000029</v>
      </c>
      <c r="K42" s="423">
        <f t="shared" si="5"/>
        <v>4.4145856180279518E-2</v>
      </c>
      <c r="L42" s="420">
        <v>580.16</v>
      </c>
      <c r="M42" s="420"/>
      <c r="N42" s="420">
        <v>1388.59</v>
      </c>
      <c r="O42" s="420">
        <f t="shared" si="6"/>
        <v>33009.799999999988</v>
      </c>
      <c r="P42" s="424">
        <f t="shared" si="7"/>
        <v>4.4319818659588735E-2</v>
      </c>
      <c r="Q42" s="419">
        <v>2664.45</v>
      </c>
      <c r="R42" s="419">
        <v>0</v>
      </c>
      <c r="S42" s="419">
        <v>2291.5500000000002</v>
      </c>
      <c r="T42" s="419">
        <f t="shared" si="21"/>
        <v>57136.200000000012</v>
      </c>
      <c r="U42" s="423">
        <f t="shared" si="22"/>
        <v>4.2822764993363689E-2</v>
      </c>
      <c r="V42" s="420">
        <v>717.35</v>
      </c>
      <c r="W42" s="420">
        <v>0</v>
      </c>
      <c r="X42" s="420">
        <v>570.21</v>
      </c>
      <c r="Y42" s="420">
        <f t="shared" si="17"/>
        <v>14258.420000000006</v>
      </c>
      <c r="Z42" s="424">
        <f t="shared" si="18"/>
        <v>4.2777936364621863E-2</v>
      </c>
    </row>
    <row r="43" spans="1:26" ht="11.25" customHeight="1" x14ac:dyDescent="0.3">
      <c r="A43" s="421">
        <f t="shared" si="0"/>
        <v>48</v>
      </c>
      <c r="B43" s="422">
        <v>42644</v>
      </c>
      <c r="C43" s="426">
        <v>42735</v>
      </c>
      <c r="D43" s="410">
        <f t="shared" si="1"/>
        <v>5352.59</v>
      </c>
      <c r="E43" s="352">
        <f t="shared" ref="E43:F43" si="47">I43+N43+S43+X43</f>
        <v>3018.9100000000003</v>
      </c>
      <c r="F43" s="352">
        <f t="shared" si="47"/>
        <v>191754.43000000002</v>
      </c>
      <c r="G43" s="296">
        <f t="shared" si="4"/>
        <v>1.6226175224106201E-2</v>
      </c>
      <c r="H43" s="419">
        <v>2123.2200000000003</v>
      </c>
      <c r="I43" s="419">
        <v>1866.38</v>
      </c>
      <c r="J43" s="419">
        <f t="shared" si="9"/>
        <v>82960.740000000034</v>
      </c>
      <c r="K43" s="423">
        <f t="shared" si="5"/>
        <v>2.3320203291777423E-2</v>
      </c>
      <c r="L43" s="420">
        <v>257.85000000000002</v>
      </c>
      <c r="M43" s="420"/>
      <c r="N43" s="420">
        <v>769.01</v>
      </c>
      <c r="O43" s="420">
        <f t="shared" si="6"/>
        <v>34036.659999999989</v>
      </c>
      <c r="P43" s="424">
        <f t="shared" si="7"/>
        <v>2.320578115180956E-2</v>
      </c>
      <c r="Q43" s="419">
        <v>2341.19</v>
      </c>
      <c r="R43" s="419">
        <v>6.28</v>
      </c>
      <c r="S43" s="419">
        <v>306.20999999999998</v>
      </c>
      <c r="T43" s="419">
        <f t="shared" si="21"/>
        <v>59789.880000000012</v>
      </c>
      <c r="U43" s="423">
        <f t="shared" si="22"/>
        <v>5.2517035107143154E-3</v>
      </c>
      <c r="V43" s="420">
        <v>630.33000000000004</v>
      </c>
      <c r="W43" s="420">
        <v>1.0900000000000001</v>
      </c>
      <c r="X43" s="420">
        <v>77.31</v>
      </c>
      <c r="Y43" s="420">
        <f t="shared" si="17"/>
        <v>14967.150000000005</v>
      </c>
      <c r="Z43" s="424">
        <f t="shared" si="18"/>
        <v>5.3048031764318781E-3</v>
      </c>
    </row>
    <row r="44" spans="1:26" ht="11.25" customHeight="1" x14ac:dyDescent="0.3">
      <c r="A44" s="421">
        <f t="shared" si="0"/>
        <v>27</v>
      </c>
      <c r="B44" s="422">
        <v>42736</v>
      </c>
      <c r="C44" s="426">
        <v>42825</v>
      </c>
      <c r="D44" s="410">
        <f t="shared" si="1"/>
        <v>6321.97</v>
      </c>
      <c r="E44" s="352">
        <f t="shared" ref="E44:F44" si="48">I44+N44+S44+X44</f>
        <v>10772.96</v>
      </c>
      <c r="F44" s="352">
        <f t="shared" si="48"/>
        <v>208849.36000000004</v>
      </c>
      <c r="G44" s="296">
        <f t="shared" si="4"/>
        <v>5.5269923109980801E-2</v>
      </c>
      <c r="H44" s="419">
        <v>2507.04</v>
      </c>
      <c r="I44" s="419">
        <v>4436.24</v>
      </c>
      <c r="J44" s="419">
        <f t="shared" si="9"/>
        <v>89904.020000000033</v>
      </c>
      <c r="K44" s="423">
        <f t="shared" si="5"/>
        <v>5.2678014388537024E-2</v>
      </c>
      <c r="L44" s="420">
        <v>263.27999999999997</v>
      </c>
      <c r="M44" s="420"/>
      <c r="N44" s="420">
        <v>1801.81</v>
      </c>
      <c r="O44" s="420">
        <f t="shared" si="6"/>
        <v>36101.749999999985</v>
      </c>
      <c r="P44" s="424">
        <f t="shared" si="7"/>
        <v>5.2733381526151452E-2</v>
      </c>
      <c r="Q44" s="419">
        <v>2798.2700000000004</v>
      </c>
      <c r="R44" s="419">
        <v>0</v>
      </c>
      <c r="S44" s="419">
        <v>3626</v>
      </c>
      <c r="T44" s="419">
        <f t="shared" si="21"/>
        <v>66214.150000000009</v>
      </c>
      <c r="U44" s="423">
        <f t="shared" si="22"/>
        <v>5.9259002616727841E-2</v>
      </c>
      <c r="V44" s="420">
        <v>753.38</v>
      </c>
      <c r="W44" s="420">
        <v>0</v>
      </c>
      <c r="X44" s="420">
        <v>908.91</v>
      </c>
      <c r="Y44" s="420">
        <f t="shared" si="17"/>
        <v>16629.440000000006</v>
      </c>
      <c r="Z44" s="424">
        <f t="shared" si="18"/>
        <v>5.9236149490609888E-2</v>
      </c>
    </row>
    <row r="45" spans="1:26" ht="11.25" customHeight="1" x14ac:dyDescent="0.3">
      <c r="A45" s="421">
        <f t="shared" si="0"/>
        <v>38</v>
      </c>
      <c r="B45" s="422">
        <v>42826</v>
      </c>
      <c r="C45" s="422">
        <v>42916</v>
      </c>
      <c r="D45" s="410">
        <f t="shared" si="1"/>
        <v>6130.92</v>
      </c>
      <c r="E45" s="352">
        <f t="shared" ref="E45:F45" si="49">I45+N45+S45+X45</f>
        <v>7656.6699999999992</v>
      </c>
      <c r="F45" s="352">
        <f t="shared" si="49"/>
        <v>222636.95</v>
      </c>
      <c r="G45" s="296">
        <f t="shared" si="4"/>
        <v>3.6130885041452024E-2</v>
      </c>
      <c r="H45" s="419">
        <v>2519.0200000000004</v>
      </c>
      <c r="I45" s="419">
        <v>3138.16</v>
      </c>
      <c r="J45" s="419">
        <f t="shared" si="9"/>
        <v>95561.200000000041</v>
      </c>
      <c r="K45" s="423">
        <f t="shared" si="5"/>
        <v>3.4423414714195459E-2</v>
      </c>
      <c r="L45" s="420">
        <v>329.1</v>
      </c>
      <c r="M45" s="420"/>
      <c r="N45" s="420">
        <v>1254.71</v>
      </c>
      <c r="O45" s="420">
        <f t="shared" si="6"/>
        <v>37685.559999999983</v>
      </c>
      <c r="P45" s="424">
        <f t="shared" si="7"/>
        <v>3.4597132875424305E-2</v>
      </c>
      <c r="Q45" s="419">
        <v>2586.4499999999998</v>
      </c>
      <c r="R45" s="419">
        <v>0</v>
      </c>
      <c r="S45" s="419">
        <v>2608.19</v>
      </c>
      <c r="T45" s="419">
        <f t="shared" si="21"/>
        <v>71408.790000000008</v>
      </c>
      <c r="U45" s="423">
        <f t="shared" si="22"/>
        <v>3.8635630551476778E-2</v>
      </c>
      <c r="V45" s="420">
        <v>696.35</v>
      </c>
      <c r="W45" s="420">
        <v>0</v>
      </c>
      <c r="X45" s="420">
        <v>655.61</v>
      </c>
      <c r="Y45" s="420">
        <f t="shared" si="17"/>
        <v>17981.400000000005</v>
      </c>
      <c r="Z45" s="424">
        <f t="shared" si="18"/>
        <v>3.8616142491156726E-2</v>
      </c>
    </row>
    <row r="46" spans="1:26" ht="11.25" customHeight="1" x14ac:dyDescent="0.3">
      <c r="A46" s="421">
        <f t="shared" si="0"/>
        <v>34</v>
      </c>
      <c r="B46" s="422">
        <v>42917</v>
      </c>
      <c r="C46" s="422">
        <v>43008</v>
      </c>
      <c r="D46" s="410">
        <f t="shared" si="1"/>
        <v>6326.3899999999994</v>
      </c>
      <c r="E46" s="352">
        <f t="shared" ref="E46:F46" si="50">I46+N46+S46+X46</f>
        <v>9681.82</v>
      </c>
      <c r="F46" s="352">
        <f t="shared" si="50"/>
        <v>238645.16</v>
      </c>
      <c r="G46" s="296">
        <f t="shared" si="4"/>
        <v>4.2877828975707695E-2</v>
      </c>
      <c r="H46" s="419">
        <v>2193</v>
      </c>
      <c r="I46" s="419">
        <v>4008.93</v>
      </c>
      <c r="J46" s="419">
        <f t="shared" si="9"/>
        <v>101763.13000000003</v>
      </c>
      <c r="K46" s="423">
        <f t="shared" si="5"/>
        <v>4.1475536868764706E-2</v>
      </c>
      <c r="L46" s="420">
        <v>614.30999999999995</v>
      </c>
      <c r="M46" s="420"/>
      <c r="N46" s="420">
        <v>1571.89</v>
      </c>
      <c r="O46" s="420">
        <f t="shared" si="6"/>
        <v>39871.75999999998</v>
      </c>
      <c r="P46" s="424">
        <f t="shared" si="7"/>
        <v>4.1373458043206461E-2</v>
      </c>
      <c r="Q46" s="419">
        <v>2772.6</v>
      </c>
      <c r="R46" s="419">
        <v>0</v>
      </c>
      <c r="S46" s="419">
        <v>3275.23</v>
      </c>
      <c r="T46" s="419">
        <f t="shared" si="21"/>
        <v>77456.62000000001</v>
      </c>
      <c r="U46" s="423">
        <f t="shared" si="22"/>
        <v>4.4992457595697727E-2</v>
      </c>
      <c r="V46" s="420">
        <v>746.48</v>
      </c>
      <c r="W46" s="420">
        <v>0</v>
      </c>
      <c r="X46" s="420">
        <v>825.77</v>
      </c>
      <c r="Y46" s="420">
        <f t="shared" si="17"/>
        <v>19553.650000000005</v>
      </c>
      <c r="Z46" s="424">
        <f t="shared" si="18"/>
        <v>4.498971377264821E-2</v>
      </c>
    </row>
    <row r="47" spans="1:26" ht="11.25" customHeight="1" x14ac:dyDescent="0.3">
      <c r="A47" s="421">
        <f t="shared" si="0"/>
        <v>30</v>
      </c>
      <c r="B47" s="422">
        <v>43009</v>
      </c>
      <c r="C47" s="422">
        <v>43100</v>
      </c>
      <c r="D47" s="410">
        <f t="shared" si="1"/>
        <v>6272.63</v>
      </c>
      <c r="E47" s="352">
        <f t="shared" ref="E47:F47" si="51">I47+N47+S47+X47</f>
        <v>11946.29</v>
      </c>
      <c r="F47" s="352">
        <f t="shared" si="51"/>
        <v>256868.65000000002</v>
      </c>
      <c r="G47" s="296">
        <f t="shared" si="4"/>
        <v>4.9409451241043179E-2</v>
      </c>
      <c r="H47" s="419">
        <v>2226.84</v>
      </c>
      <c r="I47" s="419">
        <v>4866.43</v>
      </c>
      <c r="J47" s="419">
        <f t="shared" si="9"/>
        <v>108856.40000000002</v>
      </c>
      <c r="K47" s="423">
        <f t="shared" si="5"/>
        <v>4.7303588621507998E-2</v>
      </c>
      <c r="L47" s="420">
        <v>1158.25</v>
      </c>
      <c r="M47" s="420"/>
      <c r="N47" s="420">
        <v>1923.03</v>
      </c>
      <c r="O47" s="420">
        <f t="shared" si="6"/>
        <v>42953.039999999979</v>
      </c>
      <c r="P47" s="424">
        <f t="shared" si="7"/>
        <v>4.7539874591124541E-2</v>
      </c>
      <c r="Q47" s="419">
        <v>2275.04</v>
      </c>
      <c r="R47" s="419">
        <v>4.5599999999999996</v>
      </c>
      <c r="S47" s="419">
        <v>4116.6000000000004</v>
      </c>
      <c r="T47" s="419">
        <f t="shared" si="21"/>
        <v>83852.820000000007</v>
      </c>
      <c r="U47" s="423">
        <f t="shared" si="22"/>
        <v>5.2377950824323539E-2</v>
      </c>
      <c r="V47" s="420">
        <v>612.5</v>
      </c>
      <c r="W47" s="420">
        <v>0.01</v>
      </c>
      <c r="X47" s="420">
        <v>1040.23</v>
      </c>
      <c r="Y47" s="420">
        <f t="shared" si="17"/>
        <v>21206.390000000003</v>
      </c>
      <c r="Z47" s="424">
        <f t="shared" si="18"/>
        <v>5.2378410767425804E-2</v>
      </c>
    </row>
    <row r="48" spans="1:26" ht="11.25" customHeight="1" x14ac:dyDescent="0.3">
      <c r="A48" s="421">
        <f t="shared" si="0"/>
        <v>61</v>
      </c>
      <c r="B48" s="422">
        <v>43101</v>
      </c>
      <c r="C48" s="422">
        <v>43190</v>
      </c>
      <c r="D48" s="410">
        <f t="shared" si="1"/>
        <v>6576.6399999999994</v>
      </c>
      <c r="E48" s="352">
        <f t="shared" ref="E48:F48" si="52">I48+N48+S48+X48</f>
        <v>-1986.06</v>
      </c>
      <c r="F48" s="352">
        <f t="shared" si="52"/>
        <v>261459.23</v>
      </c>
      <c r="G48" s="296">
        <f t="shared" si="4"/>
        <v>-7.634083376662942E-3</v>
      </c>
      <c r="H48" s="419">
        <v>2629.98</v>
      </c>
      <c r="I48" s="419">
        <v>-625.94000000000005</v>
      </c>
      <c r="J48" s="419">
        <f t="shared" si="9"/>
        <v>110860.44000000002</v>
      </c>
      <c r="K48" s="423">
        <f t="shared" si="5"/>
        <v>-5.6815113252179162E-3</v>
      </c>
      <c r="L48" s="420">
        <v>278.63</v>
      </c>
      <c r="M48" s="420"/>
      <c r="N48" s="420">
        <v>-225.64</v>
      </c>
      <c r="O48" s="420">
        <f t="shared" si="6"/>
        <v>43006.029999999977</v>
      </c>
      <c r="P48" s="424">
        <f t="shared" si="7"/>
        <v>-5.2361956082465225E-3</v>
      </c>
      <c r="Q48" s="419">
        <v>2889.97</v>
      </c>
      <c r="R48" s="419">
        <v>0</v>
      </c>
      <c r="S48" s="419">
        <v>-904.56</v>
      </c>
      <c r="T48" s="419">
        <f t="shared" si="21"/>
        <v>85838.23000000001</v>
      </c>
      <c r="U48" s="423">
        <f t="shared" si="22"/>
        <v>-1.0604727753545356E-2</v>
      </c>
      <c r="V48" s="420">
        <v>778.06</v>
      </c>
      <c r="W48" s="420">
        <v>0</v>
      </c>
      <c r="X48" s="420">
        <v>-229.92</v>
      </c>
      <c r="Y48" s="420">
        <f t="shared" si="17"/>
        <v>21754.530000000006</v>
      </c>
      <c r="Z48" s="424">
        <f t="shared" si="18"/>
        <v>-1.0646701939577927E-2</v>
      </c>
    </row>
    <row r="49" spans="1:26" ht="11.25" customHeight="1" x14ac:dyDescent="0.3">
      <c r="A49" s="421">
        <f t="shared" si="0"/>
        <v>44</v>
      </c>
      <c r="B49" s="422">
        <v>43191</v>
      </c>
      <c r="C49" s="422">
        <v>43281</v>
      </c>
      <c r="D49" s="410">
        <f t="shared" si="1"/>
        <v>6412.6500000000005</v>
      </c>
      <c r="E49" s="352">
        <f t="shared" ref="E49:F49" si="53">I49+N49+S49+X49</f>
        <v>4812.1499999999996</v>
      </c>
      <c r="F49" s="352">
        <f t="shared" si="53"/>
        <v>272684.03000000003</v>
      </c>
      <c r="G49" s="296">
        <f t="shared" si="4"/>
        <v>1.8182003321134857E-2</v>
      </c>
      <c r="H49" s="419">
        <v>2454.0100000000002</v>
      </c>
      <c r="I49" s="419">
        <v>2306.91</v>
      </c>
      <c r="J49" s="419">
        <f t="shared" si="9"/>
        <v>115621.36000000002</v>
      </c>
      <c r="K49" s="423">
        <f t="shared" si="5"/>
        <v>2.058134164803203E-2</v>
      </c>
      <c r="L49" s="420">
        <v>633.24</v>
      </c>
      <c r="M49" s="420"/>
      <c r="N49" s="420">
        <v>892.71</v>
      </c>
      <c r="O49" s="420">
        <f t="shared" si="6"/>
        <v>44531.979999999974</v>
      </c>
      <c r="P49" s="424">
        <f t="shared" si="7"/>
        <v>2.0606080191308714E-2</v>
      </c>
      <c r="Q49" s="419">
        <v>2620.0100000000002</v>
      </c>
      <c r="R49" s="419">
        <v>0</v>
      </c>
      <c r="S49" s="419">
        <v>1286.52</v>
      </c>
      <c r="T49" s="419">
        <f t="shared" si="21"/>
        <v>89744.760000000009</v>
      </c>
      <c r="U49" s="423">
        <f t="shared" si="22"/>
        <v>1.4762433226559318E-2</v>
      </c>
      <c r="V49" s="420">
        <v>705.39</v>
      </c>
      <c r="W49" s="420">
        <v>0</v>
      </c>
      <c r="X49" s="420">
        <v>326.01</v>
      </c>
      <c r="Y49" s="420">
        <f t="shared" si="17"/>
        <v>22785.930000000004</v>
      </c>
      <c r="Z49" s="424">
        <f t="shared" si="18"/>
        <v>1.4746762653385936E-2</v>
      </c>
    </row>
    <row r="50" spans="1:26" ht="11.25" customHeight="1" x14ac:dyDescent="0.3">
      <c r="A50" s="421">
        <f t="shared" si="0"/>
        <v>36</v>
      </c>
      <c r="B50" s="422">
        <v>43282</v>
      </c>
      <c r="C50" s="422">
        <v>43373</v>
      </c>
      <c r="D50" s="410">
        <f t="shared" si="1"/>
        <v>5881.42</v>
      </c>
      <c r="E50" s="352">
        <f t="shared" ref="E50:F50" si="54">I50+N50+S50+X50</f>
        <v>11350.779999999999</v>
      </c>
      <c r="F50" s="352">
        <f t="shared" si="54"/>
        <v>289916.23</v>
      </c>
      <c r="G50" s="296">
        <f t="shared" si="4"/>
        <v>4.1182007101394441E-2</v>
      </c>
      <c r="H50" s="419">
        <v>2076.4699999999998</v>
      </c>
      <c r="I50" s="419">
        <v>5094.57</v>
      </c>
      <c r="J50" s="419">
        <f t="shared" si="9"/>
        <v>122792.40000000002</v>
      </c>
      <c r="K50" s="423">
        <f t="shared" si="5"/>
        <v>4.3670389906633904E-2</v>
      </c>
      <c r="L50" s="420">
        <v>303.95999999999998</v>
      </c>
      <c r="M50" s="420"/>
      <c r="N50" s="420">
        <v>1955.79</v>
      </c>
      <c r="O50" s="420">
        <f t="shared" si="6"/>
        <v>46791.729999999974</v>
      </c>
      <c r="P50" s="424">
        <f t="shared" si="7"/>
        <v>4.3769397340790765E-2</v>
      </c>
      <c r="Q50" s="419">
        <v>2758.34</v>
      </c>
      <c r="R50" s="419">
        <v>0</v>
      </c>
      <c r="S50" s="419">
        <v>3429.13</v>
      </c>
      <c r="T50" s="419">
        <f t="shared" si="21"/>
        <v>95932.23000000001</v>
      </c>
      <c r="U50" s="423">
        <f t="shared" si="22"/>
        <v>3.7631498114710372E-2</v>
      </c>
      <c r="V50" s="420">
        <v>742.65</v>
      </c>
      <c r="W50" s="420">
        <v>0</v>
      </c>
      <c r="X50" s="420">
        <v>871.29</v>
      </c>
      <c r="Y50" s="420">
        <f t="shared" si="17"/>
        <v>24399.870000000006</v>
      </c>
      <c r="Z50" s="424">
        <f t="shared" si="18"/>
        <v>3.7624925752210256E-2</v>
      </c>
    </row>
    <row r="51" spans="1:26" ht="11.25" customHeight="1" x14ac:dyDescent="0.3">
      <c r="A51" s="421">
        <f t="shared" si="0"/>
        <v>72</v>
      </c>
      <c r="B51" s="422">
        <v>43374</v>
      </c>
      <c r="C51" s="422">
        <v>43465</v>
      </c>
      <c r="D51" s="410">
        <f t="shared" si="1"/>
        <v>6077.6</v>
      </c>
      <c r="E51" s="352">
        <f t="shared" ref="E51:F51" si="55">I51+N51+S51+X51</f>
        <v>-33155.630000000005</v>
      </c>
      <c r="F51" s="352">
        <f t="shared" si="55"/>
        <v>262846.91000000003</v>
      </c>
      <c r="G51" s="296">
        <f t="shared" si="4"/>
        <v>-0.11317651722859992</v>
      </c>
      <c r="H51" s="419">
        <v>2265.2399999999998</v>
      </c>
      <c r="I51" s="419">
        <v>-14051.78</v>
      </c>
      <c r="J51" s="419">
        <f t="shared" si="9"/>
        <v>111005.86000000003</v>
      </c>
      <c r="K51" s="423">
        <f t="shared" si="5"/>
        <v>-0.11338937044351495</v>
      </c>
      <c r="L51" s="420">
        <v>303.95999999999998</v>
      </c>
      <c r="M51" s="420"/>
      <c r="N51" s="420">
        <v>-5317.24</v>
      </c>
      <c r="O51" s="420">
        <f t="shared" si="6"/>
        <v>41778.449999999975</v>
      </c>
      <c r="P51" s="424">
        <f t="shared" si="7"/>
        <v>-0.11326842296870022</v>
      </c>
      <c r="Q51" s="419">
        <v>2764.1800000000003</v>
      </c>
      <c r="R51" s="419">
        <v>7.98</v>
      </c>
      <c r="S51" s="419">
        <v>-10989.38</v>
      </c>
      <c r="T51" s="419">
        <f t="shared" si="21"/>
        <v>87715.01</v>
      </c>
      <c r="U51" s="423">
        <f t="shared" si="22"/>
        <v>-0.11292664841104576</v>
      </c>
      <c r="V51" s="420">
        <v>744.22</v>
      </c>
      <c r="W51" s="420">
        <v>0.73</v>
      </c>
      <c r="X51" s="420">
        <v>-2797.23</v>
      </c>
      <c r="Y51" s="420">
        <f t="shared" si="17"/>
        <v>22347.590000000007</v>
      </c>
      <c r="Z51" s="424">
        <f t="shared" si="18"/>
        <v>-0.11291911264259051</v>
      </c>
    </row>
    <row r="52" spans="1:26" ht="11.25" customHeight="1" x14ac:dyDescent="0.3">
      <c r="A52" s="421">
        <f t="shared" si="0"/>
        <v>6</v>
      </c>
      <c r="B52" s="422">
        <v>43466</v>
      </c>
      <c r="C52" s="422">
        <v>43555</v>
      </c>
      <c r="D52" s="410">
        <f t="shared" si="1"/>
        <v>6254.04</v>
      </c>
      <c r="E52" s="352">
        <f t="shared" ref="E52:F52" si="56">I52+N52+S52+X52</f>
        <v>30179.269999999997</v>
      </c>
      <c r="F52" s="352">
        <f t="shared" si="56"/>
        <v>299280.21999999997</v>
      </c>
      <c r="G52" s="296">
        <f t="shared" si="4"/>
        <v>0.11346702287701652</v>
      </c>
      <c r="H52" s="419">
        <v>2642.78</v>
      </c>
      <c r="I52" s="419">
        <v>11936.14</v>
      </c>
      <c r="J52" s="419">
        <f t="shared" si="9"/>
        <v>125584.78000000003</v>
      </c>
      <c r="K52" s="423">
        <f t="shared" si="5"/>
        <v>0.10626219372414082</v>
      </c>
      <c r="L52" s="420">
        <v>434.51</v>
      </c>
      <c r="M52" s="420"/>
      <c r="N52" s="420">
        <v>4462.8500000000004</v>
      </c>
      <c r="O52" s="420">
        <f t="shared" si="6"/>
        <v>46675.809999999976</v>
      </c>
      <c r="P52" s="424">
        <f t="shared" si="7"/>
        <v>0.10626920062420676</v>
      </c>
      <c r="Q52" s="419">
        <v>2359.86</v>
      </c>
      <c r="R52" s="419">
        <v>0</v>
      </c>
      <c r="S52" s="419">
        <v>10975.25</v>
      </c>
      <c r="T52" s="419">
        <f t="shared" si="21"/>
        <v>101050.12</v>
      </c>
      <c r="U52" s="423">
        <f t="shared" si="22"/>
        <v>0.12346315774553648</v>
      </c>
      <c r="V52" s="420">
        <v>816.89</v>
      </c>
      <c r="W52" s="420">
        <v>0</v>
      </c>
      <c r="X52" s="420">
        <v>2805.03</v>
      </c>
      <c r="Y52" s="420">
        <f t="shared" si="17"/>
        <v>25969.510000000006</v>
      </c>
      <c r="Z52" s="424">
        <f t="shared" si="18"/>
        <v>0.12326532280337939</v>
      </c>
    </row>
    <row r="53" spans="1:26" ht="11.25" customHeight="1" x14ac:dyDescent="0.3">
      <c r="A53" s="421">
        <f t="shared" si="0"/>
        <v>39</v>
      </c>
      <c r="B53" s="422">
        <v>43556</v>
      </c>
      <c r="C53" s="422">
        <v>43646</v>
      </c>
      <c r="D53" s="410">
        <f t="shared" si="1"/>
        <v>6406.14</v>
      </c>
      <c r="E53" s="352">
        <f t="shared" ref="E53:F53" si="57">I53+N53+S53+X53</f>
        <v>10419.14</v>
      </c>
      <c r="F53" s="352">
        <f t="shared" si="57"/>
        <v>316095.5</v>
      </c>
      <c r="G53" s="296">
        <f t="shared" si="4"/>
        <v>3.4445340765765935E-2</v>
      </c>
      <c r="H53" s="419">
        <v>2720.5</v>
      </c>
      <c r="I53" s="419">
        <v>4541.88</v>
      </c>
      <c r="J53" s="419">
        <f t="shared" si="9"/>
        <v>132847.16000000003</v>
      </c>
      <c r="K53" s="423">
        <f t="shared" si="5"/>
        <v>3.5778320742450485E-2</v>
      </c>
      <c r="L53" s="420">
        <v>276.60000000000002</v>
      </c>
      <c r="M53" s="420"/>
      <c r="N53" s="420">
        <v>1676.71</v>
      </c>
      <c r="O53" s="420">
        <f t="shared" si="6"/>
        <v>48629.119999999974</v>
      </c>
      <c r="P53" s="424">
        <f t="shared" si="7"/>
        <v>3.5816338279206862E-2</v>
      </c>
      <c r="Q53" s="419">
        <v>2532.42</v>
      </c>
      <c r="R53" s="419">
        <v>-5</v>
      </c>
      <c r="S53" s="419">
        <v>3336.74</v>
      </c>
      <c r="T53" s="419">
        <f t="shared" si="21"/>
        <v>106914.28</v>
      </c>
      <c r="U53" s="423">
        <f t="shared" si="22"/>
        <v>3.2611998495254861E-2</v>
      </c>
      <c r="V53" s="420">
        <v>876.62</v>
      </c>
      <c r="W53" s="420">
        <v>-5</v>
      </c>
      <c r="X53" s="420">
        <v>863.81</v>
      </c>
      <c r="Y53" s="420">
        <f t="shared" si="17"/>
        <v>27704.940000000006</v>
      </c>
      <c r="Z53" s="424">
        <f t="shared" si="18"/>
        <v>3.2710386544591706E-2</v>
      </c>
    </row>
    <row r="54" spans="1:26" ht="11.25" customHeight="1" x14ac:dyDescent="0.3">
      <c r="A54" s="421">
        <f t="shared" si="0"/>
        <v>56</v>
      </c>
      <c r="B54" s="422">
        <v>43647</v>
      </c>
      <c r="C54" s="422">
        <v>43738</v>
      </c>
      <c r="D54" s="410">
        <f t="shared" si="1"/>
        <v>7673.9400000000005</v>
      </c>
      <c r="E54" s="352">
        <f t="shared" ref="E54:F54" si="58">I54+N54+S54+X54</f>
        <v>1434.08</v>
      </c>
      <c r="F54" s="352">
        <f t="shared" si="58"/>
        <v>325193.52</v>
      </c>
      <c r="G54" s="296">
        <f t="shared" si="4"/>
        <v>4.4824459361689677E-3</v>
      </c>
      <c r="H54" s="419">
        <v>2338.65</v>
      </c>
      <c r="I54" s="419">
        <v>572.88</v>
      </c>
      <c r="J54" s="419">
        <f t="shared" si="9"/>
        <v>135758.69000000003</v>
      </c>
      <c r="K54" s="423">
        <f t="shared" si="5"/>
        <v>4.2746979970411832E-3</v>
      </c>
      <c r="L54" s="420">
        <v>774.48</v>
      </c>
      <c r="M54" s="420"/>
      <c r="N54" s="420">
        <v>197.29</v>
      </c>
      <c r="O54" s="420">
        <f t="shared" si="6"/>
        <v>49600.889999999978</v>
      </c>
      <c r="P54" s="424">
        <f t="shared" si="7"/>
        <v>4.024982679252399E-3</v>
      </c>
      <c r="Q54" s="419">
        <v>3388.01</v>
      </c>
      <c r="R54" s="419">
        <v>-5</v>
      </c>
      <c r="S54" s="419">
        <v>525.37</v>
      </c>
      <c r="T54" s="419">
        <f t="shared" si="21"/>
        <v>110822.65999999999</v>
      </c>
      <c r="U54" s="423">
        <f t="shared" si="22"/>
        <v>4.8372921089767694E-3</v>
      </c>
      <c r="V54" s="420">
        <v>1172.8</v>
      </c>
      <c r="W54" s="420">
        <v>-5</v>
      </c>
      <c r="X54" s="420">
        <v>138.54</v>
      </c>
      <c r="Y54" s="420">
        <f t="shared" si="17"/>
        <v>29011.280000000006</v>
      </c>
      <c r="Z54" s="424">
        <f t="shared" si="18"/>
        <v>4.8969048479145898E-3</v>
      </c>
    </row>
    <row r="55" spans="1:26" ht="11.25" customHeight="1" x14ac:dyDescent="0.3">
      <c r="A55" s="421">
        <f t="shared" si="0"/>
        <v>14</v>
      </c>
      <c r="B55" s="427">
        <v>43739</v>
      </c>
      <c r="C55" s="427">
        <v>43830</v>
      </c>
      <c r="D55" s="428">
        <f t="shared" si="1"/>
        <v>7170.0499999999993</v>
      </c>
      <c r="E55" s="429">
        <f t="shared" ref="E55:F55" si="59">I55+N55+S55+X55</f>
        <v>25173.34</v>
      </c>
      <c r="F55" s="429">
        <f t="shared" si="59"/>
        <v>357563.51</v>
      </c>
      <c r="G55" s="296">
        <f t="shared" si="4"/>
        <v>7.6566249175413797E-2</v>
      </c>
      <c r="H55" s="430">
        <v>2373.7199999999998</v>
      </c>
      <c r="I55" s="430">
        <v>9824.64</v>
      </c>
      <c r="J55" s="430">
        <f t="shared" si="9"/>
        <v>147957.05000000005</v>
      </c>
      <c r="K55" s="431">
        <f t="shared" si="5"/>
        <v>7.1741213935027442E-2</v>
      </c>
      <c r="L55" s="432">
        <v>342.79</v>
      </c>
      <c r="M55" s="432"/>
      <c r="N55" s="432">
        <v>3566.35</v>
      </c>
      <c r="O55" s="432">
        <f t="shared" si="6"/>
        <v>53510.029999999977</v>
      </c>
      <c r="P55" s="433">
        <f t="shared" si="7"/>
        <v>7.1653330764299888E-2</v>
      </c>
      <c r="Q55" s="430">
        <v>3308.31</v>
      </c>
      <c r="R55" s="430">
        <v>28.77</v>
      </c>
      <c r="S55" s="430">
        <v>9328.2900000000009</v>
      </c>
      <c r="T55" s="430">
        <f t="shared" si="21"/>
        <v>123488.02999999998</v>
      </c>
      <c r="U55" s="431">
        <f t="shared" si="22"/>
        <v>8.2935225361777914E-2</v>
      </c>
      <c r="V55" s="432">
        <v>1145.23</v>
      </c>
      <c r="W55" s="432">
        <v>-2.17</v>
      </c>
      <c r="X55" s="432">
        <v>2454.06</v>
      </c>
      <c r="Y55" s="432">
        <f t="shared" si="17"/>
        <v>32608.400000000009</v>
      </c>
      <c r="Z55" s="424">
        <f t="shared" si="18"/>
        <v>8.2952565914664017E-2</v>
      </c>
    </row>
    <row r="56" spans="1:26" ht="11.25" customHeight="1" x14ac:dyDescent="0.3">
      <c r="A56" s="421">
        <f t="shared" si="0"/>
        <v>75</v>
      </c>
      <c r="B56" s="422">
        <v>43831</v>
      </c>
      <c r="C56" s="422">
        <v>43921</v>
      </c>
      <c r="D56" s="410">
        <f t="shared" si="1"/>
        <v>7742.6099999999988</v>
      </c>
      <c r="E56" s="352">
        <f t="shared" ref="E56:F56" si="60">I56+N56+S56+X56</f>
        <v>-70829.37</v>
      </c>
      <c r="F56" s="352">
        <f t="shared" si="60"/>
        <v>294466.75</v>
      </c>
      <c r="G56" s="296">
        <f t="shared" si="4"/>
        <v>-0.19596720365745618</v>
      </c>
      <c r="H56" s="419">
        <v>2012.79</v>
      </c>
      <c r="I56" s="419">
        <v>-27147.94</v>
      </c>
      <c r="J56" s="419">
        <f t="shared" si="9"/>
        <v>122821.90000000005</v>
      </c>
      <c r="K56" s="423">
        <f t="shared" si="5"/>
        <v>-0.18224565093805392</v>
      </c>
      <c r="L56" s="420">
        <v>1354.74</v>
      </c>
      <c r="M56" s="420"/>
      <c r="N56" s="420">
        <v>-9790.6200000000008</v>
      </c>
      <c r="O56" s="420">
        <f t="shared" si="6"/>
        <v>45074.149999999972</v>
      </c>
      <c r="P56" s="424">
        <f t="shared" si="7"/>
        <v>-0.18068074866112796</v>
      </c>
      <c r="Q56" s="419">
        <v>3250.02</v>
      </c>
      <c r="R56" s="419">
        <v>-5</v>
      </c>
      <c r="S56" s="419">
        <v>-26778.080000000002</v>
      </c>
      <c r="T56" s="419">
        <f t="shared" si="21"/>
        <v>99954.969999999987</v>
      </c>
      <c r="U56" s="423">
        <f t="shared" si="22"/>
        <v>-0.21403108740703611</v>
      </c>
      <c r="V56" s="420">
        <v>1125.06</v>
      </c>
      <c r="W56" s="420">
        <v>-5</v>
      </c>
      <c r="X56" s="420">
        <v>-7112.73</v>
      </c>
      <c r="Y56" s="420">
        <f t="shared" si="17"/>
        <v>26615.730000000007</v>
      </c>
      <c r="Z56" s="424">
        <f t="shared" si="18"/>
        <v>-0.21442660787623374</v>
      </c>
    </row>
    <row r="57" spans="1:26" ht="11.25" customHeight="1" x14ac:dyDescent="0.3">
      <c r="A57" s="421">
        <f t="shared" si="0"/>
        <v>1</v>
      </c>
      <c r="B57" s="422">
        <v>43922</v>
      </c>
      <c r="C57" s="422">
        <v>44012</v>
      </c>
      <c r="D57" s="410">
        <f t="shared" si="1"/>
        <v>7612.45</v>
      </c>
      <c r="E57" s="352">
        <f t="shared" ref="E57:F57" si="61">I57+N57+S57+X57</f>
        <v>52103.11</v>
      </c>
      <c r="F57" s="352">
        <f t="shared" si="61"/>
        <v>354172.31000000006</v>
      </c>
      <c r="G57" s="296">
        <f t="shared" si="4"/>
        <v>0.17468263760737962</v>
      </c>
      <c r="H57" s="419">
        <v>763.49</v>
      </c>
      <c r="I57" s="419">
        <v>20618.64</v>
      </c>
      <c r="J57" s="419">
        <f t="shared" si="9"/>
        <v>144204.03000000006</v>
      </c>
      <c r="K57" s="423">
        <f t="shared" si="5"/>
        <v>0.16735413956299744</v>
      </c>
      <c r="L57" s="420">
        <v>2473.89</v>
      </c>
      <c r="M57" s="420"/>
      <c r="N57" s="420">
        <v>7704.29</v>
      </c>
      <c r="O57" s="420">
        <f t="shared" si="6"/>
        <v>55252.329999999973</v>
      </c>
      <c r="P57" s="424">
        <f t="shared" si="7"/>
        <v>0.1663594868573072</v>
      </c>
      <c r="Q57" s="419">
        <v>3250.02</v>
      </c>
      <c r="R57" s="419">
        <v>-5</v>
      </c>
      <c r="S57" s="419">
        <v>18764.759999999998</v>
      </c>
      <c r="T57" s="419">
        <f t="shared" si="21"/>
        <v>121964.74999999999</v>
      </c>
      <c r="U57" s="423">
        <f t="shared" si="22"/>
        <v>0.18472892000963184</v>
      </c>
      <c r="V57" s="420">
        <v>1125.05</v>
      </c>
      <c r="W57" s="420">
        <v>-5</v>
      </c>
      <c r="X57" s="420">
        <v>5015.42</v>
      </c>
      <c r="Y57" s="420">
        <f t="shared" si="17"/>
        <v>32751.200000000004</v>
      </c>
      <c r="Z57" s="424">
        <f t="shared" si="18"/>
        <v>0.18453796978503581</v>
      </c>
    </row>
    <row r="58" spans="1:26" ht="11.25" customHeight="1" x14ac:dyDescent="0.3">
      <c r="A58" s="421">
        <f t="shared" si="0"/>
        <v>20</v>
      </c>
      <c r="B58" s="422">
        <v>44013</v>
      </c>
      <c r="C58" s="422">
        <v>44104</v>
      </c>
      <c r="D58" s="410">
        <f t="shared" si="1"/>
        <v>7217.0099999999993</v>
      </c>
      <c r="E58" s="352">
        <f t="shared" ref="E58:F58" si="62">I58+N58+S58+X58</f>
        <v>24573.86</v>
      </c>
      <c r="F58" s="352">
        <f t="shared" si="62"/>
        <v>385953.18</v>
      </c>
      <c r="G58" s="296">
        <f t="shared" si="4"/>
        <v>6.8684118794910778E-2</v>
      </c>
      <c r="H58" s="419">
        <v>2341.29</v>
      </c>
      <c r="I58" s="419">
        <v>9153.7999999999993</v>
      </c>
      <c r="J58" s="419">
        <f t="shared" si="9"/>
        <v>155699.12000000005</v>
      </c>
      <c r="K58" s="423">
        <f t="shared" si="5"/>
        <v>6.2966950742968097E-2</v>
      </c>
      <c r="L58" s="420">
        <v>500.66</v>
      </c>
      <c r="M58" s="420"/>
      <c r="N58" s="420">
        <v>3518.08</v>
      </c>
      <c r="O58" s="420">
        <f t="shared" si="6"/>
        <v>59271.069999999978</v>
      </c>
      <c r="P58" s="424">
        <f t="shared" si="7"/>
        <v>6.3385790879211937E-2</v>
      </c>
      <c r="Q58" s="419">
        <v>3250.02</v>
      </c>
      <c r="R58" s="419">
        <v>-5</v>
      </c>
      <c r="S58" s="419">
        <v>9379.41</v>
      </c>
      <c r="T58" s="419">
        <f t="shared" si="21"/>
        <v>134589.18</v>
      </c>
      <c r="U58" s="423">
        <f t="shared" si="22"/>
        <v>7.5891481624367596E-2</v>
      </c>
      <c r="V58" s="420">
        <v>1125.04</v>
      </c>
      <c r="W58" s="420">
        <v>-5</v>
      </c>
      <c r="X58" s="420">
        <v>2522.5700000000002</v>
      </c>
      <c r="Y58" s="420">
        <f t="shared" si="17"/>
        <v>36393.810000000005</v>
      </c>
      <c r="Z58" s="424">
        <f t="shared" si="18"/>
        <v>7.5721654621579343E-2</v>
      </c>
    </row>
    <row r="59" spans="1:26" ht="11.25" customHeight="1" x14ac:dyDescent="0.3">
      <c r="A59" s="421">
        <f t="shared" si="0"/>
        <v>4</v>
      </c>
      <c r="B59" s="422">
        <v>44105</v>
      </c>
      <c r="C59" s="422">
        <v>44196</v>
      </c>
      <c r="D59" s="410">
        <f t="shared" si="1"/>
        <v>7890.2699999999995</v>
      </c>
      <c r="E59" s="352">
        <f t="shared" ref="E59:F59" si="63">I59+N59+S59+X59</f>
        <v>52550.63</v>
      </c>
      <c r="F59" s="352">
        <f t="shared" si="63"/>
        <v>446432.66000000003</v>
      </c>
      <c r="G59" s="296">
        <f t="shared" si="4"/>
        <v>0.13478034651162829</v>
      </c>
      <c r="H59" s="419">
        <v>3043.98</v>
      </c>
      <c r="I59" s="419">
        <v>20324.8</v>
      </c>
      <c r="J59" s="419">
        <f t="shared" si="9"/>
        <v>179067.90000000005</v>
      </c>
      <c r="K59" s="423">
        <f t="shared" si="5"/>
        <v>0.12927526080944216</v>
      </c>
      <c r="L59" s="420">
        <v>471.22</v>
      </c>
      <c r="M59" s="420"/>
      <c r="N59" s="420">
        <v>7727.21</v>
      </c>
      <c r="O59" s="420">
        <f t="shared" si="6"/>
        <v>67469.499999999985</v>
      </c>
      <c r="P59" s="424">
        <f t="shared" si="7"/>
        <v>0.12985449700773094</v>
      </c>
      <c r="Q59" s="419">
        <v>3250.02</v>
      </c>
      <c r="R59" s="419">
        <v>39.450000000000003</v>
      </c>
      <c r="S59" s="419">
        <v>19269.02</v>
      </c>
      <c r="T59" s="419">
        <f t="shared" si="21"/>
        <v>157147.66999999998</v>
      </c>
      <c r="U59" s="423">
        <f t="shared" si="22"/>
        <v>0.14146117963187241</v>
      </c>
      <c r="V59" s="420">
        <v>1125.05</v>
      </c>
      <c r="W59" s="420">
        <v>-0.87</v>
      </c>
      <c r="X59" s="420">
        <v>5229.6000000000004</v>
      </c>
      <c r="Y59" s="420">
        <f t="shared" si="17"/>
        <v>42747.590000000004</v>
      </c>
      <c r="Z59" s="424">
        <f t="shared" si="18"/>
        <v>0.14150753855868012</v>
      </c>
    </row>
    <row r="60" spans="1:26" ht="11.25" customHeight="1" x14ac:dyDescent="0.3">
      <c r="A60" s="421">
        <f t="shared" si="0"/>
        <v>29</v>
      </c>
      <c r="B60" s="422">
        <v>44197</v>
      </c>
      <c r="C60" s="422">
        <v>44286</v>
      </c>
      <c r="D60" s="410">
        <f t="shared" si="1"/>
        <v>7692.97</v>
      </c>
      <c r="E60" s="352">
        <f t="shared" ref="E60:F60" si="64">I60+N60+S60+X60</f>
        <v>23221.300000000003</v>
      </c>
      <c r="F60" s="352">
        <f t="shared" si="64"/>
        <v>477336.93000000005</v>
      </c>
      <c r="G60" s="296">
        <f t="shared" si="4"/>
        <v>5.1570898314644356E-2</v>
      </c>
      <c r="H60" s="419">
        <v>3135.9</v>
      </c>
      <c r="I60" s="419">
        <v>9365.5400000000009</v>
      </c>
      <c r="J60" s="419">
        <f t="shared" si="9"/>
        <v>191569.34000000005</v>
      </c>
      <c r="K60" s="423">
        <f t="shared" si="5"/>
        <v>5.1847626038795717E-2</v>
      </c>
      <c r="L60" s="420">
        <v>182</v>
      </c>
      <c r="M60" s="420"/>
      <c r="N60" s="420">
        <v>3519.58</v>
      </c>
      <c r="O60" s="420">
        <f t="shared" si="6"/>
        <v>71171.079999999987</v>
      </c>
      <c r="P60" s="424">
        <f t="shared" si="7"/>
        <v>5.2095233161388692E-2</v>
      </c>
      <c r="Q60" s="419">
        <v>3250.02</v>
      </c>
      <c r="R60" s="419">
        <v>-5</v>
      </c>
      <c r="S60" s="419">
        <v>8122.69</v>
      </c>
      <c r="T60" s="419">
        <f t="shared" si="21"/>
        <v>168515.37999999998</v>
      </c>
      <c r="U60" s="423">
        <f t="shared" si="22"/>
        <v>5.1159242257547081E-2</v>
      </c>
      <c r="V60" s="420">
        <v>1125.05</v>
      </c>
      <c r="W60" s="420">
        <v>-5</v>
      </c>
      <c r="X60" s="420">
        <v>2213.4899999999998</v>
      </c>
      <c r="Y60" s="420">
        <f t="shared" si="17"/>
        <v>46081.130000000005</v>
      </c>
      <c r="Z60" s="424">
        <f t="shared" si="18"/>
        <v>5.1107922479540852E-2</v>
      </c>
    </row>
    <row r="61" spans="1:26" ht="11.25" customHeight="1" x14ac:dyDescent="0.3">
      <c r="A61" s="421">
        <f t="shared" si="0"/>
        <v>19</v>
      </c>
      <c r="B61" s="422">
        <v>44287</v>
      </c>
      <c r="C61" s="422">
        <v>44377</v>
      </c>
      <c r="D61" s="410">
        <f t="shared" si="1"/>
        <v>9395.75</v>
      </c>
      <c r="E61" s="352">
        <f t="shared" ref="E61:F61" si="65">I61+N61+S61+X61</f>
        <v>33364.39</v>
      </c>
      <c r="F61" s="352">
        <f t="shared" si="65"/>
        <v>520087.07</v>
      </c>
      <c r="G61" s="296">
        <f t="shared" si="4"/>
        <v>6.9215728104944613E-2</v>
      </c>
      <c r="H61" s="419">
        <v>3722.18</v>
      </c>
      <c r="I61" s="419">
        <v>13315.57</v>
      </c>
      <c r="J61" s="419">
        <f t="shared" si="9"/>
        <v>208607.09000000005</v>
      </c>
      <c r="K61" s="423">
        <f t="shared" si="5"/>
        <v>6.8839065290812809E-2</v>
      </c>
      <c r="L61" s="420">
        <v>1152.69</v>
      </c>
      <c r="M61" s="420"/>
      <c r="N61" s="420">
        <v>4935.9399999999996</v>
      </c>
      <c r="O61" s="420">
        <f t="shared" si="6"/>
        <v>77259.709999999992</v>
      </c>
      <c r="P61" s="424">
        <f t="shared" si="7"/>
        <v>6.8796057837615776E-2</v>
      </c>
      <c r="Q61" s="419">
        <v>3358.36</v>
      </c>
      <c r="R61" s="419">
        <v>-5</v>
      </c>
      <c r="S61" s="419">
        <v>11862.74</v>
      </c>
      <c r="T61" s="419">
        <f t="shared" si="21"/>
        <v>183731.47999999995</v>
      </c>
      <c r="U61" s="423">
        <f t="shared" si="22"/>
        <v>6.9701052724599435E-2</v>
      </c>
      <c r="V61" s="420">
        <v>1162.52</v>
      </c>
      <c r="W61" s="420">
        <v>-5</v>
      </c>
      <c r="X61" s="420">
        <v>3250.14</v>
      </c>
      <c r="Y61" s="420">
        <f t="shared" si="17"/>
        <v>50488.79</v>
      </c>
      <c r="Z61" s="424">
        <f t="shared" si="18"/>
        <v>6.9652240273162164E-2</v>
      </c>
    </row>
    <row r="62" spans="1:26" ht="11.25" customHeight="1" x14ac:dyDescent="0.3">
      <c r="A62" s="421">
        <f t="shared" si="0"/>
        <v>60</v>
      </c>
      <c r="B62" s="422">
        <v>44378</v>
      </c>
      <c r="C62" s="422">
        <v>44469</v>
      </c>
      <c r="D62" s="410">
        <f t="shared" si="1"/>
        <v>8662.85</v>
      </c>
      <c r="E62" s="352">
        <f t="shared" ref="E62:F62" si="66">I62+N62+S62+X62</f>
        <v>-2806.3399999999997</v>
      </c>
      <c r="F62" s="352">
        <f t="shared" si="66"/>
        <v>525933.58000000007</v>
      </c>
      <c r="G62" s="296">
        <f t="shared" si="4"/>
        <v>-5.351336817363773E-3</v>
      </c>
      <c r="H62" s="419">
        <v>3263.16</v>
      </c>
      <c r="I62" s="419">
        <v>-830.29</v>
      </c>
      <c r="J62" s="419">
        <f t="shared" si="9"/>
        <v>211039.96000000005</v>
      </c>
      <c r="K62" s="423">
        <f t="shared" si="5"/>
        <v>-3.9492734614426537E-3</v>
      </c>
      <c r="L62" s="420">
        <v>667.35</v>
      </c>
      <c r="M62" s="420"/>
      <c r="N62" s="420">
        <v>-288.94</v>
      </c>
      <c r="O62" s="420">
        <f t="shared" si="6"/>
        <v>77638.12</v>
      </c>
      <c r="P62" s="424">
        <f t="shared" si="7"/>
        <v>-3.7237710405339324E-3</v>
      </c>
      <c r="Q62" s="419">
        <v>3515.44</v>
      </c>
      <c r="R62" s="419">
        <v>-5</v>
      </c>
      <c r="S62" s="419">
        <v>-1319.84</v>
      </c>
      <c r="T62" s="419">
        <f t="shared" si="21"/>
        <v>185922.07999999996</v>
      </c>
      <c r="U62" s="423">
        <f t="shared" si="22"/>
        <v>-7.1154547003275679E-3</v>
      </c>
      <c r="V62" s="420">
        <v>1216.9000000000001</v>
      </c>
      <c r="W62" s="420">
        <v>-5</v>
      </c>
      <c r="X62" s="420">
        <v>-367.27</v>
      </c>
      <c r="Y62" s="420">
        <f t="shared" si="17"/>
        <v>51333.420000000006</v>
      </c>
      <c r="Z62" s="424">
        <f t="shared" si="18"/>
        <v>-7.1876680619148902E-3</v>
      </c>
    </row>
    <row r="63" spans="1:26" ht="11.25" customHeight="1" x14ac:dyDescent="0.3">
      <c r="A63" s="421">
        <f t="shared" si="0"/>
        <v>23</v>
      </c>
      <c r="B63" s="422">
        <v>44470</v>
      </c>
      <c r="C63" s="422">
        <v>44561</v>
      </c>
      <c r="D63" s="410">
        <f t="shared" si="1"/>
        <v>9311.3900000000012</v>
      </c>
      <c r="E63" s="352">
        <f t="shared" ref="E63:F63" si="67">I63+N63+S63+X63</f>
        <v>34528.080000000002</v>
      </c>
      <c r="F63" s="352">
        <f t="shared" si="67"/>
        <v>569814.69000000006</v>
      </c>
      <c r="G63" s="296">
        <f t="shared" si="4"/>
        <v>6.507496782704475E-2</v>
      </c>
      <c r="H63" s="419">
        <v>3879.38</v>
      </c>
      <c r="I63" s="419">
        <v>13905.92</v>
      </c>
      <c r="J63" s="419">
        <f t="shared" si="9"/>
        <v>228825.26000000007</v>
      </c>
      <c r="K63" s="423">
        <f t="shared" si="5"/>
        <v>6.5292247404857673E-2</v>
      </c>
      <c r="L63" s="420">
        <v>371.59</v>
      </c>
      <c r="M63" s="420"/>
      <c r="N63" s="420">
        <v>5097.01</v>
      </c>
      <c r="O63" s="420">
        <f t="shared" si="6"/>
        <v>83106.719999999987</v>
      </c>
      <c r="P63" s="424">
        <f t="shared" si="7"/>
        <v>6.5494135061182679E-2</v>
      </c>
      <c r="Q63" s="419">
        <v>3759.15</v>
      </c>
      <c r="R63" s="419">
        <v>43.2</v>
      </c>
      <c r="S63" s="419">
        <v>12162.04</v>
      </c>
      <c r="T63" s="419">
        <f t="shared" si="21"/>
        <v>201886.46999999997</v>
      </c>
      <c r="U63" s="423">
        <f t="shared" si="22"/>
        <v>6.4760025677090022E-2</v>
      </c>
      <c r="V63" s="420">
        <v>1301.27</v>
      </c>
      <c r="W63" s="420">
        <v>-1.56</v>
      </c>
      <c r="X63" s="420">
        <v>3363.11</v>
      </c>
      <c r="Y63" s="420">
        <f t="shared" si="17"/>
        <v>55996.240000000005</v>
      </c>
      <c r="Z63" s="424">
        <f t="shared" si="18"/>
        <v>6.4695030043346938E-2</v>
      </c>
    </row>
    <row r="64" spans="1:26" ht="11.25" customHeight="1" x14ac:dyDescent="0.3">
      <c r="A64" s="421">
        <f t="shared" si="0"/>
        <v>69</v>
      </c>
      <c r="B64" s="422">
        <v>44562</v>
      </c>
      <c r="C64" s="422">
        <v>44651</v>
      </c>
      <c r="D64" s="410">
        <f t="shared" si="1"/>
        <v>8989.7800000000007</v>
      </c>
      <c r="E64" s="352">
        <f t="shared" ref="E64:F64" si="68">I64+N64+S64+X64</f>
        <v>-33020.32</v>
      </c>
      <c r="F64" s="352">
        <f t="shared" si="68"/>
        <v>545774.14999999991</v>
      </c>
      <c r="G64" s="296">
        <f t="shared" si="4"/>
        <v>-5.7495680291455339E-2</v>
      </c>
      <c r="H64" s="419">
        <v>3295.8</v>
      </c>
      <c r="I64" s="419">
        <v>-13162.7</v>
      </c>
      <c r="J64" s="419">
        <f t="shared" si="9"/>
        <v>218958.36000000004</v>
      </c>
      <c r="K64" s="423">
        <f t="shared" si="5"/>
        <v>-5.7111639377010311E-2</v>
      </c>
      <c r="L64" s="420">
        <v>508.81</v>
      </c>
      <c r="M64" s="420"/>
      <c r="N64" s="420">
        <v>-4788.0200000000004</v>
      </c>
      <c r="O64" s="420">
        <f t="shared" si="6"/>
        <v>78827.50999999998</v>
      </c>
      <c r="P64" s="424">
        <f t="shared" si="7"/>
        <v>-5.7437084732241815E-2</v>
      </c>
      <c r="Q64" s="419">
        <v>3851.81</v>
      </c>
      <c r="R64" s="419">
        <v>-5</v>
      </c>
      <c r="S64" s="419">
        <v>-11799.38</v>
      </c>
      <c r="T64" s="419">
        <f t="shared" si="21"/>
        <v>193933.89999999997</v>
      </c>
      <c r="U64" s="423">
        <f t="shared" si="22"/>
        <v>-5.7893344307478882E-2</v>
      </c>
      <c r="V64" s="420">
        <v>1333.36</v>
      </c>
      <c r="W64" s="420">
        <v>-5</v>
      </c>
      <c r="X64" s="420">
        <v>-3270.22</v>
      </c>
      <c r="Y64" s="420">
        <f t="shared" si="17"/>
        <v>54054.380000000005</v>
      </c>
      <c r="Z64" s="424">
        <f t="shared" si="18"/>
        <v>-5.7713580592034429E-2</v>
      </c>
    </row>
    <row r="65" spans="1:26" ht="11.25" customHeight="1" x14ac:dyDescent="0.3">
      <c r="A65" s="421">
        <f t="shared" si="0"/>
        <v>73</v>
      </c>
      <c r="B65" s="427">
        <v>44652</v>
      </c>
      <c r="C65" s="427">
        <v>44742</v>
      </c>
      <c r="D65" s="428">
        <f t="shared" si="1"/>
        <v>9559.6299999999992</v>
      </c>
      <c r="E65" s="429">
        <f t="shared" ref="E65:F65" si="69">I65+N65+S65+X65</f>
        <v>-81085.710000000006</v>
      </c>
      <c r="F65" s="429">
        <f t="shared" si="69"/>
        <v>474238.07</v>
      </c>
      <c r="G65" s="434">
        <f t="shared" si="4"/>
        <v>-0.14728022165819846</v>
      </c>
      <c r="H65" s="430">
        <v>3845.1</v>
      </c>
      <c r="I65" s="430">
        <v>-32359.85</v>
      </c>
      <c r="J65" s="430">
        <f t="shared" si="9"/>
        <v>190443.61000000004</v>
      </c>
      <c r="K65" s="431">
        <f t="shared" si="5"/>
        <v>-0.14650360685312278</v>
      </c>
      <c r="L65" s="432">
        <v>572.42999999999995</v>
      </c>
      <c r="M65" s="432"/>
      <c r="N65" s="432">
        <v>-11601.04</v>
      </c>
      <c r="O65" s="432">
        <f t="shared" si="6"/>
        <v>67798.899999999965</v>
      </c>
      <c r="P65" s="433">
        <f t="shared" si="7"/>
        <v>-0.14663751453998664</v>
      </c>
      <c r="Q65" s="430">
        <v>3819.84</v>
      </c>
      <c r="R65" s="430">
        <v>-5</v>
      </c>
      <c r="S65" s="430">
        <v>-29017.27</v>
      </c>
      <c r="T65" s="430">
        <f t="shared" si="21"/>
        <v>168731.46999999997</v>
      </c>
      <c r="U65" s="431">
        <f t="shared" si="22"/>
        <v>-0.14816535951964174</v>
      </c>
      <c r="V65" s="432">
        <v>1322.26</v>
      </c>
      <c r="W65" s="432">
        <v>-5</v>
      </c>
      <c r="X65" s="432">
        <v>-8107.55</v>
      </c>
      <c r="Y65" s="432">
        <f t="shared" si="17"/>
        <v>47264.090000000004</v>
      </c>
      <c r="Z65" s="433">
        <f t="shared" si="18"/>
        <v>-0.14817644941991767</v>
      </c>
    </row>
    <row r="66" spans="1:26" ht="11.25" customHeight="1" x14ac:dyDescent="0.3">
      <c r="A66" s="421">
        <f t="shared" si="0"/>
        <v>68</v>
      </c>
      <c r="B66" s="422">
        <v>44743</v>
      </c>
      <c r="C66" s="422">
        <v>44834</v>
      </c>
      <c r="D66" s="410">
        <f t="shared" si="1"/>
        <v>9265.27</v>
      </c>
      <c r="E66" s="352">
        <f t="shared" ref="E66:F66" si="70">I66+N66+S66+X66</f>
        <v>-25104.760000000002</v>
      </c>
      <c r="F66" s="352">
        <f t="shared" si="70"/>
        <v>458388.58</v>
      </c>
      <c r="G66" s="296">
        <f t="shared" si="4"/>
        <v>-5.2424923341259727E-2</v>
      </c>
      <c r="H66" s="419">
        <v>3380.7</v>
      </c>
      <c r="I66" s="419">
        <v>-9909.2900000000009</v>
      </c>
      <c r="J66" s="419">
        <f t="shared" si="9"/>
        <v>183915.02000000005</v>
      </c>
      <c r="K66" s="423">
        <f t="shared" si="5"/>
        <v>-5.1574901178323695E-2</v>
      </c>
      <c r="L66" s="420">
        <v>477.07</v>
      </c>
      <c r="M66" s="420"/>
      <c r="N66" s="420">
        <v>-3445.67</v>
      </c>
      <c r="O66" s="420">
        <f t="shared" si="6"/>
        <v>64830.299999999974</v>
      </c>
      <c r="P66" s="424">
        <f t="shared" si="7"/>
        <v>-5.0643737524790608E-2</v>
      </c>
      <c r="Q66" s="419">
        <v>4017</v>
      </c>
      <c r="R66" s="419">
        <v>-5</v>
      </c>
      <c r="S66" s="419">
        <v>-9161.0300000000007</v>
      </c>
      <c r="T66" s="419">
        <f t="shared" si="21"/>
        <v>163582.43999999997</v>
      </c>
      <c r="U66" s="423">
        <f t="shared" si="22"/>
        <v>-5.3654864763066329E-2</v>
      </c>
      <c r="V66" s="420">
        <v>1390.5</v>
      </c>
      <c r="W66" s="420">
        <v>-5</v>
      </c>
      <c r="X66" s="420">
        <v>-2588.77</v>
      </c>
      <c r="Y66" s="420">
        <f t="shared" si="17"/>
        <v>46060.820000000007</v>
      </c>
      <c r="Z66" s="424">
        <f t="shared" si="18"/>
        <v>-5.3978432563917683E-2</v>
      </c>
    </row>
    <row r="67" spans="1:26" ht="11.25" customHeight="1" x14ac:dyDescent="0.3">
      <c r="A67" s="421">
        <f t="shared" si="0"/>
        <v>16</v>
      </c>
      <c r="B67" s="422">
        <v>44835</v>
      </c>
      <c r="C67" s="422">
        <v>44926</v>
      </c>
      <c r="D67" s="410">
        <f t="shared" si="1"/>
        <v>9930.630000000001</v>
      </c>
      <c r="E67" s="352">
        <f t="shared" ref="E67:F67" si="71">I67+N67+S67+X67</f>
        <v>33263.85</v>
      </c>
      <c r="F67" s="352">
        <f t="shared" si="71"/>
        <v>501614.6</v>
      </c>
      <c r="G67" s="296">
        <f t="shared" si="4"/>
        <v>7.1789296170694752E-2</v>
      </c>
      <c r="H67" s="419">
        <v>4014.32</v>
      </c>
      <c r="I67" s="419">
        <v>13678.97</v>
      </c>
      <c r="J67" s="419">
        <f t="shared" si="9"/>
        <v>201608.31000000006</v>
      </c>
      <c r="K67" s="423">
        <f t="shared" si="5"/>
        <v>7.3573631720540253E-2</v>
      </c>
      <c r="L67" s="420">
        <v>508.81</v>
      </c>
      <c r="M67" s="420"/>
      <c r="N67" s="420">
        <v>4811.8999999999996</v>
      </c>
      <c r="O67" s="420">
        <f t="shared" si="6"/>
        <v>70151.009999999966</v>
      </c>
      <c r="P67" s="424">
        <f t="shared" si="7"/>
        <v>7.3932884845986493E-2</v>
      </c>
      <c r="Q67" s="419">
        <v>4017</v>
      </c>
      <c r="R67" s="419">
        <v>34.32</v>
      </c>
      <c r="S67" s="419">
        <v>11526.26</v>
      </c>
      <c r="T67" s="419">
        <f t="shared" si="21"/>
        <v>179160.02</v>
      </c>
      <c r="U67" s="423">
        <f t="shared" si="22"/>
        <v>6.9606827523293252E-2</v>
      </c>
      <c r="V67" s="420">
        <v>1390.5</v>
      </c>
      <c r="W67" s="420">
        <v>-2.78</v>
      </c>
      <c r="X67" s="420">
        <v>3246.72</v>
      </c>
      <c r="Y67" s="420">
        <f t="shared" si="17"/>
        <v>50695.260000000009</v>
      </c>
      <c r="Z67" s="424">
        <f t="shared" si="18"/>
        <v>6.9439540149546342E-2</v>
      </c>
    </row>
    <row r="68" spans="1:26" ht="11.25" customHeight="1" x14ac:dyDescent="0.3">
      <c r="A68" s="421">
        <f t="shared" si="0"/>
        <v>22</v>
      </c>
      <c r="B68" s="427">
        <v>44927</v>
      </c>
      <c r="C68" s="427">
        <v>45016</v>
      </c>
      <c r="D68" s="428">
        <f t="shared" si="1"/>
        <v>12386.3</v>
      </c>
      <c r="E68" s="429">
        <f t="shared" ref="E68:F68" si="72">I68+N68+S68+X68</f>
        <v>33062.86</v>
      </c>
      <c r="F68" s="429">
        <f t="shared" si="72"/>
        <v>547053.76</v>
      </c>
      <c r="G68" s="434">
        <f t="shared" si="4"/>
        <v>6.5109010250434349E-2</v>
      </c>
      <c r="H68" s="430">
        <v>4901.84</v>
      </c>
      <c r="I68" s="430">
        <v>13482.75</v>
      </c>
      <c r="J68" s="430">
        <f t="shared" si="9"/>
        <v>219992.90000000005</v>
      </c>
      <c r="K68" s="431">
        <f t="shared" si="5"/>
        <v>6.6072728001570893E-2</v>
      </c>
      <c r="L68" s="432">
        <v>531.96</v>
      </c>
      <c r="M68" s="432"/>
      <c r="N68" s="432">
        <v>4673.3</v>
      </c>
      <c r="O68" s="432">
        <f t="shared" si="6"/>
        <v>75356.269999999975</v>
      </c>
      <c r="P68" s="433">
        <f t="shared" si="7"/>
        <v>6.6366085798327965E-2</v>
      </c>
      <c r="Q68" s="430">
        <v>5562</v>
      </c>
      <c r="R68" s="430">
        <v>-5</v>
      </c>
      <c r="S68" s="430">
        <v>11622.05</v>
      </c>
      <c r="T68" s="430">
        <f t="shared" si="21"/>
        <v>196339.06999999998</v>
      </c>
      <c r="U68" s="431">
        <f t="shared" si="22"/>
        <v>6.3878118304492304E-2</v>
      </c>
      <c r="V68" s="432">
        <v>1390.5</v>
      </c>
      <c r="W68" s="432">
        <v>-5</v>
      </c>
      <c r="X68" s="432">
        <v>3284.76</v>
      </c>
      <c r="Y68" s="432">
        <f t="shared" si="17"/>
        <v>55365.520000000011</v>
      </c>
      <c r="Z68" s="433">
        <f t="shared" si="18"/>
        <v>6.3917637711709802E-2</v>
      </c>
    </row>
    <row r="69" spans="1:26" ht="11.25" customHeight="1" x14ac:dyDescent="0.3">
      <c r="A69" s="421">
        <f t="shared" si="0"/>
        <v>25</v>
      </c>
      <c r="B69" s="422">
        <v>45017</v>
      </c>
      <c r="C69" s="422">
        <v>45107</v>
      </c>
      <c r="D69" s="410">
        <f t="shared" si="1"/>
        <v>14328.099999999999</v>
      </c>
      <c r="E69" s="352">
        <f t="shared" ref="E69:F69" si="73">I69+N69+S69+X69</f>
        <v>34397.699999999997</v>
      </c>
      <c r="F69" s="352">
        <f t="shared" si="73"/>
        <v>595769.56000000006</v>
      </c>
      <c r="G69" s="296">
        <f t="shared" si="4"/>
        <v>6.2065309665887483E-2</v>
      </c>
      <c r="H69" s="419">
        <v>6041</v>
      </c>
      <c r="I69" s="419">
        <v>13966.9</v>
      </c>
      <c r="J69" s="419">
        <f t="shared" si="9"/>
        <v>240000.80000000005</v>
      </c>
      <c r="K69" s="423">
        <f t="shared" si="5"/>
        <v>6.2628075263638852E-2</v>
      </c>
      <c r="L69" s="420">
        <v>721.98</v>
      </c>
      <c r="M69" s="420"/>
      <c r="N69" s="420">
        <v>4714.47</v>
      </c>
      <c r="O69" s="420">
        <f t="shared" si="6"/>
        <v>80792.719999999972</v>
      </c>
      <c r="P69" s="424">
        <f t="shared" si="7"/>
        <v>6.2264138982313963E-2</v>
      </c>
      <c r="Q69" s="419">
        <v>6052.07</v>
      </c>
      <c r="R69" s="419">
        <v>-5</v>
      </c>
      <c r="S69" s="419">
        <v>12265.99</v>
      </c>
      <c r="T69" s="419">
        <f t="shared" si="21"/>
        <v>214652.12999999998</v>
      </c>
      <c r="U69" s="423">
        <f t="shared" si="22"/>
        <v>6.1525260401011507E-2</v>
      </c>
      <c r="V69" s="420">
        <v>1513.05</v>
      </c>
      <c r="W69" s="420">
        <v>-5</v>
      </c>
      <c r="X69" s="420">
        <v>3450.34</v>
      </c>
      <c r="Y69" s="420">
        <f t="shared" si="17"/>
        <v>60323.910000000018</v>
      </c>
      <c r="Z69" s="424">
        <f t="shared" si="18"/>
        <v>6.1479227993206577E-2</v>
      </c>
    </row>
    <row r="70" spans="1:26" ht="11.25" customHeight="1" x14ac:dyDescent="0.3">
      <c r="A70" s="421">
        <f t="shared" si="0"/>
        <v>66</v>
      </c>
      <c r="B70" s="427">
        <v>45108</v>
      </c>
      <c r="C70" s="427">
        <v>45199</v>
      </c>
      <c r="D70" s="428">
        <f t="shared" si="1"/>
        <v>8695.1500000000015</v>
      </c>
      <c r="E70" s="429">
        <f t="shared" ref="E70:F70" si="74">I70+N70+S70+X70</f>
        <v>-20377.89</v>
      </c>
      <c r="F70" s="429">
        <f t="shared" si="74"/>
        <v>584076.81999999995</v>
      </c>
      <c r="G70" s="434">
        <f t="shared" si="4"/>
        <v>-3.3956520838219359E-2</v>
      </c>
      <c r="H70" s="430">
        <v>2705.4</v>
      </c>
      <c r="I70" s="430">
        <v>-8220.6</v>
      </c>
      <c r="J70" s="430">
        <f t="shared" si="9"/>
        <v>234485.60000000003</v>
      </c>
      <c r="K70" s="431">
        <f t="shared" si="5"/>
        <v>-3.4060413459924957E-2</v>
      </c>
      <c r="L70" s="432">
        <v>569.95000000000005</v>
      </c>
      <c r="M70" s="432"/>
      <c r="N70" s="432">
        <v>-2746.93</v>
      </c>
      <c r="O70" s="432">
        <f t="shared" si="6"/>
        <v>78615.739999999976</v>
      </c>
      <c r="P70" s="433">
        <f t="shared" si="7"/>
        <v>-3.388021822771356E-2</v>
      </c>
      <c r="Q70" s="430">
        <v>3879.36</v>
      </c>
      <c r="R70" s="430">
        <v>-5</v>
      </c>
      <c r="S70" s="430">
        <v>-7333.51</v>
      </c>
      <c r="T70" s="430">
        <f t="shared" si="21"/>
        <v>211192.97999999995</v>
      </c>
      <c r="U70" s="431">
        <f t="shared" si="22"/>
        <v>-3.3858667139814759E-2</v>
      </c>
      <c r="V70" s="432">
        <v>1540.44</v>
      </c>
      <c r="W70" s="432">
        <v>-5</v>
      </c>
      <c r="X70" s="432">
        <v>-2076.85</v>
      </c>
      <c r="Y70" s="432">
        <f t="shared" si="17"/>
        <v>59782.500000000022</v>
      </c>
      <c r="Z70" s="433">
        <f t="shared" si="18"/>
        <v>-3.3994264260739933E-2</v>
      </c>
    </row>
    <row r="71" spans="1:26" ht="11.25" customHeight="1" x14ac:dyDescent="0.3">
      <c r="A71" s="421">
        <f t="shared" si="0"/>
        <v>5</v>
      </c>
      <c r="B71" s="427">
        <v>45200</v>
      </c>
      <c r="C71" s="427">
        <v>45291</v>
      </c>
      <c r="D71" s="428">
        <f t="shared" si="1"/>
        <v>7745.54</v>
      </c>
      <c r="E71" s="429">
        <f t="shared" ref="E71:F71" si="75">I71+N71+S71+X71</f>
        <v>67381.100000000006</v>
      </c>
      <c r="F71" s="429">
        <f t="shared" si="75"/>
        <v>659246.27</v>
      </c>
      <c r="G71" s="434">
        <f t="shared" si="4"/>
        <v>0.11460353259196934</v>
      </c>
      <c r="H71" s="430">
        <v>2525.04</v>
      </c>
      <c r="I71" s="430">
        <v>26988.77</v>
      </c>
      <c r="J71" s="430">
        <f t="shared" si="9"/>
        <v>263999.41000000003</v>
      </c>
      <c r="K71" s="431">
        <f t="shared" si="5"/>
        <v>0.11448137953337655</v>
      </c>
      <c r="L71" s="432">
        <v>259.39999999999998</v>
      </c>
      <c r="M71" s="432"/>
      <c r="N71" s="432">
        <v>9008.08</v>
      </c>
      <c r="O71" s="432">
        <f t="shared" si="6"/>
        <v>87883.219999999972</v>
      </c>
      <c r="P71" s="433">
        <f t="shared" si="7"/>
        <v>0.11439494147216656</v>
      </c>
      <c r="Q71" s="430">
        <v>3421.44</v>
      </c>
      <c r="R71" s="430">
        <v>43.83</v>
      </c>
      <c r="S71" s="430">
        <v>24426.68</v>
      </c>
      <c r="T71" s="430">
        <f t="shared" si="21"/>
        <v>239084.92999999993</v>
      </c>
      <c r="U71" s="431">
        <f t="shared" si="22"/>
        <v>0.11473112022008075</v>
      </c>
      <c r="V71" s="432">
        <v>1539.66</v>
      </c>
      <c r="W71" s="432">
        <v>-1.02</v>
      </c>
      <c r="X71" s="432">
        <v>6957.57</v>
      </c>
      <c r="Y71" s="432">
        <f t="shared" si="17"/>
        <v>68278.710000000021</v>
      </c>
      <c r="Z71" s="433">
        <f t="shared" si="18"/>
        <v>0.11490177174024513</v>
      </c>
    </row>
    <row r="72" spans="1:26" ht="11.25" customHeight="1" x14ac:dyDescent="0.3">
      <c r="A72" s="421">
        <f t="shared" si="0"/>
        <v>15</v>
      </c>
      <c r="B72" s="427">
        <v>45292</v>
      </c>
      <c r="C72" s="427">
        <v>45382</v>
      </c>
      <c r="D72" s="428">
        <f t="shared" si="1"/>
        <v>7595.43</v>
      </c>
      <c r="E72" s="429">
        <f t="shared" ref="E72:F72" si="76">I72+N72+S72+X72</f>
        <v>49773.11</v>
      </c>
      <c r="F72" s="429">
        <f t="shared" si="76"/>
        <v>716604.80999999994</v>
      </c>
      <c r="G72" s="434">
        <f t="shared" si="4"/>
        <v>7.5067583940151422E-2</v>
      </c>
      <c r="H72" s="430">
        <v>2164.3200000000002</v>
      </c>
      <c r="I72" s="430">
        <v>20180.509999999998</v>
      </c>
      <c r="J72" s="430">
        <f t="shared" si="9"/>
        <v>286344.24000000005</v>
      </c>
      <c r="K72" s="431">
        <f t="shared" si="5"/>
        <v>7.6129434422770315E-2</v>
      </c>
      <c r="L72" s="432">
        <v>327.45999999999998</v>
      </c>
      <c r="M72" s="432"/>
      <c r="N72" s="432">
        <v>6689.22</v>
      </c>
      <c r="O72" s="432">
        <f t="shared" si="6"/>
        <v>94899.89999999998</v>
      </c>
      <c r="P72" s="433">
        <f t="shared" si="7"/>
        <v>7.597333013806841E-2</v>
      </c>
      <c r="Q72" s="430">
        <v>3421.44</v>
      </c>
      <c r="R72" s="430">
        <v>-5</v>
      </c>
      <c r="S72" s="430">
        <v>17786.68</v>
      </c>
      <c r="T72" s="430">
        <f t="shared" si="21"/>
        <v>260288.04999999993</v>
      </c>
      <c r="U72" s="431">
        <f t="shared" si="22"/>
        <v>7.3866284544592084E-2</v>
      </c>
      <c r="V72" s="432">
        <v>1682.21</v>
      </c>
      <c r="W72" s="432">
        <v>-5</v>
      </c>
      <c r="X72" s="432">
        <v>5116.7</v>
      </c>
      <c r="Y72" s="432">
        <f t="shared" si="17"/>
        <v>75072.620000000024</v>
      </c>
      <c r="Z72" s="433">
        <f t="shared" si="18"/>
        <v>7.402652915086648E-2</v>
      </c>
    </row>
    <row r="73" spans="1:26" ht="11.25" customHeight="1" x14ac:dyDescent="0.3">
      <c r="A73" s="421">
        <f t="shared" si="0"/>
        <v>46</v>
      </c>
      <c r="B73" s="422">
        <v>45383</v>
      </c>
      <c r="C73" s="422">
        <v>45473</v>
      </c>
      <c r="D73" s="410">
        <f t="shared" si="1"/>
        <v>8308.86</v>
      </c>
      <c r="E73" s="352">
        <f t="shared" ref="E73:F73" si="77">I73+N73+S73+X73</f>
        <v>12647.249999999998</v>
      </c>
      <c r="F73" s="352">
        <f t="shared" si="77"/>
        <v>737550.92</v>
      </c>
      <c r="G73" s="296">
        <f t="shared" si="4"/>
        <v>1.7547121560314644E-2</v>
      </c>
      <c r="H73" s="419">
        <v>2525.04</v>
      </c>
      <c r="I73" s="419">
        <v>4888.4399999999996</v>
      </c>
      <c r="J73" s="419">
        <f t="shared" si="9"/>
        <v>293757.72000000003</v>
      </c>
      <c r="K73" s="423">
        <f t="shared" si="5"/>
        <v>1.6996957929639758E-2</v>
      </c>
      <c r="L73" s="420">
        <v>600.34</v>
      </c>
      <c r="M73" s="420"/>
      <c r="N73" s="420">
        <v>1614.03</v>
      </c>
      <c r="O73" s="420">
        <f t="shared" si="6"/>
        <v>97114.269999999975</v>
      </c>
      <c r="P73" s="424">
        <f t="shared" si="7"/>
        <v>1.6954084172417103E-2</v>
      </c>
      <c r="Q73" s="419">
        <v>3455.64</v>
      </c>
      <c r="R73" s="419">
        <v>-5</v>
      </c>
      <c r="S73" s="419">
        <v>4756.29</v>
      </c>
      <c r="T73" s="419">
        <f t="shared" si="21"/>
        <v>268494.97999999992</v>
      </c>
      <c r="U73" s="423">
        <f t="shared" si="22"/>
        <v>1.8152679072454662E-2</v>
      </c>
      <c r="V73" s="420">
        <v>1727.84</v>
      </c>
      <c r="W73" s="420">
        <v>-5</v>
      </c>
      <c r="X73" s="420">
        <v>1388.49</v>
      </c>
      <c r="Y73" s="420">
        <f t="shared" si="17"/>
        <v>78183.950000000026</v>
      </c>
      <c r="Z73" s="424">
        <f t="shared" si="18"/>
        <v>1.8284873132223295E-2</v>
      </c>
    </row>
    <row r="74" spans="1:26" ht="11.25" customHeight="1" x14ac:dyDescent="0.3">
      <c r="A74" s="421">
        <f t="shared" si="0"/>
        <v>24</v>
      </c>
      <c r="B74" s="422">
        <v>45474</v>
      </c>
      <c r="C74" s="422">
        <v>45565</v>
      </c>
      <c r="D74" s="410">
        <f t="shared" si="1"/>
        <v>8470.7900000000009</v>
      </c>
      <c r="E74" s="352">
        <f t="shared" ref="E74:F74" si="78">I74+N74+S74+X74</f>
        <v>47123.93</v>
      </c>
      <c r="F74" s="352">
        <f t="shared" si="78"/>
        <v>793135.6399999999</v>
      </c>
      <c r="G74" s="296">
        <f t="shared" si="4"/>
        <v>6.3527634639633374E-2</v>
      </c>
      <c r="H74" s="419">
        <v>2651.04</v>
      </c>
      <c r="I74" s="419">
        <v>18444.8</v>
      </c>
      <c r="J74" s="419">
        <f t="shared" si="9"/>
        <v>314853.56</v>
      </c>
      <c r="K74" s="423">
        <f t="shared" si="5"/>
        <v>6.2507108163784547E-2</v>
      </c>
      <c r="L74" s="420">
        <v>518.47</v>
      </c>
      <c r="M74" s="420"/>
      <c r="N74" s="420">
        <v>6088.4</v>
      </c>
      <c r="O74" s="420">
        <f t="shared" si="6"/>
        <v>103721.13999999997</v>
      </c>
      <c r="P74" s="424">
        <f t="shared" si="7"/>
        <v>6.252624879837694E-2</v>
      </c>
      <c r="Q74" s="419">
        <v>3534.15</v>
      </c>
      <c r="R74" s="419">
        <v>-5</v>
      </c>
      <c r="S74" s="419">
        <v>17468.02</v>
      </c>
      <c r="T74" s="419">
        <f t="shared" si="21"/>
        <v>289492.14999999997</v>
      </c>
      <c r="U74" s="423">
        <f t="shared" si="22"/>
        <v>6.4633638636396831E-2</v>
      </c>
      <c r="V74" s="420">
        <v>1767.13</v>
      </c>
      <c r="W74" s="420">
        <v>-5</v>
      </c>
      <c r="X74" s="420">
        <v>5122.71</v>
      </c>
      <c r="Y74" s="420">
        <f t="shared" si="17"/>
        <v>85068.790000000037</v>
      </c>
      <c r="Z74" s="424">
        <f t="shared" si="18"/>
        <v>6.478906033659966E-2</v>
      </c>
    </row>
    <row r="75" spans="1:26" ht="11.25" customHeight="1" x14ac:dyDescent="0.3">
      <c r="A75" s="421">
        <f t="shared" si="0"/>
        <v>51</v>
      </c>
      <c r="B75" s="427">
        <v>45566</v>
      </c>
      <c r="C75" s="427">
        <v>45657</v>
      </c>
      <c r="D75" s="410">
        <f t="shared" si="1"/>
        <v>7875.74</v>
      </c>
      <c r="E75" s="352">
        <f t="shared" ref="E75:F75" si="79">I75+N75+S75+X75</f>
        <v>6634.9400000000005</v>
      </c>
      <c r="F75" s="352">
        <f t="shared" si="79"/>
        <v>807705.33</v>
      </c>
      <c r="G75" s="296">
        <f t="shared" si="4"/>
        <v>8.3241255878645382E-3</v>
      </c>
      <c r="H75" s="419">
        <v>2316.7199999999998</v>
      </c>
      <c r="I75" s="419">
        <v>2656.75</v>
      </c>
      <c r="J75" s="419">
        <f t="shared" si="9"/>
        <v>319827.02999999997</v>
      </c>
      <c r="K75" s="423">
        <f t="shared" si="5"/>
        <v>8.4071195795399119E-3</v>
      </c>
      <c r="L75" s="420">
        <v>272.89999999999998</v>
      </c>
      <c r="M75" s="420"/>
      <c r="N75" s="420">
        <v>881.97</v>
      </c>
      <c r="O75" s="420">
        <f t="shared" si="6"/>
        <v>104876.00999999997</v>
      </c>
      <c r="P75" s="424">
        <f t="shared" si="7"/>
        <v>8.4921092430509919E-3</v>
      </c>
      <c r="Q75" s="419">
        <v>3524.04</v>
      </c>
      <c r="R75" s="419">
        <v>56.15</v>
      </c>
      <c r="S75" s="419">
        <v>2399.9</v>
      </c>
      <c r="T75" s="419">
        <f t="shared" si="21"/>
        <v>295472.24</v>
      </c>
      <c r="U75" s="423">
        <f t="shared" si="22"/>
        <v>8.2398820246934162E-3</v>
      </c>
      <c r="V75" s="420">
        <v>1762.08</v>
      </c>
      <c r="W75" s="420">
        <v>2.86</v>
      </c>
      <c r="X75" s="420">
        <v>696.32</v>
      </c>
      <c r="Y75" s="420">
        <f t="shared" si="17"/>
        <v>87530.050000000047</v>
      </c>
      <c r="Z75" s="424">
        <f t="shared" si="18"/>
        <v>8.1014703577656846E-3</v>
      </c>
    </row>
    <row r="76" spans="1:26" ht="11.25" customHeight="1" x14ac:dyDescent="0.3">
      <c r="A76" s="421">
        <f t="shared" si="0"/>
        <v>65</v>
      </c>
      <c r="B76" s="422">
        <v>45658</v>
      </c>
      <c r="C76" s="422">
        <v>45747</v>
      </c>
      <c r="D76" s="410">
        <f t="shared" si="1"/>
        <v>8468.5</v>
      </c>
      <c r="E76" s="352">
        <f t="shared" ref="E76:F76" si="80">I76+N76+S76+X76</f>
        <v>-23233.47</v>
      </c>
      <c r="F76" s="352">
        <f t="shared" si="80"/>
        <v>792984.94</v>
      </c>
      <c r="G76" s="296">
        <f t="shared" si="4"/>
        <v>-2.8614776976385363E-2</v>
      </c>
      <c r="H76" s="419">
        <v>2754.64</v>
      </c>
      <c r="I76" s="419">
        <v>-9406.6200000000008</v>
      </c>
      <c r="J76" s="419">
        <f t="shared" si="9"/>
        <v>313175.05</v>
      </c>
      <c r="K76" s="423">
        <f t="shared" si="5"/>
        <v>-2.9285468892311085E-2</v>
      </c>
      <c r="L76" s="420">
        <v>427.74</v>
      </c>
      <c r="M76" s="420">
        <v>54.58</v>
      </c>
      <c r="N76" s="420">
        <v>-3072.99</v>
      </c>
      <c r="O76" s="420">
        <f t="shared" ref="O76:O81" si="81">O75+M76+L76+N76</f>
        <v>102285.33999999997</v>
      </c>
      <c r="P76" s="424">
        <f t="shared" si="7"/>
        <v>-2.9241540669758124E-2</v>
      </c>
      <c r="Q76" s="419">
        <v>3524.04</v>
      </c>
      <c r="R76" s="419">
        <v>-5</v>
      </c>
      <c r="S76" s="419">
        <v>-8273.32</v>
      </c>
      <c r="T76" s="419">
        <f t="shared" si="21"/>
        <v>290717.95999999996</v>
      </c>
      <c r="U76" s="423">
        <f t="shared" si="22"/>
        <v>-2.7834341842020497E-2</v>
      </c>
      <c r="V76" s="420">
        <v>1762.08</v>
      </c>
      <c r="W76" s="420">
        <v>-5</v>
      </c>
      <c r="X76" s="420">
        <v>-2480.54</v>
      </c>
      <c r="Y76" s="420">
        <f t="shared" si="17"/>
        <v>86806.590000000055</v>
      </c>
      <c r="Z76" s="424">
        <f t="shared" si="18"/>
        <v>-2.8056887433465631E-2</v>
      </c>
    </row>
    <row r="77" spans="1:26" ht="11.25" customHeight="1" x14ac:dyDescent="0.3">
      <c r="A77" s="421">
        <f t="shared" si="0"/>
        <v>10</v>
      </c>
      <c r="B77" s="422">
        <v>45748</v>
      </c>
      <c r="C77" s="422">
        <v>45838</v>
      </c>
      <c r="D77" s="410">
        <f t="shared" si="1"/>
        <v>8336.2599999999984</v>
      </c>
      <c r="E77" s="352">
        <f t="shared" ref="E77:F77" si="82">I77+N77+S77+X77</f>
        <v>78804.489999999991</v>
      </c>
      <c r="F77" s="352">
        <f t="shared" si="82"/>
        <v>880115.68999999983</v>
      </c>
      <c r="G77" s="296">
        <f t="shared" si="4"/>
        <v>9.885741266730616E-2</v>
      </c>
      <c r="H77" s="419">
        <v>2361.12</v>
      </c>
      <c r="I77" s="419">
        <v>31230.560000000001</v>
      </c>
      <c r="J77" s="419">
        <f t="shared" si="9"/>
        <v>346766.73</v>
      </c>
      <c r="K77" s="423">
        <f t="shared" si="5"/>
        <v>9.9347869121852173E-2</v>
      </c>
      <c r="L77" s="420">
        <v>627.36</v>
      </c>
      <c r="M77" s="420"/>
      <c r="N77" s="420">
        <v>10189.65</v>
      </c>
      <c r="O77" s="420">
        <f t="shared" si="81"/>
        <v>113102.34999999996</v>
      </c>
      <c r="P77" s="424">
        <f t="shared" si="7"/>
        <v>9.9315276110824482E-2</v>
      </c>
      <c r="Q77" s="419">
        <v>3565.16</v>
      </c>
      <c r="R77" s="419">
        <v>-5</v>
      </c>
      <c r="S77" s="419">
        <v>28737.85</v>
      </c>
      <c r="T77" s="419">
        <f t="shared" si="21"/>
        <v>323015.96999999991</v>
      </c>
      <c r="U77" s="423">
        <f t="shared" si="22"/>
        <v>9.8248878446515003E-2</v>
      </c>
      <c r="V77" s="420">
        <v>1782.62</v>
      </c>
      <c r="W77" s="420">
        <v>-5</v>
      </c>
      <c r="X77" s="420">
        <v>8646.43</v>
      </c>
      <c r="Y77" s="420">
        <f t="shared" si="17"/>
        <v>97230.640000000043</v>
      </c>
      <c r="Z77" s="424">
        <f t="shared" si="18"/>
        <v>9.8593352862497222E-2</v>
      </c>
    </row>
    <row r="78" spans="1:26" ht="11.25" customHeight="1" x14ac:dyDescent="0.3">
      <c r="A78" s="421">
        <f t="shared" si="0"/>
        <v>18</v>
      </c>
      <c r="B78" s="422">
        <v>45839</v>
      </c>
      <c r="C78" s="422">
        <v>45930</v>
      </c>
      <c r="D78" s="410">
        <f t="shared" si="1"/>
        <v>8512.1500000000015</v>
      </c>
      <c r="E78" s="352">
        <f t="shared" ref="E78:F78" si="83">I78+N78+S78+X78</f>
        <v>62574.47</v>
      </c>
      <c r="F78" s="352">
        <f t="shared" si="83"/>
        <v>951192.30999999994</v>
      </c>
      <c r="G78" s="296">
        <f t="shared" si="4"/>
        <v>7.0755843273671251E-2</v>
      </c>
      <c r="H78" s="419">
        <v>2754.64</v>
      </c>
      <c r="I78" s="419">
        <v>24277.07</v>
      </c>
      <c r="J78" s="419">
        <f t="shared" si="9"/>
        <v>373798.44</v>
      </c>
      <c r="K78" s="423">
        <f t="shared" si="5"/>
        <v>6.9732830418902755E-2</v>
      </c>
      <c r="L78" s="420">
        <v>228.13</v>
      </c>
      <c r="M78" s="420"/>
      <c r="N78" s="420">
        <v>7890.03</v>
      </c>
      <c r="O78" s="420">
        <f t="shared" si="81"/>
        <v>121220.50999999997</v>
      </c>
      <c r="P78" s="424">
        <f t="shared" si="7"/>
        <v>6.9689806023269699E-2</v>
      </c>
      <c r="Q78" s="419">
        <v>3686.25</v>
      </c>
      <c r="R78" s="419">
        <v>-5</v>
      </c>
      <c r="S78" s="419">
        <v>23348.720000000001</v>
      </c>
      <c r="T78" s="419">
        <f t="shared" si="21"/>
        <v>350045.93999999994</v>
      </c>
      <c r="U78" s="423">
        <f t="shared" si="22"/>
        <v>7.1873376363373806E-2</v>
      </c>
      <c r="V78" s="420">
        <v>1843.13</v>
      </c>
      <c r="W78" s="420">
        <v>-5</v>
      </c>
      <c r="X78" s="420">
        <v>7058.65</v>
      </c>
      <c r="Y78" s="420">
        <f t="shared" si="17"/>
        <v>106127.42000000004</v>
      </c>
      <c r="Z78" s="424">
        <f t="shared" si="18"/>
        <v>7.191534820842789E-2</v>
      </c>
    </row>
    <row r="79" spans="1:26" ht="11.25" customHeight="1" x14ac:dyDescent="0.3">
      <c r="A79" s="421">
        <f t="shared" si="0"/>
        <v>42</v>
      </c>
      <c r="B79" s="422">
        <v>45931</v>
      </c>
      <c r="C79" s="422">
        <v>46022</v>
      </c>
      <c r="D79" s="410">
        <f t="shared" si="1"/>
        <v>7950.88</v>
      </c>
      <c r="E79" s="352">
        <f t="shared" ref="E79:F79" si="84">I79+N79+S79+X79</f>
        <v>22107.989999999998</v>
      </c>
      <c r="F79" s="352">
        <f t="shared" si="84"/>
        <v>981285.71</v>
      </c>
      <c r="G79" s="296">
        <f t="shared" si="4"/>
        <v>2.3145662110137199E-2</v>
      </c>
      <c r="H79" s="419">
        <v>2362.08</v>
      </c>
      <c r="I79" s="419">
        <v>8987.66</v>
      </c>
      <c r="J79" s="419">
        <f t="shared" si="9"/>
        <v>385148.18</v>
      </c>
      <c r="K79" s="423">
        <f t="shared" si="5"/>
        <v>2.396840488444861E-2</v>
      </c>
      <c r="L79" s="420">
        <v>117.7</v>
      </c>
      <c r="M79" s="420"/>
      <c r="N79" s="420">
        <v>2907.64</v>
      </c>
      <c r="O79" s="420">
        <f t="shared" si="81"/>
        <v>124245.84999999996</v>
      </c>
      <c r="P79" s="424">
        <f t="shared" si="7"/>
        <v>2.3974730737365373E-2</v>
      </c>
      <c r="Q79" s="419">
        <v>3647.4</v>
      </c>
      <c r="R79" s="419">
        <v>33.979999999999997</v>
      </c>
      <c r="S79" s="419">
        <v>7831.87</v>
      </c>
      <c r="T79" s="419">
        <f t="shared" si="21"/>
        <v>361559.18999999994</v>
      </c>
      <c r="U79" s="423">
        <f t="shared" si="22"/>
        <v>2.2257873682992375E-2</v>
      </c>
      <c r="V79" s="420">
        <v>1823.7</v>
      </c>
      <c r="W79" s="420">
        <v>0.55000000000000004</v>
      </c>
      <c r="X79" s="420">
        <v>2380.8200000000002</v>
      </c>
      <c r="Y79" s="420">
        <f t="shared" si="17"/>
        <v>110332.49000000005</v>
      </c>
      <c r="Z79" s="424">
        <f t="shared" si="18"/>
        <v>2.2242491003535422E-2</v>
      </c>
    </row>
    <row r="80" spans="1:26" ht="11.25" customHeight="1" x14ac:dyDescent="0.3">
      <c r="A80" s="421">
        <f t="shared" si="0"/>
        <v>64</v>
      </c>
      <c r="B80" s="422">
        <v>46023</v>
      </c>
      <c r="C80" s="422">
        <v>46112</v>
      </c>
      <c r="D80" s="410">
        <f t="shared" si="1"/>
        <v>9490.0500000000011</v>
      </c>
      <c r="E80" s="352">
        <f t="shared" ref="E80:F80" si="85">I80+N80+S80+X80</f>
        <v>-26205.96</v>
      </c>
      <c r="F80" s="352">
        <f t="shared" si="85"/>
        <v>964559.79999999993</v>
      </c>
      <c r="G80" s="296">
        <f t="shared" si="4"/>
        <v>-2.6577224289058291E-2</v>
      </c>
      <c r="H80" s="419">
        <v>2898.86</v>
      </c>
      <c r="I80" s="419">
        <v>-10534.77</v>
      </c>
      <c r="J80" s="419">
        <f t="shared" si="9"/>
        <v>377512.26999999996</v>
      </c>
      <c r="K80" s="423">
        <f t="shared" si="5"/>
        <v>-2.7249961529767348E-2</v>
      </c>
      <c r="L80" s="420">
        <v>488.67</v>
      </c>
      <c r="M80" s="420"/>
      <c r="N80" s="420">
        <v>-3387.97</v>
      </c>
      <c r="O80" s="420">
        <f t="shared" si="81"/>
        <v>121346.54999999996</v>
      </c>
      <c r="P80" s="424">
        <f t="shared" si="7"/>
        <v>-2.7214755926340706E-2</v>
      </c>
      <c r="Q80" s="419">
        <v>4068.32</v>
      </c>
      <c r="R80" s="419">
        <v>-5</v>
      </c>
      <c r="S80" s="419">
        <v>-9700.08</v>
      </c>
      <c r="T80" s="419">
        <f t="shared" si="21"/>
        <v>355922.42999999993</v>
      </c>
      <c r="U80" s="423">
        <f t="shared" si="22"/>
        <v>-2.6678375718367793E-2</v>
      </c>
      <c r="V80" s="420">
        <v>2034.2</v>
      </c>
      <c r="W80" s="420">
        <v>-5</v>
      </c>
      <c r="X80" s="420">
        <v>-2583.14</v>
      </c>
      <c r="Y80" s="420">
        <f t="shared" si="17"/>
        <v>109778.55000000005</v>
      </c>
      <c r="Z80" s="424">
        <f t="shared" si="18"/>
        <v>-2.3198468894227619E-2</v>
      </c>
    </row>
    <row r="81" spans="1:26" ht="11.25" customHeight="1" x14ac:dyDescent="0.3">
      <c r="A81" s="421">
        <f t="shared" si="0"/>
        <v>9</v>
      </c>
      <c r="B81" s="422">
        <v>46113</v>
      </c>
      <c r="C81" s="422">
        <v>46144</v>
      </c>
      <c r="D81" s="410">
        <f t="shared" si="1"/>
        <v>3016.2799999999997</v>
      </c>
      <c r="E81" s="352">
        <f t="shared" ref="E81:F81" si="86">I81+N81+S81+X81</f>
        <v>95551.78</v>
      </c>
      <c r="F81" s="352">
        <f t="shared" si="86"/>
        <v>1063118.3599999999</v>
      </c>
      <c r="G81" s="296">
        <f t="shared" si="4"/>
        <v>9.8907929808746173E-2</v>
      </c>
      <c r="H81" s="419">
        <v>801.92</v>
      </c>
      <c r="I81" s="419">
        <v>38392.29</v>
      </c>
      <c r="J81" s="419">
        <f t="shared" si="9"/>
        <v>416706.47999999992</v>
      </c>
      <c r="K81" s="423">
        <f t="shared" si="5"/>
        <v>0.10159022482488904</v>
      </c>
      <c r="L81" s="420">
        <v>122.16</v>
      </c>
      <c r="M81" s="420">
        <v>0</v>
      </c>
      <c r="N81" s="420">
        <v>12336.72</v>
      </c>
      <c r="O81" s="420">
        <f t="shared" si="81"/>
        <v>133805.42999999996</v>
      </c>
      <c r="P81" s="424">
        <f t="shared" si="7"/>
        <v>0.10161404188517643</v>
      </c>
      <c r="Q81" s="419">
        <v>1394.79</v>
      </c>
      <c r="R81" s="419">
        <v>-4.75</v>
      </c>
      <c r="S81" s="419">
        <v>35157.93</v>
      </c>
      <c r="T81" s="419">
        <f t="shared" si="21"/>
        <v>392470.39999999991</v>
      </c>
      <c r="U81" s="423">
        <f t="shared" si="22"/>
        <v>9.8586583065032929E-2</v>
      </c>
      <c r="V81" s="420">
        <v>697.41</v>
      </c>
      <c r="W81" s="420">
        <v>-4.75</v>
      </c>
      <c r="X81" s="420">
        <v>9664.84</v>
      </c>
      <c r="Y81" s="420">
        <f t="shared" si="17"/>
        <v>120136.05000000005</v>
      </c>
      <c r="Z81" s="424">
        <f t="shared" si="18"/>
        <v>8.7760654708046573E-2</v>
      </c>
    </row>
    <row r="82" spans="1:26" ht="11.25" customHeight="1" x14ac:dyDescent="0.3">
      <c r="A82" s="435"/>
      <c r="B82" s="422">
        <f ca="1">TODAY()</f>
        <v>46155</v>
      </c>
      <c r="C82" s="436"/>
      <c r="D82" s="437">
        <f>-F81</f>
        <v>-1063118.3599999999</v>
      </c>
      <c r="E82" s="437"/>
      <c r="F82" s="437"/>
      <c r="G82" s="437"/>
      <c r="H82" s="437">
        <f>-J81</f>
        <v>-416706.47999999992</v>
      </c>
      <c r="I82" s="438"/>
      <c r="J82" s="437"/>
      <c r="K82" s="437"/>
      <c r="L82" s="437">
        <f>-O81</f>
        <v>-133805.42999999996</v>
      </c>
      <c r="M82" s="437"/>
      <c r="N82" s="438"/>
      <c r="O82" s="437"/>
      <c r="P82" s="437"/>
      <c r="Q82" s="437">
        <f>-T81</f>
        <v>-392470.39999999991</v>
      </c>
      <c r="R82" s="437"/>
      <c r="S82" s="437"/>
      <c r="T82" s="437"/>
      <c r="U82" s="437"/>
      <c r="V82" s="437">
        <f>-Y81</f>
        <v>-120136.05000000005</v>
      </c>
      <c r="W82" s="439"/>
      <c r="X82" s="439"/>
      <c r="Y82" s="439"/>
      <c r="Z82" s="439"/>
    </row>
    <row r="83" spans="1:26" ht="11.25" customHeight="1" x14ac:dyDescent="0.3">
      <c r="A83" s="415"/>
      <c r="B83" s="306"/>
      <c r="C83" s="417"/>
      <c r="D83" s="411"/>
      <c r="E83" s="411"/>
      <c r="F83" s="411"/>
      <c r="G83" s="411"/>
      <c r="H83" s="411"/>
      <c r="I83" s="411"/>
      <c r="J83" s="411"/>
      <c r="K83" s="411"/>
      <c r="L83" s="411"/>
      <c r="M83" s="411"/>
      <c r="N83" s="411"/>
      <c r="O83" s="411"/>
      <c r="P83" s="411"/>
      <c r="Q83" s="411"/>
      <c r="R83" s="411"/>
      <c r="S83" s="411"/>
      <c r="T83" s="411"/>
      <c r="U83" s="411"/>
      <c r="V83" s="199"/>
      <c r="W83" s="411"/>
      <c r="X83" s="414"/>
      <c r="Y83" s="199"/>
      <c r="Z83" s="199"/>
    </row>
    <row r="84" spans="1:26" ht="11.25" customHeight="1" x14ac:dyDescent="0.3">
      <c r="A84" s="415"/>
      <c r="B84" s="306"/>
      <c r="C84" s="417"/>
      <c r="D84" s="411"/>
      <c r="E84" s="411"/>
      <c r="F84" s="411"/>
      <c r="G84" s="411"/>
      <c r="H84" s="307"/>
      <c r="I84" s="307"/>
      <c r="J84" s="411"/>
      <c r="K84" s="411"/>
      <c r="L84" s="411"/>
      <c r="M84" s="411"/>
      <c r="N84" s="414"/>
      <c r="O84" s="411"/>
      <c r="P84" s="411"/>
      <c r="Q84" s="411"/>
      <c r="R84" s="411"/>
      <c r="S84" s="411"/>
      <c r="T84" s="411"/>
      <c r="U84" s="411"/>
      <c r="V84" s="199"/>
      <c r="W84" s="411"/>
      <c r="X84" s="414"/>
      <c r="Y84" s="199"/>
      <c r="Z84" s="199"/>
    </row>
    <row r="85" spans="1:26" ht="11.25" customHeight="1" x14ac:dyDescent="0.3">
      <c r="A85" s="304" t="s">
        <v>628</v>
      </c>
      <c r="B85" s="306"/>
      <c r="C85" s="417"/>
      <c r="D85" s="411"/>
      <c r="E85" s="411"/>
      <c r="F85" s="411"/>
      <c r="G85" s="411"/>
      <c r="H85" s="412"/>
      <c r="I85" s="307"/>
      <c r="J85" s="411"/>
      <c r="K85" s="411"/>
      <c r="L85" s="411"/>
      <c r="M85" s="411"/>
      <c r="N85" s="411"/>
      <c r="O85" s="411"/>
      <c r="P85" s="411"/>
      <c r="Q85" s="411"/>
      <c r="R85" s="411"/>
      <c r="S85" s="411"/>
      <c r="T85" s="411"/>
      <c r="U85" s="411"/>
      <c r="V85" s="199"/>
      <c r="W85" s="411"/>
      <c r="X85" s="411"/>
      <c r="Y85" s="199"/>
      <c r="Z85" s="199"/>
    </row>
    <row r="86" spans="1:26" ht="11.25" customHeight="1" x14ac:dyDescent="0.3">
      <c r="A86" s="304">
        <f>COUNTIF(E7:E82,"&gt;0")</f>
        <v>58</v>
      </c>
      <c r="B86" s="306"/>
      <c r="C86" s="417"/>
      <c r="D86" s="411"/>
      <c r="E86" s="411"/>
      <c r="F86" s="411"/>
      <c r="G86" s="411"/>
      <c r="H86" s="199"/>
      <c r="I86" s="307"/>
      <c r="J86" s="411"/>
      <c r="K86" s="411"/>
      <c r="L86" s="411"/>
      <c r="M86" s="411"/>
      <c r="N86" s="411"/>
      <c r="O86" s="411"/>
      <c r="P86" s="411"/>
      <c r="Q86" s="411"/>
      <c r="R86" s="411"/>
      <c r="S86" s="411"/>
      <c r="T86" s="411"/>
      <c r="U86" s="411"/>
      <c r="V86" s="199"/>
      <c r="W86" s="411"/>
      <c r="X86" s="411"/>
      <c r="Y86" s="199"/>
      <c r="Z86" s="199"/>
    </row>
    <row r="87" spans="1:26" ht="11.25" customHeight="1" x14ac:dyDescent="0.3">
      <c r="A87" s="304" t="s">
        <v>629</v>
      </c>
      <c r="B87" s="306"/>
      <c r="C87" s="417"/>
      <c r="D87" s="411"/>
      <c r="E87" s="411"/>
      <c r="F87" s="411"/>
      <c r="G87" s="411"/>
      <c r="H87" s="199"/>
      <c r="I87" s="307"/>
      <c r="J87" s="411"/>
      <c r="K87" s="411"/>
      <c r="L87" s="411"/>
      <c r="M87" s="411"/>
      <c r="N87" s="411"/>
      <c r="O87" s="411"/>
      <c r="P87" s="411"/>
      <c r="Q87" s="411"/>
      <c r="R87" s="411"/>
      <c r="S87" s="411"/>
      <c r="T87" s="411"/>
      <c r="U87" s="411"/>
      <c r="V87" s="411"/>
      <c r="W87" s="411"/>
      <c r="X87" s="411"/>
      <c r="Y87" s="199"/>
      <c r="Z87" s="199"/>
    </row>
    <row r="88" spans="1:26" ht="11.25" customHeight="1" x14ac:dyDescent="0.3">
      <c r="A88" s="307">
        <f>(SUMIFS(G7:G82,E7:E82,"&gt;0"))/A86</f>
        <v>5.6334502509922932E-2</v>
      </c>
      <c r="B88" s="306"/>
      <c r="C88" s="417"/>
      <c r="D88" s="411"/>
      <c r="E88" s="411"/>
      <c r="F88" s="411"/>
      <c r="G88" s="411"/>
      <c r="H88" s="307"/>
      <c r="I88" s="307"/>
      <c r="J88" s="411"/>
      <c r="K88" s="411"/>
      <c r="L88" s="411"/>
      <c r="M88" s="411"/>
      <c r="N88" s="307"/>
      <c r="O88" s="411"/>
      <c r="P88" s="411"/>
      <c r="Q88" s="411"/>
      <c r="R88" s="411"/>
      <c r="S88" s="411"/>
      <c r="T88" s="411"/>
      <c r="U88" s="411"/>
      <c r="V88" s="411"/>
      <c r="W88" s="411"/>
      <c r="X88" s="307"/>
      <c r="Y88" s="199"/>
      <c r="Z88" s="199"/>
    </row>
    <row r="89" spans="1:26" ht="11.25" customHeight="1" x14ac:dyDescent="0.3">
      <c r="A89" s="304" t="s">
        <v>630</v>
      </c>
      <c r="B89" s="306"/>
      <c r="C89" s="417"/>
      <c r="D89" s="411"/>
      <c r="E89" s="411"/>
      <c r="F89" s="411"/>
      <c r="G89" s="411"/>
      <c r="H89" s="307"/>
      <c r="I89" s="307"/>
      <c r="J89" s="307"/>
      <c r="K89" s="307"/>
      <c r="L89" s="307"/>
      <c r="M89" s="307"/>
      <c r="N89" s="307"/>
      <c r="O89" s="411"/>
      <c r="P89" s="411"/>
      <c r="Q89" s="411"/>
      <c r="R89" s="411"/>
      <c r="S89" s="411"/>
      <c r="T89" s="411"/>
      <c r="U89" s="411"/>
      <c r="V89" s="199"/>
      <c r="W89" s="199"/>
      <c r="X89" s="199"/>
      <c r="Y89" s="199"/>
      <c r="Z89" s="199"/>
    </row>
    <row r="90" spans="1:26" ht="11.25" customHeight="1" x14ac:dyDescent="0.3">
      <c r="A90" s="304">
        <f>COUNTIF(E7:E82,"&lt;0")</f>
        <v>17</v>
      </c>
    </row>
    <row r="91" spans="1:26" ht="11.25" customHeight="1" x14ac:dyDescent="0.3">
      <c r="A91" s="304" t="s">
        <v>631</v>
      </c>
    </row>
    <row r="92" spans="1:26" ht="11.25" customHeight="1" x14ac:dyDescent="0.3">
      <c r="A92" s="307">
        <f>(SUMIFS(G7:G82,E7:E82,"&lt;0"))/A90</f>
        <v>-6.2209935327223916E-2</v>
      </c>
    </row>
    <row r="93" spans="1:26" ht="15.75" customHeight="1" x14ac:dyDescent="0.3"/>
    <row r="94" spans="1:26" ht="15.75" customHeight="1" x14ac:dyDescent="0.3"/>
    <row r="95" spans="1:26" ht="15" customHeight="1" x14ac:dyDescent="0.3">
      <c r="A95" s="11" t="s">
        <v>632</v>
      </c>
    </row>
    <row r="96" spans="1:26" ht="15" customHeight="1" x14ac:dyDescent="0.3">
      <c r="A96" s="50">
        <f>AVERAGE(G8,G12,G16,G20,G24,G28,G32,G36,G40,G44,G48,G52,G56,G60,G64,G68,G72,G76,G80)</f>
        <v>1.9373354324880427E-2</v>
      </c>
    </row>
    <row r="97" spans="1:1" ht="15" customHeight="1" x14ac:dyDescent="0.3">
      <c r="A97" s="50" t="s">
        <v>633</v>
      </c>
    </row>
    <row r="98" spans="1:1" ht="15" customHeight="1" x14ac:dyDescent="0.3">
      <c r="A98" s="50">
        <f>AVERAGE(G9,G13,G17,G21,G25,G29,G33,G37,G41,G45,G49,G53,G57,G61,G65,G69,G73,G77)</f>
        <v>2.7264347192975175E-2</v>
      </c>
    </row>
    <row r="99" spans="1:1" ht="15" customHeight="1" x14ac:dyDescent="0.3">
      <c r="A99" s="50" t="s">
        <v>634</v>
      </c>
    </row>
    <row r="100" spans="1:1" ht="15" customHeight="1" x14ac:dyDescent="0.3">
      <c r="A100" s="50">
        <f>AVERAGE(G10,G14,G18,G22,G26,G30,G34,G38,G42,G46,G50,G54,G58,G62,G66,G70,G74,G78)</f>
        <v>2.3110095299876503E-2</v>
      </c>
    </row>
    <row r="101" spans="1:1" ht="15" customHeight="1" x14ac:dyDescent="0.3">
      <c r="A101" s="50" t="s">
        <v>635</v>
      </c>
    </row>
    <row r="102" spans="1:1" ht="15" customHeight="1" x14ac:dyDescent="0.3">
      <c r="A102" s="50">
        <f>AVERAGE(G7,G11,G15,G19,G23,G27,G31,G35,G39,G43,G47,G51,G55,G59,G63,G67,G71,G75,G79)</f>
        <v>4.4004769376837713E-2</v>
      </c>
    </row>
    <row r="103" spans="1:1" ht="15.75" customHeight="1" x14ac:dyDescent="0.3"/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1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2:K82 J84:K90 I91:K1000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40" t="s">
        <v>636</v>
      </c>
      <c r="C1" s="441">
        <f ca="1">TODAY()</f>
        <v>46155</v>
      </c>
      <c r="D1" s="559" t="s">
        <v>637</v>
      </c>
      <c r="E1" s="537"/>
      <c r="F1" s="559" t="s">
        <v>638</v>
      </c>
      <c r="G1" s="537"/>
      <c r="H1" s="559" t="s">
        <v>639</v>
      </c>
      <c r="I1" s="537"/>
      <c r="J1" s="559" t="s">
        <v>640</v>
      </c>
      <c r="K1" s="537"/>
      <c r="L1" s="442"/>
      <c r="M1" s="442"/>
      <c r="N1" s="443">
        <f>R1/Q1</f>
        <v>0.2043592007550798</v>
      </c>
      <c r="O1" s="560" t="s">
        <v>641</v>
      </c>
      <c r="P1" s="546"/>
      <c r="Q1" s="444">
        <f>'Retirement Calculator'!B3</f>
        <v>407191.92799999996</v>
      </c>
      <c r="R1" s="445">
        <f>SUM(R3:R9)</f>
        <v>83213.416959999988</v>
      </c>
    </row>
    <row r="2" spans="2:18" ht="11.25" customHeight="1" x14ac:dyDescent="0.3">
      <c r="B2" s="440" t="s">
        <v>642</v>
      </c>
      <c r="C2" s="441">
        <f>'Retirement Calculator'!D6</f>
        <v>51288</v>
      </c>
      <c r="D2" s="446" t="s">
        <v>563</v>
      </c>
      <c r="E2" s="447">
        <f>B13</f>
        <v>104249.60000000001</v>
      </c>
      <c r="F2" s="446" t="s">
        <v>563</v>
      </c>
      <c r="G2" s="447">
        <f>C13</f>
        <v>18000</v>
      </c>
      <c r="H2" s="446" t="s">
        <v>563</v>
      </c>
      <c r="I2" s="447">
        <f>D13</f>
        <v>162500</v>
      </c>
      <c r="J2" s="446" t="s">
        <v>563</v>
      </c>
      <c r="K2" s="447">
        <f>I2</f>
        <v>162500</v>
      </c>
      <c r="L2" s="442"/>
      <c r="M2" s="442"/>
      <c r="N2" s="448" t="s">
        <v>577</v>
      </c>
      <c r="O2" s="449" t="s">
        <v>643</v>
      </c>
      <c r="P2" s="449" t="s">
        <v>644</v>
      </c>
      <c r="Q2" s="450" t="s">
        <v>645</v>
      </c>
      <c r="R2" s="451" t="s">
        <v>646</v>
      </c>
    </row>
    <row r="3" spans="2:18" ht="11.25" customHeight="1" x14ac:dyDescent="0.3">
      <c r="B3" s="440" t="s">
        <v>647</v>
      </c>
      <c r="C3" s="449">
        <f ca="1">(C2-C1)/365.25</f>
        <v>14.053388090349076</v>
      </c>
      <c r="D3" s="440" t="s">
        <v>648</v>
      </c>
      <c r="E3" s="452">
        <f ca="1">'TSP-401K'!J4</f>
        <v>0.11310397982597351</v>
      </c>
      <c r="F3" s="440" t="s">
        <v>648</v>
      </c>
      <c r="G3" s="452">
        <f ca="1">'TSP-401K'!O4</f>
        <v>0.11018785834312439</v>
      </c>
      <c r="H3" s="440" t="s">
        <v>648</v>
      </c>
      <c r="I3" s="452">
        <f ca="1">'TSP-401K'!T4</f>
        <v>0.11048911213874815</v>
      </c>
      <c r="J3" s="440" t="s">
        <v>648</v>
      </c>
      <c r="K3" s="452">
        <f ca="1">'TSP-401K'!Y4</f>
        <v>0.1110995829105377</v>
      </c>
      <c r="L3" s="442"/>
      <c r="M3" s="442"/>
      <c r="N3" s="453">
        <v>0.1</v>
      </c>
      <c r="O3" s="447">
        <v>0</v>
      </c>
      <c r="P3" s="447">
        <v>24800</v>
      </c>
      <c r="Q3" s="447">
        <f>IF($Q$1&gt;P3,P3,$Q$1-Q3)</f>
        <v>24800</v>
      </c>
      <c r="R3" s="454">
        <f t="shared" ref="R3:R9" si="0">Q3*N3</f>
        <v>2480</v>
      </c>
    </row>
    <row r="4" spans="2:18" ht="11.25" customHeight="1" x14ac:dyDescent="0.3">
      <c r="B4" s="446" t="s">
        <v>649</v>
      </c>
      <c r="C4" s="441">
        <f>'Retirement Calculator'!D7</f>
        <v>51288</v>
      </c>
      <c r="D4" s="440"/>
      <c r="E4" s="452"/>
      <c r="F4" s="440"/>
      <c r="G4" s="452"/>
      <c r="H4" s="440"/>
      <c r="I4" s="452"/>
      <c r="J4" s="440"/>
      <c r="K4" s="452"/>
      <c r="L4" s="442"/>
      <c r="M4" s="442"/>
      <c r="N4" s="453">
        <v>0.12</v>
      </c>
      <c r="O4" s="447">
        <f t="shared" ref="O4:O9" si="1">P3+0.01</f>
        <v>24800.01</v>
      </c>
      <c r="P4" s="447">
        <v>100800</v>
      </c>
      <c r="Q4" s="447">
        <f>IF($Q$1&gt;P4,P4-Q3,$Q$1-Q3)</f>
        <v>76000</v>
      </c>
      <c r="R4" s="454">
        <f t="shared" si="0"/>
        <v>9120</v>
      </c>
    </row>
    <row r="5" spans="2:18" ht="11.25" customHeight="1" x14ac:dyDescent="0.3">
      <c r="B5" s="446" t="s">
        <v>650</v>
      </c>
      <c r="C5" s="449">
        <f ca="1">(C4-C1)/365.25</f>
        <v>14.053388090349076</v>
      </c>
      <c r="D5" s="440"/>
      <c r="E5" s="452"/>
      <c r="F5" s="440"/>
      <c r="G5" s="452"/>
      <c r="H5" s="440"/>
      <c r="I5" s="452"/>
      <c r="J5" s="440"/>
      <c r="K5" s="452"/>
      <c r="L5" s="455"/>
      <c r="M5" s="442"/>
      <c r="N5" s="453">
        <v>0.22</v>
      </c>
      <c r="O5" s="447">
        <f t="shared" si="1"/>
        <v>100800.01</v>
      </c>
      <c r="P5" s="447">
        <v>211400</v>
      </c>
      <c r="Q5" s="447">
        <f>IF($Q$1&gt;P5,P5-Q4-Q3,$Q$1-Q4-Q3)</f>
        <v>110600</v>
      </c>
      <c r="R5" s="454">
        <f t="shared" si="0"/>
        <v>24332</v>
      </c>
    </row>
    <row r="6" spans="2:18" ht="11.25" customHeight="1" x14ac:dyDescent="0.3">
      <c r="B6" s="440" t="s">
        <v>651</v>
      </c>
      <c r="C6" s="456">
        <f>E6+G6+I6+K6</f>
        <v>1063118.3599999999</v>
      </c>
      <c r="D6" s="440" t="s">
        <v>652</v>
      </c>
      <c r="E6" s="456">
        <f>'TSP-401K'!H82*-1</f>
        <v>416706.47999999992</v>
      </c>
      <c r="F6" s="440" t="s">
        <v>652</v>
      </c>
      <c r="G6" s="456">
        <f>'TSP-401K'!L82*-1</f>
        <v>133805.42999999996</v>
      </c>
      <c r="H6" s="440" t="s">
        <v>652</v>
      </c>
      <c r="I6" s="456">
        <f>'TSP-401K'!Q82*-1</f>
        <v>392470.39999999991</v>
      </c>
      <c r="J6" s="440" t="s">
        <v>652</v>
      </c>
      <c r="K6" s="456">
        <f>'TSP-401K'!V82*-1</f>
        <v>120136.05000000005</v>
      </c>
      <c r="L6" s="457"/>
      <c r="M6" s="442"/>
      <c r="N6" s="453">
        <v>0.24</v>
      </c>
      <c r="O6" s="447">
        <f t="shared" si="1"/>
        <v>211400.01</v>
      </c>
      <c r="P6" s="447">
        <v>403550</v>
      </c>
      <c r="Q6" s="447">
        <f>IF($Q$1&gt;P6,P6-Q5-Q4-Q3,$Q$1-Q5-Q4-Q3)</f>
        <v>192150</v>
      </c>
      <c r="R6" s="454">
        <f t="shared" si="0"/>
        <v>46116</v>
      </c>
    </row>
    <row r="7" spans="2:18" ht="11.25" customHeight="1" x14ac:dyDescent="0.3">
      <c r="B7" s="440"/>
      <c r="C7" s="450"/>
      <c r="D7" s="440"/>
      <c r="E7" s="450"/>
      <c r="F7" s="440"/>
      <c r="G7" s="450"/>
      <c r="H7" s="440"/>
      <c r="I7" s="450"/>
      <c r="J7" s="440"/>
      <c r="K7" s="450"/>
      <c r="L7" s="455"/>
      <c r="M7" s="442"/>
      <c r="N7" s="453">
        <v>0.32</v>
      </c>
      <c r="O7" s="447">
        <f t="shared" si="1"/>
        <v>403550.01</v>
      </c>
      <c r="P7" s="447">
        <v>512450</v>
      </c>
      <c r="Q7" s="447">
        <f>IF($Q$1&gt;P7,P7-Q6-Q5-Q4-Q3,$Q$1-Q6-Q5-Q4-Q3)</f>
        <v>3641.9279999999562</v>
      </c>
      <c r="R7" s="454">
        <f t="shared" si="0"/>
        <v>1165.4169599999859</v>
      </c>
    </row>
    <row r="8" spans="2:18" ht="11.25" customHeight="1" x14ac:dyDescent="0.3">
      <c r="B8" s="440" t="s">
        <v>653</v>
      </c>
      <c r="C8" s="456">
        <f ca="1">E8+G8+I8+K8</f>
        <v>6349243.8240028927</v>
      </c>
      <c r="D8" s="440" t="s">
        <v>654</v>
      </c>
      <c r="E8" s="456">
        <f ca="1">FV(E3/26,C3*26,-(E2*0.1)/26,-E6,1)</f>
        <v>2394950.4516205178</v>
      </c>
      <c r="F8" s="440" t="s">
        <v>654</v>
      </c>
      <c r="G8" s="456">
        <f ca="1">FV(G3/12,12*C3,-(G2*0.1)/12,-G6,1)</f>
        <v>685575.77247069881</v>
      </c>
      <c r="H8" s="440" t="s">
        <v>654</v>
      </c>
      <c r="I8" s="456">
        <f ca="1">FV(I3/24,C5*24,-(I2*0.1)/24,-I6,1)</f>
        <v>2395405.4459277731</v>
      </c>
      <c r="J8" s="440" t="s">
        <v>654</v>
      </c>
      <c r="K8" s="456">
        <f ca="1">FV(K3/24,C5*24,-(K2*0.055)/24,-K6,1)</f>
        <v>873312.15398390312</v>
      </c>
      <c r="L8" s="455"/>
      <c r="M8" s="442"/>
      <c r="N8" s="453">
        <v>0.35</v>
      </c>
      <c r="O8" s="447">
        <f t="shared" si="1"/>
        <v>512450.01</v>
      </c>
      <c r="P8" s="447">
        <v>768700</v>
      </c>
      <c r="Q8" s="447">
        <f>IF($Q$1&gt;P8,P8-Q7-Q6-Q5-Q4-Q3,$Q$1-Q7-Q6-Q5-Q4-Q3)</f>
        <v>0</v>
      </c>
      <c r="R8" s="454">
        <f t="shared" si="0"/>
        <v>0</v>
      </c>
    </row>
    <row r="9" spans="2:18" ht="11.25" customHeight="1" x14ac:dyDescent="0.3">
      <c r="B9" s="457"/>
      <c r="C9" s="456"/>
      <c r="D9" s="457"/>
      <c r="E9" s="455"/>
      <c r="F9" s="457"/>
      <c r="G9" s="458"/>
      <c r="H9" s="457"/>
      <c r="I9" s="458"/>
      <c r="J9" s="457"/>
      <c r="K9" s="458"/>
      <c r="L9" s="455"/>
      <c r="M9" s="442"/>
      <c r="N9" s="459">
        <v>0.37</v>
      </c>
      <c r="O9" s="460">
        <f t="shared" si="1"/>
        <v>768700.01</v>
      </c>
      <c r="P9" s="460">
        <v>10000000</v>
      </c>
      <c r="Q9" s="460">
        <f>IF($Q$1&gt;P9,P9-Q8-Q7,$Q$1-Q8-Q7-Q6-Q5-Q4-Q3)</f>
        <v>0</v>
      </c>
      <c r="R9" s="461">
        <f t="shared" si="0"/>
        <v>0</v>
      </c>
    </row>
    <row r="10" spans="2:18" ht="11.25" customHeight="1" x14ac:dyDescent="0.3">
      <c r="B10" s="457"/>
      <c r="C10" s="455"/>
      <c r="D10" s="457"/>
      <c r="E10" s="455"/>
      <c r="F10" s="457"/>
      <c r="G10" s="458"/>
      <c r="H10" s="457"/>
      <c r="I10" s="458"/>
      <c r="J10" s="457"/>
      <c r="K10" s="458"/>
      <c r="L10" s="455"/>
      <c r="M10" s="442"/>
      <c r="N10" s="462"/>
      <c r="O10" s="462"/>
      <c r="P10" s="462"/>
      <c r="Q10" s="463"/>
      <c r="R10" s="455"/>
    </row>
    <row r="11" spans="2:18" ht="11.25" customHeight="1" x14ac:dyDescent="0.3">
      <c r="B11" s="464"/>
      <c r="C11" s="455"/>
      <c r="D11" s="442"/>
      <c r="E11" s="455"/>
      <c r="F11" s="442"/>
      <c r="G11" s="455"/>
      <c r="H11" s="442"/>
      <c r="I11" s="455"/>
      <c r="J11" s="442"/>
      <c r="K11" s="455"/>
      <c r="L11" s="455"/>
      <c r="M11" s="442"/>
      <c r="N11" s="462"/>
      <c r="O11" s="462"/>
      <c r="P11" s="462"/>
      <c r="Q11" s="463"/>
      <c r="R11" s="455"/>
    </row>
    <row r="12" spans="2:18" ht="11.25" customHeight="1" x14ac:dyDescent="0.3">
      <c r="B12" s="457" t="s">
        <v>655</v>
      </c>
      <c r="C12" s="457" t="s">
        <v>579</v>
      </c>
      <c r="D12" s="457" t="s">
        <v>656</v>
      </c>
      <c r="E12" s="465" t="s">
        <v>657</v>
      </c>
      <c r="F12" s="455"/>
      <c r="G12" s="457"/>
      <c r="H12" s="442"/>
      <c r="I12" s="457" t="s">
        <v>566</v>
      </c>
      <c r="J12" s="457" t="s">
        <v>567</v>
      </c>
      <c r="K12" s="457" t="s">
        <v>568</v>
      </c>
      <c r="L12" s="457" t="s">
        <v>569</v>
      </c>
      <c r="M12" s="442"/>
      <c r="N12" s="462"/>
      <c r="O12" s="462"/>
      <c r="P12" s="462"/>
      <c r="Q12" s="463"/>
      <c r="R12" s="455"/>
    </row>
    <row r="13" spans="2:18" ht="11.25" customHeight="1" x14ac:dyDescent="0.3">
      <c r="B13" s="466">
        <f>'Retirement Calculator'!D2</f>
        <v>104249.60000000001</v>
      </c>
      <c r="C13" s="466">
        <f>'Retirement Calculator'!D3</f>
        <v>18000</v>
      </c>
      <c r="D13" s="466">
        <f>'Retirement Calculator'!D1</f>
        <v>162500</v>
      </c>
      <c r="E13" s="463">
        <f>B13+C13+D13</f>
        <v>284749.59999999998</v>
      </c>
      <c r="F13" s="455"/>
      <c r="G13" s="467">
        <v>31590</v>
      </c>
      <c r="H13" s="442" t="s">
        <v>658</v>
      </c>
      <c r="I13" s="468">
        <f>'Retirement Calculator'!F2</f>
        <v>2420</v>
      </c>
      <c r="J13" s="468">
        <f>'Retirement Calculator'!G2</f>
        <v>3519</v>
      </c>
      <c r="K13" s="468">
        <f>'Retirement Calculator'!H2</f>
        <v>4397</v>
      </c>
      <c r="L13" s="468">
        <f>'Retirement Calculator'!I2</f>
        <v>3120</v>
      </c>
      <c r="M13" s="442"/>
      <c r="N13" s="462"/>
      <c r="O13" s="462"/>
      <c r="P13" s="462"/>
      <c r="Q13" s="463"/>
      <c r="R13" s="455"/>
    </row>
    <row r="14" spans="2:18" ht="11.25" customHeight="1" x14ac:dyDescent="0.3">
      <c r="B14" s="466"/>
      <c r="C14" s="468"/>
      <c r="D14" s="468"/>
      <c r="E14" s="463"/>
      <c r="F14" s="455"/>
      <c r="G14" s="467">
        <v>29906</v>
      </c>
      <c r="H14" s="442" t="s">
        <v>659</v>
      </c>
      <c r="I14" s="468">
        <f>'Retirement Calculator'!F3</f>
        <v>2192</v>
      </c>
      <c r="J14" s="468">
        <f>'Retirement Calculator'!G3</f>
        <v>3197</v>
      </c>
      <c r="K14" s="468">
        <f>'Retirement Calculator'!H3</f>
        <v>4019</v>
      </c>
      <c r="L14" s="468">
        <f>'Retirement Calculator'!I3</f>
        <v>2765</v>
      </c>
      <c r="M14" s="442"/>
      <c r="N14" s="462"/>
      <c r="O14" s="462"/>
      <c r="P14" s="462"/>
      <c r="Q14" s="463"/>
      <c r="R14" s="455"/>
    </row>
    <row r="15" spans="2:18" ht="11.25" customHeight="1" x14ac:dyDescent="0.3">
      <c r="B15" s="466"/>
      <c r="C15" s="468"/>
      <c r="D15" s="468"/>
      <c r="E15" s="463"/>
      <c r="F15" s="455"/>
      <c r="G15" s="467"/>
      <c r="H15" s="442"/>
      <c r="I15" s="468"/>
      <c r="J15" s="468"/>
      <c r="K15" s="468"/>
      <c r="L15" s="468"/>
      <c r="M15" s="442"/>
      <c r="N15" s="462"/>
      <c r="O15" s="462"/>
      <c r="P15" s="462"/>
      <c r="Q15" s="463"/>
      <c r="R15" s="455"/>
    </row>
    <row r="16" spans="2:18" ht="11.25" customHeight="1" x14ac:dyDescent="0.3">
      <c r="B16" s="466" t="s">
        <v>660</v>
      </c>
      <c r="C16" s="466" t="s">
        <v>661</v>
      </c>
      <c r="D16" s="468"/>
      <c r="E16" s="463"/>
      <c r="F16" s="455"/>
      <c r="G16" s="442"/>
      <c r="H16" s="455"/>
      <c r="I16" s="442"/>
      <c r="J16" s="442"/>
      <c r="K16" s="455"/>
      <c r="L16" s="455"/>
      <c r="M16" s="442"/>
      <c r="N16" s="462"/>
      <c r="O16" s="462"/>
      <c r="P16" s="462"/>
      <c r="Q16" s="463"/>
      <c r="R16" s="455"/>
    </row>
    <row r="17" spans="2:11" ht="11.25" customHeight="1" x14ac:dyDescent="0.3">
      <c r="B17" s="462">
        <f>(C2-B18)/365.25</f>
        <v>33.040383299110196</v>
      </c>
      <c r="C17" s="469">
        <f>'Retirement Calculator'!B2</f>
        <v>0.43</v>
      </c>
      <c r="D17" s="468"/>
      <c r="E17" s="468"/>
      <c r="F17" s="455"/>
      <c r="G17" s="442"/>
      <c r="H17" s="455"/>
      <c r="I17" s="442"/>
      <c r="J17" s="442"/>
      <c r="K17" s="455"/>
    </row>
    <row r="18" spans="2:11" ht="11.25" customHeight="1" x14ac:dyDescent="0.3">
      <c r="B18" s="467">
        <v>39220</v>
      </c>
      <c r="C18" s="466">
        <f>E13*(1+C17)</f>
        <v>407191.92799999996</v>
      </c>
      <c r="D18" s="468"/>
      <c r="E18" s="468"/>
      <c r="F18" s="455"/>
      <c r="G18" s="442"/>
      <c r="H18" s="457" t="s">
        <v>662</v>
      </c>
      <c r="I18" s="442"/>
      <c r="J18" s="442"/>
      <c r="K18" s="442"/>
    </row>
    <row r="19" spans="2:11" ht="11.25" customHeight="1" x14ac:dyDescent="0.3">
      <c r="B19" s="455"/>
      <c r="C19" s="466"/>
      <c r="D19" s="468"/>
      <c r="E19" s="468"/>
      <c r="F19" s="442"/>
      <c r="G19" s="442"/>
      <c r="H19" s="470">
        <v>71</v>
      </c>
      <c r="I19" s="468">
        <f t="shared" ref="I19:I33" si="2">(I$14*12)*($H19-62)</f>
        <v>236736</v>
      </c>
      <c r="J19" s="468">
        <f t="shared" ref="J19:J33" si="3">(J$14*12)*($H19-67)</f>
        <v>153456</v>
      </c>
      <c r="K19" s="468">
        <f t="shared" ref="K19:K33" si="4">(K$14*12)*($H19-70)</f>
        <v>48228</v>
      </c>
    </row>
    <row r="20" spans="2:11" ht="11.25" customHeight="1" x14ac:dyDescent="0.3">
      <c r="B20" s="455"/>
      <c r="C20" s="466"/>
      <c r="D20" s="468"/>
      <c r="E20" s="468"/>
      <c r="F20" s="442"/>
      <c r="G20" s="442"/>
      <c r="H20" s="470">
        <v>72</v>
      </c>
      <c r="I20" s="468">
        <f t="shared" si="2"/>
        <v>263040</v>
      </c>
      <c r="J20" s="468">
        <f t="shared" si="3"/>
        <v>191820</v>
      </c>
      <c r="K20" s="468">
        <f t="shared" si="4"/>
        <v>96456</v>
      </c>
    </row>
    <row r="21" spans="2:11" ht="11.25" customHeight="1" x14ac:dyDescent="0.3">
      <c r="B21" s="455" t="s">
        <v>663</v>
      </c>
      <c r="C21" s="466" t="s">
        <v>664</v>
      </c>
      <c r="D21" s="466" t="s">
        <v>665</v>
      </c>
      <c r="E21" s="468" t="s">
        <v>666</v>
      </c>
      <c r="F21" s="442"/>
      <c r="G21" s="442"/>
      <c r="H21" s="470">
        <v>73</v>
      </c>
      <c r="I21" s="468">
        <f t="shared" si="2"/>
        <v>289344</v>
      </c>
      <c r="J21" s="468">
        <f t="shared" si="3"/>
        <v>230184</v>
      </c>
      <c r="K21" s="468">
        <f t="shared" si="4"/>
        <v>144684</v>
      </c>
    </row>
    <row r="22" spans="2:11" ht="11.25" customHeight="1" x14ac:dyDescent="0.3">
      <c r="B22" s="455">
        <f>B13*(B17*0.01)</f>
        <v>34444.46742778919</v>
      </c>
      <c r="C22" s="466">
        <f>C24*12</f>
        <v>42305.438109374998</v>
      </c>
      <c r="D22" s="466">
        <f>B22+C22</f>
        <v>76749.905537164188</v>
      </c>
      <c r="E22" s="471">
        <f>D22/(B13+C13)</f>
        <v>0.62781314243289288</v>
      </c>
      <c r="F22" s="442"/>
      <c r="G22" s="442"/>
      <c r="H22" s="470">
        <v>74</v>
      </c>
      <c r="I22" s="468">
        <f t="shared" si="2"/>
        <v>315648</v>
      </c>
      <c r="J22" s="468">
        <f t="shared" si="3"/>
        <v>268548</v>
      </c>
      <c r="K22" s="468">
        <f t="shared" si="4"/>
        <v>192912</v>
      </c>
    </row>
    <row r="23" spans="2:11" ht="11.25" customHeight="1" x14ac:dyDescent="0.3">
      <c r="B23" s="457" t="s">
        <v>667</v>
      </c>
      <c r="C23" s="457" t="s">
        <v>668</v>
      </c>
      <c r="D23" s="457" t="s">
        <v>669</v>
      </c>
      <c r="E23" s="442"/>
      <c r="F23" s="457"/>
      <c r="G23" s="457"/>
      <c r="H23" s="470">
        <v>75</v>
      </c>
      <c r="I23" s="468">
        <f t="shared" si="2"/>
        <v>341952</v>
      </c>
      <c r="J23" s="468">
        <f t="shared" si="3"/>
        <v>306912</v>
      </c>
      <c r="K23" s="468">
        <f t="shared" si="4"/>
        <v>241140</v>
      </c>
    </row>
    <row r="24" spans="2:11" ht="11.25" customHeight="1" x14ac:dyDescent="0.3">
      <c r="B24" s="466">
        <f>B22/12</f>
        <v>2870.372285649099</v>
      </c>
      <c r="C24" s="466">
        <f>AVERAGE('Guard Ret Calc'!I23:I24)</f>
        <v>3525.4531757812501</v>
      </c>
      <c r="D24" s="466">
        <f>B24+C24</f>
        <v>6395.8254614303496</v>
      </c>
      <c r="E24" s="442"/>
      <c r="F24" s="457"/>
      <c r="G24" s="466"/>
      <c r="H24" s="470">
        <v>76</v>
      </c>
      <c r="I24" s="468">
        <f t="shared" si="2"/>
        <v>368256</v>
      </c>
      <c r="J24" s="468">
        <f t="shared" si="3"/>
        <v>345276</v>
      </c>
      <c r="K24" s="468">
        <f t="shared" si="4"/>
        <v>289368</v>
      </c>
    </row>
    <row r="25" spans="2:11" ht="11.25" customHeight="1" x14ac:dyDescent="0.3">
      <c r="B25" s="470"/>
      <c r="C25" s="466"/>
      <c r="D25" s="466"/>
      <c r="E25" s="466"/>
      <c r="F25" s="457"/>
      <c r="G25" s="466"/>
      <c r="H25" s="470">
        <v>77</v>
      </c>
      <c r="I25" s="468">
        <f t="shared" si="2"/>
        <v>394560</v>
      </c>
      <c r="J25" s="468">
        <f t="shared" si="3"/>
        <v>383640</v>
      </c>
      <c r="K25" s="468">
        <f t="shared" si="4"/>
        <v>337596</v>
      </c>
    </row>
    <row r="26" spans="2:11" ht="11.25" customHeight="1" x14ac:dyDescent="0.3">
      <c r="B26" s="470"/>
      <c r="C26" s="466"/>
      <c r="D26" s="466"/>
      <c r="E26" s="466"/>
      <c r="F26" s="457"/>
      <c r="G26" s="466"/>
      <c r="H26" s="470">
        <v>78</v>
      </c>
      <c r="I26" s="468">
        <f t="shared" si="2"/>
        <v>420864</v>
      </c>
      <c r="J26" s="472">
        <f t="shared" si="3"/>
        <v>422004</v>
      </c>
      <c r="K26" s="468">
        <f t="shared" si="4"/>
        <v>385824</v>
      </c>
    </row>
    <row r="27" spans="2:11" ht="11.25" customHeight="1" x14ac:dyDescent="0.3">
      <c r="B27" s="470"/>
      <c r="C27" s="466"/>
      <c r="D27" s="466"/>
      <c r="E27" s="466"/>
      <c r="F27" s="466"/>
      <c r="G27" s="466"/>
      <c r="H27" s="470">
        <v>79</v>
      </c>
      <c r="I27" s="468">
        <f t="shared" si="2"/>
        <v>447168</v>
      </c>
      <c r="J27" s="468">
        <f t="shared" si="3"/>
        <v>460368</v>
      </c>
      <c r="K27" s="468">
        <f t="shared" si="4"/>
        <v>434052</v>
      </c>
    </row>
    <row r="28" spans="2:11" ht="11.25" customHeight="1" x14ac:dyDescent="0.3">
      <c r="B28" s="470" t="s">
        <v>662</v>
      </c>
      <c r="C28" s="466" t="s">
        <v>670</v>
      </c>
      <c r="D28" s="466" t="s">
        <v>671</v>
      </c>
      <c r="E28" s="466" t="s">
        <v>68</v>
      </c>
      <c r="F28" s="466"/>
      <c r="G28" s="466"/>
      <c r="H28" s="470">
        <v>80</v>
      </c>
      <c r="I28" s="468">
        <f t="shared" si="2"/>
        <v>473472</v>
      </c>
      <c r="J28" s="468">
        <f t="shared" si="3"/>
        <v>498732</v>
      </c>
      <c r="K28" s="472">
        <f t="shared" si="4"/>
        <v>482280</v>
      </c>
    </row>
    <row r="29" spans="2:11" ht="11.25" customHeight="1" x14ac:dyDescent="0.3">
      <c r="B29" s="462">
        <v>57</v>
      </c>
      <c r="C29" s="466">
        <v>2185</v>
      </c>
      <c r="D29" s="466">
        <v>1319</v>
      </c>
      <c r="E29" s="466">
        <f>SUM(C29:D29)</f>
        <v>3504</v>
      </c>
      <c r="F29" s="466"/>
      <c r="G29" s="466"/>
      <c r="H29" s="470">
        <v>81</v>
      </c>
      <c r="I29" s="468">
        <f t="shared" si="2"/>
        <v>499776</v>
      </c>
      <c r="J29" s="468">
        <f t="shared" si="3"/>
        <v>537096</v>
      </c>
      <c r="K29" s="468">
        <f t="shared" si="4"/>
        <v>530508</v>
      </c>
    </row>
    <row r="30" spans="2:11" ht="11.25" customHeight="1" x14ac:dyDescent="0.3">
      <c r="B30" s="462">
        <v>57.5</v>
      </c>
      <c r="C30" s="466"/>
      <c r="D30" s="466"/>
      <c r="E30" s="466"/>
      <c r="F30" s="466"/>
      <c r="G30" s="466"/>
      <c r="H30" s="470">
        <v>82</v>
      </c>
      <c r="I30" s="468">
        <f t="shared" si="2"/>
        <v>526080</v>
      </c>
      <c r="J30" s="468">
        <f t="shared" si="3"/>
        <v>575460</v>
      </c>
      <c r="K30" s="468">
        <f t="shared" si="4"/>
        <v>578736</v>
      </c>
    </row>
    <row r="31" spans="2:11" ht="11.25" customHeight="1" x14ac:dyDescent="0.3">
      <c r="B31" s="462">
        <v>58</v>
      </c>
      <c r="C31" s="466"/>
      <c r="D31" s="466"/>
      <c r="E31" s="466"/>
      <c r="F31" s="466"/>
      <c r="G31" s="466"/>
      <c r="H31" s="470">
        <v>83</v>
      </c>
      <c r="I31" s="468">
        <f t="shared" si="2"/>
        <v>552384</v>
      </c>
      <c r="J31" s="468">
        <f t="shared" si="3"/>
        <v>613824</v>
      </c>
      <c r="K31" s="468">
        <f t="shared" si="4"/>
        <v>626964</v>
      </c>
    </row>
    <row r="32" spans="2:11" ht="11.25" customHeight="1" x14ac:dyDescent="0.3">
      <c r="B32" s="462">
        <v>58.5</v>
      </c>
      <c r="C32" s="466">
        <v>2295</v>
      </c>
      <c r="D32" s="466">
        <v>1569</v>
      </c>
      <c r="E32" s="466">
        <f>SUM(C32:D32)</f>
        <v>3864</v>
      </c>
      <c r="F32" s="466"/>
      <c r="G32" s="466"/>
      <c r="H32" s="470">
        <v>84</v>
      </c>
      <c r="I32" s="468">
        <f t="shared" si="2"/>
        <v>578688</v>
      </c>
      <c r="J32" s="468">
        <f t="shared" si="3"/>
        <v>652188</v>
      </c>
      <c r="K32" s="468">
        <f t="shared" si="4"/>
        <v>675192</v>
      </c>
    </row>
    <row r="33" spans="2:11" ht="11.25" customHeight="1" x14ac:dyDescent="0.3">
      <c r="B33" s="462">
        <v>59</v>
      </c>
      <c r="C33" s="466"/>
      <c r="D33" s="466"/>
      <c r="E33" s="466"/>
      <c r="F33" s="466"/>
      <c r="G33" s="466"/>
      <c r="H33" s="470">
        <v>85</v>
      </c>
      <c r="I33" s="468">
        <f t="shared" si="2"/>
        <v>604992</v>
      </c>
      <c r="J33" s="468">
        <f t="shared" si="3"/>
        <v>690552</v>
      </c>
      <c r="K33" s="468">
        <f t="shared" si="4"/>
        <v>723420</v>
      </c>
    </row>
    <row r="34" spans="2:11" ht="11.25" customHeight="1" x14ac:dyDescent="0.3">
      <c r="B34" s="462">
        <v>59.5</v>
      </c>
      <c r="C34" s="466"/>
      <c r="D34" s="466"/>
      <c r="E34" s="466"/>
      <c r="F34" s="466"/>
      <c r="G34" s="466"/>
      <c r="H34" s="466"/>
      <c r="I34" s="466"/>
      <c r="J34" s="466"/>
      <c r="K34" s="466"/>
    </row>
    <row r="35" spans="2:11" ht="11.25" customHeight="1" x14ac:dyDescent="0.3">
      <c r="B35" s="462">
        <v>60</v>
      </c>
      <c r="C35" s="466">
        <v>2393.65</v>
      </c>
      <c r="D35" s="466">
        <v>1467</v>
      </c>
      <c r="E35" s="466">
        <f>SUM(C35:D35)</f>
        <v>3860.65</v>
      </c>
      <c r="F35" s="466"/>
      <c r="G35" s="466"/>
      <c r="H35" s="466"/>
      <c r="I35" s="466"/>
      <c r="J35" s="466"/>
      <c r="K35" s="466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70" t="s">
        <v>672</v>
      </c>
      <c r="B1" s="455">
        <f ca="1">'Combined Retirement'!E8+'Combined Retirement'!G8</f>
        <v>3080526.2240912165</v>
      </c>
      <c r="C1" s="457"/>
      <c r="D1" s="457"/>
      <c r="E1" s="457"/>
      <c r="F1" s="457"/>
      <c r="G1" s="470"/>
      <c r="H1" s="470"/>
      <c r="I1" s="442"/>
      <c r="J1" s="442"/>
      <c r="K1" s="442"/>
      <c r="L1" s="442"/>
      <c r="M1" s="473"/>
      <c r="N1" s="442"/>
    </row>
    <row r="2" spans="1:14" ht="11.25" customHeight="1" x14ac:dyDescent="0.3">
      <c r="A2" s="470" t="s">
        <v>673</v>
      </c>
      <c r="B2" s="471">
        <v>0.05</v>
      </c>
      <c r="C2" s="457" t="s">
        <v>674</v>
      </c>
      <c r="D2" s="457"/>
      <c r="E2" s="457"/>
      <c r="F2" s="457"/>
      <c r="G2" s="470"/>
      <c r="H2" s="470"/>
      <c r="I2" s="442"/>
      <c r="J2" s="442"/>
      <c r="K2" s="442"/>
      <c r="L2" s="442"/>
      <c r="M2" s="473"/>
      <c r="N2" s="442"/>
    </row>
    <row r="3" spans="1:14" ht="11.25" customHeight="1" x14ac:dyDescent="0.3">
      <c r="A3" s="470"/>
      <c r="B3" s="457"/>
      <c r="C3" s="457"/>
      <c r="D3" s="457"/>
      <c r="E3" s="457"/>
      <c r="F3" s="457"/>
      <c r="G3" s="470"/>
      <c r="H3" s="470"/>
      <c r="I3" s="442"/>
      <c r="J3" s="442"/>
      <c r="K3" s="442"/>
      <c r="L3" s="442"/>
      <c r="M3" s="473"/>
      <c r="N3" s="442"/>
    </row>
    <row r="4" spans="1:14" ht="11.25" customHeight="1" x14ac:dyDescent="0.3">
      <c r="A4" s="470" t="s">
        <v>675</v>
      </c>
      <c r="B4" s="462">
        <f ca="1">(SUMIFS(H:H,I:I,"&gt;0",L:L,"&lt;0"))/12</f>
        <v>0</v>
      </c>
      <c r="C4" s="474">
        <f ca="1">(SUMIFS(H:H,I:I,"&gt;0",L:L,"&lt;0"))</f>
        <v>0</v>
      </c>
      <c r="D4" s="467" t="e">
        <f t="array" aca="1" ref="D4" ca="1">INDEX(N:N,MATCH(C4,H:H,0),0)</f>
        <v>#N/A</v>
      </c>
      <c r="E4" s="457"/>
      <c r="F4" s="457"/>
      <c r="G4" s="470"/>
      <c r="H4" s="470"/>
      <c r="I4" s="457"/>
      <c r="J4" s="442"/>
      <c r="K4" s="442"/>
      <c r="L4" s="442"/>
      <c r="M4" s="473"/>
      <c r="N4" s="442"/>
    </row>
    <row r="5" spans="1:14" ht="11.25" customHeight="1" x14ac:dyDescent="0.3">
      <c r="A5" s="470"/>
      <c r="B5" s="457"/>
      <c r="C5" s="457"/>
      <c r="D5" s="457"/>
      <c r="E5" s="457"/>
      <c r="F5" s="457"/>
      <c r="G5" s="470"/>
      <c r="H5" s="470"/>
      <c r="I5" s="442"/>
      <c r="J5" s="442"/>
      <c r="K5" s="442"/>
      <c r="L5" s="442"/>
      <c r="M5" s="473"/>
      <c r="N5" s="442"/>
    </row>
    <row r="6" spans="1:14" ht="11.25" customHeight="1" x14ac:dyDescent="0.3">
      <c r="A6" s="470"/>
      <c r="B6" s="457"/>
      <c r="C6" s="457"/>
      <c r="D6" s="457"/>
      <c r="E6" s="457"/>
      <c r="F6" s="457"/>
      <c r="G6" s="470"/>
      <c r="H6" s="470"/>
      <c r="I6" s="442"/>
      <c r="J6" s="442"/>
      <c r="K6" s="442"/>
      <c r="L6" s="442"/>
      <c r="M6" s="473"/>
      <c r="N6" s="442"/>
    </row>
    <row r="7" spans="1:14" ht="11.25" customHeight="1" x14ac:dyDescent="0.3">
      <c r="A7" s="470" t="s">
        <v>676</v>
      </c>
      <c r="B7" s="457" t="s">
        <v>677</v>
      </c>
      <c r="C7" s="457" t="s">
        <v>678</v>
      </c>
      <c r="D7" s="457" t="s">
        <v>679</v>
      </c>
      <c r="E7" s="457" t="s">
        <v>680</v>
      </c>
      <c r="F7" s="457"/>
      <c r="G7" s="470" t="s">
        <v>681</v>
      </c>
      <c r="H7" s="470" t="s">
        <v>224</v>
      </c>
      <c r="I7" s="457" t="s">
        <v>677</v>
      </c>
      <c r="J7" s="457" t="s">
        <v>678</v>
      </c>
      <c r="K7" s="457" t="s">
        <v>679</v>
      </c>
      <c r="L7" s="457" t="s">
        <v>680</v>
      </c>
      <c r="M7" s="471"/>
      <c r="N7" s="442" t="s">
        <v>607</v>
      </c>
    </row>
    <row r="8" spans="1:14" ht="11.25" customHeight="1" x14ac:dyDescent="0.3">
      <c r="A8" s="470">
        <v>1</v>
      </c>
      <c r="B8" s="458">
        <f ca="1">B1</f>
        <v>3080526.2240912165</v>
      </c>
      <c r="C8" s="458">
        <f t="shared" ref="C8:C136" si="0">SUMIF(G:G,A8,J:J)</f>
        <v>311614.02246283577</v>
      </c>
      <c r="D8" s="458">
        <f ca="1">SUMIF(G:G,1,K:K)</f>
        <v>149035.73091361736</v>
      </c>
      <c r="E8" s="458">
        <f t="shared" ref="E8:E136" ca="1" si="1">B8-C8+D8</f>
        <v>2917947.9325419976</v>
      </c>
      <c r="F8" s="442"/>
      <c r="G8" s="470">
        <v>1</v>
      </c>
      <c r="H8" s="470">
        <v>1</v>
      </c>
      <c r="I8" s="455">
        <f ca="1">B1</f>
        <v>3080526.2240912165</v>
      </c>
      <c r="J8" s="455">
        <f t="array" ref="J8">IFERROR(INDEX('Retirement Calculator'!J:J,MATCH('Isaac 401k'!N8,'Retirement Calculator'!A:A,0),0),0)</f>
        <v>25967.835205236315</v>
      </c>
      <c r="K8" s="455">
        <f t="shared" ref="K8:K262" ca="1" si="2">IPMT(M8/12,1,12,-I8+J8,,0)</f>
        <v>12727.32662035825</v>
      </c>
      <c r="L8" s="455">
        <f t="shared" ref="L8:L262" ca="1" si="3">I8-J8+K8</f>
        <v>3067285.715506338</v>
      </c>
      <c r="M8" s="471">
        <f>B2</f>
        <v>0.05</v>
      </c>
      <c r="N8" s="475">
        <f>'Retirement Calculator'!D6</f>
        <v>51288</v>
      </c>
    </row>
    <row r="9" spans="1:14" ht="11.25" customHeight="1" x14ac:dyDescent="0.3">
      <c r="A9" s="470">
        <v>2</v>
      </c>
      <c r="B9" s="458">
        <f t="shared" ref="B9:B136" ca="1" si="4">E8</f>
        <v>2917947.9325419976</v>
      </c>
      <c r="C9" s="458">
        <f t="shared" si="0"/>
        <v>311614.02246283577</v>
      </c>
      <c r="D9" s="458">
        <f ca="1">SUMIF(G:G,2,K:K)</f>
        <v>140717.91696358952</v>
      </c>
      <c r="E9" s="458">
        <f t="shared" ca="1" si="1"/>
        <v>2747051.827042751</v>
      </c>
      <c r="F9" s="442"/>
      <c r="G9" s="470">
        <v>1</v>
      </c>
      <c r="H9" s="470">
        <v>2</v>
      </c>
      <c r="I9" s="455">
        <f t="shared" ref="I9:I263" ca="1" si="5">L8</f>
        <v>3067285.715506338</v>
      </c>
      <c r="J9" s="455">
        <f t="array" ref="J9">IFERROR(INDEX('Retirement Calculator'!J:J,MATCH('Isaac 401k'!N9,'Retirement Calculator'!A:A,0),0),0)</f>
        <v>25967.835205236315</v>
      </c>
      <c r="K9" s="455">
        <f t="shared" ca="1" si="2"/>
        <v>12672.157834587922</v>
      </c>
      <c r="L9" s="455">
        <f t="shared" ca="1" si="3"/>
        <v>3053990.0381356897</v>
      </c>
      <c r="M9" s="471">
        <f t="shared" ref="M9:M263" si="6">M8</f>
        <v>0.05</v>
      </c>
      <c r="N9" s="475">
        <f t="shared" ref="N9:N263" si="7">EDATE(N8,1)</f>
        <v>51318</v>
      </c>
    </row>
    <row r="10" spans="1:14" ht="11.25" customHeight="1" x14ac:dyDescent="0.3">
      <c r="A10" s="470">
        <v>3</v>
      </c>
      <c r="B10" s="458">
        <f t="shared" ca="1" si="4"/>
        <v>2747051.827042751</v>
      </c>
      <c r="C10" s="458">
        <f t="shared" si="0"/>
        <v>311614.02246283577</v>
      </c>
      <c r="D10" s="458">
        <f ca="1">SUMIF(G:G,3,K:K)</f>
        <v>131974.54786565105</v>
      </c>
      <c r="E10" s="458">
        <f t="shared" ca="1" si="1"/>
        <v>2567412.3524455666</v>
      </c>
      <c r="F10" s="442"/>
      <c r="G10" s="470">
        <v>1</v>
      </c>
      <c r="H10" s="470">
        <v>3</v>
      </c>
      <c r="I10" s="455">
        <f t="shared" ca="1" si="5"/>
        <v>3053990.0381356897</v>
      </c>
      <c r="J10" s="455">
        <f t="array" ref="J10">IFERROR(INDEX('Retirement Calculator'!J:J,MATCH('Isaac 401k'!N10,'Retirement Calculator'!A:A,0),0),0)</f>
        <v>25967.835205236315</v>
      </c>
      <c r="K10" s="455">
        <f t="shared" ca="1" si="2"/>
        <v>12616.759178876888</v>
      </c>
      <c r="L10" s="455">
        <f t="shared" ca="1" si="3"/>
        <v>3040638.9621093301</v>
      </c>
      <c r="M10" s="471">
        <f t="shared" si="6"/>
        <v>0.05</v>
      </c>
      <c r="N10" s="475">
        <f t="shared" si="7"/>
        <v>51349</v>
      </c>
    </row>
    <row r="11" spans="1:14" ht="11.25" customHeight="1" x14ac:dyDescent="0.3">
      <c r="A11" s="470">
        <v>4</v>
      </c>
      <c r="B11" s="458">
        <f t="shared" ca="1" si="4"/>
        <v>2567412.3524455666</v>
      </c>
      <c r="C11" s="458">
        <f t="shared" si="0"/>
        <v>307876.02246283577</v>
      </c>
      <c r="D11" s="458">
        <f ca="1">SUMIF(G:G,4,K:K)</f>
        <v>122838.7440510875</v>
      </c>
      <c r="E11" s="458">
        <f t="shared" ca="1" si="1"/>
        <v>2382375.0740338182</v>
      </c>
      <c r="F11" s="442"/>
      <c r="G11" s="470">
        <v>1</v>
      </c>
      <c r="H11" s="470">
        <v>4</v>
      </c>
      <c r="I11" s="455">
        <f t="shared" ca="1" si="5"/>
        <v>3040638.9621093301</v>
      </c>
      <c r="J11" s="455">
        <f t="array" ref="J11">IFERROR(INDEX('Retirement Calculator'!J:J,MATCH('Isaac 401k'!N11,'Retirement Calculator'!A:A,0),0),0)</f>
        <v>25967.835205236315</v>
      </c>
      <c r="K11" s="455">
        <f t="shared" ca="1" si="2"/>
        <v>12561.129695433723</v>
      </c>
      <c r="L11" s="455">
        <f t="shared" ca="1" si="3"/>
        <v>3027232.2565995273</v>
      </c>
      <c r="M11" s="471">
        <f t="shared" si="6"/>
        <v>0.05</v>
      </c>
      <c r="N11" s="475">
        <f t="shared" si="7"/>
        <v>51380</v>
      </c>
    </row>
    <row r="12" spans="1:14" ht="11.25" customHeight="1" x14ac:dyDescent="0.3">
      <c r="A12" s="470">
        <v>5</v>
      </c>
      <c r="B12" s="458">
        <f t="shared" ca="1" si="4"/>
        <v>2382375.0740338182</v>
      </c>
      <c r="C12" s="458">
        <f t="shared" si="0"/>
        <v>304138.02246283571</v>
      </c>
      <c r="D12" s="458">
        <f ca="1">SUMIF(G:G,5,K:K)</f>
        <v>113522.5939020229</v>
      </c>
      <c r="E12" s="458">
        <f t="shared" ca="1" si="1"/>
        <v>2191759.6454730053</v>
      </c>
      <c r="F12" s="442"/>
      <c r="G12" s="470">
        <v>1</v>
      </c>
      <c r="H12" s="470">
        <v>5</v>
      </c>
      <c r="I12" s="455">
        <f t="shared" ca="1" si="5"/>
        <v>3027232.2565995273</v>
      </c>
      <c r="J12" s="455">
        <f t="array" ref="J12">IFERROR(INDEX('Retirement Calculator'!J:J,MATCH('Isaac 401k'!N12,'Retirement Calculator'!A:A,0),0),0)</f>
        <v>25967.835205236315</v>
      </c>
      <c r="K12" s="455">
        <f t="shared" ca="1" si="2"/>
        <v>12505.268422476212</v>
      </c>
      <c r="L12" s="455">
        <f t="shared" ca="1" si="3"/>
        <v>3013769.6898167669</v>
      </c>
      <c r="M12" s="471">
        <f t="shared" si="6"/>
        <v>0.05</v>
      </c>
      <c r="N12" s="475">
        <f t="shared" si="7"/>
        <v>51410</v>
      </c>
    </row>
    <row r="13" spans="1:14" ht="11.25" customHeight="1" x14ac:dyDescent="0.3">
      <c r="A13" s="470">
        <v>6</v>
      </c>
      <c r="B13" s="458">
        <f t="shared" ca="1" si="4"/>
        <v>2191759.6454730053</v>
      </c>
      <c r="C13" s="458">
        <f t="shared" si="0"/>
        <v>212818.04673484879</v>
      </c>
      <c r="D13" s="458">
        <f ca="1">SUMIF(G:G,6,K:K)</f>
        <v>104918.20802364817</v>
      </c>
      <c r="E13" s="458">
        <f t="shared" ca="1" si="1"/>
        <v>2083859.8067618047</v>
      </c>
      <c r="F13" s="442"/>
      <c r="G13" s="470">
        <v>1</v>
      </c>
      <c r="H13" s="470">
        <v>6</v>
      </c>
      <c r="I13" s="455">
        <f t="shared" ca="1" si="5"/>
        <v>3013769.6898167669</v>
      </c>
      <c r="J13" s="455">
        <f t="array" ref="J13">IFERROR(INDEX('Retirement Calculator'!J:J,MATCH('Isaac 401k'!N13,'Retirement Calculator'!A:A,0),0),0)</f>
        <v>25967.835205236315</v>
      </c>
      <c r="K13" s="455">
        <f t="shared" ca="1" si="2"/>
        <v>12449.17439421471</v>
      </c>
      <c r="L13" s="455">
        <f t="shared" ca="1" si="3"/>
        <v>3000251.029005745</v>
      </c>
      <c r="M13" s="471">
        <f t="shared" si="6"/>
        <v>0.05</v>
      </c>
      <c r="N13" s="475">
        <f t="shared" si="7"/>
        <v>51441</v>
      </c>
    </row>
    <row r="14" spans="1:14" ht="11.25" customHeight="1" x14ac:dyDescent="0.3">
      <c r="A14" s="470">
        <v>7</v>
      </c>
      <c r="B14" s="458">
        <f t="shared" ca="1" si="4"/>
        <v>2083859.8067618047</v>
      </c>
      <c r="C14" s="458">
        <f t="shared" si="0"/>
        <v>84970.080715667049</v>
      </c>
      <c r="D14" s="458">
        <f ca="1">SUMIF(G:G,7,K:K)</f>
        <v>104277.42228146248</v>
      </c>
      <c r="E14" s="458">
        <f t="shared" ca="1" si="1"/>
        <v>2103167.1483276002</v>
      </c>
      <c r="F14" s="442"/>
      <c r="G14" s="470">
        <v>1</v>
      </c>
      <c r="H14" s="470">
        <v>7</v>
      </c>
      <c r="I14" s="455">
        <f t="shared" ca="1" si="5"/>
        <v>3000251.029005745</v>
      </c>
      <c r="J14" s="455">
        <f t="array" ref="J14">IFERROR(INDEX('Retirement Calculator'!J:J,MATCH('Isaac 401k'!N14,'Retirement Calculator'!A:A,0),0),0)</f>
        <v>25967.835205236315</v>
      </c>
      <c r="K14" s="455">
        <f t="shared" ca="1" si="2"/>
        <v>12392.846640835452</v>
      </c>
      <c r="L14" s="455">
        <f t="shared" ca="1" si="3"/>
        <v>2986676.040441344</v>
      </c>
      <c r="M14" s="471">
        <f t="shared" si="6"/>
        <v>0.05</v>
      </c>
      <c r="N14" s="475">
        <f t="shared" si="7"/>
        <v>51471</v>
      </c>
    </row>
    <row r="15" spans="1:14" ht="11.25" customHeight="1" x14ac:dyDescent="0.3">
      <c r="A15" s="470">
        <v>8</v>
      </c>
      <c r="B15" s="458">
        <f t="shared" ca="1" si="4"/>
        <v>2103167.1483276002</v>
      </c>
      <c r="C15" s="458">
        <f t="shared" si="0"/>
        <v>84970.080715667049</v>
      </c>
      <c r="D15" s="458">
        <f ca="1">SUMIF(G:G,8,K:K)</f>
        <v>105265.22251901941</v>
      </c>
      <c r="E15" s="458">
        <f t="shared" ca="1" si="1"/>
        <v>2123462.2901309528</v>
      </c>
      <c r="F15" s="442"/>
      <c r="G15" s="470">
        <v>1</v>
      </c>
      <c r="H15" s="470">
        <v>8</v>
      </c>
      <c r="I15" s="455">
        <f t="shared" ca="1" si="5"/>
        <v>2986676.040441344</v>
      </c>
      <c r="J15" s="455">
        <f t="array" ref="J15">IFERROR(INDEX('Retirement Calculator'!J:J,MATCH('Isaac 401k'!N15,'Retirement Calculator'!A:A,0),0),0)</f>
        <v>25967.835205236315</v>
      </c>
      <c r="K15" s="455">
        <f t="shared" ca="1" si="2"/>
        <v>12336.284188483782</v>
      </c>
      <c r="L15" s="455">
        <f t="shared" ca="1" si="3"/>
        <v>2973044.4894245914</v>
      </c>
      <c r="M15" s="471">
        <f t="shared" si="6"/>
        <v>0.05</v>
      </c>
      <c r="N15" s="475">
        <f t="shared" si="7"/>
        <v>51502</v>
      </c>
    </row>
    <row r="16" spans="1:14" ht="11.25" customHeight="1" x14ac:dyDescent="0.3">
      <c r="A16" s="470">
        <v>9</v>
      </c>
      <c r="B16" s="458">
        <f t="shared" ca="1" si="4"/>
        <v>2123462.2901309528</v>
      </c>
      <c r="C16" s="458">
        <f t="shared" si="0"/>
        <v>77532.985115667063</v>
      </c>
      <c r="D16" s="458">
        <f ca="1">SUMIF(G:G,9,K:K)</f>
        <v>106492.09457779714</v>
      </c>
      <c r="E16" s="458">
        <f t="shared" ca="1" si="1"/>
        <v>2152421.3995930827</v>
      </c>
      <c r="F16" s="442"/>
      <c r="G16" s="470">
        <v>1</v>
      </c>
      <c r="H16" s="470">
        <v>9</v>
      </c>
      <c r="I16" s="455">
        <f t="shared" ca="1" si="5"/>
        <v>2973044.4894245914</v>
      </c>
      <c r="J16" s="455">
        <f t="array" ref="J16">IFERROR(INDEX('Retirement Calculator'!J:J,MATCH('Isaac 401k'!N16,'Retirement Calculator'!A:A,0),0),0)</f>
        <v>25967.835205236315</v>
      </c>
      <c r="K16" s="455">
        <f t="shared" ca="1" si="2"/>
        <v>12279.486059247312</v>
      </c>
      <c r="L16" s="455">
        <f t="shared" ca="1" si="3"/>
        <v>2959356.1402786025</v>
      </c>
      <c r="M16" s="471">
        <f t="shared" si="6"/>
        <v>0.05</v>
      </c>
      <c r="N16" s="475">
        <f t="shared" si="7"/>
        <v>51533</v>
      </c>
    </row>
    <row r="17" spans="1:14" ht="11.25" customHeight="1" x14ac:dyDescent="0.3">
      <c r="A17" s="470">
        <v>10</v>
      </c>
      <c r="B17" s="458">
        <f t="shared" ca="1" si="4"/>
        <v>2152421.3995930827</v>
      </c>
      <c r="C17" s="458">
        <f t="shared" si="0"/>
        <v>76856.885515667076</v>
      </c>
      <c r="D17" s="458">
        <f ca="1">SUMIF(G:G,10,K:K)</f>
        <v>108008.28811753755</v>
      </c>
      <c r="E17" s="458">
        <f t="shared" ca="1" si="1"/>
        <v>2183572.8021949534</v>
      </c>
      <c r="F17" s="442"/>
      <c r="G17" s="470">
        <v>1</v>
      </c>
      <c r="H17" s="470">
        <v>10</v>
      </c>
      <c r="I17" s="455">
        <f t="shared" ca="1" si="5"/>
        <v>2959356.1402786025</v>
      </c>
      <c r="J17" s="455">
        <f t="array" ref="J17">IFERROR(INDEX('Retirement Calculator'!J:J,MATCH('Isaac 401k'!N17,'Retirement Calculator'!A:A,0),0),0)</f>
        <v>25967.835205236315</v>
      </c>
      <c r="K17" s="455">
        <f t="shared" ca="1" si="2"/>
        <v>12222.451271139025</v>
      </c>
      <c r="L17" s="455">
        <f t="shared" ca="1" si="3"/>
        <v>2945610.7563445051</v>
      </c>
      <c r="M17" s="471">
        <f t="shared" si="6"/>
        <v>0.05</v>
      </c>
      <c r="N17" s="475">
        <f t="shared" si="7"/>
        <v>51561</v>
      </c>
    </row>
    <row r="18" spans="1:14" ht="11.25" customHeight="1" x14ac:dyDescent="0.3">
      <c r="A18" s="470">
        <v>11</v>
      </c>
      <c r="B18" s="458">
        <f t="shared" ca="1" si="4"/>
        <v>2183572.8021949534</v>
      </c>
      <c r="C18" s="458">
        <f t="shared" si="0"/>
        <v>76856.885515667076</v>
      </c>
      <c r="D18" s="458">
        <f ca="1">SUMIF(G:G,11,K:K)</f>
        <v>109602.05299632711</v>
      </c>
      <c r="E18" s="458">
        <f t="shared" ca="1" si="1"/>
        <v>2216317.9696756136</v>
      </c>
      <c r="F18" s="442"/>
      <c r="G18" s="470">
        <v>1</v>
      </c>
      <c r="H18" s="470">
        <v>11</v>
      </c>
      <c r="I18" s="455">
        <f t="shared" ca="1" si="5"/>
        <v>2945610.7563445051</v>
      </c>
      <c r="J18" s="455">
        <f t="array" ref="J18">IFERROR(INDEX('Retirement Calculator'!J:J,MATCH('Isaac 401k'!N18,'Retirement Calculator'!A:A,0),0),0)</f>
        <v>25967.835205236315</v>
      </c>
      <c r="K18" s="455">
        <f t="shared" ca="1" si="2"/>
        <v>12165.178838080286</v>
      </c>
      <c r="L18" s="455">
        <f t="shared" ca="1" si="3"/>
        <v>2931808.0999773489</v>
      </c>
      <c r="M18" s="471">
        <f t="shared" si="6"/>
        <v>0.05</v>
      </c>
      <c r="N18" s="475">
        <f t="shared" si="7"/>
        <v>51592</v>
      </c>
    </row>
    <row r="19" spans="1:14" ht="11.25" customHeight="1" x14ac:dyDescent="0.3">
      <c r="A19" s="470">
        <v>12</v>
      </c>
      <c r="B19" s="458">
        <f t="shared" ca="1" si="4"/>
        <v>2216317.9696756136</v>
      </c>
      <c r="C19" s="458">
        <f t="shared" si="0"/>
        <v>76856.885515667076</v>
      </c>
      <c r="D19" s="458">
        <f ca="1">SUMIF(G:G,12,K:K)</f>
        <v>111277.35791109277</v>
      </c>
      <c r="E19" s="458">
        <f t="shared" ca="1" si="1"/>
        <v>2250738.4420710392</v>
      </c>
      <c r="F19" s="442"/>
      <c r="G19" s="470">
        <v>1</v>
      </c>
      <c r="H19" s="470">
        <v>12</v>
      </c>
      <c r="I19" s="455">
        <f t="shared" ca="1" si="5"/>
        <v>2931808.0999773489</v>
      </c>
      <c r="J19" s="455">
        <f t="array" ref="J19">IFERROR(INDEX('Retirement Calculator'!J:J,MATCH('Isaac 401k'!N19,'Retirement Calculator'!A:A,0),0),0)</f>
        <v>25967.835205236315</v>
      </c>
      <c r="K19" s="455">
        <f t="shared" ca="1" si="2"/>
        <v>12107.667769883801</v>
      </c>
      <c r="L19" s="455">
        <f t="shared" ca="1" si="3"/>
        <v>2917947.9325419962</v>
      </c>
      <c r="M19" s="471">
        <f t="shared" si="6"/>
        <v>0.05</v>
      </c>
      <c r="N19" s="475">
        <f t="shared" si="7"/>
        <v>51622</v>
      </c>
    </row>
    <row r="20" spans="1:14" ht="11.25" customHeight="1" x14ac:dyDescent="0.3">
      <c r="A20" s="470">
        <v>13</v>
      </c>
      <c r="B20" s="458">
        <f t="shared" ca="1" si="4"/>
        <v>2250738.4420710392</v>
      </c>
      <c r="C20" s="458">
        <f t="shared" si="0"/>
        <v>76856.885515667076</v>
      </c>
      <c r="D20" s="458">
        <f ca="1">SUMIF(G:G,13,K:K)</f>
        <v>113038.37460482847</v>
      </c>
      <c r="E20" s="458">
        <f t="shared" ca="1" si="1"/>
        <v>2286919.9311602009</v>
      </c>
      <c r="F20" s="442"/>
      <c r="G20" s="470">
        <v>2</v>
      </c>
      <c r="H20" s="470">
        <v>13</v>
      </c>
      <c r="I20" s="455">
        <f t="shared" ca="1" si="5"/>
        <v>2917947.9325419962</v>
      </c>
      <c r="J20" s="455">
        <f t="array" ref="J20">IFERROR(INDEX('Retirement Calculator'!J:J,MATCH('Isaac 401k'!N20,'Retirement Calculator'!A:A,0),0),0)</f>
        <v>25967.835205236315</v>
      </c>
      <c r="K20" s="455">
        <f t="shared" ca="1" si="2"/>
        <v>12049.9170722365</v>
      </c>
      <c r="L20" s="455">
        <f t="shared" ca="1" si="3"/>
        <v>2904030.0144089963</v>
      </c>
      <c r="M20" s="471">
        <f t="shared" si="6"/>
        <v>0.05</v>
      </c>
      <c r="N20" s="475">
        <f t="shared" si="7"/>
        <v>51653</v>
      </c>
    </row>
    <row r="21" spans="1:14" ht="11.25" customHeight="1" x14ac:dyDescent="0.3">
      <c r="A21" s="470">
        <v>14</v>
      </c>
      <c r="B21" s="458">
        <f t="shared" ca="1" si="4"/>
        <v>2286919.9311602009</v>
      </c>
      <c r="C21" s="458">
        <f t="shared" si="0"/>
        <v>76856.885515667076</v>
      </c>
      <c r="D21" s="458">
        <f ca="1">SUMIF(G:G,14,K:K)</f>
        <v>114889.48825481709</v>
      </c>
      <c r="E21" s="458">
        <f t="shared" ca="1" si="1"/>
        <v>2324952.533899351</v>
      </c>
      <c r="F21" s="442"/>
      <c r="G21" s="470">
        <v>2</v>
      </c>
      <c r="H21" s="470">
        <v>14</v>
      </c>
      <c r="I21" s="455">
        <f t="shared" ca="1" si="5"/>
        <v>2904030.0144089963</v>
      </c>
      <c r="J21" s="455">
        <f t="array" ref="J21">IFERROR(INDEX('Retirement Calculator'!J:J,MATCH('Isaac 401k'!N21,'Retirement Calculator'!A:A,0),0),0)</f>
        <v>25967.835205236315</v>
      </c>
      <c r="K21" s="455">
        <f t="shared" ca="1" si="2"/>
        <v>11991.925746682333</v>
      </c>
      <c r="L21" s="455">
        <f t="shared" ca="1" si="3"/>
        <v>2890054.104950442</v>
      </c>
      <c r="M21" s="471">
        <f t="shared" si="6"/>
        <v>0.05</v>
      </c>
      <c r="N21" s="475">
        <f t="shared" si="7"/>
        <v>51683</v>
      </c>
    </row>
    <row r="22" spans="1:14" ht="11.25" customHeight="1" x14ac:dyDescent="0.3">
      <c r="A22" s="470">
        <v>15</v>
      </c>
      <c r="B22" s="458">
        <f t="shared" ca="1" si="4"/>
        <v>2324952.533899351</v>
      </c>
      <c r="C22" s="458">
        <f t="shared" si="0"/>
        <v>76856.885515667076</v>
      </c>
      <c r="D22" s="458">
        <f ca="1">SUMIF(G:G,15,K:K)</f>
        <v>116835.3083923339</v>
      </c>
      <c r="E22" s="458">
        <f t="shared" ca="1" si="1"/>
        <v>2364930.9567760178</v>
      </c>
      <c r="F22" s="442"/>
      <c r="G22" s="470">
        <v>2</v>
      </c>
      <c r="H22" s="470">
        <v>15</v>
      </c>
      <c r="I22" s="455">
        <f t="shared" ca="1" si="5"/>
        <v>2890054.104950442</v>
      </c>
      <c r="J22" s="455">
        <f t="array" ref="J22">IFERROR(INDEX('Retirement Calculator'!J:J,MATCH('Isaac 401k'!N22,'Retirement Calculator'!A:A,0),0),0)</f>
        <v>25967.835205236315</v>
      </c>
      <c r="K22" s="455">
        <f t="shared" ca="1" si="2"/>
        <v>11933.692790605022</v>
      </c>
      <c r="L22" s="455">
        <f t="shared" ca="1" si="3"/>
        <v>2876019.9625358107</v>
      </c>
      <c r="M22" s="471">
        <f t="shared" si="6"/>
        <v>0.05</v>
      </c>
      <c r="N22" s="475">
        <f t="shared" si="7"/>
        <v>51714</v>
      </c>
    </row>
    <row r="23" spans="1:14" ht="11.25" customHeight="1" x14ac:dyDescent="0.3">
      <c r="A23" s="470">
        <v>16</v>
      </c>
      <c r="B23" s="458">
        <f t="shared" ca="1" si="4"/>
        <v>2364930.9567760178</v>
      </c>
      <c r="C23" s="458">
        <f t="shared" si="0"/>
        <v>76856.885515667076</v>
      </c>
      <c r="D23" s="458">
        <f ca="1">SUMIF(G:G,16,K:K)</f>
        <v>118880.6803810226</v>
      </c>
      <c r="E23" s="458">
        <f t="shared" ca="1" si="1"/>
        <v>2406954.7516413732</v>
      </c>
      <c r="F23" s="442"/>
      <c r="G23" s="470">
        <v>2</v>
      </c>
      <c r="H23" s="470">
        <v>16</v>
      </c>
      <c r="I23" s="455">
        <f t="shared" ca="1" si="5"/>
        <v>2876019.9625358107</v>
      </c>
      <c r="J23" s="455">
        <f t="array" ref="J23">IFERROR(INDEX('Retirement Calculator'!J:J,MATCH('Isaac 401k'!N23,'Retirement Calculator'!A:A,0),0),0)</f>
        <v>25967.835205236315</v>
      </c>
      <c r="K23" s="455">
        <f t="shared" ca="1" si="2"/>
        <v>11875.217197210726</v>
      </c>
      <c r="L23" s="455">
        <f t="shared" ca="1" si="3"/>
        <v>2861927.3445277847</v>
      </c>
      <c r="M23" s="471">
        <f t="shared" si="6"/>
        <v>0.05</v>
      </c>
      <c r="N23" s="475">
        <f t="shared" si="7"/>
        <v>51745</v>
      </c>
    </row>
    <row r="24" spans="1:14" ht="11.25" customHeight="1" x14ac:dyDescent="0.3">
      <c r="A24" s="470">
        <v>17</v>
      </c>
      <c r="B24" s="458">
        <f t="shared" ca="1" si="4"/>
        <v>2406954.7516413732</v>
      </c>
      <c r="C24" s="458">
        <f t="shared" si="0"/>
        <v>76856.885515667076</v>
      </c>
      <c r="D24" s="458">
        <f ca="1">SUMIF(G:G,17,K:K)</f>
        <v>121030.6974825267</v>
      </c>
      <c r="E24" s="458">
        <f t="shared" ca="1" si="1"/>
        <v>2451128.5636082329</v>
      </c>
      <c r="F24" s="442"/>
      <c r="G24" s="470">
        <v>2</v>
      </c>
      <c r="H24" s="470">
        <v>17</v>
      </c>
      <c r="I24" s="455">
        <f t="shared" ca="1" si="5"/>
        <v>2861927.3445277847</v>
      </c>
      <c r="J24" s="455">
        <f t="array" ref="J24">IFERROR(INDEX('Retirement Calculator'!J:J,MATCH('Isaac 401k'!N24,'Retirement Calculator'!A:A,0),0),0)</f>
        <v>25967.835205236315</v>
      </c>
      <c r="K24" s="455">
        <f t="shared" ca="1" si="2"/>
        <v>11816.497955510618</v>
      </c>
      <c r="L24" s="455">
        <f t="shared" ca="1" si="3"/>
        <v>2847776.0072780587</v>
      </c>
      <c r="M24" s="471">
        <f t="shared" si="6"/>
        <v>0.05</v>
      </c>
      <c r="N24" s="475">
        <f t="shared" si="7"/>
        <v>51775</v>
      </c>
    </row>
    <row r="25" spans="1:14" ht="11.25" customHeight="1" x14ac:dyDescent="0.3">
      <c r="A25" s="470">
        <v>18</v>
      </c>
      <c r="B25" s="458">
        <f t="shared" ca="1" si="4"/>
        <v>2451128.5636082329</v>
      </c>
      <c r="C25" s="458">
        <f t="shared" si="0"/>
        <v>76856.885515667076</v>
      </c>
      <c r="D25" s="458">
        <f ca="1">SUMIF(G:G,18,K:K)</f>
        <v>123290.71353942194</v>
      </c>
      <c r="E25" s="458">
        <f t="shared" ca="1" si="1"/>
        <v>2497562.3916319879</v>
      </c>
      <c r="F25" s="442"/>
      <c r="G25" s="470">
        <v>2</v>
      </c>
      <c r="H25" s="470">
        <v>18</v>
      </c>
      <c r="I25" s="455">
        <f t="shared" ca="1" si="5"/>
        <v>2847776.0072780587</v>
      </c>
      <c r="J25" s="455">
        <f t="array" ref="J25">IFERROR(INDEX('Retirement Calculator'!J:J,MATCH('Isaac 401k'!N25,'Retirement Calculator'!A:A,0),0),0)</f>
        <v>25967.835205236315</v>
      </c>
      <c r="K25" s="455">
        <f t="shared" ca="1" si="2"/>
        <v>11757.534050303426</v>
      </c>
      <c r="L25" s="455">
        <f t="shared" ca="1" si="3"/>
        <v>2833565.7061231257</v>
      </c>
      <c r="M25" s="471">
        <f t="shared" si="6"/>
        <v>0.05</v>
      </c>
      <c r="N25" s="475">
        <f t="shared" si="7"/>
        <v>51806</v>
      </c>
    </row>
    <row r="26" spans="1:14" ht="11.25" customHeight="1" x14ac:dyDescent="0.3">
      <c r="A26" s="470">
        <v>19</v>
      </c>
      <c r="B26" s="458">
        <f t="shared" ca="1" si="4"/>
        <v>2497562.3916319879</v>
      </c>
      <c r="C26" s="458">
        <f t="shared" si="0"/>
        <v>76856.885515667076</v>
      </c>
      <c r="D26" s="458">
        <f ca="1">SUMIF(G:G,19,K:K)</f>
        <v>125666.35630703114</v>
      </c>
      <c r="E26" s="458">
        <f t="shared" ca="1" si="1"/>
        <v>2546371.862423352</v>
      </c>
      <c r="F26" s="442"/>
      <c r="G26" s="470">
        <v>2</v>
      </c>
      <c r="H26" s="470">
        <v>19</v>
      </c>
      <c r="I26" s="455">
        <f t="shared" ca="1" si="5"/>
        <v>2833565.7061231257</v>
      </c>
      <c r="J26" s="455">
        <f t="array" ref="J26">IFERROR(INDEX('Retirement Calculator'!J:J,MATCH('Isaac 401k'!N26,'Retirement Calculator'!A:A,0),0),0)</f>
        <v>25967.835205236315</v>
      </c>
      <c r="K26" s="455">
        <f t="shared" ca="1" si="2"/>
        <v>11698.324462157872</v>
      </c>
      <c r="L26" s="455">
        <f t="shared" ca="1" si="3"/>
        <v>2819296.195380047</v>
      </c>
      <c r="M26" s="471">
        <f t="shared" si="6"/>
        <v>0.05</v>
      </c>
      <c r="N26" s="475">
        <f t="shared" si="7"/>
        <v>51836</v>
      </c>
    </row>
    <row r="27" spans="1:14" ht="11.25" customHeight="1" x14ac:dyDescent="0.3">
      <c r="A27" s="470">
        <v>20</v>
      </c>
      <c r="B27" s="458">
        <f t="shared" ca="1" si="4"/>
        <v>2546371.862423352</v>
      </c>
      <c r="C27" s="458">
        <f t="shared" si="0"/>
        <v>76856.885515667076</v>
      </c>
      <c r="D27" s="458">
        <f ca="1">SUMIF(G:G,20,K:K)</f>
        <v>128163.54146732022</v>
      </c>
      <c r="E27" s="458">
        <f t="shared" ca="1" si="1"/>
        <v>2597678.5183750051</v>
      </c>
      <c r="F27" s="442"/>
      <c r="G27" s="470">
        <v>2</v>
      </c>
      <c r="H27" s="470">
        <v>20</v>
      </c>
      <c r="I27" s="455">
        <f t="shared" ca="1" si="5"/>
        <v>2819296.195380047</v>
      </c>
      <c r="J27" s="455">
        <f t="array" ref="J27">IFERROR(INDEX('Retirement Calculator'!J:J,MATCH('Isaac 401k'!N27,'Retirement Calculator'!A:A,0),0),0)</f>
        <v>25967.835205236315</v>
      </c>
      <c r="K27" s="455">
        <f t="shared" ca="1" si="2"/>
        <v>11638.868167395043</v>
      </c>
      <c r="L27" s="455">
        <f t="shared" ca="1" si="3"/>
        <v>2804967.2283422058</v>
      </c>
      <c r="M27" s="471">
        <f t="shared" si="6"/>
        <v>0.05</v>
      </c>
      <c r="N27" s="475">
        <f t="shared" si="7"/>
        <v>51867</v>
      </c>
    </row>
    <row r="28" spans="1:14" ht="11.25" customHeight="1" x14ac:dyDescent="0.3">
      <c r="A28" s="470">
        <v>21</v>
      </c>
      <c r="B28" s="458">
        <f t="shared" ca="1" si="4"/>
        <v>2597678.5183750051</v>
      </c>
      <c r="C28" s="458">
        <f t="shared" si="0"/>
        <v>76856.885515667076</v>
      </c>
      <c r="D28" s="458">
        <f ca="1">SUMIF(G:G,21,K:K)</f>
        <v>130788.48735977178</v>
      </c>
      <c r="E28" s="458">
        <f t="shared" ca="1" si="1"/>
        <v>2651610.12021911</v>
      </c>
      <c r="F28" s="442"/>
      <c r="G28" s="470">
        <v>2</v>
      </c>
      <c r="H28" s="470">
        <v>21</v>
      </c>
      <c r="I28" s="455">
        <f t="shared" ca="1" si="5"/>
        <v>2804967.2283422058</v>
      </c>
      <c r="J28" s="455">
        <f t="array" ref="J28">IFERROR(INDEX('Retirement Calculator'!J:J,MATCH('Isaac 401k'!N28,'Retirement Calculator'!A:A,0),0),0)</f>
        <v>25967.835205236315</v>
      </c>
      <c r="K28" s="455">
        <f t="shared" ca="1" si="2"/>
        <v>11579.164138070706</v>
      </c>
      <c r="L28" s="455">
        <f t="shared" ca="1" si="3"/>
        <v>2790578.5572750401</v>
      </c>
      <c r="M28" s="471">
        <f t="shared" si="6"/>
        <v>0.05</v>
      </c>
      <c r="N28" s="475">
        <f t="shared" si="7"/>
        <v>51898</v>
      </c>
    </row>
    <row r="29" spans="1:14" ht="11.25" customHeight="1" x14ac:dyDescent="0.3">
      <c r="A29" s="470">
        <v>22</v>
      </c>
      <c r="B29" s="458">
        <f t="shared" ca="1" si="4"/>
        <v>2651610.12021911</v>
      </c>
      <c r="C29" s="458">
        <f t="shared" si="0"/>
        <v>76856.885515667076</v>
      </c>
      <c r="D29" s="458">
        <f ca="1">SUMIF(G:G,22,K:K)</f>
        <v>133547.73046591808</v>
      </c>
      <c r="E29" s="458">
        <f t="shared" ca="1" si="1"/>
        <v>2708300.9651693609</v>
      </c>
      <c r="F29" s="442"/>
      <c r="G29" s="470">
        <v>2</v>
      </c>
      <c r="H29" s="470">
        <v>22</v>
      </c>
      <c r="I29" s="455">
        <f t="shared" ca="1" si="5"/>
        <v>2790578.5572750401</v>
      </c>
      <c r="J29" s="455">
        <f t="array" ref="J29">IFERROR(INDEX('Retirement Calculator'!J:J,MATCH('Isaac 401k'!N29,'Retirement Calculator'!A:A,0),0),0)</f>
        <v>25967.835205236315</v>
      </c>
      <c r="K29" s="455">
        <f t="shared" ca="1" si="2"/>
        <v>11519.211341957514</v>
      </c>
      <c r="L29" s="455">
        <f t="shared" ca="1" si="3"/>
        <v>2776129.9334117612</v>
      </c>
      <c r="M29" s="471">
        <f t="shared" si="6"/>
        <v>0.05</v>
      </c>
      <c r="N29" s="475">
        <f t="shared" si="7"/>
        <v>51926</v>
      </c>
    </row>
    <row r="30" spans="1:14" ht="11.25" customHeight="1" x14ac:dyDescent="0.3">
      <c r="A30" s="470">
        <v>23</v>
      </c>
      <c r="B30" s="458">
        <f t="shared" ca="1" si="4"/>
        <v>2708300.9651693609</v>
      </c>
      <c r="C30" s="458">
        <f t="shared" si="0"/>
        <v>76856.885515667076</v>
      </c>
      <c r="D30" s="458">
        <f ca="1">SUMIF(G:G,23,K:K)</f>
        <v>136448.14168609184</v>
      </c>
      <c r="E30" s="458">
        <f t="shared" ca="1" si="1"/>
        <v>2767892.2213397855</v>
      </c>
      <c r="F30" s="442"/>
      <c r="G30" s="470">
        <v>2</v>
      </c>
      <c r="H30" s="470">
        <v>23</v>
      </c>
      <c r="I30" s="455">
        <f t="shared" ca="1" si="5"/>
        <v>2776129.9334117612</v>
      </c>
      <c r="J30" s="455">
        <f t="array" ref="J30">IFERROR(INDEX('Retirement Calculator'!J:J,MATCH('Isaac 401k'!N30,'Retirement Calculator'!A:A,0),0),0)</f>
        <v>25967.835205236315</v>
      </c>
      <c r="K30" s="455">
        <f t="shared" ca="1" si="2"/>
        <v>11459.008742527187</v>
      </c>
      <c r="L30" s="455">
        <f t="shared" ca="1" si="3"/>
        <v>2761621.1069490518</v>
      </c>
      <c r="M30" s="471">
        <f t="shared" si="6"/>
        <v>0.05</v>
      </c>
      <c r="N30" s="475">
        <f t="shared" si="7"/>
        <v>51957</v>
      </c>
    </row>
    <row r="31" spans="1:14" ht="11.25" customHeight="1" x14ac:dyDescent="0.3">
      <c r="A31" s="470">
        <v>24</v>
      </c>
      <c r="B31" s="458">
        <f t="shared" ca="1" si="4"/>
        <v>2767892.2213397855</v>
      </c>
      <c r="C31" s="458">
        <f t="shared" si="0"/>
        <v>76856.885515667076</v>
      </c>
      <c r="D31" s="458">
        <f ca="1">SUMIF(G:G,24,K:K)</f>
        <v>139496.94344892711</v>
      </c>
      <c r="E31" s="458">
        <f t="shared" ca="1" si="1"/>
        <v>2830532.2792730457</v>
      </c>
      <c r="F31" s="442"/>
      <c r="G31" s="470">
        <v>2</v>
      </c>
      <c r="H31" s="470">
        <v>24</v>
      </c>
      <c r="I31" s="455">
        <f t="shared" ca="1" si="5"/>
        <v>2761621.1069490518</v>
      </c>
      <c r="J31" s="455">
        <f t="array" ref="J31">IFERROR(INDEX('Retirement Calculator'!J:J,MATCH('Isaac 401k'!N31,'Retirement Calculator'!A:A,0),0),0)</f>
        <v>25967.835205236315</v>
      </c>
      <c r="K31" s="455">
        <f t="shared" ca="1" si="2"/>
        <v>11398.555298932564</v>
      </c>
      <c r="L31" s="455">
        <f t="shared" ca="1" si="3"/>
        <v>2747051.8270427478</v>
      </c>
      <c r="M31" s="471">
        <f t="shared" si="6"/>
        <v>0.05</v>
      </c>
      <c r="N31" s="475">
        <f t="shared" si="7"/>
        <v>51987</v>
      </c>
    </row>
    <row r="32" spans="1:14" ht="11.25" customHeight="1" x14ac:dyDescent="0.3">
      <c r="A32" s="470">
        <v>25</v>
      </c>
      <c r="B32" s="458">
        <f t="shared" ca="1" si="4"/>
        <v>2830532.2792730457</v>
      </c>
      <c r="C32" s="458">
        <f t="shared" si="0"/>
        <v>76856.885515667076</v>
      </c>
      <c r="D32" s="458">
        <f ca="1">SUMIF(G:G,25,K:K)</f>
        <v>142701.72769621425</v>
      </c>
      <c r="E32" s="458">
        <f t="shared" ca="1" si="1"/>
        <v>2896377.121453593</v>
      </c>
      <c r="F32" s="442"/>
      <c r="G32" s="470">
        <v>3</v>
      </c>
      <c r="H32" s="470">
        <v>25</v>
      </c>
      <c r="I32" s="455">
        <f t="shared" ca="1" si="5"/>
        <v>2747051.8270427478</v>
      </c>
      <c r="J32" s="455">
        <f t="array" ref="J32">IFERROR(INDEX('Retirement Calculator'!J:J,MATCH('Isaac 401k'!N32,'Retirement Calculator'!A:A,0),0),0)</f>
        <v>25967.835205236315</v>
      </c>
      <c r="K32" s="455">
        <f t="shared" ca="1" si="2"/>
        <v>11337.84996598963</v>
      </c>
      <c r="L32" s="455">
        <f t="shared" ca="1" si="3"/>
        <v>2732421.8418035009</v>
      </c>
      <c r="M32" s="471">
        <f t="shared" si="6"/>
        <v>0.05</v>
      </c>
      <c r="N32" s="475">
        <f t="shared" si="7"/>
        <v>52018</v>
      </c>
    </row>
    <row r="33" spans="1:14" ht="11.25" customHeight="1" x14ac:dyDescent="0.3">
      <c r="A33" s="470">
        <v>26</v>
      </c>
      <c r="B33" s="458">
        <f t="shared" ca="1" si="4"/>
        <v>2896377.121453593</v>
      </c>
      <c r="C33" s="458">
        <f t="shared" si="0"/>
        <v>76856.885515667076</v>
      </c>
      <c r="D33" s="458">
        <f ca="1">SUMIF(G:G,26,K:K)</f>
        <v>146070.47478789408</v>
      </c>
      <c r="E33" s="458">
        <f t="shared" ca="1" si="1"/>
        <v>2965590.7107258202</v>
      </c>
      <c r="F33" s="442"/>
      <c r="G33" s="470">
        <v>3</v>
      </c>
      <c r="H33" s="470">
        <v>26</v>
      </c>
      <c r="I33" s="455">
        <f t="shared" ca="1" si="5"/>
        <v>2732421.8418035009</v>
      </c>
      <c r="J33" s="455">
        <f t="array" ref="J33">IFERROR(INDEX('Retirement Calculator'!J:J,MATCH('Isaac 401k'!N33,'Retirement Calculator'!A:A,0),0),0)</f>
        <v>25967.835205236315</v>
      </c>
      <c r="K33" s="455">
        <f t="shared" ca="1" si="2"/>
        <v>11276.891694159434</v>
      </c>
      <c r="L33" s="455">
        <f t="shared" ca="1" si="3"/>
        <v>2717730.8982924237</v>
      </c>
      <c r="M33" s="471">
        <f t="shared" si="6"/>
        <v>0.05</v>
      </c>
      <c r="N33" s="475">
        <f t="shared" si="7"/>
        <v>52048</v>
      </c>
    </row>
    <row r="34" spans="1:14" ht="11.25" customHeight="1" x14ac:dyDescent="0.3">
      <c r="A34" s="470">
        <v>27</v>
      </c>
      <c r="B34" s="458">
        <f t="shared" ca="1" si="4"/>
        <v>2965590.7107258202</v>
      </c>
      <c r="C34" s="458">
        <f t="shared" si="0"/>
        <v>76856.885515667076</v>
      </c>
      <c r="D34" s="458">
        <f ca="1">SUMIF(G:G,27,K:K)</f>
        <v>149611.57337426787</v>
      </c>
      <c r="E34" s="458">
        <f t="shared" ca="1" si="1"/>
        <v>3038345.3985844208</v>
      </c>
      <c r="F34" s="442"/>
      <c r="G34" s="470">
        <v>3</v>
      </c>
      <c r="H34" s="470">
        <v>27</v>
      </c>
      <c r="I34" s="455">
        <f t="shared" ca="1" si="5"/>
        <v>2717730.8982924237</v>
      </c>
      <c r="J34" s="455">
        <f t="array" ref="J34">IFERROR(INDEX('Retirement Calculator'!J:J,MATCH('Isaac 401k'!N34,'Retirement Calculator'!A:A,0),0),0)</f>
        <v>25967.835205236315</v>
      </c>
      <c r="K34" s="455">
        <f t="shared" ca="1" si="2"/>
        <v>11215.679429529946</v>
      </c>
      <c r="L34" s="455">
        <f t="shared" ca="1" si="3"/>
        <v>2702978.7425167174</v>
      </c>
      <c r="M34" s="471">
        <f t="shared" si="6"/>
        <v>0.05</v>
      </c>
      <c r="N34" s="475">
        <f t="shared" si="7"/>
        <v>52079</v>
      </c>
    </row>
    <row r="35" spans="1:14" ht="11.25" customHeight="1" x14ac:dyDescent="0.3">
      <c r="A35" s="470">
        <v>28</v>
      </c>
      <c r="B35" s="458">
        <f t="shared" ca="1" si="4"/>
        <v>3038345.3985844208</v>
      </c>
      <c r="C35" s="458">
        <f t="shared" si="0"/>
        <v>76856.885515667076</v>
      </c>
      <c r="D35" s="458">
        <f ca="1">SUMIF(G:G,28,K:K)</f>
        <v>153333.8412849069</v>
      </c>
      <c r="E35" s="458">
        <f t="shared" ca="1" si="1"/>
        <v>3114822.3543536607</v>
      </c>
      <c r="F35" s="442"/>
      <c r="G35" s="470">
        <v>3</v>
      </c>
      <c r="H35" s="470">
        <v>28</v>
      </c>
      <c r="I35" s="455">
        <f t="shared" ca="1" si="5"/>
        <v>2702978.7425167174</v>
      </c>
      <c r="J35" s="455">
        <f t="array" ref="J35">IFERROR(INDEX('Retirement Calculator'!J:J,MATCH('Isaac 401k'!N35,'Retirement Calculator'!A:A,0),0),0)</f>
        <v>25967.835205236315</v>
      </c>
      <c r="K35" s="455">
        <f t="shared" ca="1" si="2"/>
        <v>11154.212113797837</v>
      </c>
      <c r="L35" s="455">
        <f t="shared" ca="1" si="3"/>
        <v>2688165.1194252786</v>
      </c>
      <c r="M35" s="471">
        <f t="shared" si="6"/>
        <v>0.05</v>
      </c>
      <c r="N35" s="475">
        <f t="shared" si="7"/>
        <v>52110</v>
      </c>
    </row>
    <row r="36" spans="1:14" ht="11.25" customHeight="1" x14ac:dyDescent="0.3">
      <c r="A36" s="470">
        <v>29</v>
      </c>
      <c r="B36" s="458">
        <f t="shared" ca="1" si="4"/>
        <v>3114822.3543536607</v>
      </c>
      <c r="C36" s="458">
        <f t="shared" si="0"/>
        <v>76856.885515667076</v>
      </c>
      <c r="D36" s="458">
        <f ca="1">SUMIF(G:G,29,K:K)</f>
        <v>157246.54748627843</v>
      </c>
      <c r="E36" s="458">
        <f t="shared" ca="1" si="1"/>
        <v>3195212.0163242719</v>
      </c>
      <c r="F36" s="442"/>
      <c r="G36" s="470">
        <v>3</v>
      </c>
      <c r="H36" s="470">
        <v>29</v>
      </c>
      <c r="I36" s="455">
        <f t="shared" ca="1" si="5"/>
        <v>2688165.1194252786</v>
      </c>
      <c r="J36" s="455">
        <f t="array" ref="J36">IFERROR(INDEX('Retirement Calculator'!J:J,MATCH('Isaac 401k'!N36,'Retirement Calculator'!A:A,0),0),0)</f>
        <v>25967.835205236315</v>
      </c>
      <c r="K36" s="455">
        <f t="shared" ca="1" si="2"/>
        <v>11092.488684250176</v>
      </c>
      <c r="L36" s="455">
        <f t="shared" ca="1" si="3"/>
        <v>2673289.7729042922</v>
      </c>
      <c r="M36" s="471">
        <f t="shared" si="6"/>
        <v>0.05</v>
      </c>
      <c r="N36" s="475">
        <f t="shared" si="7"/>
        <v>52140</v>
      </c>
    </row>
    <row r="37" spans="1:14" ht="11.25" customHeight="1" x14ac:dyDescent="0.3">
      <c r="A37" s="470">
        <v>30</v>
      </c>
      <c r="B37" s="458">
        <f t="shared" ca="1" si="4"/>
        <v>3195212.0163242719</v>
      </c>
      <c r="C37" s="458">
        <f t="shared" si="0"/>
        <v>76856.885515667076</v>
      </c>
      <c r="D37" s="458">
        <f ca="1">SUMIF(G:G,30,K:K)</f>
        <v>161359.43516276576</v>
      </c>
      <c r="E37" s="458">
        <f t="shared" ca="1" si="1"/>
        <v>3279714.5659713708</v>
      </c>
      <c r="F37" s="442"/>
      <c r="G37" s="470">
        <v>3</v>
      </c>
      <c r="H37" s="470">
        <v>30</v>
      </c>
      <c r="I37" s="455">
        <f t="shared" ca="1" si="5"/>
        <v>2673289.7729042922</v>
      </c>
      <c r="J37" s="455">
        <f t="array" ref="J37">IFERROR(INDEX('Retirement Calculator'!J:J,MATCH('Isaac 401k'!N37,'Retirement Calculator'!A:A,0),0),0)</f>
        <v>25967.835205236315</v>
      </c>
      <c r="K37" s="455">
        <f t="shared" ca="1" si="2"/>
        <v>11030.508073746065</v>
      </c>
      <c r="L37" s="455">
        <f t="shared" ca="1" si="3"/>
        <v>2658352.445772802</v>
      </c>
      <c r="M37" s="471">
        <f t="shared" si="6"/>
        <v>0.05</v>
      </c>
      <c r="N37" s="475">
        <f t="shared" si="7"/>
        <v>52171</v>
      </c>
    </row>
    <row r="38" spans="1:14" ht="11.25" customHeight="1" x14ac:dyDescent="0.3">
      <c r="A38" s="470">
        <v>31</v>
      </c>
      <c r="B38" s="458">
        <f t="shared" ca="1" si="4"/>
        <v>3279714.5659713708</v>
      </c>
      <c r="C38" s="458">
        <f t="shared" si="0"/>
        <v>76856.885515667076</v>
      </c>
      <c r="D38" s="458">
        <f ca="1">SUMIF(G:G,31,K:K)</f>
        <v>165682.74597855654</v>
      </c>
      <c r="E38" s="458">
        <f t="shared" ca="1" si="1"/>
        <v>3368540.4264342603</v>
      </c>
      <c r="F38" s="442"/>
      <c r="G38" s="470">
        <v>3</v>
      </c>
      <c r="H38" s="470">
        <v>31</v>
      </c>
      <c r="I38" s="455">
        <f t="shared" ca="1" si="5"/>
        <v>2658352.445772802</v>
      </c>
      <c r="J38" s="455">
        <f t="array" ref="J38">IFERROR(INDEX('Retirement Calculator'!J:J,MATCH('Isaac 401k'!N38,'Retirement Calculator'!A:A,0),0),0)</f>
        <v>25967.835205236315</v>
      </c>
      <c r="K38" s="455">
        <f t="shared" ca="1" si="2"/>
        <v>10968.26921069819</v>
      </c>
      <c r="L38" s="455">
        <f t="shared" ca="1" si="3"/>
        <v>2643352.8797782636</v>
      </c>
      <c r="M38" s="471">
        <f t="shared" si="6"/>
        <v>0.05</v>
      </c>
      <c r="N38" s="475">
        <f t="shared" si="7"/>
        <v>52201</v>
      </c>
    </row>
    <row r="39" spans="1:14" ht="11.25" customHeight="1" x14ac:dyDescent="0.3">
      <c r="A39" s="470">
        <v>32</v>
      </c>
      <c r="B39" s="458">
        <f t="shared" ca="1" si="4"/>
        <v>3368540.4264342603</v>
      </c>
      <c r="C39" s="458">
        <f t="shared" si="0"/>
        <v>76856.885515667076</v>
      </c>
      <c r="D39" s="458">
        <f ca="1">SUMIF(G:G,32,K:K)</f>
        <v>170227.24558081583</v>
      </c>
      <c r="E39" s="458">
        <f t="shared" ca="1" si="1"/>
        <v>3461910.786499409</v>
      </c>
      <c r="F39" s="442"/>
      <c r="G39" s="470">
        <v>3</v>
      </c>
      <c r="H39" s="470">
        <v>32</v>
      </c>
      <c r="I39" s="455">
        <f t="shared" ca="1" si="5"/>
        <v>2643352.8797782636</v>
      </c>
      <c r="J39" s="455">
        <f t="array" ref="J39">IFERROR(INDEX('Retirement Calculator'!J:J,MATCH('Isaac 401k'!N39,'Retirement Calculator'!A:A,0),0),0)</f>
        <v>25967.835205236315</v>
      </c>
      <c r="K39" s="455">
        <f t="shared" ca="1" si="2"/>
        <v>10905.77101905428</v>
      </c>
      <c r="L39" s="455">
        <f t="shared" ca="1" si="3"/>
        <v>2628290.8155920813</v>
      </c>
      <c r="M39" s="471">
        <f t="shared" si="6"/>
        <v>0.05</v>
      </c>
      <c r="N39" s="475">
        <f t="shared" si="7"/>
        <v>52232</v>
      </c>
    </row>
    <row r="40" spans="1:14" ht="11.25" customHeight="1" x14ac:dyDescent="0.3">
      <c r="A40" s="470">
        <v>33</v>
      </c>
      <c r="B40" s="458">
        <f t="shared" ca="1" si="4"/>
        <v>3461910.786499409</v>
      </c>
      <c r="C40" s="458">
        <f t="shared" si="0"/>
        <v>76856.885515667076</v>
      </c>
      <c r="D40" s="458">
        <f ca="1">SUMIF(G:G,33,K:K)</f>
        <v>175004.25040764955</v>
      </c>
      <c r="E40" s="458">
        <f t="shared" ca="1" si="1"/>
        <v>3560058.1513913916</v>
      </c>
      <c r="F40" s="442"/>
      <c r="G40" s="470">
        <v>3</v>
      </c>
      <c r="H40" s="470">
        <v>33</v>
      </c>
      <c r="I40" s="455">
        <f t="shared" ca="1" si="5"/>
        <v>2628290.8155920813</v>
      </c>
      <c r="J40" s="455">
        <f t="array" ref="J40">IFERROR(INDEX('Retirement Calculator'!J:J,MATCH('Isaac 401k'!N40,'Retirement Calculator'!A:A,0),0),0)</f>
        <v>25967.835205236315</v>
      </c>
      <c r="K40" s="455">
        <f t="shared" ca="1" si="2"/>
        <v>10843.01241827852</v>
      </c>
      <c r="L40" s="455">
        <f t="shared" ca="1" si="3"/>
        <v>2613165.9928051233</v>
      </c>
      <c r="M40" s="471">
        <f t="shared" si="6"/>
        <v>0.05</v>
      </c>
      <c r="N40" s="475">
        <f t="shared" si="7"/>
        <v>52263</v>
      </c>
    </row>
    <row r="41" spans="1:14" ht="11.25" customHeight="1" x14ac:dyDescent="0.3">
      <c r="A41" s="470">
        <v>34</v>
      </c>
      <c r="B41" s="458">
        <f t="shared" ca="1" si="4"/>
        <v>3560058.1513913916</v>
      </c>
      <c r="C41" s="458">
        <f t="shared" si="0"/>
        <v>76856.885515667076</v>
      </c>
      <c r="D41" s="458">
        <f ca="1">SUMIF(G:G,34,K:K)</f>
        <v>180025.65586761426</v>
      </c>
      <c r="E41" s="458">
        <f t="shared" ca="1" si="1"/>
        <v>3663226.9217433389</v>
      </c>
      <c r="F41" s="442"/>
      <c r="G41" s="470">
        <v>3</v>
      </c>
      <c r="H41" s="470">
        <v>34</v>
      </c>
      <c r="I41" s="455">
        <f t="shared" ca="1" si="5"/>
        <v>2613165.9928051233</v>
      </c>
      <c r="J41" s="455">
        <f t="array" ref="J41">IFERROR(INDEX('Retirement Calculator'!J:J,MATCH('Isaac 401k'!N41,'Retirement Calculator'!A:A,0),0),0)</f>
        <v>25967.835205236315</v>
      </c>
      <c r="K41" s="455">
        <f t="shared" ca="1" si="2"/>
        <v>10779.992323332863</v>
      </c>
      <c r="L41" s="455">
        <f t="shared" ca="1" si="3"/>
        <v>2597978.1499232198</v>
      </c>
      <c r="M41" s="471">
        <f t="shared" si="6"/>
        <v>0.05</v>
      </c>
      <c r="N41" s="475">
        <f t="shared" si="7"/>
        <v>52291</v>
      </c>
    </row>
    <row r="42" spans="1:14" ht="11.25" customHeight="1" x14ac:dyDescent="0.3">
      <c r="A42" s="470">
        <v>35</v>
      </c>
      <c r="B42" s="458">
        <f t="shared" ca="1" si="4"/>
        <v>3663226.9217433389</v>
      </c>
      <c r="C42" s="458">
        <f t="shared" si="0"/>
        <v>76856.885515667076</v>
      </c>
      <c r="D42" s="458">
        <f ca="1">SUMIF(G:G,35,K:K)</f>
        <v>185303.96596094448</v>
      </c>
      <c r="E42" s="458">
        <f t="shared" ca="1" si="1"/>
        <v>3771674.0021886164</v>
      </c>
      <c r="F42" s="442"/>
      <c r="G42" s="470">
        <v>3</v>
      </c>
      <c r="H42" s="470">
        <v>35</v>
      </c>
      <c r="I42" s="455">
        <f t="shared" ca="1" si="5"/>
        <v>2597978.1499232198</v>
      </c>
      <c r="J42" s="455">
        <f t="array" ref="J42">IFERROR(INDEX('Retirement Calculator'!J:J,MATCH('Isaac 401k'!N42,'Retirement Calculator'!A:A,0),0),0)</f>
        <v>25967.835205236315</v>
      </c>
      <c r="K42" s="455">
        <f t="shared" ca="1" si="2"/>
        <v>10716.709644658264</v>
      </c>
      <c r="L42" s="455">
        <f t="shared" ca="1" si="3"/>
        <v>2582727.0243626419</v>
      </c>
      <c r="M42" s="471">
        <f t="shared" si="6"/>
        <v>0.05</v>
      </c>
      <c r="N42" s="475">
        <f t="shared" si="7"/>
        <v>52322</v>
      </c>
    </row>
    <row r="43" spans="1:14" ht="11.25" customHeight="1" x14ac:dyDescent="0.3">
      <c r="A43" s="470">
        <v>36</v>
      </c>
      <c r="B43" s="458">
        <f t="shared" ca="1" si="4"/>
        <v>3771674.0021886164</v>
      </c>
      <c r="C43" s="458">
        <f t="shared" si="0"/>
        <v>76856.885515667076</v>
      </c>
      <c r="D43" s="458">
        <f ca="1">SUMIF(G:G,36,K:K)</f>
        <v>190852.32441625767</v>
      </c>
      <c r="E43" s="458">
        <f t="shared" ca="1" si="1"/>
        <v>3885669.4410892073</v>
      </c>
      <c r="F43" s="442"/>
      <c r="G43" s="470">
        <v>3</v>
      </c>
      <c r="H43" s="470">
        <v>36</v>
      </c>
      <c r="I43" s="455">
        <f t="shared" ca="1" si="5"/>
        <v>2582727.0243626419</v>
      </c>
      <c r="J43" s="455">
        <f t="array" ref="J43">IFERROR(INDEX('Retirement Calculator'!J:J,MATCH('Isaac 401k'!N43,'Retirement Calculator'!A:A,0),0),0)</f>
        <v>25967.835205236315</v>
      </c>
      <c r="K43" s="455">
        <f t="shared" ca="1" si="2"/>
        <v>10653.163288155856</v>
      </c>
      <c r="L43" s="455">
        <f t="shared" ca="1" si="3"/>
        <v>2567412.3524455614</v>
      </c>
      <c r="M43" s="471">
        <f t="shared" si="6"/>
        <v>0.05</v>
      </c>
      <c r="N43" s="475">
        <f t="shared" si="7"/>
        <v>52352</v>
      </c>
    </row>
    <row r="44" spans="1:14" ht="11.25" customHeight="1" x14ac:dyDescent="0.3">
      <c r="A44" s="470">
        <v>37</v>
      </c>
      <c r="B44" s="458">
        <f t="shared" ca="1" si="4"/>
        <v>3885669.4410892073</v>
      </c>
      <c r="C44" s="458">
        <f t="shared" si="0"/>
        <v>76856.885515667076</v>
      </c>
      <c r="D44" s="458">
        <f ca="1">SUMIF(G:G,37,K:K)</f>
        <v>196684.54742027295</v>
      </c>
      <c r="E44" s="458">
        <f t="shared" ca="1" si="1"/>
        <v>4005497.1029938133</v>
      </c>
      <c r="F44" s="442"/>
      <c r="G44" s="470">
        <v>4</v>
      </c>
      <c r="H44" s="470">
        <v>37</v>
      </c>
      <c r="I44" s="455">
        <f t="shared" ca="1" si="5"/>
        <v>2567412.3524455614</v>
      </c>
      <c r="J44" s="455">
        <f t="array" ref="J44">IFERROR(INDEX('Retirement Calculator'!J:J,MATCH('Isaac 401k'!N44,'Retirement Calculator'!A:A,0),0),0)</f>
        <v>25967.835205236315</v>
      </c>
      <c r="K44" s="455">
        <f t="shared" ca="1" si="2"/>
        <v>10589.352155168021</v>
      </c>
      <c r="L44" s="455">
        <f t="shared" ca="1" si="3"/>
        <v>2552033.8693954931</v>
      </c>
      <c r="M44" s="471">
        <f t="shared" si="6"/>
        <v>0.05</v>
      </c>
      <c r="N44" s="475">
        <f t="shared" si="7"/>
        <v>52383</v>
      </c>
    </row>
    <row r="45" spans="1:14" ht="11.25" customHeight="1" x14ac:dyDescent="0.3">
      <c r="A45" s="470">
        <v>38</v>
      </c>
      <c r="B45" s="458">
        <f t="shared" ca="1" si="4"/>
        <v>4005497.1029938133</v>
      </c>
      <c r="C45" s="458">
        <f t="shared" si="0"/>
        <v>76856.885515667076</v>
      </c>
      <c r="D45" s="458">
        <f ca="1">SUMIF(G:G,38,K:K)</f>
        <v>202815.15802204315</v>
      </c>
      <c r="E45" s="458">
        <f t="shared" ca="1" si="1"/>
        <v>4131455.3755001896</v>
      </c>
      <c r="F45" s="442"/>
      <c r="G45" s="470">
        <v>4</v>
      </c>
      <c r="H45" s="470">
        <v>38</v>
      </c>
      <c r="I45" s="455">
        <f t="shared" ca="1" si="5"/>
        <v>2552033.8693954931</v>
      </c>
      <c r="J45" s="455">
        <f t="array" ref="J45">IFERROR(INDEX('Retirement Calculator'!J:J,MATCH('Isaac 401k'!N45,'Retirement Calculator'!A:A,0),0),0)</f>
        <v>25967.835205236315</v>
      </c>
      <c r="K45" s="455">
        <f t="shared" ca="1" si="2"/>
        <v>10525.275142459403</v>
      </c>
      <c r="L45" s="455">
        <f t="shared" ca="1" si="3"/>
        <v>2536591.3093327158</v>
      </c>
      <c r="M45" s="471">
        <f t="shared" si="6"/>
        <v>0.05</v>
      </c>
      <c r="N45" s="475">
        <f t="shared" si="7"/>
        <v>52413</v>
      </c>
    </row>
    <row r="46" spans="1:14" ht="11.25" customHeight="1" x14ac:dyDescent="0.3">
      <c r="A46" s="470">
        <v>39</v>
      </c>
      <c r="B46" s="458">
        <f t="shared" ca="1" si="4"/>
        <v>4131455.3755001896</v>
      </c>
      <c r="C46" s="458">
        <f t="shared" si="0"/>
        <v>76856.885515667076</v>
      </c>
      <c r="D46" s="458">
        <f ca="1">SUMIF(G:G,39,K:K)</f>
        <v>209259.42229737379</v>
      </c>
      <c r="E46" s="458">
        <f t="shared" ca="1" si="1"/>
        <v>4263857.912281896</v>
      </c>
      <c r="F46" s="442"/>
      <c r="G46" s="470">
        <v>4</v>
      </c>
      <c r="H46" s="470">
        <v>39</v>
      </c>
      <c r="I46" s="455">
        <f t="shared" ca="1" si="5"/>
        <v>2536591.3093327158</v>
      </c>
      <c r="J46" s="455">
        <f t="array" ref="J46">IFERROR(INDEX('Retirement Calculator'!J:J,MATCH('Isaac 401k'!N46,'Retirement Calculator'!A:A,0),0),0)</f>
        <v>25967.835205236315</v>
      </c>
      <c r="K46" s="455">
        <f t="shared" ca="1" si="2"/>
        <v>10460.931142197831</v>
      </c>
      <c r="L46" s="455">
        <f t="shared" ca="1" si="3"/>
        <v>2521084.4052696773</v>
      </c>
      <c r="M46" s="471">
        <f t="shared" si="6"/>
        <v>0.05</v>
      </c>
      <c r="N46" s="475">
        <f t="shared" si="7"/>
        <v>52444</v>
      </c>
    </row>
    <row r="47" spans="1:14" ht="11.25" customHeight="1" x14ac:dyDescent="0.3">
      <c r="A47" s="470">
        <v>40</v>
      </c>
      <c r="B47" s="458">
        <f t="shared" ca="1" si="4"/>
        <v>4263857.912281896</v>
      </c>
      <c r="C47" s="458">
        <f t="shared" si="0"/>
        <v>76856.885515667076</v>
      </c>
      <c r="D47" s="458">
        <f ca="1">SUMIF(G:G,40,K:K)</f>
        <v>216033.38736348209</v>
      </c>
      <c r="E47" s="458">
        <f t="shared" ca="1" si="1"/>
        <v>4403034.4141297108</v>
      </c>
      <c r="F47" s="442"/>
      <c r="G47" s="470">
        <v>4</v>
      </c>
      <c r="H47" s="470">
        <v>40</v>
      </c>
      <c r="I47" s="455">
        <f t="shared" ca="1" si="5"/>
        <v>2521084.4052696773</v>
      </c>
      <c r="J47" s="455">
        <f t="array" ref="J47">IFERROR(INDEX('Retirement Calculator'!J:J,MATCH('Isaac 401k'!N47,'Retirement Calculator'!A:A,0),0),0)</f>
        <v>25967.835205236315</v>
      </c>
      <c r="K47" s="455">
        <f t="shared" ca="1" si="2"/>
        <v>10396.31904193517</v>
      </c>
      <c r="L47" s="455">
        <f t="shared" ca="1" si="3"/>
        <v>2505512.8891063761</v>
      </c>
      <c r="M47" s="471">
        <f t="shared" si="6"/>
        <v>0.05</v>
      </c>
      <c r="N47" s="475">
        <f t="shared" si="7"/>
        <v>52475</v>
      </c>
    </row>
    <row r="48" spans="1:14" ht="11.25" customHeight="1" x14ac:dyDescent="0.3">
      <c r="A48" s="470">
        <v>41</v>
      </c>
      <c r="B48" s="458">
        <f t="shared" ca="1" si="4"/>
        <v>4403034.4141297108</v>
      </c>
      <c r="C48" s="458">
        <f t="shared" si="0"/>
        <v>76856.885515667076</v>
      </c>
      <c r="D48" s="458">
        <f ca="1">SUMIF(G:G,41,K:K)</f>
        <v>223153.92133855703</v>
      </c>
      <c r="E48" s="458">
        <f t="shared" ca="1" si="1"/>
        <v>4549331.4499526005</v>
      </c>
      <c r="F48" s="442"/>
      <c r="G48" s="470">
        <v>4</v>
      </c>
      <c r="H48" s="470">
        <v>41</v>
      </c>
      <c r="I48" s="455">
        <f t="shared" ca="1" si="5"/>
        <v>2505512.8891063761</v>
      </c>
      <c r="J48" s="455">
        <f t="array" ref="J48">IFERROR(INDEX('Retirement Calculator'!J:J,MATCH('Isaac 401k'!N48,'Retirement Calculator'!A:A,0),0),0)</f>
        <v>25967.835205236315</v>
      </c>
      <c r="K48" s="455">
        <f t="shared" ca="1" si="2"/>
        <v>10331.437724588082</v>
      </c>
      <c r="L48" s="455">
        <f t="shared" ca="1" si="3"/>
        <v>2489876.4916257276</v>
      </c>
      <c r="M48" s="471">
        <f t="shared" si="6"/>
        <v>0.05</v>
      </c>
      <c r="N48" s="475">
        <f t="shared" si="7"/>
        <v>52505</v>
      </c>
    </row>
    <row r="49" spans="1:14" ht="11.25" customHeight="1" x14ac:dyDescent="0.3">
      <c r="A49" s="470">
        <v>42</v>
      </c>
      <c r="B49" s="458">
        <f t="shared" ca="1" si="4"/>
        <v>4549331.4499526005</v>
      </c>
      <c r="C49" s="458">
        <f t="shared" si="0"/>
        <v>76856.885515667076</v>
      </c>
      <c r="D49" s="458">
        <f ca="1">SUMIF(G:G,42,K:K)</f>
        <v>230638.7553457281</v>
      </c>
      <c r="E49" s="458">
        <f t="shared" ca="1" si="1"/>
        <v>4703113.3197826613</v>
      </c>
      <c r="F49" s="442"/>
      <c r="G49" s="470">
        <v>4</v>
      </c>
      <c r="H49" s="470">
        <v>42</v>
      </c>
      <c r="I49" s="455">
        <f t="shared" ca="1" si="5"/>
        <v>2489876.4916257276</v>
      </c>
      <c r="J49" s="455">
        <f t="array" ref="J49">IFERROR(INDEX('Retirement Calculator'!J:J,MATCH('Isaac 401k'!N49,'Retirement Calculator'!A:A,0),0),0)</f>
        <v>25967.835205236315</v>
      </c>
      <c r="K49" s="455">
        <f t="shared" ca="1" si="2"/>
        <v>10266.286068418713</v>
      </c>
      <c r="L49" s="455">
        <f t="shared" ca="1" si="3"/>
        <v>2474174.9424889097</v>
      </c>
      <c r="M49" s="471">
        <f t="shared" si="6"/>
        <v>0.05</v>
      </c>
      <c r="N49" s="475">
        <f t="shared" si="7"/>
        <v>52536</v>
      </c>
    </row>
    <row r="50" spans="1:14" ht="11.25" customHeight="1" x14ac:dyDescent="0.3">
      <c r="A50" s="470">
        <v>43</v>
      </c>
      <c r="B50" s="458">
        <f t="shared" ca="1" si="4"/>
        <v>4703113.3197826613</v>
      </c>
      <c r="C50" s="458">
        <f t="shared" si="0"/>
        <v>76856.885515667076</v>
      </c>
      <c r="D50" s="458">
        <f ca="1">SUMIF(G:G,43,K:K)</f>
        <v>238506.52766603581</v>
      </c>
      <c r="E50" s="458">
        <f t="shared" ca="1" si="1"/>
        <v>4864762.9619330298</v>
      </c>
      <c r="F50" s="442"/>
      <c r="G50" s="470">
        <v>4</v>
      </c>
      <c r="H50" s="470">
        <v>43</v>
      </c>
      <c r="I50" s="455">
        <f t="shared" ca="1" si="5"/>
        <v>2474174.9424889097</v>
      </c>
      <c r="J50" s="455">
        <f t="array" ref="J50">IFERROR(INDEX('Retirement Calculator'!J:J,MATCH('Isaac 401k'!N50,'Retirement Calculator'!A:A,0),0),0)</f>
        <v>25344.835205236312</v>
      </c>
      <c r="K50" s="455">
        <f t="shared" ca="1" si="2"/>
        <v>10203.458780348639</v>
      </c>
      <c r="L50" s="455">
        <f t="shared" ca="1" si="3"/>
        <v>2459033.566064022</v>
      </c>
      <c r="M50" s="471">
        <f t="shared" si="6"/>
        <v>0.05</v>
      </c>
      <c r="N50" s="475">
        <f t="shared" si="7"/>
        <v>52566</v>
      </c>
    </row>
    <row r="51" spans="1:14" ht="11.25" customHeight="1" x14ac:dyDescent="0.3">
      <c r="A51" s="470">
        <v>44</v>
      </c>
      <c r="B51" s="458">
        <f t="shared" ca="1" si="4"/>
        <v>4864762.9619330298</v>
      </c>
      <c r="C51" s="458">
        <f t="shared" si="0"/>
        <v>76856.885515667076</v>
      </c>
      <c r="D51" s="458">
        <f ca="1">SUMIF(G:G,44,K:K)</f>
        <v>246776.83015035174</v>
      </c>
      <c r="E51" s="458">
        <f t="shared" ca="1" si="1"/>
        <v>5034682.9065677142</v>
      </c>
      <c r="F51" s="442"/>
      <c r="G51" s="470">
        <v>4</v>
      </c>
      <c r="H51" s="470">
        <v>44</v>
      </c>
      <c r="I51" s="455">
        <f t="shared" ca="1" si="5"/>
        <v>2459033.566064022</v>
      </c>
      <c r="J51" s="455">
        <f t="array" ref="J51">IFERROR(INDEX('Retirement Calculator'!J:J,MATCH('Isaac 401k'!N51,'Retirement Calculator'!A:A,0),0),0)</f>
        <v>25344.835205236312</v>
      </c>
      <c r="K51" s="455">
        <f t="shared" ca="1" si="2"/>
        <v>10140.369711911606</v>
      </c>
      <c r="L51" s="455">
        <f t="shared" ca="1" si="3"/>
        <v>2443829.1005706973</v>
      </c>
      <c r="M51" s="471">
        <f t="shared" si="6"/>
        <v>0.05</v>
      </c>
      <c r="N51" s="475">
        <f t="shared" si="7"/>
        <v>52597</v>
      </c>
    </row>
    <row r="52" spans="1:14" ht="11.25" customHeight="1" x14ac:dyDescent="0.3">
      <c r="A52" s="470">
        <v>45</v>
      </c>
      <c r="B52" s="458">
        <f t="shared" ca="1" si="4"/>
        <v>5034682.9065677142</v>
      </c>
      <c r="C52" s="458">
        <f t="shared" si="0"/>
        <v>76856.885515667076</v>
      </c>
      <c r="D52" s="458">
        <f ca="1">SUMIF(G:G,45,K:K)</f>
        <v>255470.25700582139</v>
      </c>
      <c r="E52" s="458">
        <f t="shared" ca="1" si="1"/>
        <v>5213296.2780578677</v>
      </c>
      <c r="F52" s="442"/>
      <c r="G52" s="470">
        <v>4</v>
      </c>
      <c r="H52" s="470">
        <v>45</v>
      </c>
      <c r="I52" s="455">
        <f t="shared" ca="1" si="5"/>
        <v>2443829.1005706973</v>
      </c>
      <c r="J52" s="455">
        <f t="array" ref="J52">IFERROR(INDEX('Retirement Calculator'!J:J,MATCH('Isaac 401k'!N52,'Retirement Calculator'!A:A,0),0),0)</f>
        <v>25344.835205236312</v>
      </c>
      <c r="K52" s="455">
        <f t="shared" ca="1" si="2"/>
        <v>10077.017772356086</v>
      </c>
      <c r="L52" s="455">
        <f t="shared" ca="1" si="3"/>
        <v>2428561.2831378169</v>
      </c>
      <c r="M52" s="471">
        <f t="shared" si="6"/>
        <v>0.05</v>
      </c>
      <c r="N52" s="475">
        <f t="shared" si="7"/>
        <v>52628</v>
      </c>
    </row>
    <row r="53" spans="1:14" ht="11.25" customHeight="1" x14ac:dyDescent="0.3">
      <c r="A53" s="470">
        <v>46</v>
      </c>
      <c r="B53" s="458">
        <f t="shared" ca="1" si="4"/>
        <v>5213296.2780578677</v>
      </c>
      <c r="C53" s="458">
        <f t="shared" si="0"/>
        <v>76856.885515667076</v>
      </c>
      <c r="D53" s="458">
        <f ca="1">SUMIF(G:G,46,K:K)</f>
        <v>264608.456078313</v>
      </c>
      <c r="E53" s="458">
        <f t="shared" ca="1" si="1"/>
        <v>5401047.8486205135</v>
      </c>
      <c r="F53" s="442"/>
      <c r="G53" s="470">
        <v>4</v>
      </c>
      <c r="H53" s="470">
        <v>46</v>
      </c>
      <c r="I53" s="455">
        <f t="shared" ca="1" si="5"/>
        <v>2428561.2831378169</v>
      </c>
      <c r="J53" s="455">
        <f t="array" ref="J53">IFERROR(INDEX('Retirement Calculator'!J:J,MATCH('Isaac 401k'!N53,'Retirement Calculator'!A:A,0),0),0)</f>
        <v>25344.835205236312</v>
      </c>
      <c r="K53" s="455">
        <f t="shared" ca="1" si="2"/>
        <v>10013.401866385751</v>
      </c>
      <c r="L53" s="455">
        <f t="shared" ca="1" si="3"/>
        <v>2413229.8497989662</v>
      </c>
      <c r="M53" s="471">
        <f t="shared" si="6"/>
        <v>0.05</v>
      </c>
      <c r="N53" s="475">
        <f t="shared" si="7"/>
        <v>52657</v>
      </c>
    </row>
    <row r="54" spans="1:14" ht="11.25" customHeight="1" x14ac:dyDescent="0.3">
      <c r="A54" s="470">
        <v>47</v>
      </c>
      <c r="B54" s="458">
        <f t="shared" ca="1" si="4"/>
        <v>5401047.8486205135</v>
      </c>
      <c r="C54" s="458">
        <f t="shared" si="0"/>
        <v>76856.885515667076</v>
      </c>
      <c r="D54" s="458">
        <f ca="1">SUMIF(G:G,47,K:K)</f>
        <v>274214.18275857426</v>
      </c>
      <c r="E54" s="458">
        <f t="shared" ca="1" si="1"/>
        <v>5598405.1458634203</v>
      </c>
      <c r="F54" s="442"/>
      <c r="G54" s="470">
        <v>4</v>
      </c>
      <c r="H54" s="470">
        <v>47</v>
      </c>
      <c r="I54" s="455">
        <f t="shared" ca="1" si="5"/>
        <v>2413229.8497989662</v>
      </c>
      <c r="J54" s="455">
        <f t="array" ref="J54">IFERROR(INDEX('Retirement Calculator'!J:J,MATCH('Isaac 401k'!N54,'Retirement Calculator'!A:A,0),0),0)</f>
        <v>25344.835205236312</v>
      </c>
      <c r="K54" s="455">
        <f t="shared" ca="1" si="2"/>
        <v>9949.5208941405399</v>
      </c>
      <c r="L54" s="455">
        <f t="shared" ca="1" si="3"/>
        <v>2397834.5354878702</v>
      </c>
      <c r="M54" s="471">
        <f t="shared" si="6"/>
        <v>0.05</v>
      </c>
      <c r="N54" s="475">
        <f t="shared" si="7"/>
        <v>52688</v>
      </c>
    </row>
    <row r="55" spans="1:14" ht="11.25" customHeight="1" x14ac:dyDescent="0.3">
      <c r="A55" s="470">
        <v>48</v>
      </c>
      <c r="B55" s="458">
        <f t="shared" ca="1" si="4"/>
        <v>5598405.1458634203</v>
      </c>
      <c r="C55" s="458">
        <f t="shared" si="0"/>
        <v>76856.885515667076</v>
      </c>
      <c r="D55" s="458">
        <f ca="1">SUMIF(G:G,48,K:K)</f>
        <v>284311.35664633097</v>
      </c>
      <c r="E55" s="458">
        <f t="shared" ca="1" si="1"/>
        <v>5805859.6169940839</v>
      </c>
      <c r="F55" s="442"/>
      <c r="G55" s="470">
        <v>4</v>
      </c>
      <c r="H55" s="470">
        <v>48</v>
      </c>
      <c r="I55" s="455">
        <f t="shared" ca="1" si="5"/>
        <v>2397834.5354878702</v>
      </c>
      <c r="J55" s="455">
        <f t="array" ref="J55">IFERROR(INDEX('Retirement Calculator'!J:J,MATCH('Isaac 401k'!N55,'Retirement Calculator'!A:A,0),0),0)</f>
        <v>25344.835205236312</v>
      </c>
      <c r="K55" s="455">
        <f t="shared" ca="1" si="2"/>
        <v>9885.3737511776399</v>
      </c>
      <c r="L55" s="455">
        <f t="shared" ca="1" si="3"/>
        <v>2382375.0740338112</v>
      </c>
      <c r="M55" s="471">
        <f t="shared" si="6"/>
        <v>0.05</v>
      </c>
      <c r="N55" s="475">
        <f t="shared" si="7"/>
        <v>52718</v>
      </c>
    </row>
    <row r="56" spans="1:14" ht="11.25" customHeight="1" x14ac:dyDescent="0.3">
      <c r="A56" s="470">
        <v>49</v>
      </c>
      <c r="B56" s="458">
        <f t="shared" ca="1" si="4"/>
        <v>5805859.6169940839</v>
      </c>
      <c r="C56" s="458">
        <f t="shared" si="0"/>
        <v>76856.885515667076</v>
      </c>
      <c r="D56" s="458">
        <f ca="1">SUMIF(G:G,49,K:K)</f>
        <v>294925.12111342716</v>
      </c>
      <c r="E56" s="458">
        <f t="shared" ca="1" si="1"/>
        <v>6023927.8525918433</v>
      </c>
      <c r="F56" s="442"/>
      <c r="G56" s="470">
        <f>G55+1</f>
        <v>5</v>
      </c>
      <c r="H56" s="470">
        <v>49</v>
      </c>
      <c r="I56" s="455">
        <f t="shared" ca="1" si="5"/>
        <v>2382375.0740338112</v>
      </c>
      <c r="J56" s="455">
        <f t="array" ref="J56">IFERROR(INDEX('Retirement Calculator'!J:J,MATCH('Isaac 401k'!N56,'Retirement Calculator'!A:A,0),0),0)</f>
        <v>25344.835205236312</v>
      </c>
      <c r="K56" s="455">
        <f t="shared" ca="1" si="2"/>
        <v>9820.9593284523944</v>
      </c>
      <c r="L56" s="455">
        <f t="shared" ca="1" si="3"/>
        <v>2366851.1981570274</v>
      </c>
      <c r="M56" s="471">
        <f t="shared" si="6"/>
        <v>0.05</v>
      </c>
      <c r="N56" s="475">
        <f t="shared" si="7"/>
        <v>52749</v>
      </c>
    </row>
    <row r="57" spans="1:14" ht="11.25" customHeight="1" x14ac:dyDescent="0.3">
      <c r="A57" s="470">
        <v>50</v>
      </c>
      <c r="B57" s="458">
        <f t="shared" ca="1" si="4"/>
        <v>6023927.8525918433</v>
      </c>
      <c r="C57" s="458">
        <f t="shared" si="0"/>
        <v>76856.885515667076</v>
      </c>
      <c r="D57" s="458">
        <f ca="1">SUMIF(G:G,50,K:K)</f>
        <v>306081.90591432969</v>
      </c>
      <c r="E57" s="458">
        <f t="shared" ca="1" si="1"/>
        <v>6253152.8729905058</v>
      </c>
      <c r="F57" s="442"/>
      <c r="G57" s="470">
        <f t="shared" ref="G57:G67" si="8">G56</f>
        <v>5</v>
      </c>
      <c r="H57" s="470">
        <v>50</v>
      </c>
      <c r="I57" s="455">
        <f t="shared" ca="1" si="5"/>
        <v>2366851.1981570274</v>
      </c>
      <c r="J57" s="455">
        <f t="array" ref="J57">IFERROR(INDEX('Retirement Calculator'!J:J,MATCH('Isaac 401k'!N57,'Retirement Calculator'!A:A,0),0),0)</f>
        <v>25344.835205236312</v>
      </c>
      <c r="K57" s="455">
        <f t="shared" ca="1" si="2"/>
        <v>9756.2765122991295</v>
      </c>
      <c r="L57" s="455">
        <f t="shared" ca="1" si="3"/>
        <v>2351262.6394640901</v>
      </c>
      <c r="M57" s="471">
        <f t="shared" si="6"/>
        <v>0.05</v>
      </c>
      <c r="N57" s="475">
        <f t="shared" si="7"/>
        <v>52779</v>
      </c>
    </row>
    <row r="58" spans="1:14" ht="11.25" customHeight="1" x14ac:dyDescent="0.3">
      <c r="A58" s="470">
        <v>51</v>
      </c>
      <c r="B58" s="458">
        <f t="shared" ca="1" si="4"/>
        <v>6253152.8729905058</v>
      </c>
      <c r="C58" s="458">
        <f t="shared" si="0"/>
        <v>76856.885515667076</v>
      </c>
      <c r="D58" s="458">
        <f ca="1">SUMIF(G:G,51,K:K)</f>
        <v>317809.49299990438</v>
      </c>
      <c r="E58" s="458">
        <f t="shared" ca="1" si="1"/>
        <v>6494105.4804747431</v>
      </c>
      <c r="F58" s="442"/>
      <c r="G58" s="470">
        <f t="shared" si="8"/>
        <v>5</v>
      </c>
      <c r="H58" s="470">
        <v>51</v>
      </c>
      <c r="I58" s="455">
        <f t="shared" ca="1" si="5"/>
        <v>2351262.6394640901</v>
      </c>
      <c r="J58" s="455">
        <f t="array" ref="J58">IFERROR(INDEX('Retirement Calculator'!J:J,MATCH('Isaac 401k'!N58,'Retirement Calculator'!A:A,0),0),0)</f>
        <v>25344.835205236312</v>
      </c>
      <c r="K58" s="455">
        <f t="shared" ca="1" si="2"/>
        <v>9691.3241844118893</v>
      </c>
      <c r="L58" s="455">
        <f t="shared" ca="1" si="3"/>
        <v>2335609.1284432653</v>
      </c>
      <c r="M58" s="471">
        <f t="shared" si="6"/>
        <v>0.05</v>
      </c>
      <c r="N58" s="475">
        <f t="shared" si="7"/>
        <v>52810</v>
      </c>
    </row>
    <row r="59" spans="1:14" ht="11.25" customHeight="1" x14ac:dyDescent="0.3">
      <c r="A59" s="470">
        <v>52</v>
      </c>
      <c r="B59" s="458">
        <f t="shared" ca="1" si="4"/>
        <v>6494105.4804747431</v>
      </c>
      <c r="C59" s="458">
        <f t="shared" si="0"/>
        <v>76856.885515667076</v>
      </c>
      <c r="D59" s="458">
        <f ca="1">SUMIF(G:G,52,K:K)</f>
        <v>330137.08569835051</v>
      </c>
      <c r="E59" s="458">
        <f t="shared" ca="1" si="1"/>
        <v>6747385.6806574259</v>
      </c>
      <c r="F59" s="442"/>
      <c r="G59" s="470">
        <f t="shared" si="8"/>
        <v>5</v>
      </c>
      <c r="H59" s="470">
        <v>52</v>
      </c>
      <c r="I59" s="455">
        <f t="shared" ca="1" si="5"/>
        <v>2335609.1284432653</v>
      </c>
      <c r="J59" s="455">
        <f t="array" ref="J59">IFERROR(INDEX('Retirement Calculator'!J:J,MATCH('Isaac 401k'!N59,'Retirement Calculator'!A:A,0),0),0)</f>
        <v>25344.835205236312</v>
      </c>
      <c r="K59" s="455">
        <f t="shared" ca="1" si="2"/>
        <v>9626.1012218251199</v>
      </c>
      <c r="L59" s="455">
        <f t="shared" ca="1" si="3"/>
        <v>2319890.3944598539</v>
      </c>
      <c r="M59" s="471">
        <f t="shared" si="6"/>
        <v>0.05</v>
      </c>
      <c r="N59" s="475">
        <f t="shared" si="7"/>
        <v>52841</v>
      </c>
    </row>
    <row r="60" spans="1:14" ht="11.25" customHeight="1" x14ac:dyDescent="0.3">
      <c r="A60" s="470">
        <v>53</v>
      </c>
      <c r="B60" s="458">
        <f t="shared" ca="1" si="4"/>
        <v>6747385.6806574259</v>
      </c>
      <c r="C60" s="458">
        <f t="shared" si="0"/>
        <v>76856.885515667076</v>
      </c>
      <c r="D60" s="458">
        <f ca="1">SUMIF(G:G,53,K:K)</f>
        <v>343095.38143556216</v>
      </c>
      <c r="E60" s="458">
        <f t="shared" ca="1" si="1"/>
        <v>7013624.1765773203</v>
      </c>
      <c r="F60" s="442"/>
      <c r="G60" s="470">
        <f t="shared" si="8"/>
        <v>5</v>
      </c>
      <c r="H60" s="470">
        <v>53</v>
      </c>
      <c r="I60" s="455">
        <f t="shared" ca="1" si="5"/>
        <v>2319890.3944598539</v>
      </c>
      <c r="J60" s="455">
        <f t="array" ref="J60">IFERROR(INDEX('Retirement Calculator'!J:J,MATCH('Isaac 401k'!N60,'Retirement Calculator'!A:A,0),0),0)</f>
        <v>25344.835205236312</v>
      </c>
      <c r="K60" s="455">
        <f t="shared" ca="1" si="2"/>
        <v>9560.6064968942392</v>
      </c>
      <c r="L60" s="455">
        <f t="shared" ca="1" si="3"/>
        <v>2304106.1657515117</v>
      </c>
      <c r="M60" s="471">
        <f t="shared" si="6"/>
        <v>0.05</v>
      </c>
      <c r="N60" s="475">
        <f t="shared" si="7"/>
        <v>52871</v>
      </c>
    </row>
    <row r="61" spans="1:14" ht="11.25" customHeight="1" x14ac:dyDescent="0.3">
      <c r="A61" s="470">
        <v>54</v>
      </c>
      <c r="B61" s="458">
        <f t="shared" ca="1" si="4"/>
        <v>7013624.1765773203</v>
      </c>
      <c r="C61" s="458">
        <f t="shared" si="0"/>
        <v>76856.885515667076</v>
      </c>
      <c r="D61" s="458">
        <f ca="1">SUMIF(G:G,54,K:K)</f>
        <v>356716.64817600226</v>
      </c>
      <c r="E61" s="458">
        <f t="shared" ca="1" si="1"/>
        <v>7293483.9392376551</v>
      </c>
      <c r="F61" s="442"/>
      <c r="G61" s="470">
        <f t="shared" si="8"/>
        <v>5</v>
      </c>
      <c r="H61" s="470">
        <v>54</v>
      </c>
      <c r="I61" s="455">
        <f t="shared" ca="1" si="5"/>
        <v>2304106.1657515117</v>
      </c>
      <c r="J61" s="455">
        <f t="array" ref="J61">IFERROR(INDEX('Retirement Calculator'!J:J,MATCH('Isaac 401k'!N61,'Retirement Calculator'!A:A,0),0),0)</f>
        <v>25344.835205236312</v>
      </c>
      <c r="K61" s="455">
        <f t="shared" ca="1" si="2"/>
        <v>9494.8388772761464</v>
      </c>
      <c r="L61" s="455">
        <f t="shared" ca="1" si="3"/>
        <v>2288256.1694235513</v>
      </c>
      <c r="M61" s="471">
        <f t="shared" si="6"/>
        <v>0.05</v>
      </c>
      <c r="N61" s="475">
        <f t="shared" si="7"/>
        <v>52902</v>
      </c>
    </row>
    <row r="62" spans="1:14" ht="11.25" customHeight="1" x14ac:dyDescent="0.3">
      <c r="A62" s="470">
        <v>55</v>
      </c>
      <c r="B62" s="458">
        <f t="shared" ca="1" si="4"/>
        <v>7293483.9392376551</v>
      </c>
      <c r="C62" s="458">
        <f t="shared" si="0"/>
        <v>76856.885515667076</v>
      </c>
      <c r="D62" s="458">
        <f ca="1">SUMIF(G:G,55,K:K)</f>
        <v>371034.80477443652</v>
      </c>
      <c r="E62" s="458">
        <f t="shared" ca="1" si="1"/>
        <v>7587661.8584964238</v>
      </c>
      <c r="F62" s="442"/>
      <c r="G62" s="470">
        <f t="shared" si="8"/>
        <v>5</v>
      </c>
      <c r="H62" s="470">
        <v>55</v>
      </c>
      <c r="I62" s="455">
        <f t="shared" ca="1" si="5"/>
        <v>2288256.1694235513</v>
      </c>
      <c r="J62" s="455">
        <f t="array" ref="J62">IFERROR(INDEX('Retirement Calculator'!J:J,MATCH('Isaac 401k'!N62,'Retirement Calculator'!A:A,0),0),0)</f>
        <v>25344.835205236312</v>
      </c>
      <c r="K62" s="455">
        <f t="shared" ca="1" si="2"/>
        <v>9428.7972259096459</v>
      </c>
      <c r="L62" s="455">
        <f t="shared" ca="1" si="3"/>
        <v>2272340.1314442246</v>
      </c>
      <c r="M62" s="471">
        <f t="shared" si="6"/>
        <v>0.05</v>
      </c>
      <c r="N62" s="475">
        <f t="shared" si="7"/>
        <v>52932</v>
      </c>
    </row>
    <row r="63" spans="1:14" ht="11.25" customHeight="1" x14ac:dyDescent="0.3">
      <c r="A63" s="470">
        <v>56</v>
      </c>
      <c r="B63" s="458">
        <f t="shared" ca="1" si="4"/>
        <v>7587661.8584964238</v>
      </c>
      <c r="C63" s="458">
        <f t="shared" si="0"/>
        <v>76856.885515667076</v>
      </c>
      <c r="D63" s="458">
        <f ca="1">SUMIF(G:G,56,K:K)</f>
        <v>386085.50543861469</v>
      </c>
      <c r="E63" s="458">
        <f t="shared" ca="1" si="1"/>
        <v>7896890.4784193709</v>
      </c>
      <c r="F63" s="442"/>
      <c r="G63" s="470">
        <f t="shared" si="8"/>
        <v>5</v>
      </c>
      <c r="H63" s="470">
        <v>56</v>
      </c>
      <c r="I63" s="455">
        <f t="shared" ca="1" si="5"/>
        <v>2272340.1314442246</v>
      </c>
      <c r="J63" s="455">
        <f t="array" ref="J63">IFERROR(INDEX('Retirement Calculator'!J:J,MATCH('Isaac 401k'!N63,'Retirement Calculator'!A:A,0),0),0)</f>
        <v>25344.835205236312</v>
      </c>
      <c r="K63" s="455">
        <f t="shared" ca="1" si="2"/>
        <v>9362.4804009957843</v>
      </c>
      <c r="L63" s="455">
        <f t="shared" ca="1" si="3"/>
        <v>2256357.776639984</v>
      </c>
      <c r="M63" s="471">
        <f t="shared" si="6"/>
        <v>0.05</v>
      </c>
      <c r="N63" s="475">
        <f t="shared" si="7"/>
        <v>52963</v>
      </c>
    </row>
    <row r="64" spans="1:14" ht="11.25" customHeight="1" x14ac:dyDescent="0.3">
      <c r="A64" s="470">
        <v>57</v>
      </c>
      <c r="B64" s="458">
        <f t="shared" ca="1" si="4"/>
        <v>7896890.4784193709</v>
      </c>
      <c r="C64" s="458">
        <f t="shared" si="0"/>
        <v>76856.885515667076</v>
      </c>
      <c r="D64" s="458">
        <f ca="1">SUMIF(G:G,57,K:K)</f>
        <v>401906.22851322195</v>
      </c>
      <c r="E64" s="458">
        <f t="shared" ca="1" si="1"/>
        <v>8221939.8214169256</v>
      </c>
      <c r="F64" s="442"/>
      <c r="G64" s="470">
        <f t="shared" si="8"/>
        <v>5</v>
      </c>
      <c r="H64" s="470">
        <v>57</v>
      </c>
      <c r="I64" s="455">
        <f t="shared" ca="1" si="5"/>
        <v>2256357.776639984</v>
      </c>
      <c r="J64" s="455">
        <f t="array" ref="J64">IFERROR(INDEX('Retirement Calculator'!J:J,MATCH('Isaac 401k'!N64,'Retirement Calculator'!A:A,0),0),0)</f>
        <v>25344.835205236312</v>
      </c>
      <c r="K64" s="455">
        <f t="shared" ca="1" si="2"/>
        <v>9295.8872559781139</v>
      </c>
      <c r="L64" s="455">
        <f t="shared" ca="1" si="3"/>
        <v>2240308.8286907258</v>
      </c>
      <c r="M64" s="471">
        <f t="shared" si="6"/>
        <v>0.05</v>
      </c>
      <c r="N64" s="475">
        <f t="shared" si="7"/>
        <v>52994</v>
      </c>
    </row>
    <row r="65" spans="1:14" ht="11.25" customHeight="1" x14ac:dyDescent="0.3">
      <c r="A65" s="470">
        <v>58</v>
      </c>
      <c r="B65" s="458">
        <f t="shared" ca="1" si="4"/>
        <v>8221939.8214169256</v>
      </c>
      <c r="C65" s="458">
        <f t="shared" si="0"/>
        <v>76856.885515667076</v>
      </c>
      <c r="D65" s="458">
        <f ca="1">SUMIF(G:G,58,K:K)</f>
        <v>418536.3698061874</v>
      </c>
      <c r="E65" s="458">
        <f t="shared" ca="1" si="1"/>
        <v>8563619.3057074454</v>
      </c>
      <c r="F65" s="442"/>
      <c r="G65" s="470">
        <f t="shared" si="8"/>
        <v>5</v>
      </c>
      <c r="H65" s="470">
        <v>58</v>
      </c>
      <c r="I65" s="455">
        <f t="shared" ca="1" si="5"/>
        <v>2240308.8286907258</v>
      </c>
      <c r="J65" s="455">
        <f t="array" ref="J65">IFERROR(INDEX('Retirement Calculator'!J:J,MATCH('Isaac 401k'!N65,'Retirement Calculator'!A:A,0),0),0)</f>
        <v>25344.835205236312</v>
      </c>
      <c r="K65" s="455">
        <f t="shared" ca="1" si="2"/>
        <v>9229.0166395228716</v>
      </c>
      <c r="L65" s="455">
        <f t="shared" ca="1" si="3"/>
        <v>2224193.0101250121</v>
      </c>
      <c r="M65" s="471">
        <f t="shared" si="6"/>
        <v>0.05</v>
      </c>
      <c r="N65" s="475">
        <f t="shared" si="7"/>
        <v>53022</v>
      </c>
    </row>
    <row r="66" spans="1:14" ht="11.25" customHeight="1" x14ac:dyDescent="0.3">
      <c r="A66" s="470">
        <v>59</v>
      </c>
      <c r="B66" s="458">
        <f t="shared" ca="1" si="4"/>
        <v>8563619.3057074454</v>
      </c>
      <c r="C66" s="458">
        <f t="shared" si="0"/>
        <v>76856.885515667076</v>
      </c>
      <c r="D66" s="458">
        <f ca="1">SUMIF(G:G,59,K:K)</f>
        <v>436017.34068974195</v>
      </c>
      <c r="E66" s="458">
        <f t="shared" ca="1" si="1"/>
        <v>8922779.7608815189</v>
      </c>
      <c r="F66" s="442"/>
      <c r="G66" s="470">
        <f t="shared" si="8"/>
        <v>5</v>
      </c>
      <c r="H66" s="470">
        <v>59</v>
      </c>
      <c r="I66" s="455">
        <f t="shared" ca="1" si="5"/>
        <v>2224193.0101250121</v>
      </c>
      <c r="J66" s="455">
        <f t="array" ref="J66">IFERROR(INDEX('Retirement Calculator'!J:J,MATCH('Isaac 401k'!N66,'Retirement Calculator'!A:A,0),0),0)</f>
        <v>25344.835205236312</v>
      </c>
      <c r="K66" s="455">
        <f t="shared" ca="1" si="2"/>
        <v>9161.8673954990645</v>
      </c>
      <c r="L66" s="455">
        <f t="shared" ca="1" si="3"/>
        <v>2208010.0423152749</v>
      </c>
      <c r="M66" s="471">
        <f t="shared" si="6"/>
        <v>0.05</v>
      </c>
      <c r="N66" s="475">
        <f t="shared" si="7"/>
        <v>53053</v>
      </c>
    </row>
    <row r="67" spans="1:14" ht="11.25" customHeight="1" x14ac:dyDescent="0.3">
      <c r="A67" s="470">
        <v>60</v>
      </c>
      <c r="B67" s="458">
        <f t="shared" ca="1" si="4"/>
        <v>8922779.7608815189</v>
      </c>
      <c r="C67" s="458">
        <f t="shared" si="0"/>
        <v>76856.885515667076</v>
      </c>
      <c r="D67" s="458">
        <f t="shared" ref="D67:D136" ca="1" si="9">SUMIF(G:G,60,K:K)</f>
        <v>454392.67122051434</v>
      </c>
      <c r="E67" s="458">
        <f t="shared" ca="1" si="1"/>
        <v>9300315.5465863664</v>
      </c>
      <c r="F67" s="442"/>
      <c r="G67" s="470">
        <f t="shared" si="8"/>
        <v>5</v>
      </c>
      <c r="H67" s="470">
        <v>60</v>
      </c>
      <c r="I67" s="455">
        <f t="shared" ca="1" si="5"/>
        <v>2208010.0423152749</v>
      </c>
      <c r="J67" s="455">
        <f t="array" ref="J67">IFERROR(INDEX('Retirement Calculator'!J:J,MATCH('Isaac 401k'!N67,'Retirement Calculator'!A:A,0),0),0)</f>
        <v>25344.835205236312</v>
      </c>
      <c r="K67" s="455">
        <f t="shared" ca="1" si="2"/>
        <v>9094.4383629584936</v>
      </c>
      <c r="L67" s="455">
        <f t="shared" ca="1" si="3"/>
        <v>2191759.6454729969</v>
      </c>
      <c r="M67" s="471">
        <f t="shared" si="6"/>
        <v>0.05</v>
      </c>
      <c r="N67" s="475">
        <f t="shared" si="7"/>
        <v>53083</v>
      </c>
    </row>
    <row r="68" spans="1:14" ht="11.25" customHeight="1" x14ac:dyDescent="0.3">
      <c r="A68" s="470">
        <v>61</v>
      </c>
      <c r="B68" s="458">
        <f t="shared" ca="1" si="4"/>
        <v>9300315.5465863664</v>
      </c>
      <c r="C68" s="458">
        <f t="shared" si="0"/>
        <v>76856.885515667076</v>
      </c>
      <c r="D68" s="458">
        <f t="shared" ca="1" si="9"/>
        <v>454392.67122051434</v>
      </c>
      <c r="E68" s="458">
        <f t="shared" ca="1" si="1"/>
        <v>9677851.3322912138</v>
      </c>
      <c r="F68" s="442"/>
      <c r="G68" s="470">
        <f>G67+1</f>
        <v>6</v>
      </c>
      <c r="H68" s="470">
        <v>61</v>
      </c>
      <c r="I68" s="455">
        <f t="shared" ca="1" si="5"/>
        <v>2191759.6454729969</v>
      </c>
      <c r="J68" s="455">
        <f t="array" ref="J68">IFERROR(INDEX('Retirement Calculator'!J:J,MATCH('Isaac 401k'!N68,'Retirement Calculator'!A:A,0),0),0)</f>
        <v>25344.835205236312</v>
      </c>
      <c r="K68" s="455">
        <f t="shared" ca="1" si="2"/>
        <v>9026.7283761156687</v>
      </c>
      <c r="L68" s="455">
        <f t="shared" ca="1" si="3"/>
        <v>2175441.5386438761</v>
      </c>
      <c r="M68" s="471">
        <f t="shared" si="6"/>
        <v>0.05</v>
      </c>
      <c r="N68" s="475">
        <f t="shared" si="7"/>
        <v>53114</v>
      </c>
    </row>
    <row r="69" spans="1:14" ht="11.25" customHeight="1" x14ac:dyDescent="0.3">
      <c r="A69" s="470">
        <v>62</v>
      </c>
      <c r="B69" s="458">
        <f t="shared" ca="1" si="4"/>
        <v>9677851.3322912138</v>
      </c>
      <c r="C69" s="458">
        <f t="shared" si="0"/>
        <v>76856.885515667076</v>
      </c>
      <c r="D69" s="458">
        <f t="shared" ca="1" si="9"/>
        <v>454392.67122051434</v>
      </c>
      <c r="E69" s="458">
        <f t="shared" ca="1" si="1"/>
        <v>10055387.117996061</v>
      </c>
      <c r="F69" s="442"/>
      <c r="G69" s="470">
        <f t="shared" ref="G69:G79" si="10">G68</f>
        <v>6</v>
      </c>
      <c r="H69" s="470">
        <v>62</v>
      </c>
      <c r="I69" s="455">
        <f t="shared" ca="1" si="5"/>
        <v>2175441.5386438761</v>
      </c>
      <c r="J69" s="455">
        <f t="array" ref="J69">IFERROR(INDEX('Retirement Calculator'!J:J,MATCH('Isaac 401k'!N69,'Retirement Calculator'!A:A,0),0),0)</f>
        <v>25344.835205236312</v>
      </c>
      <c r="K69" s="455">
        <f t="shared" ca="1" si="2"/>
        <v>8958.7362643276647</v>
      </c>
      <c r="L69" s="455">
        <f t="shared" ca="1" si="3"/>
        <v>2159055.4397029672</v>
      </c>
      <c r="M69" s="471">
        <f t="shared" si="6"/>
        <v>0.05</v>
      </c>
      <c r="N69" s="475">
        <f t="shared" si="7"/>
        <v>53144</v>
      </c>
    </row>
    <row r="70" spans="1:14" ht="11.25" customHeight="1" x14ac:dyDescent="0.3">
      <c r="A70" s="470">
        <v>63</v>
      </c>
      <c r="B70" s="458">
        <f t="shared" ca="1" si="4"/>
        <v>10055387.117996061</v>
      </c>
      <c r="C70" s="458">
        <f t="shared" si="0"/>
        <v>76856.885515667076</v>
      </c>
      <c r="D70" s="458">
        <f t="shared" ca="1" si="9"/>
        <v>454392.67122051434</v>
      </c>
      <c r="E70" s="458">
        <f t="shared" ca="1" si="1"/>
        <v>10432922.903700909</v>
      </c>
      <c r="F70" s="442"/>
      <c r="G70" s="470">
        <f t="shared" si="10"/>
        <v>6</v>
      </c>
      <c r="H70" s="470">
        <v>63</v>
      </c>
      <c r="I70" s="455">
        <f t="shared" ca="1" si="5"/>
        <v>2159055.4397029672</v>
      </c>
      <c r="J70" s="455">
        <f t="array" ref="J70">IFERROR(INDEX('Retirement Calculator'!J:J,MATCH('Isaac 401k'!N70,'Retirement Calculator'!A:A,0),0),0)</f>
        <v>25344.835205236312</v>
      </c>
      <c r="K70" s="455">
        <f t="shared" ca="1" si="2"/>
        <v>8890.4608520738784</v>
      </c>
      <c r="L70" s="455">
        <f t="shared" ca="1" si="3"/>
        <v>2142601.0653498047</v>
      </c>
      <c r="M70" s="471">
        <f t="shared" si="6"/>
        <v>0.05</v>
      </c>
      <c r="N70" s="475">
        <f t="shared" si="7"/>
        <v>53175</v>
      </c>
    </row>
    <row r="71" spans="1:14" ht="11.25" customHeight="1" x14ac:dyDescent="0.3">
      <c r="A71" s="470">
        <v>64</v>
      </c>
      <c r="B71" s="458">
        <f t="shared" ca="1" si="4"/>
        <v>10432922.903700909</v>
      </c>
      <c r="C71" s="458">
        <f t="shared" si="0"/>
        <v>76856.885515667076</v>
      </c>
      <c r="D71" s="458">
        <f t="shared" ca="1" si="9"/>
        <v>454392.67122051434</v>
      </c>
      <c r="E71" s="458">
        <f t="shared" ca="1" si="1"/>
        <v>10810458.689405756</v>
      </c>
      <c r="F71" s="442"/>
      <c r="G71" s="470">
        <f t="shared" si="10"/>
        <v>6</v>
      </c>
      <c r="H71" s="470">
        <v>64</v>
      </c>
      <c r="I71" s="455">
        <f t="shared" ca="1" si="5"/>
        <v>2142601.0653498047</v>
      </c>
      <c r="J71" s="455">
        <f t="array" ref="J71">IFERROR(INDEX('Retirement Calculator'!J:J,MATCH('Isaac 401k'!N71,'Retirement Calculator'!A:A,0),0),0)</f>
        <v>25344.835205236312</v>
      </c>
      <c r="K71" s="455">
        <f t="shared" ca="1" si="2"/>
        <v>8821.9009589357011</v>
      </c>
      <c r="L71" s="455">
        <f t="shared" ca="1" si="3"/>
        <v>2126078.131103504</v>
      </c>
      <c r="M71" s="471">
        <f t="shared" si="6"/>
        <v>0.05</v>
      </c>
      <c r="N71" s="475">
        <f t="shared" si="7"/>
        <v>53206</v>
      </c>
    </row>
    <row r="72" spans="1:14" ht="11.25" customHeight="1" x14ac:dyDescent="0.3">
      <c r="A72" s="470">
        <v>65</v>
      </c>
      <c r="B72" s="458">
        <f t="shared" ca="1" si="4"/>
        <v>10810458.689405756</v>
      </c>
      <c r="C72" s="458">
        <f t="shared" si="0"/>
        <v>76856.885515667076</v>
      </c>
      <c r="D72" s="458">
        <f t="shared" ca="1" si="9"/>
        <v>454392.67122051434</v>
      </c>
      <c r="E72" s="458">
        <f t="shared" ca="1" si="1"/>
        <v>11187994.475110603</v>
      </c>
      <c r="F72" s="442"/>
      <c r="G72" s="470">
        <f t="shared" si="10"/>
        <v>6</v>
      </c>
      <c r="H72" s="470">
        <v>65</v>
      </c>
      <c r="I72" s="455">
        <f t="shared" ca="1" si="5"/>
        <v>2126078.131103504</v>
      </c>
      <c r="J72" s="455">
        <f t="array" ref="J72">IFERROR(INDEX('Retirement Calculator'!J:J,MATCH('Isaac 401k'!N72,'Retirement Calculator'!A:A,0),0),0)</f>
        <v>25344.835205236312</v>
      </c>
      <c r="K72" s="455">
        <f t="shared" ca="1" si="2"/>
        <v>8753.0553995761147</v>
      </c>
      <c r="L72" s="455">
        <f t="shared" ca="1" si="3"/>
        <v>2109486.3512978437</v>
      </c>
      <c r="M72" s="471">
        <f t="shared" si="6"/>
        <v>0.05</v>
      </c>
      <c r="N72" s="475">
        <f t="shared" si="7"/>
        <v>53236</v>
      </c>
    </row>
    <row r="73" spans="1:14" ht="11.25" customHeight="1" x14ac:dyDescent="0.3">
      <c r="A73" s="470">
        <v>66</v>
      </c>
      <c r="B73" s="458">
        <f t="shared" ca="1" si="4"/>
        <v>11187994.475110603</v>
      </c>
      <c r="C73" s="458">
        <f t="shared" si="0"/>
        <v>76856.885515667076</v>
      </c>
      <c r="D73" s="458">
        <f t="shared" ca="1" si="9"/>
        <v>454392.67122051434</v>
      </c>
      <c r="E73" s="458">
        <f t="shared" ca="1" si="1"/>
        <v>11565530.260815451</v>
      </c>
      <c r="F73" s="442"/>
      <c r="G73" s="470">
        <f t="shared" si="10"/>
        <v>6</v>
      </c>
      <c r="H73" s="470">
        <v>66</v>
      </c>
      <c r="I73" s="455">
        <f t="shared" ca="1" si="5"/>
        <v>2109486.3512978437</v>
      </c>
      <c r="J73" s="455">
        <f t="array" ref="J73">IFERROR(INDEX('Retirement Calculator'!J:J,MATCH('Isaac 401k'!N73,'Retirement Calculator'!A:A,0),0),0)</f>
        <v>25344.835205236312</v>
      </c>
      <c r="K73" s="455">
        <f t="shared" ca="1" si="2"/>
        <v>8683.9229837191979</v>
      </c>
      <c r="L73" s="455">
        <f t="shared" ca="1" si="3"/>
        <v>2092825.4390763268</v>
      </c>
      <c r="M73" s="471">
        <f t="shared" si="6"/>
        <v>0.05</v>
      </c>
      <c r="N73" s="475">
        <f t="shared" si="7"/>
        <v>53267</v>
      </c>
    </row>
    <row r="74" spans="1:14" ht="11.25" customHeight="1" x14ac:dyDescent="0.3">
      <c r="A74" s="470">
        <v>67</v>
      </c>
      <c r="B74" s="458">
        <f t="shared" ca="1" si="4"/>
        <v>11565530.260815451</v>
      </c>
      <c r="C74" s="458">
        <f t="shared" si="0"/>
        <v>76856.885515667076</v>
      </c>
      <c r="D74" s="458">
        <f t="shared" ca="1" si="9"/>
        <v>454392.67122051434</v>
      </c>
      <c r="E74" s="458">
        <f t="shared" ca="1" si="1"/>
        <v>11943066.046520298</v>
      </c>
      <c r="F74" s="442"/>
      <c r="G74" s="470">
        <f t="shared" si="10"/>
        <v>6</v>
      </c>
      <c r="H74" s="470">
        <v>67</v>
      </c>
      <c r="I74" s="455">
        <f t="shared" ca="1" si="5"/>
        <v>2092825.4390763268</v>
      </c>
      <c r="J74" s="455">
        <f t="array" ref="J74">IFERROR(INDEX('Retirement Calculator'!J:J,MATCH('Isaac 401k'!N74,'Retirement Calculator'!A:A,0),0),0)</f>
        <v>25344.835205236312</v>
      </c>
      <c r="K74" s="455">
        <f t="shared" ca="1" si="2"/>
        <v>8614.5025161295434</v>
      </c>
      <c r="L74" s="455">
        <f t="shared" ca="1" si="3"/>
        <v>2076095.1063872201</v>
      </c>
      <c r="M74" s="471">
        <f t="shared" si="6"/>
        <v>0.05</v>
      </c>
      <c r="N74" s="475">
        <f t="shared" si="7"/>
        <v>53297</v>
      </c>
    </row>
    <row r="75" spans="1:14" ht="11.25" customHeight="1" x14ac:dyDescent="0.3">
      <c r="A75" s="470">
        <v>68</v>
      </c>
      <c r="B75" s="458">
        <f t="shared" ca="1" si="4"/>
        <v>11943066.046520298</v>
      </c>
      <c r="C75" s="458">
        <f t="shared" si="0"/>
        <v>76856.885515667076</v>
      </c>
      <c r="D75" s="458">
        <f t="shared" ca="1" si="9"/>
        <v>454392.67122051434</v>
      </c>
      <c r="E75" s="458">
        <f t="shared" ca="1" si="1"/>
        <v>12320601.832225146</v>
      </c>
      <c r="F75" s="442"/>
      <c r="G75" s="470">
        <f t="shared" si="10"/>
        <v>6</v>
      </c>
      <c r="H75" s="470">
        <v>68</v>
      </c>
      <c r="I75" s="455">
        <f t="shared" ca="1" si="5"/>
        <v>2076095.1063872201</v>
      </c>
      <c r="J75" s="455">
        <f t="array" ref="J75">IFERROR(INDEX('Retirement Calculator'!J:J,MATCH('Isaac 401k'!N75,'Retirement Calculator'!A:A,0),0),0)</f>
        <v>7080.840059638921</v>
      </c>
      <c r="K75" s="455">
        <f t="shared" ca="1" si="2"/>
        <v>8620.8927763649208</v>
      </c>
      <c r="L75" s="455">
        <f t="shared" ca="1" si="3"/>
        <v>2077635.1591039461</v>
      </c>
      <c r="M75" s="471">
        <f t="shared" si="6"/>
        <v>0.05</v>
      </c>
      <c r="N75" s="475">
        <f t="shared" si="7"/>
        <v>53328</v>
      </c>
    </row>
    <row r="76" spans="1:14" ht="11.25" customHeight="1" x14ac:dyDescent="0.3">
      <c r="A76" s="470">
        <v>69</v>
      </c>
      <c r="B76" s="458">
        <f t="shared" ca="1" si="4"/>
        <v>12320601.832225146</v>
      </c>
      <c r="C76" s="458">
        <f t="shared" si="0"/>
        <v>76856.885515667076</v>
      </c>
      <c r="D76" s="458">
        <f t="shared" ca="1" si="9"/>
        <v>454392.67122051434</v>
      </c>
      <c r="E76" s="458">
        <f t="shared" ca="1" si="1"/>
        <v>12698137.617929993</v>
      </c>
      <c r="F76" s="442"/>
      <c r="G76" s="470">
        <f t="shared" si="10"/>
        <v>6</v>
      </c>
      <c r="H76" s="470">
        <v>69</v>
      </c>
      <c r="I76" s="455">
        <f t="shared" ca="1" si="5"/>
        <v>2077635.1591039461</v>
      </c>
      <c r="J76" s="455">
        <f t="array" ref="J76">IFERROR(INDEX('Retirement Calculator'!J:J,MATCH('Isaac 401k'!N76,'Retirement Calculator'!A:A,0),0),0)</f>
        <v>7080.840059638921</v>
      </c>
      <c r="K76" s="455">
        <f t="shared" ca="1" si="2"/>
        <v>8627.3096626846127</v>
      </c>
      <c r="L76" s="455">
        <f t="shared" ca="1" si="3"/>
        <v>2079181.6287069917</v>
      </c>
      <c r="M76" s="471">
        <f t="shared" si="6"/>
        <v>0.05</v>
      </c>
      <c r="N76" s="475">
        <f t="shared" si="7"/>
        <v>53359</v>
      </c>
    </row>
    <row r="77" spans="1:14" ht="11.25" customHeight="1" x14ac:dyDescent="0.3">
      <c r="A77" s="470">
        <v>70</v>
      </c>
      <c r="B77" s="458">
        <f t="shared" ca="1" si="4"/>
        <v>12698137.617929993</v>
      </c>
      <c r="C77" s="458">
        <f t="shared" si="0"/>
        <v>76856.885515667076</v>
      </c>
      <c r="D77" s="458">
        <f t="shared" ca="1" si="9"/>
        <v>454392.67122051434</v>
      </c>
      <c r="E77" s="458">
        <f t="shared" ca="1" si="1"/>
        <v>13075673.403634841</v>
      </c>
      <c r="F77" s="442"/>
      <c r="G77" s="470">
        <f t="shared" si="10"/>
        <v>6</v>
      </c>
      <c r="H77" s="470">
        <v>70</v>
      </c>
      <c r="I77" s="455">
        <f t="shared" ca="1" si="5"/>
        <v>2079181.6287069917</v>
      </c>
      <c r="J77" s="455">
        <f t="array" ref="J77">IFERROR(INDEX('Retirement Calculator'!J:J,MATCH('Isaac 401k'!N77,'Retirement Calculator'!A:A,0),0),0)</f>
        <v>7080.840059638921</v>
      </c>
      <c r="K77" s="455">
        <f t="shared" ca="1" si="2"/>
        <v>8633.7532860306346</v>
      </c>
      <c r="L77" s="455">
        <f t="shared" ca="1" si="3"/>
        <v>2080734.5419333833</v>
      </c>
      <c r="M77" s="471">
        <f t="shared" si="6"/>
        <v>0.05</v>
      </c>
      <c r="N77" s="475">
        <f t="shared" si="7"/>
        <v>53387</v>
      </c>
    </row>
    <row r="78" spans="1:14" ht="11.25" customHeight="1" x14ac:dyDescent="0.3">
      <c r="A78" s="470">
        <v>71</v>
      </c>
      <c r="B78" s="458">
        <f t="shared" ca="1" si="4"/>
        <v>13075673.403634841</v>
      </c>
      <c r="C78" s="458">
        <f t="shared" si="0"/>
        <v>76856.885515667076</v>
      </c>
      <c r="D78" s="458">
        <f t="shared" ca="1" si="9"/>
        <v>454392.67122051434</v>
      </c>
      <c r="E78" s="458">
        <f t="shared" ca="1" si="1"/>
        <v>13453209.189339688</v>
      </c>
      <c r="F78" s="442"/>
      <c r="G78" s="470">
        <f t="shared" si="10"/>
        <v>6</v>
      </c>
      <c r="H78" s="470">
        <v>71</v>
      </c>
      <c r="I78" s="455">
        <f t="shared" ca="1" si="5"/>
        <v>2080734.5419333833</v>
      </c>
      <c r="J78" s="455">
        <f t="array" ref="J78">IFERROR(INDEX('Retirement Calculator'!J:J,MATCH('Isaac 401k'!N78,'Retirement Calculator'!A:A,0),0),0)</f>
        <v>7080.840059638921</v>
      </c>
      <c r="K78" s="455">
        <f t="shared" ca="1" si="2"/>
        <v>8640.2237578072691</v>
      </c>
      <c r="L78" s="455">
        <f t="shared" ca="1" si="3"/>
        <v>2082293.9256315515</v>
      </c>
      <c r="M78" s="471">
        <f t="shared" si="6"/>
        <v>0.05</v>
      </c>
      <c r="N78" s="475">
        <f t="shared" si="7"/>
        <v>53418</v>
      </c>
    </row>
    <row r="79" spans="1:14" ht="11.25" customHeight="1" x14ac:dyDescent="0.3">
      <c r="A79" s="470">
        <v>72</v>
      </c>
      <c r="B79" s="458">
        <f t="shared" ca="1" si="4"/>
        <v>13453209.189339688</v>
      </c>
      <c r="C79" s="458">
        <f t="shared" si="0"/>
        <v>76856.885515667076</v>
      </c>
      <c r="D79" s="458">
        <f t="shared" ca="1" si="9"/>
        <v>454392.67122051434</v>
      </c>
      <c r="E79" s="458">
        <f t="shared" ca="1" si="1"/>
        <v>13830744.975044535</v>
      </c>
      <c r="F79" s="442"/>
      <c r="G79" s="470">
        <f t="shared" si="10"/>
        <v>6</v>
      </c>
      <c r="H79" s="470">
        <v>72</v>
      </c>
      <c r="I79" s="455">
        <f t="shared" ca="1" si="5"/>
        <v>2082293.9256315515</v>
      </c>
      <c r="J79" s="455">
        <f t="array" ref="J79">IFERROR(INDEX('Retirement Calculator'!J:J,MATCH('Isaac 401k'!N79,'Retirement Calculator'!A:A,0),0),0)</f>
        <v>7080.840059638921</v>
      </c>
      <c r="K79" s="455">
        <f t="shared" ca="1" si="2"/>
        <v>8646.7211898829682</v>
      </c>
      <c r="L79" s="455">
        <f t="shared" ca="1" si="3"/>
        <v>2083859.8067617957</v>
      </c>
      <c r="M79" s="471">
        <f t="shared" si="6"/>
        <v>0.05</v>
      </c>
      <c r="N79" s="475">
        <f t="shared" si="7"/>
        <v>53448</v>
      </c>
    </row>
    <row r="80" spans="1:14" ht="11.25" customHeight="1" x14ac:dyDescent="0.3">
      <c r="A80" s="470">
        <v>73</v>
      </c>
      <c r="B80" s="458">
        <f t="shared" ca="1" si="4"/>
        <v>13830744.975044535</v>
      </c>
      <c r="C80" s="458">
        <f t="shared" si="0"/>
        <v>76856.885515667076</v>
      </c>
      <c r="D80" s="458">
        <f t="shared" ca="1" si="9"/>
        <v>454392.67122051434</v>
      </c>
      <c r="E80" s="458">
        <f t="shared" ca="1" si="1"/>
        <v>14208280.760749383</v>
      </c>
      <c r="F80" s="442"/>
      <c r="G80" s="470">
        <f>G79+1</f>
        <v>7</v>
      </c>
      <c r="H80" s="470">
        <v>73</v>
      </c>
      <c r="I80" s="455">
        <f t="shared" ca="1" si="5"/>
        <v>2083859.8067617957</v>
      </c>
      <c r="J80" s="455">
        <f t="array" ref="J80">IFERROR(INDEX('Retirement Calculator'!J:J,MATCH('Isaac 401k'!N80,'Retirement Calculator'!A:A,0),0),0)</f>
        <v>7080.840059638921</v>
      </c>
      <c r="K80" s="455">
        <f t="shared" ca="1" si="2"/>
        <v>8653.2456945923186</v>
      </c>
      <c r="L80" s="455">
        <f t="shared" ca="1" si="3"/>
        <v>2085432.2123967491</v>
      </c>
      <c r="M80" s="471">
        <f t="shared" si="6"/>
        <v>0.05</v>
      </c>
      <c r="N80" s="475">
        <f t="shared" si="7"/>
        <v>53479</v>
      </c>
    </row>
    <row r="81" spans="1:14" ht="11.25" customHeight="1" x14ac:dyDescent="0.3">
      <c r="A81" s="470">
        <v>74</v>
      </c>
      <c r="B81" s="458">
        <f t="shared" ca="1" si="4"/>
        <v>14208280.760749383</v>
      </c>
      <c r="C81" s="458">
        <f t="shared" si="0"/>
        <v>76856.885515667076</v>
      </c>
      <c r="D81" s="458">
        <f t="shared" ca="1" si="9"/>
        <v>454392.67122051434</v>
      </c>
      <c r="E81" s="458">
        <f t="shared" ca="1" si="1"/>
        <v>14585816.54645423</v>
      </c>
      <c r="F81" s="442"/>
      <c r="G81" s="470">
        <f t="shared" ref="G81:G91" si="11">G80</f>
        <v>7</v>
      </c>
      <c r="H81" s="470">
        <v>74</v>
      </c>
      <c r="I81" s="455">
        <f t="shared" ca="1" si="5"/>
        <v>2085432.2123967491</v>
      </c>
      <c r="J81" s="455">
        <f t="array" ref="J81">IFERROR(INDEX('Retirement Calculator'!J:J,MATCH('Isaac 401k'!N81,'Retirement Calculator'!A:A,0),0),0)</f>
        <v>7080.840059638921</v>
      </c>
      <c r="K81" s="455">
        <f t="shared" ca="1" si="2"/>
        <v>8659.7973847379581</v>
      </c>
      <c r="L81" s="455">
        <f t="shared" ca="1" si="3"/>
        <v>2087011.1697218481</v>
      </c>
      <c r="M81" s="471">
        <f t="shared" si="6"/>
        <v>0.05</v>
      </c>
      <c r="N81" s="475">
        <f t="shared" si="7"/>
        <v>53509</v>
      </c>
    </row>
    <row r="82" spans="1:14" ht="11.25" customHeight="1" x14ac:dyDescent="0.3">
      <c r="A82" s="470">
        <v>75</v>
      </c>
      <c r="B82" s="458">
        <f t="shared" ca="1" si="4"/>
        <v>14585816.54645423</v>
      </c>
      <c r="C82" s="458">
        <f t="shared" si="0"/>
        <v>76856.885515667076</v>
      </c>
      <c r="D82" s="458">
        <f t="shared" ca="1" si="9"/>
        <v>454392.67122051434</v>
      </c>
      <c r="E82" s="458">
        <f t="shared" ca="1" si="1"/>
        <v>14963352.332159078</v>
      </c>
      <c r="F82" s="442"/>
      <c r="G82" s="470">
        <f t="shared" si="11"/>
        <v>7</v>
      </c>
      <c r="H82" s="470">
        <v>75</v>
      </c>
      <c r="I82" s="455">
        <f t="shared" ca="1" si="5"/>
        <v>2087011.1697218481</v>
      </c>
      <c r="J82" s="455">
        <f t="array" ref="J82">IFERROR(INDEX('Retirement Calculator'!J:J,MATCH('Isaac 401k'!N82,'Retirement Calculator'!A:A,0),0),0)</f>
        <v>7080.840059638921</v>
      </c>
      <c r="K82" s="455">
        <f t="shared" ca="1" si="2"/>
        <v>8666.3763735925386</v>
      </c>
      <c r="L82" s="455">
        <f t="shared" ca="1" si="3"/>
        <v>2088596.7060358017</v>
      </c>
      <c r="M82" s="471">
        <f t="shared" si="6"/>
        <v>0.05</v>
      </c>
      <c r="N82" s="475">
        <f t="shared" si="7"/>
        <v>53540</v>
      </c>
    </row>
    <row r="83" spans="1:14" ht="11.25" customHeight="1" x14ac:dyDescent="0.3">
      <c r="A83" s="470">
        <v>76</v>
      </c>
      <c r="B83" s="458">
        <f t="shared" ca="1" si="4"/>
        <v>14963352.332159078</v>
      </c>
      <c r="C83" s="458">
        <f t="shared" si="0"/>
        <v>76856.885515667076</v>
      </c>
      <c r="D83" s="458">
        <f t="shared" ca="1" si="9"/>
        <v>454392.67122051434</v>
      </c>
      <c r="E83" s="458">
        <f t="shared" ca="1" si="1"/>
        <v>15340888.117863925</v>
      </c>
      <c r="F83" s="442"/>
      <c r="G83" s="470">
        <f t="shared" si="11"/>
        <v>7</v>
      </c>
      <c r="H83" s="470">
        <v>76</v>
      </c>
      <c r="I83" s="455">
        <f t="shared" ca="1" si="5"/>
        <v>2088596.7060358017</v>
      </c>
      <c r="J83" s="455">
        <f t="array" ref="J83">IFERROR(INDEX('Retirement Calculator'!J:J,MATCH('Isaac 401k'!N83,'Retirement Calculator'!A:A,0),0),0)</f>
        <v>7080.840059638921</v>
      </c>
      <c r="K83" s="455">
        <f t="shared" ca="1" si="2"/>
        <v>8672.9827749006763</v>
      </c>
      <c r="L83" s="455">
        <f t="shared" ca="1" si="3"/>
        <v>2090188.8487510635</v>
      </c>
      <c r="M83" s="471">
        <f t="shared" si="6"/>
        <v>0.05</v>
      </c>
      <c r="N83" s="475">
        <f t="shared" si="7"/>
        <v>53571</v>
      </c>
    </row>
    <row r="84" spans="1:14" ht="11.25" customHeight="1" x14ac:dyDescent="0.3">
      <c r="A84" s="470">
        <v>77</v>
      </c>
      <c r="B84" s="458">
        <f t="shared" ca="1" si="4"/>
        <v>15340888.117863925</v>
      </c>
      <c r="C84" s="458">
        <f t="shared" si="0"/>
        <v>76856.885515667076</v>
      </c>
      <c r="D84" s="458">
        <f t="shared" ca="1" si="9"/>
        <v>454392.67122051434</v>
      </c>
      <c r="E84" s="458">
        <f t="shared" ca="1" si="1"/>
        <v>15718423.903568773</v>
      </c>
      <c r="F84" s="442"/>
      <c r="G84" s="470">
        <f t="shared" si="11"/>
        <v>7</v>
      </c>
      <c r="H84" s="470">
        <v>77</v>
      </c>
      <c r="I84" s="455">
        <f t="shared" ca="1" si="5"/>
        <v>2090188.8487510635</v>
      </c>
      <c r="J84" s="455">
        <f t="array" ref="J84">IFERROR(INDEX('Retirement Calculator'!J:J,MATCH('Isaac 401k'!N84,'Retirement Calculator'!A:A,0),0),0)</f>
        <v>7080.840059638921</v>
      </c>
      <c r="K84" s="455">
        <f t="shared" ca="1" si="2"/>
        <v>8679.6167028809359</v>
      </c>
      <c r="L84" s="455">
        <f t="shared" ca="1" si="3"/>
        <v>2091787.6253943054</v>
      </c>
      <c r="M84" s="471">
        <f t="shared" si="6"/>
        <v>0.05</v>
      </c>
      <c r="N84" s="475">
        <f t="shared" si="7"/>
        <v>53601</v>
      </c>
    </row>
    <row r="85" spans="1:14" ht="11.25" customHeight="1" x14ac:dyDescent="0.3">
      <c r="A85" s="470">
        <v>78</v>
      </c>
      <c r="B85" s="458">
        <f t="shared" ca="1" si="4"/>
        <v>15718423.903568773</v>
      </c>
      <c r="C85" s="458">
        <f t="shared" si="0"/>
        <v>76856.885515667076</v>
      </c>
      <c r="D85" s="458">
        <f t="shared" ca="1" si="9"/>
        <v>454392.67122051434</v>
      </c>
      <c r="E85" s="458">
        <f t="shared" ca="1" si="1"/>
        <v>16095959.68927362</v>
      </c>
      <c r="F85" s="442"/>
      <c r="G85" s="470">
        <f t="shared" si="11"/>
        <v>7</v>
      </c>
      <c r="H85" s="470">
        <v>78</v>
      </c>
      <c r="I85" s="455">
        <f t="shared" ca="1" si="5"/>
        <v>2091787.6253943054</v>
      </c>
      <c r="J85" s="455">
        <f t="array" ref="J85">IFERROR(INDEX('Retirement Calculator'!J:J,MATCH('Isaac 401k'!N85,'Retirement Calculator'!A:A,0),0),0)</f>
        <v>7080.840059638921</v>
      </c>
      <c r="K85" s="455">
        <f t="shared" ca="1" si="2"/>
        <v>8686.2782722277771</v>
      </c>
      <c r="L85" s="455">
        <f t="shared" ca="1" si="3"/>
        <v>2093393.0636068943</v>
      </c>
      <c r="M85" s="471">
        <f t="shared" si="6"/>
        <v>0.05</v>
      </c>
      <c r="N85" s="475">
        <f t="shared" si="7"/>
        <v>53632</v>
      </c>
    </row>
    <row r="86" spans="1:14" ht="11.25" customHeight="1" x14ac:dyDescent="0.3">
      <c r="A86" s="470">
        <v>79</v>
      </c>
      <c r="B86" s="458">
        <f t="shared" ca="1" si="4"/>
        <v>16095959.68927362</v>
      </c>
      <c r="C86" s="458">
        <f t="shared" si="0"/>
        <v>76856.885515667076</v>
      </c>
      <c r="D86" s="458">
        <f t="shared" ca="1" si="9"/>
        <v>454392.67122051434</v>
      </c>
      <c r="E86" s="458">
        <f t="shared" ca="1" si="1"/>
        <v>16473495.474978467</v>
      </c>
      <c r="F86" s="442"/>
      <c r="G86" s="470">
        <f t="shared" si="11"/>
        <v>7</v>
      </c>
      <c r="H86" s="470">
        <v>79</v>
      </c>
      <c r="I86" s="455">
        <f t="shared" ca="1" si="5"/>
        <v>2093393.0636068943</v>
      </c>
      <c r="J86" s="455">
        <f t="array" ref="J86">IFERROR(INDEX('Retirement Calculator'!J:J,MATCH('Isaac 401k'!N86,'Retirement Calculator'!A:A,0),0),0)</f>
        <v>7080.840059638921</v>
      </c>
      <c r="K86" s="455">
        <f t="shared" ca="1" si="2"/>
        <v>8692.9675981135642</v>
      </c>
      <c r="L86" s="455">
        <f t="shared" ca="1" si="3"/>
        <v>2095005.1911453689</v>
      </c>
      <c r="M86" s="471">
        <f t="shared" si="6"/>
        <v>0.05</v>
      </c>
      <c r="N86" s="475">
        <f t="shared" si="7"/>
        <v>53662</v>
      </c>
    </row>
    <row r="87" spans="1:14" ht="11.25" customHeight="1" x14ac:dyDescent="0.3">
      <c r="A87" s="470">
        <v>80</v>
      </c>
      <c r="B87" s="458">
        <f t="shared" ca="1" si="4"/>
        <v>16473495.474978467</v>
      </c>
      <c r="C87" s="458">
        <f t="shared" si="0"/>
        <v>76856.885515667076</v>
      </c>
      <c r="D87" s="458">
        <f t="shared" ca="1" si="9"/>
        <v>454392.67122051434</v>
      </c>
      <c r="E87" s="458">
        <f t="shared" ca="1" si="1"/>
        <v>16851031.260683313</v>
      </c>
      <c r="F87" s="442"/>
      <c r="G87" s="470">
        <f t="shared" si="11"/>
        <v>7</v>
      </c>
      <c r="H87" s="470">
        <v>80</v>
      </c>
      <c r="I87" s="455">
        <f t="shared" ca="1" si="5"/>
        <v>2095005.1911453689</v>
      </c>
      <c r="J87" s="455">
        <f t="array" ref="J87">IFERROR(INDEX('Retirement Calculator'!J:J,MATCH('Isaac 401k'!N87,'Retirement Calculator'!A:A,0),0),0)</f>
        <v>7080.840059638921</v>
      </c>
      <c r="K87" s="455">
        <f t="shared" ca="1" si="2"/>
        <v>8699.6847961905405</v>
      </c>
      <c r="L87" s="455">
        <f t="shared" ca="1" si="3"/>
        <v>2096624.0358819205</v>
      </c>
      <c r="M87" s="471">
        <f t="shared" si="6"/>
        <v>0.05</v>
      </c>
      <c r="N87" s="475">
        <f t="shared" si="7"/>
        <v>53693</v>
      </c>
    </row>
    <row r="88" spans="1:14" ht="11.25" customHeight="1" x14ac:dyDescent="0.3">
      <c r="A88" s="470">
        <v>81</v>
      </c>
      <c r="B88" s="458">
        <f t="shared" ca="1" si="4"/>
        <v>16851031.260683313</v>
      </c>
      <c r="C88" s="458">
        <f t="shared" si="0"/>
        <v>76856.885515667076</v>
      </c>
      <c r="D88" s="458">
        <f t="shared" ca="1" si="9"/>
        <v>454392.67122051434</v>
      </c>
      <c r="E88" s="458">
        <f t="shared" ca="1" si="1"/>
        <v>17228567.04638816</v>
      </c>
      <c r="F88" s="442"/>
      <c r="G88" s="470">
        <f t="shared" si="11"/>
        <v>7</v>
      </c>
      <c r="H88" s="470">
        <v>81</v>
      </c>
      <c r="I88" s="455">
        <f t="shared" ca="1" si="5"/>
        <v>2096624.0358819205</v>
      </c>
      <c r="J88" s="455">
        <f t="array" ref="J88">IFERROR(INDEX('Retirement Calculator'!J:J,MATCH('Isaac 401k'!N88,'Retirement Calculator'!A:A,0),0),0)</f>
        <v>7080.840059638921</v>
      </c>
      <c r="K88" s="455">
        <f t="shared" ca="1" si="2"/>
        <v>8706.4299825928392</v>
      </c>
      <c r="L88" s="455">
        <f t="shared" ca="1" si="3"/>
        <v>2098249.6258048746</v>
      </c>
      <c r="M88" s="471">
        <f t="shared" si="6"/>
        <v>0.05</v>
      </c>
      <c r="N88" s="475">
        <f t="shared" si="7"/>
        <v>53724</v>
      </c>
    </row>
    <row r="89" spans="1:14" ht="11.25" customHeight="1" x14ac:dyDescent="0.3">
      <c r="A89" s="470">
        <v>82</v>
      </c>
      <c r="B89" s="458">
        <f t="shared" ca="1" si="4"/>
        <v>17228567.04638816</v>
      </c>
      <c r="C89" s="458">
        <f t="shared" si="0"/>
        <v>76856.885515667076</v>
      </c>
      <c r="D89" s="458">
        <f t="shared" ca="1" si="9"/>
        <v>454392.67122051434</v>
      </c>
      <c r="E89" s="458">
        <f t="shared" ca="1" si="1"/>
        <v>17606102.832093008</v>
      </c>
      <c r="F89" s="442"/>
      <c r="G89" s="470">
        <f t="shared" si="11"/>
        <v>7</v>
      </c>
      <c r="H89" s="470">
        <v>82</v>
      </c>
      <c r="I89" s="455">
        <f t="shared" ca="1" si="5"/>
        <v>2098249.6258048746</v>
      </c>
      <c r="J89" s="455">
        <f t="array" ref="J89">IFERROR(INDEX('Retirement Calculator'!J:J,MATCH('Isaac 401k'!N89,'Retirement Calculator'!A:A,0),0),0)</f>
        <v>7080.840059638921</v>
      </c>
      <c r="K89" s="455">
        <f t="shared" ca="1" si="2"/>
        <v>8713.2032739384831</v>
      </c>
      <c r="L89" s="455">
        <f t="shared" ca="1" si="3"/>
        <v>2099881.9890191741</v>
      </c>
      <c r="M89" s="471">
        <f t="shared" si="6"/>
        <v>0.05</v>
      </c>
      <c r="N89" s="475">
        <f t="shared" si="7"/>
        <v>53752</v>
      </c>
    </row>
    <row r="90" spans="1:14" ht="11.25" customHeight="1" x14ac:dyDescent="0.3">
      <c r="A90" s="470">
        <v>83</v>
      </c>
      <c r="B90" s="458">
        <f t="shared" ca="1" si="4"/>
        <v>17606102.832093008</v>
      </c>
      <c r="C90" s="458">
        <f t="shared" si="0"/>
        <v>76856.885515667076</v>
      </c>
      <c r="D90" s="458">
        <f t="shared" ca="1" si="9"/>
        <v>454392.67122051434</v>
      </c>
      <c r="E90" s="458">
        <f t="shared" ca="1" si="1"/>
        <v>17983638.617797855</v>
      </c>
      <c r="F90" s="442"/>
      <c r="G90" s="470">
        <f t="shared" si="11"/>
        <v>7</v>
      </c>
      <c r="H90" s="470">
        <v>83</v>
      </c>
      <c r="I90" s="455">
        <f t="shared" ca="1" si="5"/>
        <v>2099881.9890191741</v>
      </c>
      <c r="J90" s="455">
        <f t="array" ref="J90">IFERROR(INDEX('Retirement Calculator'!J:J,MATCH('Isaac 401k'!N90,'Retirement Calculator'!A:A,0),0),0)</f>
        <v>7080.840059638921</v>
      </c>
      <c r="K90" s="455">
        <f t="shared" ca="1" si="2"/>
        <v>8720.0047873313961</v>
      </c>
      <c r="L90" s="455">
        <f t="shared" ca="1" si="3"/>
        <v>2101521.1537468666</v>
      </c>
      <c r="M90" s="471">
        <f t="shared" si="6"/>
        <v>0.05</v>
      </c>
      <c r="N90" s="475">
        <f t="shared" si="7"/>
        <v>53783</v>
      </c>
    </row>
    <row r="91" spans="1:14" ht="11.25" customHeight="1" x14ac:dyDescent="0.3">
      <c r="A91" s="470">
        <v>84</v>
      </c>
      <c r="B91" s="458">
        <f t="shared" ca="1" si="4"/>
        <v>17983638.617797855</v>
      </c>
      <c r="C91" s="458">
        <f t="shared" si="0"/>
        <v>76856.885515667076</v>
      </c>
      <c r="D91" s="458">
        <f t="shared" ca="1" si="9"/>
        <v>454392.67122051434</v>
      </c>
      <c r="E91" s="458">
        <f t="shared" ca="1" si="1"/>
        <v>18361174.403502703</v>
      </c>
      <c r="F91" s="442"/>
      <c r="G91" s="470">
        <f t="shared" si="11"/>
        <v>7</v>
      </c>
      <c r="H91" s="470">
        <v>84</v>
      </c>
      <c r="I91" s="455">
        <f t="shared" ca="1" si="5"/>
        <v>2101521.1537468666</v>
      </c>
      <c r="J91" s="455">
        <f t="array" ref="J91">IFERROR(INDEX('Retirement Calculator'!J:J,MATCH('Isaac 401k'!N91,'Retirement Calculator'!A:A,0),0),0)</f>
        <v>7080.840059638921</v>
      </c>
      <c r="K91" s="455">
        <f t="shared" ca="1" si="2"/>
        <v>8726.8346403634478</v>
      </c>
      <c r="L91" s="455">
        <f t="shared" ca="1" si="3"/>
        <v>2103167.1483275909</v>
      </c>
      <c r="M91" s="471">
        <f t="shared" si="6"/>
        <v>0.05</v>
      </c>
      <c r="N91" s="475">
        <f t="shared" si="7"/>
        <v>53813</v>
      </c>
    </row>
    <row r="92" spans="1:14" ht="11.25" customHeight="1" x14ac:dyDescent="0.3">
      <c r="A92" s="470">
        <v>85</v>
      </c>
      <c r="B92" s="458">
        <f t="shared" ca="1" si="4"/>
        <v>18361174.403502703</v>
      </c>
      <c r="C92" s="458">
        <f t="shared" si="0"/>
        <v>76856.885515667076</v>
      </c>
      <c r="D92" s="458">
        <f t="shared" ca="1" si="9"/>
        <v>454392.67122051434</v>
      </c>
      <c r="E92" s="458">
        <f t="shared" ca="1" si="1"/>
        <v>18738710.18920755</v>
      </c>
      <c r="F92" s="442"/>
      <c r="G92" s="470">
        <f>G91+1</f>
        <v>8</v>
      </c>
      <c r="H92" s="470">
        <v>85</v>
      </c>
      <c r="I92" s="455">
        <f t="shared" ca="1" si="5"/>
        <v>2103167.1483275909</v>
      </c>
      <c r="J92" s="455">
        <f t="array" ref="J92">IFERROR(INDEX('Retirement Calculator'!J:J,MATCH('Isaac 401k'!N92,'Retirement Calculator'!A:A,0),0),0)</f>
        <v>7080.840059638921</v>
      </c>
      <c r="K92" s="455">
        <f t="shared" ca="1" si="2"/>
        <v>8733.6929511164672</v>
      </c>
      <c r="L92" s="455">
        <f t="shared" ca="1" si="3"/>
        <v>2104820.0012190682</v>
      </c>
      <c r="M92" s="471">
        <f t="shared" si="6"/>
        <v>0.05</v>
      </c>
      <c r="N92" s="475">
        <f t="shared" si="7"/>
        <v>53844</v>
      </c>
    </row>
    <row r="93" spans="1:14" ht="11.25" customHeight="1" x14ac:dyDescent="0.3">
      <c r="A93" s="470">
        <v>86</v>
      </c>
      <c r="B93" s="458">
        <f t="shared" ca="1" si="4"/>
        <v>18738710.18920755</v>
      </c>
      <c r="C93" s="458">
        <f t="shared" si="0"/>
        <v>76856.885515667076</v>
      </c>
      <c r="D93" s="458">
        <f t="shared" ca="1" si="9"/>
        <v>454392.67122051434</v>
      </c>
      <c r="E93" s="458">
        <f t="shared" ca="1" si="1"/>
        <v>19116245.974912398</v>
      </c>
      <c r="F93" s="442"/>
      <c r="G93" s="470">
        <f t="shared" ref="G93:G103" si="12">G92</f>
        <v>8</v>
      </c>
      <c r="H93" s="470">
        <v>86</v>
      </c>
      <c r="I93" s="455">
        <f t="shared" ca="1" si="5"/>
        <v>2104820.0012190682</v>
      </c>
      <c r="J93" s="455">
        <f t="array" ref="J93">IFERROR(INDEX('Retirement Calculator'!J:J,MATCH('Isaac 401k'!N93,'Retirement Calculator'!A:A,0),0),0)</f>
        <v>7080.840059638921</v>
      </c>
      <c r="K93" s="455">
        <f t="shared" ca="1" si="2"/>
        <v>8740.579838164289</v>
      </c>
      <c r="L93" s="455">
        <f t="shared" ca="1" si="3"/>
        <v>2106479.7409975934</v>
      </c>
      <c r="M93" s="471">
        <f t="shared" si="6"/>
        <v>0.05</v>
      </c>
      <c r="N93" s="475">
        <f t="shared" si="7"/>
        <v>53874</v>
      </c>
    </row>
    <row r="94" spans="1:14" ht="11.25" customHeight="1" x14ac:dyDescent="0.3">
      <c r="A94" s="470">
        <v>87</v>
      </c>
      <c r="B94" s="458">
        <f t="shared" ca="1" si="4"/>
        <v>19116245.974912398</v>
      </c>
      <c r="C94" s="458">
        <f t="shared" si="0"/>
        <v>76856.885515667076</v>
      </c>
      <c r="D94" s="458">
        <f t="shared" ca="1" si="9"/>
        <v>454392.67122051434</v>
      </c>
      <c r="E94" s="458">
        <f t="shared" ca="1" si="1"/>
        <v>19493781.760617245</v>
      </c>
      <c r="F94" s="442"/>
      <c r="G94" s="470">
        <f t="shared" si="12"/>
        <v>8</v>
      </c>
      <c r="H94" s="470">
        <v>87</v>
      </c>
      <c r="I94" s="455">
        <f t="shared" ca="1" si="5"/>
        <v>2106479.7409975934</v>
      </c>
      <c r="J94" s="455">
        <f t="array" ref="J94">IFERROR(INDEX('Retirement Calculator'!J:J,MATCH('Isaac 401k'!N94,'Retirement Calculator'!A:A,0),0),0)</f>
        <v>7080.840059638921</v>
      </c>
      <c r="K94" s="455">
        <f t="shared" ca="1" si="2"/>
        <v>8747.4954205748109</v>
      </c>
      <c r="L94" s="455">
        <f t="shared" ca="1" si="3"/>
        <v>2108146.3963585291</v>
      </c>
      <c r="M94" s="471">
        <f t="shared" si="6"/>
        <v>0.05</v>
      </c>
      <c r="N94" s="475">
        <f t="shared" si="7"/>
        <v>53905</v>
      </c>
    </row>
    <row r="95" spans="1:14" ht="11.25" customHeight="1" x14ac:dyDescent="0.3">
      <c r="A95" s="470">
        <v>88</v>
      </c>
      <c r="B95" s="458">
        <f t="shared" ca="1" si="4"/>
        <v>19493781.760617245</v>
      </c>
      <c r="C95" s="458">
        <f t="shared" si="0"/>
        <v>76856.885515667076</v>
      </c>
      <c r="D95" s="458">
        <f t="shared" ca="1" si="9"/>
        <v>454392.67122051434</v>
      </c>
      <c r="E95" s="458">
        <f t="shared" ca="1" si="1"/>
        <v>19871317.546322092</v>
      </c>
      <c r="F95" s="442"/>
      <c r="G95" s="470">
        <f t="shared" si="12"/>
        <v>8</v>
      </c>
      <c r="H95" s="470">
        <v>88</v>
      </c>
      <c r="I95" s="455">
        <f t="shared" ca="1" si="5"/>
        <v>2108146.3963585291</v>
      </c>
      <c r="J95" s="455">
        <f t="array" ref="J95">IFERROR(INDEX('Retirement Calculator'!J:J,MATCH('Isaac 401k'!N95,'Retirement Calculator'!A:A,0),0),0)</f>
        <v>7080.840059638921</v>
      </c>
      <c r="K95" s="455">
        <f t="shared" ca="1" si="2"/>
        <v>8754.4398179120417</v>
      </c>
      <c r="L95" s="455">
        <f t="shared" ca="1" si="3"/>
        <v>2109819.9961168021</v>
      </c>
      <c r="M95" s="471">
        <f t="shared" si="6"/>
        <v>0.05</v>
      </c>
      <c r="N95" s="475">
        <f t="shared" si="7"/>
        <v>53936</v>
      </c>
    </row>
    <row r="96" spans="1:14" ht="11.25" customHeight="1" x14ac:dyDescent="0.3">
      <c r="A96" s="470">
        <v>89</v>
      </c>
      <c r="B96" s="458">
        <f t="shared" ca="1" si="4"/>
        <v>19871317.546322092</v>
      </c>
      <c r="C96" s="458">
        <f t="shared" si="0"/>
        <v>76856.885515667076</v>
      </c>
      <c r="D96" s="458">
        <f t="shared" ca="1" si="9"/>
        <v>454392.67122051434</v>
      </c>
      <c r="E96" s="458">
        <f t="shared" ca="1" si="1"/>
        <v>20248853.33202694</v>
      </c>
      <c r="F96" s="442"/>
      <c r="G96" s="470">
        <f t="shared" si="12"/>
        <v>8</v>
      </c>
      <c r="H96" s="470">
        <v>89</v>
      </c>
      <c r="I96" s="455">
        <f t="shared" ca="1" si="5"/>
        <v>2109819.9961168021</v>
      </c>
      <c r="J96" s="455">
        <f t="array" ref="J96">IFERROR(INDEX('Retirement Calculator'!J:J,MATCH('Isaac 401k'!N96,'Retirement Calculator'!A:A,0),0),0)</f>
        <v>7080.840059638921</v>
      </c>
      <c r="K96" s="455">
        <f t="shared" ca="1" si="2"/>
        <v>8761.4131502381788</v>
      </c>
      <c r="L96" s="455">
        <f t="shared" ca="1" si="3"/>
        <v>2111500.5692074015</v>
      </c>
      <c r="M96" s="471">
        <f t="shared" si="6"/>
        <v>0.05</v>
      </c>
      <c r="N96" s="475">
        <f t="shared" si="7"/>
        <v>53966</v>
      </c>
    </row>
    <row r="97" spans="1:14" ht="11.25" customHeight="1" x14ac:dyDescent="0.3">
      <c r="A97" s="470">
        <v>90</v>
      </c>
      <c r="B97" s="458">
        <f t="shared" ca="1" si="4"/>
        <v>20248853.33202694</v>
      </c>
      <c r="C97" s="458">
        <f t="shared" si="0"/>
        <v>76856.885515667076</v>
      </c>
      <c r="D97" s="458">
        <f t="shared" ca="1" si="9"/>
        <v>454392.67122051434</v>
      </c>
      <c r="E97" s="458">
        <f t="shared" ca="1" si="1"/>
        <v>20626389.117731787</v>
      </c>
      <c r="F97" s="442"/>
      <c r="G97" s="470">
        <f t="shared" si="12"/>
        <v>8</v>
      </c>
      <c r="H97" s="470">
        <v>90</v>
      </c>
      <c r="I97" s="455">
        <f t="shared" ca="1" si="5"/>
        <v>2111500.5692074015</v>
      </c>
      <c r="J97" s="455">
        <f t="array" ref="J97">IFERROR(INDEX('Retirement Calculator'!J:J,MATCH('Isaac 401k'!N97,'Retirement Calculator'!A:A,0),0),0)</f>
        <v>7080.840059638921</v>
      </c>
      <c r="K97" s="455">
        <f t="shared" ca="1" si="2"/>
        <v>8768.4155381156779</v>
      </c>
      <c r="L97" s="455">
        <f t="shared" ca="1" si="3"/>
        <v>2113188.1446858784</v>
      </c>
      <c r="M97" s="471">
        <f t="shared" si="6"/>
        <v>0.05</v>
      </c>
      <c r="N97" s="475">
        <f t="shared" si="7"/>
        <v>53997</v>
      </c>
    </row>
    <row r="98" spans="1:14" ht="11.25" customHeight="1" x14ac:dyDescent="0.3">
      <c r="A98" s="470">
        <v>91</v>
      </c>
      <c r="B98" s="458">
        <f t="shared" ca="1" si="4"/>
        <v>20626389.117731787</v>
      </c>
      <c r="C98" s="458">
        <f t="shared" si="0"/>
        <v>76856.885515667076</v>
      </c>
      <c r="D98" s="458">
        <f t="shared" ca="1" si="9"/>
        <v>454392.67122051434</v>
      </c>
      <c r="E98" s="458">
        <f t="shared" ca="1" si="1"/>
        <v>21003924.903436635</v>
      </c>
      <c r="F98" s="442"/>
      <c r="G98" s="470">
        <f t="shared" si="12"/>
        <v>8</v>
      </c>
      <c r="H98" s="470">
        <v>91</v>
      </c>
      <c r="I98" s="455">
        <f t="shared" ca="1" si="5"/>
        <v>2113188.1446858784</v>
      </c>
      <c r="J98" s="455">
        <f t="array" ref="J98">IFERROR(INDEX('Retirement Calculator'!J:J,MATCH('Isaac 401k'!N98,'Retirement Calculator'!A:A,0),0),0)</f>
        <v>7080.840059638921</v>
      </c>
      <c r="K98" s="455">
        <f t="shared" ca="1" si="2"/>
        <v>8775.4471026093306</v>
      </c>
      <c r="L98" s="455">
        <f t="shared" ca="1" si="3"/>
        <v>2114882.751728849</v>
      </c>
      <c r="M98" s="471">
        <f t="shared" si="6"/>
        <v>0.05</v>
      </c>
      <c r="N98" s="475">
        <f t="shared" si="7"/>
        <v>54027</v>
      </c>
    </row>
    <row r="99" spans="1:14" ht="11.25" customHeight="1" x14ac:dyDescent="0.3">
      <c r="A99" s="470">
        <v>92</v>
      </c>
      <c r="B99" s="458">
        <f t="shared" ca="1" si="4"/>
        <v>21003924.903436635</v>
      </c>
      <c r="C99" s="458">
        <f t="shared" si="0"/>
        <v>76856.885515667076</v>
      </c>
      <c r="D99" s="458">
        <f t="shared" ca="1" si="9"/>
        <v>454392.67122051434</v>
      </c>
      <c r="E99" s="458">
        <f t="shared" ca="1" si="1"/>
        <v>21381460.689141482</v>
      </c>
      <c r="F99" s="442"/>
      <c r="G99" s="470">
        <f t="shared" si="12"/>
        <v>8</v>
      </c>
      <c r="H99" s="470">
        <v>92</v>
      </c>
      <c r="I99" s="455">
        <f t="shared" ca="1" si="5"/>
        <v>2114882.751728849</v>
      </c>
      <c r="J99" s="455">
        <f t="array" ref="J99">IFERROR(INDEX('Retirement Calculator'!J:J,MATCH('Isaac 401k'!N99,'Retirement Calculator'!A:A,0),0),0)</f>
        <v>7080.840059638921</v>
      </c>
      <c r="K99" s="455">
        <f t="shared" ca="1" si="2"/>
        <v>8782.507965288376</v>
      </c>
      <c r="L99" s="455">
        <f t="shared" ca="1" si="3"/>
        <v>2116584.4196344987</v>
      </c>
      <c r="M99" s="471">
        <f t="shared" si="6"/>
        <v>0.05</v>
      </c>
      <c r="N99" s="475">
        <f t="shared" si="7"/>
        <v>54058</v>
      </c>
    </row>
    <row r="100" spans="1:14" ht="11.25" customHeight="1" x14ac:dyDescent="0.3">
      <c r="A100" s="470">
        <v>93</v>
      </c>
      <c r="B100" s="458">
        <f t="shared" ca="1" si="4"/>
        <v>21381460.689141482</v>
      </c>
      <c r="C100" s="458">
        <f t="shared" si="0"/>
        <v>76856.885515667076</v>
      </c>
      <c r="D100" s="458">
        <f t="shared" ca="1" si="9"/>
        <v>454392.67122051434</v>
      </c>
      <c r="E100" s="458">
        <f t="shared" ca="1" si="1"/>
        <v>21758996.47484633</v>
      </c>
      <c r="F100" s="442"/>
      <c r="G100" s="470">
        <f t="shared" si="12"/>
        <v>8</v>
      </c>
      <c r="H100" s="470">
        <v>93</v>
      </c>
      <c r="I100" s="455">
        <f t="shared" ca="1" si="5"/>
        <v>2116584.4196344987</v>
      </c>
      <c r="J100" s="455">
        <f t="array" ref="J100">IFERROR(INDEX('Retirement Calculator'!J:J,MATCH('Isaac 401k'!N100,'Retirement Calculator'!A:A,0),0),0)</f>
        <v>7080.840059638921</v>
      </c>
      <c r="K100" s="455">
        <f t="shared" ca="1" si="2"/>
        <v>8789.5982482285817</v>
      </c>
      <c r="L100" s="455">
        <f t="shared" ca="1" si="3"/>
        <v>2118293.1778230881</v>
      </c>
      <c r="M100" s="471">
        <f t="shared" si="6"/>
        <v>0.05</v>
      </c>
      <c r="N100" s="475">
        <f t="shared" si="7"/>
        <v>54089</v>
      </c>
    </row>
    <row r="101" spans="1:14" ht="11.25" customHeight="1" x14ac:dyDescent="0.3">
      <c r="A101" s="470">
        <v>94</v>
      </c>
      <c r="B101" s="458">
        <f t="shared" ca="1" si="4"/>
        <v>21758996.47484633</v>
      </c>
      <c r="C101" s="458">
        <f t="shared" si="0"/>
        <v>76856.885515667076</v>
      </c>
      <c r="D101" s="458">
        <f t="shared" ca="1" si="9"/>
        <v>454392.67122051434</v>
      </c>
      <c r="E101" s="458">
        <f t="shared" ca="1" si="1"/>
        <v>22136532.260551177</v>
      </c>
      <c r="F101" s="442"/>
      <c r="G101" s="470">
        <f t="shared" si="12"/>
        <v>8</v>
      </c>
      <c r="H101" s="470">
        <v>94</v>
      </c>
      <c r="I101" s="455">
        <f t="shared" ca="1" si="5"/>
        <v>2118293.1778230881</v>
      </c>
      <c r="J101" s="455">
        <f t="array" ref="J101">IFERROR(INDEX('Retirement Calculator'!J:J,MATCH('Isaac 401k'!N101,'Retirement Calculator'!A:A,0),0),0)</f>
        <v>7080.840059638921</v>
      </c>
      <c r="K101" s="455">
        <f t="shared" ca="1" si="2"/>
        <v>8796.7180740143722</v>
      </c>
      <c r="L101" s="455">
        <f t="shared" ca="1" si="3"/>
        <v>2120009.0558374636</v>
      </c>
      <c r="M101" s="471">
        <f t="shared" si="6"/>
        <v>0.05</v>
      </c>
      <c r="N101" s="475">
        <f t="shared" si="7"/>
        <v>54118</v>
      </c>
    </row>
    <row r="102" spans="1:14" ht="11.25" customHeight="1" x14ac:dyDescent="0.3">
      <c r="A102" s="470">
        <v>95</v>
      </c>
      <c r="B102" s="458">
        <f t="shared" ca="1" si="4"/>
        <v>22136532.260551177</v>
      </c>
      <c r="C102" s="458">
        <f t="shared" si="0"/>
        <v>76856.885515667076</v>
      </c>
      <c r="D102" s="458">
        <f t="shared" ca="1" si="9"/>
        <v>454392.67122051434</v>
      </c>
      <c r="E102" s="458">
        <f t="shared" ca="1" si="1"/>
        <v>22514068.046256024</v>
      </c>
      <c r="F102" s="442"/>
      <c r="G102" s="470">
        <f t="shared" si="12"/>
        <v>8</v>
      </c>
      <c r="H102" s="470">
        <v>95</v>
      </c>
      <c r="I102" s="455">
        <f t="shared" ca="1" si="5"/>
        <v>2120009.0558374636</v>
      </c>
      <c r="J102" s="455">
        <f t="array" ref="J102">IFERROR(INDEX('Retirement Calculator'!J:J,MATCH('Isaac 401k'!N102,'Retirement Calculator'!A:A,0),0),0)</f>
        <v>7080.840059638921</v>
      </c>
      <c r="K102" s="455">
        <f t="shared" ca="1" si="2"/>
        <v>8803.8675657409367</v>
      </c>
      <c r="L102" s="455">
        <f t="shared" ca="1" si="3"/>
        <v>2121732.0833435655</v>
      </c>
      <c r="M102" s="471">
        <f t="shared" si="6"/>
        <v>0.05</v>
      </c>
      <c r="N102" s="475">
        <f t="shared" si="7"/>
        <v>54149</v>
      </c>
    </row>
    <row r="103" spans="1:14" ht="11.25" customHeight="1" x14ac:dyDescent="0.3">
      <c r="A103" s="470">
        <v>96</v>
      </c>
      <c r="B103" s="458">
        <f t="shared" ca="1" si="4"/>
        <v>22514068.046256024</v>
      </c>
      <c r="C103" s="458">
        <f t="shared" si="0"/>
        <v>76856.885515667076</v>
      </c>
      <c r="D103" s="458">
        <f t="shared" ca="1" si="9"/>
        <v>454392.67122051434</v>
      </c>
      <c r="E103" s="458">
        <f t="shared" ca="1" si="1"/>
        <v>22891603.831960872</v>
      </c>
      <c r="F103" s="442"/>
      <c r="G103" s="470">
        <f t="shared" si="12"/>
        <v>8</v>
      </c>
      <c r="H103" s="470">
        <v>96</v>
      </c>
      <c r="I103" s="455">
        <f t="shared" ca="1" si="5"/>
        <v>2121732.0833435655</v>
      </c>
      <c r="J103" s="455">
        <f t="array" ref="J103">IFERROR(INDEX('Retirement Calculator'!J:J,MATCH('Isaac 401k'!N103,'Retirement Calculator'!A:A,0),0),0)</f>
        <v>7080.840059638921</v>
      </c>
      <c r="K103" s="455">
        <f t="shared" ca="1" si="2"/>
        <v>8811.0468470163596</v>
      </c>
      <c r="L103" s="455">
        <f t="shared" ca="1" si="3"/>
        <v>2123462.2901309431</v>
      </c>
      <c r="M103" s="471">
        <f t="shared" si="6"/>
        <v>0.05</v>
      </c>
      <c r="N103" s="475">
        <f t="shared" si="7"/>
        <v>54179</v>
      </c>
    </row>
    <row r="104" spans="1:14" ht="11.25" customHeight="1" x14ac:dyDescent="0.3">
      <c r="A104" s="470">
        <v>97</v>
      </c>
      <c r="B104" s="458">
        <f t="shared" ca="1" si="4"/>
        <v>22891603.831960872</v>
      </c>
      <c r="C104" s="458">
        <f t="shared" si="0"/>
        <v>57642.664136750303</v>
      </c>
      <c r="D104" s="458">
        <f t="shared" ca="1" si="9"/>
        <v>454392.67122051434</v>
      </c>
      <c r="E104" s="458">
        <f t="shared" ca="1" si="1"/>
        <v>23288353.839044638</v>
      </c>
      <c r="F104" s="442"/>
      <c r="G104" s="470">
        <f>G103+1</f>
        <v>9</v>
      </c>
      <c r="H104" s="470">
        <v>97</v>
      </c>
      <c r="I104" s="455">
        <f t="shared" ca="1" si="5"/>
        <v>2123462.2901309431</v>
      </c>
      <c r="J104" s="455">
        <f t="array" ref="J104">IFERROR(INDEX('Retirement Calculator'!J:J,MATCH('Isaac 401k'!N104,'Retirement Calculator'!A:A,0),0),0)</f>
        <v>7080.840059638921</v>
      </c>
      <c r="K104" s="455">
        <f t="shared" ca="1" si="2"/>
        <v>8818.2560419637666</v>
      </c>
      <c r="L104" s="455">
        <f t="shared" ca="1" si="3"/>
        <v>2125199.7061132677</v>
      </c>
      <c r="M104" s="471">
        <f t="shared" si="6"/>
        <v>0.05</v>
      </c>
      <c r="N104" s="475">
        <f t="shared" si="7"/>
        <v>54210</v>
      </c>
    </row>
    <row r="105" spans="1:14" ht="11.25" customHeight="1" x14ac:dyDescent="0.3">
      <c r="A105" s="470">
        <v>98</v>
      </c>
      <c r="B105" s="458">
        <f t="shared" ca="1" si="4"/>
        <v>23288353.839044638</v>
      </c>
      <c r="C105" s="458">
        <f t="shared" si="0"/>
        <v>0</v>
      </c>
      <c r="D105" s="458">
        <f t="shared" ca="1" si="9"/>
        <v>454392.67122051434</v>
      </c>
      <c r="E105" s="458">
        <f t="shared" ca="1" si="1"/>
        <v>23742746.510265153</v>
      </c>
      <c r="F105" s="442"/>
      <c r="G105" s="470">
        <f t="shared" ref="G105:G115" si="13">G104</f>
        <v>9</v>
      </c>
      <c r="H105" s="470">
        <v>98</v>
      </c>
      <c r="I105" s="455">
        <f t="shared" ca="1" si="5"/>
        <v>2125199.7061132677</v>
      </c>
      <c r="J105" s="455">
        <f t="array" ref="J105">IFERROR(INDEX('Retirement Calculator'!J:J,MATCH('Isaac 401k'!N105,'Retirement Calculator'!A:A,0),0),0)</f>
        <v>6404.7404596389215</v>
      </c>
      <c r="K105" s="455">
        <f t="shared" ca="1" si="2"/>
        <v>8828.3123568901192</v>
      </c>
      <c r="L105" s="455">
        <f t="shared" ca="1" si="3"/>
        <v>2127623.2780105188</v>
      </c>
      <c r="M105" s="471">
        <f t="shared" si="6"/>
        <v>0.05</v>
      </c>
      <c r="N105" s="475">
        <f t="shared" si="7"/>
        <v>54240</v>
      </c>
    </row>
    <row r="106" spans="1:14" ht="11.25" customHeight="1" x14ac:dyDescent="0.3">
      <c r="A106" s="470">
        <v>99</v>
      </c>
      <c r="B106" s="458">
        <f t="shared" ca="1" si="4"/>
        <v>23742746.510265153</v>
      </c>
      <c r="C106" s="458">
        <f t="shared" si="0"/>
        <v>0</v>
      </c>
      <c r="D106" s="458">
        <f t="shared" ca="1" si="9"/>
        <v>454392.67122051434</v>
      </c>
      <c r="E106" s="458">
        <f t="shared" ca="1" si="1"/>
        <v>24197139.181485668</v>
      </c>
      <c r="F106" s="442"/>
      <c r="G106" s="470">
        <f t="shared" si="13"/>
        <v>9</v>
      </c>
      <c r="H106" s="470">
        <v>99</v>
      </c>
      <c r="I106" s="455">
        <f t="shared" ca="1" si="5"/>
        <v>2127623.2780105188</v>
      </c>
      <c r="J106" s="455">
        <f t="array" ref="J106">IFERROR(INDEX('Retirement Calculator'!J:J,MATCH('Isaac 401k'!N106,'Retirement Calculator'!A:A,0),0),0)</f>
        <v>6404.7404596389215</v>
      </c>
      <c r="K106" s="455">
        <f t="shared" ca="1" si="2"/>
        <v>8838.4105731286654</v>
      </c>
      <c r="L106" s="455">
        <f t="shared" ca="1" si="3"/>
        <v>2130056.9481240083</v>
      </c>
      <c r="M106" s="471">
        <f t="shared" si="6"/>
        <v>0.05</v>
      </c>
      <c r="N106" s="475">
        <f t="shared" si="7"/>
        <v>54271</v>
      </c>
    </row>
    <row r="107" spans="1:14" ht="11.25" customHeight="1" x14ac:dyDescent="0.3">
      <c r="A107" s="470">
        <v>100</v>
      </c>
      <c r="B107" s="458">
        <f t="shared" ca="1" si="4"/>
        <v>24197139.181485668</v>
      </c>
      <c r="C107" s="458">
        <f t="shared" si="0"/>
        <v>0</v>
      </c>
      <c r="D107" s="458">
        <f t="shared" ca="1" si="9"/>
        <v>454392.67122051434</v>
      </c>
      <c r="E107" s="458">
        <f t="shared" ca="1" si="1"/>
        <v>24651531.852706183</v>
      </c>
      <c r="F107" s="442"/>
      <c r="G107" s="470">
        <f t="shared" si="13"/>
        <v>9</v>
      </c>
      <c r="H107" s="470">
        <v>100</v>
      </c>
      <c r="I107" s="455">
        <f t="shared" ca="1" si="5"/>
        <v>2130056.9481240083</v>
      </c>
      <c r="J107" s="455">
        <f t="array" ref="J107">IFERROR(INDEX('Retirement Calculator'!J:J,MATCH('Isaac 401k'!N107,'Retirement Calculator'!A:A,0),0),0)</f>
        <v>6404.7404596389215</v>
      </c>
      <c r="K107" s="455">
        <f t="shared" ca="1" si="2"/>
        <v>8848.5508652682038</v>
      </c>
      <c r="L107" s="455">
        <f t="shared" ca="1" si="3"/>
        <v>2132500.7585296375</v>
      </c>
      <c r="M107" s="471">
        <f t="shared" si="6"/>
        <v>0.05</v>
      </c>
      <c r="N107" s="475">
        <f t="shared" si="7"/>
        <v>54302</v>
      </c>
    </row>
    <row r="108" spans="1:14" ht="11.25" customHeight="1" x14ac:dyDescent="0.3">
      <c r="A108" s="470">
        <v>101</v>
      </c>
      <c r="B108" s="458">
        <f t="shared" ca="1" si="4"/>
        <v>24651531.852706183</v>
      </c>
      <c r="C108" s="458">
        <f t="shared" si="0"/>
        <v>0</v>
      </c>
      <c r="D108" s="458">
        <f t="shared" ca="1" si="9"/>
        <v>454392.67122051434</v>
      </c>
      <c r="E108" s="458">
        <f t="shared" ca="1" si="1"/>
        <v>25105924.523926698</v>
      </c>
      <c r="F108" s="442"/>
      <c r="G108" s="470">
        <f t="shared" si="13"/>
        <v>9</v>
      </c>
      <c r="H108" s="470">
        <v>101</v>
      </c>
      <c r="I108" s="455">
        <f t="shared" ca="1" si="5"/>
        <v>2132500.7585296375</v>
      </c>
      <c r="J108" s="455">
        <f t="array" ref="J108">IFERROR(INDEX('Retirement Calculator'!J:J,MATCH('Isaac 401k'!N108,'Retirement Calculator'!A:A,0),0),0)</f>
        <v>6404.7404596389215</v>
      </c>
      <c r="K108" s="455">
        <f t="shared" ca="1" si="2"/>
        <v>8858.7334086249939</v>
      </c>
      <c r="L108" s="455">
        <f t="shared" ca="1" si="3"/>
        <v>2134954.7514786231</v>
      </c>
      <c r="M108" s="471">
        <f t="shared" si="6"/>
        <v>0.05</v>
      </c>
      <c r="N108" s="475">
        <f t="shared" si="7"/>
        <v>54332</v>
      </c>
    </row>
    <row r="109" spans="1:14" ht="11.25" customHeight="1" x14ac:dyDescent="0.3">
      <c r="A109" s="470">
        <v>102</v>
      </c>
      <c r="B109" s="458">
        <f t="shared" ca="1" si="4"/>
        <v>25105924.523926698</v>
      </c>
      <c r="C109" s="458">
        <f t="shared" si="0"/>
        <v>0</v>
      </c>
      <c r="D109" s="458">
        <f t="shared" ca="1" si="9"/>
        <v>454392.67122051434</v>
      </c>
      <c r="E109" s="458">
        <f t="shared" ca="1" si="1"/>
        <v>25560317.195147213</v>
      </c>
      <c r="F109" s="442"/>
      <c r="G109" s="470">
        <f t="shared" si="13"/>
        <v>9</v>
      </c>
      <c r="H109" s="470">
        <v>102</v>
      </c>
      <c r="I109" s="455">
        <f t="shared" ca="1" si="5"/>
        <v>2134954.7514786231</v>
      </c>
      <c r="J109" s="455">
        <f t="array" ref="J109">IFERROR(INDEX('Retirement Calculator'!J:J,MATCH('Isaac 401k'!N109,'Retirement Calculator'!A:A,0),0),0)</f>
        <v>6404.7404596389215</v>
      </c>
      <c r="K109" s="455">
        <f t="shared" ca="1" si="2"/>
        <v>8868.958379245767</v>
      </c>
      <c r="L109" s="455">
        <f t="shared" ca="1" si="3"/>
        <v>2137418.9693982298</v>
      </c>
      <c r="M109" s="471">
        <f t="shared" si="6"/>
        <v>0.05</v>
      </c>
      <c r="N109" s="475">
        <f t="shared" si="7"/>
        <v>54363</v>
      </c>
    </row>
    <row r="110" spans="1:14" ht="11.25" customHeight="1" x14ac:dyDescent="0.3">
      <c r="A110" s="470">
        <v>103</v>
      </c>
      <c r="B110" s="458">
        <f t="shared" ca="1" si="4"/>
        <v>25560317.195147213</v>
      </c>
      <c r="C110" s="458">
        <f t="shared" si="0"/>
        <v>0</v>
      </c>
      <c r="D110" s="458">
        <f t="shared" ca="1" si="9"/>
        <v>454392.67122051434</v>
      </c>
      <c r="E110" s="458">
        <f t="shared" ca="1" si="1"/>
        <v>26014709.866367728</v>
      </c>
      <c r="F110" s="442"/>
      <c r="G110" s="470">
        <f t="shared" si="13"/>
        <v>9</v>
      </c>
      <c r="H110" s="470">
        <v>103</v>
      </c>
      <c r="I110" s="455">
        <f t="shared" ca="1" si="5"/>
        <v>2137418.9693982298</v>
      </c>
      <c r="J110" s="455">
        <f t="array" ref="J110">IFERROR(INDEX('Retirement Calculator'!J:J,MATCH('Isaac 401k'!N110,'Retirement Calculator'!A:A,0),0),0)</f>
        <v>6404.7404596389215</v>
      </c>
      <c r="K110" s="455">
        <f t="shared" ca="1" si="2"/>
        <v>8879.2259539107945</v>
      </c>
      <c r="L110" s="455">
        <f t="shared" ca="1" si="3"/>
        <v>2139893.4548925017</v>
      </c>
      <c r="M110" s="471">
        <f t="shared" si="6"/>
        <v>0.05</v>
      </c>
      <c r="N110" s="475">
        <f t="shared" si="7"/>
        <v>54393</v>
      </c>
    </row>
    <row r="111" spans="1:14" ht="11.25" customHeight="1" x14ac:dyDescent="0.3">
      <c r="A111" s="470">
        <v>104</v>
      </c>
      <c r="B111" s="458">
        <f t="shared" ca="1" si="4"/>
        <v>26014709.866367728</v>
      </c>
      <c r="C111" s="458">
        <f t="shared" si="0"/>
        <v>0</v>
      </c>
      <c r="D111" s="458">
        <f t="shared" ca="1" si="9"/>
        <v>454392.67122051434</v>
      </c>
      <c r="E111" s="458">
        <f t="shared" ca="1" si="1"/>
        <v>26469102.537588242</v>
      </c>
      <c r="F111" s="442"/>
      <c r="G111" s="470">
        <f t="shared" si="13"/>
        <v>9</v>
      </c>
      <c r="H111" s="470">
        <v>104</v>
      </c>
      <c r="I111" s="455">
        <f t="shared" ca="1" si="5"/>
        <v>2139893.4548925017</v>
      </c>
      <c r="J111" s="455">
        <f t="array" ref="J111">IFERROR(INDEX('Retirement Calculator'!J:J,MATCH('Isaac 401k'!N111,'Retirement Calculator'!A:A,0),0),0)</f>
        <v>6404.7404596389215</v>
      </c>
      <c r="K111" s="455">
        <f t="shared" ca="1" si="2"/>
        <v>8889.5363101369276</v>
      </c>
      <c r="L111" s="455">
        <f t="shared" ca="1" si="3"/>
        <v>2142378.2507429994</v>
      </c>
      <c r="M111" s="471">
        <f t="shared" si="6"/>
        <v>0.05</v>
      </c>
      <c r="N111" s="475">
        <f t="shared" si="7"/>
        <v>54424</v>
      </c>
    </row>
    <row r="112" spans="1:14" ht="11.25" customHeight="1" x14ac:dyDescent="0.3">
      <c r="A112" s="470">
        <v>105</v>
      </c>
      <c r="B112" s="458">
        <f t="shared" ca="1" si="4"/>
        <v>26469102.537588242</v>
      </c>
      <c r="C112" s="458">
        <f t="shared" si="0"/>
        <v>0</v>
      </c>
      <c r="D112" s="458">
        <f t="shared" ca="1" si="9"/>
        <v>454392.67122051434</v>
      </c>
      <c r="E112" s="458">
        <f t="shared" ca="1" si="1"/>
        <v>26923495.208808757</v>
      </c>
      <c r="F112" s="442"/>
      <c r="G112" s="470">
        <f t="shared" si="13"/>
        <v>9</v>
      </c>
      <c r="H112" s="470">
        <v>105</v>
      </c>
      <c r="I112" s="455">
        <f t="shared" ca="1" si="5"/>
        <v>2142378.2507429994</v>
      </c>
      <c r="J112" s="455">
        <f t="array" ref="J112">IFERROR(INDEX('Retirement Calculator'!J:J,MATCH('Isaac 401k'!N112,'Retirement Calculator'!A:A,0),0),0)</f>
        <v>6404.7404596389215</v>
      </c>
      <c r="K112" s="455">
        <f t="shared" ca="1" si="2"/>
        <v>8899.8896261806676</v>
      </c>
      <c r="L112" s="455">
        <f t="shared" ca="1" si="3"/>
        <v>2144873.399909541</v>
      </c>
      <c r="M112" s="471">
        <f t="shared" si="6"/>
        <v>0.05</v>
      </c>
      <c r="N112" s="475">
        <f t="shared" si="7"/>
        <v>54455</v>
      </c>
    </row>
    <row r="113" spans="1:14" ht="11.25" customHeight="1" x14ac:dyDescent="0.3">
      <c r="A113" s="470">
        <v>106</v>
      </c>
      <c r="B113" s="458">
        <f t="shared" ca="1" si="4"/>
        <v>26923495.208808757</v>
      </c>
      <c r="C113" s="458">
        <f t="shared" si="0"/>
        <v>0</v>
      </c>
      <c r="D113" s="458">
        <f t="shared" ca="1" si="9"/>
        <v>454392.67122051434</v>
      </c>
      <c r="E113" s="458">
        <f t="shared" ca="1" si="1"/>
        <v>27377887.880029272</v>
      </c>
      <c r="F113" s="442"/>
      <c r="G113" s="470">
        <f t="shared" si="13"/>
        <v>9</v>
      </c>
      <c r="H113" s="470">
        <v>106</v>
      </c>
      <c r="I113" s="455">
        <f t="shared" ca="1" si="5"/>
        <v>2144873.399909541</v>
      </c>
      <c r="J113" s="455">
        <f t="array" ref="J113">IFERROR(INDEX('Retirement Calculator'!J:J,MATCH('Isaac 401k'!N113,'Retirement Calculator'!A:A,0),0),0)</f>
        <v>6404.7404596389215</v>
      </c>
      <c r="K113" s="455">
        <f t="shared" ca="1" si="2"/>
        <v>8910.2860810412585</v>
      </c>
      <c r="L113" s="455">
        <f t="shared" ca="1" si="3"/>
        <v>2147378.9455309431</v>
      </c>
      <c r="M113" s="471">
        <f t="shared" si="6"/>
        <v>0.05</v>
      </c>
      <c r="N113" s="475">
        <f t="shared" si="7"/>
        <v>54483</v>
      </c>
    </row>
    <row r="114" spans="1:14" ht="11.25" customHeight="1" x14ac:dyDescent="0.3">
      <c r="A114" s="470">
        <v>107</v>
      </c>
      <c r="B114" s="458">
        <f t="shared" ca="1" si="4"/>
        <v>27377887.880029272</v>
      </c>
      <c r="C114" s="458">
        <f t="shared" si="0"/>
        <v>0</v>
      </c>
      <c r="D114" s="458">
        <f t="shared" ca="1" si="9"/>
        <v>454392.67122051434</v>
      </c>
      <c r="E114" s="458">
        <f t="shared" ca="1" si="1"/>
        <v>27832280.551249787</v>
      </c>
      <c r="F114" s="442"/>
      <c r="G114" s="470">
        <f t="shared" si="13"/>
        <v>9</v>
      </c>
      <c r="H114" s="470">
        <v>107</v>
      </c>
      <c r="I114" s="455">
        <f t="shared" ca="1" si="5"/>
        <v>2147378.9455309431</v>
      </c>
      <c r="J114" s="455">
        <f t="array" ref="J114">IFERROR(INDEX('Retirement Calculator'!J:J,MATCH('Isaac 401k'!N114,'Retirement Calculator'!A:A,0),0),0)</f>
        <v>6404.7404596389215</v>
      </c>
      <c r="K114" s="455">
        <f t="shared" ca="1" si="2"/>
        <v>8920.7258544637662</v>
      </c>
      <c r="L114" s="455">
        <f t="shared" ca="1" si="3"/>
        <v>2149894.9309257679</v>
      </c>
      <c r="M114" s="471">
        <f t="shared" si="6"/>
        <v>0.05</v>
      </c>
      <c r="N114" s="475">
        <f t="shared" si="7"/>
        <v>54514</v>
      </c>
    </row>
    <row r="115" spans="1:14" ht="11.25" customHeight="1" x14ac:dyDescent="0.3">
      <c r="A115" s="470">
        <v>108</v>
      </c>
      <c r="B115" s="458">
        <f t="shared" ca="1" si="4"/>
        <v>27832280.551249787</v>
      </c>
      <c r="C115" s="458">
        <f t="shared" si="0"/>
        <v>0</v>
      </c>
      <c r="D115" s="458">
        <f t="shared" ca="1" si="9"/>
        <v>454392.67122051434</v>
      </c>
      <c r="E115" s="458">
        <f t="shared" ca="1" si="1"/>
        <v>28286673.222470302</v>
      </c>
      <c r="F115" s="442"/>
      <c r="G115" s="470">
        <f t="shared" si="13"/>
        <v>9</v>
      </c>
      <c r="H115" s="470">
        <v>108</v>
      </c>
      <c r="I115" s="455">
        <f t="shared" ca="1" si="5"/>
        <v>2149894.9309257679</v>
      </c>
      <c r="J115" s="455">
        <f t="array" ref="J115">IFERROR(INDEX('Retirement Calculator'!J:J,MATCH('Isaac 401k'!N115,'Retirement Calculator'!A:A,0),0),0)</f>
        <v>6404.7404596389215</v>
      </c>
      <c r="K115" s="455">
        <f t="shared" ca="1" si="2"/>
        <v>8931.2091269422035</v>
      </c>
      <c r="L115" s="455">
        <f t="shared" ca="1" si="3"/>
        <v>2152421.3995930711</v>
      </c>
      <c r="M115" s="471">
        <f t="shared" si="6"/>
        <v>0.05</v>
      </c>
      <c r="N115" s="475">
        <f t="shared" si="7"/>
        <v>54544</v>
      </c>
    </row>
    <row r="116" spans="1:14" ht="11.25" customHeight="1" x14ac:dyDescent="0.3">
      <c r="A116" s="470">
        <v>109</v>
      </c>
      <c r="B116" s="458">
        <f t="shared" ca="1" si="4"/>
        <v>28286673.222470302</v>
      </c>
      <c r="C116" s="458">
        <f t="shared" si="0"/>
        <v>0</v>
      </c>
      <c r="D116" s="458">
        <f t="shared" ca="1" si="9"/>
        <v>454392.67122051434</v>
      </c>
      <c r="E116" s="458">
        <f t="shared" ca="1" si="1"/>
        <v>28741065.893690817</v>
      </c>
      <c r="F116" s="442"/>
      <c r="G116" s="470">
        <f>G115+1</f>
        <v>10</v>
      </c>
      <c r="H116" s="470">
        <v>109</v>
      </c>
      <c r="I116" s="455">
        <f t="shared" ca="1" si="5"/>
        <v>2152421.3995930711</v>
      </c>
      <c r="J116" s="455">
        <f t="array" ref="J116">IFERROR(INDEX('Retirement Calculator'!J:J,MATCH('Isaac 401k'!N116,'Retirement Calculator'!A:A,0),0),0)</f>
        <v>6404.7404596389215</v>
      </c>
      <c r="K116" s="455">
        <f t="shared" ca="1" si="2"/>
        <v>8941.7360797226338</v>
      </c>
      <c r="L116" s="455">
        <f t="shared" ca="1" si="3"/>
        <v>2154958.3952131546</v>
      </c>
      <c r="M116" s="471">
        <f t="shared" si="6"/>
        <v>0.05</v>
      </c>
      <c r="N116" s="475">
        <f t="shared" si="7"/>
        <v>54575</v>
      </c>
    </row>
    <row r="117" spans="1:14" ht="11.25" customHeight="1" x14ac:dyDescent="0.3">
      <c r="A117" s="470">
        <v>110</v>
      </c>
      <c r="B117" s="458">
        <f t="shared" ca="1" si="4"/>
        <v>28741065.893690817</v>
      </c>
      <c r="C117" s="458">
        <f t="shared" si="0"/>
        <v>0</v>
      </c>
      <c r="D117" s="458">
        <f t="shared" ca="1" si="9"/>
        <v>454392.67122051434</v>
      </c>
      <c r="E117" s="458">
        <f t="shared" ca="1" si="1"/>
        <v>29195458.564911332</v>
      </c>
      <c r="F117" s="442"/>
      <c r="G117" s="470">
        <f t="shared" ref="G117:G127" si="14">G116</f>
        <v>10</v>
      </c>
      <c r="H117" s="470">
        <v>110</v>
      </c>
      <c r="I117" s="455">
        <f t="shared" ca="1" si="5"/>
        <v>2154958.3952131546</v>
      </c>
      <c r="J117" s="455">
        <f t="array" ref="J117">IFERROR(INDEX('Retirement Calculator'!J:J,MATCH('Isaac 401k'!N117,'Retirement Calculator'!A:A,0),0),0)</f>
        <v>6404.7404596389215</v>
      </c>
      <c r="K117" s="455">
        <f t="shared" ca="1" si="2"/>
        <v>8952.3068948063137</v>
      </c>
      <c r="L117" s="455">
        <f t="shared" ca="1" si="3"/>
        <v>2157505.9616483217</v>
      </c>
      <c r="M117" s="471">
        <f t="shared" si="6"/>
        <v>0.05</v>
      </c>
      <c r="N117" s="475">
        <f t="shared" si="7"/>
        <v>54605</v>
      </c>
    </row>
    <row r="118" spans="1:14" ht="11.25" customHeight="1" x14ac:dyDescent="0.3">
      <c r="A118" s="470">
        <v>111</v>
      </c>
      <c r="B118" s="458">
        <f t="shared" ca="1" si="4"/>
        <v>29195458.564911332</v>
      </c>
      <c r="C118" s="458">
        <f t="shared" si="0"/>
        <v>0</v>
      </c>
      <c r="D118" s="458">
        <f t="shared" ca="1" si="9"/>
        <v>454392.67122051434</v>
      </c>
      <c r="E118" s="458">
        <f t="shared" ca="1" si="1"/>
        <v>29649851.236131847</v>
      </c>
      <c r="F118" s="442"/>
      <c r="G118" s="470">
        <f t="shared" si="14"/>
        <v>10</v>
      </c>
      <c r="H118" s="470">
        <v>111</v>
      </c>
      <c r="I118" s="455">
        <f t="shared" ca="1" si="5"/>
        <v>2157505.9616483217</v>
      </c>
      <c r="J118" s="455">
        <f t="array" ref="J118">IFERROR(INDEX('Retirement Calculator'!J:J,MATCH('Isaac 401k'!N118,'Retirement Calculator'!A:A,0),0),0)</f>
        <v>6404.7404596389215</v>
      </c>
      <c r="K118" s="455">
        <f t="shared" ca="1" si="2"/>
        <v>8962.9217549528439</v>
      </c>
      <c r="L118" s="455">
        <f t="shared" ca="1" si="3"/>
        <v>2160064.1429436356</v>
      </c>
      <c r="M118" s="471">
        <f t="shared" si="6"/>
        <v>0.05</v>
      </c>
      <c r="N118" s="475">
        <f t="shared" si="7"/>
        <v>54636</v>
      </c>
    </row>
    <row r="119" spans="1:14" ht="11.25" customHeight="1" x14ac:dyDescent="0.3">
      <c r="A119" s="470">
        <v>112</v>
      </c>
      <c r="B119" s="458">
        <f t="shared" ca="1" si="4"/>
        <v>29649851.236131847</v>
      </c>
      <c r="C119" s="458">
        <f t="shared" si="0"/>
        <v>0</v>
      </c>
      <c r="D119" s="458">
        <f t="shared" ca="1" si="9"/>
        <v>454392.67122051434</v>
      </c>
      <c r="E119" s="458">
        <f t="shared" ca="1" si="1"/>
        <v>30104243.907352362</v>
      </c>
      <c r="F119" s="442"/>
      <c r="G119" s="470">
        <f t="shared" si="14"/>
        <v>10</v>
      </c>
      <c r="H119" s="470">
        <v>112</v>
      </c>
      <c r="I119" s="455">
        <f t="shared" ca="1" si="5"/>
        <v>2160064.1429436356</v>
      </c>
      <c r="J119" s="455">
        <f t="array" ref="J119">IFERROR(INDEX('Retirement Calculator'!J:J,MATCH('Isaac 401k'!N119,'Retirement Calculator'!A:A,0),0),0)</f>
        <v>6404.7404596389215</v>
      </c>
      <c r="K119" s="455">
        <f t="shared" ca="1" si="2"/>
        <v>8973.5808436833177</v>
      </c>
      <c r="L119" s="455">
        <f t="shared" ca="1" si="3"/>
        <v>2162632.9833276798</v>
      </c>
      <c r="M119" s="471">
        <f t="shared" si="6"/>
        <v>0.05</v>
      </c>
      <c r="N119" s="475">
        <f t="shared" si="7"/>
        <v>54667</v>
      </c>
    </row>
    <row r="120" spans="1:14" ht="11.25" customHeight="1" x14ac:dyDescent="0.3">
      <c r="A120" s="470">
        <v>113</v>
      </c>
      <c r="B120" s="458">
        <f t="shared" ca="1" si="4"/>
        <v>30104243.907352362</v>
      </c>
      <c r="C120" s="458">
        <f t="shared" si="0"/>
        <v>0</v>
      </c>
      <c r="D120" s="458">
        <f t="shared" ca="1" si="9"/>
        <v>454392.67122051434</v>
      </c>
      <c r="E120" s="458">
        <f t="shared" ca="1" si="1"/>
        <v>30558636.578572877</v>
      </c>
      <c r="F120" s="442"/>
      <c r="G120" s="470">
        <f t="shared" si="14"/>
        <v>10</v>
      </c>
      <c r="H120" s="470">
        <v>113</v>
      </c>
      <c r="I120" s="455">
        <f t="shared" ca="1" si="5"/>
        <v>2162632.9833276798</v>
      </c>
      <c r="J120" s="455">
        <f t="array" ref="J120">IFERROR(INDEX('Retirement Calculator'!J:J,MATCH('Isaac 401k'!N120,'Retirement Calculator'!A:A,0),0),0)</f>
        <v>6404.7404596389215</v>
      </c>
      <c r="K120" s="455">
        <f t="shared" ca="1" si="2"/>
        <v>8984.2843452835023</v>
      </c>
      <c r="L120" s="455">
        <f t="shared" ca="1" si="3"/>
        <v>2165212.5272133243</v>
      </c>
      <c r="M120" s="471">
        <f t="shared" si="6"/>
        <v>0.05</v>
      </c>
      <c r="N120" s="475">
        <f t="shared" si="7"/>
        <v>54697</v>
      </c>
    </row>
    <row r="121" spans="1:14" ht="11.25" customHeight="1" x14ac:dyDescent="0.3">
      <c r="A121" s="470">
        <v>114</v>
      </c>
      <c r="B121" s="458">
        <f t="shared" ca="1" si="4"/>
        <v>30558636.578572877</v>
      </c>
      <c r="C121" s="458">
        <f t="shared" si="0"/>
        <v>0</v>
      </c>
      <c r="D121" s="458">
        <f t="shared" ca="1" si="9"/>
        <v>454392.67122051434</v>
      </c>
      <c r="E121" s="458">
        <f t="shared" ca="1" si="1"/>
        <v>31013029.249793392</v>
      </c>
      <c r="F121" s="442"/>
      <c r="G121" s="470">
        <f t="shared" si="14"/>
        <v>10</v>
      </c>
      <c r="H121" s="470">
        <v>114</v>
      </c>
      <c r="I121" s="455">
        <f t="shared" ca="1" si="5"/>
        <v>2165212.5272133243</v>
      </c>
      <c r="J121" s="455">
        <f t="array" ref="J121">IFERROR(INDEX('Retirement Calculator'!J:J,MATCH('Isaac 401k'!N121,'Retirement Calculator'!A:A,0),0),0)</f>
        <v>6404.7404596389215</v>
      </c>
      <c r="K121" s="455">
        <f t="shared" ca="1" si="2"/>
        <v>8995.0324448070223</v>
      </c>
      <c r="L121" s="455">
        <f t="shared" ca="1" si="3"/>
        <v>2167802.8191984924</v>
      </c>
      <c r="M121" s="471">
        <f t="shared" si="6"/>
        <v>0.05</v>
      </c>
      <c r="N121" s="475">
        <f t="shared" si="7"/>
        <v>54728</v>
      </c>
    </row>
    <row r="122" spans="1:14" ht="11.25" customHeight="1" x14ac:dyDescent="0.3">
      <c r="A122" s="470">
        <v>115</v>
      </c>
      <c r="B122" s="458">
        <f t="shared" ca="1" si="4"/>
        <v>31013029.249793392</v>
      </c>
      <c r="C122" s="458">
        <f t="shared" si="0"/>
        <v>0</v>
      </c>
      <c r="D122" s="458">
        <f t="shared" ca="1" si="9"/>
        <v>454392.67122051434</v>
      </c>
      <c r="E122" s="458">
        <f t="shared" ca="1" si="1"/>
        <v>31467421.921013907</v>
      </c>
      <c r="F122" s="442"/>
      <c r="G122" s="470">
        <f t="shared" si="14"/>
        <v>10</v>
      </c>
      <c r="H122" s="470">
        <v>115</v>
      </c>
      <c r="I122" s="455">
        <f t="shared" ca="1" si="5"/>
        <v>2167802.8191984924</v>
      </c>
      <c r="J122" s="455">
        <f t="array" ref="J122">IFERROR(INDEX('Retirement Calculator'!J:J,MATCH('Isaac 401k'!N122,'Retirement Calculator'!A:A,0),0),0)</f>
        <v>6404.7404596389215</v>
      </c>
      <c r="K122" s="455">
        <f t="shared" ca="1" si="2"/>
        <v>9005.8253280785557</v>
      </c>
      <c r="L122" s="455">
        <f t="shared" ca="1" si="3"/>
        <v>2170403.9040669319</v>
      </c>
      <c r="M122" s="471">
        <f t="shared" si="6"/>
        <v>0.05</v>
      </c>
      <c r="N122" s="475">
        <f t="shared" si="7"/>
        <v>54758</v>
      </c>
    </row>
    <row r="123" spans="1:14" ht="11.25" customHeight="1" x14ac:dyDescent="0.3">
      <c r="A123" s="470">
        <v>116</v>
      </c>
      <c r="B123" s="458">
        <f t="shared" ca="1" si="4"/>
        <v>31467421.921013907</v>
      </c>
      <c r="C123" s="458">
        <f t="shared" si="0"/>
        <v>0</v>
      </c>
      <c r="D123" s="458">
        <f t="shared" ca="1" si="9"/>
        <v>454392.67122051434</v>
      </c>
      <c r="E123" s="458">
        <f t="shared" ca="1" si="1"/>
        <v>31921814.592234422</v>
      </c>
      <c r="F123" s="442"/>
      <c r="G123" s="470">
        <f t="shared" si="14"/>
        <v>10</v>
      </c>
      <c r="H123" s="470">
        <v>116</v>
      </c>
      <c r="I123" s="455">
        <f t="shared" ca="1" si="5"/>
        <v>2170403.9040669319</v>
      </c>
      <c r="J123" s="455">
        <f t="array" ref="J123">IFERROR(INDEX('Retirement Calculator'!J:J,MATCH('Isaac 401k'!N123,'Retirement Calculator'!A:A,0),0),0)</f>
        <v>6404.7404596389215</v>
      </c>
      <c r="K123" s="455">
        <f t="shared" ca="1" si="2"/>
        <v>9016.663181697053</v>
      </c>
      <c r="L123" s="455">
        <f t="shared" ca="1" si="3"/>
        <v>2173015.8267889898</v>
      </c>
      <c r="M123" s="471">
        <f t="shared" si="6"/>
        <v>0.05</v>
      </c>
      <c r="N123" s="475">
        <f t="shared" si="7"/>
        <v>54789</v>
      </c>
    </row>
    <row r="124" spans="1:14" ht="11.25" customHeight="1" x14ac:dyDescent="0.3">
      <c r="A124" s="470">
        <v>117</v>
      </c>
      <c r="B124" s="458">
        <f t="shared" ca="1" si="4"/>
        <v>31921814.592234422</v>
      </c>
      <c r="C124" s="458">
        <f t="shared" si="0"/>
        <v>0</v>
      </c>
      <c r="D124" s="458">
        <f t="shared" ca="1" si="9"/>
        <v>454392.67122051434</v>
      </c>
      <c r="E124" s="458">
        <f t="shared" ca="1" si="1"/>
        <v>32376207.263454936</v>
      </c>
      <c r="F124" s="442"/>
      <c r="G124" s="470">
        <f t="shared" si="14"/>
        <v>10</v>
      </c>
      <c r="H124" s="470">
        <v>117</v>
      </c>
      <c r="I124" s="455">
        <f t="shared" ca="1" si="5"/>
        <v>2173015.8267889898</v>
      </c>
      <c r="J124" s="455">
        <f t="array" ref="J124">IFERROR(INDEX('Retirement Calculator'!J:J,MATCH('Isaac 401k'!N124,'Retirement Calculator'!A:A,0),0),0)</f>
        <v>6404.7404596389215</v>
      </c>
      <c r="K124" s="455">
        <f t="shared" ca="1" si="2"/>
        <v>9027.5461930389611</v>
      </c>
      <c r="L124" s="455">
        <f t="shared" ca="1" si="3"/>
        <v>2175638.6325223898</v>
      </c>
      <c r="M124" s="471">
        <f t="shared" si="6"/>
        <v>0.05</v>
      </c>
      <c r="N124" s="475">
        <f t="shared" si="7"/>
        <v>54820</v>
      </c>
    </row>
    <row r="125" spans="1:14" ht="11.25" customHeight="1" x14ac:dyDescent="0.3">
      <c r="A125" s="470">
        <v>118</v>
      </c>
      <c r="B125" s="458">
        <f t="shared" ca="1" si="4"/>
        <v>32376207.263454936</v>
      </c>
      <c r="C125" s="458">
        <f t="shared" si="0"/>
        <v>0</v>
      </c>
      <c r="D125" s="458">
        <f t="shared" ca="1" si="9"/>
        <v>454392.67122051434</v>
      </c>
      <c r="E125" s="458">
        <f t="shared" ca="1" si="1"/>
        <v>32830599.934675451</v>
      </c>
      <c r="F125" s="442"/>
      <c r="G125" s="470">
        <f t="shared" si="14"/>
        <v>10</v>
      </c>
      <c r="H125" s="470">
        <v>118</v>
      </c>
      <c r="I125" s="455">
        <f t="shared" ca="1" si="5"/>
        <v>2175638.6325223898</v>
      </c>
      <c r="J125" s="455">
        <f t="array" ref="J125">IFERROR(INDEX('Retirement Calculator'!J:J,MATCH('Isaac 401k'!N125,'Retirement Calculator'!A:A,0),0),0)</f>
        <v>6404.7404596389215</v>
      </c>
      <c r="K125" s="455">
        <f t="shared" ca="1" si="2"/>
        <v>9038.4745502614605</v>
      </c>
      <c r="L125" s="455">
        <f t="shared" ca="1" si="3"/>
        <v>2178272.3666130123</v>
      </c>
      <c r="M125" s="471">
        <f t="shared" si="6"/>
        <v>0.05</v>
      </c>
      <c r="N125" s="475">
        <f t="shared" si="7"/>
        <v>54848</v>
      </c>
    </row>
    <row r="126" spans="1:14" ht="11.25" customHeight="1" x14ac:dyDescent="0.3">
      <c r="A126" s="470">
        <v>119</v>
      </c>
      <c r="B126" s="458">
        <f t="shared" ca="1" si="4"/>
        <v>32830599.934675451</v>
      </c>
      <c r="C126" s="458">
        <f t="shared" si="0"/>
        <v>0</v>
      </c>
      <c r="D126" s="458">
        <f t="shared" ca="1" si="9"/>
        <v>454392.67122051434</v>
      </c>
      <c r="E126" s="458">
        <f t="shared" ca="1" si="1"/>
        <v>33284992.605895966</v>
      </c>
      <c r="F126" s="442"/>
      <c r="G126" s="470">
        <f t="shared" si="14"/>
        <v>10</v>
      </c>
      <c r="H126" s="470">
        <v>119</v>
      </c>
      <c r="I126" s="455">
        <f t="shared" ca="1" si="5"/>
        <v>2178272.3666130123</v>
      </c>
      <c r="J126" s="455">
        <f t="array" ref="J126">IFERROR(INDEX('Retirement Calculator'!J:J,MATCH('Isaac 401k'!N126,'Retirement Calculator'!A:A,0),0),0)</f>
        <v>6404.7404596389215</v>
      </c>
      <c r="K126" s="455">
        <f t="shared" ca="1" si="2"/>
        <v>9049.448442305722</v>
      </c>
      <c r="L126" s="455">
        <f t="shared" ca="1" si="3"/>
        <v>2180917.0745956791</v>
      </c>
      <c r="M126" s="471">
        <f t="shared" si="6"/>
        <v>0.05</v>
      </c>
      <c r="N126" s="475">
        <f t="shared" si="7"/>
        <v>54879</v>
      </c>
    </row>
    <row r="127" spans="1:14" ht="11.25" customHeight="1" x14ac:dyDescent="0.3">
      <c r="A127" s="470">
        <v>120</v>
      </c>
      <c r="B127" s="458">
        <f t="shared" ca="1" si="4"/>
        <v>33284992.605895966</v>
      </c>
      <c r="C127" s="458">
        <f t="shared" si="0"/>
        <v>0</v>
      </c>
      <c r="D127" s="458">
        <f t="shared" ca="1" si="9"/>
        <v>454392.67122051434</v>
      </c>
      <c r="E127" s="458">
        <f t="shared" ca="1" si="1"/>
        <v>33739385.277116477</v>
      </c>
      <c r="F127" s="442"/>
      <c r="G127" s="470">
        <f t="shared" si="14"/>
        <v>10</v>
      </c>
      <c r="H127" s="470">
        <v>120</v>
      </c>
      <c r="I127" s="455">
        <f t="shared" ca="1" si="5"/>
        <v>2180917.0745956791</v>
      </c>
      <c r="J127" s="455">
        <f t="array" ref="J127">IFERROR(INDEX('Retirement Calculator'!J:J,MATCH('Isaac 401k'!N127,'Retirement Calculator'!A:A,0),0),0)</f>
        <v>6404.7404596389215</v>
      </c>
      <c r="K127" s="455">
        <f t="shared" ca="1" si="2"/>
        <v>9060.4680589001655</v>
      </c>
      <c r="L127" s="455">
        <f t="shared" ca="1" si="3"/>
        <v>2183572.8021949399</v>
      </c>
      <c r="M127" s="471">
        <f t="shared" si="6"/>
        <v>0.05</v>
      </c>
      <c r="N127" s="475">
        <f t="shared" si="7"/>
        <v>54909</v>
      </c>
    </row>
    <row r="128" spans="1:14" ht="11.25" customHeight="1" x14ac:dyDescent="0.3">
      <c r="A128" s="470">
        <v>121</v>
      </c>
      <c r="B128" s="458">
        <f t="shared" ca="1" si="4"/>
        <v>33739385.277116477</v>
      </c>
      <c r="C128" s="458">
        <f t="shared" si="0"/>
        <v>0</v>
      </c>
      <c r="D128" s="458">
        <f t="shared" ca="1" si="9"/>
        <v>454392.67122051434</v>
      </c>
      <c r="E128" s="458">
        <f t="shared" ca="1" si="1"/>
        <v>34193777.948336989</v>
      </c>
      <c r="F128" s="442"/>
      <c r="G128" s="470">
        <f>G127+1</f>
        <v>11</v>
      </c>
      <c r="H128" s="470">
        <v>121</v>
      </c>
      <c r="I128" s="455">
        <f t="shared" ca="1" si="5"/>
        <v>2183572.8021949399</v>
      </c>
      <c r="J128" s="455">
        <f t="array" ref="J128">IFERROR(INDEX('Retirement Calculator'!J:J,MATCH('Isaac 401k'!N128,'Retirement Calculator'!A:A,0),0),0)</f>
        <v>6404.7404596389215</v>
      </c>
      <c r="K128" s="455">
        <f t="shared" ca="1" si="2"/>
        <v>9071.533590563753</v>
      </c>
      <c r="L128" s="455">
        <f t="shared" ca="1" si="3"/>
        <v>2186239.5953258644</v>
      </c>
      <c r="M128" s="471">
        <f t="shared" si="6"/>
        <v>0.05</v>
      </c>
      <c r="N128" s="475">
        <f t="shared" si="7"/>
        <v>54940</v>
      </c>
    </row>
    <row r="129" spans="1:14" ht="11.25" customHeight="1" x14ac:dyDescent="0.3">
      <c r="A129" s="470">
        <v>122</v>
      </c>
      <c r="B129" s="458">
        <f t="shared" ca="1" si="4"/>
        <v>34193777.948336989</v>
      </c>
      <c r="C129" s="458">
        <f t="shared" si="0"/>
        <v>0</v>
      </c>
      <c r="D129" s="458">
        <f t="shared" ca="1" si="9"/>
        <v>454392.67122051434</v>
      </c>
      <c r="E129" s="458">
        <f t="shared" ca="1" si="1"/>
        <v>34648170.6195575</v>
      </c>
      <c r="F129" s="442"/>
      <c r="G129" s="470">
        <f t="shared" ref="G129:G139" si="15">G128</f>
        <v>11</v>
      </c>
      <c r="H129" s="470">
        <v>122</v>
      </c>
      <c r="I129" s="455">
        <f t="shared" ca="1" si="5"/>
        <v>2186239.5953258644</v>
      </c>
      <c r="J129" s="455">
        <f t="array" ref="J129">IFERROR(INDEX('Retirement Calculator'!J:J,MATCH('Isaac 401k'!N129,'Retirement Calculator'!A:A,0),0),0)</f>
        <v>6404.7404596389215</v>
      </c>
      <c r="K129" s="455">
        <f t="shared" ca="1" si="2"/>
        <v>9082.6452286092717</v>
      </c>
      <c r="L129" s="455">
        <f t="shared" ca="1" si="3"/>
        <v>2188917.5000948347</v>
      </c>
      <c r="M129" s="471">
        <f t="shared" si="6"/>
        <v>0.05</v>
      </c>
      <c r="N129" s="475">
        <f t="shared" si="7"/>
        <v>54970</v>
      </c>
    </row>
    <row r="130" spans="1:14" ht="11.25" customHeight="1" x14ac:dyDescent="0.3">
      <c r="A130" s="470">
        <v>123</v>
      </c>
      <c r="B130" s="458">
        <f t="shared" ca="1" si="4"/>
        <v>34648170.6195575</v>
      </c>
      <c r="C130" s="458">
        <f t="shared" si="0"/>
        <v>0</v>
      </c>
      <c r="D130" s="458">
        <f t="shared" ca="1" si="9"/>
        <v>454392.67122051434</v>
      </c>
      <c r="E130" s="458">
        <f t="shared" ca="1" si="1"/>
        <v>35102563.290778011</v>
      </c>
      <c r="F130" s="442"/>
      <c r="G130" s="470">
        <f t="shared" si="15"/>
        <v>11</v>
      </c>
      <c r="H130" s="470">
        <v>123</v>
      </c>
      <c r="I130" s="455">
        <f t="shared" ca="1" si="5"/>
        <v>2188917.5000948347</v>
      </c>
      <c r="J130" s="455">
        <f t="array" ref="J130">IFERROR(INDEX('Retirement Calculator'!J:J,MATCH('Isaac 401k'!N130,'Retirement Calculator'!A:A,0),0),0)</f>
        <v>6404.7404596389215</v>
      </c>
      <c r="K130" s="455">
        <f t="shared" ca="1" si="2"/>
        <v>9093.8031651466481</v>
      </c>
      <c r="L130" s="455">
        <f t="shared" ca="1" si="3"/>
        <v>2191606.5628003422</v>
      </c>
      <c r="M130" s="471">
        <f t="shared" si="6"/>
        <v>0.05</v>
      </c>
      <c r="N130" s="475">
        <f t="shared" si="7"/>
        <v>55001</v>
      </c>
    </row>
    <row r="131" spans="1:14" ht="11.25" customHeight="1" x14ac:dyDescent="0.3">
      <c r="A131" s="470">
        <v>124</v>
      </c>
      <c r="B131" s="458">
        <f t="shared" ca="1" si="4"/>
        <v>35102563.290778011</v>
      </c>
      <c r="C131" s="458">
        <f t="shared" si="0"/>
        <v>0</v>
      </c>
      <c r="D131" s="458">
        <f t="shared" ca="1" si="9"/>
        <v>454392.67122051434</v>
      </c>
      <c r="E131" s="458">
        <f t="shared" ca="1" si="1"/>
        <v>35556955.961998522</v>
      </c>
      <c r="F131" s="442"/>
      <c r="G131" s="470">
        <f t="shared" si="15"/>
        <v>11</v>
      </c>
      <c r="H131" s="470">
        <v>124</v>
      </c>
      <c r="I131" s="455">
        <f t="shared" ca="1" si="5"/>
        <v>2191606.5628003422</v>
      </c>
      <c r="J131" s="455">
        <f t="array" ref="J131">IFERROR(INDEX('Retirement Calculator'!J:J,MATCH('Isaac 401k'!N131,'Retirement Calculator'!A:A,0),0),0)</f>
        <v>6404.7404596389215</v>
      </c>
      <c r="K131" s="455">
        <f t="shared" ca="1" si="2"/>
        <v>9105.0075930862622</v>
      </c>
      <c r="L131" s="455">
        <f t="shared" ca="1" si="3"/>
        <v>2194306.8299337896</v>
      </c>
      <c r="M131" s="471">
        <f t="shared" si="6"/>
        <v>0.05</v>
      </c>
      <c r="N131" s="475">
        <f t="shared" si="7"/>
        <v>55032</v>
      </c>
    </row>
    <row r="132" spans="1:14" ht="11.25" customHeight="1" x14ac:dyDescent="0.3">
      <c r="A132" s="470">
        <v>125</v>
      </c>
      <c r="B132" s="458">
        <f t="shared" ca="1" si="4"/>
        <v>35556955.961998522</v>
      </c>
      <c r="C132" s="458">
        <f t="shared" si="0"/>
        <v>0</v>
      </c>
      <c r="D132" s="458">
        <f t="shared" ca="1" si="9"/>
        <v>454392.67122051434</v>
      </c>
      <c r="E132" s="458">
        <f t="shared" ca="1" si="1"/>
        <v>36011348.633219033</v>
      </c>
      <c r="F132" s="442"/>
      <c r="G132" s="470">
        <f t="shared" si="15"/>
        <v>11</v>
      </c>
      <c r="H132" s="470">
        <v>125</v>
      </c>
      <c r="I132" s="455">
        <f t="shared" ca="1" si="5"/>
        <v>2194306.8299337896</v>
      </c>
      <c r="J132" s="455">
        <f t="array" ref="J132">IFERROR(INDEX('Retirement Calculator'!J:J,MATCH('Isaac 401k'!N132,'Retirement Calculator'!A:A,0),0),0)</f>
        <v>6404.7404596389215</v>
      </c>
      <c r="K132" s="455">
        <f t="shared" ca="1" si="2"/>
        <v>9116.2587061422928</v>
      </c>
      <c r="L132" s="455">
        <f t="shared" ca="1" si="3"/>
        <v>2197018.3481802926</v>
      </c>
      <c r="M132" s="471">
        <f t="shared" si="6"/>
        <v>0.05</v>
      </c>
      <c r="N132" s="475">
        <f t="shared" si="7"/>
        <v>55062</v>
      </c>
    </row>
    <row r="133" spans="1:14" ht="11.25" customHeight="1" x14ac:dyDescent="0.3">
      <c r="A133" s="470">
        <v>126</v>
      </c>
      <c r="B133" s="458">
        <f t="shared" ca="1" si="4"/>
        <v>36011348.633219033</v>
      </c>
      <c r="C133" s="458">
        <f t="shared" si="0"/>
        <v>0</v>
      </c>
      <c r="D133" s="458">
        <f t="shared" ca="1" si="9"/>
        <v>454392.67122051434</v>
      </c>
      <c r="E133" s="458">
        <f t="shared" ca="1" si="1"/>
        <v>36465741.304439545</v>
      </c>
      <c r="F133" s="442"/>
      <c r="G133" s="470">
        <f t="shared" si="15"/>
        <v>11</v>
      </c>
      <c r="H133" s="470">
        <v>126</v>
      </c>
      <c r="I133" s="455">
        <f t="shared" ca="1" si="5"/>
        <v>2197018.3481802926</v>
      </c>
      <c r="J133" s="455">
        <f t="array" ref="J133">IFERROR(INDEX('Retirement Calculator'!J:J,MATCH('Isaac 401k'!N133,'Retirement Calculator'!A:A,0),0),0)</f>
        <v>6404.7404596389215</v>
      </c>
      <c r="K133" s="455">
        <f t="shared" ca="1" si="2"/>
        <v>9127.556698836057</v>
      </c>
      <c r="L133" s="455">
        <f t="shared" ca="1" si="3"/>
        <v>2199741.1644194894</v>
      </c>
      <c r="M133" s="471">
        <f t="shared" si="6"/>
        <v>0.05</v>
      </c>
      <c r="N133" s="475">
        <f t="shared" si="7"/>
        <v>55093</v>
      </c>
    </row>
    <row r="134" spans="1:14" ht="11.25" customHeight="1" x14ac:dyDescent="0.3">
      <c r="A134" s="470">
        <v>127</v>
      </c>
      <c r="B134" s="458">
        <f t="shared" ca="1" si="4"/>
        <v>36465741.304439545</v>
      </c>
      <c r="C134" s="458">
        <f t="shared" si="0"/>
        <v>0</v>
      </c>
      <c r="D134" s="458">
        <f t="shared" ca="1" si="9"/>
        <v>454392.67122051434</v>
      </c>
      <c r="E134" s="458">
        <f t="shared" ca="1" si="1"/>
        <v>36920133.975660056</v>
      </c>
      <c r="F134" s="442"/>
      <c r="G134" s="470">
        <f t="shared" si="15"/>
        <v>11</v>
      </c>
      <c r="H134" s="470">
        <v>127</v>
      </c>
      <c r="I134" s="455">
        <f t="shared" ca="1" si="5"/>
        <v>2199741.1644194894</v>
      </c>
      <c r="J134" s="455">
        <f t="array" ref="J134">IFERROR(INDEX('Retirement Calculator'!J:J,MATCH('Isaac 401k'!N134,'Retirement Calculator'!A:A,0),0),0)</f>
        <v>6404.7404596389215</v>
      </c>
      <c r="K134" s="455">
        <f t="shared" ca="1" si="2"/>
        <v>9138.9017664993771</v>
      </c>
      <c r="L134" s="455">
        <f t="shared" ca="1" si="3"/>
        <v>2202475.3257263498</v>
      </c>
      <c r="M134" s="471">
        <f t="shared" si="6"/>
        <v>0.05</v>
      </c>
      <c r="N134" s="475">
        <f t="shared" si="7"/>
        <v>55123</v>
      </c>
    </row>
    <row r="135" spans="1:14" ht="11.25" customHeight="1" x14ac:dyDescent="0.3">
      <c r="A135" s="470">
        <v>128</v>
      </c>
      <c r="B135" s="458">
        <f t="shared" ca="1" si="4"/>
        <v>36920133.975660056</v>
      </c>
      <c r="C135" s="458">
        <f t="shared" si="0"/>
        <v>0</v>
      </c>
      <c r="D135" s="458">
        <f t="shared" ca="1" si="9"/>
        <v>454392.67122051434</v>
      </c>
      <c r="E135" s="458">
        <f t="shared" ca="1" si="1"/>
        <v>37374526.646880567</v>
      </c>
      <c r="F135" s="442"/>
      <c r="G135" s="470">
        <f t="shared" si="15"/>
        <v>11</v>
      </c>
      <c r="H135" s="470">
        <v>128</v>
      </c>
      <c r="I135" s="455">
        <f t="shared" ca="1" si="5"/>
        <v>2202475.3257263498</v>
      </c>
      <c r="J135" s="455">
        <f t="array" ref="J135">IFERROR(INDEX('Retirement Calculator'!J:J,MATCH('Isaac 401k'!N135,'Retirement Calculator'!A:A,0),0),0)</f>
        <v>6404.7404596389215</v>
      </c>
      <c r="K135" s="455">
        <f t="shared" ca="1" si="2"/>
        <v>9150.2941052779606</v>
      </c>
      <c r="L135" s="455">
        <f t="shared" ca="1" si="3"/>
        <v>2205220.8793719886</v>
      </c>
      <c r="M135" s="471">
        <f t="shared" si="6"/>
        <v>0.05</v>
      </c>
      <c r="N135" s="475">
        <f t="shared" si="7"/>
        <v>55154</v>
      </c>
    </row>
    <row r="136" spans="1:14" ht="11.25" customHeight="1" x14ac:dyDescent="0.3">
      <c r="A136" s="470">
        <v>129</v>
      </c>
      <c r="B136" s="458">
        <f t="shared" ca="1" si="4"/>
        <v>37374526.646880567</v>
      </c>
      <c r="C136" s="458">
        <f t="shared" si="0"/>
        <v>0</v>
      </c>
      <c r="D136" s="458">
        <f t="shared" ca="1" si="9"/>
        <v>454392.67122051434</v>
      </c>
      <c r="E136" s="458">
        <f t="shared" ca="1" si="1"/>
        <v>37828919.318101078</v>
      </c>
      <c r="F136" s="442"/>
      <c r="G136" s="470">
        <f t="shared" si="15"/>
        <v>11</v>
      </c>
      <c r="H136" s="470">
        <v>129</v>
      </c>
      <c r="I136" s="455">
        <f t="shared" ca="1" si="5"/>
        <v>2205220.8793719886</v>
      </c>
      <c r="J136" s="455">
        <f t="array" ref="J136">IFERROR(INDEX('Retirement Calculator'!J:J,MATCH('Isaac 401k'!N136,'Retirement Calculator'!A:A,0),0),0)</f>
        <v>6404.7404596389215</v>
      </c>
      <c r="K136" s="455">
        <f t="shared" ca="1" si="2"/>
        <v>9161.7339121347886</v>
      </c>
      <c r="L136" s="455">
        <f t="shared" ca="1" si="3"/>
        <v>2207977.8728244845</v>
      </c>
      <c r="M136" s="471">
        <f t="shared" si="6"/>
        <v>0.05</v>
      </c>
      <c r="N136" s="475">
        <f t="shared" si="7"/>
        <v>55185</v>
      </c>
    </row>
    <row r="137" spans="1:14" ht="11.25" customHeight="1" x14ac:dyDescent="0.3">
      <c r="A137" s="470"/>
      <c r="B137" s="442"/>
      <c r="C137" s="442"/>
      <c r="D137" s="442"/>
      <c r="E137" s="442"/>
      <c r="F137" s="442"/>
      <c r="G137" s="470">
        <f t="shared" si="15"/>
        <v>11</v>
      </c>
      <c r="H137" s="470">
        <v>130</v>
      </c>
      <c r="I137" s="455">
        <f t="shared" ca="1" si="5"/>
        <v>2207977.8728244845</v>
      </c>
      <c r="J137" s="455">
        <f t="array" ref="J137">IFERROR(INDEX('Retirement Calculator'!J:J,MATCH('Isaac 401k'!N137,'Retirement Calculator'!A:A,0),0),0)</f>
        <v>6404.7404596389215</v>
      </c>
      <c r="K137" s="455">
        <f t="shared" ca="1" si="2"/>
        <v>9173.221384853523</v>
      </c>
      <c r="L137" s="455">
        <f t="shared" ca="1" si="3"/>
        <v>2210746.353749699</v>
      </c>
      <c r="M137" s="471">
        <f t="shared" si="6"/>
        <v>0.05</v>
      </c>
      <c r="N137" s="475">
        <f t="shared" si="7"/>
        <v>55213</v>
      </c>
    </row>
    <row r="138" spans="1:14" ht="11.25" customHeight="1" x14ac:dyDescent="0.3">
      <c r="A138" s="470"/>
      <c r="B138" s="442"/>
      <c r="C138" s="442"/>
      <c r="D138" s="442"/>
      <c r="E138" s="442"/>
      <c r="F138" s="442"/>
      <c r="G138" s="470">
        <f t="shared" si="15"/>
        <v>11</v>
      </c>
      <c r="H138" s="470">
        <v>131</v>
      </c>
      <c r="I138" s="455">
        <f t="shared" ca="1" si="5"/>
        <v>2210746.353749699</v>
      </c>
      <c r="J138" s="455">
        <f t="array" ref="J138">IFERROR(INDEX('Retirement Calculator'!J:J,MATCH('Isaac 401k'!N138,'Retirement Calculator'!A:A,0),0),0)</f>
        <v>6404.7404596389215</v>
      </c>
      <c r="K138" s="455">
        <f t="shared" ca="1" si="2"/>
        <v>9184.7567220419151</v>
      </c>
      <c r="L138" s="455">
        <f t="shared" ca="1" si="3"/>
        <v>2213526.3700121017</v>
      </c>
      <c r="M138" s="471">
        <f t="shared" si="6"/>
        <v>0.05</v>
      </c>
      <c r="N138" s="475">
        <f t="shared" si="7"/>
        <v>55244</v>
      </c>
    </row>
    <row r="139" spans="1:14" ht="11.25" customHeight="1" x14ac:dyDescent="0.3">
      <c r="A139" s="470"/>
      <c r="B139" s="442"/>
      <c r="C139" s="442"/>
      <c r="D139" s="442"/>
      <c r="E139" s="442"/>
      <c r="F139" s="442"/>
      <c r="G139" s="470">
        <f t="shared" si="15"/>
        <v>11</v>
      </c>
      <c r="H139" s="470">
        <v>132</v>
      </c>
      <c r="I139" s="455">
        <f t="shared" ca="1" si="5"/>
        <v>2213526.3700121017</v>
      </c>
      <c r="J139" s="455">
        <f t="array" ref="J139">IFERROR(INDEX('Retirement Calculator'!J:J,MATCH('Isaac 401k'!N139,'Retirement Calculator'!A:A,0),0),0)</f>
        <v>6404.7404596389215</v>
      </c>
      <c r="K139" s="455">
        <f t="shared" ca="1" si="2"/>
        <v>9196.34012313526</v>
      </c>
      <c r="L139" s="455">
        <f t="shared" ca="1" si="3"/>
        <v>2216317.9696755977</v>
      </c>
      <c r="M139" s="471">
        <f t="shared" si="6"/>
        <v>0.05</v>
      </c>
      <c r="N139" s="475">
        <f t="shared" si="7"/>
        <v>55274</v>
      </c>
    </row>
    <row r="140" spans="1:14" ht="11.25" customHeight="1" x14ac:dyDescent="0.3">
      <c r="A140" s="470"/>
      <c r="B140" s="442"/>
      <c r="C140" s="442"/>
      <c r="D140" s="442"/>
      <c r="E140" s="442"/>
      <c r="F140" s="442"/>
      <c r="G140" s="470">
        <f>G139+1</f>
        <v>12</v>
      </c>
      <c r="H140" s="470">
        <v>133</v>
      </c>
      <c r="I140" s="455">
        <f t="shared" ca="1" si="5"/>
        <v>2216317.9696755977</v>
      </c>
      <c r="J140" s="455">
        <f t="array" ref="J140">IFERROR(INDEX('Retirement Calculator'!J:J,MATCH('Isaac 401k'!N140,'Retirement Calculator'!A:A,0),0),0)</f>
        <v>6404.7404596389215</v>
      </c>
      <c r="K140" s="455">
        <f t="shared" ca="1" si="2"/>
        <v>9207.9717883998273</v>
      </c>
      <c r="L140" s="455">
        <f t="shared" ca="1" si="3"/>
        <v>2219121.2010043585</v>
      </c>
      <c r="M140" s="471">
        <f t="shared" si="6"/>
        <v>0.05</v>
      </c>
      <c r="N140" s="475">
        <f t="shared" si="7"/>
        <v>55305</v>
      </c>
    </row>
    <row r="141" spans="1:14" ht="11.25" customHeight="1" x14ac:dyDescent="0.3">
      <c r="A141" s="470"/>
      <c r="B141" s="442"/>
      <c r="C141" s="442"/>
      <c r="D141" s="442"/>
      <c r="E141" s="442"/>
      <c r="F141" s="442"/>
      <c r="G141" s="470">
        <f t="shared" ref="G141:G151" si="16">G140</f>
        <v>12</v>
      </c>
      <c r="H141" s="470">
        <v>134</v>
      </c>
      <c r="I141" s="455">
        <f t="shared" ca="1" si="5"/>
        <v>2219121.2010043585</v>
      </c>
      <c r="J141" s="455">
        <f t="array" ref="J141">IFERROR(INDEX('Retirement Calculator'!J:J,MATCH('Isaac 401k'!N141,'Retirement Calculator'!A:A,0),0),0)</f>
        <v>6404.7404596389215</v>
      </c>
      <c r="K141" s="455">
        <f t="shared" ca="1" si="2"/>
        <v>9219.6519189363298</v>
      </c>
      <c r="L141" s="455">
        <f t="shared" ca="1" si="3"/>
        <v>2221936.1124636559</v>
      </c>
      <c r="M141" s="471">
        <f t="shared" si="6"/>
        <v>0.05</v>
      </c>
      <c r="N141" s="475">
        <f t="shared" si="7"/>
        <v>55335</v>
      </c>
    </row>
    <row r="142" spans="1:14" ht="11.25" customHeight="1" x14ac:dyDescent="0.3">
      <c r="A142" s="470"/>
      <c r="B142" s="442"/>
      <c r="C142" s="442"/>
      <c r="D142" s="442"/>
      <c r="E142" s="442"/>
      <c r="F142" s="442"/>
      <c r="G142" s="470">
        <f t="shared" si="16"/>
        <v>12</v>
      </c>
      <c r="H142" s="470">
        <v>135</v>
      </c>
      <c r="I142" s="455">
        <f t="shared" ca="1" si="5"/>
        <v>2221936.1124636559</v>
      </c>
      <c r="J142" s="455">
        <f t="array" ref="J142">IFERROR(INDEX('Retirement Calculator'!J:J,MATCH('Isaac 401k'!N142,'Retirement Calculator'!A:A,0),0),0)</f>
        <v>6404.7404596389215</v>
      </c>
      <c r="K142" s="455">
        <f t="shared" ca="1" si="2"/>
        <v>9231.3807166834031</v>
      </c>
      <c r="L142" s="455">
        <f t="shared" ca="1" si="3"/>
        <v>2224762.7527207001</v>
      </c>
      <c r="M142" s="471">
        <f t="shared" si="6"/>
        <v>0.05</v>
      </c>
      <c r="N142" s="475">
        <f t="shared" si="7"/>
        <v>55366</v>
      </c>
    </row>
    <row r="143" spans="1:14" ht="11.25" customHeight="1" x14ac:dyDescent="0.3">
      <c r="A143" s="470"/>
      <c r="B143" s="442"/>
      <c r="C143" s="442"/>
      <c r="D143" s="442"/>
      <c r="E143" s="442"/>
      <c r="F143" s="442"/>
      <c r="G143" s="470">
        <f t="shared" si="16"/>
        <v>12</v>
      </c>
      <c r="H143" s="470">
        <v>136</v>
      </c>
      <c r="I143" s="455">
        <f t="shared" ca="1" si="5"/>
        <v>2224762.7527207001</v>
      </c>
      <c r="J143" s="455">
        <f t="array" ref="J143">IFERROR(INDEX('Retirement Calculator'!J:J,MATCH('Isaac 401k'!N143,'Retirement Calculator'!A:A,0),0),0)</f>
        <v>6404.7404596389215</v>
      </c>
      <c r="K143" s="455">
        <f t="shared" ca="1" si="2"/>
        <v>9243.1583844210872</v>
      </c>
      <c r="L143" s="455">
        <f t="shared" ca="1" si="3"/>
        <v>2227601.1706454819</v>
      </c>
      <c r="M143" s="471">
        <f t="shared" si="6"/>
        <v>0.05</v>
      </c>
      <c r="N143" s="475">
        <f t="shared" si="7"/>
        <v>55397</v>
      </c>
    </row>
    <row r="144" spans="1:14" ht="11.25" customHeight="1" x14ac:dyDescent="0.3">
      <c r="A144" s="470"/>
      <c r="B144" s="442"/>
      <c r="C144" s="442"/>
      <c r="D144" s="442"/>
      <c r="E144" s="442"/>
      <c r="F144" s="442"/>
      <c r="G144" s="470">
        <f t="shared" si="16"/>
        <v>12</v>
      </c>
      <c r="H144" s="470">
        <v>137</v>
      </c>
      <c r="I144" s="455">
        <f t="shared" ca="1" si="5"/>
        <v>2227601.1706454819</v>
      </c>
      <c r="J144" s="455">
        <f t="array" ref="J144">IFERROR(INDEX('Retirement Calculator'!J:J,MATCH('Isaac 401k'!N144,'Retirement Calculator'!A:A,0),0),0)</f>
        <v>6404.7404596389215</v>
      </c>
      <c r="K144" s="455">
        <f t="shared" ca="1" si="2"/>
        <v>9254.9851257743449</v>
      </c>
      <c r="L144" s="455">
        <f t="shared" ca="1" si="3"/>
        <v>2230451.4153116173</v>
      </c>
      <c r="M144" s="471">
        <f t="shared" si="6"/>
        <v>0.05</v>
      </c>
      <c r="N144" s="475">
        <f t="shared" si="7"/>
        <v>55427</v>
      </c>
    </row>
    <row r="145" spans="7:14" ht="11.25" customHeight="1" x14ac:dyDescent="0.3">
      <c r="G145" s="470">
        <f t="shared" si="16"/>
        <v>12</v>
      </c>
      <c r="H145" s="470">
        <v>138</v>
      </c>
      <c r="I145" s="455">
        <f t="shared" ca="1" si="5"/>
        <v>2230451.4153116173</v>
      </c>
      <c r="J145" s="455">
        <f t="array" ref="J145">IFERROR(INDEX('Retirement Calculator'!J:J,MATCH('Isaac 401k'!N145,'Retirement Calculator'!A:A,0),0),0)</f>
        <v>6404.7404596389215</v>
      </c>
      <c r="K145" s="455">
        <f t="shared" ca="1" si="2"/>
        <v>9266.8611452165751</v>
      </c>
      <c r="L145" s="455">
        <f t="shared" ca="1" si="3"/>
        <v>2233313.5359971947</v>
      </c>
      <c r="M145" s="471">
        <f t="shared" si="6"/>
        <v>0.05</v>
      </c>
      <c r="N145" s="475">
        <f t="shared" si="7"/>
        <v>55458</v>
      </c>
    </row>
    <row r="146" spans="7:14" ht="11.25" customHeight="1" x14ac:dyDescent="0.3">
      <c r="G146" s="470">
        <f t="shared" si="16"/>
        <v>12</v>
      </c>
      <c r="H146" s="470">
        <v>139</v>
      </c>
      <c r="I146" s="455">
        <f t="shared" ca="1" si="5"/>
        <v>2233313.5359971947</v>
      </c>
      <c r="J146" s="455">
        <f t="array" ref="J146">IFERROR(INDEX('Retirement Calculator'!J:J,MATCH('Isaac 401k'!N146,'Retirement Calculator'!A:A,0),0),0)</f>
        <v>6404.7404596389215</v>
      </c>
      <c r="K146" s="455">
        <f t="shared" ca="1" si="2"/>
        <v>9278.7866480731482</v>
      </c>
      <c r="L146" s="455">
        <f t="shared" ca="1" si="3"/>
        <v>2236187.5821856288</v>
      </c>
      <c r="M146" s="471">
        <f t="shared" si="6"/>
        <v>0.05</v>
      </c>
      <c r="N146" s="475">
        <f t="shared" si="7"/>
        <v>55488</v>
      </c>
    </row>
    <row r="147" spans="7:14" ht="11.25" customHeight="1" x14ac:dyDescent="0.3">
      <c r="G147" s="470">
        <f t="shared" si="16"/>
        <v>12</v>
      </c>
      <c r="H147" s="470">
        <v>140</v>
      </c>
      <c r="I147" s="455">
        <f t="shared" ca="1" si="5"/>
        <v>2236187.5821856288</v>
      </c>
      <c r="J147" s="455">
        <f t="array" ref="J147">IFERROR(INDEX('Retirement Calculator'!J:J,MATCH('Isaac 401k'!N147,'Retirement Calculator'!A:A,0),0),0)</f>
        <v>6404.7404596389215</v>
      </c>
      <c r="K147" s="455">
        <f t="shared" ca="1" si="2"/>
        <v>9290.7618405249577</v>
      </c>
      <c r="L147" s="455">
        <f t="shared" ca="1" si="3"/>
        <v>2239073.6035665148</v>
      </c>
      <c r="M147" s="471">
        <f t="shared" si="6"/>
        <v>0.05</v>
      </c>
      <c r="N147" s="475">
        <f t="shared" si="7"/>
        <v>55519</v>
      </c>
    </row>
    <row r="148" spans="7:14" ht="11.25" customHeight="1" x14ac:dyDescent="0.3">
      <c r="G148" s="470">
        <f t="shared" si="16"/>
        <v>12</v>
      </c>
      <c r="H148" s="470">
        <v>141</v>
      </c>
      <c r="I148" s="455">
        <f t="shared" ca="1" si="5"/>
        <v>2239073.6035665148</v>
      </c>
      <c r="J148" s="455">
        <f t="array" ref="J148">IFERROR(INDEX('Retirement Calculator'!J:J,MATCH('Isaac 401k'!N148,'Retirement Calculator'!A:A,0),0),0)</f>
        <v>6404.7404596389215</v>
      </c>
      <c r="K148" s="455">
        <f t="shared" ca="1" si="2"/>
        <v>9302.7869296119825</v>
      </c>
      <c r="L148" s="455">
        <f t="shared" ca="1" si="3"/>
        <v>2241971.6500364877</v>
      </c>
      <c r="M148" s="471">
        <f t="shared" si="6"/>
        <v>0.05</v>
      </c>
      <c r="N148" s="475">
        <f t="shared" si="7"/>
        <v>55550</v>
      </c>
    </row>
    <row r="149" spans="7:14" ht="11.25" customHeight="1" x14ac:dyDescent="0.3">
      <c r="G149" s="470">
        <f t="shared" si="16"/>
        <v>12</v>
      </c>
      <c r="H149" s="470">
        <v>142</v>
      </c>
      <c r="I149" s="455">
        <f t="shared" ca="1" si="5"/>
        <v>2241971.6500364877</v>
      </c>
      <c r="J149" s="455">
        <f t="array" ref="J149">IFERROR(INDEX('Retirement Calculator'!J:J,MATCH('Isaac 401k'!N149,'Retirement Calculator'!A:A,0),0),0)</f>
        <v>6404.7404596389215</v>
      </c>
      <c r="K149" s="455">
        <f t="shared" ca="1" si="2"/>
        <v>9314.8621232368696</v>
      </c>
      <c r="L149" s="455">
        <f t="shared" ca="1" si="3"/>
        <v>2244881.7717000856</v>
      </c>
      <c r="M149" s="471">
        <f t="shared" si="6"/>
        <v>0.05</v>
      </c>
      <c r="N149" s="475">
        <f t="shared" si="7"/>
        <v>55579</v>
      </c>
    </row>
    <row r="150" spans="7:14" ht="11.25" customHeight="1" x14ac:dyDescent="0.3">
      <c r="G150" s="470">
        <f t="shared" si="16"/>
        <v>12</v>
      </c>
      <c r="H150" s="470">
        <v>143</v>
      </c>
      <c r="I150" s="455">
        <f t="shared" ca="1" si="5"/>
        <v>2244881.7717000856</v>
      </c>
      <c r="J150" s="455">
        <f t="array" ref="J150">IFERROR(INDEX('Retirement Calculator'!J:J,MATCH('Isaac 401k'!N150,'Retirement Calculator'!A:A,0),0),0)</f>
        <v>6404.7404596389215</v>
      </c>
      <c r="K150" s="455">
        <f t="shared" ca="1" si="2"/>
        <v>9326.9876301685272</v>
      </c>
      <c r="L150" s="455">
        <f t="shared" ca="1" si="3"/>
        <v>2247804.0188706149</v>
      </c>
      <c r="M150" s="471">
        <f t="shared" si="6"/>
        <v>0.05</v>
      </c>
      <c r="N150" s="475">
        <f t="shared" si="7"/>
        <v>55610</v>
      </c>
    </row>
    <row r="151" spans="7:14" ht="11.25" customHeight="1" x14ac:dyDescent="0.3">
      <c r="G151" s="470">
        <f t="shared" si="16"/>
        <v>12</v>
      </c>
      <c r="H151" s="470">
        <v>144</v>
      </c>
      <c r="I151" s="455">
        <f t="shared" ca="1" si="5"/>
        <v>2247804.0188706149</v>
      </c>
      <c r="J151" s="455">
        <f t="array" ref="J151">IFERROR(INDEX('Retirement Calculator'!J:J,MATCH('Isaac 401k'!N151,'Retirement Calculator'!A:A,0),0),0)</f>
        <v>6404.7404596389215</v>
      </c>
      <c r="K151" s="455">
        <f t="shared" ca="1" si="2"/>
        <v>9339.1636600457332</v>
      </c>
      <c r="L151" s="455">
        <f t="shared" ca="1" si="3"/>
        <v>2250738.4420710215</v>
      </c>
      <c r="M151" s="471">
        <f t="shared" si="6"/>
        <v>0.05</v>
      </c>
      <c r="N151" s="475">
        <f t="shared" si="7"/>
        <v>55640</v>
      </c>
    </row>
    <row r="152" spans="7:14" ht="11.25" customHeight="1" x14ac:dyDescent="0.3">
      <c r="G152" s="470">
        <f>G151+1</f>
        <v>13</v>
      </c>
      <c r="H152" s="470">
        <v>145</v>
      </c>
      <c r="I152" s="455">
        <f t="shared" ca="1" si="5"/>
        <v>2250738.4420710215</v>
      </c>
      <c r="J152" s="455">
        <f t="array" ref="J152">IFERROR(INDEX('Retirement Calculator'!J:J,MATCH('Isaac 401k'!N152,'Retirement Calculator'!A:A,0),0),0)</f>
        <v>6404.7404596389215</v>
      </c>
      <c r="K152" s="455">
        <f t="shared" ca="1" si="2"/>
        <v>9351.3904233807607</v>
      </c>
      <c r="L152" s="455">
        <f t="shared" ca="1" si="3"/>
        <v>2253685.0920347632</v>
      </c>
      <c r="M152" s="471">
        <f t="shared" si="6"/>
        <v>0.05</v>
      </c>
      <c r="N152" s="475">
        <f t="shared" si="7"/>
        <v>55671</v>
      </c>
    </row>
    <row r="153" spans="7:14" ht="11.25" customHeight="1" x14ac:dyDescent="0.3">
      <c r="G153" s="470">
        <f t="shared" ref="G153:G163" si="17">G152</f>
        <v>13</v>
      </c>
      <c r="H153" s="470">
        <v>146</v>
      </c>
      <c r="I153" s="455">
        <f t="shared" ca="1" si="5"/>
        <v>2253685.0920347632</v>
      </c>
      <c r="J153" s="455">
        <f t="array" ref="J153">IFERROR(INDEX('Retirement Calculator'!J:J,MATCH('Isaac 401k'!N153,'Retirement Calculator'!A:A,0),0),0)</f>
        <v>6404.7404596389215</v>
      </c>
      <c r="K153" s="455">
        <f t="shared" ca="1" si="2"/>
        <v>9363.6681315630176</v>
      </c>
      <c r="L153" s="455">
        <f t="shared" ca="1" si="3"/>
        <v>2256644.019706687</v>
      </c>
      <c r="M153" s="471">
        <f t="shared" si="6"/>
        <v>0.05</v>
      </c>
      <c r="N153" s="475">
        <f t="shared" si="7"/>
        <v>55701</v>
      </c>
    </row>
    <row r="154" spans="7:14" ht="11.25" customHeight="1" x14ac:dyDescent="0.3">
      <c r="G154" s="470">
        <f t="shared" si="17"/>
        <v>13</v>
      </c>
      <c r="H154" s="470">
        <v>147</v>
      </c>
      <c r="I154" s="455">
        <f t="shared" ca="1" si="5"/>
        <v>2256644.019706687</v>
      </c>
      <c r="J154" s="455">
        <f t="array" ref="J154">IFERROR(INDEX('Retirement Calculator'!J:J,MATCH('Isaac 401k'!N154,'Retirement Calculator'!A:A,0),0),0)</f>
        <v>6404.7404596389215</v>
      </c>
      <c r="K154" s="455">
        <f t="shared" ca="1" si="2"/>
        <v>9375.9969968626992</v>
      </c>
      <c r="L154" s="455">
        <f t="shared" ca="1" si="3"/>
        <v>2259615.2762439107</v>
      </c>
      <c r="M154" s="471">
        <f t="shared" si="6"/>
        <v>0.05</v>
      </c>
      <c r="N154" s="475">
        <f t="shared" si="7"/>
        <v>55732</v>
      </c>
    </row>
    <row r="155" spans="7:14" ht="11.25" customHeight="1" x14ac:dyDescent="0.3">
      <c r="G155" s="470">
        <f t="shared" si="17"/>
        <v>13</v>
      </c>
      <c r="H155" s="470">
        <v>148</v>
      </c>
      <c r="I155" s="455">
        <f t="shared" ca="1" si="5"/>
        <v>2259615.2762439107</v>
      </c>
      <c r="J155" s="455">
        <f t="array" ref="J155">IFERROR(INDEX('Retirement Calculator'!J:J,MATCH('Isaac 401k'!N155,'Retirement Calculator'!A:A,0),0),0)</f>
        <v>6404.7404596389215</v>
      </c>
      <c r="K155" s="455">
        <f t="shared" ca="1" si="2"/>
        <v>9388.3772324344645</v>
      </c>
      <c r="L155" s="455">
        <f t="shared" ca="1" si="3"/>
        <v>2262598.9130167062</v>
      </c>
      <c r="M155" s="471">
        <f t="shared" si="6"/>
        <v>0.05</v>
      </c>
      <c r="N155" s="475">
        <f t="shared" si="7"/>
        <v>55763</v>
      </c>
    </row>
    <row r="156" spans="7:14" ht="11.25" customHeight="1" x14ac:dyDescent="0.3">
      <c r="G156" s="470">
        <f t="shared" si="17"/>
        <v>13</v>
      </c>
      <c r="H156" s="470">
        <v>149</v>
      </c>
      <c r="I156" s="455">
        <f t="shared" ca="1" si="5"/>
        <v>2262598.9130167062</v>
      </c>
      <c r="J156" s="455">
        <f t="array" ref="J156">IFERROR(INDEX('Retirement Calculator'!J:J,MATCH('Isaac 401k'!N156,'Retirement Calculator'!A:A,0),0),0)</f>
        <v>6404.7404596389215</v>
      </c>
      <c r="K156" s="455">
        <f t="shared" ca="1" si="2"/>
        <v>9400.8090523211122</v>
      </c>
      <c r="L156" s="455">
        <f t="shared" ca="1" si="3"/>
        <v>2265594.9816093883</v>
      </c>
      <c r="M156" s="471">
        <f t="shared" si="6"/>
        <v>0.05</v>
      </c>
      <c r="N156" s="475">
        <f t="shared" si="7"/>
        <v>55793</v>
      </c>
    </row>
    <row r="157" spans="7:14" ht="11.25" customHeight="1" x14ac:dyDescent="0.3">
      <c r="G157" s="470">
        <f t="shared" si="17"/>
        <v>13</v>
      </c>
      <c r="H157" s="470">
        <v>150</v>
      </c>
      <c r="I157" s="455">
        <f t="shared" ca="1" si="5"/>
        <v>2265594.9816093883</v>
      </c>
      <c r="J157" s="455">
        <f t="array" ref="J157">IFERROR(INDEX('Retirement Calculator'!J:J,MATCH('Isaac 401k'!N157,'Retirement Calculator'!A:A,0),0),0)</f>
        <v>6404.7404596389215</v>
      </c>
      <c r="K157" s="455">
        <f t="shared" ca="1" si="2"/>
        <v>9413.2926714572877</v>
      </c>
      <c r="L157" s="455">
        <f t="shared" ca="1" si="3"/>
        <v>2268603.5338212065</v>
      </c>
      <c r="M157" s="471">
        <f t="shared" si="6"/>
        <v>0.05</v>
      </c>
      <c r="N157" s="475">
        <f t="shared" si="7"/>
        <v>55824</v>
      </c>
    </row>
    <row r="158" spans="7:14" ht="11.25" customHeight="1" x14ac:dyDescent="0.3">
      <c r="G158" s="470">
        <f t="shared" si="17"/>
        <v>13</v>
      </c>
      <c r="H158" s="470">
        <v>151</v>
      </c>
      <c r="I158" s="455">
        <f t="shared" ca="1" si="5"/>
        <v>2268603.5338212065</v>
      </c>
      <c r="J158" s="455">
        <f t="array" ref="J158">IFERROR(INDEX('Retirement Calculator'!J:J,MATCH('Isaac 401k'!N158,'Retirement Calculator'!A:A,0),0),0)</f>
        <v>6404.7404596389215</v>
      </c>
      <c r="K158" s="455">
        <f t="shared" ca="1" si="2"/>
        <v>9425.828305673198</v>
      </c>
      <c r="L158" s="455">
        <f t="shared" ca="1" si="3"/>
        <v>2271624.6216672407</v>
      </c>
      <c r="M158" s="471">
        <f t="shared" si="6"/>
        <v>0.05</v>
      </c>
      <c r="N158" s="475">
        <f t="shared" si="7"/>
        <v>55854</v>
      </c>
    </row>
    <row r="159" spans="7:14" ht="11.25" customHeight="1" x14ac:dyDescent="0.3">
      <c r="G159" s="470">
        <f t="shared" si="17"/>
        <v>13</v>
      </c>
      <c r="H159" s="470">
        <v>152</v>
      </c>
      <c r="I159" s="455">
        <f t="shared" ca="1" si="5"/>
        <v>2271624.6216672407</v>
      </c>
      <c r="J159" s="455">
        <f t="array" ref="J159">IFERROR(INDEX('Retirement Calculator'!J:J,MATCH('Isaac 401k'!N159,'Retirement Calculator'!A:A,0),0),0)</f>
        <v>6404.7404596389215</v>
      </c>
      <c r="K159" s="455">
        <f t="shared" ca="1" si="2"/>
        <v>9438.4161716983399</v>
      </c>
      <c r="L159" s="455">
        <f t="shared" ca="1" si="3"/>
        <v>2274658.2973793</v>
      </c>
      <c r="M159" s="471">
        <f t="shared" si="6"/>
        <v>0.05</v>
      </c>
      <c r="N159" s="475">
        <f t="shared" si="7"/>
        <v>55885</v>
      </c>
    </row>
    <row r="160" spans="7:14" ht="11.25" customHeight="1" x14ac:dyDescent="0.3">
      <c r="G160" s="470">
        <f t="shared" si="17"/>
        <v>13</v>
      </c>
      <c r="H160" s="470">
        <v>153</v>
      </c>
      <c r="I160" s="455">
        <f t="shared" ca="1" si="5"/>
        <v>2274658.2973793</v>
      </c>
      <c r="J160" s="455">
        <f t="array" ref="J160">IFERROR(INDEX('Retirement Calculator'!J:J,MATCH('Isaac 401k'!N160,'Retirement Calculator'!A:A,0),0),0)</f>
        <v>6404.7404596389215</v>
      </c>
      <c r="K160" s="455">
        <f t="shared" ca="1" si="2"/>
        <v>9451.0564871652532</v>
      </c>
      <c r="L160" s="455">
        <f t="shared" ca="1" si="3"/>
        <v>2277704.6134068263</v>
      </c>
      <c r="M160" s="471">
        <f t="shared" si="6"/>
        <v>0.05</v>
      </c>
      <c r="N160" s="475">
        <f t="shared" si="7"/>
        <v>55916</v>
      </c>
    </row>
    <row r="161" spans="7:14" ht="11.25" customHeight="1" x14ac:dyDescent="0.3">
      <c r="G161" s="470">
        <f t="shared" si="17"/>
        <v>13</v>
      </c>
      <c r="H161" s="470">
        <v>154</v>
      </c>
      <c r="I161" s="455">
        <f t="shared" ca="1" si="5"/>
        <v>2277704.6134068263</v>
      </c>
      <c r="J161" s="455">
        <f t="array" ref="J161">IFERROR(INDEX('Retirement Calculator'!J:J,MATCH('Isaac 401k'!N161,'Retirement Calculator'!A:A,0),0),0)</f>
        <v>6404.7404596389215</v>
      </c>
      <c r="K161" s="455">
        <f t="shared" ca="1" si="2"/>
        <v>9463.7494706132802</v>
      </c>
      <c r="L161" s="455">
        <f t="shared" ca="1" si="3"/>
        <v>2280763.6224178006</v>
      </c>
      <c r="M161" s="471">
        <f t="shared" si="6"/>
        <v>0.05</v>
      </c>
      <c r="N161" s="475">
        <f t="shared" si="7"/>
        <v>55944</v>
      </c>
    </row>
    <row r="162" spans="7:14" ht="11.25" customHeight="1" x14ac:dyDescent="0.3">
      <c r="G162" s="470">
        <f t="shared" si="17"/>
        <v>13</v>
      </c>
      <c r="H162" s="470">
        <v>155</v>
      </c>
      <c r="I162" s="455">
        <f t="shared" ca="1" si="5"/>
        <v>2280763.6224178006</v>
      </c>
      <c r="J162" s="455">
        <f t="array" ref="J162">IFERROR(INDEX('Retirement Calculator'!J:J,MATCH('Isaac 401k'!N162,'Retirement Calculator'!A:A,0),0),0)</f>
        <v>6404.7404596389215</v>
      </c>
      <c r="K162" s="455">
        <f t="shared" ca="1" si="2"/>
        <v>9476.4953414923402</v>
      </c>
      <c r="L162" s="455">
        <f t="shared" ca="1" si="3"/>
        <v>2283835.3772996538</v>
      </c>
      <c r="M162" s="471">
        <f t="shared" si="6"/>
        <v>0.05</v>
      </c>
      <c r="N162" s="475">
        <f t="shared" si="7"/>
        <v>55975</v>
      </c>
    </row>
    <row r="163" spans="7:14" ht="11.25" customHeight="1" x14ac:dyDescent="0.3">
      <c r="G163" s="470">
        <f t="shared" si="17"/>
        <v>13</v>
      </c>
      <c r="H163" s="470">
        <v>156</v>
      </c>
      <c r="I163" s="455">
        <f t="shared" ca="1" si="5"/>
        <v>2283835.3772996538</v>
      </c>
      <c r="J163" s="455">
        <f t="array" ref="J163">IFERROR(INDEX('Retirement Calculator'!J:J,MATCH('Isaac 401k'!N163,'Retirement Calculator'!A:A,0),0),0)</f>
        <v>6404.7404596389215</v>
      </c>
      <c r="K163" s="455">
        <f t="shared" ca="1" si="2"/>
        <v>9489.2943201667276</v>
      </c>
      <c r="L163" s="455">
        <f t="shared" ca="1" si="3"/>
        <v>2286919.9311601813</v>
      </c>
      <c r="M163" s="471">
        <f t="shared" si="6"/>
        <v>0.05</v>
      </c>
      <c r="N163" s="475">
        <f t="shared" si="7"/>
        <v>56005</v>
      </c>
    </row>
    <row r="164" spans="7:14" ht="11.25" customHeight="1" x14ac:dyDescent="0.3">
      <c r="G164" s="470">
        <f>G163+1</f>
        <v>14</v>
      </c>
      <c r="H164" s="470">
        <v>157</v>
      </c>
      <c r="I164" s="455">
        <f t="shared" ca="1" si="5"/>
        <v>2286919.9311601813</v>
      </c>
      <c r="J164" s="455">
        <f t="array" ref="J164">IFERROR(INDEX('Retirement Calculator'!J:J,MATCH('Isaac 401k'!N164,'Retirement Calculator'!A:A,0),0),0)</f>
        <v>6404.7404596389215</v>
      </c>
      <c r="K164" s="455">
        <f t="shared" ca="1" si="2"/>
        <v>9502.1466279189262</v>
      </c>
      <c r="L164" s="455">
        <f t="shared" ca="1" si="3"/>
        <v>2290017.337328461</v>
      </c>
      <c r="M164" s="471">
        <f t="shared" si="6"/>
        <v>0.05</v>
      </c>
      <c r="N164" s="475">
        <f t="shared" si="7"/>
        <v>56036</v>
      </c>
    </row>
    <row r="165" spans="7:14" ht="11.25" customHeight="1" x14ac:dyDescent="0.3">
      <c r="G165" s="470">
        <f t="shared" ref="G165:G175" si="18">G164</f>
        <v>14</v>
      </c>
      <c r="H165" s="470">
        <v>158</v>
      </c>
      <c r="I165" s="455">
        <f t="shared" ca="1" si="5"/>
        <v>2290017.337328461</v>
      </c>
      <c r="J165" s="455">
        <f t="array" ref="J165">IFERROR(INDEX('Retirement Calculator'!J:J,MATCH('Isaac 401k'!N165,'Retirement Calculator'!A:A,0),0),0)</f>
        <v>6404.7404596389215</v>
      </c>
      <c r="K165" s="455">
        <f t="shared" ca="1" si="2"/>
        <v>9515.0524869534238</v>
      </c>
      <c r="L165" s="455">
        <f t="shared" ca="1" si="3"/>
        <v>2293127.6493557752</v>
      </c>
      <c r="M165" s="471">
        <f t="shared" si="6"/>
        <v>0.05</v>
      </c>
      <c r="N165" s="475">
        <f t="shared" si="7"/>
        <v>56066</v>
      </c>
    </row>
    <row r="166" spans="7:14" ht="11.25" customHeight="1" x14ac:dyDescent="0.3">
      <c r="G166" s="470">
        <f t="shared" si="18"/>
        <v>14</v>
      </c>
      <c r="H166" s="470">
        <v>159</v>
      </c>
      <c r="I166" s="455">
        <f t="shared" ca="1" si="5"/>
        <v>2293127.6493557752</v>
      </c>
      <c r="J166" s="455">
        <f t="array" ref="J166">IFERROR(INDEX('Retirement Calculator'!J:J,MATCH('Isaac 401k'!N166,'Retirement Calculator'!A:A,0),0),0)</f>
        <v>6404.7404596389215</v>
      </c>
      <c r="K166" s="455">
        <f t="shared" ca="1" si="2"/>
        <v>9528.0121204005663</v>
      </c>
      <c r="L166" s="455">
        <f t="shared" ca="1" si="3"/>
        <v>2296250.9210165367</v>
      </c>
      <c r="M166" s="471">
        <f t="shared" si="6"/>
        <v>0.05</v>
      </c>
      <c r="N166" s="475">
        <f t="shared" si="7"/>
        <v>56097</v>
      </c>
    </row>
    <row r="167" spans="7:14" ht="11.25" customHeight="1" x14ac:dyDescent="0.3">
      <c r="G167" s="470">
        <f t="shared" si="18"/>
        <v>14</v>
      </c>
      <c r="H167" s="470">
        <v>160</v>
      </c>
      <c r="I167" s="455">
        <f t="shared" ca="1" si="5"/>
        <v>2296250.9210165367</v>
      </c>
      <c r="J167" s="455">
        <f t="array" ref="J167">IFERROR(INDEX('Retirement Calculator'!J:J,MATCH('Isaac 401k'!N167,'Retirement Calculator'!A:A,0),0),0)</f>
        <v>6404.7404596389215</v>
      </c>
      <c r="K167" s="455">
        <f t="shared" ca="1" si="2"/>
        <v>9541.0257523204054</v>
      </c>
      <c r="L167" s="455">
        <f t="shared" ca="1" si="3"/>
        <v>2299387.206309218</v>
      </c>
      <c r="M167" s="471">
        <f t="shared" si="6"/>
        <v>0.05</v>
      </c>
      <c r="N167" s="475">
        <f t="shared" si="7"/>
        <v>56128</v>
      </c>
    </row>
    <row r="168" spans="7:14" ht="11.25" customHeight="1" x14ac:dyDescent="0.3">
      <c r="G168" s="470">
        <f t="shared" si="18"/>
        <v>14</v>
      </c>
      <c r="H168" s="470">
        <v>161</v>
      </c>
      <c r="I168" s="455">
        <f t="shared" ca="1" si="5"/>
        <v>2299387.206309218</v>
      </c>
      <c r="J168" s="455">
        <f t="array" ref="J168">IFERROR(INDEX('Retirement Calculator'!J:J,MATCH('Isaac 401k'!N168,'Retirement Calculator'!A:A,0),0),0)</f>
        <v>6404.7404596389215</v>
      </c>
      <c r="K168" s="455">
        <f t="shared" ca="1" si="2"/>
        <v>9554.093607706578</v>
      </c>
      <c r="L168" s="455">
        <f t="shared" ca="1" si="3"/>
        <v>2302536.5594572853</v>
      </c>
      <c r="M168" s="471">
        <f t="shared" si="6"/>
        <v>0.05</v>
      </c>
      <c r="N168" s="475">
        <f t="shared" si="7"/>
        <v>56158</v>
      </c>
    </row>
    <row r="169" spans="7:14" ht="11.25" customHeight="1" x14ac:dyDescent="0.3">
      <c r="G169" s="470">
        <f t="shared" si="18"/>
        <v>14</v>
      </c>
      <c r="H169" s="470">
        <v>162</v>
      </c>
      <c r="I169" s="455">
        <f t="shared" ca="1" si="5"/>
        <v>2302536.5594572853</v>
      </c>
      <c r="J169" s="455">
        <f t="array" ref="J169">IFERROR(INDEX('Retirement Calculator'!J:J,MATCH('Isaac 401k'!N169,'Retirement Calculator'!A:A,0),0),0)</f>
        <v>6404.7404596389215</v>
      </c>
      <c r="K169" s="455">
        <f t="shared" ca="1" si="2"/>
        <v>9567.2159124901918</v>
      </c>
      <c r="L169" s="455">
        <f t="shared" ca="1" si="3"/>
        <v>2305699.0349101364</v>
      </c>
      <c r="M169" s="471">
        <f t="shared" si="6"/>
        <v>0.05</v>
      </c>
      <c r="N169" s="475">
        <f t="shared" si="7"/>
        <v>56189</v>
      </c>
    </row>
    <row r="170" spans="7:14" ht="11.25" customHeight="1" x14ac:dyDescent="0.3">
      <c r="G170" s="470">
        <f t="shared" si="18"/>
        <v>14</v>
      </c>
      <c r="H170" s="470">
        <v>163</v>
      </c>
      <c r="I170" s="455">
        <f t="shared" ca="1" si="5"/>
        <v>2305699.0349101364</v>
      </c>
      <c r="J170" s="455">
        <f t="array" ref="J170">IFERROR(INDEX('Retirement Calculator'!J:J,MATCH('Isaac 401k'!N170,'Retirement Calculator'!A:A,0),0),0)</f>
        <v>6404.7404596389215</v>
      </c>
      <c r="K170" s="455">
        <f t="shared" ca="1" si="2"/>
        <v>9580.392893543738</v>
      </c>
      <c r="L170" s="455">
        <f t="shared" ca="1" si="3"/>
        <v>2308874.6873440412</v>
      </c>
      <c r="M170" s="471">
        <f t="shared" si="6"/>
        <v>0.05</v>
      </c>
      <c r="N170" s="475">
        <f t="shared" si="7"/>
        <v>56219</v>
      </c>
    </row>
    <row r="171" spans="7:14" ht="11.25" customHeight="1" x14ac:dyDescent="0.3">
      <c r="G171" s="470">
        <f t="shared" si="18"/>
        <v>14</v>
      </c>
      <c r="H171" s="470">
        <v>164</v>
      </c>
      <c r="I171" s="455">
        <f t="shared" ca="1" si="5"/>
        <v>2308874.6873440412</v>
      </c>
      <c r="J171" s="455">
        <f t="array" ref="J171">IFERROR(INDEX('Retirement Calculator'!J:J,MATCH('Isaac 401k'!N171,'Retirement Calculator'!A:A,0),0),0)</f>
        <v>6404.7404596389215</v>
      </c>
      <c r="K171" s="455">
        <f t="shared" ca="1" si="2"/>
        <v>9593.624778685009</v>
      </c>
      <c r="L171" s="455">
        <f t="shared" ca="1" si="3"/>
        <v>2312063.5716630872</v>
      </c>
      <c r="M171" s="471">
        <f t="shared" si="6"/>
        <v>0.05</v>
      </c>
      <c r="N171" s="475">
        <f t="shared" si="7"/>
        <v>56250</v>
      </c>
    </row>
    <row r="172" spans="7:14" ht="11.25" customHeight="1" x14ac:dyDescent="0.3">
      <c r="G172" s="470">
        <f t="shared" si="18"/>
        <v>14</v>
      </c>
      <c r="H172" s="470">
        <v>165</v>
      </c>
      <c r="I172" s="455">
        <f t="shared" ca="1" si="5"/>
        <v>2312063.5716630872</v>
      </c>
      <c r="J172" s="455">
        <f t="array" ref="J172">IFERROR(INDEX('Retirement Calculator'!J:J,MATCH('Isaac 401k'!N172,'Retirement Calculator'!A:A,0),0),0)</f>
        <v>6404.7404596389215</v>
      </c>
      <c r="K172" s="455">
        <f t="shared" ca="1" si="2"/>
        <v>9606.9117966810336</v>
      </c>
      <c r="L172" s="455">
        <f t="shared" ca="1" si="3"/>
        <v>2315265.7430001292</v>
      </c>
      <c r="M172" s="471">
        <f t="shared" si="6"/>
        <v>0.05</v>
      </c>
      <c r="N172" s="475">
        <f t="shared" si="7"/>
        <v>56281</v>
      </c>
    </row>
    <row r="173" spans="7:14" ht="11.25" customHeight="1" x14ac:dyDescent="0.3">
      <c r="G173" s="470">
        <f t="shared" si="18"/>
        <v>14</v>
      </c>
      <c r="H173" s="470">
        <v>166</v>
      </c>
      <c r="I173" s="455">
        <f t="shared" ca="1" si="5"/>
        <v>2315265.7430001292</v>
      </c>
      <c r="J173" s="455">
        <f t="array" ref="J173">IFERROR(INDEX('Retirement Calculator'!J:J,MATCH('Isaac 401k'!N173,'Retirement Calculator'!A:A,0),0),0)</f>
        <v>6404.7404596389215</v>
      </c>
      <c r="K173" s="455">
        <f t="shared" ca="1" si="2"/>
        <v>9620.2541772520417</v>
      </c>
      <c r="L173" s="455">
        <f t="shared" ca="1" si="3"/>
        <v>2318481.256717742</v>
      </c>
      <c r="M173" s="471">
        <f t="shared" si="6"/>
        <v>0.05</v>
      </c>
      <c r="N173" s="475">
        <f t="shared" si="7"/>
        <v>56309</v>
      </c>
    </row>
    <row r="174" spans="7:14" ht="11.25" customHeight="1" x14ac:dyDescent="0.3">
      <c r="G174" s="470">
        <f t="shared" si="18"/>
        <v>14</v>
      </c>
      <c r="H174" s="470">
        <v>167</v>
      </c>
      <c r="I174" s="455">
        <f t="shared" ca="1" si="5"/>
        <v>2318481.256717742</v>
      </c>
      <c r="J174" s="455">
        <f t="array" ref="J174">IFERROR(INDEX('Retirement Calculator'!J:J,MATCH('Isaac 401k'!N174,'Retirement Calculator'!A:A,0),0),0)</f>
        <v>6404.7404596389215</v>
      </c>
      <c r="K174" s="455">
        <f t="shared" ca="1" si="2"/>
        <v>9633.6521510754283</v>
      </c>
      <c r="L174" s="455">
        <f t="shared" ca="1" si="3"/>
        <v>2321710.1684091785</v>
      </c>
      <c r="M174" s="471">
        <f t="shared" si="6"/>
        <v>0.05</v>
      </c>
      <c r="N174" s="475">
        <f t="shared" si="7"/>
        <v>56340</v>
      </c>
    </row>
    <row r="175" spans="7:14" ht="11.25" customHeight="1" x14ac:dyDescent="0.3">
      <c r="G175" s="470">
        <f t="shared" si="18"/>
        <v>14</v>
      </c>
      <c r="H175" s="470">
        <v>168</v>
      </c>
      <c r="I175" s="455">
        <f t="shared" ca="1" si="5"/>
        <v>2321710.1684091785</v>
      </c>
      <c r="J175" s="455">
        <f t="array" ref="J175">IFERROR(INDEX('Retirement Calculator'!J:J,MATCH('Isaac 401k'!N175,'Retirement Calculator'!A:A,0),0),0)</f>
        <v>6404.7404596389215</v>
      </c>
      <c r="K175" s="455">
        <f t="shared" ca="1" si="2"/>
        <v>9647.1059497897477</v>
      </c>
      <c r="L175" s="455">
        <f t="shared" ca="1" si="3"/>
        <v>2324952.5338993291</v>
      </c>
      <c r="M175" s="471">
        <f t="shared" si="6"/>
        <v>0.05</v>
      </c>
      <c r="N175" s="475">
        <f t="shared" si="7"/>
        <v>56370</v>
      </c>
    </row>
    <row r="176" spans="7:14" ht="11.25" customHeight="1" x14ac:dyDescent="0.3">
      <c r="G176" s="470">
        <f>G175+1</f>
        <v>15</v>
      </c>
      <c r="H176" s="470">
        <v>169</v>
      </c>
      <c r="I176" s="455">
        <f t="shared" ca="1" si="5"/>
        <v>2324952.5338993291</v>
      </c>
      <c r="J176" s="455">
        <f t="array" ref="J176">IFERROR(INDEX('Retirement Calculator'!J:J,MATCH('Isaac 401k'!N176,'Retirement Calculator'!A:A,0),0),0)</f>
        <v>6404.7404596389215</v>
      </c>
      <c r="K176" s="455">
        <f t="shared" ca="1" si="2"/>
        <v>9660.6158059987083</v>
      </c>
      <c r="L176" s="455">
        <f t="shared" ca="1" si="3"/>
        <v>2328208.4092456889</v>
      </c>
      <c r="M176" s="471">
        <f t="shared" si="6"/>
        <v>0.05</v>
      </c>
      <c r="N176" s="475">
        <f t="shared" si="7"/>
        <v>56401</v>
      </c>
    </row>
    <row r="177" spans="7:14" ht="11.25" customHeight="1" x14ac:dyDescent="0.3">
      <c r="G177" s="470">
        <f t="shared" ref="G177:G187" si="19">G176</f>
        <v>15</v>
      </c>
      <c r="H177" s="470">
        <v>170</v>
      </c>
      <c r="I177" s="455">
        <f t="shared" ca="1" si="5"/>
        <v>2328208.4092456889</v>
      </c>
      <c r="J177" s="455">
        <f t="array" ref="J177">IFERROR(INDEX('Retirement Calculator'!J:J,MATCH('Isaac 401k'!N177,'Retirement Calculator'!A:A,0),0),0)</f>
        <v>6404.7404596389215</v>
      </c>
      <c r="K177" s="455">
        <f t="shared" ca="1" si="2"/>
        <v>9674.181953275207</v>
      </c>
      <c r="L177" s="455">
        <f t="shared" ca="1" si="3"/>
        <v>2331477.8507393249</v>
      </c>
      <c r="M177" s="471">
        <f t="shared" si="6"/>
        <v>0.05</v>
      </c>
      <c r="N177" s="475">
        <f t="shared" si="7"/>
        <v>56431</v>
      </c>
    </row>
    <row r="178" spans="7:14" ht="11.25" customHeight="1" x14ac:dyDescent="0.3">
      <c r="G178" s="470">
        <f t="shared" si="19"/>
        <v>15</v>
      </c>
      <c r="H178" s="470">
        <v>171</v>
      </c>
      <c r="I178" s="455">
        <f t="shared" ca="1" si="5"/>
        <v>2331477.8507393249</v>
      </c>
      <c r="J178" s="455">
        <f t="array" ref="J178">IFERROR(INDEX('Retirement Calculator'!J:J,MATCH('Isaac 401k'!N178,'Retirement Calculator'!A:A,0),0),0)</f>
        <v>6404.7404596389215</v>
      </c>
      <c r="K178" s="455">
        <f t="shared" ca="1" si="2"/>
        <v>9687.8046261653581</v>
      </c>
      <c r="L178" s="455">
        <f t="shared" ca="1" si="3"/>
        <v>2334760.9149058512</v>
      </c>
      <c r="M178" s="471">
        <f t="shared" si="6"/>
        <v>0.05</v>
      </c>
      <c r="N178" s="475">
        <f t="shared" si="7"/>
        <v>56462</v>
      </c>
    </row>
    <row r="179" spans="7:14" ht="11.25" customHeight="1" x14ac:dyDescent="0.3">
      <c r="G179" s="470">
        <f t="shared" si="19"/>
        <v>15</v>
      </c>
      <c r="H179" s="470">
        <v>172</v>
      </c>
      <c r="I179" s="455">
        <f t="shared" ca="1" si="5"/>
        <v>2334760.9149058512</v>
      </c>
      <c r="J179" s="455">
        <f t="array" ref="J179">IFERROR(INDEX('Retirement Calculator'!J:J,MATCH('Isaac 401k'!N179,'Retirement Calculator'!A:A,0),0),0)</f>
        <v>6404.7404596389215</v>
      </c>
      <c r="K179" s="455">
        <f t="shared" ca="1" si="2"/>
        <v>9701.4840601925498</v>
      </c>
      <c r="L179" s="455">
        <f t="shared" ca="1" si="3"/>
        <v>2338057.6585064046</v>
      </c>
      <c r="M179" s="471">
        <f t="shared" si="6"/>
        <v>0.05</v>
      </c>
      <c r="N179" s="475">
        <f t="shared" si="7"/>
        <v>56493</v>
      </c>
    </row>
    <row r="180" spans="7:14" ht="11.25" customHeight="1" x14ac:dyDescent="0.3">
      <c r="G180" s="470">
        <f t="shared" si="19"/>
        <v>15</v>
      </c>
      <c r="H180" s="470">
        <v>173</v>
      </c>
      <c r="I180" s="455">
        <f t="shared" ca="1" si="5"/>
        <v>2338057.6585064046</v>
      </c>
      <c r="J180" s="455">
        <f t="array" ref="J180">IFERROR(INDEX('Retirement Calculator'!J:J,MATCH('Isaac 401k'!N180,'Retirement Calculator'!A:A,0),0),0)</f>
        <v>6404.7404596389215</v>
      </c>
      <c r="K180" s="455">
        <f t="shared" ca="1" si="2"/>
        <v>9715.2204918615225</v>
      </c>
      <c r="L180" s="455">
        <f t="shared" ca="1" si="3"/>
        <v>2341368.138538627</v>
      </c>
      <c r="M180" s="471">
        <f t="shared" si="6"/>
        <v>0.05</v>
      </c>
      <c r="N180" s="475">
        <f t="shared" si="7"/>
        <v>56523</v>
      </c>
    </row>
    <row r="181" spans="7:14" ht="11.25" customHeight="1" x14ac:dyDescent="0.3">
      <c r="G181" s="470">
        <f t="shared" si="19"/>
        <v>15</v>
      </c>
      <c r="H181" s="470">
        <v>174</v>
      </c>
      <c r="I181" s="455">
        <f t="shared" ca="1" si="5"/>
        <v>2341368.138538627</v>
      </c>
      <c r="J181" s="455">
        <f t="array" ref="J181">IFERROR(INDEX('Retirement Calculator'!J:J,MATCH('Isaac 401k'!N181,'Retirement Calculator'!A:A,0),0),0)</f>
        <v>6404.7404596389215</v>
      </c>
      <c r="K181" s="455">
        <f t="shared" ca="1" si="2"/>
        <v>9729.0141586624486</v>
      </c>
      <c r="L181" s="455">
        <f t="shared" ca="1" si="3"/>
        <v>2344692.4122376502</v>
      </c>
      <c r="M181" s="471">
        <f t="shared" si="6"/>
        <v>0.05</v>
      </c>
      <c r="N181" s="475">
        <f t="shared" si="7"/>
        <v>56554</v>
      </c>
    </row>
    <row r="182" spans="7:14" ht="11.25" customHeight="1" x14ac:dyDescent="0.3">
      <c r="G182" s="470">
        <f t="shared" si="19"/>
        <v>15</v>
      </c>
      <c r="H182" s="470">
        <v>175</v>
      </c>
      <c r="I182" s="455">
        <f t="shared" ca="1" si="5"/>
        <v>2344692.4122376502</v>
      </c>
      <c r="J182" s="455">
        <f t="array" ref="J182">IFERROR(INDEX('Retirement Calculator'!J:J,MATCH('Isaac 401k'!N182,'Retirement Calculator'!A:A,0),0),0)</f>
        <v>6404.7404596389215</v>
      </c>
      <c r="K182" s="455">
        <f t="shared" ca="1" si="2"/>
        <v>9742.865299075047</v>
      </c>
      <c r="L182" s="455">
        <f t="shared" ca="1" si="3"/>
        <v>2348030.537077086</v>
      </c>
      <c r="M182" s="471">
        <f t="shared" si="6"/>
        <v>0.05</v>
      </c>
      <c r="N182" s="475">
        <f t="shared" si="7"/>
        <v>56584</v>
      </c>
    </row>
    <row r="183" spans="7:14" ht="11.25" customHeight="1" x14ac:dyDescent="0.3">
      <c r="G183" s="470">
        <f t="shared" si="19"/>
        <v>15</v>
      </c>
      <c r="H183" s="470">
        <v>176</v>
      </c>
      <c r="I183" s="455">
        <f t="shared" ca="1" si="5"/>
        <v>2348030.537077086</v>
      </c>
      <c r="J183" s="455">
        <f t="array" ref="J183">IFERROR(INDEX('Retirement Calculator'!J:J,MATCH('Isaac 401k'!N183,'Retirement Calculator'!A:A,0),0),0)</f>
        <v>6404.7404596389215</v>
      </c>
      <c r="K183" s="455">
        <f t="shared" ca="1" si="2"/>
        <v>9756.774152572696</v>
      </c>
      <c r="L183" s="455">
        <f t="shared" ca="1" si="3"/>
        <v>2351382.5707700197</v>
      </c>
      <c r="M183" s="471">
        <f t="shared" si="6"/>
        <v>0.05</v>
      </c>
      <c r="N183" s="475">
        <f t="shared" si="7"/>
        <v>56615</v>
      </c>
    </row>
    <row r="184" spans="7:14" ht="11.25" customHeight="1" x14ac:dyDescent="0.3">
      <c r="G184" s="470">
        <f t="shared" si="19"/>
        <v>15</v>
      </c>
      <c r="H184" s="470">
        <v>177</v>
      </c>
      <c r="I184" s="455">
        <f t="shared" ca="1" si="5"/>
        <v>2351382.5707700197</v>
      </c>
      <c r="J184" s="455">
        <f t="array" ref="J184">IFERROR(INDEX('Retirement Calculator'!J:J,MATCH('Isaac 401k'!N184,'Retirement Calculator'!A:A,0),0),0)</f>
        <v>6404.7404596389215</v>
      </c>
      <c r="K184" s="455">
        <f t="shared" ca="1" si="2"/>
        <v>9770.7409596265861</v>
      </c>
      <c r="L184" s="455">
        <f t="shared" ca="1" si="3"/>
        <v>2354748.5712700072</v>
      </c>
      <c r="M184" s="471">
        <f t="shared" si="6"/>
        <v>0.05</v>
      </c>
      <c r="N184" s="475">
        <f t="shared" si="7"/>
        <v>56646</v>
      </c>
    </row>
    <row r="185" spans="7:14" ht="11.25" customHeight="1" x14ac:dyDescent="0.3">
      <c r="G185" s="470">
        <f t="shared" si="19"/>
        <v>15</v>
      </c>
      <c r="H185" s="470">
        <v>178</v>
      </c>
      <c r="I185" s="455">
        <f t="shared" ca="1" si="5"/>
        <v>2354748.5712700072</v>
      </c>
      <c r="J185" s="455">
        <f t="array" ref="J185">IFERROR(INDEX('Retirement Calculator'!J:J,MATCH('Isaac 401k'!N185,'Retirement Calculator'!A:A,0),0),0)</f>
        <v>6404.7404596389215</v>
      </c>
      <c r="K185" s="455">
        <f t="shared" ca="1" si="2"/>
        <v>9784.765961709867</v>
      </c>
      <c r="L185" s="455">
        <f t="shared" ca="1" si="3"/>
        <v>2358128.596772078</v>
      </c>
      <c r="M185" s="471">
        <f t="shared" si="6"/>
        <v>0.05</v>
      </c>
      <c r="N185" s="475">
        <f t="shared" si="7"/>
        <v>56674</v>
      </c>
    </row>
    <row r="186" spans="7:14" ht="11.25" customHeight="1" x14ac:dyDescent="0.3">
      <c r="G186" s="470">
        <f t="shared" si="19"/>
        <v>15</v>
      </c>
      <c r="H186" s="470">
        <v>179</v>
      </c>
      <c r="I186" s="455">
        <f t="shared" ca="1" si="5"/>
        <v>2358128.596772078</v>
      </c>
      <c r="J186" s="455">
        <f t="array" ref="J186">IFERROR(INDEX('Retirement Calculator'!J:J,MATCH('Isaac 401k'!N186,'Retirement Calculator'!A:A,0),0),0)</f>
        <v>6404.7404596389215</v>
      </c>
      <c r="K186" s="455">
        <f t="shared" ca="1" si="2"/>
        <v>9798.849401301828</v>
      </c>
      <c r="L186" s="455">
        <f t="shared" ca="1" si="3"/>
        <v>2361522.7057137405</v>
      </c>
      <c r="M186" s="471">
        <f t="shared" si="6"/>
        <v>0.05</v>
      </c>
      <c r="N186" s="475">
        <f t="shared" si="7"/>
        <v>56705</v>
      </c>
    </row>
    <row r="187" spans="7:14" ht="11.25" customHeight="1" x14ac:dyDescent="0.3">
      <c r="G187" s="470">
        <f t="shared" si="19"/>
        <v>15</v>
      </c>
      <c r="H187" s="470">
        <v>180</v>
      </c>
      <c r="I187" s="455">
        <f t="shared" ca="1" si="5"/>
        <v>2361522.7057137405</v>
      </c>
      <c r="J187" s="455">
        <f t="array" ref="J187">IFERROR(INDEX('Retirement Calculator'!J:J,MATCH('Isaac 401k'!N187,'Retirement Calculator'!A:A,0),0),0)</f>
        <v>6404.7404596389215</v>
      </c>
      <c r="K187" s="455">
        <f t="shared" ca="1" si="2"/>
        <v>9812.9915218920887</v>
      </c>
      <c r="L187" s="455">
        <f t="shared" ca="1" si="3"/>
        <v>2364930.9567759936</v>
      </c>
      <c r="M187" s="471">
        <f t="shared" si="6"/>
        <v>0.05</v>
      </c>
      <c r="N187" s="475">
        <f t="shared" si="7"/>
        <v>56735</v>
      </c>
    </row>
    <row r="188" spans="7:14" ht="11.25" customHeight="1" x14ac:dyDescent="0.3">
      <c r="G188" s="470">
        <f>G187+1</f>
        <v>16</v>
      </c>
      <c r="H188" s="470">
        <v>181</v>
      </c>
      <c r="I188" s="455">
        <f t="shared" ca="1" si="5"/>
        <v>2364930.9567759936</v>
      </c>
      <c r="J188" s="455">
        <f t="array" ref="J188">IFERROR(INDEX('Retirement Calculator'!J:J,MATCH('Isaac 401k'!N188,'Retirement Calculator'!A:A,0),0),0)</f>
        <v>6404.7404596389215</v>
      </c>
      <c r="K188" s="455">
        <f t="shared" ca="1" si="2"/>
        <v>9827.19256798481</v>
      </c>
      <c r="L188" s="455">
        <f t="shared" ca="1" si="3"/>
        <v>2368353.4088843395</v>
      </c>
      <c r="M188" s="471">
        <f t="shared" si="6"/>
        <v>0.05</v>
      </c>
      <c r="N188" s="475">
        <f t="shared" si="7"/>
        <v>56766</v>
      </c>
    </row>
    <row r="189" spans="7:14" ht="11.25" customHeight="1" x14ac:dyDescent="0.3">
      <c r="G189" s="470">
        <f t="shared" ref="G189:G199" si="20">G188</f>
        <v>16</v>
      </c>
      <c r="H189" s="470">
        <v>182</v>
      </c>
      <c r="I189" s="455">
        <f t="shared" ca="1" si="5"/>
        <v>2368353.4088843395</v>
      </c>
      <c r="J189" s="455">
        <f t="array" ref="J189">IFERROR(INDEX('Retirement Calculator'!J:J,MATCH('Isaac 401k'!N189,'Retirement Calculator'!A:A,0),0),0)</f>
        <v>6404.7404596389215</v>
      </c>
      <c r="K189" s="455">
        <f t="shared" ca="1" si="2"/>
        <v>9841.4527851029179</v>
      </c>
      <c r="L189" s="455">
        <f t="shared" ca="1" si="3"/>
        <v>2371790.1212098035</v>
      </c>
      <c r="M189" s="471">
        <f t="shared" si="6"/>
        <v>0.05</v>
      </c>
      <c r="N189" s="475">
        <f t="shared" si="7"/>
        <v>56796</v>
      </c>
    </row>
    <row r="190" spans="7:14" ht="11.25" customHeight="1" x14ac:dyDescent="0.3">
      <c r="G190" s="470">
        <f t="shared" si="20"/>
        <v>16</v>
      </c>
      <c r="H190" s="470">
        <v>183</v>
      </c>
      <c r="I190" s="455">
        <f t="shared" ca="1" si="5"/>
        <v>2371790.1212098035</v>
      </c>
      <c r="J190" s="455">
        <f t="array" ref="J190">IFERROR(INDEX('Retirement Calculator'!J:J,MATCH('Isaac 401k'!N190,'Retirement Calculator'!A:A,0),0),0)</f>
        <v>6404.7404596389215</v>
      </c>
      <c r="K190" s="455">
        <f t="shared" ca="1" si="2"/>
        <v>9855.7724197923508</v>
      </c>
      <c r="L190" s="455">
        <f t="shared" ca="1" si="3"/>
        <v>2375241.1531699565</v>
      </c>
      <c r="M190" s="471">
        <f t="shared" si="6"/>
        <v>0.05</v>
      </c>
      <c r="N190" s="475">
        <f t="shared" si="7"/>
        <v>56827</v>
      </c>
    </row>
    <row r="191" spans="7:14" ht="11.25" customHeight="1" x14ac:dyDescent="0.3">
      <c r="G191" s="470">
        <f t="shared" si="20"/>
        <v>16</v>
      </c>
      <c r="H191" s="470">
        <v>184</v>
      </c>
      <c r="I191" s="455">
        <f t="shared" ca="1" si="5"/>
        <v>2375241.1531699565</v>
      </c>
      <c r="J191" s="455">
        <f t="array" ref="J191">IFERROR(INDEX('Retirement Calculator'!J:J,MATCH('Isaac 401k'!N191,'Retirement Calculator'!A:A,0),0),0)</f>
        <v>6404.7404596389215</v>
      </c>
      <c r="K191" s="455">
        <f t="shared" ca="1" si="2"/>
        <v>9870.151719626323</v>
      </c>
      <c r="L191" s="455">
        <f t="shared" ca="1" si="3"/>
        <v>2378706.5644299439</v>
      </c>
      <c r="M191" s="471">
        <f t="shared" si="6"/>
        <v>0.05</v>
      </c>
      <c r="N191" s="475">
        <f t="shared" si="7"/>
        <v>56858</v>
      </c>
    </row>
    <row r="192" spans="7:14" ht="11.25" customHeight="1" x14ac:dyDescent="0.3">
      <c r="G192" s="470">
        <f t="shared" si="20"/>
        <v>16</v>
      </c>
      <c r="H192" s="470">
        <v>185</v>
      </c>
      <c r="I192" s="455">
        <f t="shared" ca="1" si="5"/>
        <v>2378706.5644299439</v>
      </c>
      <c r="J192" s="455">
        <f t="array" ref="J192">IFERROR(INDEX('Retirement Calculator'!J:J,MATCH('Isaac 401k'!N192,'Retirement Calculator'!A:A,0),0),0)</f>
        <v>6404.7404596389215</v>
      </c>
      <c r="K192" s="455">
        <f t="shared" ca="1" si="2"/>
        <v>9884.5909332096035</v>
      </c>
      <c r="L192" s="455">
        <f t="shared" ca="1" si="3"/>
        <v>2382186.4149035146</v>
      </c>
      <c r="M192" s="471">
        <f t="shared" si="6"/>
        <v>0.05</v>
      </c>
      <c r="N192" s="475">
        <f t="shared" si="7"/>
        <v>56888</v>
      </c>
    </row>
    <row r="193" spans="7:14" ht="11.25" customHeight="1" x14ac:dyDescent="0.3">
      <c r="G193" s="470">
        <f t="shared" si="20"/>
        <v>16</v>
      </c>
      <c r="H193" s="470">
        <v>186</v>
      </c>
      <c r="I193" s="455">
        <f t="shared" ca="1" si="5"/>
        <v>2382186.4149035146</v>
      </c>
      <c r="J193" s="455">
        <f t="array" ref="J193">IFERROR(INDEX('Retirement Calculator'!J:J,MATCH('Isaac 401k'!N193,'Retirement Calculator'!A:A,0),0),0)</f>
        <v>6404.7404596389215</v>
      </c>
      <c r="K193" s="455">
        <f t="shared" ca="1" si="2"/>
        <v>9899.0903101828135</v>
      </c>
      <c r="L193" s="455">
        <f t="shared" ca="1" si="3"/>
        <v>2385680.7647540583</v>
      </c>
      <c r="M193" s="471">
        <f t="shared" si="6"/>
        <v>0.05</v>
      </c>
      <c r="N193" s="475">
        <f t="shared" si="7"/>
        <v>56919</v>
      </c>
    </row>
    <row r="194" spans="7:14" ht="11.25" customHeight="1" x14ac:dyDescent="0.3">
      <c r="G194" s="470">
        <f t="shared" si="20"/>
        <v>16</v>
      </c>
      <c r="H194" s="470">
        <v>187</v>
      </c>
      <c r="I194" s="455">
        <f t="shared" ca="1" si="5"/>
        <v>2385680.7647540583</v>
      </c>
      <c r="J194" s="455">
        <f t="array" ref="J194">IFERROR(INDEX('Retirement Calculator'!J:J,MATCH('Isaac 401k'!N194,'Retirement Calculator'!A:A,0),0),0)</f>
        <v>6404.7404596389215</v>
      </c>
      <c r="K194" s="455">
        <f t="shared" ca="1" si="2"/>
        <v>9913.6501012267472</v>
      </c>
      <c r="L194" s="455">
        <f t="shared" ca="1" si="3"/>
        <v>2389189.674395646</v>
      </c>
      <c r="M194" s="471">
        <f t="shared" si="6"/>
        <v>0.05</v>
      </c>
      <c r="N194" s="475">
        <f t="shared" si="7"/>
        <v>56949</v>
      </c>
    </row>
    <row r="195" spans="7:14" ht="11.25" customHeight="1" x14ac:dyDescent="0.3">
      <c r="G195" s="470">
        <f t="shared" si="20"/>
        <v>16</v>
      </c>
      <c r="H195" s="470">
        <v>188</v>
      </c>
      <c r="I195" s="455">
        <f t="shared" ca="1" si="5"/>
        <v>2389189.674395646</v>
      </c>
      <c r="J195" s="455">
        <f t="array" ref="J195">IFERROR(INDEX('Retirement Calculator'!J:J,MATCH('Isaac 401k'!N195,'Retirement Calculator'!A:A,0),0),0)</f>
        <v>6404.7404596389215</v>
      </c>
      <c r="K195" s="455">
        <f t="shared" ca="1" si="2"/>
        <v>9928.2705580666952</v>
      </c>
      <c r="L195" s="455">
        <f t="shared" ca="1" si="3"/>
        <v>2392713.2044940735</v>
      </c>
      <c r="M195" s="471">
        <f t="shared" si="6"/>
        <v>0.05</v>
      </c>
      <c r="N195" s="475">
        <f t="shared" si="7"/>
        <v>56980</v>
      </c>
    </row>
    <row r="196" spans="7:14" ht="11.25" customHeight="1" x14ac:dyDescent="0.3">
      <c r="G196" s="470">
        <f t="shared" si="20"/>
        <v>16</v>
      </c>
      <c r="H196" s="470">
        <v>189</v>
      </c>
      <c r="I196" s="455">
        <f t="shared" ca="1" si="5"/>
        <v>2392713.2044940735</v>
      </c>
      <c r="J196" s="455">
        <f t="array" ref="J196">IFERROR(INDEX('Retirement Calculator'!J:J,MATCH('Isaac 401k'!N196,'Retirement Calculator'!A:A,0),0),0)</f>
        <v>6404.7404596389215</v>
      </c>
      <c r="K196" s="455">
        <f t="shared" ca="1" si="2"/>
        <v>9942.9519334768102</v>
      </c>
      <c r="L196" s="455">
        <f t="shared" ca="1" si="3"/>
        <v>2396251.415967911</v>
      </c>
      <c r="M196" s="471">
        <f t="shared" si="6"/>
        <v>0.05</v>
      </c>
      <c r="N196" s="475">
        <f t="shared" si="7"/>
        <v>57011</v>
      </c>
    </row>
    <row r="197" spans="7:14" ht="11.25" customHeight="1" x14ac:dyDescent="0.3">
      <c r="G197" s="470">
        <f t="shared" si="20"/>
        <v>16</v>
      </c>
      <c r="H197" s="470">
        <v>190</v>
      </c>
      <c r="I197" s="455">
        <f t="shared" ca="1" si="5"/>
        <v>2396251.415967911</v>
      </c>
      <c r="J197" s="455">
        <f t="array" ref="J197">IFERROR(INDEX('Retirement Calculator'!J:J,MATCH('Isaac 401k'!N197,'Retirement Calculator'!A:A,0),0),0)</f>
        <v>6404.7404596389215</v>
      </c>
      <c r="K197" s="455">
        <f t="shared" ca="1" si="2"/>
        <v>9957.6944812844667</v>
      </c>
      <c r="L197" s="455">
        <f t="shared" ca="1" si="3"/>
        <v>2399804.3699895563</v>
      </c>
      <c r="M197" s="471">
        <f t="shared" si="6"/>
        <v>0.05</v>
      </c>
      <c r="N197" s="475">
        <f t="shared" si="7"/>
        <v>57040</v>
      </c>
    </row>
    <row r="198" spans="7:14" ht="11.25" customHeight="1" x14ac:dyDescent="0.3">
      <c r="G198" s="470">
        <f t="shared" si="20"/>
        <v>16</v>
      </c>
      <c r="H198" s="470">
        <v>191</v>
      </c>
      <c r="I198" s="455">
        <f t="shared" ca="1" si="5"/>
        <v>2399804.3699895563</v>
      </c>
      <c r="J198" s="455">
        <f t="array" ref="J198">IFERROR(INDEX('Retirement Calculator'!J:J,MATCH('Isaac 401k'!N198,'Retirement Calculator'!A:A,0),0),0)</f>
        <v>6404.7404596389215</v>
      </c>
      <c r="K198" s="455">
        <f t="shared" ca="1" si="2"/>
        <v>9972.4984563746548</v>
      </c>
      <c r="L198" s="455">
        <f t="shared" ca="1" si="3"/>
        <v>2403372.1279862919</v>
      </c>
      <c r="M198" s="471">
        <f t="shared" si="6"/>
        <v>0.05</v>
      </c>
      <c r="N198" s="475">
        <f t="shared" si="7"/>
        <v>57071</v>
      </c>
    </row>
    <row r="199" spans="7:14" ht="11.25" customHeight="1" x14ac:dyDescent="0.3">
      <c r="G199" s="470">
        <f t="shared" si="20"/>
        <v>16</v>
      </c>
      <c r="H199" s="470">
        <v>192</v>
      </c>
      <c r="I199" s="455">
        <f t="shared" ca="1" si="5"/>
        <v>2403372.1279862919</v>
      </c>
      <c r="J199" s="455">
        <f t="array" ref="J199">IFERROR(INDEX('Retirement Calculator'!J:J,MATCH('Isaac 401k'!N199,'Retirement Calculator'!A:A,0),0),0)</f>
        <v>6404.7404596389215</v>
      </c>
      <c r="K199" s="455">
        <f t="shared" ca="1" si="2"/>
        <v>9987.3641146943864</v>
      </c>
      <c r="L199" s="455">
        <f t="shared" ca="1" si="3"/>
        <v>2406954.7516413471</v>
      </c>
      <c r="M199" s="471">
        <f t="shared" si="6"/>
        <v>0.05</v>
      </c>
      <c r="N199" s="475">
        <f t="shared" si="7"/>
        <v>57101</v>
      </c>
    </row>
    <row r="200" spans="7:14" ht="11.25" customHeight="1" x14ac:dyDescent="0.3">
      <c r="G200" s="470">
        <f>G199+1</f>
        <v>17</v>
      </c>
      <c r="H200" s="470">
        <v>193</v>
      </c>
      <c r="I200" s="455">
        <f t="shared" ca="1" si="5"/>
        <v>2406954.7516413471</v>
      </c>
      <c r="J200" s="455">
        <f t="array" ref="J200">IFERROR(INDEX('Retirement Calculator'!J:J,MATCH('Isaac 401k'!N200,'Retirement Calculator'!A:A,0),0),0)</f>
        <v>6404.7404596389215</v>
      </c>
      <c r="K200" s="455">
        <f t="shared" ca="1" si="2"/>
        <v>10002.291713257116</v>
      </c>
      <c r="L200" s="455">
        <f t="shared" ca="1" si="3"/>
        <v>2410552.3028949653</v>
      </c>
      <c r="M200" s="471">
        <f t="shared" si="6"/>
        <v>0.05</v>
      </c>
      <c r="N200" s="475">
        <f t="shared" si="7"/>
        <v>57132</v>
      </c>
    </row>
    <row r="201" spans="7:14" ht="11.25" customHeight="1" x14ac:dyDescent="0.3">
      <c r="G201" s="470">
        <f t="shared" ref="G201:G211" si="21">G200</f>
        <v>17</v>
      </c>
      <c r="H201" s="470">
        <v>194</v>
      </c>
      <c r="I201" s="455">
        <f t="shared" ca="1" si="5"/>
        <v>2410552.3028949653</v>
      </c>
      <c r="J201" s="455">
        <f t="array" ref="J201">IFERROR(INDEX('Retirement Calculator'!J:J,MATCH('Isaac 401k'!N201,'Retirement Calculator'!A:A,0),0),0)</f>
        <v>6404.7404596389215</v>
      </c>
      <c r="K201" s="455">
        <f t="shared" ca="1" si="2"/>
        <v>10017.281510147192</v>
      </c>
      <c r="L201" s="455">
        <f t="shared" ca="1" si="3"/>
        <v>2414164.8439454734</v>
      </c>
      <c r="M201" s="471">
        <f t="shared" si="6"/>
        <v>0.05</v>
      </c>
      <c r="N201" s="475">
        <f t="shared" si="7"/>
        <v>57162</v>
      </c>
    </row>
    <row r="202" spans="7:14" ht="11.25" customHeight="1" x14ac:dyDescent="0.3">
      <c r="G202" s="470">
        <f t="shared" si="21"/>
        <v>17</v>
      </c>
      <c r="H202" s="470">
        <v>195</v>
      </c>
      <c r="I202" s="455">
        <f t="shared" ca="1" si="5"/>
        <v>2414164.8439454734</v>
      </c>
      <c r="J202" s="455">
        <f t="array" ref="J202">IFERROR(INDEX('Retirement Calculator'!J:J,MATCH('Isaac 401k'!N202,'Retirement Calculator'!A:A,0),0),0)</f>
        <v>6404.7404596389215</v>
      </c>
      <c r="K202" s="455">
        <f t="shared" ca="1" si="2"/>
        <v>10032.33376452431</v>
      </c>
      <c r="L202" s="455">
        <f t="shared" ca="1" si="3"/>
        <v>2417792.4372503585</v>
      </c>
      <c r="M202" s="471">
        <f t="shared" si="6"/>
        <v>0.05</v>
      </c>
      <c r="N202" s="475">
        <f t="shared" si="7"/>
        <v>57193</v>
      </c>
    </row>
    <row r="203" spans="7:14" ht="11.25" customHeight="1" x14ac:dyDescent="0.3">
      <c r="G203" s="470">
        <f t="shared" si="21"/>
        <v>17</v>
      </c>
      <c r="H203" s="470">
        <v>196</v>
      </c>
      <c r="I203" s="455">
        <f t="shared" ca="1" si="5"/>
        <v>2417792.4372503585</v>
      </c>
      <c r="J203" s="455">
        <f t="array" ref="J203">IFERROR(INDEX('Retirement Calculator'!J:J,MATCH('Isaac 401k'!N203,'Retirement Calculator'!A:A,0),0),0)</f>
        <v>6404.7404596389215</v>
      </c>
      <c r="K203" s="455">
        <f t="shared" ca="1" si="2"/>
        <v>10047.448736627997</v>
      </c>
      <c r="L203" s="455">
        <f t="shared" ca="1" si="3"/>
        <v>2421435.1455273475</v>
      </c>
      <c r="M203" s="471">
        <f t="shared" si="6"/>
        <v>0.05</v>
      </c>
      <c r="N203" s="475">
        <f t="shared" si="7"/>
        <v>57224</v>
      </c>
    </row>
    <row r="204" spans="7:14" ht="11.25" customHeight="1" x14ac:dyDescent="0.3">
      <c r="G204" s="470">
        <f t="shared" si="21"/>
        <v>17</v>
      </c>
      <c r="H204" s="470">
        <v>197</v>
      </c>
      <c r="I204" s="455">
        <f t="shared" ca="1" si="5"/>
        <v>2421435.1455273475</v>
      </c>
      <c r="J204" s="455">
        <f t="array" ref="J204">IFERROR(INDEX('Retirement Calculator'!J:J,MATCH('Isaac 401k'!N204,'Retirement Calculator'!A:A,0),0),0)</f>
        <v>6404.7404596389215</v>
      </c>
      <c r="K204" s="455">
        <f t="shared" ca="1" si="2"/>
        <v>10062.626687782118</v>
      </c>
      <c r="L204" s="455">
        <f t="shared" ca="1" si="3"/>
        <v>2425093.0317554902</v>
      </c>
      <c r="M204" s="471">
        <f t="shared" si="6"/>
        <v>0.05</v>
      </c>
      <c r="N204" s="475">
        <f t="shared" si="7"/>
        <v>57254</v>
      </c>
    </row>
    <row r="205" spans="7:14" ht="11.25" customHeight="1" x14ac:dyDescent="0.3">
      <c r="G205" s="470">
        <f t="shared" si="21"/>
        <v>17</v>
      </c>
      <c r="H205" s="470">
        <v>198</v>
      </c>
      <c r="I205" s="455">
        <f t="shared" ca="1" si="5"/>
        <v>2425093.0317554902</v>
      </c>
      <c r="J205" s="455">
        <f t="array" ref="J205">IFERROR(INDEX('Retirement Calculator'!J:J,MATCH('Isaac 401k'!N205,'Retirement Calculator'!A:A,0),0),0)</f>
        <v>6404.7404596389215</v>
      </c>
      <c r="K205" s="455">
        <f t="shared" ca="1" si="2"/>
        <v>10077.867880399379</v>
      </c>
      <c r="L205" s="455">
        <f t="shared" ca="1" si="3"/>
        <v>2428766.1591762505</v>
      </c>
      <c r="M205" s="471">
        <f t="shared" si="6"/>
        <v>0.05</v>
      </c>
      <c r="N205" s="475">
        <f t="shared" si="7"/>
        <v>57285</v>
      </c>
    </row>
    <row r="206" spans="7:14" ht="11.25" customHeight="1" x14ac:dyDescent="0.3">
      <c r="G206" s="470">
        <f t="shared" si="21"/>
        <v>17</v>
      </c>
      <c r="H206" s="470">
        <v>199</v>
      </c>
      <c r="I206" s="455">
        <f t="shared" ca="1" si="5"/>
        <v>2428766.1591762505</v>
      </c>
      <c r="J206" s="455">
        <f t="array" ref="J206">IFERROR(INDEX('Retirement Calculator'!J:J,MATCH('Isaac 401k'!N206,'Retirement Calculator'!A:A,0),0),0)</f>
        <v>6404.7404596389215</v>
      </c>
      <c r="K206" s="455">
        <f t="shared" ca="1" si="2"/>
        <v>10093.172577985881</v>
      </c>
      <c r="L206" s="455">
        <f t="shared" ca="1" si="3"/>
        <v>2432454.5912945974</v>
      </c>
      <c r="M206" s="471">
        <f t="shared" si="6"/>
        <v>0.05</v>
      </c>
      <c r="N206" s="475">
        <f t="shared" si="7"/>
        <v>57315</v>
      </c>
    </row>
    <row r="207" spans="7:14" ht="11.25" customHeight="1" x14ac:dyDescent="0.3">
      <c r="G207" s="470">
        <f t="shared" si="21"/>
        <v>17</v>
      </c>
      <c r="H207" s="470">
        <v>200</v>
      </c>
      <c r="I207" s="455">
        <f t="shared" ca="1" si="5"/>
        <v>2432454.5912945974</v>
      </c>
      <c r="J207" s="455">
        <f t="array" ref="J207">IFERROR(INDEX('Retirement Calculator'!J:J,MATCH('Isaac 401k'!N207,'Retirement Calculator'!A:A,0),0),0)</f>
        <v>6404.7404596389215</v>
      </c>
      <c r="K207" s="455">
        <f t="shared" ca="1" si="2"/>
        <v>10108.541045145659</v>
      </c>
      <c r="L207" s="455">
        <f t="shared" ca="1" si="3"/>
        <v>2436158.3918801039</v>
      </c>
      <c r="M207" s="471">
        <f t="shared" si="6"/>
        <v>0.05</v>
      </c>
      <c r="N207" s="475">
        <f t="shared" si="7"/>
        <v>57346</v>
      </c>
    </row>
    <row r="208" spans="7:14" ht="11.25" customHeight="1" x14ac:dyDescent="0.3">
      <c r="G208" s="470">
        <f t="shared" si="21"/>
        <v>17</v>
      </c>
      <c r="H208" s="470">
        <v>201</v>
      </c>
      <c r="I208" s="455">
        <f t="shared" ca="1" si="5"/>
        <v>2436158.3918801039</v>
      </c>
      <c r="J208" s="455">
        <f t="array" ref="J208">IFERROR(INDEX('Retirement Calculator'!J:J,MATCH('Isaac 401k'!N208,'Retirement Calculator'!A:A,0),0),0)</f>
        <v>6404.7404596389215</v>
      </c>
      <c r="K208" s="455">
        <f t="shared" ca="1" si="2"/>
        <v>10123.97354758527</v>
      </c>
      <c r="L208" s="455">
        <f t="shared" ca="1" si="3"/>
        <v>2439877.62496805</v>
      </c>
      <c r="M208" s="471">
        <f t="shared" si="6"/>
        <v>0.05</v>
      </c>
      <c r="N208" s="475">
        <f t="shared" si="7"/>
        <v>57377</v>
      </c>
    </row>
    <row r="209" spans="7:14" ht="11.25" customHeight="1" x14ac:dyDescent="0.3">
      <c r="G209" s="470">
        <f t="shared" si="21"/>
        <v>17</v>
      </c>
      <c r="H209" s="470">
        <v>202</v>
      </c>
      <c r="I209" s="455">
        <f t="shared" ca="1" si="5"/>
        <v>2439877.62496805</v>
      </c>
      <c r="J209" s="455">
        <f t="array" ref="J209">IFERROR(INDEX('Retirement Calculator'!J:J,MATCH('Isaac 401k'!N209,'Retirement Calculator'!A:A,0),0),0)</f>
        <v>6404.7404596389215</v>
      </c>
      <c r="K209" s="455">
        <f t="shared" ca="1" si="2"/>
        <v>10139.470352118378</v>
      </c>
      <c r="L209" s="455">
        <f t="shared" ca="1" si="3"/>
        <v>2443612.3548605293</v>
      </c>
      <c r="M209" s="471">
        <f t="shared" si="6"/>
        <v>0.05</v>
      </c>
      <c r="N209" s="475">
        <f t="shared" si="7"/>
        <v>57405</v>
      </c>
    </row>
    <row r="210" spans="7:14" ht="11.25" customHeight="1" x14ac:dyDescent="0.3">
      <c r="G210" s="470">
        <f t="shared" si="21"/>
        <v>17</v>
      </c>
      <c r="H210" s="470">
        <v>203</v>
      </c>
      <c r="I210" s="455">
        <f t="shared" ca="1" si="5"/>
        <v>2443612.3548605293</v>
      </c>
      <c r="J210" s="455">
        <f t="array" ref="J210">IFERROR(INDEX('Retirement Calculator'!J:J,MATCH('Isaac 401k'!N210,'Retirement Calculator'!A:A,0),0),0)</f>
        <v>6404.7404596389215</v>
      </c>
      <c r="K210" s="455">
        <f t="shared" ca="1" si="2"/>
        <v>10155.031726670375</v>
      </c>
      <c r="L210" s="455">
        <f t="shared" ca="1" si="3"/>
        <v>2447362.6461275606</v>
      </c>
      <c r="M210" s="471">
        <f t="shared" si="6"/>
        <v>0.05</v>
      </c>
      <c r="N210" s="475">
        <f t="shared" si="7"/>
        <v>57436</v>
      </c>
    </row>
    <row r="211" spans="7:14" ht="11.25" customHeight="1" x14ac:dyDescent="0.3">
      <c r="G211" s="470">
        <f t="shared" si="21"/>
        <v>17</v>
      </c>
      <c r="H211" s="470">
        <v>204</v>
      </c>
      <c r="I211" s="455">
        <f t="shared" ca="1" si="5"/>
        <v>2447362.6461275606</v>
      </c>
      <c r="J211" s="455">
        <f t="array" ref="J211">IFERROR(INDEX('Retirement Calculator'!J:J,MATCH('Isaac 401k'!N211,'Retirement Calculator'!A:A,0),0),0)</f>
        <v>6404.7404596389215</v>
      </c>
      <c r="K211" s="455">
        <f t="shared" ca="1" si="2"/>
        <v>10170.657940283007</v>
      </c>
      <c r="L211" s="455">
        <f t="shared" ca="1" si="3"/>
        <v>2451128.5636082045</v>
      </c>
      <c r="M211" s="471">
        <f t="shared" si="6"/>
        <v>0.05</v>
      </c>
      <c r="N211" s="475">
        <f t="shared" si="7"/>
        <v>57466</v>
      </c>
    </row>
    <row r="212" spans="7:14" ht="11.25" customHeight="1" x14ac:dyDescent="0.3">
      <c r="G212" s="470">
        <f>G211+1</f>
        <v>18</v>
      </c>
      <c r="H212" s="470">
        <v>205</v>
      </c>
      <c r="I212" s="455">
        <f t="shared" ca="1" si="5"/>
        <v>2451128.5636082045</v>
      </c>
      <c r="J212" s="455">
        <f t="array" ref="J212">IFERROR(INDEX('Retirement Calculator'!J:J,MATCH('Isaac 401k'!N212,'Retirement Calculator'!A:A,0),0),0)</f>
        <v>6404.7404596389215</v>
      </c>
      <c r="K212" s="455">
        <f t="shared" ca="1" si="2"/>
        <v>10186.349263119022</v>
      </c>
      <c r="L212" s="455">
        <f t="shared" ca="1" si="3"/>
        <v>2454910.1724116844</v>
      </c>
      <c r="M212" s="471">
        <f t="shared" si="6"/>
        <v>0.05</v>
      </c>
      <c r="N212" s="475">
        <f t="shared" si="7"/>
        <v>57497</v>
      </c>
    </row>
    <row r="213" spans="7:14" ht="11.25" customHeight="1" x14ac:dyDescent="0.3">
      <c r="G213" s="470">
        <f t="shared" ref="G213:G223" si="22">G212</f>
        <v>18</v>
      </c>
      <c r="H213" s="470">
        <v>206</v>
      </c>
      <c r="I213" s="455">
        <f t="shared" ca="1" si="5"/>
        <v>2454910.1724116844</v>
      </c>
      <c r="J213" s="455">
        <f t="array" ref="J213">IFERROR(INDEX('Retirement Calculator'!J:J,MATCH('Isaac 401k'!N213,'Retirement Calculator'!A:A,0),0),0)</f>
        <v>6404.7404596389215</v>
      </c>
      <c r="K213" s="455">
        <f t="shared" ca="1" si="2"/>
        <v>10202.105966466856</v>
      </c>
      <c r="L213" s="455">
        <f t="shared" ca="1" si="3"/>
        <v>2458707.5379185122</v>
      </c>
      <c r="M213" s="471">
        <f t="shared" si="6"/>
        <v>0.05</v>
      </c>
      <c r="N213" s="475">
        <f t="shared" si="7"/>
        <v>57527</v>
      </c>
    </row>
    <row r="214" spans="7:14" ht="11.25" customHeight="1" x14ac:dyDescent="0.3">
      <c r="G214" s="470">
        <f t="shared" si="22"/>
        <v>18</v>
      </c>
      <c r="H214" s="470">
        <v>207</v>
      </c>
      <c r="I214" s="455">
        <f t="shared" ca="1" si="5"/>
        <v>2458707.5379185122</v>
      </c>
      <c r="J214" s="455">
        <f t="array" ref="J214">IFERROR(INDEX('Retirement Calculator'!J:J,MATCH('Isaac 401k'!N214,'Retirement Calculator'!A:A,0),0),0)</f>
        <v>6404.7404596389215</v>
      </c>
      <c r="K214" s="455">
        <f t="shared" ca="1" si="2"/>
        <v>10217.928322745305</v>
      </c>
      <c r="L214" s="455">
        <f t="shared" ca="1" si="3"/>
        <v>2462520.7257816186</v>
      </c>
      <c r="M214" s="471">
        <f t="shared" si="6"/>
        <v>0.05</v>
      </c>
      <c r="N214" s="475">
        <f t="shared" si="7"/>
        <v>57558</v>
      </c>
    </row>
    <row r="215" spans="7:14" ht="11.25" customHeight="1" x14ac:dyDescent="0.3">
      <c r="G215" s="470">
        <f t="shared" si="22"/>
        <v>18</v>
      </c>
      <c r="H215" s="470">
        <v>208</v>
      </c>
      <c r="I215" s="455">
        <f t="shared" ca="1" si="5"/>
        <v>2462520.7257816186</v>
      </c>
      <c r="J215" s="455">
        <f t="array" ref="J215">IFERROR(INDEX('Retirement Calculator'!J:J,MATCH('Isaac 401k'!N215,'Retirement Calculator'!A:A,0),0),0)</f>
        <v>6404.7404596389215</v>
      </c>
      <c r="K215" s="455">
        <f t="shared" ca="1" si="2"/>
        <v>10233.816605508247</v>
      </c>
      <c r="L215" s="455">
        <f t="shared" ca="1" si="3"/>
        <v>2466349.8019274878</v>
      </c>
      <c r="M215" s="471">
        <f t="shared" si="6"/>
        <v>0.05</v>
      </c>
      <c r="N215" s="475">
        <f t="shared" si="7"/>
        <v>57589</v>
      </c>
    </row>
    <row r="216" spans="7:14" ht="11.25" customHeight="1" x14ac:dyDescent="0.3">
      <c r="G216" s="470">
        <f t="shared" si="22"/>
        <v>18</v>
      </c>
      <c r="H216" s="470">
        <v>209</v>
      </c>
      <c r="I216" s="455">
        <f t="shared" ca="1" si="5"/>
        <v>2466349.8019274878</v>
      </c>
      <c r="J216" s="455">
        <f t="array" ref="J216">IFERROR(INDEX('Retirement Calculator'!J:J,MATCH('Isaac 401k'!N216,'Retirement Calculator'!A:A,0),0),0)</f>
        <v>6404.7404596389215</v>
      </c>
      <c r="K216" s="455">
        <f t="shared" ca="1" si="2"/>
        <v>10249.77108944937</v>
      </c>
      <c r="L216" s="455">
        <f t="shared" ca="1" si="3"/>
        <v>2470194.8325572982</v>
      </c>
      <c r="M216" s="471">
        <f t="shared" si="6"/>
        <v>0.05</v>
      </c>
      <c r="N216" s="475">
        <f t="shared" si="7"/>
        <v>57619</v>
      </c>
    </row>
    <row r="217" spans="7:14" ht="11.25" customHeight="1" x14ac:dyDescent="0.3">
      <c r="G217" s="470">
        <f t="shared" si="22"/>
        <v>18</v>
      </c>
      <c r="H217" s="470">
        <v>210</v>
      </c>
      <c r="I217" s="455">
        <f t="shared" ca="1" si="5"/>
        <v>2470194.8325572982</v>
      </c>
      <c r="J217" s="455">
        <f t="array" ref="J217">IFERROR(INDEX('Retirement Calculator'!J:J,MATCH('Isaac 401k'!N217,'Retirement Calculator'!A:A,0),0),0)</f>
        <v>6404.7404596389215</v>
      </c>
      <c r="K217" s="455">
        <f t="shared" ca="1" si="2"/>
        <v>10265.792050406913</v>
      </c>
      <c r="L217" s="455">
        <f t="shared" ca="1" si="3"/>
        <v>2474055.8841480659</v>
      </c>
      <c r="M217" s="471">
        <f t="shared" si="6"/>
        <v>0.05</v>
      </c>
      <c r="N217" s="475">
        <f t="shared" si="7"/>
        <v>57650</v>
      </c>
    </row>
    <row r="218" spans="7:14" ht="11.25" customHeight="1" x14ac:dyDescent="0.3">
      <c r="G218" s="470">
        <f t="shared" si="22"/>
        <v>18</v>
      </c>
      <c r="H218" s="470">
        <v>211</v>
      </c>
      <c r="I218" s="455">
        <f t="shared" ca="1" si="5"/>
        <v>2474055.8841480659</v>
      </c>
      <c r="J218" s="455">
        <f t="array" ref="J218">IFERROR(INDEX('Retirement Calculator'!J:J,MATCH('Isaac 401k'!N218,'Retirement Calculator'!A:A,0),0),0)</f>
        <v>6404.7404596389215</v>
      </c>
      <c r="K218" s="455">
        <f t="shared" ca="1" si="2"/>
        <v>10281.879765368445</v>
      </c>
      <c r="L218" s="455">
        <f t="shared" ca="1" si="3"/>
        <v>2477933.0234537954</v>
      </c>
      <c r="M218" s="471">
        <f t="shared" si="6"/>
        <v>0.05</v>
      </c>
      <c r="N218" s="475">
        <f t="shared" si="7"/>
        <v>57680</v>
      </c>
    </row>
    <row r="219" spans="7:14" ht="11.25" customHeight="1" x14ac:dyDescent="0.3">
      <c r="G219" s="470">
        <f t="shared" si="22"/>
        <v>18</v>
      </c>
      <c r="H219" s="470">
        <v>212</v>
      </c>
      <c r="I219" s="455">
        <f t="shared" ca="1" si="5"/>
        <v>2477933.0234537954</v>
      </c>
      <c r="J219" s="455">
        <f t="array" ref="J219">IFERROR(INDEX('Retirement Calculator'!J:J,MATCH('Isaac 401k'!N219,'Retirement Calculator'!A:A,0),0),0)</f>
        <v>6404.7404596389215</v>
      </c>
      <c r="K219" s="455">
        <f t="shared" ca="1" si="2"/>
        <v>10298.034512475651</v>
      </c>
      <c r="L219" s="455">
        <f t="shared" ca="1" si="3"/>
        <v>2481826.3175066318</v>
      </c>
      <c r="M219" s="471">
        <f t="shared" si="6"/>
        <v>0.05</v>
      </c>
      <c r="N219" s="475">
        <f t="shared" si="7"/>
        <v>57711</v>
      </c>
    </row>
    <row r="220" spans="7:14" ht="11.25" customHeight="1" x14ac:dyDescent="0.3">
      <c r="G220" s="470">
        <f t="shared" si="22"/>
        <v>18</v>
      </c>
      <c r="H220" s="470">
        <v>213</v>
      </c>
      <c r="I220" s="455">
        <f t="shared" ca="1" si="5"/>
        <v>2481826.3175066318</v>
      </c>
      <c r="J220" s="455">
        <f t="array" ref="J220">IFERROR(INDEX('Retirement Calculator'!J:J,MATCH('Isaac 401k'!N220,'Retirement Calculator'!A:A,0),0),0)</f>
        <v>6404.7404596389215</v>
      </c>
      <c r="K220" s="455">
        <f t="shared" ca="1" si="2"/>
        <v>10314.256571029136</v>
      </c>
      <c r="L220" s="455">
        <f t="shared" ca="1" si="3"/>
        <v>2485735.833618022</v>
      </c>
      <c r="M220" s="471">
        <f t="shared" si="6"/>
        <v>0.05</v>
      </c>
      <c r="N220" s="475">
        <f t="shared" si="7"/>
        <v>57742</v>
      </c>
    </row>
    <row r="221" spans="7:14" ht="11.25" customHeight="1" x14ac:dyDescent="0.3">
      <c r="G221" s="470">
        <f t="shared" si="22"/>
        <v>18</v>
      </c>
      <c r="H221" s="470">
        <v>214</v>
      </c>
      <c r="I221" s="455">
        <f t="shared" ca="1" si="5"/>
        <v>2485735.833618022</v>
      </c>
      <c r="J221" s="455">
        <f t="array" ref="J221">IFERROR(INDEX('Retirement Calculator'!J:J,MATCH('Isaac 401k'!N221,'Retirement Calculator'!A:A,0),0),0)</f>
        <v>6404.7404596389215</v>
      </c>
      <c r="K221" s="455">
        <f t="shared" ca="1" si="2"/>
        <v>10330.546221493261</v>
      </c>
      <c r="L221" s="455">
        <f t="shared" ca="1" si="3"/>
        <v>2489661.6393798762</v>
      </c>
      <c r="M221" s="471">
        <f t="shared" si="6"/>
        <v>0.05</v>
      </c>
      <c r="N221" s="475">
        <f t="shared" si="7"/>
        <v>57770</v>
      </c>
    </row>
    <row r="222" spans="7:14" ht="11.25" customHeight="1" x14ac:dyDescent="0.3">
      <c r="G222" s="470">
        <f t="shared" si="22"/>
        <v>18</v>
      </c>
      <c r="H222" s="470">
        <v>215</v>
      </c>
      <c r="I222" s="455">
        <f t="shared" ca="1" si="5"/>
        <v>2489661.6393798762</v>
      </c>
      <c r="J222" s="455">
        <f t="array" ref="J222">IFERROR(INDEX('Retirement Calculator'!J:J,MATCH('Isaac 401k'!N222,'Retirement Calculator'!A:A,0),0),0)</f>
        <v>6404.7404596389215</v>
      </c>
      <c r="K222" s="455">
        <f t="shared" ca="1" si="2"/>
        <v>10346.903745500987</v>
      </c>
      <c r="L222" s="455">
        <f t="shared" ca="1" si="3"/>
        <v>2493603.8026657379</v>
      </c>
      <c r="M222" s="471">
        <f t="shared" si="6"/>
        <v>0.05</v>
      </c>
      <c r="N222" s="475">
        <f t="shared" si="7"/>
        <v>57801</v>
      </c>
    </row>
    <row r="223" spans="7:14" ht="11.25" customHeight="1" x14ac:dyDescent="0.3">
      <c r="G223" s="470">
        <f t="shared" si="22"/>
        <v>18</v>
      </c>
      <c r="H223" s="470">
        <v>216</v>
      </c>
      <c r="I223" s="455">
        <f t="shared" ca="1" si="5"/>
        <v>2493603.8026657379</v>
      </c>
      <c r="J223" s="455">
        <f t="array" ref="J223">IFERROR(INDEX('Retirement Calculator'!J:J,MATCH('Isaac 401k'!N223,'Retirement Calculator'!A:A,0),0),0)</f>
        <v>6404.7404596389215</v>
      </c>
      <c r="K223" s="455">
        <f t="shared" ca="1" si="2"/>
        <v>10363.329425858745</v>
      </c>
      <c r="L223" s="455">
        <f t="shared" ca="1" si="3"/>
        <v>2497562.3916319576</v>
      </c>
      <c r="M223" s="471">
        <f t="shared" si="6"/>
        <v>0.05</v>
      </c>
      <c r="N223" s="475">
        <f t="shared" si="7"/>
        <v>57831</v>
      </c>
    </row>
    <row r="224" spans="7:14" ht="11.25" customHeight="1" x14ac:dyDescent="0.3">
      <c r="G224" s="470">
        <f>G223+1</f>
        <v>19</v>
      </c>
      <c r="H224" s="470">
        <v>217</v>
      </c>
      <c r="I224" s="455">
        <f t="shared" ca="1" si="5"/>
        <v>2497562.3916319576</v>
      </c>
      <c r="J224" s="455">
        <f t="array" ref="J224">IFERROR(INDEX('Retirement Calculator'!J:J,MATCH('Isaac 401k'!N224,'Retirement Calculator'!A:A,0),0),0)</f>
        <v>6404.7404596389215</v>
      </c>
      <c r="K224" s="455">
        <f t="shared" ca="1" si="2"/>
        <v>10379.823546551326</v>
      </c>
      <c r="L224" s="455">
        <f t="shared" ca="1" si="3"/>
        <v>2501537.4747188697</v>
      </c>
      <c r="M224" s="471">
        <f t="shared" si="6"/>
        <v>0.05</v>
      </c>
      <c r="N224" s="475">
        <f t="shared" si="7"/>
        <v>57862</v>
      </c>
    </row>
    <row r="225" spans="7:14" ht="11.25" customHeight="1" x14ac:dyDescent="0.3">
      <c r="G225" s="470">
        <f t="shared" ref="G225:G235" si="23">G224</f>
        <v>19</v>
      </c>
      <c r="H225" s="470">
        <v>218</v>
      </c>
      <c r="I225" s="455">
        <f t="shared" ca="1" si="5"/>
        <v>2501537.4747188697</v>
      </c>
      <c r="J225" s="455">
        <f t="array" ref="J225">IFERROR(INDEX('Retirement Calculator'!J:J,MATCH('Isaac 401k'!N225,'Retirement Calculator'!A:A,0),0),0)</f>
        <v>6404.7404596389215</v>
      </c>
      <c r="K225" s="455">
        <f t="shared" ca="1" si="2"/>
        <v>10396.386392746794</v>
      </c>
      <c r="L225" s="455">
        <f t="shared" ca="1" si="3"/>
        <v>2505529.1206519771</v>
      </c>
      <c r="M225" s="471">
        <f t="shared" si="6"/>
        <v>0.05</v>
      </c>
      <c r="N225" s="475">
        <f t="shared" si="7"/>
        <v>57892</v>
      </c>
    </row>
    <row r="226" spans="7:14" ht="11.25" customHeight="1" x14ac:dyDescent="0.3">
      <c r="G226" s="470">
        <f t="shared" si="23"/>
        <v>19</v>
      </c>
      <c r="H226" s="470">
        <v>219</v>
      </c>
      <c r="I226" s="455">
        <f t="shared" ca="1" si="5"/>
        <v>2505529.1206519771</v>
      </c>
      <c r="J226" s="455">
        <f t="array" ref="J226">IFERROR(INDEX('Retirement Calculator'!J:J,MATCH('Isaac 401k'!N226,'Retirement Calculator'!A:A,0),0),0)</f>
        <v>6404.7404596389215</v>
      </c>
      <c r="K226" s="455">
        <f t="shared" ca="1" si="2"/>
        <v>10413.018250801408</v>
      </c>
      <c r="L226" s="455">
        <f t="shared" ca="1" si="3"/>
        <v>2509537.3984431396</v>
      </c>
      <c r="M226" s="471">
        <f t="shared" si="6"/>
        <v>0.05</v>
      </c>
      <c r="N226" s="475">
        <f t="shared" si="7"/>
        <v>57923</v>
      </c>
    </row>
    <row r="227" spans="7:14" ht="11.25" customHeight="1" x14ac:dyDescent="0.3">
      <c r="G227" s="470">
        <f t="shared" si="23"/>
        <v>19</v>
      </c>
      <c r="H227" s="470">
        <v>220</v>
      </c>
      <c r="I227" s="455">
        <f t="shared" ca="1" si="5"/>
        <v>2509537.3984431396</v>
      </c>
      <c r="J227" s="455">
        <f t="array" ref="J227">IFERROR(INDEX('Retirement Calculator'!J:J,MATCH('Isaac 401k'!N227,'Retirement Calculator'!A:A,0),0),0)</f>
        <v>6404.7404596389215</v>
      </c>
      <c r="K227" s="455">
        <f t="shared" ca="1" si="2"/>
        <v>10429.719408264586</v>
      </c>
      <c r="L227" s="455">
        <f t="shared" ca="1" si="3"/>
        <v>2513562.3773917649</v>
      </c>
      <c r="M227" s="471">
        <f t="shared" si="6"/>
        <v>0.05</v>
      </c>
      <c r="N227" s="475">
        <f t="shared" si="7"/>
        <v>57954</v>
      </c>
    </row>
    <row r="228" spans="7:14" ht="11.25" customHeight="1" x14ac:dyDescent="0.3">
      <c r="G228" s="470">
        <f t="shared" si="23"/>
        <v>19</v>
      </c>
      <c r="H228" s="470">
        <v>221</v>
      </c>
      <c r="I228" s="455">
        <f t="shared" ca="1" si="5"/>
        <v>2513562.3773917649</v>
      </c>
      <c r="J228" s="455">
        <f t="array" ref="J228">IFERROR(INDEX('Retirement Calculator'!J:J,MATCH('Isaac 401k'!N228,'Retirement Calculator'!A:A,0),0),0)</f>
        <v>6404.7404596389215</v>
      </c>
      <c r="K228" s="455">
        <f t="shared" ca="1" si="2"/>
        <v>10446.490153883857</v>
      </c>
      <c r="L228" s="455">
        <f t="shared" ca="1" si="3"/>
        <v>2517604.1270860098</v>
      </c>
      <c r="M228" s="471">
        <f t="shared" si="6"/>
        <v>0.05</v>
      </c>
      <c r="N228" s="475">
        <f t="shared" si="7"/>
        <v>57984</v>
      </c>
    </row>
    <row r="229" spans="7:14" ht="11.25" customHeight="1" x14ac:dyDescent="0.3">
      <c r="G229" s="470">
        <f t="shared" si="23"/>
        <v>19</v>
      </c>
      <c r="H229" s="470">
        <v>222</v>
      </c>
      <c r="I229" s="455">
        <f t="shared" ca="1" si="5"/>
        <v>2517604.1270860098</v>
      </c>
      <c r="J229" s="455">
        <f t="array" ref="J229">IFERROR(INDEX('Retirement Calculator'!J:J,MATCH('Isaac 401k'!N229,'Retirement Calculator'!A:A,0),0),0)</f>
        <v>6404.7404596389215</v>
      </c>
      <c r="K229" s="455">
        <f t="shared" ca="1" si="2"/>
        <v>10463.330777609877</v>
      </c>
      <c r="L229" s="455">
        <f t="shared" ca="1" si="3"/>
        <v>2521662.7174039804</v>
      </c>
      <c r="M229" s="471">
        <f t="shared" si="6"/>
        <v>0.05</v>
      </c>
      <c r="N229" s="475">
        <f t="shared" si="7"/>
        <v>58015</v>
      </c>
    </row>
    <row r="230" spans="7:14" ht="11.25" customHeight="1" x14ac:dyDescent="0.3">
      <c r="G230" s="470">
        <f t="shared" si="23"/>
        <v>19</v>
      </c>
      <c r="H230" s="470">
        <v>223</v>
      </c>
      <c r="I230" s="455">
        <f t="shared" ca="1" si="5"/>
        <v>2521662.7174039804</v>
      </c>
      <c r="J230" s="455">
        <f t="array" ref="J230">IFERROR(INDEX('Retirement Calculator'!J:J,MATCH('Isaac 401k'!N230,'Retirement Calculator'!A:A,0),0),0)</f>
        <v>6404.7404596389215</v>
      </c>
      <c r="K230" s="455">
        <f t="shared" ca="1" si="2"/>
        <v>10480.241570601422</v>
      </c>
      <c r="L230" s="455">
        <f t="shared" ca="1" si="3"/>
        <v>2525738.2185149426</v>
      </c>
      <c r="M230" s="471">
        <f t="shared" si="6"/>
        <v>0.05</v>
      </c>
      <c r="N230" s="475">
        <f t="shared" si="7"/>
        <v>58045</v>
      </c>
    </row>
    <row r="231" spans="7:14" ht="11.25" customHeight="1" x14ac:dyDescent="0.3">
      <c r="G231" s="470">
        <f t="shared" si="23"/>
        <v>19</v>
      </c>
      <c r="H231" s="470">
        <v>224</v>
      </c>
      <c r="I231" s="455">
        <f t="shared" ca="1" si="5"/>
        <v>2525738.2185149426</v>
      </c>
      <c r="J231" s="455">
        <f t="array" ref="J231">IFERROR(INDEX('Retirement Calculator'!J:J,MATCH('Isaac 401k'!N231,'Retirement Calculator'!A:A,0),0),0)</f>
        <v>6404.7404596389215</v>
      </c>
      <c r="K231" s="455">
        <f t="shared" ca="1" si="2"/>
        <v>10497.22282523043</v>
      </c>
      <c r="L231" s="455">
        <f t="shared" ca="1" si="3"/>
        <v>2529830.700880534</v>
      </c>
      <c r="M231" s="471">
        <f t="shared" si="6"/>
        <v>0.05</v>
      </c>
      <c r="N231" s="475">
        <f t="shared" si="7"/>
        <v>58076</v>
      </c>
    </row>
    <row r="232" spans="7:14" ht="11.25" customHeight="1" x14ac:dyDescent="0.3">
      <c r="G232" s="470">
        <f t="shared" si="23"/>
        <v>19</v>
      </c>
      <c r="H232" s="470">
        <v>225</v>
      </c>
      <c r="I232" s="455">
        <f t="shared" ca="1" si="5"/>
        <v>2529830.700880534</v>
      </c>
      <c r="J232" s="455">
        <f t="array" ref="J232">IFERROR(INDEX('Retirement Calculator'!J:J,MATCH('Isaac 401k'!N232,'Retirement Calculator'!A:A,0),0),0)</f>
        <v>6404.7404596389215</v>
      </c>
      <c r="K232" s="455">
        <f t="shared" ca="1" si="2"/>
        <v>10514.274835087062</v>
      </c>
      <c r="L232" s="455">
        <f t="shared" ca="1" si="3"/>
        <v>2533940.2352559818</v>
      </c>
      <c r="M232" s="471">
        <f t="shared" si="6"/>
        <v>0.05</v>
      </c>
      <c r="N232" s="475">
        <f t="shared" si="7"/>
        <v>58107</v>
      </c>
    </row>
    <row r="233" spans="7:14" ht="11.25" customHeight="1" x14ac:dyDescent="0.3">
      <c r="G233" s="470">
        <f t="shared" si="23"/>
        <v>19</v>
      </c>
      <c r="H233" s="470">
        <v>226</v>
      </c>
      <c r="I233" s="455">
        <f t="shared" ca="1" si="5"/>
        <v>2533940.2352559818</v>
      </c>
      <c r="J233" s="455">
        <f t="array" ref="J233">IFERROR(INDEX('Retirement Calculator'!J:J,MATCH('Isaac 401k'!N233,'Retirement Calculator'!A:A,0),0),0)</f>
        <v>6404.7404596389215</v>
      </c>
      <c r="K233" s="455">
        <f t="shared" ca="1" si="2"/>
        <v>10531.397894984761</v>
      </c>
      <c r="L233" s="455">
        <f t="shared" ca="1" si="3"/>
        <v>2538066.8926913273</v>
      </c>
      <c r="M233" s="471">
        <f t="shared" si="6"/>
        <v>0.05</v>
      </c>
      <c r="N233" s="475">
        <f t="shared" si="7"/>
        <v>58135</v>
      </c>
    </row>
    <row r="234" spans="7:14" ht="11.25" customHeight="1" x14ac:dyDescent="0.3">
      <c r="G234" s="470">
        <f t="shared" si="23"/>
        <v>19</v>
      </c>
      <c r="H234" s="470">
        <v>227</v>
      </c>
      <c r="I234" s="455">
        <f t="shared" ca="1" si="5"/>
        <v>2538066.8926913273</v>
      </c>
      <c r="J234" s="455">
        <f t="array" ref="J234">IFERROR(INDEX('Retirement Calculator'!J:J,MATCH('Isaac 401k'!N234,'Retirement Calculator'!A:A,0),0),0)</f>
        <v>6404.7404596389215</v>
      </c>
      <c r="K234" s="455">
        <f t="shared" ca="1" si="2"/>
        <v>10548.592300965367</v>
      </c>
      <c r="L234" s="455">
        <f t="shared" ca="1" si="3"/>
        <v>2542210.7445326536</v>
      </c>
      <c r="M234" s="471">
        <f t="shared" si="6"/>
        <v>0.05</v>
      </c>
      <c r="N234" s="475">
        <f t="shared" si="7"/>
        <v>58166</v>
      </c>
    </row>
    <row r="235" spans="7:14" ht="11.25" customHeight="1" x14ac:dyDescent="0.3">
      <c r="G235" s="470">
        <f t="shared" si="23"/>
        <v>19</v>
      </c>
      <c r="H235" s="470">
        <v>228</v>
      </c>
      <c r="I235" s="455">
        <f t="shared" ca="1" si="5"/>
        <v>2542210.7445326536</v>
      </c>
      <c r="J235" s="455">
        <f t="array" ref="J235">IFERROR(INDEX('Retirement Calculator'!J:J,MATCH('Isaac 401k'!N235,'Retirement Calculator'!A:A,0),0),0)</f>
        <v>6404.7404596389215</v>
      </c>
      <c r="K235" s="455">
        <f t="shared" ca="1" si="2"/>
        <v>10565.858350304226</v>
      </c>
      <c r="L235" s="455">
        <f t="shared" ca="1" si="3"/>
        <v>2546371.8624233189</v>
      </c>
      <c r="M235" s="471">
        <f t="shared" si="6"/>
        <v>0.05</v>
      </c>
      <c r="N235" s="475">
        <f t="shared" si="7"/>
        <v>58196</v>
      </c>
    </row>
    <row r="236" spans="7:14" ht="11.25" customHeight="1" x14ac:dyDescent="0.3">
      <c r="G236" s="470">
        <f>G235+1</f>
        <v>20</v>
      </c>
      <c r="H236" s="470">
        <v>229</v>
      </c>
      <c r="I236" s="455">
        <f t="shared" ca="1" si="5"/>
        <v>2546371.8624233189</v>
      </c>
      <c r="J236" s="455">
        <f t="array" ref="J236">IFERROR(INDEX('Retirement Calculator'!J:J,MATCH('Isaac 401k'!N236,'Retirement Calculator'!A:A,0),0),0)</f>
        <v>6404.7404596389215</v>
      </c>
      <c r="K236" s="455">
        <f t="shared" ca="1" si="2"/>
        <v>10583.196341515333</v>
      </c>
      <c r="L236" s="455">
        <f t="shared" ca="1" si="3"/>
        <v>2550550.3183051953</v>
      </c>
      <c r="M236" s="471">
        <f t="shared" si="6"/>
        <v>0.05</v>
      </c>
      <c r="N236" s="475">
        <f t="shared" si="7"/>
        <v>58227</v>
      </c>
    </row>
    <row r="237" spans="7:14" ht="11.25" customHeight="1" x14ac:dyDescent="0.3">
      <c r="G237" s="470">
        <f t="shared" ref="G237:G247" si="24">G236</f>
        <v>20</v>
      </c>
      <c r="H237" s="470">
        <v>230</v>
      </c>
      <c r="I237" s="455">
        <f t="shared" ca="1" si="5"/>
        <v>2550550.3183051953</v>
      </c>
      <c r="J237" s="455">
        <f t="array" ref="J237">IFERROR(INDEX('Retirement Calculator'!J:J,MATCH('Isaac 401k'!N237,'Retirement Calculator'!A:A,0),0),0)</f>
        <v>6404.7404596389215</v>
      </c>
      <c r="K237" s="455">
        <f t="shared" ca="1" si="2"/>
        <v>10600.606574356483</v>
      </c>
      <c r="L237" s="455">
        <f t="shared" ca="1" si="3"/>
        <v>2554746.1844199128</v>
      </c>
      <c r="M237" s="471">
        <f t="shared" si="6"/>
        <v>0.05</v>
      </c>
      <c r="N237" s="475">
        <f t="shared" si="7"/>
        <v>58257</v>
      </c>
    </row>
    <row r="238" spans="7:14" ht="11.25" customHeight="1" x14ac:dyDescent="0.3">
      <c r="G238" s="470">
        <f t="shared" si="24"/>
        <v>20</v>
      </c>
      <c r="H238" s="470">
        <v>231</v>
      </c>
      <c r="I238" s="455">
        <f t="shared" ca="1" si="5"/>
        <v>2554746.1844199128</v>
      </c>
      <c r="J238" s="455">
        <f t="array" ref="J238">IFERROR(INDEX('Retirement Calculator'!J:J,MATCH('Isaac 401k'!N238,'Retirement Calculator'!A:A,0),0),0)</f>
        <v>6404.7404596389215</v>
      </c>
      <c r="K238" s="455">
        <f t="shared" ca="1" si="2"/>
        <v>10618.089349834474</v>
      </c>
      <c r="L238" s="455">
        <f t="shared" ca="1" si="3"/>
        <v>2558959.5333101079</v>
      </c>
      <c r="M238" s="471">
        <f t="shared" si="6"/>
        <v>0.05</v>
      </c>
      <c r="N238" s="475">
        <f t="shared" si="7"/>
        <v>58288</v>
      </c>
    </row>
    <row r="239" spans="7:14" ht="11.25" customHeight="1" x14ac:dyDescent="0.3">
      <c r="G239" s="470">
        <f t="shared" si="24"/>
        <v>20</v>
      </c>
      <c r="H239" s="470">
        <v>232</v>
      </c>
      <c r="I239" s="455">
        <f t="shared" ca="1" si="5"/>
        <v>2558959.5333101079</v>
      </c>
      <c r="J239" s="455">
        <f t="array" ref="J239">IFERROR(INDEX('Retirement Calculator'!J:J,MATCH('Isaac 401k'!N239,'Retirement Calculator'!A:A,0),0),0)</f>
        <v>6404.7404596389215</v>
      </c>
      <c r="K239" s="455">
        <f t="shared" ca="1" si="2"/>
        <v>10635.644970210287</v>
      </c>
      <c r="L239" s="455">
        <f t="shared" ca="1" si="3"/>
        <v>2563190.437820679</v>
      </c>
      <c r="M239" s="471">
        <f t="shared" si="6"/>
        <v>0.05</v>
      </c>
      <c r="N239" s="475">
        <f t="shared" si="7"/>
        <v>58319</v>
      </c>
    </row>
    <row r="240" spans="7:14" ht="11.25" customHeight="1" x14ac:dyDescent="0.3">
      <c r="G240" s="470">
        <f t="shared" si="24"/>
        <v>20</v>
      </c>
      <c r="H240" s="470">
        <v>233</v>
      </c>
      <c r="I240" s="455">
        <f t="shared" ca="1" si="5"/>
        <v>2563190.437820679</v>
      </c>
      <c r="J240" s="455">
        <f t="array" ref="J240">IFERROR(INDEX('Retirement Calculator'!J:J,MATCH('Isaac 401k'!N240,'Retirement Calculator'!A:A,0),0),0)</f>
        <v>6404.7404596389215</v>
      </c>
      <c r="K240" s="455">
        <f t="shared" ca="1" si="2"/>
        <v>10653.273739004333</v>
      </c>
      <c r="L240" s="455">
        <f t="shared" ca="1" si="3"/>
        <v>2567438.9711000444</v>
      </c>
      <c r="M240" s="471">
        <f t="shared" si="6"/>
        <v>0.05</v>
      </c>
      <c r="N240" s="475">
        <f t="shared" si="7"/>
        <v>58349</v>
      </c>
    </row>
    <row r="241" spans="7:14" ht="11.25" customHeight="1" x14ac:dyDescent="0.3">
      <c r="G241" s="470">
        <f t="shared" si="24"/>
        <v>20</v>
      </c>
      <c r="H241" s="470">
        <v>234</v>
      </c>
      <c r="I241" s="455">
        <f t="shared" ca="1" si="5"/>
        <v>2567438.9711000444</v>
      </c>
      <c r="J241" s="455">
        <f t="array" ref="J241">IFERROR(INDEX('Retirement Calculator'!J:J,MATCH('Isaac 401k'!N241,'Retirement Calculator'!A:A,0),0),0)</f>
        <v>6404.7404596389215</v>
      </c>
      <c r="K241" s="455">
        <f t="shared" ca="1" si="2"/>
        <v>10670.975961001688</v>
      </c>
      <c r="L241" s="455">
        <f t="shared" ca="1" si="3"/>
        <v>2571705.2066014069</v>
      </c>
      <c r="M241" s="471">
        <f t="shared" si="6"/>
        <v>0.05</v>
      </c>
      <c r="N241" s="475">
        <f t="shared" si="7"/>
        <v>58380</v>
      </c>
    </row>
    <row r="242" spans="7:14" ht="11.25" customHeight="1" x14ac:dyDescent="0.3">
      <c r="G242" s="470">
        <f t="shared" si="24"/>
        <v>20</v>
      </c>
      <c r="H242" s="470">
        <v>235</v>
      </c>
      <c r="I242" s="455">
        <f t="shared" ca="1" si="5"/>
        <v>2571705.2066014069</v>
      </c>
      <c r="J242" s="455">
        <f t="array" ref="J242">IFERROR(INDEX('Retirement Calculator'!J:J,MATCH('Isaac 401k'!N242,'Retirement Calculator'!A:A,0),0),0)</f>
        <v>6404.7404596389215</v>
      </c>
      <c r="K242" s="455">
        <f t="shared" ca="1" si="2"/>
        <v>10688.751942257366</v>
      </c>
      <c r="L242" s="455">
        <f t="shared" ca="1" si="3"/>
        <v>2575989.2180840252</v>
      </c>
      <c r="M242" s="471">
        <f t="shared" si="6"/>
        <v>0.05</v>
      </c>
      <c r="N242" s="475">
        <f t="shared" si="7"/>
        <v>58410</v>
      </c>
    </row>
    <row r="243" spans="7:14" ht="11.25" customHeight="1" x14ac:dyDescent="0.3">
      <c r="G243" s="470">
        <f t="shared" si="24"/>
        <v>20</v>
      </c>
      <c r="H243" s="470">
        <v>236</v>
      </c>
      <c r="I243" s="455">
        <f t="shared" ca="1" si="5"/>
        <v>2575989.2180840252</v>
      </c>
      <c r="J243" s="455">
        <f t="array" ref="J243">IFERROR(INDEX('Retirement Calculator'!J:J,MATCH('Isaac 401k'!N243,'Retirement Calculator'!A:A,0),0),0)</f>
        <v>6404.7404596389215</v>
      </c>
      <c r="K243" s="455">
        <f t="shared" ca="1" si="2"/>
        <v>10706.601990101608</v>
      </c>
      <c r="L243" s="455">
        <f t="shared" ca="1" si="3"/>
        <v>2580291.0796144875</v>
      </c>
      <c r="M243" s="471">
        <f t="shared" si="6"/>
        <v>0.05</v>
      </c>
      <c r="N243" s="475">
        <f t="shared" si="7"/>
        <v>58441</v>
      </c>
    </row>
    <row r="244" spans="7:14" ht="11.25" customHeight="1" x14ac:dyDescent="0.3">
      <c r="G244" s="470">
        <f t="shared" si="24"/>
        <v>20</v>
      </c>
      <c r="H244" s="470">
        <v>237</v>
      </c>
      <c r="I244" s="455">
        <f t="shared" ca="1" si="5"/>
        <v>2580291.0796144875</v>
      </c>
      <c r="J244" s="455">
        <f t="array" ref="J244">IFERROR(INDEX('Retirement Calculator'!J:J,MATCH('Isaac 401k'!N244,'Retirement Calculator'!A:A,0),0),0)</f>
        <v>6404.7404596389215</v>
      </c>
      <c r="K244" s="455">
        <f t="shared" ca="1" si="2"/>
        <v>10724.526413145202</v>
      </c>
      <c r="L244" s="455">
        <f t="shared" ca="1" si="3"/>
        <v>2584610.8655679934</v>
      </c>
      <c r="M244" s="471">
        <f t="shared" si="6"/>
        <v>0.05</v>
      </c>
      <c r="N244" s="475">
        <f t="shared" si="7"/>
        <v>58472</v>
      </c>
    </row>
    <row r="245" spans="7:14" ht="11.25" customHeight="1" x14ac:dyDescent="0.3">
      <c r="G245" s="470">
        <f t="shared" si="24"/>
        <v>20</v>
      </c>
      <c r="H245" s="470">
        <v>238</v>
      </c>
      <c r="I245" s="455">
        <f t="shared" ca="1" si="5"/>
        <v>2584610.8655679934</v>
      </c>
      <c r="J245" s="455">
        <f t="array" ref="J245">IFERROR(INDEX('Retirement Calculator'!J:J,MATCH('Isaac 401k'!N245,'Retirement Calculator'!A:A,0),0),0)</f>
        <v>6404.7404596389215</v>
      </c>
      <c r="K245" s="455">
        <f t="shared" ca="1" si="2"/>
        <v>10742.52552128481</v>
      </c>
      <c r="L245" s="455">
        <f t="shared" ca="1" si="3"/>
        <v>2588948.6506296392</v>
      </c>
      <c r="M245" s="471">
        <f t="shared" si="6"/>
        <v>0.05</v>
      </c>
      <c r="N245" s="475">
        <f t="shared" si="7"/>
        <v>58501</v>
      </c>
    </row>
    <row r="246" spans="7:14" ht="11.25" customHeight="1" x14ac:dyDescent="0.3">
      <c r="G246" s="470">
        <f t="shared" si="24"/>
        <v>20</v>
      </c>
      <c r="H246" s="470">
        <v>239</v>
      </c>
      <c r="I246" s="455">
        <f t="shared" ca="1" si="5"/>
        <v>2588948.6506296392</v>
      </c>
      <c r="J246" s="455">
        <f t="array" ref="J246">IFERROR(INDEX('Retirement Calculator'!J:J,MATCH('Isaac 401k'!N246,'Retirement Calculator'!A:A,0),0),0)</f>
        <v>6404.7404596389215</v>
      </c>
      <c r="K246" s="455">
        <f t="shared" ca="1" si="2"/>
        <v>10760.599625708333</v>
      </c>
      <c r="L246" s="455">
        <f t="shared" ca="1" si="3"/>
        <v>2593304.5097957086</v>
      </c>
      <c r="M246" s="471">
        <f t="shared" si="6"/>
        <v>0.05</v>
      </c>
      <c r="N246" s="475">
        <f t="shared" si="7"/>
        <v>58532</v>
      </c>
    </row>
    <row r="247" spans="7:14" ht="11.25" customHeight="1" x14ac:dyDescent="0.3">
      <c r="G247" s="470">
        <f t="shared" si="24"/>
        <v>20</v>
      </c>
      <c r="H247" s="470">
        <v>240</v>
      </c>
      <c r="I247" s="455">
        <f t="shared" ca="1" si="5"/>
        <v>2593304.5097957086</v>
      </c>
      <c r="J247" s="455">
        <f t="array" ref="J247">IFERROR(INDEX('Retirement Calculator'!J:J,MATCH('Isaac 401k'!N247,'Retirement Calculator'!A:A,0),0),0)</f>
        <v>6404.7404596389215</v>
      </c>
      <c r="K247" s="455">
        <f t="shared" ca="1" si="2"/>
        <v>10778.749038900289</v>
      </c>
      <c r="L247" s="455">
        <f t="shared" ca="1" si="3"/>
        <v>2597678.5183749697</v>
      </c>
      <c r="M247" s="471">
        <f t="shared" si="6"/>
        <v>0.05</v>
      </c>
      <c r="N247" s="475">
        <f t="shared" si="7"/>
        <v>58562</v>
      </c>
    </row>
    <row r="248" spans="7:14" ht="11.25" customHeight="1" x14ac:dyDescent="0.3">
      <c r="G248" s="470">
        <f>G247+1</f>
        <v>21</v>
      </c>
      <c r="H248" s="470">
        <v>241</v>
      </c>
      <c r="I248" s="455">
        <f t="shared" ca="1" si="5"/>
        <v>2597678.5183749697</v>
      </c>
      <c r="J248" s="455">
        <f t="array" ref="J248">IFERROR(INDEX('Retirement Calculator'!J:J,MATCH('Isaac 401k'!N248,'Retirement Calculator'!A:A,0),0),0)</f>
        <v>6404.7404596389215</v>
      </c>
      <c r="K248" s="455">
        <f t="shared" ca="1" si="2"/>
        <v>10796.974074647211</v>
      </c>
      <c r="L248" s="455">
        <f t="shared" ca="1" si="3"/>
        <v>2602070.7519899779</v>
      </c>
      <c r="M248" s="471">
        <f t="shared" si="6"/>
        <v>0.05</v>
      </c>
      <c r="N248" s="475">
        <f t="shared" si="7"/>
        <v>58593</v>
      </c>
    </row>
    <row r="249" spans="7:14" ht="11.25" customHeight="1" x14ac:dyDescent="0.3">
      <c r="G249" s="470">
        <f t="shared" ref="G249:G259" si="25">G248</f>
        <v>21</v>
      </c>
      <c r="H249" s="470">
        <v>242</v>
      </c>
      <c r="I249" s="455">
        <f t="shared" ca="1" si="5"/>
        <v>2602070.7519899779</v>
      </c>
      <c r="J249" s="455">
        <f t="array" ref="J249">IFERROR(INDEX('Retirement Calculator'!J:J,MATCH('Isaac 401k'!N249,'Retirement Calculator'!A:A,0),0),0)</f>
        <v>6404.7404596389215</v>
      </c>
      <c r="K249" s="455">
        <f t="shared" ca="1" si="2"/>
        <v>10815.275048043079</v>
      </c>
      <c r="L249" s="455">
        <f t="shared" ca="1" si="3"/>
        <v>2606481.2865783819</v>
      </c>
      <c r="M249" s="471">
        <f t="shared" si="6"/>
        <v>0.05</v>
      </c>
      <c r="N249" s="475">
        <f t="shared" si="7"/>
        <v>58623</v>
      </c>
    </row>
    <row r="250" spans="7:14" ht="11.25" customHeight="1" x14ac:dyDescent="0.3">
      <c r="G250" s="470">
        <f t="shared" si="25"/>
        <v>21</v>
      </c>
      <c r="H250" s="470">
        <v>243</v>
      </c>
      <c r="I250" s="455">
        <f t="shared" ca="1" si="5"/>
        <v>2606481.2865783819</v>
      </c>
      <c r="J250" s="455">
        <f t="array" ref="J250">IFERROR(INDEX('Retirement Calculator'!J:J,MATCH('Isaac 401k'!N250,'Retirement Calculator'!A:A,0),0),0)</f>
        <v>6404.7404596389215</v>
      </c>
      <c r="K250" s="455">
        <f t="shared" ca="1" si="2"/>
        <v>10833.652275494762</v>
      </c>
      <c r="L250" s="455">
        <f t="shared" ca="1" si="3"/>
        <v>2610910.1983942376</v>
      </c>
      <c r="M250" s="471">
        <f t="shared" si="6"/>
        <v>0.05</v>
      </c>
      <c r="N250" s="475">
        <f t="shared" si="7"/>
        <v>58654</v>
      </c>
    </row>
    <row r="251" spans="7:14" ht="11.25" customHeight="1" x14ac:dyDescent="0.3">
      <c r="G251" s="470">
        <f t="shared" si="25"/>
        <v>21</v>
      </c>
      <c r="H251" s="470">
        <v>244</v>
      </c>
      <c r="I251" s="455">
        <f t="shared" ca="1" si="5"/>
        <v>2610910.1983942376</v>
      </c>
      <c r="J251" s="455">
        <f t="array" ref="J251">IFERROR(INDEX('Retirement Calculator'!J:J,MATCH('Isaac 401k'!N251,'Retirement Calculator'!A:A,0),0),0)</f>
        <v>6404.7404596389215</v>
      </c>
      <c r="K251" s="455">
        <f t="shared" ca="1" si="2"/>
        <v>10852.106074727493</v>
      </c>
      <c r="L251" s="455">
        <f t="shared" ca="1" si="3"/>
        <v>2615357.564009326</v>
      </c>
      <c r="M251" s="471">
        <f t="shared" si="6"/>
        <v>0.05</v>
      </c>
      <c r="N251" s="475">
        <f t="shared" si="7"/>
        <v>58685</v>
      </c>
    </row>
    <row r="252" spans="7:14" ht="11.25" customHeight="1" x14ac:dyDescent="0.3">
      <c r="G252" s="470">
        <f t="shared" si="25"/>
        <v>21</v>
      </c>
      <c r="H252" s="470">
        <v>245</v>
      </c>
      <c r="I252" s="455">
        <f t="shared" ca="1" si="5"/>
        <v>2615357.564009326</v>
      </c>
      <c r="J252" s="455">
        <f t="array" ref="J252">IFERROR(INDEX('Retirement Calculator'!J:J,MATCH('Isaac 401k'!N252,'Retirement Calculator'!A:A,0),0),0)</f>
        <v>6404.7404596389215</v>
      </c>
      <c r="K252" s="455">
        <f t="shared" ca="1" si="2"/>
        <v>10870.636764790363</v>
      </c>
      <c r="L252" s="455">
        <f t="shared" ca="1" si="3"/>
        <v>2619823.4603144773</v>
      </c>
      <c r="M252" s="471">
        <f t="shared" si="6"/>
        <v>0.05</v>
      </c>
      <c r="N252" s="475">
        <f t="shared" si="7"/>
        <v>58715</v>
      </c>
    </row>
    <row r="253" spans="7:14" ht="11.25" customHeight="1" x14ac:dyDescent="0.3">
      <c r="G253" s="470">
        <f t="shared" si="25"/>
        <v>21</v>
      </c>
      <c r="H253" s="470">
        <v>246</v>
      </c>
      <c r="I253" s="455">
        <f t="shared" ca="1" si="5"/>
        <v>2619823.4603144773</v>
      </c>
      <c r="J253" s="455">
        <f t="array" ref="J253">IFERROR(INDEX('Retirement Calculator'!J:J,MATCH('Isaac 401k'!N253,'Retirement Calculator'!A:A,0),0),0)</f>
        <v>6404.7404596389215</v>
      </c>
      <c r="K253" s="455">
        <f t="shared" ca="1" si="2"/>
        <v>10889.244666061826</v>
      </c>
      <c r="L253" s="455">
        <f t="shared" ca="1" si="3"/>
        <v>2624307.9645209</v>
      </c>
      <c r="M253" s="471">
        <f t="shared" si="6"/>
        <v>0.05</v>
      </c>
      <c r="N253" s="475">
        <f t="shared" si="7"/>
        <v>58746</v>
      </c>
    </row>
    <row r="254" spans="7:14" ht="11.25" customHeight="1" x14ac:dyDescent="0.3">
      <c r="G254" s="470">
        <f t="shared" si="25"/>
        <v>21</v>
      </c>
      <c r="H254" s="470">
        <v>247</v>
      </c>
      <c r="I254" s="455">
        <f t="shared" ca="1" si="5"/>
        <v>2624307.9645209</v>
      </c>
      <c r="J254" s="455">
        <f t="array" ref="J254">IFERROR(INDEX('Retirement Calculator'!J:J,MATCH('Isaac 401k'!N254,'Retirement Calculator'!A:A,0),0),0)</f>
        <v>6404.7404596389215</v>
      </c>
      <c r="K254" s="455">
        <f t="shared" ca="1" si="2"/>
        <v>10907.930100255253</v>
      </c>
      <c r="L254" s="455">
        <f t="shared" ca="1" si="3"/>
        <v>2628811.1541615161</v>
      </c>
      <c r="M254" s="471">
        <f t="shared" si="6"/>
        <v>0.05</v>
      </c>
      <c r="N254" s="475">
        <f t="shared" si="7"/>
        <v>58776</v>
      </c>
    </row>
    <row r="255" spans="7:14" ht="11.25" customHeight="1" x14ac:dyDescent="0.3">
      <c r="G255" s="470">
        <f t="shared" si="25"/>
        <v>21</v>
      </c>
      <c r="H255" s="470">
        <v>248</v>
      </c>
      <c r="I255" s="455">
        <f t="shared" ca="1" si="5"/>
        <v>2628811.1541615161</v>
      </c>
      <c r="J255" s="455">
        <f t="array" ref="J255">IFERROR(INDEX('Retirement Calculator'!J:J,MATCH('Isaac 401k'!N255,'Retirement Calculator'!A:A,0),0),0)</f>
        <v>6404.7404596389215</v>
      </c>
      <c r="K255" s="455">
        <f t="shared" ca="1" si="2"/>
        <v>10926.693390424487</v>
      </c>
      <c r="L255" s="455">
        <f t="shared" ca="1" si="3"/>
        <v>2633333.1070923014</v>
      </c>
      <c r="M255" s="471">
        <f t="shared" si="6"/>
        <v>0.05</v>
      </c>
      <c r="N255" s="475">
        <f t="shared" si="7"/>
        <v>58807</v>
      </c>
    </row>
    <row r="256" spans="7:14" ht="11.25" customHeight="1" x14ac:dyDescent="0.3">
      <c r="G256" s="470">
        <f t="shared" si="25"/>
        <v>21</v>
      </c>
      <c r="H256" s="470">
        <v>249</v>
      </c>
      <c r="I256" s="455">
        <f t="shared" ca="1" si="5"/>
        <v>2633333.1070923014</v>
      </c>
      <c r="J256" s="455">
        <f t="array" ref="J256">IFERROR(INDEX('Retirement Calculator'!J:J,MATCH('Isaac 401k'!N256,'Retirement Calculator'!A:A,0),0),0)</f>
        <v>6404.7404596389215</v>
      </c>
      <c r="K256" s="455">
        <f t="shared" ca="1" si="2"/>
        <v>10945.534860969427</v>
      </c>
      <c r="L256" s="455">
        <f t="shared" ca="1" si="3"/>
        <v>2637873.9014936318</v>
      </c>
      <c r="M256" s="471">
        <f t="shared" si="6"/>
        <v>0.05</v>
      </c>
      <c r="N256" s="475">
        <f t="shared" si="7"/>
        <v>58838</v>
      </c>
    </row>
    <row r="257" spans="7:14" ht="11.25" customHeight="1" x14ac:dyDescent="0.3">
      <c r="G257" s="470">
        <f t="shared" si="25"/>
        <v>21</v>
      </c>
      <c r="H257" s="470">
        <v>250</v>
      </c>
      <c r="I257" s="455">
        <f t="shared" ca="1" si="5"/>
        <v>2637873.9014936318</v>
      </c>
      <c r="J257" s="455">
        <f t="array" ref="J257">IFERROR(INDEX('Retirement Calculator'!J:J,MATCH('Isaac 401k'!N257,'Retirement Calculator'!A:A,0),0),0)</f>
        <v>6404.7404596389215</v>
      </c>
      <c r="K257" s="455">
        <f t="shared" ca="1" si="2"/>
        <v>10964.454837641635</v>
      </c>
      <c r="L257" s="455">
        <f t="shared" ca="1" si="3"/>
        <v>2642433.6158716343</v>
      </c>
      <c r="M257" s="471">
        <f t="shared" si="6"/>
        <v>0.05</v>
      </c>
      <c r="N257" s="475">
        <f t="shared" si="7"/>
        <v>58866</v>
      </c>
    </row>
    <row r="258" spans="7:14" ht="11.25" customHeight="1" x14ac:dyDescent="0.3">
      <c r="G258" s="470">
        <f t="shared" si="25"/>
        <v>21</v>
      </c>
      <c r="H258" s="470">
        <v>251</v>
      </c>
      <c r="I258" s="455">
        <f t="shared" ca="1" si="5"/>
        <v>2642433.6158716343</v>
      </c>
      <c r="J258" s="455">
        <f t="array" ref="J258">IFERROR(INDEX('Retirement Calculator'!J:J,MATCH('Isaac 401k'!N258,'Retirement Calculator'!A:A,0),0),0)</f>
        <v>6404.7404596389215</v>
      </c>
      <c r="K258" s="455">
        <f t="shared" ca="1" si="2"/>
        <v>10983.453647549981</v>
      </c>
      <c r="L258" s="455">
        <f t="shared" ca="1" si="3"/>
        <v>2647012.3290595454</v>
      </c>
      <c r="M258" s="471">
        <f t="shared" si="6"/>
        <v>0.05</v>
      </c>
      <c r="N258" s="475">
        <f t="shared" si="7"/>
        <v>58897</v>
      </c>
    </row>
    <row r="259" spans="7:14" ht="11.25" customHeight="1" x14ac:dyDescent="0.3">
      <c r="G259" s="470">
        <f t="shared" si="25"/>
        <v>21</v>
      </c>
      <c r="H259" s="470">
        <v>252</v>
      </c>
      <c r="I259" s="455">
        <f t="shared" ca="1" si="5"/>
        <v>2647012.3290595454</v>
      </c>
      <c r="J259" s="455">
        <f t="array" ref="J259">IFERROR(INDEX('Retirement Calculator'!J:J,MATCH('Isaac 401k'!N259,'Retirement Calculator'!A:A,0),0),0)</f>
        <v>6404.7404596389215</v>
      </c>
      <c r="K259" s="455">
        <f t="shared" ca="1" si="2"/>
        <v>11002.531619166277</v>
      </c>
      <c r="L259" s="455">
        <f t="shared" ca="1" si="3"/>
        <v>2651610.1202190728</v>
      </c>
      <c r="M259" s="471">
        <f t="shared" si="6"/>
        <v>0.05</v>
      </c>
      <c r="N259" s="475">
        <f t="shared" si="7"/>
        <v>58927</v>
      </c>
    </row>
    <row r="260" spans="7:14" ht="11.25" customHeight="1" x14ac:dyDescent="0.3">
      <c r="G260" s="470">
        <f>G259+1</f>
        <v>22</v>
      </c>
      <c r="H260" s="470">
        <v>253</v>
      </c>
      <c r="I260" s="455">
        <f t="shared" ca="1" si="5"/>
        <v>2651610.1202190728</v>
      </c>
      <c r="J260" s="455">
        <f t="array" ref="J260">IFERROR(INDEX('Retirement Calculator'!J:J,MATCH('Isaac 401k'!N260,'Retirement Calculator'!A:A,0),0),0)</f>
        <v>6404.7404596389215</v>
      </c>
      <c r="K260" s="455">
        <f t="shared" ca="1" si="2"/>
        <v>11021.689082330973</v>
      </c>
      <c r="L260" s="455">
        <f t="shared" ca="1" si="3"/>
        <v>2656227.0688417647</v>
      </c>
      <c r="M260" s="471">
        <f t="shared" si="6"/>
        <v>0.05</v>
      </c>
      <c r="N260" s="475">
        <f t="shared" si="7"/>
        <v>58958</v>
      </c>
    </row>
    <row r="261" spans="7:14" ht="11.25" customHeight="1" x14ac:dyDescent="0.3">
      <c r="G261" s="470">
        <f t="shared" ref="G261:G271" si="26">G260</f>
        <v>22</v>
      </c>
      <c r="H261" s="470">
        <v>254</v>
      </c>
      <c r="I261" s="455">
        <f t="shared" ca="1" si="5"/>
        <v>2656227.0688417647</v>
      </c>
      <c r="J261" s="455">
        <f t="array" ref="J261">IFERROR(INDEX('Retirement Calculator'!J:J,MATCH('Isaac 401k'!N261,'Retirement Calculator'!A:A,0),0),0)</f>
        <v>6404.7404596389215</v>
      </c>
      <c r="K261" s="455">
        <f t="shared" ca="1" si="2"/>
        <v>11040.926368258857</v>
      </c>
      <c r="L261" s="455">
        <f t="shared" ca="1" si="3"/>
        <v>2660863.2547503845</v>
      </c>
      <c r="M261" s="471">
        <f t="shared" si="6"/>
        <v>0.05</v>
      </c>
      <c r="N261" s="475">
        <f t="shared" si="7"/>
        <v>58988</v>
      </c>
    </row>
    <row r="262" spans="7:14" ht="11.25" customHeight="1" x14ac:dyDescent="0.3">
      <c r="G262" s="470">
        <f t="shared" si="26"/>
        <v>22</v>
      </c>
      <c r="H262" s="470">
        <v>255</v>
      </c>
      <c r="I262" s="455">
        <f t="shared" ca="1" si="5"/>
        <v>2660863.2547503845</v>
      </c>
      <c r="J262" s="455">
        <f t="array" ref="J262">IFERROR(INDEX('Retirement Calculator'!J:J,MATCH('Isaac 401k'!N262,'Retirement Calculator'!A:A,0),0),0)</f>
        <v>6404.7404596389215</v>
      </c>
      <c r="K262" s="455">
        <f t="shared" ca="1" si="2"/>
        <v>11060.243809544772</v>
      </c>
      <c r="L262" s="455">
        <f t="shared" ca="1" si="3"/>
        <v>2665518.7581002903</v>
      </c>
      <c r="M262" s="471">
        <f t="shared" si="6"/>
        <v>0.05</v>
      </c>
      <c r="N262" s="475">
        <f t="shared" si="7"/>
        <v>59019</v>
      </c>
    </row>
    <row r="263" spans="7:14" ht="11.25" customHeight="1" x14ac:dyDescent="0.3">
      <c r="G263" s="470">
        <f t="shared" si="26"/>
        <v>22</v>
      </c>
      <c r="H263" s="470">
        <v>256</v>
      </c>
      <c r="I263" s="455">
        <f t="shared" ca="1" si="5"/>
        <v>2665518.7581002903</v>
      </c>
      <c r="J263" s="455">
        <f t="array" ref="J263">IFERROR(INDEX('Retirement Calculator'!J:J,MATCH('Isaac 401k'!N263,'Retirement Calculator'!A:A,0),0),0)</f>
        <v>6404.7404596389215</v>
      </c>
      <c r="K263" s="455">
        <f t="shared" ref="K263:K517" ca="1" si="27">IPMT(M263/12,1,12,-I263+J263,,0)</f>
        <v>11079.64174016938</v>
      </c>
      <c r="L263" s="455">
        <f t="shared" ref="L263:L517" ca="1" si="28">I263-J263+K263</f>
        <v>2670193.6593808206</v>
      </c>
      <c r="M263" s="471">
        <f t="shared" si="6"/>
        <v>0.05</v>
      </c>
      <c r="N263" s="475">
        <f t="shared" si="7"/>
        <v>59050</v>
      </c>
    </row>
    <row r="264" spans="7:14" ht="11.25" customHeight="1" x14ac:dyDescent="0.3">
      <c r="G264" s="470">
        <f t="shared" si="26"/>
        <v>22</v>
      </c>
      <c r="H264" s="470">
        <v>257</v>
      </c>
      <c r="I264" s="455">
        <f t="shared" ref="I264:I518" ca="1" si="29">L263</f>
        <v>2670193.6593808206</v>
      </c>
      <c r="J264" s="455">
        <f t="array" ref="J264">IFERROR(INDEX('Retirement Calculator'!J:J,MATCH('Isaac 401k'!N264,'Retirement Calculator'!A:A,0),0),0)</f>
        <v>6404.7404596389215</v>
      </c>
      <c r="K264" s="455">
        <f t="shared" ca="1" si="27"/>
        <v>11099.120495504923</v>
      </c>
      <c r="L264" s="455">
        <f t="shared" ca="1" si="28"/>
        <v>2674888.0394166862</v>
      </c>
      <c r="M264" s="471">
        <f t="shared" ref="M264:M518" si="30">M263</f>
        <v>0.05</v>
      </c>
      <c r="N264" s="475">
        <f t="shared" ref="N264:N518" si="31">EDATE(N263,1)</f>
        <v>59080</v>
      </c>
    </row>
    <row r="265" spans="7:14" ht="11.25" customHeight="1" x14ac:dyDescent="0.3">
      <c r="G265" s="470">
        <f t="shared" si="26"/>
        <v>22</v>
      </c>
      <c r="H265" s="470">
        <v>258</v>
      </c>
      <c r="I265" s="455">
        <f t="shared" ca="1" si="29"/>
        <v>2674888.0394166862</v>
      </c>
      <c r="J265" s="455">
        <f t="array" ref="J265">IFERROR(INDEX('Retirement Calculator'!J:J,MATCH('Isaac 401k'!N265,'Retirement Calculator'!A:A,0),0),0)</f>
        <v>6404.7404596389215</v>
      </c>
      <c r="K265" s="455">
        <f t="shared" ca="1" si="27"/>
        <v>11118.68041232103</v>
      </c>
      <c r="L265" s="455">
        <f t="shared" ca="1" si="28"/>
        <v>2679601.9793693679</v>
      </c>
      <c r="M265" s="471">
        <f t="shared" si="30"/>
        <v>0.05</v>
      </c>
      <c r="N265" s="475">
        <f t="shared" si="31"/>
        <v>59111</v>
      </c>
    </row>
    <row r="266" spans="7:14" ht="11.25" customHeight="1" x14ac:dyDescent="0.3">
      <c r="G266" s="470">
        <f t="shared" si="26"/>
        <v>22</v>
      </c>
      <c r="H266" s="470">
        <v>259</v>
      </c>
      <c r="I266" s="455">
        <f t="shared" ca="1" si="29"/>
        <v>2679601.9793693679</v>
      </c>
      <c r="J266" s="455">
        <f t="array" ref="J266">IFERROR(INDEX('Retirement Calculator'!J:J,MATCH('Isaac 401k'!N266,'Retirement Calculator'!A:A,0),0),0)</f>
        <v>6404.7404596389215</v>
      </c>
      <c r="K266" s="455">
        <f t="shared" ca="1" si="27"/>
        <v>11138.321828790537</v>
      </c>
      <c r="L266" s="455">
        <f t="shared" ca="1" si="28"/>
        <v>2684335.5607385193</v>
      </c>
      <c r="M266" s="471">
        <f t="shared" si="30"/>
        <v>0.05</v>
      </c>
      <c r="N266" s="475">
        <f t="shared" si="31"/>
        <v>59141</v>
      </c>
    </row>
    <row r="267" spans="7:14" ht="11.25" customHeight="1" x14ac:dyDescent="0.3">
      <c r="G267" s="470">
        <f t="shared" si="26"/>
        <v>22</v>
      </c>
      <c r="H267" s="470">
        <v>260</v>
      </c>
      <c r="I267" s="455">
        <f t="shared" ca="1" si="29"/>
        <v>2684335.5607385193</v>
      </c>
      <c r="J267" s="455">
        <f t="array" ref="J267">IFERROR(INDEX('Retirement Calculator'!J:J,MATCH('Isaac 401k'!N267,'Retirement Calculator'!A:A,0),0),0)</f>
        <v>6404.7404596389215</v>
      </c>
      <c r="K267" s="455">
        <f t="shared" ca="1" si="27"/>
        <v>11158.045084495334</v>
      </c>
      <c r="L267" s="455">
        <f t="shared" ca="1" si="28"/>
        <v>2689088.8653633757</v>
      </c>
      <c r="M267" s="471">
        <f t="shared" si="30"/>
        <v>0.05</v>
      </c>
      <c r="N267" s="475">
        <f t="shared" si="31"/>
        <v>59172</v>
      </c>
    </row>
    <row r="268" spans="7:14" ht="11.25" customHeight="1" x14ac:dyDescent="0.3">
      <c r="G268" s="470">
        <f t="shared" si="26"/>
        <v>22</v>
      </c>
      <c r="H268" s="470">
        <v>261</v>
      </c>
      <c r="I268" s="455">
        <f t="shared" ca="1" si="29"/>
        <v>2689088.8653633757</v>
      </c>
      <c r="J268" s="455">
        <f t="array" ref="J268">IFERROR(INDEX('Retirement Calculator'!J:J,MATCH('Isaac 401k'!N268,'Retirement Calculator'!A:A,0),0),0)</f>
        <v>6404.7404596389215</v>
      </c>
      <c r="K268" s="455">
        <f t="shared" ca="1" si="27"/>
        <v>11177.850520432235</v>
      </c>
      <c r="L268" s="455">
        <f t="shared" ca="1" si="28"/>
        <v>2693861.9754241691</v>
      </c>
      <c r="M268" s="471">
        <f t="shared" si="30"/>
        <v>0.05</v>
      </c>
      <c r="N268" s="475">
        <f t="shared" si="31"/>
        <v>59203</v>
      </c>
    </row>
    <row r="269" spans="7:14" ht="11.25" customHeight="1" x14ac:dyDescent="0.3">
      <c r="G269" s="470">
        <f t="shared" si="26"/>
        <v>22</v>
      </c>
      <c r="H269" s="470">
        <v>262</v>
      </c>
      <c r="I269" s="455">
        <f t="shared" ca="1" si="29"/>
        <v>2693861.9754241691</v>
      </c>
      <c r="J269" s="455">
        <f t="array" ref="J269">IFERROR(INDEX('Retirement Calculator'!J:J,MATCH('Isaac 401k'!N269,'Retirement Calculator'!A:A,0),0),0)</f>
        <v>6404.7404596389215</v>
      </c>
      <c r="K269" s="455">
        <f t="shared" ca="1" si="27"/>
        <v>11197.738479018875</v>
      </c>
      <c r="L269" s="455">
        <f t="shared" ca="1" si="28"/>
        <v>2698654.9734435487</v>
      </c>
      <c r="M269" s="471">
        <f t="shared" si="30"/>
        <v>0.05</v>
      </c>
      <c r="N269" s="475">
        <f t="shared" si="31"/>
        <v>59231</v>
      </c>
    </row>
    <row r="270" spans="7:14" ht="11.25" customHeight="1" x14ac:dyDescent="0.3">
      <c r="G270" s="470">
        <f t="shared" si="26"/>
        <v>22</v>
      </c>
      <c r="H270" s="470">
        <v>263</v>
      </c>
      <c r="I270" s="455">
        <f t="shared" ca="1" si="29"/>
        <v>2698654.9734435487</v>
      </c>
      <c r="J270" s="455">
        <f t="array" ref="J270">IFERROR(INDEX('Retirement Calculator'!J:J,MATCH('Isaac 401k'!N270,'Retirement Calculator'!A:A,0),0),0)</f>
        <v>6404.7404596389215</v>
      </c>
      <c r="K270" s="455">
        <f t="shared" ca="1" si="27"/>
        <v>11217.709304099622</v>
      </c>
      <c r="L270" s="455">
        <f t="shared" ca="1" si="28"/>
        <v>2703467.942288009</v>
      </c>
      <c r="M270" s="471">
        <f t="shared" si="30"/>
        <v>0.05</v>
      </c>
      <c r="N270" s="475">
        <f t="shared" si="31"/>
        <v>59262</v>
      </c>
    </row>
    <row r="271" spans="7:14" ht="11.25" customHeight="1" x14ac:dyDescent="0.3">
      <c r="G271" s="470">
        <f t="shared" si="26"/>
        <v>22</v>
      </c>
      <c r="H271" s="470">
        <v>264</v>
      </c>
      <c r="I271" s="455">
        <f t="shared" ca="1" si="29"/>
        <v>2703467.942288009</v>
      </c>
      <c r="J271" s="455">
        <f t="array" ref="J271">IFERROR(INDEX('Retirement Calculator'!J:J,MATCH('Isaac 401k'!N271,'Retirement Calculator'!A:A,0),0),0)</f>
        <v>6404.7404596389215</v>
      </c>
      <c r="K271" s="455">
        <f t="shared" ca="1" si="27"/>
        <v>11237.76334095154</v>
      </c>
      <c r="L271" s="455">
        <f t="shared" ca="1" si="28"/>
        <v>2708300.9651693213</v>
      </c>
      <c r="M271" s="471">
        <f t="shared" si="30"/>
        <v>0.05</v>
      </c>
      <c r="N271" s="475">
        <f t="shared" si="31"/>
        <v>59292</v>
      </c>
    </row>
    <row r="272" spans="7:14" ht="11.25" customHeight="1" x14ac:dyDescent="0.3">
      <c r="G272" s="470">
        <f>G271+1</f>
        <v>23</v>
      </c>
      <c r="H272" s="470">
        <v>265</v>
      </c>
      <c r="I272" s="455">
        <f t="shared" ca="1" si="29"/>
        <v>2708300.9651693213</v>
      </c>
      <c r="J272" s="455">
        <f t="array" ref="J272">IFERROR(INDEX('Retirement Calculator'!J:J,MATCH('Isaac 401k'!N272,'Retirement Calculator'!A:A,0),0),0)</f>
        <v>6404.7404596389215</v>
      </c>
      <c r="K272" s="455">
        <f t="shared" ca="1" si="27"/>
        <v>11257.900936290342</v>
      </c>
      <c r="L272" s="455">
        <f t="shared" ca="1" si="28"/>
        <v>2713154.1256459723</v>
      </c>
      <c r="M272" s="471">
        <f t="shared" si="30"/>
        <v>0.05</v>
      </c>
      <c r="N272" s="475">
        <f t="shared" si="31"/>
        <v>59323</v>
      </c>
    </row>
    <row r="273" spans="7:14" ht="11.25" customHeight="1" x14ac:dyDescent="0.3">
      <c r="G273" s="470">
        <f t="shared" ref="G273:G283" si="32">G272</f>
        <v>23</v>
      </c>
      <c r="H273" s="470">
        <v>266</v>
      </c>
      <c r="I273" s="455">
        <f t="shared" ca="1" si="29"/>
        <v>2713154.1256459723</v>
      </c>
      <c r="J273" s="455">
        <f t="array" ref="J273">IFERROR(INDEX('Retirement Calculator'!J:J,MATCH('Isaac 401k'!N273,'Retirement Calculator'!A:A,0),0),0)</f>
        <v>6404.7404596389215</v>
      </c>
      <c r="K273" s="455">
        <f t="shared" ca="1" si="27"/>
        <v>11278.122438276388</v>
      </c>
      <c r="L273" s="455">
        <f t="shared" ca="1" si="28"/>
        <v>2718027.5076246094</v>
      </c>
      <c r="M273" s="471">
        <f t="shared" si="30"/>
        <v>0.05</v>
      </c>
      <c r="N273" s="475">
        <f t="shared" si="31"/>
        <v>59353</v>
      </c>
    </row>
    <row r="274" spans="7:14" ht="11.25" customHeight="1" x14ac:dyDescent="0.3">
      <c r="G274" s="470">
        <f t="shared" si="32"/>
        <v>23</v>
      </c>
      <c r="H274" s="470">
        <v>267</v>
      </c>
      <c r="I274" s="455">
        <f t="shared" ca="1" si="29"/>
        <v>2718027.5076246094</v>
      </c>
      <c r="J274" s="455">
        <f t="array" ref="J274">IFERROR(INDEX('Retirement Calculator'!J:J,MATCH('Isaac 401k'!N274,'Retirement Calculator'!A:A,0),0),0)</f>
        <v>6404.7404596389215</v>
      </c>
      <c r="K274" s="455">
        <f t="shared" ca="1" si="27"/>
        <v>11298.42819652071</v>
      </c>
      <c r="L274" s="455">
        <f t="shared" ca="1" si="28"/>
        <v>2722921.1953614908</v>
      </c>
      <c r="M274" s="471">
        <f t="shared" si="30"/>
        <v>0.05</v>
      </c>
      <c r="N274" s="475">
        <f t="shared" si="31"/>
        <v>59384</v>
      </c>
    </row>
    <row r="275" spans="7:14" ht="11.25" customHeight="1" x14ac:dyDescent="0.3">
      <c r="G275" s="470">
        <f t="shared" si="32"/>
        <v>23</v>
      </c>
      <c r="H275" s="470">
        <v>268</v>
      </c>
      <c r="I275" s="455">
        <f t="shared" ca="1" si="29"/>
        <v>2722921.1953614908</v>
      </c>
      <c r="J275" s="455">
        <f t="array" ref="J275">IFERROR(INDEX('Retirement Calculator'!J:J,MATCH('Isaac 401k'!N275,'Retirement Calculator'!A:A,0),0),0)</f>
        <v>6404.7404596389215</v>
      </c>
      <c r="K275" s="455">
        <f t="shared" ca="1" si="27"/>
        <v>11318.818562091048</v>
      </c>
      <c r="L275" s="455">
        <f t="shared" ca="1" si="28"/>
        <v>2727835.2734639426</v>
      </c>
      <c r="M275" s="471">
        <f t="shared" si="30"/>
        <v>0.05</v>
      </c>
      <c r="N275" s="475">
        <f t="shared" si="31"/>
        <v>59415</v>
      </c>
    </row>
    <row r="276" spans="7:14" ht="11.25" customHeight="1" x14ac:dyDescent="0.3">
      <c r="G276" s="470">
        <f t="shared" si="32"/>
        <v>23</v>
      </c>
      <c r="H276" s="470">
        <v>269</v>
      </c>
      <c r="I276" s="455">
        <f t="shared" ca="1" si="29"/>
        <v>2727835.2734639426</v>
      </c>
      <c r="J276" s="455">
        <f t="array" ref="J276">IFERROR(INDEX('Retirement Calculator'!J:J,MATCH('Isaac 401k'!N276,'Retirement Calculator'!A:A,0),0),0)</f>
        <v>6404.7404596389215</v>
      </c>
      <c r="K276" s="455">
        <f t="shared" ca="1" si="27"/>
        <v>11339.293887517932</v>
      </c>
      <c r="L276" s="455">
        <f t="shared" ca="1" si="28"/>
        <v>2732769.8268918213</v>
      </c>
      <c r="M276" s="471">
        <f t="shared" si="30"/>
        <v>0.05</v>
      </c>
      <c r="N276" s="475">
        <f t="shared" si="31"/>
        <v>59445</v>
      </c>
    </row>
    <row r="277" spans="7:14" ht="11.25" customHeight="1" x14ac:dyDescent="0.3">
      <c r="G277" s="470">
        <f t="shared" si="32"/>
        <v>23</v>
      </c>
      <c r="H277" s="470">
        <v>270</v>
      </c>
      <c r="I277" s="455">
        <f t="shared" ca="1" si="29"/>
        <v>2732769.8268918213</v>
      </c>
      <c r="J277" s="455">
        <f t="array" ref="J277">IFERROR(INDEX('Retirement Calculator'!J:J,MATCH('Isaac 401k'!N277,'Retirement Calculator'!A:A,0),0),0)</f>
        <v>6404.7404596389215</v>
      </c>
      <c r="K277" s="455">
        <f t="shared" ca="1" si="27"/>
        <v>11359.854526800758</v>
      </c>
      <c r="L277" s="455">
        <f t="shared" ca="1" si="28"/>
        <v>2737724.9409589828</v>
      </c>
      <c r="M277" s="471">
        <f t="shared" si="30"/>
        <v>0.05</v>
      </c>
      <c r="N277" s="475">
        <f t="shared" si="31"/>
        <v>59476</v>
      </c>
    </row>
    <row r="278" spans="7:14" ht="11.25" customHeight="1" x14ac:dyDescent="0.3">
      <c r="G278" s="470">
        <f t="shared" si="32"/>
        <v>23</v>
      </c>
      <c r="H278" s="470">
        <v>271</v>
      </c>
      <c r="I278" s="455">
        <f t="shared" ca="1" si="29"/>
        <v>2737724.9409589828</v>
      </c>
      <c r="J278" s="455">
        <f t="array" ref="J278">IFERROR(INDEX('Retirement Calculator'!J:J,MATCH('Isaac 401k'!N278,'Retirement Calculator'!A:A,0),0),0)</f>
        <v>6404.7404596389215</v>
      </c>
      <c r="K278" s="455">
        <f t="shared" ca="1" si="27"/>
        <v>11380.500835413932</v>
      </c>
      <c r="L278" s="455">
        <f t="shared" ca="1" si="28"/>
        <v>2742700.7013347577</v>
      </c>
      <c r="M278" s="471">
        <f t="shared" si="30"/>
        <v>0.05</v>
      </c>
      <c r="N278" s="475">
        <f t="shared" si="31"/>
        <v>59506</v>
      </c>
    </row>
    <row r="279" spans="7:14" ht="11.25" customHeight="1" x14ac:dyDescent="0.3">
      <c r="G279" s="470">
        <f t="shared" si="32"/>
        <v>23</v>
      </c>
      <c r="H279" s="470">
        <v>272</v>
      </c>
      <c r="I279" s="455">
        <f t="shared" ca="1" si="29"/>
        <v>2742700.7013347577</v>
      </c>
      <c r="J279" s="455">
        <f t="array" ref="J279">IFERROR(INDEX('Retirement Calculator'!J:J,MATCH('Isaac 401k'!N279,'Retirement Calculator'!A:A,0),0),0)</f>
        <v>6404.7404596389215</v>
      </c>
      <c r="K279" s="455">
        <f t="shared" ca="1" si="27"/>
        <v>11401.233170312995</v>
      </c>
      <c r="L279" s="455">
        <f t="shared" ca="1" si="28"/>
        <v>2747697.1940454314</v>
      </c>
      <c r="M279" s="471">
        <f t="shared" si="30"/>
        <v>0.05</v>
      </c>
      <c r="N279" s="475">
        <f t="shared" si="31"/>
        <v>59537</v>
      </c>
    </row>
    <row r="280" spans="7:14" ht="11.25" customHeight="1" x14ac:dyDescent="0.3">
      <c r="G280" s="470">
        <f t="shared" si="32"/>
        <v>23</v>
      </c>
      <c r="H280" s="470">
        <v>273</v>
      </c>
      <c r="I280" s="455">
        <f t="shared" ca="1" si="29"/>
        <v>2747697.1940454314</v>
      </c>
      <c r="J280" s="455">
        <f t="array" ref="J280">IFERROR(INDEX('Retirement Calculator'!J:J,MATCH('Isaac 401k'!N280,'Retirement Calculator'!A:A,0),0),0)</f>
        <v>6404.7404596389215</v>
      </c>
      <c r="K280" s="455">
        <f t="shared" ca="1" si="27"/>
        <v>11422.051889940802</v>
      </c>
      <c r="L280" s="455">
        <f t="shared" ca="1" si="28"/>
        <v>2752714.505475733</v>
      </c>
      <c r="M280" s="471">
        <f t="shared" si="30"/>
        <v>0.05</v>
      </c>
      <c r="N280" s="475">
        <f t="shared" si="31"/>
        <v>59568</v>
      </c>
    </row>
    <row r="281" spans="7:14" ht="11.25" customHeight="1" x14ac:dyDescent="0.3">
      <c r="G281" s="470">
        <f t="shared" si="32"/>
        <v>23</v>
      </c>
      <c r="H281" s="470">
        <v>274</v>
      </c>
      <c r="I281" s="455">
        <f t="shared" ca="1" si="29"/>
        <v>2752714.505475733</v>
      </c>
      <c r="J281" s="455">
        <f t="array" ref="J281">IFERROR(INDEX('Retirement Calculator'!J:J,MATCH('Isaac 401k'!N281,'Retirement Calculator'!A:A,0),0),0)</f>
        <v>6404.7404596389215</v>
      </c>
      <c r="K281" s="455">
        <f t="shared" ca="1" si="27"/>
        <v>11442.957354233724</v>
      </c>
      <c r="L281" s="455">
        <f t="shared" ca="1" si="28"/>
        <v>2757752.7223703275</v>
      </c>
      <c r="M281" s="471">
        <f t="shared" si="30"/>
        <v>0.05</v>
      </c>
      <c r="N281" s="475">
        <f t="shared" si="31"/>
        <v>59596</v>
      </c>
    </row>
    <row r="282" spans="7:14" ht="11.25" customHeight="1" x14ac:dyDescent="0.3">
      <c r="G282" s="470">
        <f t="shared" si="32"/>
        <v>23</v>
      </c>
      <c r="H282" s="470">
        <v>275</v>
      </c>
      <c r="I282" s="455">
        <f t="shared" ca="1" si="29"/>
        <v>2757752.7223703275</v>
      </c>
      <c r="J282" s="455">
        <f t="array" ref="J282">IFERROR(INDEX('Retirement Calculator'!J:J,MATCH('Isaac 401k'!N282,'Retirement Calculator'!A:A,0),0),0)</f>
        <v>6404.7404596389215</v>
      </c>
      <c r="K282" s="455">
        <f t="shared" ca="1" si="27"/>
        <v>11463.949924627868</v>
      </c>
      <c r="L282" s="455">
        <f t="shared" ca="1" si="28"/>
        <v>2762811.9318353161</v>
      </c>
      <c r="M282" s="471">
        <f t="shared" si="30"/>
        <v>0.05</v>
      </c>
      <c r="N282" s="475">
        <f t="shared" si="31"/>
        <v>59627</v>
      </c>
    </row>
    <row r="283" spans="7:14" ht="11.25" customHeight="1" x14ac:dyDescent="0.3">
      <c r="G283" s="470">
        <f t="shared" si="32"/>
        <v>23</v>
      </c>
      <c r="H283" s="470">
        <v>276</v>
      </c>
      <c r="I283" s="455">
        <f t="shared" ca="1" si="29"/>
        <v>2762811.9318353161</v>
      </c>
      <c r="J283" s="455">
        <f t="array" ref="J283">IFERROR(INDEX('Retirement Calculator'!J:J,MATCH('Isaac 401k'!N283,'Retirement Calculator'!A:A,0),0),0)</f>
        <v>6404.7404596389215</v>
      </c>
      <c r="K283" s="455">
        <f t="shared" ca="1" si="27"/>
        <v>11485.029964065321</v>
      </c>
      <c r="L283" s="455">
        <f t="shared" ca="1" si="28"/>
        <v>2767892.2213397422</v>
      </c>
      <c r="M283" s="471">
        <f t="shared" si="30"/>
        <v>0.05</v>
      </c>
      <c r="N283" s="475">
        <f t="shared" si="31"/>
        <v>59657</v>
      </c>
    </row>
    <row r="284" spans="7:14" ht="11.25" customHeight="1" x14ac:dyDescent="0.3">
      <c r="G284" s="470">
        <f>G283+1</f>
        <v>24</v>
      </c>
      <c r="H284" s="470">
        <v>277</v>
      </c>
      <c r="I284" s="455">
        <f t="shared" ca="1" si="29"/>
        <v>2767892.2213397422</v>
      </c>
      <c r="J284" s="455">
        <f t="array" ref="J284">IFERROR(INDEX('Retirement Calculator'!J:J,MATCH('Isaac 401k'!N284,'Retirement Calculator'!A:A,0),0),0)</f>
        <v>6404.7404596389215</v>
      </c>
      <c r="K284" s="455">
        <f t="shared" ca="1" si="27"/>
        <v>11506.197837000429</v>
      </c>
      <c r="L284" s="455">
        <f t="shared" ca="1" si="28"/>
        <v>2772993.6787171033</v>
      </c>
      <c r="M284" s="471">
        <f t="shared" si="30"/>
        <v>0.05</v>
      </c>
      <c r="N284" s="475">
        <f t="shared" si="31"/>
        <v>59688</v>
      </c>
    </row>
    <row r="285" spans="7:14" ht="11.25" customHeight="1" x14ac:dyDescent="0.3">
      <c r="G285" s="470">
        <f t="shared" ref="G285:G295" si="33">G284</f>
        <v>24</v>
      </c>
      <c r="H285" s="470">
        <v>278</v>
      </c>
      <c r="I285" s="455">
        <f t="shared" ca="1" si="29"/>
        <v>2772993.6787171033</v>
      </c>
      <c r="J285" s="455">
        <f t="array" ref="J285">IFERROR(INDEX('Retirement Calculator'!J:J,MATCH('Isaac 401k'!N285,'Retirement Calculator'!A:A,0),0),0)</f>
        <v>6404.7404596389215</v>
      </c>
      <c r="K285" s="455">
        <f t="shared" ca="1" si="27"/>
        <v>11527.4539094061</v>
      </c>
      <c r="L285" s="455">
        <f t="shared" ca="1" si="28"/>
        <v>2778116.3921668702</v>
      </c>
      <c r="M285" s="471">
        <f t="shared" si="30"/>
        <v>0.05</v>
      </c>
      <c r="N285" s="475">
        <f t="shared" si="31"/>
        <v>59718</v>
      </c>
    </row>
    <row r="286" spans="7:14" ht="11.25" customHeight="1" x14ac:dyDescent="0.3">
      <c r="G286" s="470">
        <f t="shared" si="33"/>
        <v>24</v>
      </c>
      <c r="H286" s="470">
        <v>279</v>
      </c>
      <c r="I286" s="455">
        <f t="shared" ca="1" si="29"/>
        <v>2778116.3921668702</v>
      </c>
      <c r="J286" s="455">
        <f t="array" ref="J286">IFERROR(INDEX('Retirement Calculator'!J:J,MATCH('Isaac 401k'!N286,'Retirement Calculator'!A:A,0),0),0)</f>
        <v>6404.7404596389215</v>
      </c>
      <c r="K286" s="455">
        <f t="shared" ca="1" si="27"/>
        <v>11548.798548780129</v>
      </c>
      <c r="L286" s="455">
        <f t="shared" ca="1" si="28"/>
        <v>2783260.450256011</v>
      </c>
      <c r="M286" s="471">
        <f t="shared" si="30"/>
        <v>0.05</v>
      </c>
      <c r="N286" s="475">
        <f t="shared" si="31"/>
        <v>59749</v>
      </c>
    </row>
    <row r="287" spans="7:14" ht="11.25" customHeight="1" x14ac:dyDescent="0.3">
      <c r="G287" s="470">
        <f t="shared" si="33"/>
        <v>24</v>
      </c>
      <c r="H287" s="470">
        <v>280</v>
      </c>
      <c r="I287" s="455">
        <f t="shared" ca="1" si="29"/>
        <v>2783260.450256011</v>
      </c>
      <c r="J287" s="455">
        <f t="array" ref="J287">IFERROR(INDEX('Retirement Calculator'!J:J,MATCH('Isaac 401k'!N287,'Retirement Calculator'!A:A,0),0),0)</f>
        <v>6404.7404596389215</v>
      </c>
      <c r="K287" s="455">
        <f t="shared" ca="1" si="27"/>
        <v>11570.232124151549</v>
      </c>
      <c r="L287" s="455">
        <f t="shared" ca="1" si="28"/>
        <v>2788425.9419205235</v>
      </c>
      <c r="M287" s="471">
        <f t="shared" si="30"/>
        <v>0.05</v>
      </c>
      <c r="N287" s="475">
        <f t="shared" si="31"/>
        <v>59780</v>
      </c>
    </row>
    <row r="288" spans="7:14" ht="11.25" customHeight="1" x14ac:dyDescent="0.3">
      <c r="G288" s="470">
        <f t="shared" si="33"/>
        <v>24</v>
      </c>
      <c r="H288" s="470">
        <v>281</v>
      </c>
      <c r="I288" s="455">
        <f t="shared" ca="1" si="29"/>
        <v>2788425.9419205235</v>
      </c>
      <c r="J288" s="455">
        <f t="array" ref="J288">IFERROR(INDEX('Retirement Calculator'!J:J,MATCH('Isaac 401k'!N288,'Retirement Calculator'!A:A,0),0),0)</f>
        <v>6404.7404596389215</v>
      </c>
      <c r="K288" s="455">
        <f t="shared" ca="1" si="27"/>
        <v>11591.755006087018</v>
      </c>
      <c r="L288" s="455">
        <f t="shared" ca="1" si="28"/>
        <v>2793612.9564669714</v>
      </c>
      <c r="M288" s="471">
        <f t="shared" si="30"/>
        <v>0.05</v>
      </c>
      <c r="N288" s="475">
        <f t="shared" si="31"/>
        <v>59810</v>
      </c>
    </row>
    <row r="289" spans="7:14" ht="11.25" customHeight="1" x14ac:dyDescent="0.3">
      <c r="G289" s="470">
        <f t="shared" si="33"/>
        <v>24</v>
      </c>
      <c r="H289" s="470">
        <v>282</v>
      </c>
      <c r="I289" s="455">
        <f t="shared" ca="1" si="29"/>
        <v>2793612.9564669714</v>
      </c>
      <c r="J289" s="455">
        <f t="array" ref="J289">IFERROR(INDEX('Retirement Calculator'!J:J,MATCH('Isaac 401k'!N289,'Retirement Calculator'!A:A,0),0),0)</f>
        <v>6404.7404596389215</v>
      </c>
      <c r="K289" s="455">
        <f t="shared" ca="1" si="27"/>
        <v>11613.367566697218</v>
      </c>
      <c r="L289" s="455">
        <f t="shared" ca="1" si="28"/>
        <v>2798821.5835740296</v>
      </c>
      <c r="M289" s="471">
        <f t="shared" si="30"/>
        <v>0.05</v>
      </c>
      <c r="N289" s="475">
        <f t="shared" si="31"/>
        <v>59841</v>
      </c>
    </row>
    <row r="290" spans="7:14" ht="11.25" customHeight="1" x14ac:dyDescent="0.3">
      <c r="G290" s="470">
        <f t="shared" si="33"/>
        <v>24</v>
      </c>
      <c r="H290" s="470">
        <v>283</v>
      </c>
      <c r="I290" s="455">
        <f t="shared" ca="1" si="29"/>
        <v>2798821.5835740296</v>
      </c>
      <c r="J290" s="455">
        <f t="array" ref="J290">IFERROR(INDEX('Retirement Calculator'!J:J,MATCH('Isaac 401k'!N290,'Retirement Calculator'!A:A,0),0),0)</f>
        <v>6404.7404596389215</v>
      </c>
      <c r="K290" s="455">
        <f t="shared" ca="1" si="27"/>
        <v>11635.070179643293</v>
      </c>
      <c r="L290" s="455">
        <f t="shared" ca="1" si="28"/>
        <v>2804051.9132940336</v>
      </c>
      <c r="M290" s="471">
        <f t="shared" si="30"/>
        <v>0.05</v>
      </c>
      <c r="N290" s="475">
        <f t="shared" si="31"/>
        <v>59871</v>
      </c>
    </row>
    <row r="291" spans="7:14" ht="11.25" customHeight="1" x14ac:dyDescent="0.3">
      <c r="G291" s="470">
        <f t="shared" si="33"/>
        <v>24</v>
      </c>
      <c r="H291" s="470">
        <v>284</v>
      </c>
      <c r="I291" s="455">
        <f t="shared" ca="1" si="29"/>
        <v>2804051.9132940336</v>
      </c>
      <c r="J291" s="455">
        <f t="array" ref="J291">IFERROR(INDEX('Retirement Calculator'!J:J,MATCH('Isaac 401k'!N291,'Retirement Calculator'!A:A,0),0),0)</f>
        <v>6404.7404596389215</v>
      </c>
      <c r="K291" s="455">
        <f t="shared" ca="1" si="27"/>
        <v>11656.86322014331</v>
      </c>
      <c r="L291" s="455">
        <f t="shared" ca="1" si="28"/>
        <v>2809304.0360545376</v>
      </c>
      <c r="M291" s="471">
        <f t="shared" si="30"/>
        <v>0.05</v>
      </c>
      <c r="N291" s="475">
        <f t="shared" si="31"/>
        <v>59902</v>
      </c>
    </row>
    <row r="292" spans="7:14" ht="11.25" customHeight="1" x14ac:dyDescent="0.3">
      <c r="G292" s="470">
        <f t="shared" si="33"/>
        <v>24</v>
      </c>
      <c r="H292" s="470">
        <v>285</v>
      </c>
      <c r="I292" s="455">
        <f t="shared" ca="1" si="29"/>
        <v>2809304.0360545376</v>
      </c>
      <c r="J292" s="455">
        <f t="array" ref="J292">IFERROR(INDEX('Retirement Calculator'!J:J,MATCH('Isaac 401k'!N292,'Retirement Calculator'!A:A,0),0),0)</f>
        <v>6404.7404596389215</v>
      </c>
      <c r="K292" s="455">
        <f t="shared" ca="1" si="27"/>
        <v>11678.747064978743</v>
      </c>
      <c r="L292" s="455">
        <f t="shared" ca="1" si="28"/>
        <v>2814578.0426598773</v>
      </c>
      <c r="M292" s="471">
        <f t="shared" si="30"/>
        <v>0.05</v>
      </c>
      <c r="N292" s="475">
        <f t="shared" si="31"/>
        <v>59933</v>
      </c>
    </row>
    <row r="293" spans="7:14" ht="11.25" customHeight="1" x14ac:dyDescent="0.3">
      <c r="G293" s="470">
        <f t="shared" si="33"/>
        <v>24</v>
      </c>
      <c r="H293" s="470">
        <v>286</v>
      </c>
      <c r="I293" s="455">
        <f t="shared" ca="1" si="29"/>
        <v>2814578.0426598773</v>
      </c>
      <c r="J293" s="455">
        <f t="array" ref="J293">IFERROR(INDEX('Retirement Calculator'!J:J,MATCH('Isaac 401k'!N293,'Retirement Calculator'!A:A,0),0),0)</f>
        <v>6404.7404596389215</v>
      </c>
      <c r="K293" s="455">
        <f t="shared" ca="1" si="27"/>
        <v>11700.722092500993</v>
      </c>
      <c r="L293" s="455">
        <f t="shared" ca="1" si="28"/>
        <v>2819874.0242927391</v>
      </c>
      <c r="M293" s="471">
        <f t="shared" si="30"/>
        <v>0.05</v>
      </c>
      <c r="N293" s="475">
        <f t="shared" si="31"/>
        <v>59962</v>
      </c>
    </row>
    <row r="294" spans="7:14" ht="11.25" customHeight="1" x14ac:dyDescent="0.3">
      <c r="G294" s="470">
        <f t="shared" si="33"/>
        <v>24</v>
      </c>
      <c r="H294" s="470">
        <v>287</v>
      </c>
      <c r="I294" s="455">
        <f t="shared" ca="1" si="29"/>
        <v>2819874.0242927391</v>
      </c>
      <c r="J294" s="455">
        <f t="array" ref="J294">IFERROR(INDEX('Retirement Calculator'!J:J,MATCH('Isaac 401k'!N294,'Retirement Calculator'!A:A,0),0),0)</f>
        <v>6404.7404596389215</v>
      </c>
      <c r="K294" s="455">
        <f t="shared" ca="1" si="27"/>
        <v>11722.788682637916</v>
      </c>
      <c r="L294" s="455">
        <f t="shared" ca="1" si="28"/>
        <v>2825192.0725157377</v>
      </c>
      <c r="M294" s="471">
        <f t="shared" si="30"/>
        <v>0.05</v>
      </c>
      <c r="N294" s="475">
        <f t="shared" si="31"/>
        <v>59993</v>
      </c>
    </row>
    <row r="295" spans="7:14" ht="11.25" customHeight="1" x14ac:dyDescent="0.3">
      <c r="G295" s="470">
        <f t="shared" si="33"/>
        <v>24</v>
      </c>
      <c r="H295" s="470">
        <v>288</v>
      </c>
      <c r="I295" s="455">
        <f t="shared" ca="1" si="29"/>
        <v>2825192.0725157377</v>
      </c>
      <c r="J295" s="455">
        <f t="array" ref="J295">IFERROR(INDEX('Retirement Calculator'!J:J,MATCH('Isaac 401k'!N295,'Retirement Calculator'!A:A,0),0),0)</f>
        <v>6404.7404596389215</v>
      </c>
      <c r="K295" s="455">
        <f t="shared" ca="1" si="27"/>
        <v>11744.947216900411</v>
      </c>
      <c r="L295" s="455">
        <f t="shared" ca="1" si="28"/>
        <v>2830532.2792729991</v>
      </c>
      <c r="M295" s="471">
        <f t="shared" si="30"/>
        <v>0.05</v>
      </c>
      <c r="N295" s="475">
        <f t="shared" si="31"/>
        <v>60023</v>
      </c>
    </row>
    <row r="296" spans="7:14" ht="11.25" customHeight="1" x14ac:dyDescent="0.3">
      <c r="G296" s="470">
        <f>G295+1</f>
        <v>25</v>
      </c>
      <c r="H296" s="470">
        <v>289</v>
      </c>
      <c r="I296" s="455">
        <f t="shared" ca="1" si="29"/>
        <v>2830532.2792729991</v>
      </c>
      <c r="J296" s="455">
        <f t="array" ref="J296">IFERROR(INDEX('Retirement Calculator'!J:J,MATCH('Isaac 401k'!N296,'Retirement Calculator'!A:A,0),0),0)</f>
        <v>6404.7404596389215</v>
      </c>
      <c r="K296" s="455">
        <f t="shared" ca="1" si="27"/>
        <v>11767.198078388999</v>
      </c>
      <c r="L296" s="455">
        <f t="shared" ca="1" si="28"/>
        <v>2835894.7368917488</v>
      </c>
      <c r="M296" s="471">
        <f t="shared" si="30"/>
        <v>0.05</v>
      </c>
      <c r="N296" s="475">
        <f t="shared" si="31"/>
        <v>60054</v>
      </c>
    </row>
    <row r="297" spans="7:14" ht="11.25" customHeight="1" x14ac:dyDescent="0.3">
      <c r="G297" s="470">
        <f t="shared" ref="G297:G307" si="34">G296</f>
        <v>25</v>
      </c>
      <c r="H297" s="470">
        <v>290</v>
      </c>
      <c r="I297" s="455">
        <f t="shared" ca="1" si="29"/>
        <v>2835894.7368917488</v>
      </c>
      <c r="J297" s="455">
        <f t="array" ref="J297">IFERROR(INDEX('Retirement Calculator'!J:J,MATCH('Isaac 401k'!N297,'Retirement Calculator'!A:A,0),0),0)</f>
        <v>6404.7404596389215</v>
      </c>
      <c r="K297" s="455">
        <f t="shared" ca="1" si="27"/>
        <v>11789.541651800457</v>
      </c>
      <c r="L297" s="455">
        <f t="shared" ca="1" si="28"/>
        <v>2841279.53808391</v>
      </c>
      <c r="M297" s="471">
        <f t="shared" si="30"/>
        <v>0.05</v>
      </c>
      <c r="N297" s="475">
        <f t="shared" si="31"/>
        <v>60084</v>
      </c>
    </row>
    <row r="298" spans="7:14" ht="11.25" customHeight="1" x14ac:dyDescent="0.3">
      <c r="G298" s="470">
        <f t="shared" si="34"/>
        <v>25</v>
      </c>
      <c r="H298" s="470">
        <v>291</v>
      </c>
      <c r="I298" s="455">
        <f t="shared" ca="1" si="29"/>
        <v>2841279.53808391</v>
      </c>
      <c r="J298" s="455">
        <f t="array" ref="J298">IFERROR(INDEX('Retirement Calculator'!J:J,MATCH('Isaac 401k'!N298,'Retirement Calculator'!A:A,0),0),0)</f>
        <v>6404.7404596389215</v>
      </c>
      <c r="K298" s="455">
        <f t="shared" ca="1" si="27"/>
        <v>11811.978323434461</v>
      </c>
      <c r="L298" s="455">
        <f t="shared" ca="1" si="28"/>
        <v>2846686.7759477054</v>
      </c>
      <c r="M298" s="471">
        <f t="shared" si="30"/>
        <v>0.05</v>
      </c>
      <c r="N298" s="475">
        <f t="shared" si="31"/>
        <v>60115</v>
      </c>
    </row>
    <row r="299" spans="7:14" ht="11.25" customHeight="1" x14ac:dyDescent="0.3">
      <c r="G299" s="470">
        <f t="shared" si="34"/>
        <v>25</v>
      </c>
      <c r="H299" s="470">
        <v>292</v>
      </c>
      <c r="I299" s="455">
        <f t="shared" ca="1" si="29"/>
        <v>2846686.7759477054</v>
      </c>
      <c r="J299" s="455">
        <f t="array" ref="J299">IFERROR(INDEX('Retirement Calculator'!J:J,MATCH('Isaac 401k'!N299,'Retirement Calculator'!A:A,0),0),0)</f>
        <v>6404.7404596389215</v>
      </c>
      <c r="K299" s="455">
        <f t="shared" ca="1" si="27"/>
        <v>11834.508481200275</v>
      </c>
      <c r="L299" s="455">
        <f t="shared" ca="1" si="28"/>
        <v>2852116.5439692666</v>
      </c>
      <c r="M299" s="471">
        <f t="shared" si="30"/>
        <v>0.05</v>
      </c>
      <c r="N299" s="475">
        <f t="shared" si="31"/>
        <v>60146</v>
      </c>
    </row>
    <row r="300" spans="7:14" ht="11.25" customHeight="1" x14ac:dyDescent="0.3">
      <c r="G300" s="470">
        <f t="shared" si="34"/>
        <v>25</v>
      </c>
      <c r="H300" s="470">
        <v>293</v>
      </c>
      <c r="I300" s="455">
        <f t="shared" ca="1" si="29"/>
        <v>2852116.5439692666</v>
      </c>
      <c r="J300" s="455">
        <f t="array" ref="J300">IFERROR(INDEX('Retirement Calculator'!J:J,MATCH('Isaac 401k'!N300,'Retirement Calculator'!A:A,0),0),0)</f>
        <v>6404.7404596389215</v>
      </c>
      <c r="K300" s="455">
        <f t="shared" ca="1" si="27"/>
        <v>11857.132514623449</v>
      </c>
      <c r="L300" s="455">
        <f t="shared" ca="1" si="28"/>
        <v>2857568.9360242509</v>
      </c>
      <c r="M300" s="471">
        <f t="shared" si="30"/>
        <v>0.05</v>
      </c>
      <c r="N300" s="475">
        <f t="shared" si="31"/>
        <v>60176</v>
      </c>
    </row>
    <row r="301" spans="7:14" ht="11.25" customHeight="1" x14ac:dyDescent="0.3">
      <c r="G301" s="470">
        <f t="shared" si="34"/>
        <v>25</v>
      </c>
      <c r="H301" s="470">
        <v>294</v>
      </c>
      <c r="I301" s="455">
        <f t="shared" ca="1" si="29"/>
        <v>2857568.9360242509</v>
      </c>
      <c r="J301" s="455">
        <f t="array" ref="J301">IFERROR(INDEX('Retirement Calculator'!J:J,MATCH('Isaac 401k'!N301,'Retirement Calculator'!A:A,0),0),0)</f>
        <v>6404.7404596389215</v>
      </c>
      <c r="K301" s="455">
        <f t="shared" ca="1" si="27"/>
        <v>11879.850814852549</v>
      </c>
      <c r="L301" s="455">
        <f t="shared" ca="1" si="28"/>
        <v>2863044.0463794642</v>
      </c>
      <c r="M301" s="471">
        <f t="shared" si="30"/>
        <v>0.05</v>
      </c>
      <c r="N301" s="475">
        <f t="shared" si="31"/>
        <v>60207</v>
      </c>
    </row>
    <row r="302" spans="7:14" ht="11.25" customHeight="1" x14ac:dyDescent="0.3">
      <c r="G302" s="470">
        <f t="shared" si="34"/>
        <v>25</v>
      </c>
      <c r="H302" s="470">
        <v>295</v>
      </c>
      <c r="I302" s="455">
        <f t="shared" ca="1" si="29"/>
        <v>2863044.0463794642</v>
      </c>
      <c r="J302" s="455">
        <f t="array" ref="J302">IFERROR(INDEX('Retirement Calculator'!J:J,MATCH('Isaac 401k'!N302,'Retirement Calculator'!A:A,0),0),0)</f>
        <v>6404.7404596389215</v>
      </c>
      <c r="K302" s="455">
        <f t="shared" ca="1" si="27"/>
        <v>11902.663774665938</v>
      </c>
      <c r="L302" s="455">
        <f t="shared" ca="1" si="28"/>
        <v>2868541.969694491</v>
      </c>
      <c r="M302" s="471">
        <f t="shared" si="30"/>
        <v>0.05</v>
      </c>
      <c r="N302" s="475">
        <f t="shared" si="31"/>
        <v>60237</v>
      </c>
    </row>
    <row r="303" spans="7:14" ht="11.25" customHeight="1" x14ac:dyDescent="0.3">
      <c r="G303" s="470">
        <f t="shared" si="34"/>
        <v>25</v>
      </c>
      <c r="H303" s="470">
        <v>296</v>
      </c>
      <c r="I303" s="455">
        <f t="shared" ca="1" si="29"/>
        <v>2868541.969694491</v>
      </c>
      <c r="J303" s="455">
        <f t="array" ref="J303">IFERROR(INDEX('Retirement Calculator'!J:J,MATCH('Isaac 401k'!N303,'Retirement Calculator'!A:A,0),0),0)</f>
        <v>6404.7404596389215</v>
      </c>
      <c r="K303" s="455">
        <f t="shared" ca="1" si="27"/>
        <v>11925.57178847855</v>
      </c>
      <c r="L303" s="455">
        <f t="shared" ca="1" si="28"/>
        <v>2874062.8010233305</v>
      </c>
      <c r="M303" s="471">
        <f t="shared" si="30"/>
        <v>0.05</v>
      </c>
      <c r="N303" s="475">
        <f t="shared" si="31"/>
        <v>60268</v>
      </c>
    </row>
    <row r="304" spans="7:14" ht="11.25" customHeight="1" x14ac:dyDescent="0.3">
      <c r="G304" s="470">
        <f t="shared" si="34"/>
        <v>25</v>
      </c>
      <c r="H304" s="470">
        <v>297</v>
      </c>
      <c r="I304" s="455">
        <f t="shared" ca="1" si="29"/>
        <v>2874062.8010233305</v>
      </c>
      <c r="J304" s="455">
        <f t="array" ref="J304">IFERROR(INDEX('Retirement Calculator'!J:J,MATCH('Isaac 401k'!N304,'Retirement Calculator'!A:A,0),0),0)</f>
        <v>6404.7404596389215</v>
      </c>
      <c r="K304" s="455">
        <f t="shared" ca="1" si="27"/>
        <v>11948.575252348714</v>
      </c>
      <c r="L304" s="455">
        <f t="shared" ca="1" si="28"/>
        <v>2879606.63581604</v>
      </c>
      <c r="M304" s="471">
        <f t="shared" si="30"/>
        <v>0.05</v>
      </c>
      <c r="N304" s="475">
        <f t="shared" si="31"/>
        <v>60299</v>
      </c>
    </row>
    <row r="305" spans="7:14" ht="11.25" customHeight="1" x14ac:dyDescent="0.3">
      <c r="G305" s="470">
        <f t="shared" si="34"/>
        <v>25</v>
      </c>
      <c r="H305" s="470">
        <v>298</v>
      </c>
      <c r="I305" s="455">
        <f t="shared" ca="1" si="29"/>
        <v>2879606.63581604</v>
      </c>
      <c r="J305" s="455">
        <f t="array" ref="J305">IFERROR(INDEX('Retirement Calculator'!J:J,MATCH('Isaac 401k'!N305,'Retirement Calculator'!A:A,0),0),0)</f>
        <v>6404.7404596389215</v>
      </c>
      <c r="K305" s="455">
        <f t="shared" ca="1" si="27"/>
        <v>11971.674563985003</v>
      </c>
      <c r="L305" s="455">
        <f t="shared" ca="1" si="28"/>
        <v>2885173.5699203857</v>
      </c>
      <c r="M305" s="471">
        <f t="shared" si="30"/>
        <v>0.05</v>
      </c>
      <c r="N305" s="475">
        <f t="shared" si="31"/>
        <v>60327</v>
      </c>
    </row>
    <row r="306" spans="7:14" ht="11.25" customHeight="1" x14ac:dyDescent="0.3">
      <c r="G306" s="470">
        <f t="shared" si="34"/>
        <v>25</v>
      </c>
      <c r="H306" s="470">
        <v>299</v>
      </c>
      <c r="I306" s="455">
        <f t="shared" ca="1" si="29"/>
        <v>2885173.5699203857</v>
      </c>
      <c r="J306" s="455">
        <f t="array" ref="J306">IFERROR(INDEX('Retirement Calculator'!J:J,MATCH('Isaac 401k'!N306,'Retirement Calculator'!A:A,0),0),0)</f>
        <v>6404.7404596389215</v>
      </c>
      <c r="K306" s="455">
        <f t="shared" ca="1" si="27"/>
        <v>11994.870122753111</v>
      </c>
      <c r="L306" s="455">
        <f t="shared" ca="1" si="28"/>
        <v>2890763.6995834997</v>
      </c>
      <c r="M306" s="471">
        <f t="shared" si="30"/>
        <v>0.05</v>
      </c>
      <c r="N306" s="475">
        <f t="shared" si="31"/>
        <v>60358</v>
      </c>
    </row>
    <row r="307" spans="7:14" ht="11.25" customHeight="1" x14ac:dyDescent="0.3">
      <c r="G307" s="470">
        <f t="shared" si="34"/>
        <v>25</v>
      </c>
      <c r="H307" s="470">
        <v>300</v>
      </c>
      <c r="I307" s="455">
        <f t="shared" ca="1" si="29"/>
        <v>2890763.6995834997</v>
      </c>
      <c r="J307" s="455">
        <f t="array" ref="J307">IFERROR(INDEX('Retirement Calculator'!J:J,MATCH('Isaac 401k'!N307,'Retirement Calculator'!A:A,0),0),0)</f>
        <v>6404.7404596389215</v>
      </c>
      <c r="K307" s="455">
        <f t="shared" ca="1" si="27"/>
        <v>12018.162329682753</v>
      </c>
      <c r="L307" s="455">
        <f t="shared" ca="1" si="28"/>
        <v>2896377.1214535432</v>
      </c>
      <c r="M307" s="471">
        <f t="shared" si="30"/>
        <v>0.05</v>
      </c>
      <c r="N307" s="475">
        <f t="shared" si="31"/>
        <v>60388</v>
      </c>
    </row>
    <row r="308" spans="7:14" ht="11.25" customHeight="1" x14ac:dyDescent="0.3">
      <c r="G308" s="470">
        <f>G307+1</f>
        <v>26</v>
      </c>
      <c r="H308" s="470">
        <v>301</v>
      </c>
      <c r="I308" s="455">
        <f t="shared" ca="1" si="29"/>
        <v>2896377.1214535432</v>
      </c>
      <c r="J308" s="455">
        <f t="array" ref="J308">IFERROR(INDEX('Retirement Calculator'!J:J,MATCH('Isaac 401k'!N308,'Retirement Calculator'!A:A,0),0),0)</f>
        <v>6404.7404596389215</v>
      </c>
      <c r="K308" s="455">
        <f t="shared" ca="1" si="27"/>
        <v>12041.5515874746</v>
      </c>
      <c r="L308" s="455">
        <f t="shared" ca="1" si="28"/>
        <v>2902013.9325813786</v>
      </c>
      <c r="M308" s="471">
        <f t="shared" si="30"/>
        <v>0.05</v>
      </c>
      <c r="N308" s="475">
        <f t="shared" si="31"/>
        <v>60419</v>
      </c>
    </row>
    <row r="309" spans="7:14" ht="11.25" customHeight="1" x14ac:dyDescent="0.3">
      <c r="G309" s="470">
        <f t="shared" ref="G309:G319" si="35">G308</f>
        <v>26</v>
      </c>
      <c r="H309" s="470">
        <v>302</v>
      </c>
      <c r="I309" s="455">
        <f t="shared" ca="1" si="29"/>
        <v>2902013.9325813786</v>
      </c>
      <c r="J309" s="455">
        <f t="array" ref="J309">IFERROR(INDEX('Retirement Calculator'!J:J,MATCH('Isaac 401k'!N309,'Retirement Calculator'!A:A,0),0),0)</f>
        <v>6404.7404596389215</v>
      </c>
      <c r="K309" s="455">
        <f t="shared" ca="1" si="27"/>
        <v>12065.038300507247</v>
      </c>
      <c r="L309" s="455">
        <f t="shared" ca="1" si="28"/>
        <v>2907674.2304222467</v>
      </c>
      <c r="M309" s="471">
        <f t="shared" si="30"/>
        <v>0.05</v>
      </c>
      <c r="N309" s="475">
        <f t="shared" si="31"/>
        <v>60449</v>
      </c>
    </row>
    <row r="310" spans="7:14" ht="11.25" customHeight="1" x14ac:dyDescent="0.3">
      <c r="G310" s="470">
        <f t="shared" si="35"/>
        <v>26</v>
      </c>
      <c r="H310" s="470">
        <v>303</v>
      </c>
      <c r="I310" s="455">
        <f t="shared" ca="1" si="29"/>
        <v>2907674.2304222467</v>
      </c>
      <c r="J310" s="455">
        <f t="array" ref="J310">IFERROR(INDEX('Retirement Calculator'!J:J,MATCH('Isaac 401k'!N310,'Retirement Calculator'!A:A,0),0),0)</f>
        <v>6404.7404596389215</v>
      </c>
      <c r="K310" s="455">
        <f t="shared" ca="1" si="27"/>
        <v>12088.622874844199</v>
      </c>
      <c r="L310" s="455">
        <f t="shared" ca="1" si="28"/>
        <v>2913358.112837452</v>
      </c>
      <c r="M310" s="471">
        <f t="shared" si="30"/>
        <v>0.05</v>
      </c>
      <c r="N310" s="475">
        <f t="shared" si="31"/>
        <v>60480</v>
      </c>
    </row>
    <row r="311" spans="7:14" ht="11.25" customHeight="1" x14ac:dyDescent="0.3">
      <c r="G311" s="470">
        <f t="shared" si="35"/>
        <v>26</v>
      </c>
      <c r="H311" s="470">
        <v>304</v>
      </c>
      <c r="I311" s="455">
        <f t="shared" ca="1" si="29"/>
        <v>2913358.112837452</v>
      </c>
      <c r="J311" s="455">
        <f t="array" ref="J311">IFERROR(INDEX('Retirement Calculator'!J:J,MATCH('Isaac 401k'!N311,'Retirement Calculator'!A:A,0),0),0)</f>
        <v>6404.7404596389215</v>
      </c>
      <c r="K311" s="455">
        <f t="shared" ca="1" si="27"/>
        <v>12112.305718240887</v>
      </c>
      <c r="L311" s="455">
        <f t="shared" ca="1" si="28"/>
        <v>2919065.6780960537</v>
      </c>
      <c r="M311" s="471">
        <f t="shared" si="30"/>
        <v>0.05</v>
      </c>
      <c r="N311" s="475">
        <f t="shared" si="31"/>
        <v>60511</v>
      </c>
    </row>
    <row r="312" spans="7:14" ht="11.25" customHeight="1" x14ac:dyDescent="0.3">
      <c r="G312" s="470">
        <f t="shared" si="35"/>
        <v>26</v>
      </c>
      <c r="H312" s="470">
        <v>305</v>
      </c>
      <c r="I312" s="455">
        <f t="shared" ca="1" si="29"/>
        <v>2919065.6780960537</v>
      </c>
      <c r="J312" s="455">
        <f t="array" ref="J312">IFERROR(INDEX('Retirement Calculator'!J:J,MATCH('Isaac 401k'!N312,'Retirement Calculator'!A:A,0),0),0)</f>
        <v>6404.7404596389215</v>
      </c>
      <c r="K312" s="455">
        <f t="shared" ca="1" si="27"/>
        <v>12136.087240151726</v>
      </c>
      <c r="L312" s="455">
        <f t="shared" ca="1" si="28"/>
        <v>2924797.0248765661</v>
      </c>
      <c r="M312" s="471">
        <f t="shared" si="30"/>
        <v>0.05</v>
      </c>
      <c r="N312" s="475">
        <f t="shared" si="31"/>
        <v>60541</v>
      </c>
    </row>
    <row r="313" spans="7:14" ht="11.25" customHeight="1" x14ac:dyDescent="0.3">
      <c r="G313" s="470">
        <f t="shared" si="35"/>
        <v>26</v>
      </c>
      <c r="H313" s="470">
        <v>306</v>
      </c>
      <c r="I313" s="455">
        <f t="shared" ca="1" si="29"/>
        <v>2924797.0248765661</v>
      </c>
      <c r="J313" s="455">
        <f t="array" ref="J313">IFERROR(INDEX('Retirement Calculator'!J:J,MATCH('Isaac 401k'!N313,'Retirement Calculator'!A:A,0),0),0)</f>
        <v>6404.7404596389215</v>
      </c>
      <c r="K313" s="455">
        <f t="shared" ca="1" si="27"/>
        <v>12159.967851737196</v>
      </c>
      <c r="L313" s="455">
        <f t="shared" ca="1" si="28"/>
        <v>2930552.2522686641</v>
      </c>
      <c r="M313" s="471">
        <f t="shared" si="30"/>
        <v>0.05</v>
      </c>
      <c r="N313" s="475">
        <f t="shared" si="31"/>
        <v>60572</v>
      </c>
    </row>
    <row r="314" spans="7:14" ht="11.25" customHeight="1" x14ac:dyDescent="0.3">
      <c r="G314" s="470">
        <f t="shared" si="35"/>
        <v>26</v>
      </c>
      <c r="H314" s="470">
        <v>307</v>
      </c>
      <c r="I314" s="455">
        <f t="shared" ca="1" si="29"/>
        <v>2930552.2522686641</v>
      </c>
      <c r="J314" s="455">
        <f t="array" ref="J314">IFERROR(INDEX('Retirement Calculator'!J:J,MATCH('Isaac 401k'!N314,'Retirement Calculator'!A:A,0),0),0)</f>
        <v>6404.7404596389215</v>
      </c>
      <c r="K314" s="455">
        <f t="shared" ca="1" si="27"/>
        <v>12183.947965870937</v>
      </c>
      <c r="L314" s="455">
        <f t="shared" ca="1" si="28"/>
        <v>2936331.459774896</v>
      </c>
      <c r="M314" s="471">
        <f t="shared" si="30"/>
        <v>0.05</v>
      </c>
      <c r="N314" s="475">
        <f t="shared" si="31"/>
        <v>60602</v>
      </c>
    </row>
    <row r="315" spans="7:14" ht="11.25" customHeight="1" x14ac:dyDescent="0.3">
      <c r="G315" s="470">
        <f t="shared" si="35"/>
        <v>26</v>
      </c>
      <c r="H315" s="470">
        <v>308</v>
      </c>
      <c r="I315" s="455">
        <f t="shared" ca="1" si="29"/>
        <v>2936331.459774896</v>
      </c>
      <c r="J315" s="455">
        <f t="array" ref="J315">IFERROR(INDEX('Retirement Calculator'!J:J,MATCH('Isaac 401k'!N315,'Retirement Calculator'!A:A,0),0),0)</f>
        <v>6404.7404596389215</v>
      </c>
      <c r="K315" s="455">
        <f t="shared" ca="1" si="27"/>
        <v>12208.027997146904</v>
      </c>
      <c r="L315" s="455">
        <f t="shared" ca="1" si="28"/>
        <v>2942134.7473124037</v>
      </c>
      <c r="M315" s="471">
        <f t="shared" si="30"/>
        <v>0.05</v>
      </c>
      <c r="N315" s="475">
        <f t="shared" si="31"/>
        <v>60633</v>
      </c>
    </row>
    <row r="316" spans="7:14" ht="11.25" customHeight="1" x14ac:dyDescent="0.3">
      <c r="G316" s="470">
        <f t="shared" si="35"/>
        <v>26</v>
      </c>
      <c r="H316" s="470">
        <v>309</v>
      </c>
      <c r="I316" s="455">
        <f t="shared" ca="1" si="29"/>
        <v>2942134.7473124037</v>
      </c>
      <c r="J316" s="455">
        <f t="array" ref="J316">IFERROR(INDEX('Retirement Calculator'!J:J,MATCH('Isaac 401k'!N316,'Retirement Calculator'!A:A,0),0),0)</f>
        <v>6404.7404596389215</v>
      </c>
      <c r="K316" s="455">
        <f t="shared" ca="1" si="27"/>
        <v>12232.20836188652</v>
      </c>
      <c r="L316" s="455">
        <f t="shared" ca="1" si="28"/>
        <v>2947962.2152146511</v>
      </c>
      <c r="M316" s="471">
        <f t="shared" si="30"/>
        <v>0.05</v>
      </c>
      <c r="N316" s="475">
        <f t="shared" si="31"/>
        <v>60664</v>
      </c>
    </row>
    <row r="317" spans="7:14" ht="11.25" customHeight="1" x14ac:dyDescent="0.3">
      <c r="G317" s="470">
        <f t="shared" si="35"/>
        <v>26</v>
      </c>
      <c r="H317" s="470">
        <v>310</v>
      </c>
      <c r="I317" s="455">
        <f t="shared" ca="1" si="29"/>
        <v>2947962.2152146511</v>
      </c>
      <c r="J317" s="455">
        <f t="array" ref="J317">IFERROR(INDEX('Retirement Calculator'!J:J,MATCH('Isaac 401k'!N317,'Retirement Calculator'!A:A,0),0),0)</f>
        <v>6404.7404596389215</v>
      </c>
      <c r="K317" s="455">
        <f t="shared" ca="1" si="27"/>
        <v>12256.489478145882</v>
      </c>
      <c r="L317" s="455">
        <f t="shared" ca="1" si="28"/>
        <v>2953813.9642331577</v>
      </c>
      <c r="M317" s="471">
        <f t="shared" si="30"/>
        <v>0.05</v>
      </c>
      <c r="N317" s="475">
        <f t="shared" si="31"/>
        <v>60692</v>
      </c>
    </row>
    <row r="318" spans="7:14" ht="11.25" customHeight="1" x14ac:dyDescent="0.3">
      <c r="G318" s="470">
        <f t="shared" si="35"/>
        <v>26</v>
      </c>
      <c r="H318" s="470">
        <v>311</v>
      </c>
      <c r="I318" s="455">
        <f t="shared" ca="1" si="29"/>
        <v>2953813.9642331577</v>
      </c>
      <c r="J318" s="455">
        <f t="array" ref="J318">IFERROR(INDEX('Retirement Calculator'!J:J,MATCH('Isaac 401k'!N318,'Retirement Calculator'!A:A,0),0),0)</f>
        <v>6404.7404596389215</v>
      </c>
      <c r="K318" s="455">
        <f t="shared" ca="1" si="27"/>
        <v>12280.871765722994</v>
      </c>
      <c r="L318" s="455">
        <f t="shared" ca="1" si="28"/>
        <v>2959690.0955392416</v>
      </c>
      <c r="M318" s="471">
        <f t="shared" si="30"/>
        <v>0.05</v>
      </c>
      <c r="N318" s="475">
        <f t="shared" si="31"/>
        <v>60723</v>
      </c>
    </row>
    <row r="319" spans="7:14" ht="11.25" customHeight="1" x14ac:dyDescent="0.3">
      <c r="G319" s="470">
        <f t="shared" si="35"/>
        <v>26</v>
      </c>
      <c r="H319" s="470">
        <v>312</v>
      </c>
      <c r="I319" s="455">
        <f t="shared" ca="1" si="29"/>
        <v>2959690.0955392416</v>
      </c>
      <c r="J319" s="455">
        <f t="array" ref="J319">IFERROR(INDEX('Retirement Calculator'!J:J,MATCH('Isaac 401k'!N319,'Retirement Calculator'!A:A,0),0),0)</f>
        <v>6404.7404596389215</v>
      </c>
      <c r="K319" s="455">
        <f t="shared" ca="1" si="27"/>
        <v>12305.35564616501</v>
      </c>
      <c r="L319" s="455">
        <f t="shared" ca="1" si="28"/>
        <v>2965590.7107257675</v>
      </c>
      <c r="M319" s="471">
        <f t="shared" si="30"/>
        <v>0.05</v>
      </c>
      <c r="N319" s="475">
        <f t="shared" si="31"/>
        <v>60753</v>
      </c>
    </row>
    <row r="320" spans="7:14" ht="11.25" customHeight="1" x14ac:dyDescent="0.3">
      <c r="G320" s="470">
        <f>G319+1</f>
        <v>27</v>
      </c>
      <c r="H320" s="470">
        <v>313</v>
      </c>
      <c r="I320" s="455">
        <f t="shared" ca="1" si="29"/>
        <v>2965590.7107257675</v>
      </c>
      <c r="J320" s="455">
        <f t="array" ref="J320">IFERROR(INDEX('Retirement Calculator'!J:J,MATCH('Isaac 401k'!N320,'Retirement Calculator'!A:A,0),0),0)</f>
        <v>6404.7404596389215</v>
      </c>
      <c r="K320" s="455">
        <f t="shared" ca="1" si="27"/>
        <v>12329.941542775536</v>
      </c>
      <c r="L320" s="455">
        <f t="shared" ca="1" si="28"/>
        <v>2971515.9118089038</v>
      </c>
      <c r="M320" s="471">
        <f t="shared" si="30"/>
        <v>0.05</v>
      </c>
      <c r="N320" s="475">
        <f t="shared" si="31"/>
        <v>60784</v>
      </c>
    </row>
    <row r="321" spans="7:14" ht="11.25" customHeight="1" x14ac:dyDescent="0.3">
      <c r="G321" s="470">
        <f t="shared" ref="G321:G331" si="36">G320</f>
        <v>27</v>
      </c>
      <c r="H321" s="470">
        <v>314</v>
      </c>
      <c r="I321" s="455">
        <f t="shared" ca="1" si="29"/>
        <v>2971515.9118089038</v>
      </c>
      <c r="J321" s="455">
        <f t="array" ref="J321">IFERROR(INDEX('Retirement Calculator'!J:J,MATCH('Isaac 401k'!N321,'Retirement Calculator'!A:A,0),0),0)</f>
        <v>6404.7404596389215</v>
      </c>
      <c r="K321" s="455">
        <f t="shared" ca="1" si="27"/>
        <v>12354.629880621937</v>
      </c>
      <c r="L321" s="455">
        <f t="shared" ca="1" si="28"/>
        <v>2977465.8012298867</v>
      </c>
      <c r="M321" s="471">
        <f t="shared" si="30"/>
        <v>0.05</v>
      </c>
      <c r="N321" s="475">
        <f t="shared" si="31"/>
        <v>60814</v>
      </c>
    </row>
    <row r="322" spans="7:14" ht="11.25" customHeight="1" x14ac:dyDescent="0.3">
      <c r="G322" s="470">
        <f t="shared" si="36"/>
        <v>27</v>
      </c>
      <c r="H322" s="470">
        <v>315</v>
      </c>
      <c r="I322" s="455">
        <f t="shared" ca="1" si="29"/>
        <v>2977465.8012298867</v>
      </c>
      <c r="J322" s="455">
        <f t="array" ref="J322">IFERROR(INDEX('Retirement Calculator'!J:J,MATCH('Isaac 401k'!N322,'Retirement Calculator'!A:A,0),0),0)</f>
        <v>6404.7404596389215</v>
      </c>
      <c r="K322" s="455">
        <f t="shared" ca="1" si="27"/>
        <v>12379.421086542698</v>
      </c>
      <c r="L322" s="455">
        <f t="shared" ca="1" si="28"/>
        <v>2983440.4818567904</v>
      </c>
      <c r="M322" s="471">
        <f t="shared" si="30"/>
        <v>0.05</v>
      </c>
      <c r="N322" s="475">
        <f t="shared" si="31"/>
        <v>60845</v>
      </c>
    </row>
    <row r="323" spans="7:14" ht="11.25" customHeight="1" x14ac:dyDescent="0.3">
      <c r="G323" s="470">
        <f t="shared" si="36"/>
        <v>27</v>
      </c>
      <c r="H323" s="470">
        <v>316</v>
      </c>
      <c r="I323" s="455">
        <f t="shared" ca="1" si="29"/>
        <v>2983440.4818567904</v>
      </c>
      <c r="J323" s="455">
        <f t="array" ref="J323">IFERROR(INDEX('Retirement Calculator'!J:J,MATCH('Isaac 401k'!N323,'Retirement Calculator'!A:A,0),0),0)</f>
        <v>6404.7404596389215</v>
      </c>
      <c r="K323" s="455">
        <f t="shared" ca="1" si="27"/>
        <v>12404.315589154798</v>
      </c>
      <c r="L323" s="455">
        <f t="shared" ca="1" si="28"/>
        <v>2989440.0569863059</v>
      </c>
      <c r="M323" s="471">
        <f t="shared" si="30"/>
        <v>0.05</v>
      </c>
      <c r="N323" s="475">
        <f t="shared" si="31"/>
        <v>60876</v>
      </c>
    </row>
    <row r="324" spans="7:14" ht="11.25" customHeight="1" x14ac:dyDescent="0.3">
      <c r="G324" s="470">
        <f t="shared" si="36"/>
        <v>27</v>
      </c>
      <c r="H324" s="470">
        <v>317</v>
      </c>
      <c r="I324" s="455">
        <f t="shared" ca="1" si="29"/>
        <v>2989440.0569863059</v>
      </c>
      <c r="J324" s="455">
        <f t="array" ref="J324">IFERROR(INDEX('Retirement Calculator'!J:J,MATCH('Isaac 401k'!N324,'Retirement Calculator'!A:A,0),0),0)</f>
        <v>6404.7404596389215</v>
      </c>
      <c r="K324" s="455">
        <f t="shared" ca="1" si="27"/>
        <v>12429.313818861112</v>
      </c>
      <c r="L324" s="455">
        <f t="shared" ca="1" si="28"/>
        <v>2995464.630345528</v>
      </c>
      <c r="M324" s="471">
        <f t="shared" si="30"/>
        <v>0.05</v>
      </c>
      <c r="N324" s="475">
        <f t="shared" si="31"/>
        <v>60906</v>
      </c>
    </row>
    <row r="325" spans="7:14" ht="11.25" customHeight="1" x14ac:dyDescent="0.3">
      <c r="G325" s="470">
        <f t="shared" si="36"/>
        <v>27</v>
      </c>
      <c r="H325" s="470">
        <v>318</v>
      </c>
      <c r="I325" s="455">
        <f t="shared" ca="1" si="29"/>
        <v>2995464.630345528</v>
      </c>
      <c r="J325" s="455">
        <f t="array" ref="J325">IFERROR(INDEX('Retirement Calculator'!J:J,MATCH('Isaac 401k'!N325,'Retirement Calculator'!A:A,0),0),0)</f>
        <v>6404.7404596389215</v>
      </c>
      <c r="K325" s="455">
        <f t="shared" ca="1" si="27"/>
        <v>12454.41620785787</v>
      </c>
      <c r="L325" s="455">
        <f t="shared" ca="1" si="28"/>
        <v>3001514.3060937468</v>
      </c>
      <c r="M325" s="471">
        <f t="shared" si="30"/>
        <v>0.05</v>
      </c>
      <c r="N325" s="475">
        <f t="shared" si="31"/>
        <v>60937</v>
      </c>
    </row>
    <row r="326" spans="7:14" ht="11.25" customHeight="1" x14ac:dyDescent="0.3">
      <c r="G326" s="470">
        <f t="shared" si="36"/>
        <v>27</v>
      </c>
      <c r="H326" s="470">
        <v>319</v>
      </c>
      <c r="I326" s="455">
        <f t="shared" ca="1" si="29"/>
        <v>3001514.3060937468</v>
      </c>
      <c r="J326" s="455">
        <f t="array" ref="J326">IFERROR(INDEX('Retirement Calculator'!J:J,MATCH('Isaac 401k'!N326,'Retirement Calculator'!A:A,0),0),0)</f>
        <v>6404.7404596389215</v>
      </c>
      <c r="K326" s="455">
        <f t="shared" ca="1" si="27"/>
        <v>12479.623190142116</v>
      </c>
      <c r="L326" s="455">
        <f t="shared" ca="1" si="28"/>
        <v>3007589.1888242499</v>
      </c>
      <c r="M326" s="471">
        <f t="shared" si="30"/>
        <v>0.05</v>
      </c>
      <c r="N326" s="475">
        <f t="shared" si="31"/>
        <v>60967</v>
      </c>
    </row>
    <row r="327" spans="7:14" ht="11.25" customHeight="1" x14ac:dyDescent="0.3">
      <c r="G327" s="470">
        <f t="shared" si="36"/>
        <v>27</v>
      </c>
      <c r="H327" s="470">
        <v>320</v>
      </c>
      <c r="I327" s="455">
        <f t="shared" ca="1" si="29"/>
        <v>3007589.1888242499</v>
      </c>
      <c r="J327" s="455">
        <f t="array" ref="J327">IFERROR(INDEX('Retirement Calculator'!J:J,MATCH('Isaac 401k'!N327,'Retirement Calculator'!A:A,0),0),0)</f>
        <v>6404.7404596389215</v>
      </c>
      <c r="K327" s="455">
        <f t="shared" ca="1" si="27"/>
        <v>12504.935201519211</v>
      </c>
      <c r="L327" s="455">
        <f t="shared" ca="1" si="28"/>
        <v>3013689.38356613</v>
      </c>
      <c r="M327" s="471">
        <f t="shared" si="30"/>
        <v>0.05</v>
      </c>
      <c r="N327" s="475">
        <f t="shared" si="31"/>
        <v>60998</v>
      </c>
    </row>
    <row r="328" spans="7:14" ht="11.25" customHeight="1" x14ac:dyDescent="0.3">
      <c r="G328" s="470">
        <f t="shared" si="36"/>
        <v>27</v>
      </c>
      <c r="H328" s="470">
        <v>321</v>
      </c>
      <c r="I328" s="455">
        <f t="shared" ca="1" si="29"/>
        <v>3013689.38356613</v>
      </c>
      <c r="J328" s="455">
        <f t="array" ref="J328">IFERROR(INDEX('Retirement Calculator'!J:J,MATCH('Isaac 401k'!N328,'Retirement Calculator'!A:A,0),0),0)</f>
        <v>6404.7404596389215</v>
      </c>
      <c r="K328" s="455">
        <f t="shared" ca="1" si="27"/>
        <v>12530.352679610378</v>
      </c>
      <c r="L328" s="455">
        <f t="shared" ca="1" si="28"/>
        <v>3019814.9957861011</v>
      </c>
      <c r="M328" s="471">
        <f t="shared" si="30"/>
        <v>0.05</v>
      </c>
      <c r="N328" s="475">
        <f t="shared" si="31"/>
        <v>61029</v>
      </c>
    </row>
    <row r="329" spans="7:14" ht="11.25" customHeight="1" x14ac:dyDescent="0.3">
      <c r="G329" s="470">
        <f t="shared" si="36"/>
        <v>27</v>
      </c>
      <c r="H329" s="470">
        <v>322</v>
      </c>
      <c r="I329" s="455">
        <f t="shared" ca="1" si="29"/>
        <v>3019814.9957861011</v>
      </c>
      <c r="J329" s="455">
        <f t="array" ref="J329">IFERROR(INDEX('Retirement Calculator'!J:J,MATCH('Isaac 401k'!N329,'Retirement Calculator'!A:A,0),0),0)</f>
        <v>6404.7404596389215</v>
      </c>
      <c r="K329" s="455">
        <f t="shared" ca="1" si="27"/>
        <v>12555.876063860258</v>
      </c>
      <c r="L329" s="455">
        <f t="shared" ca="1" si="28"/>
        <v>3025966.1313903225</v>
      </c>
      <c r="M329" s="471">
        <f t="shared" si="30"/>
        <v>0.05</v>
      </c>
      <c r="N329" s="475">
        <f t="shared" si="31"/>
        <v>61057</v>
      </c>
    </row>
    <row r="330" spans="7:14" ht="11.25" customHeight="1" x14ac:dyDescent="0.3">
      <c r="G330" s="470">
        <f t="shared" si="36"/>
        <v>27</v>
      </c>
      <c r="H330" s="470">
        <v>323</v>
      </c>
      <c r="I330" s="455">
        <f t="shared" ca="1" si="29"/>
        <v>3025966.1313903225</v>
      </c>
      <c r="J330" s="455">
        <f t="array" ref="J330">IFERROR(INDEX('Retirement Calculator'!J:J,MATCH('Isaac 401k'!N330,'Retirement Calculator'!A:A,0),0),0)</f>
        <v>6404.7404596389215</v>
      </c>
      <c r="K330" s="455">
        <f t="shared" ca="1" si="27"/>
        <v>12581.505795544514</v>
      </c>
      <c r="L330" s="455">
        <f t="shared" ca="1" si="28"/>
        <v>3032142.8967262278</v>
      </c>
      <c r="M330" s="471">
        <f t="shared" si="30"/>
        <v>0.05</v>
      </c>
      <c r="N330" s="475">
        <f t="shared" si="31"/>
        <v>61088</v>
      </c>
    </row>
    <row r="331" spans="7:14" ht="11.25" customHeight="1" x14ac:dyDescent="0.3">
      <c r="G331" s="470">
        <f t="shared" si="36"/>
        <v>27</v>
      </c>
      <c r="H331" s="470">
        <v>324</v>
      </c>
      <c r="I331" s="455">
        <f t="shared" ca="1" si="29"/>
        <v>3032142.8967262278</v>
      </c>
      <c r="J331" s="455">
        <f t="array" ref="J331">IFERROR(INDEX('Retirement Calculator'!J:J,MATCH('Isaac 401k'!N331,'Retirement Calculator'!A:A,0),0),0)</f>
        <v>6404.7404596389215</v>
      </c>
      <c r="K331" s="455">
        <f t="shared" ca="1" si="27"/>
        <v>12607.242317777453</v>
      </c>
      <c r="L331" s="455">
        <f t="shared" ca="1" si="28"/>
        <v>3038345.3985843663</v>
      </c>
      <c r="M331" s="471">
        <f t="shared" si="30"/>
        <v>0.05</v>
      </c>
      <c r="N331" s="475">
        <f t="shared" si="31"/>
        <v>61118</v>
      </c>
    </row>
    <row r="332" spans="7:14" ht="11.25" customHeight="1" x14ac:dyDescent="0.3">
      <c r="G332" s="470">
        <f>G331+1</f>
        <v>28</v>
      </c>
      <c r="H332" s="470">
        <v>325</v>
      </c>
      <c r="I332" s="455">
        <f t="shared" ca="1" si="29"/>
        <v>3038345.3985843663</v>
      </c>
      <c r="J332" s="455">
        <f t="array" ref="J332">IFERROR(INDEX('Retirement Calculator'!J:J,MATCH('Isaac 401k'!N332,'Retirement Calculator'!A:A,0),0),0)</f>
        <v>6404.7404596389215</v>
      </c>
      <c r="K332" s="455">
        <f t="shared" ca="1" si="27"/>
        <v>12633.086075519697</v>
      </c>
      <c r="L332" s="455">
        <f t="shared" ca="1" si="28"/>
        <v>3044573.7442002469</v>
      </c>
      <c r="M332" s="471">
        <f t="shared" si="30"/>
        <v>0.05</v>
      </c>
      <c r="N332" s="475">
        <f t="shared" si="31"/>
        <v>61149</v>
      </c>
    </row>
    <row r="333" spans="7:14" ht="11.25" customHeight="1" x14ac:dyDescent="0.3">
      <c r="G333" s="470">
        <f t="shared" ref="G333:G343" si="37">G332</f>
        <v>28</v>
      </c>
      <c r="H333" s="470">
        <v>326</v>
      </c>
      <c r="I333" s="455">
        <f t="shared" ca="1" si="29"/>
        <v>3044573.7442002469</v>
      </c>
      <c r="J333" s="455">
        <f t="array" ref="J333">IFERROR(INDEX('Retirement Calculator'!J:J,MATCH('Isaac 401k'!N333,'Retirement Calculator'!A:A,0),0),0)</f>
        <v>6404.7404596389215</v>
      </c>
      <c r="K333" s="455">
        <f t="shared" ca="1" si="27"/>
        <v>12659.037515585866</v>
      </c>
      <c r="L333" s="455">
        <f t="shared" ca="1" si="28"/>
        <v>3050828.0412561935</v>
      </c>
      <c r="M333" s="471">
        <f t="shared" si="30"/>
        <v>0.05</v>
      </c>
      <c r="N333" s="475">
        <f t="shared" si="31"/>
        <v>61179</v>
      </c>
    </row>
    <row r="334" spans="7:14" ht="11.25" customHeight="1" x14ac:dyDescent="0.3">
      <c r="G334" s="470">
        <f t="shared" si="37"/>
        <v>28</v>
      </c>
      <c r="H334" s="470">
        <v>327</v>
      </c>
      <c r="I334" s="455">
        <f t="shared" ca="1" si="29"/>
        <v>3050828.0412561935</v>
      </c>
      <c r="J334" s="455">
        <f t="array" ref="J334">IFERROR(INDEX('Retirement Calculator'!J:J,MATCH('Isaac 401k'!N334,'Retirement Calculator'!A:A,0),0),0)</f>
        <v>6404.7404596389215</v>
      </c>
      <c r="K334" s="455">
        <f t="shared" ca="1" si="27"/>
        <v>12685.097086652309</v>
      </c>
      <c r="L334" s="455">
        <f t="shared" ca="1" si="28"/>
        <v>3057108.3978832066</v>
      </c>
      <c r="M334" s="471">
        <f t="shared" si="30"/>
        <v>0.05</v>
      </c>
      <c r="N334" s="475">
        <f t="shared" si="31"/>
        <v>61210</v>
      </c>
    </row>
    <row r="335" spans="7:14" ht="11.25" customHeight="1" x14ac:dyDescent="0.3">
      <c r="G335" s="470">
        <f t="shared" si="37"/>
        <v>28</v>
      </c>
      <c r="H335" s="470">
        <v>328</v>
      </c>
      <c r="I335" s="455">
        <f t="shared" ca="1" si="29"/>
        <v>3057108.3978832066</v>
      </c>
      <c r="J335" s="455">
        <f t="array" ref="J335">IFERROR(INDEX('Retirement Calculator'!J:J,MATCH('Isaac 401k'!N335,'Retirement Calculator'!A:A,0),0),0)</f>
        <v>6404.7404596389215</v>
      </c>
      <c r="K335" s="455">
        <f t="shared" ca="1" si="27"/>
        <v>12711.265239264865</v>
      </c>
      <c r="L335" s="455">
        <f t="shared" ca="1" si="28"/>
        <v>3063414.9226628323</v>
      </c>
      <c r="M335" s="471">
        <f t="shared" si="30"/>
        <v>0.05</v>
      </c>
      <c r="N335" s="475">
        <f t="shared" si="31"/>
        <v>61241</v>
      </c>
    </row>
    <row r="336" spans="7:14" ht="11.25" customHeight="1" x14ac:dyDescent="0.3">
      <c r="G336" s="470">
        <f t="shared" si="37"/>
        <v>28</v>
      </c>
      <c r="H336" s="470">
        <v>329</v>
      </c>
      <c r="I336" s="455">
        <f t="shared" ca="1" si="29"/>
        <v>3063414.9226628323</v>
      </c>
      <c r="J336" s="455">
        <f t="array" ref="J336">IFERROR(INDEX('Retirement Calculator'!J:J,MATCH('Isaac 401k'!N336,'Retirement Calculator'!A:A,0),0),0)</f>
        <v>6404.7404596389215</v>
      </c>
      <c r="K336" s="455">
        <f t="shared" ca="1" si="27"/>
        <v>12737.542425846637</v>
      </c>
      <c r="L336" s="455">
        <f t="shared" ca="1" si="28"/>
        <v>3069747.7246290399</v>
      </c>
      <c r="M336" s="471">
        <f t="shared" si="30"/>
        <v>0.05</v>
      </c>
      <c r="N336" s="475">
        <f t="shared" si="31"/>
        <v>61271</v>
      </c>
    </row>
    <row r="337" spans="7:14" ht="11.25" customHeight="1" x14ac:dyDescent="0.3">
      <c r="G337" s="470">
        <f t="shared" si="37"/>
        <v>28</v>
      </c>
      <c r="H337" s="470">
        <v>330</v>
      </c>
      <c r="I337" s="455">
        <f t="shared" ca="1" si="29"/>
        <v>3069747.7246290399</v>
      </c>
      <c r="J337" s="455">
        <f t="array" ref="J337">IFERROR(INDEX('Retirement Calculator'!J:J,MATCH('Isaac 401k'!N337,'Retirement Calculator'!A:A,0),0),0)</f>
        <v>6404.7404596389215</v>
      </c>
      <c r="K337" s="455">
        <f t="shared" ca="1" si="27"/>
        <v>12763.929100705836</v>
      </c>
      <c r="L337" s="455">
        <f t="shared" ca="1" si="28"/>
        <v>3076106.9132701065</v>
      </c>
      <c r="M337" s="471">
        <f t="shared" si="30"/>
        <v>0.05</v>
      </c>
      <c r="N337" s="475">
        <f t="shared" si="31"/>
        <v>61302</v>
      </c>
    </row>
    <row r="338" spans="7:14" ht="11.25" customHeight="1" x14ac:dyDescent="0.3">
      <c r="G338" s="470">
        <f t="shared" si="37"/>
        <v>28</v>
      </c>
      <c r="H338" s="470">
        <v>331</v>
      </c>
      <c r="I338" s="455">
        <f t="shared" ca="1" si="29"/>
        <v>3076106.9132701065</v>
      </c>
      <c r="J338" s="455">
        <f t="array" ref="J338">IFERROR(INDEX('Retirement Calculator'!J:J,MATCH('Isaac 401k'!N338,'Retirement Calculator'!A:A,0),0),0)</f>
        <v>6404.7404596389215</v>
      </c>
      <c r="K338" s="455">
        <f t="shared" ca="1" si="27"/>
        <v>12790.425720043615</v>
      </c>
      <c r="L338" s="455">
        <f t="shared" ca="1" si="28"/>
        <v>3082492.5985305109</v>
      </c>
      <c r="M338" s="471">
        <f t="shared" si="30"/>
        <v>0.05</v>
      </c>
      <c r="N338" s="475">
        <f t="shared" si="31"/>
        <v>61332</v>
      </c>
    </row>
    <row r="339" spans="7:14" ht="11.25" customHeight="1" x14ac:dyDescent="0.3">
      <c r="G339" s="470">
        <f t="shared" si="37"/>
        <v>28</v>
      </c>
      <c r="H339" s="470">
        <v>332</v>
      </c>
      <c r="I339" s="455">
        <f t="shared" ca="1" si="29"/>
        <v>3082492.5985305109</v>
      </c>
      <c r="J339" s="455">
        <f t="array" ref="J339">IFERROR(INDEX('Retirement Calculator'!J:J,MATCH('Isaac 401k'!N339,'Retirement Calculator'!A:A,0),0),0)</f>
        <v>6404.7404596389215</v>
      </c>
      <c r="K339" s="455">
        <f t="shared" ca="1" si="27"/>
        <v>12817.032741961966</v>
      </c>
      <c r="L339" s="455">
        <f t="shared" ca="1" si="28"/>
        <v>3088904.8908128338</v>
      </c>
      <c r="M339" s="471">
        <f t="shared" si="30"/>
        <v>0.05</v>
      </c>
      <c r="N339" s="475">
        <f t="shared" si="31"/>
        <v>61363</v>
      </c>
    </row>
    <row r="340" spans="7:14" ht="11.25" customHeight="1" x14ac:dyDescent="0.3">
      <c r="G340" s="470">
        <f t="shared" si="37"/>
        <v>28</v>
      </c>
      <c r="H340" s="470">
        <v>333</v>
      </c>
      <c r="I340" s="455">
        <f t="shared" ca="1" si="29"/>
        <v>3088904.8908128338</v>
      </c>
      <c r="J340" s="455">
        <f t="array" ref="J340">IFERROR(INDEX('Retirement Calculator'!J:J,MATCH('Isaac 401k'!N340,'Retirement Calculator'!A:A,0),0),0)</f>
        <v>6404.7404596389215</v>
      </c>
      <c r="K340" s="455">
        <f t="shared" ca="1" si="27"/>
        <v>12843.750626471645</v>
      </c>
      <c r="L340" s="455">
        <f t="shared" ca="1" si="28"/>
        <v>3095343.9009796665</v>
      </c>
      <c r="M340" s="471">
        <f t="shared" si="30"/>
        <v>0.05</v>
      </c>
      <c r="N340" s="475">
        <f t="shared" si="31"/>
        <v>61394</v>
      </c>
    </row>
    <row r="341" spans="7:14" ht="11.25" customHeight="1" x14ac:dyDescent="0.3">
      <c r="G341" s="470">
        <f t="shared" si="37"/>
        <v>28</v>
      </c>
      <c r="H341" s="470">
        <v>334</v>
      </c>
      <c r="I341" s="455">
        <f t="shared" ca="1" si="29"/>
        <v>3095343.9009796665</v>
      </c>
      <c r="J341" s="455">
        <f t="array" ref="J341">IFERROR(INDEX('Retirement Calculator'!J:J,MATCH('Isaac 401k'!N341,'Retirement Calculator'!A:A,0),0),0)</f>
        <v>6404.7404596389215</v>
      </c>
      <c r="K341" s="455">
        <f t="shared" ca="1" si="27"/>
        <v>12870.579835500113</v>
      </c>
      <c r="L341" s="455">
        <f t="shared" ca="1" si="28"/>
        <v>3101809.7403555275</v>
      </c>
      <c r="M341" s="471">
        <f t="shared" si="30"/>
        <v>0.05</v>
      </c>
      <c r="N341" s="475">
        <f t="shared" si="31"/>
        <v>61423</v>
      </c>
    </row>
    <row r="342" spans="7:14" ht="11.25" customHeight="1" x14ac:dyDescent="0.3">
      <c r="G342" s="470">
        <f t="shared" si="37"/>
        <v>28</v>
      </c>
      <c r="H342" s="470">
        <v>335</v>
      </c>
      <c r="I342" s="455">
        <f t="shared" ca="1" si="29"/>
        <v>3101809.7403555275</v>
      </c>
      <c r="J342" s="455">
        <f t="array" ref="J342">IFERROR(INDEX('Retirement Calculator'!J:J,MATCH('Isaac 401k'!N342,'Retirement Calculator'!A:A,0),0),0)</f>
        <v>6404.7404596389215</v>
      </c>
      <c r="K342" s="455">
        <f t="shared" ca="1" si="27"/>
        <v>12897.520832899534</v>
      </c>
      <c r="L342" s="455">
        <f t="shared" ca="1" si="28"/>
        <v>3108302.5207287879</v>
      </c>
      <c r="M342" s="471">
        <f t="shared" si="30"/>
        <v>0.05</v>
      </c>
      <c r="N342" s="475">
        <f t="shared" si="31"/>
        <v>61454</v>
      </c>
    </row>
    <row r="343" spans="7:14" ht="11.25" customHeight="1" x14ac:dyDescent="0.3">
      <c r="G343" s="470">
        <f t="shared" si="37"/>
        <v>28</v>
      </c>
      <c r="H343" s="470">
        <v>336</v>
      </c>
      <c r="I343" s="455">
        <f t="shared" ca="1" si="29"/>
        <v>3108302.5207287879</v>
      </c>
      <c r="J343" s="455">
        <f t="array" ref="J343">IFERROR(INDEX('Retirement Calculator'!J:J,MATCH('Isaac 401k'!N343,'Retirement Calculator'!A:A,0),0),0)</f>
        <v>6404.7404596389215</v>
      </c>
      <c r="K343" s="455">
        <f t="shared" ca="1" si="27"/>
        <v>12924.574084454787</v>
      </c>
      <c r="L343" s="455">
        <f t="shared" ca="1" si="28"/>
        <v>3114822.3543536034</v>
      </c>
      <c r="M343" s="471">
        <f t="shared" si="30"/>
        <v>0.05</v>
      </c>
      <c r="N343" s="475">
        <f t="shared" si="31"/>
        <v>61484</v>
      </c>
    </row>
    <row r="344" spans="7:14" ht="11.25" customHeight="1" x14ac:dyDescent="0.3">
      <c r="G344" s="470">
        <f>G343+1</f>
        <v>29</v>
      </c>
      <c r="H344" s="470">
        <v>337</v>
      </c>
      <c r="I344" s="455">
        <f t="shared" ca="1" si="29"/>
        <v>3114822.3543536034</v>
      </c>
      <c r="J344" s="455">
        <f t="array" ref="J344">IFERROR(INDEX('Retirement Calculator'!J:J,MATCH('Isaac 401k'!N344,'Retirement Calculator'!A:A,0),0),0)</f>
        <v>6404.7404596389215</v>
      </c>
      <c r="K344" s="455">
        <f t="shared" ca="1" si="27"/>
        <v>12951.740057891519</v>
      </c>
      <c r="L344" s="455">
        <f t="shared" ca="1" si="28"/>
        <v>3121369.353951856</v>
      </c>
      <c r="M344" s="471">
        <f t="shared" si="30"/>
        <v>0.05</v>
      </c>
      <c r="N344" s="475">
        <f t="shared" si="31"/>
        <v>61515</v>
      </c>
    </row>
    <row r="345" spans="7:14" ht="11.25" customHeight="1" x14ac:dyDescent="0.3">
      <c r="G345" s="470">
        <f t="shared" ref="G345:G355" si="38">G344</f>
        <v>29</v>
      </c>
      <c r="H345" s="470">
        <v>338</v>
      </c>
      <c r="I345" s="455">
        <f t="shared" ca="1" si="29"/>
        <v>3121369.353951856</v>
      </c>
      <c r="J345" s="455">
        <f t="array" ref="J345">IFERROR(INDEX('Retirement Calculator'!J:J,MATCH('Isaac 401k'!N345,'Retirement Calculator'!A:A,0),0),0)</f>
        <v>6404.7404596389215</v>
      </c>
      <c r="K345" s="455">
        <f t="shared" ca="1" si="27"/>
        <v>12979.019222884237</v>
      </c>
      <c r="L345" s="455">
        <f t="shared" ca="1" si="28"/>
        <v>3127943.6327151014</v>
      </c>
      <c r="M345" s="471">
        <f t="shared" si="30"/>
        <v>0.05</v>
      </c>
      <c r="N345" s="475">
        <f t="shared" si="31"/>
        <v>61545</v>
      </c>
    </row>
    <row r="346" spans="7:14" ht="11.25" customHeight="1" x14ac:dyDescent="0.3">
      <c r="G346" s="470">
        <f t="shared" si="38"/>
        <v>29</v>
      </c>
      <c r="H346" s="470">
        <v>339</v>
      </c>
      <c r="I346" s="455">
        <f t="shared" ca="1" si="29"/>
        <v>3127943.6327151014</v>
      </c>
      <c r="J346" s="455">
        <f t="array" ref="J346">IFERROR(INDEX('Retirement Calculator'!J:J,MATCH('Isaac 401k'!N346,'Retirement Calculator'!A:A,0),0),0)</f>
        <v>6404.7404596389215</v>
      </c>
      <c r="K346" s="455">
        <f t="shared" ca="1" si="27"/>
        <v>13006.412051064426</v>
      </c>
      <c r="L346" s="455">
        <f t="shared" ca="1" si="28"/>
        <v>3134545.3043065267</v>
      </c>
      <c r="M346" s="471">
        <f t="shared" si="30"/>
        <v>0.05</v>
      </c>
      <c r="N346" s="475">
        <f t="shared" si="31"/>
        <v>61576</v>
      </c>
    </row>
    <row r="347" spans="7:14" ht="11.25" customHeight="1" x14ac:dyDescent="0.3">
      <c r="G347" s="470">
        <f t="shared" si="38"/>
        <v>29</v>
      </c>
      <c r="H347" s="470">
        <v>340</v>
      </c>
      <c r="I347" s="455">
        <f t="shared" ca="1" si="29"/>
        <v>3134545.3043065267</v>
      </c>
      <c r="J347" s="455">
        <f t="array" ref="J347">IFERROR(INDEX('Retirement Calculator'!J:J,MATCH('Isaac 401k'!N347,'Retirement Calculator'!A:A,0),0),0)</f>
        <v>6404.7404596389215</v>
      </c>
      <c r="K347" s="455">
        <f t="shared" ca="1" si="27"/>
        <v>13033.919016028698</v>
      </c>
      <c r="L347" s="455">
        <f t="shared" ca="1" si="28"/>
        <v>3141174.4828629163</v>
      </c>
      <c r="M347" s="471">
        <f t="shared" si="30"/>
        <v>0.05</v>
      </c>
      <c r="N347" s="475">
        <f t="shared" si="31"/>
        <v>61607</v>
      </c>
    </row>
    <row r="348" spans="7:14" ht="11.25" customHeight="1" x14ac:dyDescent="0.3">
      <c r="G348" s="470">
        <f t="shared" si="38"/>
        <v>29</v>
      </c>
      <c r="H348" s="470">
        <v>341</v>
      </c>
      <c r="I348" s="455">
        <f t="shared" ca="1" si="29"/>
        <v>3141174.4828629163</v>
      </c>
      <c r="J348" s="455">
        <f t="array" ref="J348">IFERROR(INDEX('Retirement Calculator'!J:J,MATCH('Isaac 401k'!N348,'Retirement Calculator'!A:A,0),0),0)</f>
        <v>6404.7404596389215</v>
      </c>
      <c r="K348" s="455">
        <f t="shared" ca="1" si="27"/>
        <v>13061.540593346988</v>
      </c>
      <c r="L348" s="455">
        <f t="shared" ca="1" si="28"/>
        <v>3147831.2829966242</v>
      </c>
      <c r="M348" s="471">
        <f t="shared" si="30"/>
        <v>0.05</v>
      </c>
      <c r="N348" s="475">
        <f t="shared" si="31"/>
        <v>61637</v>
      </c>
    </row>
    <row r="349" spans="7:14" ht="11.25" customHeight="1" x14ac:dyDescent="0.3">
      <c r="G349" s="470">
        <f t="shared" si="38"/>
        <v>29</v>
      </c>
      <c r="H349" s="470">
        <v>342</v>
      </c>
      <c r="I349" s="455">
        <f t="shared" ca="1" si="29"/>
        <v>3147831.2829966242</v>
      </c>
      <c r="J349" s="455">
        <f t="array" ref="J349">IFERROR(INDEX('Retirement Calculator'!J:J,MATCH('Isaac 401k'!N349,'Retirement Calculator'!A:A,0),0),0)</f>
        <v>6404.7404596389215</v>
      </c>
      <c r="K349" s="455">
        <f t="shared" ca="1" si="27"/>
        <v>13089.277260570771</v>
      </c>
      <c r="L349" s="455">
        <f t="shared" ca="1" si="28"/>
        <v>3154515.8197975559</v>
      </c>
      <c r="M349" s="471">
        <f t="shared" si="30"/>
        <v>0.05</v>
      </c>
      <c r="N349" s="475">
        <f t="shared" si="31"/>
        <v>61668</v>
      </c>
    </row>
    <row r="350" spans="7:14" ht="11.25" customHeight="1" x14ac:dyDescent="0.3">
      <c r="G350" s="470">
        <f t="shared" si="38"/>
        <v>29</v>
      </c>
      <c r="H350" s="470">
        <v>343</v>
      </c>
      <c r="I350" s="455">
        <f t="shared" ca="1" si="29"/>
        <v>3154515.8197975559</v>
      </c>
      <c r="J350" s="455">
        <f t="array" ref="J350">IFERROR(INDEX('Retirement Calculator'!J:J,MATCH('Isaac 401k'!N350,'Retirement Calculator'!A:A,0),0),0)</f>
        <v>6404.7404596389215</v>
      </c>
      <c r="K350" s="455">
        <f t="shared" ca="1" si="27"/>
        <v>13117.12949724132</v>
      </c>
      <c r="L350" s="455">
        <f t="shared" ca="1" si="28"/>
        <v>3161228.208835158</v>
      </c>
      <c r="M350" s="471">
        <f t="shared" si="30"/>
        <v>0.05</v>
      </c>
      <c r="N350" s="475">
        <f t="shared" si="31"/>
        <v>61698</v>
      </c>
    </row>
    <row r="351" spans="7:14" ht="11.25" customHeight="1" x14ac:dyDescent="0.3">
      <c r="G351" s="470">
        <f t="shared" si="38"/>
        <v>29</v>
      </c>
      <c r="H351" s="470">
        <v>344</v>
      </c>
      <c r="I351" s="455">
        <f t="shared" ca="1" si="29"/>
        <v>3161228.208835158</v>
      </c>
      <c r="J351" s="455">
        <f t="array" ref="J351">IFERROR(INDEX('Retirement Calculator'!J:J,MATCH('Isaac 401k'!N351,'Retirement Calculator'!A:A,0),0),0)</f>
        <v>6404.7404596389215</v>
      </c>
      <c r="K351" s="455">
        <f t="shared" ca="1" si="27"/>
        <v>13145.097784897995</v>
      </c>
      <c r="L351" s="455">
        <f t="shared" ca="1" si="28"/>
        <v>3167968.5661604167</v>
      </c>
      <c r="M351" s="471">
        <f t="shared" si="30"/>
        <v>0.05</v>
      </c>
      <c r="N351" s="475">
        <f t="shared" si="31"/>
        <v>61729</v>
      </c>
    </row>
    <row r="352" spans="7:14" ht="11.25" customHeight="1" x14ac:dyDescent="0.3">
      <c r="G352" s="470">
        <f t="shared" si="38"/>
        <v>29</v>
      </c>
      <c r="H352" s="470">
        <v>345</v>
      </c>
      <c r="I352" s="455">
        <f t="shared" ca="1" si="29"/>
        <v>3167968.5661604167</v>
      </c>
      <c r="J352" s="455">
        <f t="array" ref="J352">IFERROR(INDEX('Retirement Calculator'!J:J,MATCH('Isaac 401k'!N352,'Retirement Calculator'!A:A,0),0),0)</f>
        <v>6404.7404596389215</v>
      </c>
      <c r="K352" s="455">
        <f t="shared" ca="1" si="27"/>
        <v>13173.182607086574</v>
      </c>
      <c r="L352" s="455">
        <f t="shared" ca="1" si="28"/>
        <v>3174737.008307864</v>
      </c>
      <c r="M352" s="471">
        <f t="shared" si="30"/>
        <v>0.05</v>
      </c>
      <c r="N352" s="475">
        <f t="shared" si="31"/>
        <v>61760</v>
      </c>
    </row>
    <row r="353" spans="7:14" ht="11.25" customHeight="1" x14ac:dyDescent="0.3">
      <c r="G353" s="470">
        <f t="shared" si="38"/>
        <v>29</v>
      </c>
      <c r="H353" s="470">
        <v>346</v>
      </c>
      <c r="I353" s="455">
        <f t="shared" ca="1" si="29"/>
        <v>3174737.008307864</v>
      </c>
      <c r="J353" s="455">
        <f t="array" ref="J353">IFERROR(INDEX('Retirement Calculator'!J:J,MATCH('Isaac 401k'!N353,'Retirement Calculator'!A:A,0),0),0)</f>
        <v>6404.7404596389215</v>
      </c>
      <c r="K353" s="455">
        <f t="shared" ca="1" si="27"/>
        <v>13201.384449367602</v>
      </c>
      <c r="L353" s="455">
        <f t="shared" ca="1" si="28"/>
        <v>3181533.6522975923</v>
      </c>
      <c r="M353" s="471">
        <f t="shared" si="30"/>
        <v>0.05</v>
      </c>
      <c r="N353" s="475">
        <f t="shared" si="31"/>
        <v>61788</v>
      </c>
    </row>
    <row r="354" spans="7:14" ht="11.25" customHeight="1" x14ac:dyDescent="0.3">
      <c r="G354" s="470">
        <f t="shared" si="38"/>
        <v>29</v>
      </c>
      <c r="H354" s="470">
        <v>347</v>
      </c>
      <c r="I354" s="455">
        <f t="shared" ca="1" si="29"/>
        <v>3181533.6522975923</v>
      </c>
      <c r="J354" s="455">
        <f t="array" ref="J354">IFERROR(INDEX('Retirement Calculator'!J:J,MATCH('Isaac 401k'!N354,'Retirement Calculator'!A:A,0),0),0)</f>
        <v>6404.7404596389215</v>
      </c>
      <c r="K354" s="455">
        <f t="shared" ca="1" si="27"/>
        <v>13229.703799324805</v>
      </c>
      <c r="L354" s="455">
        <f t="shared" ca="1" si="28"/>
        <v>3188358.6156372777</v>
      </c>
      <c r="M354" s="471">
        <f t="shared" si="30"/>
        <v>0.05</v>
      </c>
      <c r="N354" s="475">
        <f t="shared" si="31"/>
        <v>61819</v>
      </c>
    </row>
    <row r="355" spans="7:14" ht="11.25" customHeight="1" x14ac:dyDescent="0.3">
      <c r="G355" s="470">
        <f t="shared" si="38"/>
        <v>29</v>
      </c>
      <c r="H355" s="470">
        <v>348</v>
      </c>
      <c r="I355" s="455">
        <f t="shared" ca="1" si="29"/>
        <v>3188358.6156372777</v>
      </c>
      <c r="J355" s="455">
        <f t="array" ref="J355">IFERROR(INDEX('Retirement Calculator'!J:J,MATCH('Isaac 401k'!N355,'Retirement Calculator'!A:A,0),0),0)</f>
        <v>6404.7404596389215</v>
      </c>
      <c r="K355" s="455">
        <f t="shared" ca="1" si="27"/>
        <v>13258.141146573495</v>
      </c>
      <c r="L355" s="455">
        <f t="shared" ca="1" si="28"/>
        <v>3195212.0163242123</v>
      </c>
      <c r="M355" s="471">
        <f t="shared" si="30"/>
        <v>0.05</v>
      </c>
      <c r="N355" s="475">
        <f t="shared" si="31"/>
        <v>61849</v>
      </c>
    </row>
    <row r="356" spans="7:14" ht="11.25" customHeight="1" x14ac:dyDescent="0.3">
      <c r="G356" s="470">
        <f>G355+1</f>
        <v>30</v>
      </c>
      <c r="H356" s="470">
        <v>349</v>
      </c>
      <c r="I356" s="455">
        <f t="shared" ca="1" si="29"/>
        <v>3195212.0163242123</v>
      </c>
      <c r="J356" s="455">
        <f t="array" ref="J356">IFERROR(INDEX('Retirement Calculator'!J:J,MATCH('Isaac 401k'!N356,'Retirement Calculator'!A:A,0),0),0)</f>
        <v>6404.7404596389215</v>
      </c>
      <c r="K356" s="455">
        <f t="shared" ca="1" si="27"/>
        <v>13286.696982769055</v>
      </c>
      <c r="L356" s="455">
        <f t="shared" ca="1" si="28"/>
        <v>3202093.972847342</v>
      </c>
      <c r="M356" s="471">
        <f t="shared" si="30"/>
        <v>0.05</v>
      </c>
      <c r="N356" s="475">
        <f t="shared" si="31"/>
        <v>61880</v>
      </c>
    </row>
    <row r="357" spans="7:14" ht="11.25" customHeight="1" x14ac:dyDescent="0.3">
      <c r="G357" s="470">
        <f t="shared" ref="G357:G367" si="39">G356</f>
        <v>30</v>
      </c>
      <c r="H357" s="470">
        <v>350</v>
      </c>
      <c r="I357" s="455">
        <f t="shared" ca="1" si="29"/>
        <v>3202093.972847342</v>
      </c>
      <c r="J357" s="455">
        <f t="array" ref="J357">IFERROR(INDEX('Retirement Calculator'!J:J,MATCH('Isaac 401k'!N357,'Retirement Calculator'!A:A,0),0),0)</f>
        <v>6404.7404596389215</v>
      </c>
      <c r="K357" s="455">
        <f t="shared" ca="1" si="27"/>
        <v>13315.371801615429</v>
      </c>
      <c r="L357" s="455">
        <f t="shared" ca="1" si="28"/>
        <v>3209004.6041893181</v>
      </c>
      <c r="M357" s="471">
        <f t="shared" si="30"/>
        <v>0.05</v>
      </c>
      <c r="N357" s="475">
        <f t="shared" si="31"/>
        <v>61910</v>
      </c>
    </row>
    <row r="358" spans="7:14" ht="11.25" customHeight="1" x14ac:dyDescent="0.3">
      <c r="G358" s="470">
        <f t="shared" si="39"/>
        <v>30</v>
      </c>
      <c r="H358" s="470">
        <v>351</v>
      </c>
      <c r="I358" s="455">
        <f t="shared" ca="1" si="29"/>
        <v>3209004.6041893181</v>
      </c>
      <c r="J358" s="455">
        <f t="array" ref="J358">IFERROR(INDEX('Retirement Calculator'!J:J,MATCH('Isaac 401k'!N358,'Retirement Calculator'!A:A,0),0),0)</f>
        <v>6404.7404596389215</v>
      </c>
      <c r="K358" s="455">
        <f t="shared" ca="1" si="27"/>
        <v>13344.166098873662</v>
      </c>
      <c r="L358" s="455">
        <f t="shared" ca="1" si="28"/>
        <v>3215944.0298285526</v>
      </c>
      <c r="M358" s="471">
        <f t="shared" si="30"/>
        <v>0.05</v>
      </c>
      <c r="N358" s="475">
        <f t="shared" si="31"/>
        <v>61941</v>
      </c>
    </row>
    <row r="359" spans="7:14" ht="11.25" customHeight="1" x14ac:dyDescent="0.3">
      <c r="G359" s="470">
        <f t="shared" si="39"/>
        <v>30</v>
      </c>
      <c r="H359" s="470">
        <v>352</v>
      </c>
      <c r="I359" s="455">
        <f t="shared" ca="1" si="29"/>
        <v>3215944.0298285526</v>
      </c>
      <c r="J359" s="455">
        <f t="array" ref="J359">IFERROR(INDEX('Retirement Calculator'!J:J,MATCH('Isaac 401k'!N359,'Retirement Calculator'!A:A,0),0),0)</f>
        <v>6404.7404596389215</v>
      </c>
      <c r="K359" s="455">
        <f t="shared" ca="1" si="27"/>
        <v>13373.080372370472</v>
      </c>
      <c r="L359" s="455">
        <f t="shared" ca="1" si="28"/>
        <v>3222912.3697412838</v>
      </c>
      <c r="M359" s="471">
        <f t="shared" si="30"/>
        <v>0.05</v>
      </c>
      <c r="N359" s="475">
        <f t="shared" si="31"/>
        <v>61972</v>
      </c>
    </row>
    <row r="360" spans="7:14" ht="11.25" customHeight="1" x14ac:dyDescent="0.3">
      <c r="G360" s="470">
        <f t="shared" si="39"/>
        <v>30</v>
      </c>
      <c r="H360" s="470">
        <v>353</v>
      </c>
      <c r="I360" s="455">
        <f t="shared" ca="1" si="29"/>
        <v>3222912.3697412838</v>
      </c>
      <c r="J360" s="455">
        <f t="array" ref="J360">IFERROR(INDEX('Retirement Calculator'!J:J,MATCH('Isaac 401k'!N360,'Retirement Calculator'!A:A,0),0),0)</f>
        <v>6404.7404596389215</v>
      </c>
      <c r="K360" s="455">
        <f t="shared" ca="1" si="27"/>
        <v>13402.115122006853</v>
      </c>
      <c r="L360" s="455">
        <f t="shared" ca="1" si="28"/>
        <v>3229909.7444036514</v>
      </c>
      <c r="M360" s="471">
        <f t="shared" si="30"/>
        <v>0.05</v>
      </c>
      <c r="N360" s="475">
        <f t="shared" si="31"/>
        <v>62002</v>
      </c>
    </row>
    <row r="361" spans="7:14" ht="11.25" customHeight="1" x14ac:dyDescent="0.3">
      <c r="G361" s="470">
        <f t="shared" si="39"/>
        <v>30</v>
      </c>
      <c r="H361" s="470">
        <v>354</v>
      </c>
      <c r="I361" s="455">
        <f t="shared" ca="1" si="29"/>
        <v>3229909.7444036514</v>
      </c>
      <c r="J361" s="455">
        <f t="array" ref="J361">IFERROR(INDEX('Retirement Calculator'!J:J,MATCH('Isaac 401k'!N361,'Retirement Calculator'!A:A,0),0),0)</f>
        <v>6404.7404596389215</v>
      </c>
      <c r="K361" s="455">
        <f t="shared" ca="1" si="27"/>
        <v>13431.270849766717</v>
      </c>
      <c r="L361" s="455">
        <f t="shared" ca="1" si="28"/>
        <v>3236936.274793779</v>
      </c>
      <c r="M361" s="471">
        <f t="shared" si="30"/>
        <v>0.05</v>
      </c>
      <c r="N361" s="475">
        <f t="shared" si="31"/>
        <v>62033</v>
      </c>
    </row>
    <row r="362" spans="7:14" ht="11.25" customHeight="1" x14ac:dyDescent="0.3">
      <c r="G362" s="470">
        <f t="shared" si="39"/>
        <v>30</v>
      </c>
      <c r="H362" s="470">
        <v>355</v>
      </c>
      <c r="I362" s="455">
        <f t="shared" ca="1" si="29"/>
        <v>3236936.274793779</v>
      </c>
      <c r="J362" s="455">
        <f t="array" ref="J362">IFERROR(INDEX('Retirement Calculator'!J:J,MATCH('Isaac 401k'!N362,'Retirement Calculator'!A:A,0),0),0)</f>
        <v>6404.7404596389215</v>
      </c>
      <c r="K362" s="455">
        <f t="shared" ca="1" si="27"/>
        <v>13460.548059725583</v>
      </c>
      <c r="L362" s="455">
        <f t="shared" ca="1" si="28"/>
        <v>3243992.0823938656</v>
      </c>
      <c r="M362" s="471">
        <f t="shared" si="30"/>
        <v>0.05</v>
      </c>
      <c r="N362" s="475">
        <f t="shared" si="31"/>
        <v>62063</v>
      </c>
    </row>
    <row r="363" spans="7:14" ht="11.25" customHeight="1" x14ac:dyDescent="0.3">
      <c r="G363" s="470">
        <f t="shared" si="39"/>
        <v>30</v>
      </c>
      <c r="H363" s="470">
        <v>356</v>
      </c>
      <c r="I363" s="455">
        <f t="shared" ca="1" si="29"/>
        <v>3243992.0823938656</v>
      </c>
      <c r="J363" s="455">
        <f t="array" ref="J363">IFERROR(INDEX('Retirement Calculator'!J:J,MATCH('Isaac 401k'!N363,'Retirement Calculator'!A:A,0),0),0)</f>
        <v>6404.7404596389215</v>
      </c>
      <c r="K363" s="455">
        <f t="shared" ca="1" si="27"/>
        <v>13489.947258059277</v>
      </c>
      <c r="L363" s="455">
        <f t="shared" ca="1" si="28"/>
        <v>3251077.2891922859</v>
      </c>
      <c r="M363" s="471">
        <f t="shared" si="30"/>
        <v>0.05</v>
      </c>
      <c r="N363" s="475">
        <f t="shared" si="31"/>
        <v>62094</v>
      </c>
    </row>
    <row r="364" spans="7:14" ht="11.25" customHeight="1" x14ac:dyDescent="0.3">
      <c r="G364" s="470">
        <f t="shared" si="39"/>
        <v>30</v>
      </c>
      <c r="H364" s="470">
        <v>357</v>
      </c>
      <c r="I364" s="455">
        <f t="shared" ca="1" si="29"/>
        <v>3251077.2891922859</v>
      </c>
      <c r="J364" s="455">
        <f t="array" ref="J364">IFERROR(INDEX('Retirement Calculator'!J:J,MATCH('Isaac 401k'!N364,'Retirement Calculator'!A:A,0),0),0)</f>
        <v>6404.7404596389215</v>
      </c>
      <c r="K364" s="455">
        <f t="shared" ca="1" si="27"/>
        <v>13519.468953052694</v>
      </c>
      <c r="L364" s="455">
        <f t="shared" ca="1" si="28"/>
        <v>3258192.0176856993</v>
      </c>
      <c r="M364" s="471">
        <f t="shared" si="30"/>
        <v>0.05</v>
      </c>
      <c r="N364" s="475">
        <f t="shared" si="31"/>
        <v>62125</v>
      </c>
    </row>
    <row r="365" spans="7:14" ht="11.25" customHeight="1" x14ac:dyDescent="0.3">
      <c r="G365" s="470">
        <f t="shared" si="39"/>
        <v>30</v>
      </c>
      <c r="H365" s="470">
        <v>358</v>
      </c>
      <c r="I365" s="455">
        <f t="shared" ca="1" si="29"/>
        <v>3258192.0176856993</v>
      </c>
      <c r="J365" s="455">
        <f t="array" ref="J365">IFERROR(INDEX('Retirement Calculator'!J:J,MATCH('Isaac 401k'!N365,'Retirement Calculator'!A:A,0),0),0)</f>
        <v>6404.7404596389215</v>
      </c>
      <c r="K365" s="455">
        <f t="shared" ca="1" si="27"/>
        <v>13549.113655108584</v>
      </c>
      <c r="L365" s="455">
        <f t="shared" ca="1" si="28"/>
        <v>3265336.3908811687</v>
      </c>
      <c r="M365" s="471">
        <f t="shared" si="30"/>
        <v>0.05</v>
      </c>
      <c r="N365" s="475">
        <f t="shared" si="31"/>
        <v>62153</v>
      </c>
    </row>
    <row r="366" spans="7:14" ht="11.25" customHeight="1" x14ac:dyDescent="0.3">
      <c r="G366" s="470">
        <f t="shared" si="39"/>
        <v>30</v>
      </c>
      <c r="H366" s="470">
        <v>359</v>
      </c>
      <c r="I366" s="455">
        <f t="shared" ca="1" si="29"/>
        <v>3265336.3908811687</v>
      </c>
      <c r="J366" s="455">
        <f t="array" ref="J366">IFERROR(INDEX('Retirement Calculator'!J:J,MATCH('Isaac 401k'!N366,'Retirement Calculator'!A:A,0),0),0)</f>
        <v>6404.7404596389215</v>
      </c>
      <c r="K366" s="455">
        <f t="shared" ca="1" si="27"/>
        <v>13578.881876756373</v>
      </c>
      <c r="L366" s="455">
        <f t="shared" ca="1" si="28"/>
        <v>3272510.532298286</v>
      </c>
      <c r="M366" s="471">
        <f t="shared" si="30"/>
        <v>0.05</v>
      </c>
      <c r="N366" s="475">
        <f t="shared" si="31"/>
        <v>62184</v>
      </c>
    </row>
    <row r="367" spans="7:14" ht="11.25" customHeight="1" x14ac:dyDescent="0.3">
      <c r="G367" s="470">
        <f t="shared" si="39"/>
        <v>30</v>
      </c>
      <c r="H367" s="470">
        <v>360</v>
      </c>
      <c r="I367" s="455">
        <f t="shared" ca="1" si="29"/>
        <v>3272510.532298286</v>
      </c>
      <c r="J367" s="455">
        <f t="array" ref="J367">IFERROR(INDEX('Retirement Calculator'!J:J,MATCH('Isaac 401k'!N367,'Retirement Calculator'!A:A,0),0),0)</f>
        <v>6404.7404596389215</v>
      </c>
      <c r="K367" s="455">
        <f t="shared" ca="1" si="27"/>
        <v>13608.774132661028</v>
      </c>
      <c r="L367" s="455">
        <f t="shared" ca="1" si="28"/>
        <v>3279714.5659713079</v>
      </c>
      <c r="M367" s="471">
        <f t="shared" si="30"/>
        <v>0.05</v>
      </c>
      <c r="N367" s="475">
        <f t="shared" si="31"/>
        <v>62214</v>
      </c>
    </row>
    <row r="368" spans="7:14" ht="11.25" customHeight="1" x14ac:dyDescent="0.3">
      <c r="G368" s="470">
        <f>G367+1</f>
        <v>31</v>
      </c>
      <c r="H368" s="470">
        <v>361</v>
      </c>
      <c r="I368" s="455">
        <f t="shared" ca="1" si="29"/>
        <v>3279714.5659713079</v>
      </c>
      <c r="J368" s="455">
        <f t="array" ref="J368">IFERROR(INDEX('Retirement Calculator'!J:J,MATCH('Isaac 401k'!N368,'Retirement Calculator'!A:A,0),0),0)</f>
        <v>6404.7404596389215</v>
      </c>
      <c r="K368" s="455">
        <f t="shared" ca="1" si="27"/>
        <v>13638.790939631952</v>
      </c>
      <c r="L368" s="455">
        <f t="shared" ca="1" si="28"/>
        <v>3286948.6164513007</v>
      </c>
      <c r="M368" s="471">
        <f t="shared" si="30"/>
        <v>0.05</v>
      </c>
      <c r="N368" s="475">
        <f t="shared" si="31"/>
        <v>62245</v>
      </c>
    </row>
    <row r="369" spans="7:14" ht="11.25" customHeight="1" x14ac:dyDescent="0.3">
      <c r="G369" s="470">
        <f t="shared" ref="G369:G379" si="40">G368</f>
        <v>31</v>
      </c>
      <c r="H369" s="470">
        <v>362</v>
      </c>
      <c r="I369" s="455">
        <f t="shared" ca="1" si="29"/>
        <v>3286948.6164513007</v>
      </c>
      <c r="J369" s="455">
        <f t="array" ref="J369">IFERROR(INDEX('Retirement Calculator'!J:J,MATCH('Isaac 401k'!N369,'Retirement Calculator'!A:A,0),0),0)</f>
        <v>6404.7404596389215</v>
      </c>
      <c r="K369" s="455">
        <f t="shared" ca="1" si="27"/>
        <v>13668.932816631925</v>
      </c>
      <c r="L369" s="455">
        <f t="shared" ca="1" si="28"/>
        <v>3294212.8088082937</v>
      </c>
      <c r="M369" s="471">
        <f t="shared" si="30"/>
        <v>0.05</v>
      </c>
      <c r="N369" s="475">
        <f t="shared" si="31"/>
        <v>62275</v>
      </c>
    </row>
    <row r="370" spans="7:14" ht="11.25" customHeight="1" x14ac:dyDescent="0.3">
      <c r="G370" s="470">
        <f t="shared" si="40"/>
        <v>31</v>
      </c>
      <c r="H370" s="470">
        <v>363</v>
      </c>
      <c r="I370" s="455">
        <f t="shared" ca="1" si="29"/>
        <v>3294212.8088082937</v>
      </c>
      <c r="J370" s="455">
        <f t="array" ref="J370">IFERROR(INDEX('Retirement Calculator'!J:J,MATCH('Isaac 401k'!N370,'Retirement Calculator'!A:A,0),0),0)</f>
        <v>6404.7404596389215</v>
      </c>
      <c r="K370" s="455">
        <f t="shared" ca="1" si="27"/>
        <v>13699.200284786059</v>
      </c>
      <c r="L370" s="455">
        <f t="shared" ca="1" si="28"/>
        <v>3301507.2686334406</v>
      </c>
      <c r="M370" s="471">
        <f t="shared" si="30"/>
        <v>0.05</v>
      </c>
      <c r="N370" s="475">
        <f t="shared" si="31"/>
        <v>62306</v>
      </c>
    </row>
    <row r="371" spans="7:14" ht="11.25" customHeight="1" x14ac:dyDescent="0.3">
      <c r="G371" s="470">
        <f t="shared" si="40"/>
        <v>31</v>
      </c>
      <c r="H371" s="470">
        <v>364</v>
      </c>
      <c r="I371" s="455">
        <f t="shared" ca="1" si="29"/>
        <v>3301507.2686334406</v>
      </c>
      <c r="J371" s="455">
        <f t="array" ref="J371">IFERROR(INDEX('Retirement Calculator'!J:J,MATCH('Isaac 401k'!N371,'Retirement Calculator'!A:A,0),0),0)</f>
        <v>6404.7404596389215</v>
      </c>
      <c r="K371" s="455">
        <f t="shared" ca="1" si="27"/>
        <v>13729.593867390839</v>
      </c>
      <c r="L371" s="455">
        <f t="shared" ca="1" si="28"/>
        <v>3308832.1220411924</v>
      </c>
      <c r="M371" s="471">
        <f t="shared" si="30"/>
        <v>0.05</v>
      </c>
      <c r="N371" s="475">
        <f t="shared" si="31"/>
        <v>62337</v>
      </c>
    </row>
    <row r="372" spans="7:14" ht="11.25" customHeight="1" x14ac:dyDescent="0.3">
      <c r="G372" s="470">
        <f t="shared" si="40"/>
        <v>31</v>
      </c>
      <c r="H372" s="470">
        <v>365</v>
      </c>
      <c r="I372" s="455">
        <f t="shared" ca="1" si="29"/>
        <v>3308832.1220411924</v>
      </c>
      <c r="J372" s="455">
        <f t="array" ref="J372">IFERROR(INDEX('Retirement Calculator'!J:J,MATCH('Isaac 401k'!N372,'Retirement Calculator'!A:A,0),0),0)</f>
        <v>6404.7404596389215</v>
      </c>
      <c r="K372" s="455">
        <f t="shared" ca="1" si="27"/>
        <v>13760.11408992314</v>
      </c>
      <c r="L372" s="455">
        <f t="shared" ca="1" si="28"/>
        <v>3316187.4956714762</v>
      </c>
      <c r="M372" s="471">
        <f t="shared" si="30"/>
        <v>0.05</v>
      </c>
      <c r="N372" s="475">
        <f t="shared" si="31"/>
        <v>62367</v>
      </c>
    </row>
    <row r="373" spans="7:14" ht="11.25" customHeight="1" x14ac:dyDescent="0.3">
      <c r="G373" s="470">
        <f t="shared" si="40"/>
        <v>31</v>
      </c>
      <c r="H373" s="470">
        <v>366</v>
      </c>
      <c r="I373" s="455">
        <f t="shared" ca="1" si="29"/>
        <v>3316187.4956714762</v>
      </c>
      <c r="J373" s="455">
        <f t="array" ref="J373">IFERROR(INDEX('Retirement Calculator'!J:J,MATCH('Isaac 401k'!N373,'Retirement Calculator'!A:A,0),0),0)</f>
        <v>6404.7404596389215</v>
      </c>
      <c r="K373" s="455">
        <f t="shared" ca="1" si="27"/>
        <v>13790.761480049323</v>
      </c>
      <c r="L373" s="455">
        <f t="shared" ca="1" si="28"/>
        <v>3323573.5166918864</v>
      </c>
      <c r="M373" s="471">
        <f t="shared" si="30"/>
        <v>0.05</v>
      </c>
      <c r="N373" s="475">
        <f t="shared" si="31"/>
        <v>62398</v>
      </c>
    </row>
    <row r="374" spans="7:14" ht="11.25" customHeight="1" x14ac:dyDescent="0.3">
      <c r="G374" s="470">
        <f t="shared" si="40"/>
        <v>31</v>
      </c>
      <c r="H374" s="470">
        <v>367</v>
      </c>
      <c r="I374" s="455">
        <f t="shared" ca="1" si="29"/>
        <v>3323573.5166918864</v>
      </c>
      <c r="J374" s="455">
        <f t="array" ref="J374">IFERROR(INDEX('Retirement Calculator'!J:J,MATCH('Isaac 401k'!N374,'Retirement Calculator'!A:A,0),0),0)</f>
        <v>6404.7404596389215</v>
      </c>
      <c r="K374" s="455">
        <f t="shared" ca="1" si="27"/>
        <v>13821.536567634363</v>
      </c>
      <c r="L374" s="455">
        <f t="shared" ca="1" si="28"/>
        <v>3330990.3127998817</v>
      </c>
      <c r="M374" s="471">
        <f t="shared" si="30"/>
        <v>0.05</v>
      </c>
      <c r="N374" s="475">
        <f t="shared" si="31"/>
        <v>62428</v>
      </c>
    </row>
    <row r="375" spans="7:14" ht="11.25" customHeight="1" x14ac:dyDescent="0.3">
      <c r="G375" s="470">
        <f t="shared" si="40"/>
        <v>31</v>
      </c>
      <c r="H375" s="470">
        <v>368</v>
      </c>
      <c r="I375" s="455">
        <f t="shared" ca="1" si="29"/>
        <v>3330990.3127998817</v>
      </c>
      <c r="J375" s="455">
        <f t="array" ref="J375">IFERROR(INDEX('Retirement Calculator'!J:J,MATCH('Isaac 401k'!N375,'Retirement Calculator'!A:A,0),0),0)</f>
        <v>6404.7404596389215</v>
      </c>
      <c r="K375" s="455">
        <f t="shared" ca="1" si="27"/>
        <v>13852.439884751011</v>
      </c>
      <c r="L375" s="455">
        <f t="shared" ca="1" si="28"/>
        <v>3338438.0122249937</v>
      </c>
      <c r="M375" s="471">
        <f t="shared" si="30"/>
        <v>0.05</v>
      </c>
      <c r="N375" s="475">
        <f t="shared" si="31"/>
        <v>62459</v>
      </c>
    </row>
    <row r="376" spans="7:14" ht="11.25" customHeight="1" x14ac:dyDescent="0.3">
      <c r="G376" s="470">
        <f t="shared" si="40"/>
        <v>31</v>
      </c>
      <c r="H376" s="470">
        <v>369</v>
      </c>
      <c r="I376" s="455">
        <f t="shared" ca="1" si="29"/>
        <v>3338438.0122249937</v>
      </c>
      <c r="J376" s="455">
        <f t="array" ref="J376">IFERROR(INDEX('Retirement Calculator'!J:J,MATCH('Isaac 401k'!N376,'Retirement Calculator'!A:A,0),0),0)</f>
        <v>6404.7404596389215</v>
      </c>
      <c r="K376" s="455">
        <f t="shared" ca="1" si="27"/>
        <v>13883.471965688979</v>
      </c>
      <c r="L376" s="455">
        <f t="shared" ca="1" si="28"/>
        <v>3345916.7437310433</v>
      </c>
      <c r="M376" s="471">
        <f t="shared" si="30"/>
        <v>0.05</v>
      </c>
      <c r="N376" s="475">
        <f t="shared" si="31"/>
        <v>62490</v>
      </c>
    </row>
    <row r="377" spans="7:14" ht="11.25" customHeight="1" x14ac:dyDescent="0.3">
      <c r="G377" s="470">
        <f t="shared" si="40"/>
        <v>31</v>
      </c>
      <c r="H377" s="470">
        <v>370</v>
      </c>
      <c r="I377" s="455">
        <f t="shared" ca="1" si="29"/>
        <v>3345916.7437310433</v>
      </c>
      <c r="J377" s="455">
        <f t="array" ref="J377">IFERROR(INDEX('Retirement Calculator'!J:J,MATCH('Isaac 401k'!N377,'Retirement Calculator'!A:A,0),0),0)</f>
        <v>6404.7404596389215</v>
      </c>
      <c r="K377" s="455">
        <f t="shared" ca="1" si="27"/>
        <v>13914.633346964183</v>
      </c>
      <c r="L377" s="455">
        <f t="shared" ca="1" si="28"/>
        <v>3353426.6366183683</v>
      </c>
      <c r="M377" s="471">
        <f t="shared" si="30"/>
        <v>0.05</v>
      </c>
      <c r="N377" s="475">
        <f t="shared" si="31"/>
        <v>62518</v>
      </c>
    </row>
    <row r="378" spans="7:14" ht="11.25" customHeight="1" x14ac:dyDescent="0.3">
      <c r="G378" s="470">
        <f t="shared" si="40"/>
        <v>31</v>
      </c>
      <c r="H378" s="470">
        <v>371</v>
      </c>
      <c r="I378" s="455">
        <f t="shared" ca="1" si="29"/>
        <v>3353426.6366183683</v>
      </c>
      <c r="J378" s="455">
        <f t="array" ref="J378">IFERROR(INDEX('Retirement Calculator'!J:J,MATCH('Isaac 401k'!N378,'Retirement Calculator'!A:A,0),0),0)</f>
        <v>6404.7404596389215</v>
      </c>
      <c r="K378" s="455">
        <f t="shared" ca="1" si="27"/>
        <v>13945.924567328037</v>
      </c>
      <c r="L378" s="455">
        <f t="shared" ca="1" si="28"/>
        <v>3360967.820726057</v>
      </c>
      <c r="M378" s="471">
        <f t="shared" si="30"/>
        <v>0.05</v>
      </c>
      <c r="N378" s="475">
        <f t="shared" si="31"/>
        <v>62549</v>
      </c>
    </row>
    <row r="379" spans="7:14" ht="11.25" customHeight="1" x14ac:dyDescent="0.3">
      <c r="G379" s="470">
        <f t="shared" si="40"/>
        <v>31</v>
      </c>
      <c r="H379" s="470">
        <v>372</v>
      </c>
      <c r="I379" s="455">
        <f t="shared" ca="1" si="29"/>
        <v>3360967.820726057</v>
      </c>
      <c r="J379" s="455">
        <f t="array" ref="J379">IFERROR(INDEX('Retirement Calculator'!J:J,MATCH('Isaac 401k'!N379,'Retirement Calculator'!A:A,0),0),0)</f>
        <v>6404.7404596389215</v>
      </c>
      <c r="K379" s="455">
        <f t="shared" ca="1" si="27"/>
        <v>13977.346167776739</v>
      </c>
      <c r="L379" s="455">
        <f t="shared" ca="1" si="28"/>
        <v>3368540.4264341947</v>
      </c>
      <c r="M379" s="471">
        <f t="shared" si="30"/>
        <v>0.05</v>
      </c>
      <c r="N379" s="475">
        <f t="shared" si="31"/>
        <v>62579</v>
      </c>
    </row>
    <row r="380" spans="7:14" ht="11.25" customHeight="1" x14ac:dyDescent="0.3">
      <c r="G380" s="470">
        <f>G379+1</f>
        <v>32</v>
      </c>
      <c r="H380" s="470">
        <v>373</v>
      </c>
      <c r="I380" s="455">
        <f t="shared" ca="1" si="29"/>
        <v>3368540.4264341947</v>
      </c>
      <c r="J380" s="455">
        <f t="array" ref="J380">IFERROR(INDEX('Retirement Calculator'!J:J,MATCH('Isaac 401k'!N380,'Retirement Calculator'!A:A,0),0),0)</f>
        <v>6404.7404596389215</v>
      </c>
      <c r="K380" s="455">
        <f t="shared" ca="1" si="27"/>
        <v>14008.898691560646</v>
      </c>
      <c r="L380" s="455">
        <f t="shared" ca="1" si="28"/>
        <v>3376144.5846661162</v>
      </c>
      <c r="M380" s="471">
        <f t="shared" si="30"/>
        <v>0.05</v>
      </c>
      <c r="N380" s="475">
        <f t="shared" si="31"/>
        <v>62610</v>
      </c>
    </row>
    <row r="381" spans="7:14" ht="11.25" customHeight="1" x14ac:dyDescent="0.3">
      <c r="G381" s="470">
        <f t="shared" ref="G381:G391" si="41">G380</f>
        <v>32</v>
      </c>
      <c r="H381" s="470">
        <v>374</v>
      </c>
      <c r="I381" s="455">
        <f t="shared" ca="1" si="29"/>
        <v>3376144.5846661162</v>
      </c>
      <c r="J381" s="455">
        <f t="array" ref="J381">IFERROR(INDEX('Retirement Calculator'!J:J,MATCH('Isaac 401k'!N381,'Retirement Calculator'!A:A,0),0),0)</f>
        <v>6404.7404596389215</v>
      </c>
      <c r="K381" s="455">
        <f t="shared" ca="1" si="27"/>
        <v>14040.582684193654</v>
      </c>
      <c r="L381" s="455">
        <f t="shared" ca="1" si="28"/>
        <v>3383780.4268906708</v>
      </c>
      <c r="M381" s="471">
        <f t="shared" si="30"/>
        <v>0.05</v>
      </c>
      <c r="N381" s="475">
        <f t="shared" si="31"/>
        <v>62640</v>
      </c>
    </row>
    <row r="382" spans="7:14" ht="11.25" customHeight="1" x14ac:dyDescent="0.3">
      <c r="G382" s="470">
        <f t="shared" si="41"/>
        <v>32</v>
      </c>
      <c r="H382" s="470">
        <v>375</v>
      </c>
      <c r="I382" s="455">
        <f t="shared" ca="1" si="29"/>
        <v>3383780.4268906708</v>
      </c>
      <c r="J382" s="455">
        <f t="array" ref="J382">IFERROR(INDEX('Retirement Calculator'!J:J,MATCH('Isaac 401k'!N382,'Retirement Calculator'!A:A,0),0),0)</f>
        <v>6404.7404596389215</v>
      </c>
      <c r="K382" s="455">
        <f t="shared" ca="1" si="27"/>
        <v>14072.398693462632</v>
      </c>
      <c r="L382" s="455">
        <f t="shared" ca="1" si="28"/>
        <v>3391448.0851244945</v>
      </c>
      <c r="M382" s="471">
        <f t="shared" si="30"/>
        <v>0.05</v>
      </c>
      <c r="N382" s="475">
        <f t="shared" si="31"/>
        <v>62671</v>
      </c>
    </row>
    <row r="383" spans="7:14" ht="11.25" customHeight="1" x14ac:dyDescent="0.3">
      <c r="G383" s="470">
        <f t="shared" si="41"/>
        <v>32</v>
      </c>
      <c r="H383" s="470">
        <v>376</v>
      </c>
      <c r="I383" s="455">
        <f t="shared" ca="1" si="29"/>
        <v>3391448.0851244945</v>
      </c>
      <c r="J383" s="455">
        <f t="array" ref="J383">IFERROR(INDEX('Retirement Calculator'!J:J,MATCH('Isaac 401k'!N383,'Retirement Calculator'!A:A,0),0),0)</f>
        <v>6404.7404596389215</v>
      </c>
      <c r="K383" s="455">
        <f t="shared" ca="1" si="27"/>
        <v>14104.347269436897</v>
      </c>
      <c r="L383" s="455">
        <f t="shared" ca="1" si="28"/>
        <v>3399147.6919342922</v>
      </c>
      <c r="M383" s="471">
        <f t="shared" si="30"/>
        <v>0.05</v>
      </c>
      <c r="N383" s="475">
        <f t="shared" si="31"/>
        <v>62702</v>
      </c>
    </row>
    <row r="384" spans="7:14" ht="11.25" customHeight="1" x14ac:dyDescent="0.3">
      <c r="G384" s="470">
        <f t="shared" si="41"/>
        <v>32</v>
      </c>
      <c r="H384" s="470">
        <v>377</v>
      </c>
      <c r="I384" s="455">
        <f t="shared" ca="1" si="29"/>
        <v>3399147.6919342922</v>
      </c>
      <c r="J384" s="455">
        <f t="array" ref="J384">IFERROR(INDEX('Retirement Calculator'!J:J,MATCH('Isaac 401k'!N384,'Retirement Calculator'!A:A,0),0),0)</f>
        <v>6404.7404596389215</v>
      </c>
      <c r="K384" s="455">
        <f t="shared" ca="1" si="27"/>
        <v>14136.428964477724</v>
      </c>
      <c r="L384" s="455">
        <f t="shared" ca="1" si="28"/>
        <v>3406879.3804391306</v>
      </c>
      <c r="M384" s="471">
        <f t="shared" si="30"/>
        <v>0.05</v>
      </c>
      <c r="N384" s="475">
        <f t="shared" si="31"/>
        <v>62732</v>
      </c>
    </row>
    <row r="385" spans="7:14" ht="11.25" customHeight="1" x14ac:dyDescent="0.3">
      <c r="G385" s="470">
        <f t="shared" si="41"/>
        <v>32</v>
      </c>
      <c r="H385" s="470">
        <v>378</v>
      </c>
      <c r="I385" s="455">
        <f t="shared" ca="1" si="29"/>
        <v>3406879.3804391306</v>
      </c>
      <c r="J385" s="455">
        <f t="array" ref="J385">IFERROR(INDEX('Retirement Calculator'!J:J,MATCH('Isaac 401k'!N385,'Retirement Calculator'!A:A,0),0),0)</f>
        <v>6404.7404596389215</v>
      </c>
      <c r="K385" s="455">
        <f t="shared" ca="1" si="27"/>
        <v>14168.644333247881</v>
      </c>
      <c r="L385" s="455">
        <f t="shared" ca="1" si="28"/>
        <v>3414643.2843127395</v>
      </c>
      <c r="M385" s="471">
        <f t="shared" si="30"/>
        <v>0.05</v>
      </c>
      <c r="N385" s="475">
        <f t="shared" si="31"/>
        <v>62763</v>
      </c>
    </row>
    <row r="386" spans="7:14" ht="11.25" customHeight="1" x14ac:dyDescent="0.3">
      <c r="G386" s="470">
        <f t="shared" si="41"/>
        <v>32</v>
      </c>
      <c r="H386" s="470">
        <v>379</v>
      </c>
      <c r="I386" s="455">
        <f t="shared" ca="1" si="29"/>
        <v>3414643.2843127395</v>
      </c>
      <c r="J386" s="455">
        <f t="array" ref="J386">IFERROR(INDEX('Retirement Calculator'!J:J,MATCH('Isaac 401k'!N386,'Retirement Calculator'!A:A,0),0),0)</f>
        <v>6404.7404596389215</v>
      </c>
      <c r="K386" s="455">
        <f t="shared" ca="1" si="27"/>
        <v>14200.993932721251</v>
      </c>
      <c r="L386" s="455">
        <f t="shared" ca="1" si="28"/>
        <v>3422439.5377858216</v>
      </c>
      <c r="M386" s="471">
        <f t="shared" si="30"/>
        <v>0.05</v>
      </c>
      <c r="N386" s="475">
        <f t="shared" si="31"/>
        <v>62793</v>
      </c>
    </row>
    <row r="387" spans="7:14" ht="11.25" customHeight="1" x14ac:dyDescent="0.3">
      <c r="G387" s="470">
        <f t="shared" si="41"/>
        <v>32</v>
      </c>
      <c r="H387" s="470">
        <v>380</v>
      </c>
      <c r="I387" s="455">
        <f t="shared" ca="1" si="29"/>
        <v>3422439.5377858216</v>
      </c>
      <c r="J387" s="455">
        <f t="array" ref="J387">IFERROR(INDEX('Retirement Calculator'!J:J,MATCH('Isaac 401k'!N387,'Retirement Calculator'!A:A,0),0),0)</f>
        <v>6404.7404596389215</v>
      </c>
      <c r="K387" s="455">
        <f t="shared" ca="1" si="27"/>
        <v>14233.478322192426</v>
      </c>
      <c r="L387" s="455">
        <f t="shared" ca="1" si="28"/>
        <v>3430268.275648375</v>
      </c>
      <c r="M387" s="471">
        <f t="shared" si="30"/>
        <v>0.05</v>
      </c>
      <c r="N387" s="475">
        <f t="shared" si="31"/>
        <v>62824</v>
      </c>
    </row>
    <row r="388" spans="7:14" ht="11.25" customHeight="1" x14ac:dyDescent="0.3">
      <c r="G388" s="470">
        <f t="shared" si="41"/>
        <v>32</v>
      </c>
      <c r="H388" s="470">
        <v>381</v>
      </c>
      <c r="I388" s="455">
        <f t="shared" ca="1" si="29"/>
        <v>3430268.275648375</v>
      </c>
      <c r="J388" s="455">
        <f t="array" ref="J388">IFERROR(INDEX('Retirement Calculator'!J:J,MATCH('Isaac 401k'!N388,'Retirement Calculator'!A:A,0),0),0)</f>
        <v>6404.7404596389215</v>
      </c>
      <c r="K388" s="455">
        <f t="shared" ca="1" si="27"/>
        <v>14266.098063286399</v>
      </c>
      <c r="L388" s="455">
        <f t="shared" ca="1" si="28"/>
        <v>3438129.6332520223</v>
      </c>
      <c r="M388" s="471">
        <f t="shared" si="30"/>
        <v>0.05</v>
      </c>
      <c r="N388" s="475">
        <f t="shared" si="31"/>
        <v>62855</v>
      </c>
    </row>
    <row r="389" spans="7:14" ht="11.25" customHeight="1" x14ac:dyDescent="0.3">
      <c r="G389" s="470">
        <f t="shared" si="41"/>
        <v>32</v>
      </c>
      <c r="H389" s="470">
        <v>382</v>
      </c>
      <c r="I389" s="455">
        <f t="shared" ca="1" si="29"/>
        <v>3438129.6332520223</v>
      </c>
      <c r="J389" s="455">
        <f t="array" ref="J389">IFERROR(INDEX('Retirement Calculator'!J:J,MATCH('Isaac 401k'!N389,'Retirement Calculator'!A:A,0),0),0)</f>
        <v>6404.7404596389215</v>
      </c>
      <c r="K389" s="455">
        <f t="shared" ca="1" si="27"/>
        <v>14298.853719968263</v>
      </c>
      <c r="L389" s="455">
        <f t="shared" ca="1" si="28"/>
        <v>3446023.7465123516</v>
      </c>
      <c r="M389" s="471">
        <f t="shared" si="30"/>
        <v>0.05</v>
      </c>
      <c r="N389" s="475">
        <f t="shared" si="31"/>
        <v>62884</v>
      </c>
    </row>
    <row r="390" spans="7:14" ht="11.25" customHeight="1" x14ac:dyDescent="0.3">
      <c r="G390" s="470">
        <f t="shared" si="41"/>
        <v>32</v>
      </c>
      <c r="H390" s="470">
        <v>383</v>
      </c>
      <c r="I390" s="455">
        <f t="shared" ca="1" si="29"/>
        <v>3446023.7465123516</v>
      </c>
      <c r="J390" s="455">
        <f t="array" ref="J390">IFERROR(INDEX('Retirement Calculator'!J:J,MATCH('Isaac 401k'!N390,'Retirement Calculator'!A:A,0),0),0)</f>
        <v>6404.7404596389215</v>
      </c>
      <c r="K390" s="455">
        <f t="shared" ca="1" si="27"/>
        <v>14331.745858552968</v>
      </c>
      <c r="L390" s="455">
        <f t="shared" ca="1" si="28"/>
        <v>3453950.7519112653</v>
      </c>
      <c r="M390" s="471">
        <f t="shared" si="30"/>
        <v>0.05</v>
      </c>
      <c r="N390" s="475">
        <f t="shared" si="31"/>
        <v>62915</v>
      </c>
    </row>
    <row r="391" spans="7:14" ht="11.25" customHeight="1" x14ac:dyDescent="0.3">
      <c r="G391" s="470">
        <f t="shared" si="41"/>
        <v>32</v>
      </c>
      <c r="H391" s="470">
        <v>384</v>
      </c>
      <c r="I391" s="455">
        <f t="shared" ca="1" si="29"/>
        <v>3453950.7519112653</v>
      </c>
      <c r="J391" s="455">
        <f t="array" ref="J391">IFERROR(INDEX('Retirement Calculator'!J:J,MATCH('Isaac 401k'!N391,'Retirement Calculator'!A:A,0),0),0)</f>
        <v>6404.7404596389215</v>
      </c>
      <c r="K391" s="455">
        <f t="shared" ca="1" si="27"/>
        <v>14364.775047715109</v>
      </c>
      <c r="L391" s="455">
        <f t="shared" ca="1" si="28"/>
        <v>3461910.7864993415</v>
      </c>
      <c r="M391" s="471">
        <f t="shared" si="30"/>
        <v>0.05</v>
      </c>
      <c r="N391" s="475">
        <f t="shared" si="31"/>
        <v>62945</v>
      </c>
    </row>
    <row r="392" spans="7:14" ht="11.25" customHeight="1" x14ac:dyDescent="0.3">
      <c r="G392" s="470">
        <f>G391+1</f>
        <v>33</v>
      </c>
      <c r="H392" s="470">
        <v>385</v>
      </c>
      <c r="I392" s="455">
        <f t="shared" ca="1" si="29"/>
        <v>3461910.7864993415</v>
      </c>
      <c r="J392" s="455">
        <f t="array" ref="J392">IFERROR(INDEX('Retirement Calculator'!J:J,MATCH('Isaac 401k'!N392,'Retirement Calculator'!A:A,0),0),0)</f>
        <v>6404.7404596389215</v>
      </c>
      <c r="K392" s="455">
        <f t="shared" ca="1" si="27"/>
        <v>14397.941858498762</v>
      </c>
      <c r="L392" s="455">
        <f t="shared" ca="1" si="28"/>
        <v>3469903.9878982012</v>
      </c>
      <c r="M392" s="471">
        <f t="shared" si="30"/>
        <v>0.05</v>
      </c>
      <c r="N392" s="475">
        <f t="shared" si="31"/>
        <v>62976</v>
      </c>
    </row>
    <row r="393" spans="7:14" ht="11.25" customHeight="1" x14ac:dyDescent="0.3">
      <c r="G393" s="470">
        <f t="shared" ref="G393:G403" si="42">G392</f>
        <v>33</v>
      </c>
      <c r="H393" s="470">
        <v>386</v>
      </c>
      <c r="I393" s="455">
        <f t="shared" ca="1" si="29"/>
        <v>3469903.9878982012</v>
      </c>
      <c r="J393" s="455">
        <f t="array" ref="J393">IFERROR(INDEX('Retirement Calculator'!J:J,MATCH('Isaac 401k'!N393,'Retirement Calculator'!A:A,0),0),0)</f>
        <v>6404.7404596389215</v>
      </c>
      <c r="K393" s="455">
        <f t="shared" ca="1" si="27"/>
        <v>14431.246864327342</v>
      </c>
      <c r="L393" s="455">
        <f t="shared" ca="1" si="28"/>
        <v>3477930.4943028893</v>
      </c>
      <c r="M393" s="471">
        <f t="shared" si="30"/>
        <v>0.05</v>
      </c>
      <c r="N393" s="475">
        <f t="shared" si="31"/>
        <v>63006</v>
      </c>
    </row>
    <row r="394" spans="7:14" ht="11.25" customHeight="1" x14ac:dyDescent="0.3">
      <c r="G394" s="470">
        <f t="shared" si="42"/>
        <v>33</v>
      </c>
      <c r="H394" s="470">
        <v>387</v>
      </c>
      <c r="I394" s="455">
        <f t="shared" ca="1" si="29"/>
        <v>3477930.4943028893</v>
      </c>
      <c r="J394" s="455">
        <f t="array" ref="J394">IFERROR(INDEX('Retirement Calculator'!J:J,MATCH('Isaac 401k'!N394,'Retirement Calculator'!A:A,0),0),0)</f>
        <v>6404.7404596389215</v>
      </c>
      <c r="K394" s="455">
        <f t="shared" ca="1" si="27"/>
        <v>14464.690641013542</v>
      </c>
      <c r="L394" s="455">
        <f t="shared" ca="1" si="28"/>
        <v>3485990.4444842637</v>
      </c>
      <c r="M394" s="471">
        <f t="shared" si="30"/>
        <v>0.05</v>
      </c>
      <c r="N394" s="475">
        <f t="shared" si="31"/>
        <v>63037</v>
      </c>
    </row>
    <row r="395" spans="7:14" ht="11.25" customHeight="1" x14ac:dyDescent="0.3">
      <c r="G395" s="470">
        <f t="shared" si="42"/>
        <v>33</v>
      </c>
      <c r="H395" s="470">
        <v>388</v>
      </c>
      <c r="I395" s="455">
        <f t="shared" ca="1" si="29"/>
        <v>3485990.4444842637</v>
      </c>
      <c r="J395" s="455">
        <f t="array" ref="J395">IFERROR(INDEX('Retirement Calculator'!J:J,MATCH('Isaac 401k'!N395,'Retirement Calculator'!A:A,0),0),0)</f>
        <v>6404.7404596389215</v>
      </c>
      <c r="K395" s="455">
        <f t="shared" ca="1" si="27"/>
        <v>14498.273766769269</v>
      </c>
      <c r="L395" s="455">
        <f t="shared" ca="1" si="28"/>
        <v>3494083.9777913936</v>
      </c>
      <c r="M395" s="471">
        <f t="shared" si="30"/>
        <v>0.05</v>
      </c>
      <c r="N395" s="475">
        <f t="shared" si="31"/>
        <v>63068</v>
      </c>
    </row>
    <row r="396" spans="7:14" ht="11.25" customHeight="1" x14ac:dyDescent="0.3">
      <c r="G396" s="470">
        <f t="shared" si="42"/>
        <v>33</v>
      </c>
      <c r="H396" s="470">
        <v>389</v>
      </c>
      <c r="I396" s="455">
        <f t="shared" ca="1" si="29"/>
        <v>3494083.9777913936</v>
      </c>
      <c r="J396" s="455">
        <f t="array" ref="J396">IFERROR(INDEX('Retirement Calculator'!J:J,MATCH('Isaac 401k'!N396,'Retirement Calculator'!A:A,0),0),0)</f>
        <v>6404.7404596389215</v>
      </c>
      <c r="K396" s="455">
        <f t="shared" ca="1" si="27"/>
        <v>14531.996822215642</v>
      </c>
      <c r="L396" s="455">
        <f t="shared" ca="1" si="28"/>
        <v>3502211.2341539701</v>
      </c>
      <c r="M396" s="471">
        <f t="shared" si="30"/>
        <v>0.05</v>
      </c>
      <c r="N396" s="475">
        <f t="shared" si="31"/>
        <v>63098</v>
      </c>
    </row>
    <row r="397" spans="7:14" ht="11.25" customHeight="1" x14ac:dyDescent="0.3">
      <c r="G397" s="470">
        <f t="shared" si="42"/>
        <v>33</v>
      </c>
      <c r="H397" s="470">
        <v>390</v>
      </c>
      <c r="I397" s="455">
        <f t="shared" ca="1" si="29"/>
        <v>3502211.2341539701</v>
      </c>
      <c r="J397" s="455">
        <f t="array" ref="J397">IFERROR(INDEX('Retirement Calculator'!J:J,MATCH('Isaac 401k'!N397,'Retirement Calculator'!A:A,0),0),0)</f>
        <v>6404.7404596389215</v>
      </c>
      <c r="K397" s="455">
        <f t="shared" ca="1" si="27"/>
        <v>14565.860390393043</v>
      </c>
      <c r="L397" s="455">
        <f t="shared" ca="1" si="28"/>
        <v>3510372.3540847241</v>
      </c>
      <c r="M397" s="471">
        <f t="shared" si="30"/>
        <v>0.05</v>
      </c>
      <c r="N397" s="475">
        <f t="shared" si="31"/>
        <v>63129</v>
      </c>
    </row>
    <row r="398" spans="7:14" ht="11.25" customHeight="1" x14ac:dyDescent="0.3">
      <c r="G398" s="470">
        <f t="shared" si="42"/>
        <v>33</v>
      </c>
      <c r="H398" s="470">
        <v>391</v>
      </c>
      <c r="I398" s="455">
        <f t="shared" ca="1" si="29"/>
        <v>3510372.3540847241</v>
      </c>
      <c r="J398" s="455">
        <f t="array" ref="J398">IFERROR(INDEX('Retirement Calculator'!J:J,MATCH('Isaac 401k'!N398,'Retirement Calculator'!A:A,0),0),0)</f>
        <v>6404.7404596389215</v>
      </c>
      <c r="K398" s="455">
        <f t="shared" ca="1" si="27"/>
        <v>14599.865056771187</v>
      </c>
      <c r="L398" s="455">
        <f t="shared" ca="1" si="28"/>
        <v>3518567.4786818563</v>
      </c>
      <c r="M398" s="471">
        <f t="shared" si="30"/>
        <v>0.05</v>
      </c>
      <c r="N398" s="475">
        <f t="shared" si="31"/>
        <v>63159</v>
      </c>
    </row>
    <row r="399" spans="7:14" ht="11.25" customHeight="1" x14ac:dyDescent="0.3">
      <c r="G399" s="470">
        <f t="shared" si="42"/>
        <v>33</v>
      </c>
      <c r="H399" s="470">
        <v>392</v>
      </c>
      <c r="I399" s="455">
        <f t="shared" ca="1" si="29"/>
        <v>3518567.4786818563</v>
      </c>
      <c r="J399" s="455">
        <f t="array" ref="J399">IFERROR(INDEX('Retirement Calculator'!J:J,MATCH('Isaac 401k'!N399,'Retirement Calculator'!A:A,0),0),0)</f>
        <v>6404.7404596389215</v>
      </c>
      <c r="K399" s="455">
        <f t="shared" ca="1" si="27"/>
        <v>14634.011409259238</v>
      </c>
      <c r="L399" s="455">
        <f t="shared" ca="1" si="28"/>
        <v>3526796.7496314766</v>
      </c>
      <c r="M399" s="471">
        <f t="shared" si="30"/>
        <v>0.05</v>
      </c>
      <c r="N399" s="475">
        <f t="shared" si="31"/>
        <v>63190</v>
      </c>
    </row>
    <row r="400" spans="7:14" ht="11.25" customHeight="1" x14ac:dyDescent="0.3">
      <c r="G400" s="470">
        <f t="shared" si="42"/>
        <v>33</v>
      </c>
      <c r="H400" s="470">
        <v>393</v>
      </c>
      <c r="I400" s="455">
        <f t="shared" ca="1" si="29"/>
        <v>3526796.7496314766</v>
      </c>
      <c r="J400" s="455">
        <f t="array" ref="J400">IFERROR(INDEX('Retirement Calculator'!J:J,MATCH('Isaac 401k'!N400,'Retirement Calculator'!A:A,0),0),0)</f>
        <v>6404.7404596389215</v>
      </c>
      <c r="K400" s="455">
        <f t="shared" ca="1" si="27"/>
        <v>14668.30003821599</v>
      </c>
      <c r="L400" s="455">
        <f t="shared" ca="1" si="28"/>
        <v>3535060.3092100536</v>
      </c>
      <c r="M400" s="471">
        <f t="shared" si="30"/>
        <v>0.05</v>
      </c>
      <c r="N400" s="475">
        <f t="shared" si="31"/>
        <v>63221</v>
      </c>
    </row>
    <row r="401" spans="7:14" ht="11.25" customHeight="1" x14ac:dyDescent="0.3">
      <c r="G401" s="470">
        <f t="shared" si="42"/>
        <v>33</v>
      </c>
      <c r="H401" s="470">
        <v>394</v>
      </c>
      <c r="I401" s="455">
        <f t="shared" ca="1" si="29"/>
        <v>3535060.3092100536</v>
      </c>
      <c r="J401" s="455">
        <f t="array" ref="J401">IFERROR(INDEX('Retirement Calculator'!J:J,MATCH('Isaac 401k'!N401,'Retirement Calculator'!A:A,0),0),0)</f>
        <v>6404.7404596389215</v>
      </c>
      <c r="K401" s="455">
        <f t="shared" ca="1" si="27"/>
        <v>14702.73153646006</v>
      </c>
      <c r="L401" s="455">
        <f t="shared" ca="1" si="28"/>
        <v>3543358.3002868746</v>
      </c>
      <c r="M401" s="471">
        <f t="shared" si="30"/>
        <v>0.05</v>
      </c>
      <c r="N401" s="475">
        <f t="shared" si="31"/>
        <v>63249</v>
      </c>
    </row>
    <row r="402" spans="7:14" ht="11.25" customHeight="1" x14ac:dyDescent="0.3">
      <c r="G402" s="470">
        <f t="shared" si="42"/>
        <v>33</v>
      </c>
      <c r="H402" s="470">
        <v>395</v>
      </c>
      <c r="I402" s="455">
        <f t="shared" ca="1" si="29"/>
        <v>3543358.3002868746</v>
      </c>
      <c r="J402" s="455">
        <f t="array" ref="J402">IFERROR(INDEX('Retirement Calculator'!J:J,MATCH('Isaac 401k'!N402,'Retirement Calculator'!A:A,0),0),0)</f>
        <v>6404.7404596389215</v>
      </c>
      <c r="K402" s="455">
        <f t="shared" ca="1" si="27"/>
        <v>14737.306499280146</v>
      </c>
      <c r="L402" s="455">
        <f t="shared" ca="1" si="28"/>
        <v>3551690.8663265156</v>
      </c>
      <c r="M402" s="471">
        <f t="shared" si="30"/>
        <v>0.05</v>
      </c>
      <c r="N402" s="475">
        <f t="shared" si="31"/>
        <v>63280</v>
      </c>
    </row>
    <row r="403" spans="7:14" ht="11.25" customHeight="1" x14ac:dyDescent="0.3">
      <c r="G403" s="470">
        <f t="shared" si="42"/>
        <v>33</v>
      </c>
      <c r="H403" s="470">
        <v>396</v>
      </c>
      <c r="I403" s="455">
        <f t="shared" ca="1" si="29"/>
        <v>3551690.8663265156</v>
      </c>
      <c r="J403" s="455">
        <f t="array" ref="J403">IFERROR(INDEX('Retirement Calculator'!J:J,MATCH('Isaac 401k'!N403,'Retirement Calculator'!A:A,0),0),0)</f>
        <v>6404.7404596389215</v>
      </c>
      <c r="K403" s="455">
        <f t="shared" ca="1" si="27"/>
        <v>14772.025524445318</v>
      </c>
      <c r="L403" s="455">
        <f t="shared" ca="1" si="28"/>
        <v>3560058.1513913218</v>
      </c>
      <c r="M403" s="471">
        <f t="shared" si="30"/>
        <v>0.05</v>
      </c>
      <c r="N403" s="475">
        <f t="shared" si="31"/>
        <v>63310</v>
      </c>
    </row>
    <row r="404" spans="7:14" ht="11.25" customHeight="1" x14ac:dyDescent="0.3">
      <c r="G404" s="470">
        <f>G403+1</f>
        <v>34</v>
      </c>
      <c r="H404" s="470">
        <v>397</v>
      </c>
      <c r="I404" s="455">
        <f t="shared" ca="1" si="29"/>
        <v>3560058.1513913218</v>
      </c>
      <c r="J404" s="455">
        <f t="array" ref="J404">IFERROR(INDEX('Retirement Calculator'!J:J,MATCH('Isaac 401k'!N404,'Retirement Calculator'!A:A,0),0),0)</f>
        <v>6404.7404596389215</v>
      </c>
      <c r="K404" s="455">
        <f t="shared" ca="1" si="27"/>
        <v>14806.889212215347</v>
      </c>
      <c r="L404" s="455">
        <f t="shared" ca="1" si="28"/>
        <v>3568460.300143898</v>
      </c>
      <c r="M404" s="471">
        <f t="shared" si="30"/>
        <v>0.05</v>
      </c>
      <c r="N404" s="475">
        <f t="shared" si="31"/>
        <v>63341</v>
      </c>
    </row>
    <row r="405" spans="7:14" ht="11.25" customHeight="1" x14ac:dyDescent="0.3">
      <c r="G405" s="470">
        <f t="shared" ref="G405:G415" si="43">G404</f>
        <v>34</v>
      </c>
      <c r="H405" s="470">
        <v>398</v>
      </c>
      <c r="I405" s="455">
        <f t="shared" ca="1" si="29"/>
        <v>3568460.300143898</v>
      </c>
      <c r="J405" s="455">
        <f t="array" ref="J405">IFERROR(INDEX('Retirement Calculator'!J:J,MATCH('Isaac 401k'!N405,'Retirement Calculator'!A:A,0),0),0)</f>
        <v>6404.7404596389215</v>
      </c>
      <c r="K405" s="455">
        <f t="shared" ca="1" si="27"/>
        <v>14841.89816535108</v>
      </c>
      <c r="L405" s="455">
        <f t="shared" ca="1" si="28"/>
        <v>3576897.4578496101</v>
      </c>
      <c r="M405" s="471">
        <f t="shared" si="30"/>
        <v>0.05</v>
      </c>
      <c r="N405" s="475">
        <f t="shared" si="31"/>
        <v>63371</v>
      </c>
    </row>
    <row r="406" spans="7:14" ht="11.25" customHeight="1" x14ac:dyDescent="0.3">
      <c r="G406" s="470">
        <f t="shared" si="43"/>
        <v>34</v>
      </c>
      <c r="H406" s="470">
        <v>399</v>
      </c>
      <c r="I406" s="455">
        <f t="shared" ca="1" si="29"/>
        <v>3576897.4578496101</v>
      </c>
      <c r="J406" s="455">
        <f t="array" ref="J406">IFERROR(INDEX('Retirement Calculator'!J:J,MATCH('Isaac 401k'!N406,'Retirement Calculator'!A:A,0),0),0)</f>
        <v>6404.7404596389215</v>
      </c>
      <c r="K406" s="455">
        <f t="shared" ca="1" si="27"/>
        <v>14877.052989124879</v>
      </c>
      <c r="L406" s="455">
        <f t="shared" ca="1" si="28"/>
        <v>3585369.7703790958</v>
      </c>
      <c r="M406" s="471">
        <f t="shared" si="30"/>
        <v>0.05</v>
      </c>
      <c r="N406" s="475">
        <f t="shared" si="31"/>
        <v>63402</v>
      </c>
    </row>
    <row r="407" spans="7:14" ht="11.25" customHeight="1" x14ac:dyDescent="0.3">
      <c r="G407" s="470">
        <f t="shared" si="43"/>
        <v>34</v>
      </c>
      <c r="H407" s="470">
        <v>400</v>
      </c>
      <c r="I407" s="455">
        <f t="shared" ca="1" si="29"/>
        <v>3585369.7703790958</v>
      </c>
      <c r="J407" s="455">
        <f t="array" ref="J407">IFERROR(INDEX('Retirement Calculator'!J:J,MATCH('Isaac 401k'!N407,'Retirement Calculator'!A:A,0),0),0)</f>
        <v>6404.7404596389215</v>
      </c>
      <c r="K407" s="455">
        <f t="shared" ca="1" si="27"/>
        <v>14912.354291331068</v>
      </c>
      <c r="L407" s="455">
        <f t="shared" ca="1" si="28"/>
        <v>3593877.3842107877</v>
      </c>
      <c r="M407" s="471">
        <f t="shared" si="30"/>
        <v>0.05</v>
      </c>
      <c r="N407" s="475">
        <f t="shared" si="31"/>
        <v>63433</v>
      </c>
    </row>
    <row r="408" spans="7:14" ht="11.25" customHeight="1" x14ac:dyDescent="0.3">
      <c r="G408" s="470">
        <f t="shared" si="43"/>
        <v>34</v>
      </c>
      <c r="H408" s="470">
        <v>401</v>
      </c>
      <c r="I408" s="455">
        <f t="shared" ca="1" si="29"/>
        <v>3593877.3842107877</v>
      </c>
      <c r="J408" s="455">
        <f t="array" ref="J408">IFERROR(INDEX('Retirement Calculator'!J:J,MATCH('Isaac 401k'!N408,'Retirement Calculator'!A:A,0),0),0)</f>
        <v>6404.7404596389215</v>
      </c>
      <c r="K408" s="455">
        <f t="shared" ca="1" si="27"/>
        <v>14947.802682296453</v>
      </c>
      <c r="L408" s="455">
        <f t="shared" ca="1" si="28"/>
        <v>3602420.446433445</v>
      </c>
      <c r="M408" s="471">
        <f t="shared" si="30"/>
        <v>0.05</v>
      </c>
      <c r="N408" s="475">
        <f t="shared" si="31"/>
        <v>63463</v>
      </c>
    </row>
    <row r="409" spans="7:14" ht="11.25" customHeight="1" x14ac:dyDescent="0.3">
      <c r="G409" s="470">
        <f t="shared" si="43"/>
        <v>34</v>
      </c>
      <c r="H409" s="470">
        <v>402</v>
      </c>
      <c r="I409" s="455">
        <f t="shared" ca="1" si="29"/>
        <v>3602420.446433445</v>
      </c>
      <c r="J409" s="455">
        <f t="array" ref="J409">IFERROR(INDEX('Retirement Calculator'!J:J,MATCH('Isaac 401k'!N409,'Retirement Calculator'!A:A,0),0),0)</f>
        <v>6404.7404596389215</v>
      </c>
      <c r="K409" s="455">
        <f t="shared" ca="1" si="27"/>
        <v>14983.39877489086</v>
      </c>
      <c r="L409" s="455">
        <f t="shared" ca="1" si="28"/>
        <v>3610999.1047486966</v>
      </c>
      <c r="M409" s="471">
        <f t="shared" si="30"/>
        <v>0.05</v>
      </c>
      <c r="N409" s="475">
        <f t="shared" si="31"/>
        <v>63494</v>
      </c>
    </row>
    <row r="410" spans="7:14" ht="11.25" customHeight="1" x14ac:dyDescent="0.3">
      <c r="G410" s="470">
        <f t="shared" si="43"/>
        <v>34</v>
      </c>
      <c r="H410" s="470">
        <v>403</v>
      </c>
      <c r="I410" s="455">
        <f t="shared" ca="1" si="29"/>
        <v>3610999.1047486966</v>
      </c>
      <c r="J410" s="455">
        <f t="array" ref="J410">IFERROR(INDEX('Retirement Calculator'!J:J,MATCH('Isaac 401k'!N410,'Retirement Calculator'!A:A,0),0),0)</f>
        <v>6404.7404596389215</v>
      </c>
      <c r="K410" s="455">
        <f t="shared" ca="1" si="27"/>
        <v>15019.143184537741</v>
      </c>
      <c r="L410" s="455">
        <f t="shared" ca="1" si="28"/>
        <v>3619613.507473595</v>
      </c>
      <c r="M410" s="471">
        <f t="shared" si="30"/>
        <v>0.05</v>
      </c>
      <c r="N410" s="475">
        <f t="shared" si="31"/>
        <v>63524</v>
      </c>
    </row>
    <row r="411" spans="7:14" ht="11.25" customHeight="1" x14ac:dyDescent="0.3">
      <c r="G411" s="470">
        <f t="shared" si="43"/>
        <v>34</v>
      </c>
      <c r="H411" s="470">
        <v>404</v>
      </c>
      <c r="I411" s="455">
        <f t="shared" ca="1" si="29"/>
        <v>3619613.507473595</v>
      </c>
      <c r="J411" s="455">
        <f t="array" ref="J411">IFERROR(INDEX('Retirement Calculator'!J:J,MATCH('Isaac 401k'!N411,'Retirement Calculator'!A:A,0),0),0)</f>
        <v>6404.7404596389215</v>
      </c>
      <c r="K411" s="455">
        <f t="shared" ca="1" si="27"/>
        <v>15055.036529224815</v>
      </c>
      <c r="L411" s="455">
        <f t="shared" ca="1" si="28"/>
        <v>3628263.8035431807</v>
      </c>
      <c r="M411" s="471">
        <f t="shared" si="30"/>
        <v>0.05</v>
      </c>
      <c r="N411" s="475">
        <f t="shared" si="31"/>
        <v>63555</v>
      </c>
    </row>
    <row r="412" spans="7:14" ht="11.25" customHeight="1" x14ac:dyDescent="0.3">
      <c r="G412" s="470">
        <f t="shared" si="43"/>
        <v>34</v>
      </c>
      <c r="H412" s="470">
        <v>405</v>
      </c>
      <c r="I412" s="455">
        <f t="shared" ca="1" si="29"/>
        <v>3628263.8035431807</v>
      </c>
      <c r="J412" s="455">
        <f t="array" ref="J412">IFERROR(INDEX('Retirement Calculator'!J:J,MATCH('Isaac 401k'!N412,'Retirement Calculator'!A:A,0),0),0)</f>
        <v>6404.7404596389215</v>
      </c>
      <c r="K412" s="455">
        <f t="shared" ca="1" si="27"/>
        <v>15091.079429514757</v>
      </c>
      <c r="L412" s="455">
        <f t="shared" ca="1" si="28"/>
        <v>3636950.1425130563</v>
      </c>
      <c r="M412" s="471">
        <f t="shared" si="30"/>
        <v>0.05</v>
      </c>
      <c r="N412" s="475">
        <f t="shared" si="31"/>
        <v>63586</v>
      </c>
    </row>
    <row r="413" spans="7:14" ht="11.25" customHeight="1" x14ac:dyDescent="0.3">
      <c r="G413" s="470">
        <f t="shared" si="43"/>
        <v>34</v>
      </c>
      <c r="H413" s="470">
        <v>406</v>
      </c>
      <c r="I413" s="455">
        <f t="shared" ca="1" si="29"/>
        <v>3636950.1425130563</v>
      </c>
      <c r="J413" s="455">
        <f t="array" ref="J413">IFERROR(INDEX('Retirement Calculator'!J:J,MATCH('Isaac 401k'!N413,'Retirement Calculator'!A:A,0),0),0)</f>
        <v>6404.7404596389215</v>
      </c>
      <c r="K413" s="455">
        <f t="shared" ca="1" si="27"/>
        <v>15127.272508555905</v>
      </c>
      <c r="L413" s="455">
        <f t="shared" ca="1" si="28"/>
        <v>3645672.6745619732</v>
      </c>
      <c r="M413" s="471">
        <f t="shared" si="30"/>
        <v>0.05</v>
      </c>
      <c r="N413" s="475">
        <f t="shared" si="31"/>
        <v>63614</v>
      </c>
    </row>
    <row r="414" spans="7:14" ht="11.25" customHeight="1" x14ac:dyDescent="0.3">
      <c r="G414" s="470">
        <f t="shared" si="43"/>
        <v>34</v>
      </c>
      <c r="H414" s="470">
        <v>407</v>
      </c>
      <c r="I414" s="455">
        <f t="shared" ca="1" si="29"/>
        <v>3645672.6745619732</v>
      </c>
      <c r="J414" s="455">
        <f t="array" ref="J414">IFERROR(INDEX('Retirement Calculator'!J:J,MATCH('Isaac 401k'!N414,'Retirement Calculator'!A:A,0),0),0)</f>
        <v>6404.7404596389215</v>
      </c>
      <c r="K414" s="455">
        <f t="shared" ca="1" si="27"/>
        <v>15163.616392093058</v>
      </c>
      <c r="L414" s="455">
        <f t="shared" ca="1" si="28"/>
        <v>3654431.5504944273</v>
      </c>
      <c r="M414" s="471">
        <f t="shared" si="30"/>
        <v>0.05</v>
      </c>
      <c r="N414" s="475">
        <f t="shared" si="31"/>
        <v>63645</v>
      </c>
    </row>
    <row r="415" spans="7:14" ht="11.25" customHeight="1" x14ac:dyDescent="0.3">
      <c r="G415" s="470">
        <f t="shared" si="43"/>
        <v>34</v>
      </c>
      <c r="H415" s="470">
        <v>408</v>
      </c>
      <c r="I415" s="455">
        <f t="shared" ca="1" si="29"/>
        <v>3654431.5504944273</v>
      </c>
      <c r="J415" s="455">
        <f t="array" ref="J415">IFERROR(INDEX('Retirement Calculator'!J:J,MATCH('Isaac 401k'!N415,'Retirement Calculator'!A:A,0),0),0)</f>
        <v>6404.7404596389215</v>
      </c>
      <c r="K415" s="455">
        <f t="shared" ca="1" si="27"/>
        <v>15200.111708478282</v>
      </c>
      <c r="L415" s="455">
        <f t="shared" ca="1" si="28"/>
        <v>3663226.9217432663</v>
      </c>
      <c r="M415" s="471">
        <f t="shared" si="30"/>
        <v>0.05</v>
      </c>
      <c r="N415" s="475">
        <f t="shared" si="31"/>
        <v>63675</v>
      </c>
    </row>
    <row r="416" spans="7:14" ht="11.25" customHeight="1" x14ac:dyDescent="0.3">
      <c r="G416" s="470">
        <f>G415+1</f>
        <v>35</v>
      </c>
      <c r="H416" s="470">
        <v>409</v>
      </c>
      <c r="I416" s="455">
        <f t="shared" ca="1" si="29"/>
        <v>3663226.9217432663</v>
      </c>
      <c r="J416" s="455">
        <f t="array" ref="J416">IFERROR(INDEX('Retirement Calculator'!J:J,MATCH('Isaac 401k'!N416,'Retirement Calculator'!A:A,0),0),0)</f>
        <v>6404.7404596389215</v>
      </c>
      <c r="K416" s="455">
        <f t="shared" ca="1" si="27"/>
        <v>15236.75908868178</v>
      </c>
      <c r="L416" s="455">
        <f t="shared" ca="1" si="28"/>
        <v>3672058.9403723092</v>
      </c>
      <c r="M416" s="471">
        <f t="shared" si="30"/>
        <v>0.05</v>
      </c>
      <c r="N416" s="475">
        <f t="shared" si="31"/>
        <v>63706</v>
      </c>
    </row>
    <row r="417" spans="7:14" ht="11.25" customHeight="1" x14ac:dyDescent="0.3">
      <c r="G417" s="470">
        <f t="shared" ref="G417:G427" si="44">G416</f>
        <v>35</v>
      </c>
      <c r="H417" s="470">
        <v>410</v>
      </c>
      <c r="I417" s="455">
        <f t="shared" ca="1" si="29"/>
        <v>3672058.9403723092</v>
      </c>
      <c r="J417" s="455">
        <f t="array" ref="J417">IFERROR(INDEX('Retirement Calculator'!J:J,MATCH('Isaac 401k'!N417,'Retirement Calculator'!A:A,0),0),0)</f>
        <v>6404.7404596389215</v>
      </c>
      <c r="K417" s="455">
        <f t="shared" ca="1" si="27"/>
        <v>15273.559166302792</v>
      </c>
      <c r="L417" s="455">
        <f t="shared" ca="1" si="28"/>
        <v>3680927.759078973</v>
      </c>
      <c r="M417" s="471">
        <f t="shared" si="30"/>
        <v>0.05</v>
      </c>
      <c r="N417" s="475">
        <f t="shared" si="31"/>
        <v>63736</v>
      </c>
    </row>
    <row r="418" spans="7:14" ht="11.25" customHeight="1" x14ac:dyDescent="0.3">
      <c r="G418" s="470">
        <f t="shared" si="44"/>
        <v>35</v>
      </c>
      <c r="H418" s="470">
        <v>411</v>
      </c>
      <c r="I418" s="455">
        <f t="shared" ca="1" si="29"/>
        <v>3680927.759078973</v>
      </c>
      <c r="J418" s="455">
        <f t="array" ref="J418">IFERROR(INDEX('Retirement Calculator'!J:J,MATCH('Isaac 401k'!N418,'Retirement Calculator'!A:A,0),0),0)</f>
        <v>6404.7404596389215</v>
      </c>
      <c r="K418" s="455">
        <f t="shared" ca="1" si="27"/>
        <v>15310.512577580555</v>
      </c>
      <c r="L418" s="455">
        <f t="shared" ca="1" si="28"/>
        <v>3689833.5311969146</v>
      </c>
      <c r="M418" s="471">
        <f t="shared" si="30"/>
        <v>0.05</v>
      </c>
      <c r="N418" s="475">
        <f t="shared" si="31"/>
        <v>63767</v>
      </c>
    </row>
    <row r="419" spans="7:14" ht="11.25" customHeight="1" x14ac:dyDescent="0.3">
      <c r="G419" s="470">
        <f t="shared" si="44"/>
        <v>35</v>
      </c>
      <c r="H419" s="470">
        <v>412</v>
      </c>
      <c r="I419" s="455">
        <f t="shared" ca="1" si="29"/>
        <v>3689833.5311969146</v>
      </c>
      <c r="J419" s="455">
        <f t="array" ref="J419">IFERROR(INDEX('Retirement Calculator'!J:J,MATCH('Isaac 401k'!N419,'Retirement Calculator'!A:A,0),0),0)</f>
        <v>6404.7404596389215</v>
      </c>
      <c r="K419" s="455">
        <f t="shared" ca="1" si="27"/>
        <v>15347.619961405315</v>
      </c>
      <c r="L419" s="455">
        <f t="shared" ca="1" si="28"/>
        <v>3698776.4106986807</v>
      </c>
      <c r="M419" s="471">
        <f t="shared" si="30"/>
        <v>0.05</v>
      </c>
      <c r="N419" s="475">
        <f t="shared" si="31"/>
        <v>63798</v>
      </c>
    </row>
    <row r="420" spans="7:14" ht="11.25" customHeight="1" x14ac:dyDescent="0.3">
      <c r="G420" s="470">
        <f t="shared" si="44"/>
        <v>35</v>
      </c>
      <c r="H420" s="470">
        <v>413</v>
      </c>
      <c r="I420" s="455">
        <f t="shared" ca="1" si="29"/>
        <v>3698776.4106986807</v>
      </c>
      <c r="J420" s="455">
        <f t="array" ref="J420">IFERROR(INDEX('Retirement Calculator'!J:J,MATCH('Isaac 401k'!N420,'Retirement Calculator'!A:A,0),0),0)</f>
        <v>6404.7404596389215</v>
      </c>
      <c r="K420" s="455">
        <f t="shared" ca="1" si="27"/>
        <v>15384.881959329339</v>
      </c>
      <c r="L420" s="455">
        <f t="shared" ca="1" si="28"/>
        <v>3707756.5521983709</v>
      </c>
      <c r="M420" s="471">
        <f t="shared" si="30"/>
        <v>0.05</v>
      </c>
      <c r="N420" s="475">
        <f t="shared" si="31"/>
        <v>63828</v>
      </c>
    </row>
    <row r="421" spans="7:14" ht="11.25" customHeight="1" x14ac:dyDescent="0.3">
      <c r="G421" s="470">
        <f t="shared" si="44"/>
        <v>35</v>
      </c>
      <c r="H421" s="470">
        <v>414</v>
      </c>
      <c r="I421" s="455">
        <f t="shared" ca="1" si="29"/>
        <v>3707756.5521983709</v>
      </c>
      <c r="J421" s="455">
        <f t="array" ref="J421">IFERROR(INDEX('Retirement Calculator'!J:J,MATCH('Isaac 401k'!N421,'Retirement Calculator'!A:A,0),0),0)</f>
        <v>6404.7404596389215</v>
      </c>
      <c r="K421" s="455">
        <f t="shared" ca="1" si="27"/>
        <v>15422.299215578047</v>
      </c>
      <c r="L421" s="455">
        <f t="shared" ca="1" si="28"/>
        <v>3716774.1109543098</v>
      </c>
      <c r="M421" s="471">
        <f t="shared" si="30"/>
        <v>0.05</v>
      </c>
      <c r="N421" s="475">
        <f t="shared" si="31"/>
        <v>63859</v>
      </c>
    </row>
    <row r="422" spans="7:14" ht="11.25" customHeight="1" x14ac:dyDescent="0.3">
      <c r="G422" s="470">
        <f t="shared" si="44"/>
        <v>35</v>
      </c>
      <c r="H422" s="470">
        <v>415</v>
      </c>
      <c r="I422" s="455">
        <f t="shared" ca="1" si="29"/>
        <v>3716774.1109543098</v>
      </c>
      <c r="J422" s="455">
        <f t="array" ref="J422">IFERROR(INDEX('Retirement Calculator'!J:J,MATCH('Isaac 401k'!N422,'Retirement Calculator'!A:A,0),0),0)</f>
        <v>6404.7404596389215</v>
      </c>
      <c r="K422" s="455">
        <f t="shared" ca="1" si="27"/>
        <v>15459.872377061127</v>
      </c>
      <c r="L422" s="455">
        <f t="shared" ca="1" si="28"/>
        <v>3725829.242871732</v>
      </c>
      <c r="M422" s="471">
        <f t="shared" si="30"/>
        <v>0.05</v>
      </c>
      <c r="N422" s="475">
        <f t="shared" si="31"/>
        <v>63889</v>
      </c>
    </row>
    <row r="423" spans="7:14" ht="11.25" customHeight="1" x14ac:dyDescent="0.3">
      <c r="G423" s="470">
        <f t="shared" si="44"/>
        <v>35</v>
      </c>
      <c r="H423" s="470">
        <v>416</v>
      </c>
      <c r="I423" s="455">
        <f t="shared" ca="1" si="29"/>
        <v>3725829.242871732</v>
      </c>
      <c r="J423" s="455">
        <f t="array" ref="J423">IFERROR(INDEX('Retirement Calculator'!J:J,MATCH('Isaac 401k'!N423,'Retirement Calculator'!A:A,0),0),0)</f>
        <v>6404.7404596389215</v>
      </c>
      <c r="K423" s="455">
        <f t="shared" ca="1" si="27"/>
        <v>15497.602093383721</v>
      </c>
      <c r="L423" s="455">
        <f t="shared" ca="1" si="28"/>
        <v>3734922.1045054765</v>
      </c>
      <c r="M423" s="471">
        <f t="shared" si="30"/>
        <v>0.05</v>
      </c>
      <c r="N423" s="475">
        <f t="shared" si="31"/>
        <v>63920</v>
      </c>
    </row>
    <row r="424" spans="7:14" ht="11.25" customHeight="1" x14ac:dyDescent="0.3">
      <c r="G424" s="470">
        <f t="shared" si="44"/>
        <v>35</v>
      </c>
      <c r="H424" s="470">
        <v>417</v>
      </c>
      <c r="I424" s="455">
        <f t="shared" ca="1" si="29"/>
        <v>3734922.1045054765</v>
      </c>
      <c r="J424" s="455">
        <f t="array" ref="J424">IFERROR(INDEX('Retirement Calculator'!J:J,MATCH('Isaac 401k'!N424,'Retirement Calculator'!A:A,0),0),0)</f>
        <v>6404.7404596389215</v>
      </c>
      <c r="K424" s="455">
        <f t="shared" ca="1" si="27"/>
        <v>15535.489016857655</v>
      </c>
      <c r="L424" s="455">
        <f t="shared" ca="1" si="28"/>
        <v>3744052.8530626949</v>
      </c>
      <c r="M424" s="471">
        <f t="shared" si="30"/>
        <v>0.05</v>
      </c>
      <c r="N424" s="475">
        <f t="shared" si="31"/>
        <v>63951</v>
      </c>
    </row>
    <row r="425" spans="7:14" ht="11.25" customHeight="1" x14ac:dyDescent="0.3">
      <c r="G425" s="470">
        <f t="shared" si="44"/>
        <v>35</v>
      </c>
      <c r="H425" s="470">
        <v>418</v>
      </c>
      <c r="I425" s="455">
        <f t="shared" ca="1" si="29"/>
        <v>3744052.8530626949</v>
      </c>
      <c r="J425" s="455">
        <f t="array" ref="J425">IFERROR(INDEX('Retirement Calculator'!J:J,MATCH('Isaac 401k'!N425,'Retirement Calculator'!A:A,0),0),0)</f>
        <v>6404.7404596389215</v>
      </c>
      <c r="K425" s="455">
        <f t="shared" ca="1" si="27"/>
        <v>15573.533802512733</v>
      </c>
      <c r="L425" s="455">
        <f t="shared" ca="1" si="28"/>
        <v>3753221.6464055683</v>
      </c>
      <c r="M425" s="471">
        <f t="shared" si="30"/>
        <v>0.05</v>
      </c>
      <c r="N425" s="475">
        <f t="shared" si="31"/>
        <v>63979</v>
      </c>
    </row>
    <row r="426" spans="7:14" ht="11.25" customHeight="1" x14ac:dyDescent="0.3">
      <c r="G426" s="470">
        <f t="shared" si="44"/>
        <v>35</v>
      </c>
      <c r="H426" s="470">
        <v>419</v>
      </c>
      <c r="I426" s="455">
        <f t="shared" ca="1" si="29"/>
        <v>3753221.6464055683</v>
      </c>
      <c r="J426" s="455">
        <f t="array" ref="J426">IFERROR(INDEX('Retirement Calculator'!J:J,MATCH('Isaac 401k'!N426,'Retirement Calculator'!A:A,0),0),0)</f>
        <v>6404.7404596389215</v>
      </c>
      <c r="K426" s="455">
        <f t="shared" ca="1" si="27"/>
        <v>15611.73710810804</v>
      </c>
      <c r="L426" s="455">
        <f t="shared" ca="1" si="28"/>
        <v>3762428.6430540374</v>
      </c>
      <c r="M426" s="471">
        <f t="shared" si="30"/>
        <v>0.05</v>
      </c>
      <c r="N426" s="475">
        <f t="shared" si="31"/>
        <v>64010</v>
      </c>
    </row>
    <row r="427" spans="7:14" ht="11.25" customHeight="1" x14ac:dyDescent="0.3">
      <c r="G427" s="470">
        <f t="shared" si="44"/>
        <v>35</v>
      </c>
      <c r="H427" s="470">
        <v>420</v>
      </c>
      <c r="I427" s="455">
        <f t="shared" ca="1" si="29"/>
        <v>3762428.6430540374</v>
      </c>
      <c r="J427" s="455">
        <f t="array" ref="J427">IFERROR(INDEX('Retirement Calculator'!J:J,MATCH('Isaac 401k'!N427,'Retirement Calculator'!A:A,0),0),0)</f>
        <v>6404.7404596389215</v>
      </c>
      <c r="K427" s="455">
        <f t="shared" ca="1" si="27"/>
        <v>15650.099594143327</v>
      </c>
      <c r="L427" s="455">
        <f t="shared" ca="1" si="28"/>
        <v>3771674.0021885415</v>
      </c>
      <c r="M427" s="471">
        <f t="shared" si="30"/>
        <v>0.05</v>
      </c>
      <c r="N427" s="475">
        <f t="shared" si="31"/>
        <v>64040</v>
      </c>
    </row>
    <row r="428" spans="7:14" ht="11.25" customHeight="1" x14ac:dyDescent="0.3">
      <c r="G428" s="470">
        <f>G427+1</f>
        <v>36</v>
      </c>
      <c r="H428" s="470">
        <v>421</v>
      </c>
      <c r="I428" s="455">
        <f t="shared" ca="1" si="29"/>
        <v>3771674.0021885415</v>
      </c>
      <c r="J428" s="455">
        <f t="array" ref="J428">IFERROR(INDEX('Retirement Calculator'!J:J,MATCH('Isaac 401k'!N428,'Retirement Calculator'!A:A,0),0),0)</f>
        <v>6404.7404596389215</v>
      </c>
      <c r="K428" s="455">
        <f t="shared" ca="1" si="27"/>
        <v>15688.621923870427</v>
      </c>
      <c r="L428" s="455">
        <f t="shared" ca="1" si="28"/>
        <v>3780957.8836527728</v>
      </c>
      <c r="M428" s="471">
        <f t="shared" si="30"/>
        <v>0.05</v>
      </c>
      <c r="N428" s="475">
        <f t="shared" si="31"/>
        <v>64071</v>
      </c>
    </row>
    <row r="429" spans="7:14" ht="11.25" customHeight="1" x14ac:dyDescent="0.3">
      <c r="G429" s="470">
        <f t="shared" ref="G429:G439" si="45">G428</f>
        <v>36</v>
      </c>
      <c r="H429" s="470">
        <v>422</v>
      </c>
      <c r="I429" s="455">
        <f t="shared" ca="1" si="29"/>
        <v>3780957.8836527728</v>
      </c>
      <c r="J429" s="455">
        <f t="array" ref="J429">IFERROR(INDEX('Retirement Calculator'!J:J,MATCH('Isaac 401k'!N429,'Retirement Calculator'!A:A,0),0),0)</f>
        <v>6404.7404596389215</v>
      </c>
      <c r="K429" s="455">
        <f t="shared" ca="1" si="27"/>
        <v>15727.304763304723</v>
      </c>
      <c r="L429" s="455">
        <f t="shared" ca="1" si="28"/>
        <v>3790280.4479564382</v>
      </c>
      <c r="M429" s="471">
        <f t="shared" si="30"/>
        <v>0.05</v>
      </c>
      <c r="N429" s="475">
        <f t="shared" si="31"/>
        <v>64101</v>
      </c>
    </row>
    <row r="430" spans="7:14" ht="11.25" customHeight="1" x14ac:dyDescent="0.3">
      <c r="G430" s="470">
        <f t="shared" si="45"/>
        <v>36</v>
      </c>
      <c r="H430" s="470">
        <v>423</v>
      </c>
      <c r="I430" s="455">
        <f t="shared" ca="1" si="29"/>
        <v>3790280.4479564382</v>
      </c>
      <c r="J430" s="455">
        <f t="array" ref="J430">IFERROR(INDEX('Retirement Calculator'!J:J,MATCH('Isaac 401k'!N430,'Retirement Calculator'!A:A,0),0),0)</f>
        <v>6404.7404596389215</v>
      </c>
      <c r="K430" s="455">
        <f t="shared" ca="1" si="27"/>
        <v>15766.148781236663</v>
      </c>
      <c r="L430" s="455">
        <f t="shared" ca="1" si="28"/>
        <v>3799641.8562780358</v>
      </c>
      <c r="M430" s="471">
        <f t="shared" si="30"/>
        <v>0.05</v>
      </c>
      <c r="N430" s="475">
        <f t="shared" si="31"/>
        <v>64132</v>
      </c>
    </row>
    <row r="431" spans="7:14" ht="11.25" customHeight="1" x14ac:dyDescent="0.3">
      <c r="G431" s="470">
        <f t="shared" si="45"/>
        <v>36</v>
      </c>
      <c r="H431" s="470">
        <v>424</v>
      </c>
      <c r="I431" s="455">
        <f t="shared" ca="1" si="29"/>
        <v>3799641.8562780358</v>
      </c>
      <c r="J431" s="455">
        <f t="array" ref="J431">IFERROR(INDEX('Retirement Calculator'!J:J,MATCH('Isaac 401k'!N431,'Retirement Calculator'!A:A,0),0),0)</f>
        <v>6404.7404596389215</v>
      </c>
      <c r="K431" s="455">
        <f t="shared" ca="1" si="27"/>
        <v>15805.154649243321</v>
      </c>
      <c r="L431" s="455">
        <f t="shared" ca="1" si="28"/>
        <v>3809042.2704676399</v>
      </c>
      <c r="M431" s="471">
        <f t="shared" si="30"/>
        <v>0.05</v>
      </c>
      <c r="N431" s="475">
        <f t="shared" si="31"/>
        <v>64163</v>
      </c>
    </row>
    <row r="432" spans="7:14" ht="11.25" customHeight="1" x14ac:dyDescent="0.3">
      <c r="G432" s="470">
        <f t="shared" si="45"/>
        <v>36</v>
      </c>
      <c r="H432" s="470">
        <v>425</v>
      </c>
      <c r="I432" s="455">
        <f t="shared" ca="1" si="29"/>
        <v>3809042.2704676399</v>
      </c>
      <c r="J432" s="455">
        <f t="array" ref="J432">IFERROR(INDEX('Retirement Calculator'!J:J,MATCH('Isaac 401k'!N432,'Retirement Calculator'!A:A,0),0),0)</f>
        <v>6404.7404596389215</v>
      </c>
      <c r="K432" s="455">
        <f t="shared" ca="1" si="27"/>
        <v>15844.323041700005</v>
      </c>
      <c r="L432" s="455">
        <f t="shared" ca="1" si="28"/>
        <v>3818481.8530497006</v>
      </c>
      <c r="M432" s="471">
        <f t="shared" si="30"/>
        <v>0.05</v>
      </c>
      <c r="N432" s="475">
        <f t="shared" si="31"/>
        <v>64193</v>
      </c>
    </row>
    <row r="433" spans="7:14" ht="11.25" customHeight="1" x14ac:dyDescent="0.3">
      <c r="G433" s="470">
        <f t="shared" si="45"/>
        <v>36</v>
      </c>
      <c r="H433" s="470">
        <v>426</v>
      </c>
      <c r="I433" s="455">
        <f t="shared" ca="1" si="29"/>
        <v>3818481.8530497006</v>
      </c>
      <c r="J433" s="455">
        <f t="array" ref="J433">IFERROR(INDEX('Retirement Calculator'!J:J,MATCH('Isaac 401k'!N433,'Retirement Calculator'!A:A,0),0),0)</f>
        <v>6404.7404596389215</v>
      </c>
      <c r="K433" s="455">
        <f t="shared" ca="1" si="27"/>
        <v>15883.654635791923</v>
      </c>
      <c r="L433" s="455">
        <f t="shared" ca="1" si="28"/>
        <v>3827960.7672258536</v>
      </c>
      <c r="M433" s="471">
        <f t="shared" si="30"/>
        <v>0.05</v>
      </c>
      <c r="N433" s="475">
        <f t="shared" si="31"/>
        <v>64224</v>
      </c>
    </row>
    <row r="434" spans="7:14" ht="11.25" customHeight="1" x14ac:dyDescent="0.3">
      <c r="G434" s="470">
        <f t="shared" si="45"/>
        <v>36</v>
      </c>
      <c r="H434" s="470">
        <v>427</v>
      </c>
      <c r="I434" s="455">
        <f t="shared" ca="1" si="29"/>
        <v>3827960.7672258536</v>
      </c>
      <c r="J434" s="455">
        <f t="array" ref="J434">IFERROR(INDEX('Retirement Calculator'!J:J,MATCH('Isaac 401k'!N434,'Retirement Calculator'!A:A,0),0),0)</f>
        <v>6404.7404596389215</v>
      </c>
      <c r="K434" s="455">
        <f t="shared" ca="1" si="27"/>
        <v>15923.150111525894</v>
      </c>
      <c r="L434" s="455">
        <f t="shared" ca="1" si="28"/>
        <v>3837479.1768777403</v>
      </c>
      <c r="M434" s="471">
        <f t="shared" si="30"/>
        <v>0.05</v>
      </c>
      <c r="N434" s="475">
        <f t="shared" si="31"/>
        <v>64254</v>
      </c>
    </row>
    <row r="435" spans="7:14" ht="11.25" customHeight="1" x14ac:dyDescent="0.3">
      <c r="G435" s="470">
        <f t="shared" si="45"/>
        <v>36</v>
      </c>
      <c r="H435" s="470">
        <v>428</v>
      </c>
      <c r="I435" s="455">
        <f t="shared" ca="1" si="29"/>
        <v>3837479.1768777403</v>
      </c>
      <c r="J435" s="455">
        <f t="array" ref="J435">IFERROR(INDEX('Retirement Calculator'!J:J,MATCH('Isaac 401k'!N435,'Retirement Calculator'!A:A,0),0),0)</f>
        <v>6404.7404596389215</v>
      </c>
      <c r="K435" s="455">
        <f t="shared" ca="1" si="27"/>
        <v>15962.810151742089</v>
      </c>
      <c r="L435" s="455">
        <f t="shared" ca="1" si="28"/>
        <v>3847037.2465698435</v>
      </c>
      <c r="M435" s="471">
        <f t="shared" si="30"/>
        <v>0.05</v>
      </c>
      <c r="N435" s="475">
        <f t="shared" si="31"/>
        <v>64285</v>
      </c>
    </row>
    <row r="436" spans="7:14" ht="11.25" customHeight="1" x14ac:dyDescent="0.3">
      <c r="G436" s="470">
        <f t="shared" si="45"/>
        <v>36</v>
      </c>
      <c r="H436" s="470">
        <v>429</v>
      </c>
      <c r="I436" s="455">
        <f t="shared" ca="1" si="29"/>
        <v>3847037.2465698435</v>
      </c>
      <c r="J436" s="455">
        <f t="array" ref="J436">IFERROR(INDEX('Retirement Calculator'!J:J,MATCH('Isaac 401k'!N436,'Retirement Calculator'!A:A,0),0),0)</f>
        <v>6404.7404596389215</v>
      </c>
      <c r="K436" s="455">
        <f t="shared" ca="1" si="27"/>
        <v>16002.635442125853</v>
      </c>
      <c r="L436" s="455">
        <f t="shared" ca="1" si="28"/>
        <v>3856635.1415523305</v>
      </c>
      <c r="M436" s="471">
        <f t="shared" si="30"/>
        <v>0.05</v>
      </c>
      <c r="N436" s="475">
        <f t="shared" si="31"/>
        <v>64316</v>
      </c>
    </row>
    <row r="437" spans="7:14" ht="11.25" customHeight="1" x14ac:dyDescent="0.3">
      <c r="G437" s="470">
        <f t="shared" si="45"/>
        <v>36</v>
      </c>
      <c r="H437" s="470">
        <v>430</v>
      </c>
      <c r="I437" s="455">
        <f t="shared" ca="1" si="29"/>
        <v>3856635.1415523305</v>
      </c>
      <c r="J437" s="455">
        <f t="array" ref="J437">IFERROR(INDEX('Retirement Calculator'!J:J,MATCH('Isaac 401k'!N437,'Retirement Calculator'!A:A,0),0),0)</f>
        <v>6404.7404596389215</v>
      </c>
      <c r="K437" s="455">
        <f t="shared" ca="1" si="27"/>
        <v>16042.626671219545</v>
      </c>
      <c r="L437" s="455">
        <f t="shared" ca="1" si="28"/>
        <v>3866273.0277639111</v>
      </c>
      <c r="M437" s="471">
        <f t="shared" si="30"/>
        <v>0.05</v>
      </c>
      <c r="N437" s="475">
        <f t="shared" si="31"/>
        <v>64345</v>
      </c>
    </row>
    <row r="438" spans="7:14" ht="11.25" customHeight="1" x14ac:dyDescent="0.3">
      <c r="G438" s="470">
        <f t="shared" si="45"/>
        <v>36</v>
      </c>
      <c r="H438" s="470">
        <v>431</v>
      </c>
      <c r="I438" s="455">
        <f t="shared" ca="1" si="29"/>
        <v>3866273.0277639111</v>
      </c>
      <c r="J438" s="455">
        <f t="array" ref="J438">IFERROR(INDEX('Retirement Calculator'!J:J,MATCH('Isaac 401k'!N438,'Retirement Calculator'!A:A,0),0),0)</f>
        <v>6404.7404596389215</v>
      </c>
      <c r="K438" s="455">
        <f t="shared" ca="1" si="27"/>
        <v>16082.784530434466</v>
      </c>
      <c r="L438" s="455">
        <f t="shared" ca="1" si="28"/>
        <v>3875951.0718347062</v>
      </c>
      <c r="M438" s="471">
        <f t="shared" si="30"/>
        <v>0.05</v>
      </c>
      <c r="N438" s="475">
        <f t="shared" si="31"/>
        <v>64376</v>
      </c>
    </row>
    <row r="439" spans="7:14" ht="11.25" customHeight="1" x14ac:dyDescent="0.3">
      <c r="G439" s="470">
        <f t="shared" si="45"/>
        <v>36</v>
      </c>
      <c r="H439" s="470">
        <v>432</v>
      </c>
      <c r="I439" s="455">
        <f t="shared" ca="1" si="29"/>
        <v>3875951.0718347062</v>
      </c>
      <c r="J439" s="455">
        <f t="array" ref="J439">IFERROR(INDEX('Retirement Calculator'!J:J,MATCH('Isaac 401k'!N439,'Retirement Calculator'!A:A,0),0),0)</f>
        <v>6404.7404596389215</v>
      </c>
      <c r="K439" s="455">
        <f t="shared" ca="1" si="27"/>
        <v>16123.109714062781</v>
      </c>
      <c r="L439" s="455">
        <f t="shared" ca="1" si="28"/>
        <v>3885669.44108913</v>
      </c>
      <c r="M439" s="471">
        <f t="shared" si="30"/>
        <v>0.05</v>
      </c>
      <c r="N439" s="475">
        <f t="shared" si="31"/>
        <v>64406</v>
      </c>
    </row>
    <row r="440" spans="7:14" ht="11.25" customHeight="1" x14ac:dyDescent="0.3">
      <c r="G440" s="470">
        <f>G439+1</f>
        <v>37</v>
      </c>
      <c r="H440" s="470">
        <v>433</v>
      </c>
      <c r="I440" s="455">
        <f t="shared" ca="1" si="29"/>
        <v>3885669.44108913</v>
      </c>
      <c r="J440" s="455">
        <f t="array" ref="J440">IFERROR(INDEX('Retirement Calculator'!J:J,MATCH('Isaac 401k'!N440,'Retirement Calculator'!A:A,0),0),0)</f>
        <v>6404.7404596389215</v>
      </c>
      <c r="K440" s="455">
        <f t="shared" ca="1" si="27"/>
        <v>16163.602919289546</v>
      </c>
      <c r="L440" s="455">
        <f t="shared" ca="1" si="28"/>
        <v>3895428.3035487803</v>
      </c>
      <c r="M440" s="471">
        <f t="shared" si="30"/>
        <v>0.05</v>
      </c>
      <c r="N440" s="475">
        <f t="shared" si="31"/>
        <v>64437</v>
      </c>
    </row>
    <row r="441" spans="7:14" ht="11.25" customHeight="1" x14ac:dyDescent="0.3">
      <c r="G441" s="470">
        <f t="shared" ref="G441:G451" si="46">G440</f>
        <v>37</v>
      </c>
      <c r="H441" s="470">
        <v>434</v>
      </c>
      <c r="I441" s="455">
        <f t="shared" ca="1" si="29"/>
        <v>3895428.3035487803</v>
      </c>
      <c r="J441" s="455">
        <f t="array" ref="J441">IFERROR(INDEX('Retirement Calculator'!J:J,MATCH('Isaac 401k'!N441,'Retirement Calculator'!A:A,0),0),0)</f>
        <v>6404.7404596389215</v>
      </c>
      <c r="K441" s="455">
        <f t="shared" ca="1" si="27"/>
        <v>16204.264846204755</v>
      </c>
      <c r="L441" s="455">
        <f t="shared" ca="1" si="28"/>
        <v>3905227.8279353459</v>
      </c>
      <c r="M441" s="471">
        <f t="shared" si="30"/>
        <v>0.05</v>
      </c>
      <c r="N441" s="475">
        <f t="shared" si="31"/>
        <v>64467</v>
      </c>
    </row>
    <row r="442" spans="7:14" ht="11.25" customHeight="1" x14ac:dyDescent="0.3">
      <c r="G442" s="470">
        <f t="shared" si="46"/>
        <v>37</v>
      </c>
      <c r="H442" s="470">
        <v>435</v>
      </c>
      <c r="I442" s="455">
        <f t="shared" ca="1" si="29"/>
        <v>3905227.8279353459</v>
      </c>
      <c r="J442" s="455">
        <f t="array" ref="J442">IFERROR(INDEX('Retirement Calculator'!J:J,MATCH('Isaac 401k'!N442,'Retirement Calculator'!A:A,0),0),0)</f>
        <v>6404.7404596389215</v>
      </c>
      <c r="K442" s="455">
        <f t="shared" ca="1" si="27"/>
        <v>16245.096197815445</v>
      </c>
      <c r="L442" s="455">
        <f t="shared" ca="1" si="28"/>
        <v>3915068.1836735224</v>
      </c>
      <c r="M442" s="471">
        <f t="shared" si="30"/>
        <v>0.05</v>
      </c>
      <c r="N442" s="475">
        <f t="shared" si="31"/>
        <v>64498</v>
      </c>
    </row>
    <row r="443" spans="7:14" ht="11.25" customHeight="1" x14ac:dyDescent="0.3">
      <c r="G443" s="470">
        <f t="shared" si="46"/>
        <v>37</v>
      </c>
      <c r="H443" s="470">
        <v>436</v>
      </c>
      <c r="I443" s="455">
        <f t="shared" ca="1" si="29"/>
        <v>3915068.1836735224</v>
      </c>
      <c r="J443" s="455">
        <f t="array" ref="J443">IFERROR(INDEX('Retirement Calculator'!J:J,MATCH('Isaac 401k'!N443,'Retirement Calculator'!A:A,0),0),0)</f>
        <v>6404.7404596389215</v>
      </c>
      <c r="K443" s="455">
        <f t="shared" ca="1" si="27"/>
        <v>16286.097680057846</v>
      </c>
      <c r="L443" s="455">
        <f t="shared" ca="1" si="28"/>
        <v>3924949.5408939412</v>
      </c>
      <c r="M443" s="471">
        <f t="shared" si="30"/>
        <v>0.05</v>
      </c>
      <c r="N443" s="475">
        <f t="shared" si="31"/>
        <v>64529</v>
      </c>
    </row>
    <row r="444" spans="7:14" ht="11.25" customHeight="1" x14ac:dyDescent="0.3">
      <c r="G444" s="470">
        <f t="shared" si="46"/>
        <v>37</v>
      </c>
      <c r="H444" s="470">
        <v>437</v>
      </c>
      <c r="I444" s="455">
        <f t="shared" ca="1" si="29"/>
        <v>3924949.5408939412</v>
      </c>
      <c r="J444" s="455">
        <f t="array" ref="J444">IFERROR(INDEX('Retirement Calculator'!J:J,MATCH('Isaac 401k'!N444,'Retirement Calculator'!A:A,0),0),0)</f>
        <v>6404.7404596389215</v>
      </c>
      <c r="K444" s="455">
        <f t="shared" ca="1" si="27"/>
        <v>16327.270001809593</v>
      </c>
      <c r="L444" s="455">
        <f t="shared" ca="1" si="28"/>
        <v>3934872.0704361117</v>
      </c>
      <c r="M444" s="471">
        <f t="shared" si="30"/>
        <v>0.05</v>
      </c>
      <c r="N444" s="475">
        <f t="shared" si="31"/>
        <v>64559</v>
      </c>
    </row>
    <row r="445" spans="7:14" ht="11.25" customHeight="1" x14ac:dyDescent="0.3">
      <c r="G445" s="470">
        <f t="shared" si="46"/>
        <v>37</v>
      </c>
      <c r="H445" s="470">
        <v>438</v>
      </c>
      <c r="I445" s="455">
        <f t="shared" ca="1" si="29"/>
        <v>3934872.0704361117</v>
      </c>
      <c r="J445" s="455">
        <f t="array" ref="J445">IFERROR(INDEX('Retirement Calculator'!J:J,MATCH('Isaac 401k'!N445,'Retirement Calculator'!A:A,0),0),0)</f>
        <v>6404.7404596389215</v>
      </c>
      <c r="K445" s="455">
        <f t="shared" ca="1" si="27"/>
        <v>16368.613874901968</v>
      </c>
      <c r="L445" s="455">
        <f t="shared" ca="1" si="28"/>
        <v>3944835.9438513746</v>
      </c>
      <c r="M445" s="471">
        <f t="shared" si="30"/>
        <v>0.05</v>
      </c>
      <c r="N445" s="475">
        <f t="shared" si="31"/>
        <v>64590</v>
      </c>
    </row>
    <row r="446" spans="7:14" ht="11.25" customHeight="1" x14ac:dyDescent="0.3">
      <c r="G446" s="470">
        <f t="shared" si="46"/>
        <v>37</v>
      </c>
      <c r="H446" s="470">
        <v>439</v>
      </c>
      <c r="I446" s="455">
        <f t="shared" ca="1" si="29"/>
        <v>3944835.9438513746</v>
      </c>
      <c r="J446" s="455">
        <f t="array" ref="J446">IFERROR(INDEX('Retirement Calculator'!J:J,MATCH('Isaac 401k'!N446,'Retirement Calculator'!A:A,0),0),0)</f>
        <v>6404.7404596389215</v>
      </c>
      <c r="K446" s="455">
        <f t="shared" ca="1" si="27"/>
        <v>16410.130014132228</v>
      </c>
      <c r="L446" s="455">
        <f t="shared" ca="1" si="28"/>
        <v>3954841.3334058677</v>
      </c>
      <c r="M446" s="471">
        <f t="shared" si="30"/>
        <v>0.05</v>
      </c>
      <c r="N446" s="475">
        <f t="shared" si="31"/>
        <v>64620</v>
      </c>
    </row>
    <row r="447" spans="7:14" ht="11.25" customHeight="1" x14ac:dyDescent="0.3">
      <c r="G447" s="470">
        <f t="shared" si="46"/>
        <v>37</v>
      </c>
      <c r="H447" s="470">
        <v>440</v>
      </c>
      <c r="I447" s="455">
        <f t="shared" ca="1" si="29"/>
        <v>3954841.3334058677</v>
      </c>
      <c r="J447" s="455">
        <f t="array" ref="J447">IFERROR(INDEX('Retirement Calculator'!J:J,MATCH('Isaac 401k'!N447,'Retirement Calculator'!A:A,0),0),0)</f>
        <v>6404.7404596389215</v>
      </c>
      <c r="K447" s="455">
        <f t="shared" ca="1" si="27"/>
        <v>16451.819137275954</v>
      </c>
      <c r="L447" s="455">
        <f t="shared" ca="1" si="28"/>
        <v>3964888.4120835047</v>
      </c>
      <c r="M447" s="471">
        <f t="shared" si="30"/>
        <v>0.05</v>
      </c>
      <c r="N447" s="475">
        <f t="shared" si="31"/>
        <v>64651</v>
      </c>
    </row>
    <row r="448" spans="7:14" ht="11.25" customHeight="1" x14ac:dyDescent="0.3">
      <c r="G448" s="470">
        <f t="shared" si="46"/>
        <v>37</v>
      </c>
      <c r="H448" s="470">
        <v>441</v>
      </c>
      <c r="I448" s="455">
        <f t="shared" ca="1" si="29"/>
        <v>3964888.4120835047</v>
      </c>
      <c r="J448" s="455">
        <f t="array" ref="J448">IFERROR(INDEX('Retirement Calculator'!J:J,MATCH('Isaac 401k'!N448,'Retirement Calculator'!A:A,0),0),0)</f>
        <v>6404.7404596389215</v>
      </c>
      <c r="K448" s="455">
        <f t="shared" ca="1" si="27"/>
        <v>16493.68196509944</v>
      </c>
      <c r="L448" s="455">
        <f t="shared" ca="1" si="28"/>
        <v>3974977.3535889653</v>
      </c>
      <c r="M448" s="471">
        <f t="shared" si="30"/>
        <v>0.05</v>
      </c>
      <c r="N448" s="475">
        <f t="shared" si="31"/>
        <v>64682</v>
      </c>
    </row>
    <row r="449" spans="7:14" ht="11.25" customHeight="1" x14ac:dyDescent="0.3">
      <c r="G449" s="470">
        <f t="shared" si="46"/>
        <v>37</v>
      </c>
      <c r="H449" s="470">
        <v>442</v>
      </c>
      <c r="I449" s="455">
        <f t="shared" ca="1" si="29"/>
        <v>3974977.3535889653</v>
      </c>
      <c r="J449" s="455">
        <f t="array" ref="J449">IFERROR(INDEX('Retirement Calculator'!J:J,MATCH('Isaac 401k'!N449,'Retirement Calculator'!A:A,0),0),0)</f>
        <v>6404.7404596389215</v>
      </c>
      <c r="K449" s="455">
        <f t="shared" ca="1" si="27"/>
        <v>16535.719221372194</v>
      </c>
      <c r="L449" s="455">
        <f t="shared" ca="1" si="28"/>
        <v>3985108.3323506983</v>
      </c>
      <c r="M449" s="471">
        <f t="shared" si="30"/>
        <v>0.05</v>
      </c>
      <c r="N449" s="475">
        <f t="shared" si="31"/>
        <v>64710</v>
      </c>
    </row>
    <row r="450" spans="7:14" ht="11.25" customHeight="1" x14ac:dyDescent="0.3">
      <c r="G450" s="470">
        <f t="shared" si="46"/>
        <v>37</v>
      </c>
      <c r="H450" s="470">
        <v>443</v>
      </c>
      <c r="I450" s="455">
        <f t="shared" ca="1" si="29"/>
        <v>3985108.3323506983</v>
      </c>
      <c r="J450" s="455">
        <f t="array" ref="J450">IFERROR(INDEX('Retirement Calculator'!J:J,MATCH('Isaac 401k'!N450,'Retirement Calculator'!A:A,0),0),0)</f>
        <v>6404.7404596389215</v>
      </c>
      <c r="K450" s="455">
        <f t="shared" ca="1" si="27"/>
        <v>16577.931632879412</v>
      </c>
      <c r="L450" s="455">
        <f t="shared" ca="1" si="28"/>
        <v>3995281.5235239384</v>
      </c>
      <c r="M450" s="471">
        <f t="shared" si="30"/>
        <v>0.05</v>
      </c>
      <c r="N450" s="475">
        <f t="shared" si="31"/>
        <v>64741</v>
      </c>
    </row>
    <row r="451" spans="7:14" ht="11.25" customHeight="1" x14ac:dyDescent="0.3">
      <c r="G451" s="470">
        <f t="shared" si="46"/>
        <v>37</v>
      </c>
      <c r="H451" s="470">
        <v>444</v>
      </c>
      <c r="I451" s="455">
        <f t="shared" ca="1" si="29"/>
        <v>3995281.5235239384</v>
      </c>
      <c r="J451" s="455">
        <f t="array" ref="J451">IFERROR(INDEX('Retirement Calculator'!J:J,MATCH('Isaac 401k'!N451,'Retirement Calculator'!A:A,0),0),0)</f>
        <v>6404.7404596389215</v>
      </c>
      <c r="K451" s="455">
        <f t="shared" ca="1" si="27"/>
        <v>16620.31992943458</v>
      </c>
      <c r="L451" s="455">
        <f t="shared" ca="1" si="28"/>
        <v>4005497.1029937337</v>
      </c>
      <c r="M451" s="471">
        <f t="shared" si="30"/>
        <v>0.05</v>
      </c>
      <c r="N451" s="475">
        <f t="shared" si="31"/>
        <v>64771</v>
      </c>
    </row>
    <row r="452" spans="7:14" ht="11.25" customHeight="1" x14ac:dyDescent="0.3">
      <c r="G452" s="470">
        <f>G451+1</f>
        <v>38</v>
      </c>
      <c r="H452" s="470">
        <v>445</v>
      </c>
      <c r="I452" s="455">
        <f t="shared" ca="1" si="29"/>
        <v>4005497.1029937337</v>
      </c>
      <c r="J452" s="455">
        <f t="array" ref="J452">IFERROR(INDEX('Retirement Calculator'!J:J,MATCH('Isaac 401k'!N452,'Retirement Calculator'!A:A,0),0),0)</f>
        <v>6404.7404596389215</v>
      </c>
      <c r="K452" s="455">
        <f t="shared" ca="1" si="27"/>
        <v>16662.884843892061</v>
      </c>
      <c r="L452" s="455">
        <f t="shared" ca="1" si="28"/>
        <v>4015755.2473779866</v>
      </c>
      <c r="M452" s="471">
        <f t="shared" si="30"/>
        <v>0.05</v>
      </c>
      <c r="N452" s="475">
        <f t="shared" si="31"/>
        <v>64802</v>
      </c>
    </row>
    <row r="453" spans="7:14" ht="11.25" customHeight="1" x14ac:dyDescent="0.3">
      <c r="G453" s="470">
        <f t="shared" ref="G453:G463" si="47">G452</f>
        <v>38</v>
      </c>
      <c r="H453" s="470">
        <v>446</v>
      </c>
      <c r="I453" s="455">
        <f t="shared" ca="1" si="29"/>
        <v>4015755.2473779866</v>
      </c>
      <c r="J453" s="455">
        <f t="array" ref="J453">IFERROR(INDEX('Retirement Calculator'!J:J,MATCH('Isaac 401k'!N453,'Retirement Calculator'!A:A,0),0),0)</f>
        <v>6404.7404596389215</v>
      </c>
      <c r="K453" s="455">
        <f t="shared" ca="1" si="27"/>
        <v>16705.627112159778</v>
      </c>
      <c r="L453" s="455">
        <f t="shared" ca="1" si="28"/>
        <v>4026056.1340305074</v>
      </c>
      <c r="M453" s="471">
        <f t="shared" si="30"/>
        <v>0.05</v>
      </c>
      <c r="N453" s="475">
        <f t="shared" si="31"/>
        <v>64832</v>
      </c>
    </row>
    <row r="454" spans="7:14" ht="11.25" customHeight="1" x14ac:dyDescent="0.3">
      <c r="G454" s="470">
        <f t="shared" si="47"/>
        <v>38</v>
      </c>
      <c r="H454" s="470">
        <v>447</v>
      </c>
      <c r="I454" s="455">
        <f t="shared" ca="1" si="29"/>
        <v>4026056.1340305074</v>
      </c>
      <c r="J454" s="455">
        <f t="array" ref="J454">IFERROR(INDEX('Retirement Calculator'!J:J,MATCH('Isaac 401k'!N454,'Retirement Calculator'!A:A,0),0),0)</f>
        <v>6404.7404596389215</v>
      </c>
      <c r="K454" s="455">
        <f t="shared" ca="1" si="27"/>
        <v>16748.547473211951</v>
      </c>
      <c r="L454" s="455">
        <f t="shared" ca="1" si="28"/>
        <v>4036399.9410440801</v>
      </c>
      <c r="M454" s="471">
        <f t="shared" si="30"/>
        <v>0.05</v>
      </c>
      <c r="N454" s="475">
        <f t="shared" si="31"/>
        <v>64863</v>
      </c>
    </row>
    <row r="455" spans="7:14" ht="11.25" customHeight="1" x14ac:dyDescent="0.3">
      <c r="G455" s="470">
        <f t="shared" si="47"/>
        <v>38</v>
      </c>
      <c r="H455" s="470">
        <v>448</v>
      </c>
      <c r="I455" s="455">
        <f t="shared" ca="1" si="29"/>
        <v>4036399.9410440801</v>
      </c>
      <c r="J455" s="455">
        <f t="array" ref="J455">IFERROR(INDEX('Retirement Calculator'!J:J,MATCH('Isaac 401k'!N455,'Retirement Calculator'!A:A,0),0),0)</f>
        <v>6404.7404596389215</v>
      </c>
      <c r="K455" s="455">
        <f t="shared" ca="1" si="27"/>
        <v>16791.646669101836</v>
      </c>
      <c r="L455" s="455">
        <f t="shared" ca="1" si="28"/>
        <v>4046786.8472535429</v>
      </c>
      <c r="M455" s="471">
        <f t="shared" si="30"/>
        <v>0.05</v>
      </c>
      <c r="N455" s="475">
        <f t="shared" si="31"/>
        <v>64894</v>
      </c>
    </row>
    <row r="456" spans="7:14" ht="11.25" customHeight="1" x14ac:dyDescent="0.3">
      <c r="G456" s="470">
        <f t="shared" si="47"/>
        <v>38</v>
      </c>
      <c r="H456" s="470">
        <v>449</v>
      </c>
      <c r="I456" s="455">
        <f t="shared" ca="1" si="29"/>
        <v>4046786.8472535429</v>
      </c>
      <c r="J456" s="455">
        <f t="array" ref="J456">IFERROR(INDEX('Retirement Calculator'!J:J,MATCH('Isaac 401k'!N456,'Retirement Calculator'!A:A,0),0),0)</f>
        <v>6404.7404596389215</v>
      </c>
      <c r="K456" s="455">
        <f t="shared" ca="1" si="27"/>
        <v>16834.9254449746</v>
      </c>
      <c r="L456" s="455">
        <f t="shared" ca="1" si="28"/>
        <v>4057217.0322388783</v>
      </c>
      <c r="M456" s="471">
        <f t="shared" si="30"/>
        <v>0.05</v>
      </c>
      <c r="N456" s="475">
        <f t="shared" si="31"/>
        <v>64924</v>
      </c>
    </row>
    <row r="457" spans="7:14" ht="11.25" customHeight="1" x14ac:dyDescent="0.3">
      <c r="G457" s="470">
        <f t="shared" si="47"/>
        <v>38</v>
      </c>
      <c r="H457" s="470">
        <v>450</v>
      </c>
      <c r="I457" s="455">
        <f t="shared" ca="1" si="29"/>
        <v>4057217.0322388783</v>
      </c>
      <c r="J457" s="455">
        <f t="array" ref="J457">IFERROR(INDEX('Retirement Calculator'!J:J,MATCH('Isaac 401k'!N457,'Retirement Calculator'!A:A,0),0),0)</f>
        <v>6404.7404596389215</v>
      </c>
      <c r="K457" s="455">
        <f t="shared" ca="1" si="27"/>
        <v>16878.384549080165</v>
      </c>
      <c r="L457" s="455">
        <f t="shared" ca="1" si="28"/>
        <v>4067690.6763283196</v>
      </c>
      <c r="M457" s="471">
        <f t="shared" si="30"/>
        <v>0.05</v>
      </c>
      <c r="N457" s="475">
        <f t="shared" si="31"/>
        <v>64955</v>
      </c>
    </row>
    <row r="458" spans="7:14" ht="11.25" customHeight="1" x14ac:dyDescent="0.3">
      <c r="G458" s="470">
        <f t="shared" si="47"/>
        <v>38</v>
      </c>
      <c r="H458" s="470">
        <v>451</v>
      </c>
      <c r="I458" s="455">
        <f t="shared" ca="1" si="29"/>
        <v>4067690.6763283196</v>
      </c>
      <c r="J458" s="455">
        <f t="array" ref="J458">IFERROR(INDEX('Retirement Calculator'!J:J,MATCH('Isaac 401k'!N458,'Retirement Calculator'!A:A,0),0),0)</f>
        <v>6404.7404596389215</v>
      </c>
      <c r="K458" s="455">
        <f t="shared" ca="1" si="27"/>
        <v>16922.024732786169</v>
      </c>
      <c r="L458" s="455">
        <f t="shared" ca="1" si="28"/>
        <v>4078207.9606014667</v>
      </c>
      <c r="M458" s="471">
        <f t="shared" si="30"/>
        <v>0.05</v>
      </c>
      <c r="N458" s="475">
        <f t="shared" si="31"/>
        <v>64985</v>
      </c>
    </row>
    <row r="459" spans="7:14" ht="11.25" customHeight="1" x14ac:dyDescent="0.3">
      <c r="G459" s="470">
        <f t="shared" si="47"/>
        <v>38</v>
      </c>
      <c r="H459" s="470">
        <v>452</v>
      </c>
      <c r="I459" s="455">
        <f t="shared" ca="1" si="29"/>
        <v>4078207.9606014667</v>
      </c>
      <c r="J459" s="455">
        <f t="array" ref="J459">IFERROR(INDEX('Retirement Calculator'!J:J,MATCH('Isaac 401k'!N459,'Retirement Calculator'!A:A,0),0),0)</f>
        <v>6404.7404596389215</v>
      </c>
      <c r="K459" s="455">
        <f t="shared" ca="1" si="27"/>
        <v>16965.84675059095</v>
      </c>
      <c r="L459" s="455">
        <f t="shared" ca="1" si="28"/>
        <v>4088769.0668924185</v>
      </c>
      <c r="M459" s="471">
        <f t="shared" si="30"/>
        <v>0.05</v>
      </c>
      <c r="N459" s="475">
        <f t="shared" si="31"/>
        <v>65016</v>
      </c>
    </row>
    <row r="460" spans="7:14" ht="11.25" customHeight="1" x14ac:dyDescent="0.3">
      <c r="G460" s="470">
        <f t="shared" si="47"/>
        <v>38</v>
      </c>
      <c r="H460" s="470">
        <v>453</v>
      </c>
      <c r="I460" s="455">
        <f t="shared" ca="1" si="29"/>
        <v>4088769.0668924185</v>
      </c>
      <c r="J460" s="455">
        <f t="array" ref="J460">IFERROR(INDEX('Retirement Calculator'!J:J,MATCH('Isaac 401k'!N460,'Retirement Calculator'!A:A,0),0),0)</f>
        <v>6404.7404596389215</v>
      </c>
      <c r="K460" s="455">
        <f t="shared" ca="1" si="27"/>
        <v>17009.851360136581</v>
      </c>
      <c r="L460" s="455">
        <f t="shared" ca="1" si="28"/>
        <v>4099374.1777929161</v>
      </c>
      <c r="M460" s="471">
        <f t="shared" si="30"/>
        <v>0.05</v>
      </c>
      <c r="N460" s="475">
        <f t="shared" si="31"/>
        <v>65047</v>
      </c>
    </row>
    <row r="461" spans="7:14" ht="11.25" customHeight="1" x14ac:dyDescent="0.3">
      <c r="G461" s="470">
        <f t="shared" si="47"/>
        <v>38</v>
      </c>
      <c r="H461" s="470">
        <v>454</v>
      </c>
      <c r="I461" s="455">
        <f t="shared" ca="1" si="29"/>
        <v>4099374.1777929161</v>
      </c>
      <c r="J461" s="455">
        <f t="array" ref="J461">IFERROR(INDEX('Retirement Calculator'!J:J,MATCH('Isaac 401k'!N461,'Retirement Calculator'!A:A,0),0),0)</f>
        <v>6404.7404596389215</v>
      </c>
      <c r="K461" s="455">
        <f t="shared" ca="1" si="27"/>
        <v>17054.039322221986</v>
      </c>
      <c r="L461" s="455">
        <f t="shared" ca="1" si="28"/>
        <v>4110023.4766554991</v>
      </c>
      <c r="M461" s="471">
        <f t="shared" si="30"/>
        <v>0.05</v>
      </c>
      <c r="N461" s="475">
        <f t="shared" si="31"/>
        <v>65075</v>
      </c>
    </row>
    <row r="462" spans="7:14" ht="11.25" customHeight="1" x14ac:dyDescent="0.3">
      <c r="G462" s="470">
        <f t="shared" si="47"/>
        <v>38</v>
      </c>
      <c r="H462" s="470">
        <v>455</v>
      </c>
      <c r="I462" s="455">
        <f t="shared" ca="1" si="29"/>
        <v>4110023.4766554991</v>
      </c>
      <c r="J462" s="455">
        <f t="array" ref="J462">IFERROR(INDEX('Retirement Calculator'!J:J,MATCH('Isaac 401k'!N462,'Retirement Calculator'!A:A,0),0),0)</f>
        <v>6404.7404596389215</v>
      </c>
      <c r="K462" s="455">
        <f t="shared" ca="1" si="27"/>
        <v>17098.411400816083</v>
      </c>
      <c r="L462" s="455">
        <f t="shared" ca="1" si="28"/>
        <v>4120717.1475966759</v>
      </c>
      <c r="M462" s="471">
        <f t="shared" si="30"/>
        <v>0.05</v>
      </c>
      <c r="N462" s="475">
        <f t="shared" si="31"/>
        <v>65106</v>
      </c>
    </row>
    <row r="463" spans="7:14" ht="11.25" customHeight="1" x14ac:dyDescent="0.3">
      <c r="G463" s="470">
        <f t="shared" si="47"/>
        <v>38</v>
      </c>
      <c r="H463" s="470">
        <v>456</v>
      </c>
      <c r="I463" s="455">
        <f t="shared" ca="1" si="29"/>
        <v>4120717.1475966759</v>
      </c>
      <c r="J463" s="455">
        <f t="array" ref="J463">IFERROR(INDEX('Retirement Calculator'!J:J,MATCH('Isaac 401k'!N463,'Retirement Calculator'!A:A,0),0),0)</f>
        <v>6404.7404596389215</v>
      </c>
      <c r="K463" s="455">
        <f t="shared" ca="1" si="27"/>
        <v>17142.968363070988</v>
      </c>
      <c r="L463" s="455">
        <f t="shared" ca="1" si="28"/>
        <v>4131455.3755001076</v>
      </c>
      <c r="M463" s="471">
        <f t="shared" si="30"/>
        <v>0.05</v>
      </c>
      <c r="N463" s="475">
        <f t="shared" si="31"/>
        <v>65136</v>
      </c>
    </row>
    <row r="464" spans="7:14" ht="11.25" customHeight="1" x14ac:dyDescent="0.3">
      <c r="G464" s="470">
        <f>G463+1</f>
        <v>39</v>
      </c>
      <c r="H464" s="470">
        <v>457</v>
      </c>
      <c r="I464" s="455">
        <f t="shared" ca="1" si="29"/>
        <v>4131455.3755001076</v>
      </c>
      <c r="J464" s="455">
        <f t="array" ref="J464">IFERROR(INDEX('Retirement Calculator'!J:J,MATCH('Isaac 401k'!N464,'Retirement Calculator'!A:A,0),0),0)</f>
        <v>6404.7404596389215</v>
      </c>
      <c r="K464" s="455">
        <f t="shared" ca="1" si="27"/>
        <v>17187.710979335287</v>
      </c>
      <c r="L464" s="455">
        <f t="shared" ca="1" si="28"/>
        <v>4142238.346019804</v>
      </c>
      <c r="M464" s="471">
        <f t="shared" si="30"/>
        <v>0.05</v>
      </c>
      <c r="N464" s="475">
        <f t="shared" si="31"/>
        <v>65167</v>
      </c>
    </row>
    <row r="465" spans="7:14" ht="11.25" customHeight="1" x14ac:dyDescent="0.3">
      <c r="G465" s="470">
        <f t="shared" ref="G465:G475" si="48">G464</f>
        <v>39</v>
      </c>
      <c r="H465" s="470">
        <v>458</v>
      </c>
      <c r="I465" s="455">
        <f t="shared" ca="1" si="29"/>
        <v>4142238.346019804</v>
      </c>
      <c r="J465" s="455">
        <f t="array" ref="J465">IFERROR(INDEX('Retirement Calculator'!J:J,MATCH('Isaac 401k'!N465,'Retirement Calculator'!A:A,0),0),0)</f>
        <v>6404.7404596389215</v>
      </c>
      <c r="K465" s="455">
        <f t="shared" ca="1" si="27"/>
        <v>17232.640023167354</v>
      </c>
      <c r="L465" s="455">
        <f t="shared" ca="1" si="28"/>
        <v>4153066.2455833321</v>
      </c>
      <c r="M465" s="471">
        <f t="shared" si="30"/>
        <v>0.05</v>
      </c>
      <c r="N465" s="475">
        <f t="shared" si="31"/>
        <v>65197</v>
      </c>
    </row>
    <row r="466" spans="7:14" ht="11.25" customHeight="1" x14ac:dyDescent="0.3">
      <c r="G466" s="470">
        <f t="shared" si="48"/>
        <v>39</v>
      </c>
      <c r="H466" s="470">
        <v>459</v>
      </c>
      <c r="I466" s="455">
        <f t="shared" ca="1" si="29"/>
        <v>4153066.2455833321</v>
      </c>
      <c r="J466" s="455">
        <f t="array" ref="J466">IFERROR(INDEX('Retirement Calculator'!J:J,MATCH('Isaac 401k'!N466,'Retirement Calculator'!A:A,0),0),0)</f>
        <v>6404.7404596389215</v>
      </c>
      <c r="K466" s="455">
        <f t="shared" ca="1" si="27"/>
        <v>17277.75627134872</v>
      </c>
      <c r="L466" s="455">
        <f t="shared" ca="1" si="28"/>
        <v>4163939.2613950418</v>
      </c>
      <c r="M466" s="471">
        <f t="shared" si="30"/>
        <v>0.05</v>
      </c>
      <c r="N466" s="475">
        <f t="shared" si="31"/>
        <v>65228</v>
      </c>
    </row>
    <row r="467" spans="7:14" ht="11.25" customHeight="1" x14ac:dyDescent="0.3">
      <c r="G467" s="470">
        <f t="shared" si="48"/>
        <v>39</v>
      </c>
      <c r="H467" s="470">
        <v>460</v>
      </c>
      <c r="I467" s="455">
        <f t="shared" ca="1" si="29"/>
        <v>4163939.2613950418</v>
      </c>
      <c r="J467" s="455">
        <f t="array" ref="J467">IFERROR(INDEX('Retirement Calculator'!J:J,MATCH('Isaac 401k'!N467,'Retirement Calculator'!A:A,0),0),0)</f>
        <v>6404.7404596389215</v>
      </c>
      <c r="K467" s="455">
        <f t="shared" ca="1" si="27"/>
        <v>17323.060503897512</v>
      </c>
      <c r="L467" s="455">
        <f t="shared" ca="1" si="28"/>
        <v>4174857.5814393004</v>
      </c>
      <c r="M467" s="471">
        <f t="shared" si="30"/>
        <v>0.05</v>
      </c>
      <c r="N467" s="475">
        <f t="shared" si="31"/>
        <v>65259</v>
      </c>
    </row>
    <row r="468" spans="7:14" ht="11.25" customHeight="1" x14ac:dyDescent="0.3">
      <c r="G468" s="470">
        <f t="shared" si="48"/>
        <v>39</v>
      </c>
      <c r="H468" s="470">
        <v>461</v>
      </c>
      <c r="I468" s="455">
        <f t="shared" ca="1" si="29"/>
        <v>4174857.5814393004</v>
      </c>
      <c r="J468" s="455">
        <f t="array" ref="J468">IFERROR(INDEX('Retirement Calculator'!J:J,MATCH('Isaac 401k'!N468,'Retirement Calculator'!A:A,0),0),0)</f>
        <v>6404.7404596389215</v>
      </c>
      <c r="K468" s="455">
        <f t="shared" ca="1" si="27"/>
        <v>17368.553504081923</v>
      </c>
      <c r="L468" s="455">
        <f t="shared" ca="1" si="28"/>
        <v>4185821.3944837432</v>
      </c>
      <c r="M468" s="471">
        <f t="shared" si="30"/>
        <v>0.05</v>
      </c>
      <c r="N468" s="475">
        <f t="shared" si="31"/>
        <v>65289</v>
      </c>
    </row>
    <row r="469" spans="7:14" ht="11.25" customHeight="1" x14ac:dyDescent="0.3">
      <c r="G469" s="470">
        <f t="shared" si="48"/>
        <v>39</v>
      </c>
      <c r="H469" s="470">
        <v>462</v>
      </c>
      <c r="I469" s="455">
        <f t="shared" ca="1" si="29"/>
        <v>4185821.3944837432</v>
      </c>
      <c r="J469" s="455">
        <f t="array" ref="J469">IFERROR(INDEX('Retirement Calculator'!J:J,MATCH('Isaac 401k'!N469,'Retirement Calculator'!A:A,0),0),0)</f>
        <v>6404.7404596389215</v>
      </c>
      <c r="K469" s="455">
        <f t="shared" ca="1" si="27"/>
        <v>17414.236058433766</v>
      </c>
      <c r="L469" s="455">
        <f t="shared" ca="1" si="28"/>
        <v>4196830.8900825381</v>
      </c>
      <c r="M469" s="471">
        <f t="shared" si="30"/>
        <v>0.05</v>
      </c>
      <c r="N469" s="475">
        <f t="shared" si="31"/>
        <v>65320</v>
      </c>
    </row>
    <row r="470" spans="7:14" ht="11.25" customHeight="1" x14ac:dyDescent="0.3">
      <c r="G470" s="470">
        <f t="shared" si="48"/>
        <v>39</v>
      </c>
      <c r="H470" s="470">
        <v>463</v>
      </c>
      <c r="I470" s="455">
        <f t="shared" ca="1" si="29"/>
        <v>4196830.8900825381</v>
      </c>
      <c r="J470" s="455">
        <f t="array" ref="J470">IFERROR(INDEX('Retirement Calculator'!J:J,MATCH('Isaac 401k'!N470,'Retirement Calculator'!A:A,0),0),0)</f>
        <v>6404.7404596389215</v>
      </c>
      <c r="K470" s="455">
        <f t="shared" ca="1" si="27"/>
        <v>17460.108956762077</v>
      </c>
      <c r="L470" s="455">
        <f t="shared" ca="1" si="28"/>
        <v>4207886.2585796611</v>
      </c>
      <c r="M470" s="471">
        <f t="shared" si="30"/>
        <v>0.05</v>
      </c>
      <c r="N470" s="475">
        <f t="shared" si="31"/>
        <v>65350</v>
      </c>
    </row>
    <row r="471" spans="7:14" ht="11.25" customHeight="1" x14ac:dyDescent="0.3">
      <c r="G471" s="470">
        <f t="shared" si="48"/>
        <v>39</v>
      </c>
      <c r="H471" s="470">
        <v>464</v>
      </c>
      <c r="I471" s="455">
        <f t="shared" ca="1" si="29"/>
        <v>4207886.2585796611</v>
      </c>
      <c r="J471" s="455">
        <f t="array" ref="J471">IFERROR(INDEX('Retirement Calculator'!J:J,MATCH('Isaac 401k'!N471,'Retirement Calculator'!A:A,0),0),0)</f>
        <v>6404.7404596389215</v>
      </c>
      <c r="K471" s="455">
        <f t="shared" ca="1" si="27"/>
        <v>17506.172992166761</v>
      </c>
      <c r="L471" s="455">
        <f t="shared" ca="1" si="28"/>
        <v>4218987.6911121896</v>
      </c>
      <c r="M471" s="471">
        <f t="shared" si="30"/>
        <v>0.05</v>
      </c>
      <c r="N471" s="475">
        <f t="shared" si="31"/>
        <v>65381</v>
      </c>
    </row>
    <row r="472" spans="7:14" ht="11.25" customHeight="1" x14ac:dyDescent="0.3">
      <c r="G472" s="470">
        <f t="shared" si="48"/>
        <v>39</v>
      </c>
      <c r="H472" s="470">
        <v>465</v>
      </c>
      <c r="I472" s="455">
        <f t="shared" ca="1" si="29"/>
        <v>4218987.6911121896</v>
      </c>
      <c r="J472" s="455">
        <f t="array" ref="J472">IFERROR(INDEX('Retirement Calculator'!J:J,MATCH('Isaac 401k'!N472,'Retirement Calculator'!A:A,0),0),0)</f>
        <v>6404.7404596389215</v>
      </c>
      <c r="K472" s="455">
        <f t="shared" ca="1" si="27"/>
        <v>17552.428961052294</v>
      </c>
      <c r="L472" s="455">
        <f t="shared" ca="1" si="28"/>
        <v>4230135.3796136035</v>
      </c>
      <c r="M472" s="471">
        <f t="shared" si="30"/>
        <v>0.05</v>
      </c>
      <c r="N472" s="475">
        <f t="shared" si="31"/>
        <v>65412</v>
      </c>
    </row>
    <row r="473" spans="7:14" ht="11.25" customHeight="1" x14ac:dyDescent="0.3">
      <c r="G473" s="470">
        <f t="shared" si="48"/>
        <v>39</v>
      </c>
      <c r="H473" s="470">
        <v>466</v>
      </c>
      <c r="I473" s="455">
        <f t="shared" ca="1" si="29"/>
        <v>4230135.3796136035</v>
      </c>
      <c r="J473" s="455">
        <f t="array" ref="J473">IFERROR(INDEX('Retirement Calculator'!J:J,MATCH('Isaac 401k'!N473,'Retirement Calculator'!A:A,0),0),0)</f>
        <v>6404.7404596389215</v>
      </c>
      <c r="K473" s="455">
        <f t="shared" ca="1" si="27"/>
        <v>17598.87766314152</v>
      </c>
      <c r="L473" s="455">
        <f t="shared" ca="1" si="28"/>
        <v>4241329.5168171059</v>
      </c>
      <c r="M473" s="471">
        <f t="shared" si="30"/>
        <v>0.05</v>
      </c>
      <c r="N473" s="475">
        <f t="shared" si="31"/>
        <v>65440</v>
      </c>
    </row>
    <row r="474" spans="7:14" ht="11.25" customHeight="1" x14ac:dyDescent="0.3">
      <c r="G474" s="470">
        <f t="shared" si="48"/>
        <v>39</v>
      </c>
      <c r="H474" s="470">
        <v>467</v>
      </c>
      <c r="I474" s="455">
        <f t="shared" ca="1" si="29"/>
        <v>4241329.5168171059</v>
      </c>
      <c r="J474" s="455">
        <f t="array" ref="J474">IFERROR(INDEX('Retirement Calculator'!J:J,MATCH('Isaac 401k'!N474,'Retirement Calculator'!A:A,0),0),0)</f>
        <v>6404.7404596389215</v>
      </c>
      <c r="K474" s="455">
        <f t="shared" ca="1" si="27"/>
        <v>17645.519901489446</v>
      </c>
      <c r="L474" s="455">
        <f t="shared" ca="1" si="28"/>
        <v>4252570.2962589571</v>
      </c>
      <c r="M474" s="471">
        <f t="shared" si="30"/>
        <v>0.05</v>
      </c>
      <c r="N474" s="475">
        <f t="shared" si="31"/>
        <v>65471</v>
      </c>
    </row>
    <row r="475" spans="7:14" ht="11.25" customHeight="1" x14ac:dyDescent="0.3">
      <c r="G475" s="470">
        <f t="shared" si="48"/>
        <v>39</v>
      </c>
      <c r="H475" s="470">
        <v>468</v>
      </c>
      <c r="I475" s="455">
        <f t="shared" ca="1" si="29"/>
        <v>4252570.2962589571</v>
      </c>
      <c r="J475" s="455">
        <f t="array" ref="J475">IFERROR(INDEX('Retirement Calculator'!J:J,MATCH('Isaac 401k'!N475,'Retirement Calculator'!A:A,0),0),0)</f>
        <v>6404.7404596389215</v>
      </c>
      <c r="K475" s="455">
        <f t="shared" ca="1" si="27"/>
        <v>17692.356482497162</v>
      </c>
      <c r="L475" s="455">
        <f t="shared" ca="1" si="28"/>
        <v>4263857.9122818159</v>
      </c>
      <c r="M475" s="471">
        <f t="shared" si="30"/>
        <v>0.05</v>
      </c>
      <c r="N475" s="475">
        <f t="shared" si="31"/>
        <v>65501</v>
      </c>
    </row>
    <row r="476" spans="7:14" ht="11.25" customHeight="1" x14ac:dyDescent="0.3">
      <c r="G476" s="470">
        <f>G475+1</f>
        <v>40</v>
      </c>
      <c r="H476" s="470">
        <v>469</v>
      </c>
      <c r="I476" s="455">
        <f t="shared" ca="1" si="29"/>
        <v>4263857.9122818159</v>
      </c>
      <c r="J476" s="455">
        <f t="array" ref="J476">IFERROR(INDEX('Retirement Calculator'!J:J,MATCH('Isaac 401k'!N476,'Retirement Calculator'!A:A,0),0),0)</f>
        <v>6404.7404596389215</v>
      </c>
      <c r="K476" s="455">
        <f t="shared" ca="1" si="27"/>
        <v>17739.388215925737</v>
      </c>
      <c r="L476" s="455">
        <f t="shared" ca="1" si="28"/>
        <v>4275192.5600381028</v>
      </c>
      <c r="M476" s="471">
        <f t="shared" si="30"/>
        <v>0.05</v>
      </c>
      <c r="N476" s="475">
        <f t="shared" si="31"/>
        <v>65532</v>
      </c>
    </row>
    <row r="477" spans="7:14" ht="11.25" customHeight="1" x14ac:dyDescent="0.3">
      <c r="G477" s="470">
        <f t="shared" ref="G477:G487" si="49">G476</f>
        <v>40</v>
      </c>
      <c r="H477" s="470">
        <v>470</v>
      </c>
      <c r="I477" s="455">
        <f t="shared" ca="1" si="29"/>
        <v>4275192.5600381028</v>
      </c>
      <c r="J477" s="455">
        <f t="array" ref="J477">IFERROR(INDEX('Retirement Calculator'!J:J,MATCH('Isaac 401k'!N477,'Retirement Calculator'!A:A,0),0),0)</f>
        <v>6404.7404596389215</v>
      </c>
      <c r="K477" s="455">
        <f t="shared" ca="1" si="27"/>
        <v>17786.615914910268</v>
      </c>
      <c r="L477" s="455">
        <f t="shared" ca="1" si="28"/>
        <v>4286574.4354933742</v>
      </c>
      <c r="M477" s="471">
        <f t="shared" si="30"/>
        <v>0.05</v>
      </c>
      <c r="N477" s="475">
        <f t="shared" si="31"/>
        <v>65562</v>
      </c>
    </row>
    <row r="478" spans="7:14" ht="11.25" customHeight="1" x14ac:dyDescent="0.3">
      <c r="G478" s="470">
        <f t="shared" si="49"/>
        <v>40</v>
      </c>
      <c r="H478" s="470">
        <v>471</v>
      </c>
      <c r="I478" s="455">
        <f t="shared" ca="1" si="29"/>
        <v>4286574.4354933742</v>
      </c>
      <c r="J478" s="455">
        <f t="array" ref="J478">IFERROR(INDEX('Retirement Calculator'!J:J,MATCH('Isaac 401k'!N478,'Retirement Calculator'!A:A,0),0),0)</f>
        <v>6404.7404596389215</v>
      </c>
      <c r="K478" s="455">
        <f t="shared" ca="1" si="27"/>
        <v>17834.040395973898</v>
      </c>
      <c r="L478" s="455">
        <f t="shared" ca="1" si="28"/>
        <v>4298003.7354297098</v>
      </c>
      <c r="M478" s="471">
        <f t="shared" si="30"/>
        <v>0.05</v>
      </c>
      <c r="N478" s="475">
        <f t="shared" si="31"/>
        <v>65593</v>
      </c>
    </row>
    <row r="479" spans="7:14" ht="11.25" customHeight="1" x14ac:dyDescent="0.3">
      <c r="G479" s="470">
        <f t="shared" si="49"/>
        <v>40</v>
      </c>
      <c r="H479" s="470">
        <v>472</v>
      </c>
      <c r="I479" s="455">
        <f t="shared" ca="1" si="29"/>
        <v>4298003.7354297098</v>
      </c>
      <c r="J479" s="455">
        <f t="array" ref="J479">IFERROR(INDEX('Retirement Calculator'!J:J,MATCH('Isaac 401k'!N479,'Retirement Calculator'!A:A,0),0),0)</f>
        <v>6404.7404596389215</v>
      </c>
      <c r="K479" s="455">
        <f t="shared" ca="1" si="27"/>
        <v>17881.662479041963</v>
      </c>
      <c r="L479" s="455">
        <f t="shared" ca="1" si="28"/>
        <v>4309480.6574491132</v>
      </c>
      <c r="M479" s="471">
        <f t="shared" si="30"/>
        <v>0.05</v>
      </c>
      <c r="N479" s="475">
        <f t="shared" si="31"/>
        <v>65624</v>
      </c>
    </row>
    <row r="480" spans="7:14" ht="11.25" customHeight="1" x14ac:dyDescent="0.3">
      <c r="G480" s="470">
        <f t="shared" si="49"/>
        <v>40</v>
      </c>
      <c r="H480" s="470">
        <v>473</v>
      </c>
      <c r="I480" s="455">
        <f t="shared" ca="1" si="29"/>
        <v>4309480.6574491132</v>
      </c>
      <c r="J480" s="455">
        <f t="array" ref="J480">IFERROR(INDEX('Retirement Calculator'!J:J,MATCH('Isaac 401k'!N480,'Retirement Calculator'!A:A,0),0),0)</f>
        <v>6404.7404596389215</v>
      </c>
      <c r="K480" s="455">
        <f t="shared" ca="1" si="27"/>
        <v>17929.482987456144</v>
      </c>
      <c r="L480" s="455">
        <f t="shared" ca="1" si="28"/>
        <v>4321005.3999769306</v>
      </c>
      <c r="M480" s="471">
        <f t="shared" si="30"/>
        <v>0.05</v>
      </c>
      <c r="N480" s="475">
        <f t="shared" si="31"/>
        <v>65654</v>
      </c>
    </row>
    <row r="481" spans="7:14" ht="11.25" customHeight="1" x14ac:dyDescent="0.3">
      <c r="G481" s="470">
        <f t="shared" si="49"/>
        <v>40</v>
      </c>
      <c r="H481" s="470">
        <v>474</v>
      </c>
      <c r="I481" s="455">
        <f t="shared" ca="1" si="29"/>
        <v>4321005.3999769306</v>
      </c>
      <c r="J481" s="455">
        <f t="array" ref="J481">IFERROR(INDEX('Retirement Calculator'!J:J,MATCH('Isaac 401k'!N481,'Retirement Calculator'!A:A,0),0),0)</f>
        <v>6404.7404596389215</v>
      </c>
      <c r="K481" s="455">
        <f t="shared" ca="1" si="27"/>
        <v>17977.502747988718</v>
      </c>
      <c r="L481" s="455">
        <f t="shared" ca="1" si="28"/>
        <v>4332578.1622652803</v>
      </c>
      <c r="M481" s="471">
        <f t="shared" si="30"/>
        <v>0.05</v>
      </c>
      <c r="N481" s="475">
        <f t="shared" si="31"/>
        <v>65685</v>
      </c>
    </row>
    <row r="482" spans="7:14" ht="11.25" customHeight="1" x14ac:dyDescent="0.3">
      <c r="G482" s="470">
        <f t="shared" si="49"/>
        <v>40</v>
      </c>
      <c r="H482" s="470">
        <v>475</v>
      </c>
      <c r="I482" s="455">
        <f t="shared" ca="1" si="29"/>
        <v>4332578.1622652803</v>
      </c>
      <c r="J482" s="455">
        <f t="array" ref="J482">IFERROR(INDEX('Retirement Calculator'!J:J,MATCH('Isaac 401k'!N482,'Retirement Calculator'!A:A,0),0),0)</f>
        <v>6404.7404596389215</v>
      </c>
      <c r="K482" s="455">
        <f t="shared" ca="1" si="27"/>
        <v>18025.72259085684</v>
      </c>
      <c r="L482" s="455">
        <f t="shared" ca="1" si="28"/>
        <v>4344199.1443964988</v>
      </c>
      <c r="M482" s="471">
        <f t="shared" si="30"/>
        <v>0.05</v>
      </c>
      <c r="N482" s="475">
        <f t="shared" si="31"/>
        <v>65715</v>
      </c>
    </row>
    <row r="483" spans="7:14" ht="11.25" customHeight="1" x14ac:dyDescent="0.3">
      <c r="G483" s="470">
        <f t="shared" si="49"/>
        <v>40</v>
      </c>
      <c r="H483" s="470">
        <v>476</v>
      </c>
      <c r="I483" s="455">
        <f t="shared" ca="1" si="29"/>
        <v>4344199.1443964988</v>
      </c>
      <c r="J483" s="455">
        <f t="array" ref="J483">IFERROR(INDEX('Retirement Calculator'!J:J,MATCH('Isaac 401k'!N483,'Retirement Calculator'!A:A,0),0),0)</f>
        <v>6404.7404596389215</v>
      </c>
      <c r="K483" s="455">
        <f t="shared" ca="1" si="27"/>
        <v>18074.143349736918</v>
      </c>
      <c r="L483" s="455">
        <f t="shared" ca="1" si="28"/>
        <v>4355868.5472865971</v>
      </c>
      <c r="M483" s="471">
        <f t="shared" si="30"/>
        <v>0.05</v>
      </c>
      <c r="N483" s="475">
        <f t="shared" si="31"/>
        <v>65746</v>
      </c>
    </row>
    <row r="484" spans="7:14" ht="11.25" customHeight="1" x14ac:dyDescent="0.3">
      <c r="G484" s="470">
        <f t="shared" si="49"/>
        <v>40</v>
      </c>
      <c r="H484" s="470">
        <v>477</v>
      </c>
      <c r="I484" s="455">
        <f t="shared" ca="1" si="29"/>
        <v>4355868.5472865971</v>
      </c>
      <c r="J484" s="455">
        <f t="array" ref="J484">IFERROR(INDEX('Retirement Calculator'!J:J,MATCH('Isaac 401k'!N484,'Retirement Calculator'!A:A,0),0),0)</f>
        <v>6404.7404596389215</v>
      </c>
      <c r="K484" s="455">
        <f t="shared" ca="1" si="27"/>
        <v>18122.765861778993</v>
      </c>
      <c r="L484" s="455">
        <f t="shared" ca="1" si="28"/>
        <v>4367586.5726887379</v>
      </c>
      <c r="M484" s="471">
        <f t="shared" si="30"/>
        <v>0.05</v>
      </c>
      <c r="N484" s="475">
        <f t="shared" si="31"/>
        <v>65777</v>
      </c>
    </row>
    <row r="485" spans="7:14" ht="11.25" customHeight="1" x14ac:dyDescent="0.3">
      <c r="G485" s="470">
        <f t="shared" si="49"/>
        <v>40</v>
      </c>
      <c r="H485" s="470">
        <v>478</v>
      </c>
      <c r="I485" s="455">
        <f t="shared" ca="1" si="29"/>
        <v>4367586.5726887379</v>
      </c>
      <c r="J485" s="455">
        <f t="array" ref="J485">IFERROR(INDEX('Retirement Calculator'!J:J,MATCH('Isaac 401k'!N485,'Retirement Calculator'!A:A,0),0),0)</f>
        <v>6404.7404596389215</v>
      </c>
      <c r="K485" s="455">
        <f t="shared" ca="1" si="27"/>
        <v>18171.590967621247</v>
      </c>
      <c r="L485" s="455">
        <f t="shared" ca="1" si="28"/>
        <v>4379353.4231967209</v>
      </c>
      <c r="M485" s="471">
        <f t="shared" si="30"/>
        <v>0.05</v>
      </c>
      <c r="N485" s="475">
        <f t="shared" si="31"/>
        <v>65806</v>
      </c>
    </row>
    <row r="486" spans="7:14" ht="11.25" customHeight="1" x14ac:dyDescent="0.3">
      <c r="G486" s="470">
        <f t="shared" si="49"/>
        <v>40</v>
      </c>
      <c r="H486" s="470">
        <v>479</v>
      </c>
      <c r="I486" s="455">
        <f t="shared" ca="1" si="29"/>
        <v>4379353.4231967209</v>
      </c>
      <c r="J486" s="455">
        <f t="array" ref="J486">IFERROR(INDEX('Retirement Calculator'!J:J,MATCH('Isaac 401k'!N486,'Retirement Calculator'!A:A,0),0),0)</f>
        <v>6404.7404596389215</v>
      </c>
      <c r="K486" s="455">
        <f t="shared" ca="1" si="27"/>
        <v>18220.619511404508</v>
      </c>
      <c r="L486" s="455">
        <f t="shared" ca="1" si="28"/>
        <v>4391169.3022484863</v>
      </c>
      <c r="M486" s="471">
        <f t="shared" si="30"/>
        <v>0.05</v>
      </c>
      <c r="N486" s="475">
        <f t="shared" si="31"/>
        <v>65837</v>
      </c>
    </row>
    <row r="487" spans="7:14" ht="11.25" customHeight="1" x14ac:dyDescent="0.3">
      <c r="G487" s="470">
        <f t="shared" si="49"/>
        <v>40</v>
      </c>
      <c r="H487" s="470">
        <v>480</v>
      </c>
      <c r="I487" s="455">
        <f t="shared" ca="1" si="29"/>
        <v>4391169.3022484863</v>
      </c>
      <c r="J487" s="455">
        <f t="array" ref="J487">IFERROR(INDEX('Retirement Calculator'!J:J,MATCH('Isaac 401k'!N487,'Retirement Calculator'!A:A,0),0),0)</f>
        <v>6404.7404596389215</v>
      </c>
      <c r="K487" s="455">
        <f t="shared" ca="1" si="27"/>
        <v>18269.852340786863</v>
      </c>
      <c r="L487" s="455">
        <f t="shared" ca="1" si="28"/>
        <v>4403034.4141296344</v>
      </c>
      <c r="M487" s="471">
        <f t="shared" si="30"/>
        <v>0.05</v>
      </c>
      <c r="N487" s="475">
        <f t="shared" si="31"/>
        <v>65867</v>
      </c>
    </row>
    <row r="488" spans="7:14" ht="11.25" customHeight="1" x14ac:dyDescent="0.3">
      <c r="G488" s="470">
        <f>G487+1</f>
        <v>41</v>
      </c>
      <c r="H488" s="470">
        <v>481</v>
      </c>
      <c r="I488" s="455">
        <f t="shared" ca="1" si="29"/>
        <v>4403034.4141296344</v>
      </c>
      <c r="J488" s="455">
        <f t="array" ref="J488">IFERROR(INDEX('Retirement Calculator'!J:J,MATCH('Isaac 401k'!N488,'Retirement Calculator'!A:A,0),0),0)</f>
        <v>6404.7404596389215</v>
      </c>
      <c r="K488" s="455">
        <f t="shared" ca="1" si="27"/>
        <v>18319.290306958315</v>
      </c>
      <c r="L488" s="455">
        <f t="shared" ca="1" si="28"/>
        <v>4414948.9639769541</v>
      </c>
      <c r="M488" s="471">
        <f t="shared" si="30"/>
        <v>0.05</v>
      </c>
      <c r="N488" s="475">
        <f t="shared" si="31"/>
        <v>65898</v>
      </c>
    </row>
    <row r="489" spans="7:14" ht="11.25" customHeight="1" x14ac:dyDescent="0.3">
      <c r="G489" s="470">
        <f t="shared" ref="G489:G499" si="50">G488</f>
        <v>41</v>
      </c>
      <c r="H489" s="470">
        <v>482</v>
      </c>
      <c r="I489" s="455">
        <f t="shared" ca="1" si="29"/>
        <v>4414948.9639769541</v>
      </c>
      <c r="J489" s="455">
        <f t="array" ref="J489">IFERROR(INDEX('Retirement Calculator'!J:J,MATCH('Isaac 401k'!N489,'Retirement Calculator'!A:A,0),0),0)</f>
        <v>6404.7404596389215</v>
      </c>
      <c r="K489" s="455">
        <f t="shared" ca="1" si="27"/>
        <v>18368.93426465548</v>
      </c>
      <c r="L489" s="455">
        <f t="shared" ca="1" si="28"/>
        <v>4426913.1577819707</v>
      </c>
      <c r="M489" s="471">
        <f t="shared" si="30"/>
        <v>0.05</v>
      </c>
      <c r="N489" s="475">
        <f t="shared" si="31"/>
        <v>65928</v>
      </c>
    </row>
    <row r="490" spans="7:14" ht="11.25" customHeight="1" x14ac:dyDescent="0.3">
      <c r="G490" s="470">
        <f t="shared" si="50"/>
        <v>41</v>
      </c>
      <c r="H490" s="470">
        <v>483</v>
      </c>
      <c r="I490" s="455">
        <f t="shared" ca="1" si="29"/>
        <v>4426913.1577819707</v>
      </c>
      <c r="J490" s="455">
        <f t="array" ref="J490">IFERROR(INDEX('Retirement Calculator'!J:J,MATCH('Isaac 401k'!N490,'Retirement Calculator'!A:A,0),0),0)</f>
        <v>6404.7404596389215</v>
      </c>
      <c r="K490" s="455">
        <f t="shared" ca="1" si="27"/>
        <v>18418.785072176383</v>
      </c>
      <c r="L490" s="455">
        <f t="shared" ca="1" si="28"/>
        <v>4438927.2023945088</v>
      </c>
      <c r="M490" s="471">
        <f t="shared" si="30"/>
        <v>0.05</v>
      </c>
      <c r="N490" s="475">
        <f t="shared" si="31"/>
        <v>65959</v>
      </c>
    </row>
    <row r="491" spans="7:14" ht="11.25" customHeight="1" x14ac:dyDescent="0.3">
      <c r="G491" s="470">
        <f t="shared" si="50"/>
        <v>41</v>
      </c>
      <c r="H491" s="470">
        <v>484</v>
      </c>
      <c r="I491" s="455">
        <f t="shared" ca="1" si="29"/>
        <v>4438927.2023945088</v>
      </c>
      <c r="J491" s="455">
        <f t="array" ref="J491">IFERROR(INDEX('Retirement Calculator'!J:J,MATCH('Isaac 401k'!N491,'Retirement Calculator'!A:A,0),0),0)</f>
        <v>6404.7404596389215</v>
      </c>
      <c r="K491" s="455">
        <f t="shared" ca="1" si="27"/>
        <v>18468.843591395293</v>
      </c>
      <c r="L491" s="455">
        <f t="shared" ca="1" si="28"/>
        <v>4450991.3055262649</v>
      </c>
      <c r="M491" s="471">
        <f t="shared" si="30"/>
        <v>0.05</v>
      </c>
      <c r="N491" s="475">
        <f t="shared" si="31"/>
        <v>65990</v>
      </c>
    </row>
    <row r="492" spans="7:14" ht="11.25" customHeight="1" x14ac:dyDescent="0.3">
      <c r="G492" s="470">
        <f t="shared" si="50"/>
        <v>41</v>
      </c>
      <c r="H492" s="470">
        <v>485</v>
      </c>
      <c r="I492" s="455">
        <f t="shared" ca="1" si="29"/>
        <v>4450991.3055262649</v>
      </c>
      <c r="J492" s="455">
        <f t="array" ref="J492">IFERROR(INDEX('Retirement Calculator'!J:J,MATCH('Isaac 401k'!N492,'Retirement Calculator'!A:A,0),0),0)</f>
        <v>6404.7404596389215</v>
      </c>
      <c r="K492" s="455">
        <f t="shared" ca="1" si="27"/>
        <v>18519.110687777611</v>
      </c>
      <c r="L492" s="455">
        <f t="shared" ca="1" si="28"/>
        <v>4463105.6757544037</v>
      </c>
      <c r="M492" s="471">
        <f t="shared" si="30"/>
        <v>0.05</v>
      </c>
      <c r="N492" s="475">
        <f t="shared" si="31"/>
        <v>66020</v>
      </c>
    </row>
    <row r="493" spans="7:14" ht="11.25" customHeight="1" x14ac:dyDescent="0.3">
      <c r="G493" s="470">
        <f t="shared" si="50"/>
        <v>41</v>
      </c>
      <c r="H493" s="470">
        <v>486</v>
      </c>
      <c r="I493" s="455">
        <f t="shared" ca="1" si="29"/>
        <v>4463105.6757544037</v>
      </c>
      <c r="J493" s="455">
        <f t="array" ref="J493">IFERROR(INDEX('Retirement Calculator'!J:J,MATCH('Isaac 401k'!N493,'Retirement Calculator'!A:A,0),0),0)</f>
        <v>6404.7404596389215</v>
      </c>
      <c r="K493" s="455">
        <f t="shared" ca="1" si="27"/>
        <v>18569.587230394853</v>
      </c>
      <c r="L493" s="455">
        <f t="shared" ca="1" si="28"/>
        <v>4475270.5225251596</v>
      </c>
      <c r="M493" s="471">
        <f t="shared" si="30"/>
        <v>0.05</v>
      </c>
      <c r="N493" s="475">
        <f t="shared" si="31"/>
        <v>66051</v>
      </c>
    </row>
    <row r="494" spans="7:14" ht="11.25" customHeight="1" x14ac:dyDescent="0.3">
      <c r="G494" s="470">
        <f t="shared" si="50"/>
        <v>41</v>
      </c>
      <c r="H494" s="470">
        <v>487</v>
      </c>
      <c r="I494" s="455">
        <f t="shared" ca="1" si="29"/>
        <v>4475270.5225251596</v>
      </c>
      <c r="J494" s="455">
        <f t="array" ref="J494">IFERROR(INDEX('Retirement Calculator'!J:J,MATCH('Isaac 401k'!N494,'Retirement Calculator'!A:A,0),0),0)</f>
        <v>6404.7404596389215</v>
      </c>
      <c r="K494" s="455">
        <f t="shared" ca="1" si="27"/>
        <v>18620.274091939671</v>
      </c>
      <c r="L494" s="455">
        <f t="shared" ca="1" si="28"/>
        <v>4487486.0561574604</v>
      </c>
      <c r="M494" s="471">
        <f t="shared" si="30"/>
        <v>0.05</v>
      </c>
      <c r="N494" s="475">
        <f t="shared" si="31"/>
        <v>66081</v>
      </c>
    </row>
    <row r="495" spans="7:14" ht="11.25" customHeight="1" x14ac:dyDescent="0.3">
      <c r="G495" s="470">
        <f t="shared" si="50"/>
        <v>41</v>
      </c>
      <c r="H495" s="470">
        <v>488</v>
      </c>
      <c r="I495" s="455">
        <f t="shared" ca="1" si="29"/>
        <v>4487486.0561574604</v>
      </c>
      <c r="J495" s="455">
        <f t="array" ref="J495">IFERROR(INDEX('Retirement Calculator'!J:J,MATCH('Isaac 401k'!N495,'Retirement Calculator'!A:A,0),0),0)</f>
        <v>6404.7404596389215</v>
      </c>
      <c r="K495" s="455">
        <f t="shared" ca="1" si="27"/>
        <v>18671.172148740923</v>
      </c>
      <c r="L495" s="455">
        <f t="shared" ca="1" si="28"/>
        <v>4499752.4878465626</v>
      </c>
      <c r="M495" s="471">
        <f t="shared" si="30"/>
        <v>0.05</v>
      </c>
      <c r="N495" s="475">
        <f t="shared" si="31"/>
        <v>66112</v>
      </c>
    </row>
    <row r="496" spans="7:14" ht="11.25" customHeight="1" x14ac:dyDescent="0.3">
      <c r="G496" s="470">
        <f t="shared" si="50"/>
        <v>41</v>
      </c>
      <c r="H496" s="470">
        <v>489</v>
      </c>
      <c r="I496" s="455">
        <f t="shared" ca="1" si="29"/>
        <v>4499752.4878465626</v>
      </c>
      <c r="J496" s="455">
        <f t="array" ref="J496">IFERROR(INDEX('Retirement Calculator'!J:J,MATCH('Isaac 401k'!N496,'Retirement Calculator'!A:A,0),0),0)</f>
        <v>6404.7404596389215</v>
      </c>
      <c r="K496" s="455">
        <f t="shared" ca="1" si="27"/>
        <v>18722.282280778851</v>
      </c>
      <c r="L496" s="455">
        <f t="shared" ca="1" si="28"/>
        <v>4512070.0296677025</v>
      </c>
      <c r="M496" s="471">
        <f t="shared" si="30"/>
        <v>0.05</v>
      </c>
      <c r="N496" s="475">
        <f t="shared" si="31"/>
        <v>66143</v>
      </c>
    </row>
    <row r="497" spans="7:14" ht="11.25" customHeight="1" x14ac:dyDescent="0.3">
      <c r="G497" s="470">
        <f t="shared" si="50"/>
        <v>41</v>
      </c>
      <c r="H497" s="470">
        <v>490</v>
      </c>
      <c r="I497" s="455">
        <f t="shared" ca="1" si="29"/>
        <v>4512070.0296677025</v>
      </c>
      <c r="J497" s="455">
        <f t="array" ref="J497">IFERROR(INDEX('Retirement Calculator'!J:J,MATCH('Isaac 401k'!N497,'Retirement Calculator'!A:A,0),0),0)</f>
        <v>6404.7404596389215</v>
      </c>
      <c r="K497" s="455">
        <f t="shared" ca="1" si="27"/>
        <v>18773.605371700265</v>
      </c>
      <c r="L497" s="455">
        <f t="shared" ca="1" si="28"/>
        <v>4524438.8945797645</v>
      </c>
      <c r="M497" s="471">
        <f t="shared" si="30"/>
        <v>0.05</v>
      </c>
      <c r="N497" s="475">
        <f t="shared" si="31"/>
        <v>66171</v>
      </c>
    </row>
    <row r="498" spans="7:14" ht="11.25" customHeight="1" x14ac:dyDescent="0.3">
      <c r="G498" s="470">
        <f t="shared" si="50"/>
        <v>41</v>
      </c>
      <c r="H498" s="470">
        <v>491</v>
      </c>
      <c r="I498" s="455">
        <f t="shared" ca="1" si="29"/>
        <v>4524438.8945797645</v>
      </c>
      <c r="J498" s="455">
        <f t="array" ref="J498">IFERROR(INDEX('Retirement Calculator'!J:J,MATCH('Isaac 401k'!N498,'Retirement Calculator'!A:A,0),0),0)</f>
        <v>6404.7404596389215</v>
      </c>
      <c r="K498" s="455">
        <f t="shared" ca="1" si="27"/>
        <v>18825.142308833856</v>
      </c>
      <c r="L498" s="455">
        <f t="shared" ca="1" si="28"/>
        <v>4536859.2964289598</v>
      </c>
      <c r="M498" s="471">
        <f t="shared" si="30"/>
        <v>0.05</v>
      </c>
      <c r="N498" s="475">
        <f t="shared" si="31"/>
        <v>66202</v>
      </c>
    </row>
    <row r="499" spans="7:14" ht="11.25" customHeight="1" x14ac:dyDescent="0.3">
      <c r="G499" s="470">
        <f t="shared" si="50"/>
        <v>41</v>
      </c>
      <c r="H499" s="470">
        <v>492</v>
      </c>
      <c r="I499" s="455">
        <f t="shared" ca="1" si="29"/>
        <v>4536859.2964289598</v>
      </c>
      <c r="J499" s="455">
        <f t="array" ref="J499">IFERROR(INDEX('Retirement Calculator'!J:J,MATCH('Isaac 401k'!N499,'Retirement Calculator'!A:A,0),0),0)</f>
        <v>6404.7404596389215</v>
      </c>
      <c r="K499" s="455">
        <f t="shared" ca="1" si="27"/>
        <v>18876.893983205504</v>
      </c>
      <c r="L499" s="455">
        <f t="shared" ca="1" si="28"/>
        <v>4549331.4499525269</v>
      </c>
      <c r="M499" s="471">
        <f t="shared" si="30"/>
        <v>0.05</v>
      </c>
      <c r="N499" s="475">
        <f t="shared" si="31"/>
        <v>66232</v>
      </c>
    </row>
    <row r="500" spans="7:14" ht="11.25" customHeight="1" x14ac:dyDescent="0.3">
      <c r="G500" s="470">
        <f>G499+1</f>
        <v>42</v>
      </c>
      <c r="H500" s="470">
        <v>493</v>
      </c>
      <c r="I500" s="455">
        <f t="shared" ca="1" si="29"/>
        <v>4549331.4499525269</v>
      </c>
      <c r="J500" s="455">
        <f t="array" ref="J500">IFERROR(INDEX('Retirement Calculator'!J:J,MATCH('Isaac 401k'!N500,'Retirement Calculator'!A:A,0),0),0)</f>
        <v>6404.7404596389215</v>
      </c>
      <c r="K500" s="455">
        <f t="shared" ca="1" si="27"/>
        <v>18928.861289553701</v>
      </c>
      <c r="L500" s="455">
        <f t="shared" ca="1" si="28"/>
        <v>4561855.5707824416</v>
      </c>
      <c r="M500" s="471">
        <f t="shared" si="30"/>
        <v>0.05</v>
      </c>
      <c r="N500" s="475">
        <f t="shared" si="31"/>
        <v>66263</v>
      </c>
    </row>
    <row r="501" spans="7:14" ht="11.25" customHeight="1" x14ac:dyDescent="0.3">
      <c r="G501" s="470">
        <f t="shared" ref="G501:G511" si="51">G500</f>
        <v>42</v>
      </c>
      <c r="H501" s="470">
        <v>494</v>
      </c>
      <c r="I501" s="455">
        <f t="shared" ca="1" si="29"/>
        <v>4561855.5707824416</v>
      </c>
      <c r="J501" s="455">
        <f t="array" ref="J501">IFERROR(INDEX('Retirement Calculator'!J:J,MATCH('Isaac 401k'!N501,'Retirement Calculator'!A:A,0),0),0)</f>
        <v>6404.7404596389215</v>
      </c>
      <c r="K501" s="455">
        <f t="shared" ca="1" si="27"/>
        <v>18981.045126345012</v>
      </c>
      <c r="L501" s="455">
        <f t="shared" ca="1" si="28"/>
        <v>4574431.875449148</v>
      </c>
      <c r="M501" s="471">
        <f t="shared" si="30"/>
        <v>0.05</v>
      </c>
      <c r="N501" s="475">
        <f t="shared" si="31"/>
        <v>66293</v>
      </c>
    </row>
    <row r="502" spans="7:14" ht="11.25" customHeight="1" x14ac:dyDescent="0.3">
      <c r="G502" s="470">
        <f t="shared" si="51"/>
        <v>42</v>
      </c>
      <c r="H502" s="470">
        <v>495</v>
      </c>
      <c r="I502" s="455">
        <f t="shared" ca="1" si="29"/>
        <v>4574431.875449148</v>
      </c>
      <c r="J502" s="455">
        <f t="array" ref="J502">IFERROR(INDEX('Retirement Calculator'!J:J,MATCH('Isaac 401k'!N502,'Retirement Calculator'!A:A,0),0),0)</f>
        <v>6404.7404596389215</v>
      </c>
      <c r="K502" s="455">
        <f t="shared" ca="1" si="27"/>
        <v>19033.446395789622</v>
      </c>
      <c r="L502" s="455">
        <f t="shared" ca="1" si="28"/>
        <v>4587060.5813852986</v>
      </c>
      <c r="M502" s="471">
        <f t="shared" si="30"/>
        <v>0.05</v>
      </c>
      <c r="N502" s="475">
        <f t="shared" si="31"/>
        <v>66324</v>
      </c>
    </row>
    <row r="503" spans="7:14" ht="11.25" customHeight="1" x14ac:dyDescent="0.3">
      <c r="G503" s="470">
        <f t="shared" si="51"/>
        <v>42</v>
      </c>
      <c r="H503" s="470">
        <v>496</v>
      </c>
      <c r="I503" s="455">
        <f t="shared" ca="1" si="29"/>
        <v>4587060.5813852986</v>
      </c>
      <c r="J503" s="455">
        <f t="array" ref="J503">IFERROR(INDEX('Retirement Calculator'!J:J,MATCH('Isaac 401k'!N503,'Retirement Calculator'!A:A,0),0),0)</f>
        <v>6404.7404596389215</v>
      </c>
      <c r="K503" s="455">
        <f t="shared" ca="1" si="27"/>
        <v>19086.066003856915</v>
      </c>
      <c r="L503" s="455">
        <f t="shared" ca="1" si="28"/>
        <v>4599741.9069295172</v>
      </c>
      <c r="M503" s="471">
        <f t="shared" si="30"/>
        <v>0.05</v>
      </c>
      <c r="N503" s="475">
        <f t="shared" si="31"/>
        <v>66355</v>
      </c>
    </row>
    <row r="504" spans="7:14" ht="11.25" customHeight="1" x14ac:dyDescent="0.3">
      <c r="G504" s="470">
        <f t="shared" si="51"/>
        <v>42</v>
      </c>
      <c r="H504" s="470">
        <v>497</v>
      </c>
      <c r="I504" s="455">
        <f t="shared" ca="1" si="29"/>
        <v>4599741.9069295172</v>
      </c>
      <c r="J504" s="455">
        <f t="array" ref="J504">IFERROR(INDEX('Retirement Calculator'!J:J,MATCH('Isaac 401k'!N504,'Retirement Calculator'!A:A,0),0),0)</f>
        <v>6404.7404596389215</v>
      </c>
      <c r="K504" s="455">
        <f t="shared" ca="1" si="27"/>
        <v>19138.904860291161</v>
      </c>
      <c r="L504" s="455">
        <f t="shared" ca="1" si="28"/>
        <v>4612476.0713301692</v>
      </c>
      <c r="M504" s="471">
        <f t="shared" si="30"/>
        <v>0.05</v>
      </c>
      <c r="N504" s="475">
        <f t="shared" si="31"/>
        <v>66385</v>
      </c>
    </row>
    <row r="505" spans="7:14" ht="11.25" customHeight="1" x14ac:dyDescent="0.3">
      <c r="G505" s="470">
        <f t="shared" si="51"/>
        <v>42</v>
      </c>
      <c r="H505" s="470">
        <v>498</v>
      </c>
      <c r="I505" s="455">
        <f t="shared" ca="1" si="29"/>
        <v>4612476.0713301692</v>
      </c>
      <c r="J505" s="455">
        <f t="array" ref="J505">IFERROR(INDEX('Retirement Calculator'!J:J,MATCH('Isaac 401k'!N505,'Retirement Calculator'!A:A,0),0),0)</f>
        <v>6404.7404596389215</v>
      </c>
      <c r="K505" s="455">
        <f t="shared" ca="1" si="27"/>
        <v>19191.963878627212</v>
      </c>
      <c r="L505" s="455">
        <f t="shared" ca="1" si="28"/>
        <v>4625263.2947491575</v>
      </c>
      <c r="M505" s="471">
        <f t="shared" si="30"/>
        <v>0.05</v>
      </c>
      <c r="N505" s="475">
        <f t="shared" si="31"/>
        <v>66416</v>
      </c>
    </row>
    <row r="506" spans="7:14" ht="11.25" customHeight="1" x14ac:dyDescent="0.3">
      <c r="G506" s="470">
        <f t="shared" si="51"/>
        <v>42</v>
      </c>
      <c r="H506" s="470">
        <v>499</v>
      </c>
      <c r="I506" s="455">
        <f t="shared" ca="1" si="29"/>
        <v>4625263.2947491575</v>
      </c>
      <c r="J506" s="455">
        <f t="array" ref="J506">IFERROR(INDEX('Retirement Calculator'!J:J,MATCH('Isaac 401k'!N506,'Retirement Calculator'!A:A,0),0),0)</f>
        <v>6404.7404596389215</v>
      </c>
      <c r="K506" s="455">
        <f t="shared" ca="1" si="27"/>
        <v>19245.24397620633</v>
      </c>
      <c r="L506" s="455">
        <f t="shared" ca="1" si="28"/>
        <v>4638103.7982657254</v>
      </c>
      <c r="M506" s="471">
        <f t="shared" si="30"/>
        <v>0.05</v>
      </c>
      <c r="N506" s="475">
        <f t="shared" si="31"/>
        <v>66446</v>
      </c>
    </row>
    <row r="507" spans="7:14" ht="11.25" customHeight="1" x14ac:dyDescent="0.3">
      <c r="G507" s="470">
        <f t="shared" si="51"/>
        <v>42</v>
      </c>
      <c r="H507" s="470">
        <v>500</v>
      </c>
      <c r="I507" s="455">
        <f t="shared" ca="1" si="29"/>
        <v>4638103.7982657254</v>
      </c>
      <c r="J507" s="455">
        <f t="array" ref="J507">IFERROR(INDEX('Retirement Calculator'!J:J,MATCH('Isaac 401k'!N507,'Retirement Calculator'!A:A,0),0),0)</f>
        <v>6404.7404596389215</v>
      </c>
      <c r="K507" s="455">
        <f t="shared" ca="1" si="27"/>
        <v>19298.746074192029</v>
      </c>
      <c r="L507" s="455">
        <f t="shared" ca="1" si="28"/>
        <v>4650997.803880279</v>
      </c>
      <c r="M507" s="471">
        <f t="shared" si="30"/>
        <v>0.05</v>
      </c>
      <c r="N507" s="475">
        <f t="shared" si="31"/>
        <v>66477</v>
      </c>
    </row>
    <row r="508" spans="7:14" ht="11.25" customHeight="1" x14ac:dyDescent="0.3">
      <c r="G508" s="470">
        <f t="shared" si="51"/>
        <v>42</v>
      </c>
      <c r="H508" s="470">
        <v>501</v>
      </c>
      <c r="I508" s="455">
        <f t="shared" ca="1" si="29"/>
        <v>4650997.803880279</v>
      </c>
      <c r="J508" s="455">
        <f t="array" ref="J508">IFERROR(INDEX('Retirement Calculator'!J:J,MATCH('Isaac 401k'!N508,'Retirement Calculator'!A:A,0),0),0)</f>
        <v>6404.7404596389215</v>
      </c>
      <c r="K508" s="455">
        <f t="shared" ca="1" si="27"/>
        <v>19352.471097586</v>
      </c>
      <c r="L508" s="455">
        <f t="shared" ca="1" si="28"/>
        <v>4663945.534518226</v>
      </c>
      <c r="M508" s="471">
        <f t="shared" si="30"/>
        <v>0.05</v>
      </c>
      <c r="N508" s="475">
        <f t="shared" si="31"/>
        <v>66508</v>
      </c>
    </row>
    <row r="509" spans="7:14" ht="11.25" customHeight="1" x14ac:dyDescent="0.3">
      <c r="G509" s="470">
        <f t="shared" si="51"/>
        <v>42</v>
      </c>
      <c r="H509" s="470">
        <v>502</v>
      </c>
      <c r="I509" s="455">
        <f t="shared" ca="1" si="29"/>
        <v>4663945.534518226</v>
      </c>
      <c r="J509" s="455">
        <f t="array" ref="J509">IFERROR(INDEX('Retirement Calculator'!J:J,MATCH('Isaac 401k'!N509,'Retirement Calculator'!A:A,0),0),0)</f>
        <v>6404.7404596389215</v>
      </c>
      <c r="K509" s="455">
        <f t="shared" ca="1" si="27"/>
        <v>19406.419975244113</v>
      </c>
      <c r="L509" s="455">
        <f t="shared" ca="1" si="28"/>
        <v>4676947.2140338318</v>
      </c>
      <c r="M509" s="471">
        <f t="shared" si="30"/>
        <v>0.05</v>
      </c>
      <c r="N509" s="475">
        <f t="shared" si="31"/>
        <v>66536</v>
      </c>
    </row>
    <row r="510" spans="7:14" ht="11.25" customHeight="1" x14ac:dyDescent="0.3">
      <c r="G510" s="470">
        <f t="shared" si="51"/>
        <v>42</v>
      </c>
      <c r="H510" s="470">
        <v>503</v>
      </c>
      <c r="I510" s="455">
        <f t="shared" ca="1" si="29"/>
        <v>4676947.2140338318</v>
      </c>
      <c r="J510" s="455">
        <f t="array" ref="J510">IFERROR(INDEX('Retirement Calculator'!J:J,MATCH('Isaac 401k'!N510,'Retirement Calculator'!A:A,0),0),0)</f>
        <v>6404.7404596389215</v>
      </c>
      <c r="K510" s="455">
        <f t="shared" ca="1" si="27"/>
        <v>19460.593639892471</v>
      </c>
      <c r="L510" s="455">
        <f t="shared" ca="1" si="28"/>
        <v>4690003.0672140857</v>
      </c>
      <c r="M510" s="471">
        <f t="shared" si="30"/>
        <v>0.05</v>
      </c>
      <c r="N510" s="475">
        <f t="shared" si="31"/>
        <v>66567</v>
      </c>
    </row>
    <row r="511" spans="7:14" ht="11.25" customHeight="1" x14ac:dyDescent="0.3">
      <c r="G511" s="470">
        <f t="shared" si="51"/>
        <v>42</v>
      </c>
      <c r="H511" s="470">
        <v>504</v>
      </c>
      <c r="I511" s="455">
        <f t="shared" ca="1" si="29"/>
        <v>4690003.0672140857</v>
      </c>
      <c r="J511" s="455">
        <f t="array" ref="J511">IFERROR(INDEX('Retirement Calculator'!J:J,MATCH('Isaac 401k'!N511,'Retirement Calculator'!A:A,0),0),0)</f>
        <v>6404.7404596389215</v>
      </c>
      <c r="K511" s="455">
        <f t="shared" ca="1" si="27"/>
        <v>19514.99302814353</v>
      </c>
      <c r="L511" s="455">
        <f t="shared" ca="1" si="28"/>
        <v>4703113.3197825905</v>
      </c>
      <c r="M511" s="471">
        <f t="shared" si="30"/>
        <v>0.05</v>
      </c>
      <c r="N511" s="475">
        <f t="shared" si="31"/>
        <v>66597</v>
      </c>
    </row>
    <row r="512" spans="7:14" ht="11.25" customHeight="1" x14ac:dyDescent="0.3">
      <c r="G512" s="470">
        <f>G511+1</f>
        <v>43</v>
      </c>
      <c r="H512" s="470">
        <v>505</v>
      </c>
      <c r="I512" s="455">
        <f t="shared" ca="1" si="29"/>
        <v>4703113.3197825905</v>
      </c>
      <c r="J512" s="455">
        <f t="array" ref="J512">IFERROR(INDEX('Retirement Calculator'!J:J,MATCH('Isaac 401k'!N512,'Retirement Calculator'!A:A,0),0),0)</f>
        <v>6404.7404596389215</v>
      </c>
      <c r="K512" s="455">
        <f t="shared" ca="1" si="27"/>
        <v>19569.619080512301</v>
      </c>
      <c r="L512" s="455">
        <f t="shared" ca="1" si="28"/>
        <v>4716278.1984034637</v>
      </c>
      <c r="M512" s="471">
        <f t="shared" si="30"/>
        <v>0.05</v>
      </c>
      <c r="N512" s="475">
        <f t="shared" si="31"/>
        <v>66628</v>
      </c>
    </row>
    <row r="513" spans="7:14" ht="11.25" customHeight="1" x14ac:dyDescent="0.3">
      <c r="G513" s="470">
        <f t="shared" ref="G513:G523" si="52">G512</f>
        <v>43</v>
      </c>
      <c r="H513" s="470">
        <v>506</v>
      </c>
      <c r="I513" s="455">
        <f t="shared" ca="1" si="29"/>
        <v>4716278.1984034637</v>
      </c>
      <c r="J513" s="455">
        <f t="array" ref="J513">IFERROR(INDEX('Retirement Calculator'!J:J,MATCH('Isaac 401k'!N513,'Retirement Calculator'!A:A,0),0),0)</f>
        <v>6404.7404596389215</v>
      </c>
      <c r="K513" s="455">
        <f t="shared" ca="1" si="27"/>
        <v>19624.472741432604</v>
      </c>
      <c r="L513" s="455">
        <f t="shared" ca="1" si="28"/>
        <v>4729497.9306852575</v>
      </c>
      <c r="M513" s="471">
        <f t="shared" si="30"/>
        <v>0.05</v>
      </c>
      <c r="N513" s="475">
        <f t="shared" si="31"/>
        <v>66658</v>
      </c>
    </row>
    <row r="514" spans="7:14" ht="11.25" customHeight="1" x14ac:dyDescent="0.3">
      <c r="G514" s="470">
        <f t="shared" si="52"/>
        <v>43</v>
      </c>
      <c r="H514" s="470">
        <v>507</v>
      </c>
      <c r="I514" s="455">
        <f t="shared" ca="1" si="29"/>
        <v>4729497.9306852575</v>
      </c>
      <c r="J514" s="455">
        <f t="array" ref="J514">IFERROR(INDEX('Retirement Calculator'!J:J,MATCH('Isaac 401k'!N514,'Retirement Calculator'!A:A,0),0),0)</f>
        <v>6404.7404596389215</v>
      </c>
      <c r="K514" s="455">
        <f t="shared" ca="1" si="27"/>
        <v>19679.554959273413</v>
      </c>
      <c r="L514" s="455">
        <f t="shared" ca="1" si="28"/>
        <v>4742772.7451848919</v>
      </c>
      <c r="M514" s="471">
        <f t="shared" si="30"/>
        <v>0.05</v>
      </c>
      <c r="N514" s="475">
        <f t="shared" si="31"/>
        <v>66689</v>
      </c>
    </row>
    <row r="515" spans="7:14" ht="11.25" customHeight="1" x14ac:dyDescent="0.3">
      <c r="G515" s="470">
        <f t="shared" si="52"/>
        <v>43</v>
      </c>
      <c r="H515" s="470">
        <v>508</v>
      </c>
      <c r="I515" s="455">
        <f t="shared" ca="1" si="29"/>
        <v>4742772.7451848919</v>
      </c>
      <c r="J515" s="455">
        <f t="array" ref="J515">IFERROR(INDEX('Retirement Calculator'!J:J,MATCH('Isaac 401k'!N515,'Retirement Calculator'!A:A,0),0),0)</f>
        <v>6404.7404596389215</v>
      </c>
      <c r="K515" s="455">
        <f t="shared" ca="1" si="27"/>
        <v>19734.866686355221</v>
      </c>
      <c r="L515" s="455">
        <f t="shared" ca="1" si="28"/>
        <v>4756102.8714116085</v>
      </c>
      <c r="M515" s="471">
        <f t="shared" si="30"/>
        <v>0.05</v>
      </c>
      <c r="N515" s="475">
        <f t="shared" si="31"/>
        <v>66720</v>
      </c>
    </row>
    <row r="516" spans="7:14" ht="11.25" customHeight="1" x14ac:dyDescent="0.3">
      <c r="G516" s="470">
        <f t="shared" si="52"/>
        <v>43</v>
      </c>
      <c r="H516" s="470">
        <v>509</v>
      </c>
      <c r="I516" s="455">
        <f t="shared" ca="1" si="29"/>
        <v>4756102.8714116085</v>
      </c>
      <c r="J516" s="455">
        <f t="array" ref="J516">IFERROR(INDEX('Retirement Calculator'!J:J,MATCH('Isaac 401k'!N516,'Retirement Calculator'!A:A,0),0),0)</f>
        <v>6404.7404596389215</v>
      </c>
      <c r="K516" s="455">
        <f t="shared" ca="1" si="27"/>
        <v>19790.40887896654</v>
      </c>
      <c r="L516" s="455">
        <f t="shared" ca="1" si="28"/>
        <v>4769488.5398309361</v>
      </c>
      <c r="M516" s="471">
        <f t="shared" si="30"/>
        <v>0.05</v>
      </c>
      <c r="N516" s="475">
        <f t="shared" si="31"/>
        <v>66750</v>
      </c>
    </row>
    <row r="517" spans="7:14" ht="11.25" customHeight="1" x14ac:dyDescent="0.3">
      <c r="G517" s="470">
        <f t="shared" si="52"/>
        <v>43</v>
      </c>
      <c r="H517" s="470">
        <v>510</v>
      </c>
      <c r="I517" s="455">
        <f t="shared" ca="1" si="29"/>
        <v>4769488.5398309361</v>
      </c>
      <c r="J517" s="455">
        <f t="array" ref="J517">IFERROR(INDEX('Retirement Calculator'!J:J,MATCH('Isaac 401k'!N517,'Retirement Calculator'!A:A,0),0),0)</f>
        <v>6404.7404596389215</v>
      </c>
      <c r="K517" s="455">
        <f t="shared" ca="1" si="27"/>
        <v>19846.182497380407</v>
      </c>
      <c r="L517" s="455">
        <f t="shared" ca="1" si="28"/>
        <v>4782929.9818686778</v>
      </c>
      <c r="M517" s="471">
        <f t="shared" si="30"/>
        <v>0.05</v>
      </c>
      <c r="N517" s="475">
        <f t="shared" si="31"/>
        <v>66781</v>
      </c>
    </row>
    <row r="518" spans="7:14" ht="11.25" customHeight="1" x14ac:dyDescent="0.3">
      <c r="G518" s="470">
        <f t="shared" si="52"/>
        <v>43</v>
      </c>
      <c r="H518" s="470">
        <v>511</v>
      </c>
      <c r="I518" s="455">
        <f t="shared" ca="1" si="29"/>
        <v>4782929.9818686778</v>
      </c>
      <c r="J518" s="455">
        <f t="array" ref="J518">IFERROR(INDEX('Retirement Calculator'!J:J,MATCH('Isaac 401k'!N518,'Retirement Calculator'!A:A,0),0),0)</f>
        <v>6404.7404596389215</v>
      </c>
      <c r="K518" s="455">
        <f t="shared" ref="K518:K772" ca="1" si="53">IPMT(M518/12,1,12,-I518+J518,,0)</f>
        <v>19902.188505870996</v>
      </c>
      <c r="L518" s="455">
        <f t="shared" ref="L518:L772" ca="1" si="54">I518-J518+K518</f>
        <v>4796427.4299149103</v>
      </c>
      <c r="M518" s="471">
        <f t="shared" si="30"/>
        <v>0.05</v>
      </c>
      <c r="N518" s="475">
        <f t="shared" si="31"/>
        <v>66811</v>
      </c>
    </row>
    <row r="519" spans="7:14" ht="11.25" customHeight="1" x14ac:dyDescent="0.3">
      <c r="G519" s="470">
        <f t="shared" si="52"/>
        <v>43</v>
      </c>
      <c r="H519" s="470">
        <v>512</v>
      </c>
      <c r="I519" s="455">
        <f t="shared" ref="I519:I773" ca="1" si="55">L518</f>
        <v>4796427.4299149103</v>
      </c>
      <c r="J519" s="455">
        <f t="array" ref="J519">IFERROR(INDEX('Retirement Calculator'!J:J,MATCH('Isaac 401k'!N519,'Retirement Calculator'!A:A,0),0),0)</f>
        <v>6404.7404596389215</v>
      </c>
      <c r="K519" s="455">
        <f t="shared" ca="1" si="53"/>
        <v>19958.427872730299</v>
      </c>
      <c r="L519" s="455">
        <f t="shared" ca="1" si="54"/>
        <v>4809981.1173280021</v>
      </c>
      <c r="M519" s="471">
        <f t="shared" ref="M519:M773" si="56">M518</f>
        <v>0.05</v>
      </c>
      <c r="N519" s="475">
        <f t="shared" ref="N519:N773" si="57">EDATE(N518,1)</f>
        <v>66842</v>
      </c>
    </row>
    <row r="520" spans="7:14" ht="11.25" customHeight="1" x14ac:dyDescent="0.3">
      <c r="G520" s="470">
        <f t="shared" si="52"/>
        <v>43</v>
      </c>
      <c r="H520" s="470">
        <v>513</v>
      </c>
      <c r="I520" s="455">
        <f t="shared" ca="1" si="55"/>
        <v>4809981.1173280021</v>
      </c>
      <c r="J520" s="455">
        <f t="array" ref="J520">IFERROR(INDEX('Retirement Calculator'!J:J,MATCH('Isaac 401k'!N520,'Retirement Calculator'!A:A,0),0),0)</f>
        <v>6404.7404596389215</v>
      </c>
      <c r="K520" s="455">
        <f t="shared" ca="1" si="53"/>
        <v>20014.901570284848</v>
      </c>
      <c r="L520" s="455">
        <f t="shared" ca="1" si="54"/>
        <v>4823591.2784386482</v>
      </c>
      <c r="M520" s="471">
        <f t="shared" si="56"/>
        <v>0.05</v>
      </c>
      <c r="N520" s="475">
        <f t="shared" si="57"/>
        <v>66873</v>
      </c>
    </row>
    <row r="521" spans="7:14" ht="11.25" customHeight="1" x14ac:dyDescent="0.3">
      <c r="G521" s="470">
        <f t="shared" si="52"/>
        <v>43</v>
      </c>
      <c r="H521" s="470">
        <v>514</v>
      </c>
      <c r="I521" s="455">
        <f t="shared" ca="1" si="55"/>
        <v>4823591.2784386482</v>
      </c>
      <c r="J521" s="455">
        <f t="array" ref="J521">IFERROR(INDEX('Retirement Calculator'!J:J,MATCH('Isaac 401k'!N521,'Retirement Calculator'!A:A,0),0),0)</f>
        <v>6404.7404596389215</v>
      </c>
      <c r="K521" s="455">
        <f t="shared" ca="1" si="53"/>
        <v>20071.610574912538</v>
      </c>
      <c r="L521" s="455">
        <f t="shared" ca="1" si="54"/>
        <v>4837258.1485539218</v>
      </c>
      <c r="M521" s="471">
        <f t="shared" si="56"/>
        <v>0.05</v>
      </c>
      <c r="N521" s="475">
        <f t="shared" si="57"/>
        <v>66901</v>
      </c>
    </row>
    <row r="522" spans="7:14" ht="11.25" customHeight="1" x14ac:dyDescent="0.3">
      <c r="G522" s="470">
        <f t="shared" si="52"/>
        <v>43</v>
      </c>
      <c r="H522" s="470">
        <v>515</v>
      </c>
      <c r="I522" s="455">
        <f t="shared" ca="1" si="55"/>
        <v>4837258.1485539218</v>
      </c>
      <c r="J522" s="455">
        <f t="array" ref="J522">IFERROR(INDEX('Retirement Calculator'!J:J,MATCH('Isaac 401k'!N522,'Retirement Calculator'!A:A,0),0),0)</f>
        <v>6404.7404596389215</v>
      </c>
      <c r="K522" s="455">
        <f t="shared" ca="1" si="53"/>
        <v>20128.555867059513</v>
      </c>
      <c r="L522" s="455">
        <f t="shared" ca="1" si="54"/>
        <v>4850981.9639613423</v>
      </c>
      <c r="M522" s="471">
        <f t="shared" si="56"/>
        <v>0.05</v>
      </c>
      <c r="N522" s="475">
        <f t="shared" si="57"/>
        <v>66932</v>
      </c>
    </row>
    <row r="523" spans="7:14" ht="11.25" customHeight="1" x14ac:dyDescent="0.3">
      <c r="G523" s="470">
        <f t="shared" si="52"/>
        <v>43</v>
      </c>
      <c r="H523" s="470">
        <v>516</v>
      </c>
      <c r="I523" s="455">
        <f t="shared" ca="1" si="55"/>
        <v>4850981.9639613423</v>
      </c>
      <c r="J523" s="455">
        <f t="array" ref="J523">IFERROR(INDEX('Retirement Calculator'!J:J,MATCH('Isaac 401k'!N523,'Retirement Calculator'!A:A,0),0),0)</f>
        <v>6404.7404596389215</v>
      </c>
      <c r="K523" s="455">
        <f t="shared" ca="1" si="53"/>
        <v>20185.738431257098</v>
      </c>
      <c r="L523" s="455">
        <f t="shared" ca="1" si="54"/>
        <v>4864762.9619329609</v>
      </c>
      <c r="M523" s="471">
        <f t="shared" si="56"/>
        <v>0.05</v>
      </c>
      <c r="N523" s="475">
        <f t="shared" si="57"/>
        <v>66962</v>
      </c>
    </row>
    <row r="524" spans="7:14" ht="11.25" customHeight="1" x14ac:dyDescent="0.3">
      <c r="G524" s="470">
        <f>G523+1</f>
        <v>44</v>
      </c>
      <c r="H524" s="470">
        <v>517</v>
      </c>
      <c r="I524" s="455">
        <f t="shared" ca="1" si="55"/>
        <v>4864762.9619329609</v>
      </c>
      <c r="J524" s="455">
        <f t="array" ref="J524">IFERROR(INDEX('Retirement Calculator'!J:J,MATCH('Isaac 401k'!N524,'Retirement Calculator'!A:A,0),0),0)</f>
        <v>6404.7404596389215</v>
      </c>
      <c r="K524" s="455">
        <f t="shared" ca="1" si="53"/>
        <v>20243.159256138842</v>
      </c>
      <c r="L524" s="455">
        <f t="shared" ca="1" si="54"/>
        <v>4878601.3807294611</v>
      </c>
      <c r="M524" s="471">
        <f t="shared" si="56"/>
        <v>0.05</v>
      </c>
      <c r="N524" s="475">
        <f t="shared" si="57"/>
        <v>66993</v>
      </c>
    </row>
    <row r="525" spans="7:14" ht="11.25" customHeight="1" x14ac:dyDescent="0.3">
      <c r="G525" s="470">
        <f t="shared" ref="G525:G535" si="58">G524</f>
        <v>44</v>
      </c>
      <c r="H525" s="470">
        <v>518</v>
      </c>
      <c r="I525" s="455">
        <f t="shared" ca="1" si="55"/>
        <v>4878601.3807294611</v>
      </c>
      <c r="J525" s="455">
        <f t="array" ref="J525">IFERROR(INDEX('Retirement Calculator'!J:J,MATCH('Isaac 401k'!N525,'Retirement Calculator'!A:A,0),0),0)</f>
        <v>6404.7404596389215</v>
      </c>
      <c r="K525" s="455">
        <f t="shared" ca="1" si="53"/>
        <v>20300.819334457592</v>
      </c>
      <c r="L525" s="455">
        <f t="shared" ca="1" si="54"/>
        <v>4892497.4596042801</v>
      </c>
      <c r="M525" s="471">
        <f t="shared" si="56"/>
        <v>0.05</v>
      </c>
      <c r="N525" s="475">
        <f t="shared" si="57"/>
        <v>67023</v>
      </c>
    </row>
    <row r="526" spans="7:14" ht="11.25" customHeight="1" x14ac:dyDescent="0.3">
      <c r="G526" s="470">
        <f t="shared" si="58"/>
        <v>44</v>
      </c>
      <c r="H526" s="470">
        <v>519</v>
      </c>
      <c r="I526" s="455">
        <f t="shared" ca="1" si="55"/>
        <v>4892497.4596042801</v>
      </c>
      <c r="J526" s="455">
        <f t="array" ref="J526">IFERROR(INDEX('Retirement Calculator'!J:J,MATCH('Isaac 401k'!N526,'Retirement Calculator'!A:A,0),0),0)</f>
        <v>6404.7404596389215</v>
      </c>
      <c r="K526" s="455">
        <f t="shared" ca="1" si="53"/>
        <v>20358.719663102671</v>
      </c>
      <c r="L526" s="455">
        <f t="shared" ca="1" si="54"/>
        <v>4906451.4388077445</v>
      </c>
      <c r="M526" s="471">
        <f t="shared" si="56"/>
        <v>0.05</v>
      </c>
      <c r="N526" s="475">
        <f t="shared" si="57"/>
        <v>67054</v>
      </c>
    </row>
    <row r="527" spans="7:14" ht="11.25" customHeight="1" x14ac:dyDescent="0.3">
      <c r="G527" s="470">
        <f t="shared" si="58"/>
        <v>44</v>
      </c>
      <c r="H527" s="470">
        <v>520</v>
      </c>
      <c r="I527" s="455">
        <f t="shared" ca="1" si="55"/>
        <v>4906451.4388077445</v>
      </c>
      <c r="J527" s="455">
        <f t="array" ref="J527">IFERROR(INDEX('Retirement Calculator'!J:J,MATCH('Isaac 401k'!N527,'Retirement Calculator'!A:A,0),0),0)</f>
        <v>6404.7404596389215</v>
      </c>
      <c r="K527" s="455">
        <f t="shared" ca="1" si="53"/>
        <v>20416.861243117106</v>
      </c>
      <c r="L527" s="455">
        <f t="shared" ca="1" si="54"/>
        <v>4920463.5595912226</v>
      </c>
      <c r="M527" s="471">
        <f t="shared" si="56"/>
        <v>0.05</v>
      </c>
      <c r="N527" s="475">
        <f t="shared" si="57"/>
        <v>67085</v>
      </c>
    </row>
    <row r="528" spans="7:14" ht="11.25" customHeight="1" x14ac:dyDescent="0.3">
      <c r="G528" s="470">
        <f t="shared" si="58"/>
        <v>44</v>
      </c>
      <c r="H528" s="470">
        <v>521</v>
      </c>
      <c r="I528" s="455">
        <f t="shared" ca="1" si="55"/>
        <v>4920463.5595912226</v>
      </c>
      <c r="J528" s="455">
        <f t="array" ref="J528">IFERROR(INDEX('Retirement Calculator'!J:J,MATCH('Isaac 401k'!N528,'Retirement Calculator'!A:A,0),0),0)</f>
        <v>6404.7404596389215</v>
      </c>
      <c r="K528" s="455">
        <f t="shared" ca="1" si="53"/>
        <v>20475.245079714932</v>
      </c>
      <c r="L528" s="455">
        <f t="shared" ca="1" si="54"/>
        <v>4934534.0642112987</v>
      </c>
      <c r="M528" s="471">
        <f t="shared" si="56"/>
        <v>0.05</v>
      </c>
      <c r="N528" s="475">
        <f t="shared" si="57"/>
        <v>67115</v>
      </c>
    </row>
    <row r="529" spans="7:14" ht="11.25" customHeight="1" x14ac:dyDescent="0.3">
      <c r="G529" s="470">
        <f t="shared" si="58"/>
        <v>44</v>
      </c>
      <c r="H529" s="470">
        <v>522</v>
      </c>
      <c r="I529" s="455">
        <f t="shared" ca="1" si="55"/>
        <v>4934534.0642112987</v>
      </c>
      <c r="J529" s="455">
        <f t="array" ref="J529">IFERROR(INDEX('Retirement Calculator'!J:J,MATCH('Isaac 401k'!N529,'Retirement Calculator'!A:A,0),0),0)</f>
        <v>6404.7404596389215</v>
      </c>
      <c r="K529" s="455">
        <f t="shared" ca="1" si="53"/>
        <v>20533.872182298583</v>
      </c>
      <c r="L529" s="455">
        <f t="shared" ca="1" si="54"/>
        <v>4948663.1959339585</v>
      </c>
      <c r="M529" s="471">
        <f t="shared" si="56"/>
        <v>0.05</v>
      </c>
      <c r="N529" s="475">
        <f t="shared" si="57"/>
        <v>67146</v>
      </c>
    </row>
    <row r="530" spans="7:14" ht="11.25" customHeight="1" x14ac:dyDescent="0.3">
      <c r="G530" s="470">
        <f t="shared" si="58"/>
        <v>44</v>
      </c>
      <c r="H530" s="470">
        <v>523</v>
      </c>
      <c r="I530" s="455">
        <f t="shared" ca="1" si="55"/>
        <v>4948663.1959339585</v>
      </c>
      <c r="J530" s="455">
        <f t="array" ref="J530">IFERROR(INDEX('Retirement Calculator'!J:J,MATCH('Isaac 401k'!N530,'Retirement Calculator'!A:A,0),0),0)</f>
        <v>6404.7404596389215</v>
      </c>
      <c r="K530" s="455">
        <f t="shared" ca="1" si="53"/>
        <v>20592.743564476332</v>
      </c>
      <c r="L530" s="455">
        <f t="shared" ca="1" si="54"/>
        <v>4962851.1990387961</v>
      </c>
      <c r="M530" s="471">
        <f t="shared" si="56"/>
        <v>0.05</v>
      </c>
      <c r="N530" s="475">
        <f t="shared" si="57"/>
        <v>67176</v>
      </c>
    </row>
    <row r="531" spans="7:14" ht="11.25" customHeight="1" x14ac:dyDescent="0.3">
      <c r="G531" s="470">
        <f t="shared" si="58"/>
        <v>44</v>
      </c>
      <c r="H531" s="470">
        <v>524</v>
      </c>
      <c r="I531" s="455">
        <f t="shared" ca="1" si="55"/>
        <v>4962851.1990387961</v>
      </c>
      <c r="J531" s="455">
        <f t="array" ref="J531">IFERROR(INDEX('Retirement Calculator'!J:J,MATCH('Isaac 401k'!N531,'Retirement Calculator'!A:A,0),0),0)</f>
        <v>6404.7404596389215</v>
      </c>
      <c r="K531" s="455">
        <f t="shared" ca="1" si="53"/>
        <v>20651.860244079824</v>
      </c>
      <c r="L531" s="455">
        <f t="shared" ca="1" si="54"/>
        <v>4977098.318823237</v>
      </c>
      <c r="M531" s="471">
        <f t="shared" si="56"/>
        <v>0.05</v>
      </c>
      <c r="N531" s="475">
        <f t="shared" si="57"/>
        <v>67207</v>
      </c>
    </row>
    <row r="532" spans="7:14" ht="11.25" customHeight="1" x14ac:dyDescent="0.3">
      <c r="G532" s="470">
        <f t="shared" si="58"/>
        <v>44</v>
      </c>
      <c r="H532" s="470">
        <v>525</v>
      </c>
      <c r="I532" s="455">
        <f t="shared" ca="1" si="55"/>
        <v>4977098.318823237</v>
      </c>
      <c r="J532" s="455">
        <f t="array" ref="J532">IFERROR(INDEX('Retirement Calculator'!J:J,MATCH('Isaac 401k'!N532,'Retirement Calculator'!A:A,0),0),0)</f>
        <v>6404.7404596389215</v>
      </c>
      <c r="K532" s="455">
        <f t="shared" ca="1" si="53"/>
        <v>20711.223243181659</v>
      </c>
      <c r="L532" s="455">
        <f t="shared" ca="1" si="54"/>
        <v>4991404.8016067799</v>
      </c>
      <c r="M532" s="471">
        <f t="shared" si="56"/>
        <v>0.05</v>
      </c>
      <c r="N532" s="475">
        <f t="shared" si="57"/>
        <v>67238</v>
      </c>
    </row>
    <row r="533" spans="7:14" ht="11.25" customHeight="1" x14ac:dyDescent="0.3">
      <c r="G533" s="470">
        <f t="shared" si="58"/>
        <v>44</v>
      </c>
      <c r="H533" s="470">
        <v>526</v>
      </c>
      <c r="I533" s="455">
        <f t="shared" ca="1" si="55"/>
        <v>4991404.8016067799</v>
      </c>
      <c r="J533" s="455">
        <f t="array" ref="J533">IFERROR(INDEX('Retirement Calculator'!J:J,MATCH('Isaac 401k'!N533,'Retirement Calculator'!A:A,0),0),0)</f>
        <v>6404.7404596389215</v>
      </c>
      <c r="K533" s="455">
        <f t="shared" ca="1" si="53"/>
        <v>20770.833588113088</v>
      </c>
      <c r="L533" s="455">
        <f t="shared" ca="1" si="54"/>
        <v>5005770.8947352543</v>
      </c>
      <c r="M533" s="471">
        <f t="shared" si="56"/>
        <v>0.05</v>
      </c>
      <c r="N533" s="475">
        <f t="shared" si="57"/>
        <v>67267</v>
      </c>
    </row>
    <row r="534" spans="7:14" ht="11.25" customHeight="1" x14ac:dyDescent="0.3">
      <c r="G534" s="470">
        <f t="shared" si="58"/>
        <v>44</v>
      </c>
      <c r="H534" s="470">
        <v>527</v>
      </c>
      <c r="I534" s="455">
        <f t="shared" ca="1" si="55"/>
        <v>5005770.8947352543</v>
      </c>
      <c r="J534" s="455">
        <f t="array" ref="J534">IFERROR(INDEX('Retirement Calculator'!J:J,MATCH('Isaac 401k'!N534,'Retirement Calculator'!A:A,0),0),0)</f>
        <v>6404.7404596389215</v>
      </c>
      <c r="K534" s="455">
        <f t="shared" ca="1" si="53"/>
        <v>20830.692309481732</v>
      </c>
      <c r="L534" s="455">
        <f t="shared" ca="1" si="54"/>
        <v>5020196.8465850977</v>
      </c>
      <c r="M534" s="471">
        <f t="shared" si="56"/>
        <v>0.05</v>
      </c>
      <c r="N534" s="475">
        <f t="shared" si="57"/>
        <v>67298</v>
      </c>
    </row>
    <row r="535" spans="7:14" ht="11.25" customHeight="1" x14ac:dyDescent="0.3">
      <c r="G535" s="470">
        <f t="shared" si="58"/>
        <v>44</v>
      </c>
      <c r="H535" s="470">
        <v>528</v>
      </c>
      <c r="I535" s="455">
        <f t="shared" ca="1" si="55"/>
        <v>5020196.8465850977</v>
      </c>
      <c r="J535" s="455">
        <f t="array" ref="J535">IFERROR(INDEX('Retirement Calculator'!J:J,MATCH('Isaac 401k'!N535,'Retirement Calculator'!A:A,0),0),0)</f>
        <v>6404.7404596389215</v>
      </c>
      <c r="K535" s="455">
        <f t="shared" ca="1" si="53"/>
        <v>20890.800442189411</v>
      </c>
      <c r="L535" s="455">
        <f t="shared" ca="1" si="54"/>
        <v>5034682.9065676481</v>
      </c>
      <c r="M535" s="471">
        <f t="shared" si="56"/>
        <v>0.05</v>
      </c>
      <c r="N535" s="475">
        <f t="shared" si="57"/>
        <v>67328</v>
      </c>
    </row>
    <row r="536" spans="7:14" ht="11.25" customHeight="1" x14ac:dyDescent="0.3">
      <c r="G536" s="470">
        <f>G535+1</f>
        <v>45</v>
      </c>
      <c r="H536" s="470">
        <v>529</v>
      </c>
      <c r="I536" s="455">
        <f t="shared" ca="1" si="55"/>
        <v>5034682.9065676481</v>
      </c>
      <c r="J536" s="455">
        <f t="array" ref="J536">IFERROR(INDEX('Retirement Calculator'!J:J,MATCH('Isaac 401k'!N536,'Retirement Calculator'!A:A,0),0),0)</f>
        <v>6404.7404596389215</v>
      </c>
      <c r="K536" s="455">
        <f t="shared" ca="1" si="53"/>
        <v>20951.159025450041</v>
      </c>
      <c r="L536" s="455">
        <f t="shared" ca="1" si="54"/>
        <v>5049229.3251334596</v>
      </c>
      <c r="M536" s="471">
        <f t="shared" si="56"/>
        <v>0.05</v>
      </c>
      <c r="N536" s="475">
        <f t="shared" si="57"/>
        <v>67359</v>
      </c>
    </row>
    <row r="537" spans="7:14" ht="11.25" customHeight="1" x14ac:dyDescent="0.3">
      <c r="G537" s="470">
        <f t="shared" ref="G537:G547" si="59">G536</f>
        <v>45</v>
      </c>
      <c r="H537" s="470">
        <v>530</v>
      </c>
      <c r="I537" s="455">
        <f t="shared" ca="1" si="55"/>
        <v>5049229.3251334596</v>
      </c>
      <c r="J537" s="455">
        <f t="array" ref="J537">IFERROR(INDEX('Retirement Calculator'!J:J,MATCH('Isaac 401k'!N537,'Retirement Calculator'!A:A,0),0),0)</f>
        <v>6404.7404596389215</v>
      </c>
      <c r="K537" s="455">
        <f t="shared" ca="1" si="53"/>
        <v>21011.769102807586</v>
      </c>
      <c r="L537" s="455">
        <f t="shared" ca="1" si="54"/>
        <v>5063836.3537766282</v>
      </c>
      <c r="M537" s="471">
        <f t="shared" si="56"/>
        <v>0.05</v>
      </c>
      <c r="N537" s="475">
        <f t="shared" si="57"/>
        <v>67389</v>
      </c>
    </row>
    <row r="538" spans="7:14" ht="11.25" customHeight="1" x14ac:dyDescent="0.3">
      <c r="G538" s="470">
        <f t="shared" si="59"/>
        <v>45</v>
      </c>
      <c r="H538" s="470">
        <v>531</v>
      </c>
      <c r="I538" s="455">
        <f t="shared" ca="1" si="55"/>
        <v>5063836.3537766282</v>
      </c>
      <c r="J538" s="455">
        <f t="array" ref="J538">IFERROR(INDEX('Retirement Calculator'!J:J,MATCH('Isaac 401k'!N538,'Retirement Calculator'!A:A,0),0),0)</f>
        <v>6404.7404596389215</v>
      </c>
      <c r="K538" s="455">
        <f t="shared" ca="1" si="53"/>
        <v>21072.631722154121</v>
      </c>
      <c r="L538" s="455">
        <f t="shared" ca="1" si="54"/>
        <v>5078504.2450391436</v>
      </c>
      <c r="M538" s="471">
        <f t="shared" si="56"/>
        <v>0.05</v>
      </c>
      <c r="N538" s="475">
        <f t="shared" si="57"/>
        <v>67420</v>
      </c>
    </row>
    <row r="539" spans="7:14" ht="11.25" customHeight="1" x14ac:dyDescent="0.3">
      <c r="G539" s="470">
        <f t="shared" si="59"/>
        <v>45</v>
      </c>
      <c r="H539" s="470">
        <v>532</v>
      </c>
      <c r="I539" s="455">
        <f t="shared" ca="1" si="55"/>
        <v>5078504.2450391436</v>
      </c>
      <c r="J539" s="455">
        <f t="array" ref="J539">IFERROR(INDEX('Retirement Calculator'!J:J,MATCH('Isaac 401k'!N539,'Retirement Calculator'!A:A,0),0),0)</f>
        <v>6404.7404596389215</v>
      </c>
      <c r="K539" s="455">
        <f t="shared" ca="1" si="53"/>
        <v>21133.747935747939</v>
      </c>
      <c r="L539" s="455">
        <f t="shared" ca="1" si="54"/>
        <v>5093233.2525152527</v>
      </c>
      <c r="M539" s="471">
        <f t="shared" si="56"/>
        <v>0.05</v>
      </c>
      <c r="N539" s="475">
        <f t="shared" si="57"/>
        <v>67451</v>
      </c>
    </row>
    <row r="540" spans="7:14" ht="11.25" customHeight="1" x14ac:dyDescent="0.3">
      <c r="G540" s="470">
        <f t="shared" si="59"/>
        <v>45</v>
      </c>
      <c r="H540" s="470">
        <v>533</v>
      </c>
      <c r="I540" s="455">
        <f t="shared" ca="1" si="55"/>
        <v>5093233.2525152527</v>
      </c>
      <c r="J540" s="455">
        <f t="array" ref="J540">IFERROR(INDEX('Retirement Calculator'!J:J,MATCH('Isaac 401k'!N540,'Retirement Calculator'!A:A,0),0),0)</f>
        <v>6404.7404596389215</v>
      </c>
      <c r="K540" s="455">
        <f t="shared" ca="1" si="53"/>
        <v>21195.118800231725</v>
      </c>
      <c r="L540" s="455">
        <f t="shared" ca="1" si="54"/>
        <v>5108023.6308558462</v>
      </c>
      <c r="M540" s="471">
        <f t="shared" si="56"/>
        <v>0.05</v>
      </c>
      <c r="N540" s="475">
        <f t="shared" si="57"/>
        <v>67481</v>
      </c>
    </row>
    <row r="541" spans="7:14" ht="11.25" customHeight="1" x14ac:dyDescent="0.3">
      <c r="G541" s="470">
        <f t="shared" si="59"/>
        <v>45</v>
      </c>
      <c r="H541" s="470">
        <v>534</v>
      </c>
      <c r="I541" s="455">
        <f t="shared" ca="1" si="55"/>
        <v>5108023.6308558462</v>
      </c>
      <c r="J541" s="455">
        <f t="array" ref="J541">IFERROR(INDEX('Retirement Calculator'!J:J,MATCH('Isaac 401k'!N541,'Retirement Calculator'!A:A,0),0),0)</f>
        <v>6404.7404596389215</v>
      </c>
      <c r="K541" s="455">
        <f t="shared" ca="1" si="53"/>
        <v>21256.745376650866</v>
      </c>
      <c r="L541" s="455">
        <f t="shared" ca="1" si="54"/>
        <v>5122875.6357728587</v>
      </c>
      <c r="M541" s="471">
        <f t="shared" si="56"/>
        <v>0.05</v>
      </c>
      <c r="N541" s="475">
        <f t="shared" si="57"/>
        <v>67512</v>
      </c>
    </row>
    <row r="542" spans="7:14" ht="11.25" customHeight="1" x14ac:dyDescent="0.3">
      <c r="G542" s="470">
        <f t="shared" si="59"/>
        <v>45</v>
      </c>
      <c r="H542" s="470">
        <v>535</v>
      </c>
      <c r="I542" s="455">
        <f t="shared" ca="1" si="55"/>
        <v>5122875.6357728587</v>
      </c>
      <c r="J542" s="455">
        <f t="array" ref="J542">IFERROR(INDEX('Retirement Calculator'!J:J,MATCH('Isaac 401k'!N542,'Retirement Calculator'!A:A,0),0),0)</f>
        <v>6404.7404596389215</v>
      </c>
      <c r="K542" s="455">
        <f t="shared" ca="1" si="53"/>
        <v>21318.628730471752</v>
      </c>
      <c r="L542" s="455">
        <f t="shared" ca="1" si="54"/>
        <v>5137789.5240436923</v>
      </c>
      <c r="M542" s="471">
        <f t="shared" si="56"/>
        <v>0.05</v>
      </c>
      <c r="N542" s="475">
        <f t="shared" si="57"/>
        <v>67542</v>
      </c>
    </row>
    <row r="543" spans="7:14" ht="11.25" customHeight="1" x14ac:dyDescent="0.3">
      <c r="G543" s="470">
        <f t="shared" si="59"/>
        <v>45</v>
      </c>
      <c r="H543" s="470">
        <v>536</v>
      </c>
      <c r="I543" s="455">
        <f t="shared" ca="1" si="55"/>
        <v>5137789.5240436923</v>
      </c>
      <c r="J543" s="455">
        <f t="array" ref="J543">IFERROR(INDEX('Retirement Calculator'!J:J,MATCH('Isaac 401k'!N543,'Retirement Calculator'!A:A,0),0),0)</f>
        <v>6404.7404596389215</v>
      </c>
      <c r="K543" s="455">
        <f t="shared" ca="1" si="53"/>
        <v>21380.769931600222</v>
      </c>
      <c r="L543" s="455">
        <f t="shared" ca="1" si="54"/>
        <v>5152765.5535156541</v>
      </c>
      <c r="M543" s="471">
        <f t="shared" si="56"/>
        <v>0.05</v>
      </c>
      <c r="N543" s="475">
        <f t="shared" si="57"/>
        <v>67573</v>
      </c>
    </row>
    <row r="544" spans="7:14" ht="11.25" customHeight="1" x14ac:dyDescent="0.3">
      <c r="G544" s="470">
        <f t="shared" si="59"/>
        <v>45</v>
      </c>
      <c r="H544" s="470">
        <v>537</v>
      </c>
      <c r="I544" s="455">
        <f t="shared" ca="1" si="55"/>
        <v>5152765.5535156541</v>
      </c>
      <c r="J544" s="455">
        <f t="array" ref="J544">IFERROR(INDEX('Retirement Calculator'!J:J,MATCH('Isaac 401k'!N544,'Retirement Calculator'!A:A,0),0),0)</f>
        <v>6404.7404596389215</v>
      </c>
      <c r="K544" s="455">
        <f t="shared" ca="1" si="53"/>
        <v>21443.170054400063</v>
      </c>
      <c r="L544" s="455">
        <f t="shared" ca="1" si="54"/>
        <v>5167803.9831104157</v>
      </c>
      <c r="M544" s="471">
        <f t="shared" si="56"/>
        <v>0.05</v>
      </c>
      <c r="N544" s="475">
        <f t="shared" si="57"/>
        <v>67604</v>
      </c>
    </row>
    <row r="545" spans="7:14" ht="11.25" customHeight="1" x14ac:dyDescent="0.3">
      <c r="G545" s="470">
        <f t="shared" si="59"/>
        <v>45</v>
      </c>
      <c r="H545" s="470">
        <v>538</v>
      </c>
      <c r="I545" s="455">
        <f t="shared" ca="1" si="55"/>
        <v>5167803.9831104157</v>
      </c>
      <c r="J545" s="455">
        <f t="array" ref="J545">IFERROR(INDEX('Retirement Calculator'!J:J,MATCH('Isaac 401k'!N545,'Retirement Calculator'!A:A,0),0),0)</f>
        <v>6404.7404596389215</v>
      </c>
      <c r="K545" s="455">
        <f t="shared" ca="1" si="53"/>
        <v>21505.83017771157</v>
      </c>
      <c r="L545" s="455">
        <f t="shared" ca="1" si="54"/>
        <v>5182905.0728284884</v>
      </c>
      <c r="M545" s="471">
        <f t="shared" si="56"/>
        <v>0.05</v>
      </c>
      <c r="N545" s="475">
        <f t="shared" si="57"/>
        <v>67632</v>
      </c>
    </row>
    <row r="546" spans="7:14" ht="11.25" customHeight="1" x14ac:dyDescent="0.3">
      <c r="G546" s="470">
        <f t="shared" si="59"/>
        <v>45</v>
      </c>
      <c r="H546" s="470">
        <v>539</v>
      </c>
      <c r="I546" s="455">
        <f t="shared" ca="1" si="55"/>
        <v>5182905.0728284884</v>
      </c>
      <c r="J546" s="455">
        <f t="array" ref="J546">IFERROR(INDEX('Retirement Calculator'!J:J,MATCH('Isaac 401k'!N546,'Retirement Calculator'!A:A,0),0),0)</f>
        <v>6404.7404596389215</v>
      </c>
      <c r="K546" s="455">
        <f t="shared" ca="1" si="53"/>
        <v>21568.751384870207</v>
      </c>
      <c r="L546" s="455">
        <f t="shared" ca="1" si="54"/>
        <v>5198069.0837537199</v>
      </c>
      <c r="M546" s="471">
        <f t="shared" si="56"/>
        <v>0.05</v>
      </c>
      <c r="N546" s="475">
        <f t="shared" si="57"/>
        <v>67663</v>
      </c>
    </row>
    <row r="547" spans="7:14" ht="11.25" customHeight="1" x14ac:dyDescent="0.3">
      <c r="G547" s="470">
        <f t="shared" si="59"/>
        <v>45</v>
      </c>
      <c r="H547" s="470">
        <v>540</v>
      </c>
      <c r="I547" s="455">
        <f t="shared" ca="1" si="55"/>
        <v>5198069.0837537199</v>
      </c>
      <c r="J547" s="455">
        <f t="array" ref="J547">IFERROR(INDEX('Retirement Calculator'!J:J,MATCH('Isaac 401k'!N547,'Retirement Calculator'!A:A,0),0),0)</f>
        <v>6404.7404596389215</v>
      </c>
      <c r="K547" s="455">
        <f t="shared" ca="1" si="53"/>
        <v>21631.934763725338</v>
      </c>
      <c r="L547" s="455">
        <f t="shared" ca="1" si="54"/>
        <v>5213296.2780578062</v>
      </c>
      <c r="M547" s="471">
        <f t="shared" si="56"/>
        <v>0.05</v>
      </c>
      <c r="N547" s="475">
        <f t="shared" si="57"/>
        <v>67693</v>
      </c>
    </row>
    <row r="548" spans="7:14" ht="11.25" customHeight="1" x14ac:dyDescent="0.3">
      <c r="G548" s="470">
        <f>G547+1</f>
        <v>46</v>
      </c>
      <c r="H548" s="470">
        <v>541</v>
      </c>
      <c r="I548" s="455">
        <f t="shared" ca="1" si="55"/>
        <v>5213296.2780578062</v>
      </c>
      <c r="J548" s="455">
        <f t="array" ref="J548">IFERROR(INDEX('Retirement Calculator'!J:J,MATCH('Isaac 401k'!N548,'Retirement Calculator'!A:A,0),0),0)</f>
        <v>6404.7404596389215</v>
      </c>
      <c r="K548" s="455">
        <f t="shared" ca="1" si="53"/>
        <v>21695.381406659031</v>
      </c>
      <c r="L548" s="455">
        <f t="shared" ca="1" si="54"/>
        <v>5228586.9190048268</v>
      </c>
      <c r="M548" s="471">
        <f t="shared" si="56"/>
        <v>0.05</v>
      </c>
      <c r="N548" s="475">
        <f t="shared" si="57"/>
        <v>67724</v>
      </c>
    </row>
    <row r="549" spans="7:14" ht="11.25" customHeight="1" x14ac:dyDescent="0.3">
      <c r="G549" s="470">
        <f t="shared" ref="G549:G559" si="60">G548</f>
        <v>46</v>
      </c>
      <c r="H549" s="470">
        <v>542</v>
      </c>
      <c r="I549" s="455">
        <f t="shared" ca="1" si="55"/>
        <v>5228586.9190048268</v>
      </c>
      <c r="J549" s="455">
        <f t="array" ref="J549">IFERROR(INDEX('Retirement Calculator'!J:J,MATCH('Isaac 401k'!N549,'Retirement Calculator'!A:A,0),0),0)</f>
        <v>6404.7404596389215</v>
      </c>
      <c r="K549" s="455">
        <f t="shared" ca="1" si="53"/>
        <v>21759.09241060495</v>
      </c>
      <c r="L549" s="455">
        <f t="shared" ca="1" si="54"/>
        <v>5243941.2709557936</v>
      </c>
      <c r="M549" s="471">
        <f t="shared" si="56"/>
        <v>0.05</v>
      </c>
      <c r="N549" s="475">
        <f t="shared" si="57"/>
        <v>67754</v>
      </c>
    </row>
    <row r="550" spans="7:14" ht="11.25" customHeight="1" x14ac:dyDescent="0.3">
      <c r="G550" s="470">
        <f t="shared" si="60"/>
        <v>46</v>
      </c>
      <c r="H550" s="470">
        <v>543</v>
      </c>
      <c r="I550" s="455">
        <f t="shared" ca="1" si="55"/>
        <v>5243941.2709557936</v>
      </c>
      <c r="J550" s="455">
        <f t="array" ref="J550">IFERROR(INDEX('Retirement Calculator'!J:J,MATCH('Isaac 401k'!N550,'Retirement Calculator'!A:A,0),0),0)</f>
        <v>6404.7404596389215</v>
      </c>
      <c r="K550" s="455">
        <f t="shared" ca="1" si="53"/>
        <v>21823.068877067311</v>
      </c>
      <c r="L550" s="455">
        <f t="shared" ca="1" si="54"/>
        <v>5259359.5993732223</v>
      </c>
      <c r="M550" s="471">
        <f t="shared" si="56"/>
        <v>0.05</v>
      </c>
      <c r="N550" s="475">
        <f t="shared" si="57"/>
        <v>67785</v>
      </c>
    </row>
    <row r="551" spans="7:14" ht="11.25" customHeight="1" x14ac:dyDescent="0.3">
      <c r="G551" s="470">
        <f t="shared" si="60"/>
        <v>46</v>
      </c>
      <c r="H551" s="470">
        <v>544</v>
      </c>
      <c r="I551" s="455">
        <f t="shared" ca="1" si="55"/>
        <v>5259359.5993732223</v>
      </c>
      <c r="J551" s="455">
        <f t="array" ref="J551">IFERROR(INDEX('Retirement Calculator'!J:J,MATCH('Isaac 401k'!N551,'Retirement Calculator'!A:A,0),0),0)</f>
        <v>6404.7404596389215</v>
      </c>
      <c r="K551" s="455">
        <f t="shared" ca="1" si="53"/>
        <v>21887.311912139932</v>
      </c>
      <c r="L551" s="455">
        <f t="shared" ca="1" si="54"/>
        <v>5274842.1708257236</v>
      </c>
      <c r="M551" s="471">
        <f t="shared" si="56"/>
        <v>0.05</v>
      </c>
      <c r="N551" s="475">
        <f t="shared" si="57"/>
        <v>67816</v>
      </c>
    </row>
    <row r="552" spans="7:14" ht="11.25" customHeight="1" x14ac:dyDescent="0.3">
      <c r="G552" s="470">
        <f t="shared" si="60"/>
        <v>46</v>
      </c>
      <c r="H552" s="470">
        <v>545</v>
      </c>
      <c r="I552" s="455">
        <f t="shared" ca="1" si="55"/>
        <v>5274842.1708257236</v>
      </c>
      <c r="J552" s="455">
        <f t="array" ref="J552">IFERROR(INDEX('Retirement Calculator'!J:J,MATCH('Isaac 401k'!N552,'Retirement Calculator'!A:A,0),0),0)</f>
        <v>6404.7404596389215</v>
      </c>
      <c r="K552" s="455">
        <f t="shared" ca="1" si="53"/>
        <v>21951.822626525354</v>
      </c>
      <c r="L552" s="455">
        <f t="shared" ca="1" si="54"/>
        <v>5290389.2529926104</v>
      </c>
      <c r="M552" s="471">
        <f t="shared" si="56"/>
        <v>0.05</v>
      </c>
      <c r="N552" s="475">
        <f t="shared" si="57"/>
        <v>67846</v>
      </c>
    </row>
    <row r="553" spans="7:14" ht="11.25" customHeight="1" x14ac:dyDescent="0.3">
      <c r="G553" s="470">
        <f t="shared" si="60"/>
        <v>46</v>
      </c>
      <c r="H553" s="470">
        <v>546</v>
      </c>
      <c r="I553" s="455">
        <f t="shared" ca="1" si="55"/>
        <v>5290389.2529926104</v>
      </c>
      <c r="J553" s="455">
        <f t="array" ref="J553">IFERROR(INDEX('Retirement Calculator'!J:J,MATCH('Isaac 401k'!N553,'Retirement Calculator'!A:A,0),0),0)</f>
        <v>6404.7404596389215</v>
      </c>
      <c r="K553" s="455">
        <f t="shared" ca="1" si="53"/>
        <v>22016.602135554051</v>
      </c>
      <c r="L553" s="455">
        <f t="shared" ca="1" si="54"/>
        <v>5306001.1146685258</v>
      </c>
      <c r="M553" s="471">
        <f t="shared" si="56"/>
        <v>0.05</v>
      </c>
      <c r="N553" s="475">
        <f t="shared" si="57"/>
        <v>67877</v>
      </c>
    </row>
    <row r="554" spans="7:14" ht="11.25" customHeight="1" x14ac:dyDescent="0.3">
      <c r="G554" s="470">
        <f t="shared" si="60"/>
        <v>46</v>
      </c>
      <c r="H554" s="470">
        <v>547</v>
      </c>
      <c r="I554" s="455">
        <f t="shared" ca="1" si="55"/>
        <v>5306001.1146685258</v>
      </c>
      <c r="J554" s="455">
        <f t="array" ref="J554">IFERROR(INDEX('Retirement Calculator'!J:J,MATCH('Isaac 401k'!N554,'Retirement Calculator'!A:A,0),0),0)</f>
        <v>6404.7404596389215</v>
      </c>
      <c r="K554" s="455">
        <f t="shared" ca="1" si="53"/>
        <v>22081.651559203696</v>
      </c>
      <c r="L554" s="455">
        <f t="shared" ca="1" si="54"/>
        <v>5321678.025768091</v>
      </c>
      <c r="M554" s="471">
        <f t="shared" si="56"/>
        <v>0.05</v>
      </c>
      <c r="N554" s="475">
        <f t="shared" si="57"/>
        <v>67907</v>
      </c>
    </row>
    <row r="555" spans="7:14" ht="11.25" customHeight="1" x14ac:dyDescent="0.3">
      <c r="G555" s="470">
        <f t="shared" si="60"/>
        <v>46</v>
      </c>
      <c r="H555" s="470">
        <v>548</v>
      </c>
      <c r="I555" s="455">
        <f t="shared" ca="1" si="55"/>
        <v>5321678.025768091</v>
      </c>
      <c r="J555" s="455">
        <f t="array" ref="J555">IFERROR(INDEX('Retirement Calculator'!J:J,MATCH('Isaac 401k'!N555,'Retirement Calculator'!A:A,0),0),0)</f>
        <v>6404.7404596389215</v>
      </c>
      <c r="K555" s="455">
        <f t="shared" ca="1" si="53"/>
        <v>22146.972022118553</v>
      </c>
      <c r="L555" s="455">
        <f t="shared" ca="1" si="54"/>
        <v>5337420.2573305713</v>
      </c>
      <c r="M555" s="471">
        <f t="shared" si="56"/>
        <v>0.05</v>
      </c>
      <c r="N555" s="475">
        <f t="shared" si="57"/>
        <v>67938</v>
      </c>
    </row>
    <row r="556" spans="7:14" ht="11.25" customHeight="1" x14ac:dyDescent="0.3">
      <c r="G556" s="470">
        <f t="shared" si="60"/>
        <v>46</v>
      </c>
      <c r="H556" s="470">
        <v>549</v>
      </c>
      <c r="I556" s="455">
        <f t="shared" ca="1" si="55"/>
        <v>5337420.2573305713</v>
      </c>
      <c r="J556" s="455">
        <f t="array" ref="J556">IFERROR(INDEX('Retirement Calculator'!J:J,MATCH('Isaac 401k'!N556,'Retirement Calculator'!A:A,0),0),0)</f>
        <v>6404.7404596389215</v>
      </c>
      <c r="K556" s="455">
        <f t="shared" ca="1" si="53"/>
        <v>22212.564653628884</v>
      </c>
      <c r="L556" s="455">
        <f t="shared" ca="1" si="54"/>
        <v>5353228.0815245612</v>
      </c>
      <c r="M556" s="471">
        <f t="shared" si="56"/>
        <v>0.05</v>
      </c>
      <c r="N556" s="475">
        <f t="shared" si="57"/>
        <v>67969</v>
      </c>
    </row>
    <row r="557" spans="7:14" ht="11.25" customHeight="1" x14ac:dyDescent="0.3">
      <c r="G557" s="470">
        <f t="shared" si="60"/>
        <v>46</v>
      </c>
      <c r="H557" s="470">
        <v>550</v>
      </c>
      <c r="I557" s="455">
        <f t="shared" ca="1" si="55"/>
        <v>5353228.0815245612</v>
      </c>
      <c r="J557" s="455">
        <f t="array" ref="J557">IFERROR(INDEX('Retirement Calculator'!J:J,MATCH('Isaac 401k'!N557,'Retirement Calculator'!A:A,0),0),0)</f>
        <v>6404.7404596389215</v>
      </c>
      <c r="K557" s="455">
        <f t="shared" ca="1" si="53"/>
        <v>22278.430587770512</v>
      </c>
      <c r="L557" s="455">
        <f t="shared" ca="1" si="54"/>
        <v>5369101.7716526929</v>
      </c>
      <c r="M557" s="471">
        <f t="shared" si="56"/>
        <v>0.05</v>
      </c>
      <c r="N557" s="475">
        <f t="shared" si="57"/>
        <v>67997</v>
      </c>
    </row>
    <row r="558" spans="7:14" ht="11.25" customHeight="1" x14ac:dyDescent="0.3">
      <c r="G558" s="470">
        <f t="shared" si="60"/>
        <v>46</v>
      </c>
      <c r="H558" s="470">
        <v>551</v>
      </c>
      <c r="I558" s="455">
        <f t="shared" ca="1" si="55"/>
        <v>5369101.7716526929</v>
      </c>
      <c r="J558" s="455">
        <f t="array" ref="J558">IFERROR(INDEX('Retirement Calculator'!J:J,MATCH('Isaac 401k'!N558,'Retirement Calculator'!A:A,0),0),0)</f>
        <v>6404.7404596389215</v>
      </c>
      <c r="K558" s="455">
        <f t="shared" ca="1" si="53"/>
        <v>22344.570963304392</v>
      </c>
      <c r="L558" s="455">
        <f t="shared" ca="1" si="54"/>
        <v>5385041.6021563588</v>
      </c>
      <c r="M558" s="471">
        <f t="shared" si="56"/>
        <v>0.05</v>
      </c>
      <c r="N558" s="475">
        <f t="shared" si="57"/>
        <v>68028</v>
      </c>
    </row>
    <row r="559" spans="7:14" ht="11.25" customHeight="1" x14ac:dyDescent="0.3">
      <c r="G559" s="470">
        <f t="shared" si="60"/>
        <v>46</v>
      </c>
      <c r="H559" s="470">
        <v>552</v>
      </c>
      <c r="I559" s="455">
        <f t="shared" ca="1" si="55"/>
        <v>5385041.6021563588</v>
      </c>
      <c r="J559" s="455">
        <f t="array" ref="J559">IFERROR(INDEX('Retirement Calculator'!J:J,MATCH('Isaac 401k'!N559,'Retirement Calculator'!A:A,0),0),0)</f>
        <v>6404.7404596389215</v>
      </c>
      <c r="K559" s="455">
        <f t="shared" ca="1" si="53"/>
        <v>22410.986923736335</v>
      </c>
      <c r="L559" s="455">
        <f t="shared" ca="1" si="54"/>
        <v>5401047.8486204566</v>
      </c>
      <c r="M559" s="471">
        <f t="shared" si="56"/>
        <v>0.05</v>
      </c>
      <c r="N559" s="475">
        <f t="shared" si="57"/>
        <v>68058</v>
      </c>
    </row>
    <row r="560" spans="7:14" ht="11.25" customHeight="1" x14ac:dyDescent="0.3">
      <c r="G560" s="470">
        <f>G559+1</f>
        <v>47</v>
      </c>
      <c r="H560" s="470">
        <v>553</v>
      </c>
      <c r="I560" s="455">
        <f t="shared" ca="1" si="55"/>
        <v>5401047.8486204566</v>
      </c>
      <c r="J560" s="455">
        <f t="array" ref="J560">IFERROR(INDEX('Retirement Calculator'!J:J,MATCH('Isaac 401k'!N560,'Retirement Calculator'!A:A,0),0),0)</f>
        <v>6404.7404596389215</v>
      </c>
      <c r="K560" s="455">
        <f t="shared" ca="1" si="53"/>
        <v>22477.67961733674</v>
      </c>
      <c r="L560" s="455">
        <f t="shared" ca="1" si="54"/>
        <v>5417120.7877781549</v>
      </c>
      <c r="M560" s="471">
        <f t="shared" si="56"/>
        <v>0.05</v>
      </c>
      <c r="N560" s="475">
        <f t="shared" si="57"/>
        <v>68089</v>
      </c>
    </row>
    <row r="561" spans="7:14" ht="11.25" customHeight="1" x14ac:dyDescent="0.3">
      <c r="G561" s="470">
        <f t="shared" ref="G561:G571" si="61">G560</f>
        <v>47</v>
      </c>
      <c r="H561" s="470">
        <v>554</v>
      </c>
      <c r="I561" s="455">
        <f t="shared" ca="1" si="55"/>
        <v>5417120.7877781549</v>
      </c>
      <c r="J561" s="455">
        <f t="array" ref="J561">IFERROR(INDEX('Retirement Calculator'!J:J,MATCH('Isaac 401k'!N561,'Retirement Calculator'!A:A,0),0),0)</f>
        <v>6404.7404596389215</v>
      </c>
      <c r="K561" s="455">
        <f t="shared" ca="1" si="53"/>
        <v>22544.650197160485</v>
      </c>
      <c r="L561" s="455">
        <f t="shared" ca="1" si="54"/>
        <v>5433260.6975156767</v>
      </c>
      <c r="M561" s="471">
        <f t="shared" si="56"/>
        <v>0.05</v>
      </c>
      <c r="N561" s="475">
        <f t="shared" si="57"/>
        <v>68119</v>
      </c>
    </row>
    <row r="562" spans="7:14" ht="11.25" customHeight="1" x14ac:dyDescent="0.3">
      <c r="G562" s="470">
        <f t="shared" si="61"/>
        <v>47</v>
      </c>
      <c r="H562" s="470">
        <v>555</v>
      </c>
      <c r="I562" s="455">
        <f t="shared" ca="1" si="55"/>
        <v>5433260.6975156767</v>
      </c>
      <c r="J562" s="455">
        <f t="array" ref="J562">IFERROR(INDEX('Retirement Calculator'!J:J,MATCH('Isaac 401k'!N562,'Retirement Calculator'!A:A,0),0),0)</f>
        <v>6404.7404596389215</v>
      </c>
      <c r="K562" s="455">
        <f t="shared" ca="1" si="53"/>
        <v>22611.899821066825</v>
      </c>
      <c r="L562" s="455">
        <f t="shared" ca="1" si="54"/>
        <v>5449467.8568771053</v>
      </c>
      <c r="M562" s="471">
        <f t="shared" si="56"/>
        <v>0.05</v>
      </c>
      <c r="N562" s="475">
        <f t="shared" si="57"/>
        <v>68150</v>
      </c>
    </row>
    <row r="563" spans="7:14" ht="11.25" customHeight="1" x14ac:dyDescent="0.3">
      <c r="G563" s="470">
        <f t="shared" si="61"/>
        <v>47</v>
      </c>
      <c r="H563" s="470">
        <v>556</v>
      </c>
      <c r="I563" s="455">
        <f t="shared" ca="1" si="55"/>
        <v>5449467.8568771053</v>
      </c>
      <c r="J563" s="455">
        <f t="array" ref="J563">IFERROR(INDEX('Retirement Calculator'!J:J,MATCH('Isaac 401k'!N563,'Retirement Calculator'!A:A,0),0),0)</f>
        <v>6404.7404596389215</v>
      </c>
      <c r="K563" s="455">
        <f t="shared" ca="1" si="53"/>
        <v>22679.429651739443</v>
      </c>
      <c r="L563" s="455">
        <f t="shared" ca="1" si="54"/>
        <v>5465742.5460692057</v>
      </c>
      <c r="M563" s="471">
        <f t="shared" si="56"/>
        <v>0.05</v>
      </c>
      <c r="N563" s="475">
        <f t="shared" si="57"/>
        <v>68181</v>
      </c>
    </row>
    <row r="564" spans="7:14" ht="11.25" customHeight="1" x14ac:dyDescent="0.3">
      <c r="G564" s="470">
        <f t="shared" si="61"/>
        <v>47</v>
      </c>
      <c r="H564" s="470">
        <v>557</v>
      </c>
      <c r="I564" s="455">
        <f t="shared" ca="1" si="55"/>
        <v>5465742.5460692057</v>
      </c>
      <c r="J564" s="455">
        <f t="array" ref="J564">IFERROR(INDEX('Retirement Calculator'!J:J,MATCH('Isaac 401k'!N564,'Retirement Calculator'!A:A,0),0),0)</f>
        <v>6404.7404596389215</v>
      </c>
      <c r="K564" s="455">
        <f t="shared" ca="1" si="53"/>
        <v>22747.240856706529</v>
      </c>
      <c r="L564" s="455">
        <f t="shared" ca="1" si="54"/>
        <v>5482085.0464662733</v>
      </c>
      <c r="M564" s="471">
        <f t="shared" si="56"/>
        <v>0.05</v>
      </c>
      <c r="N564" s="475">
        <f t="shared" si="57"/>
        <v>68211</v>
      </c>
    </row>
    <row r="565" spans="7:14" ht="11.25" customHeight="1" x14ac:dyDescent="0.3">
      <c r="G565" s="470">
        <f t="shared" si="61"/>
        <v>47</v>
      </c>
      <c r="H565" s="470">
        <v>558</v>
      </c>
      <c r="I565" s="455">
        <f t="shared" ca="1" si="55"/>
        <v>5482085.0464662733</v>
      </c>
      <c r="J565" s="455">
        <f t="array" ref="J565">IFERROR(INDEX('Retirement Calculator'!J:J,MATCH('Isaac 401k'!N565,'Retirement Calculator'!A:A,0),0),0)</f>
        <v>6404.7404596389215</v>
      </c>
      <c r="K565" s="455">
        <f t="shared" ca="1" si="53"/>
        <v>22815.334608360976</v>
      </c>
      <c r="L565" s="455">
        <f t="shared" ca="1" si="54"/>
        <v>5498495.6406149957</v>
      </c>
      <c r="M565" s="471">
        <f t="shared" si="56"/>
        <v>0.05</v>
      </c>
      <c r="N565" s="475">
        <f t="shared" si="57"/>
        <v>68242</v>
      </c>
    </row>
    <row r="566" spans="7:14" ht="11.25" customHeight="1" x14ac:dyDescent="0.3">
      <c r="G566" s="470">
        <f t="shared" si="61"/>
        <v>47</v>
      </c>
      <c r="H566" s="470">
        <v>559</v>
      </c>
      <c r="I566" s="455">
        <f t="shared" ca="1" si="55"/>
        <v>5498495.6406149957</v>
      </c>
      <c r="J566" s="455">
        <f t="array" ref="J566">IFERROR(INDEX('Retirement Calculator'!J:J,MATCH('Isaac 401k'!N566,'Retirement Calculator'!A:A,0),0),0)</f>
        <v>6404.7404596389215</v>
      </c>
      <c r="K566" s="455">
        <f t="shared" ca="1" si="53"/>
        <v>22883.712083980656</v>
      </c>
      <c r="L566" s="455">
        <f t="shared" ca="1" si="54"/>
        <v>5514974.6122393375</v>
      </c>
      <c r="M566" s="471">
        <f t="shared" si="56"/>
        <v>0.05</v>
      </c>
      <c r="N566" s="475">
        <f t="shared" si="57"/>
        <v>68272</v>
      </c>
    </row>
    <row r="567" spans="7:14" ht="11.25" customHeight="1" x14ac:dyDescent="0.3">
      <c r="G567" s="470">
        <f t="shared" si="61"/>
        <v>47</v>
      </c>
      <c r="H567" s="470">
        <v>560</v>
      </c>
      <c r="I567" s="455">
        <f t="shared" ca="1" si="55"/>
        <v>5514974.6122393375</v>
      </c>
      <c r="J567" s="455">
        <f t="array" ref="J567">IFERROR(INDEX('Retirement Calculator'!J:J,MATCH('Isaac 401k'!N567,'Retirement Calculator'!A:A,0),0),0)</f>
        <v>6404.7404596389215</v>
      </c>
      <c r="K567" s="455">
        <f t="shared" ca="1" si="53"/>
        <v>22952.374465748744</v>
      </c>
      <c r="L567" s="455">
        <f t="shared" ca="1" si="54"/>
        <v>5531522.2462454475</v>
      </c>
      <c r="M567" s="471">
        <f t="shared" si="56"/>
        <v>0.05</v>
      </c>
      <c r="N567" s="475">
        <f t="shared" si="57"/>
        <v>68303</v>
      </c>
    </row>
    <row r="568" spans="7:14" ht="11.25" customHeight="1" x14ac:dyDescent="0.3">
      <c r="G568" s="470">
        <f t="shared" si="61"/>
        <v>47</v>
      </c>
      <c r="H568" s="470">
        <v>561</v>
      </c>
      <c r="I568" s="455">
        <f t="shared" ca="1" si="55"/>
        <v>5531522.2462454475</v>
      </c>
      <c r="J568" s="455">
        <f t="array" ref="J568">IFERROR(INDEX('Retirement Calculator'!J:J,MATCH('Isaac 401k'!N568,'Retirement Calculator'!A:A,0),0),0)</f>
        <v>6404.7404596389215</v>
      </c>
      <c r="K568" s="455">
        <f t="shared" ca="1" si="53"/>
        <v>23021.322940774204</v>
      </c>
      <c r="L568" s="455">
        <f t="shared" ca="1" si="54"/>
        <v>5548138.8287265832</v>
      </c>
      <c r="M568" s="471">
        <f t="shared" si="56"/>
        <v>0.05</v>
      </c>
      <c r="N568" s="475">
        <f t="shared" si="57"/>
        <v>68334</v>
      </c>
    </row>
    <row r="569" spans="7:14" ht="11.25" customHeight="1" x14ac:dyDescent="0.3">
      <c r="G569" s="470">
        <f t="shared" si="61"/>
        <v>47</v>
      </c>
      <c r="H569" s="470">
        <v>562</v>
      </c>
      <c r="I569" s="455">
        <f t="shared" ca="1" si="55"/>
        <v>5548138.8287265832</v>
      </c>
      <c r="J569" s="455">
        <f t="array" ref="J569">IFERROR(INDEX('Retirement Calculator'!J:J,MATCH('Isaac 401k'!N569,'Retirement Calculator'!A:A,0),0),0)</f>
        <v>6404.7404596389215</v>
      </c>
      <c r="K569" s="455">
        <f t="shared" ca="1" si="53"/>
        <v>23090.55870111227</v>
      </c>
      <c r="L569" s="455">
        <f t="shared" ca="1" si="54"/>
        <v>5564824.6469680564</v>
      </c>
      <c r="M569" s="471">
        <f t="shared" si="56"/>
        <v>0.05</v>
      </c>
      <c r="N569" s="475">
        <f t="shared" si="57"/>
        <v>68362</v>
      </c>
    </row>
    <row r="570" spans="7:14" ht="11.25" customHeight="1" x14ac:dyDescent="0.3">
      <c r="G570" s="470">
        <f t="shared" si="61"/>
        <v>47</v>
      </c>
      <c r="H570" s="470">
        <v>563</v>
      </c>
      <c r="I570" s="455">
        <f t="shared" ca="1" si="55"/>
        <v>5564824.6469680564</v>
      </c>
      <c r="J570" s="455">
        <f t="array" ref="J570">IFERROR(INDEX('Retirement Calculator'!J:J,MATCH('Isaac 401k'!N570,'Retirement Calculator'!A:A,0),0),0)</f>
        <v>6404.7404596389215</v>
      </c>
      <c r="K570" s="455">
        <f t="shared" ca="1" si="53"/>
        <v>23160.082943785073</v>
      </c>
      <c r="L570" s="455">
        <f t="shared" ca="1" si="54"/>
        <v>5581579.9894522028</v>
      </c>
      <c r="M570" s="471">
        <f t="shared" si="56"/>
        <v>0.05</v>
      </c>
      <c r="N570" s="475">
        <f t="shared" si="57"/>
        <v>68393</v>
      </c>
    </row>
    <row r="571" spans="7:14" ht="11.25" customHeight="1" x14ac:dyDescent="0.3">
      <c r="G571" s="470">
        <f t="shared" si="61"/>
        <v>47</v>
      </c>
      <c r="H571" s="470">
        <v>564</v>
      </c>
      <c r="I571" s="455">
        <f t="shared" ca="1" si="55"/>
        <v>5581579.9894522028</v>
      </c>
      <c r="J571" s="455">
        <f t="array" ref="J571">IFERROR(INDEX('Retirement Calculator'!J:J,MATCH('Isaac 401k'!N571,'Retirement Calculator'!A:A,0),0),0)</f>
        <v>6404.7404596389215</v>
      </c>
      <c r="K571" s="455">
        <f t="shared" ca="1" si="53"/>
        <v>23229.896870802349</v>
      </c>
      <c r="L571" s="455">
        <f t="shared" ca="1" si="54"/>
        <v>5598405.1458633663</v>
      </c>
      <c r="M571" s="471">
        <f t="shared" si="56"/>
        <v>0.05</v>
      </c>
      <c r="N571" s="475">
        <f t="shared" si="57"/>
        <v>68423</v>
      </c>
    </row>
    <row r="572" spans="7:14" ht="11.25" customHeight="1" x14ac:dyDescent="0.3">
      <c r="G572" s="470">
        <f>G571+1</f>
        <v>48</v>
      </c>
      <c r="H572" s="470">
        <v>565</v>
      </c>
      <c r="I572" s="455">
        <f t="shared" ca="1" si="55"/>
        <v>5598405.1458633663</v>
      </c>
      <c r="J572" s="455">
        <f t="array" ref="J572">IFERROR(INDEX('Retirement Calculator'!J:J,MATCH('Isaac 401k'!N572,'Retirement Calculator'!A:A,0),0),0)</f>
        <v>6404.7404596389215</v>
      </c>
      <c r="K572" s="455">
        <f t="shared" ca="1" si="53"/>
        <v>23300.001689182198</v>
      </c>
      <c r="L572" s="455">
        <f t="shared" ca="1" si="54"/>
        <v>5615300.4070929103</v>
      </c>
      <c r="M572" s="471">
        <f t="shared" si="56"/>
        <v>0.05</v>
      </c>
      <c r="N572" s="475">
        <f t="shared" si="57"/>
        <v>68454</v>
      </c>
    </row>
    <row r="573" spans="7:14" ht="11.25" customHeight="1" x14ac:dyDescent="0.3">
      <c r="G573" s="470">
        <f t="shared" ref="G573:G583" si="62">G572</f>
        <v>48</v>
      </c>
      <c r="H573" s="470">
        <v>566</v>
      </c>
      <c r="I573" s="455">
        <f t="shared" ca="1" si="55"/>
        <v>5615300.4070929103</v>
      </c>
      <c r="J573" s="455">
        <f t="array" ref="J573">IFERROR(INDEX('Retirement Calculator'!J:J,MATCH('Isaac 401k'!N573,'Retirement Calculator'!A:A,0),0),0)</f>
        <v>6404.7404596389215</v>
      </c>
      <c r="K573" s="455">
        <f t="shared" ca="1" si="53"/>
        <v>23370.398610971966</v>
      </c>
      <c r="L573" s="455">
        <f t="shared" ca="1" si="54"/>
        <v>5632266.0652442435</v>
      </c>
      <c r="M573" s="471">
        <f t="shared" si="56"/>
        <v>0.05</v>
      </c>
      <c r="N573" s="475">
        <f t="shared" si="57"/>
        <v>68484</v>
      </c>
    </row>
    <row r="574" spans="7:14" ht="11.25" customHeight="1" x14ac:dyDescent="0.3">
      <c r="G574" s="470">
        <f t="shared" si="62"/>
        <v>48</v>
      </c>
      <c r="H574" s="470">
        <v>567</v>
      </c>
      <c r="I574" s="455">
        <f t="shared" ca="1" si="55"/>
        <v>5632266.0652442435</v>
      </c>
      <c r="J574" s="455">
        <f t="array" ref="J574">IFERROR(INDEX('Retirement Calculator'!J:J,MATCH('Isaac 401k'!N574,'Retirement Calculator'!A:A,0),0),0)</f>
        <v>6404.7404596389215</v>
      </c>
      <c r="K574" s="455">
        <f t="shared" ca="1" si="53"/>
        <v>23441.088853269186</v>
      </c>
      <c r="L574" s="455">
        <f t="shared" ca="1" si="54"/>
        <v>5649302.4136378737</v>
      </c>
      <c r="M574" s="471">
        <f t="shared" si="56"/>
        <v>0.05</v>
      </c>
      <c r="N574" s="475">
        <f t="shared" si="57"/>
        <v>68515</v>
      </c>
    </row>
    <row r="575" spans="7:14" ht="11.25" customHeight="1" x14ac:dyDescent="0.3">
      <c r="G575" s="470">
        <f t="shared" si="62"/>
        <v>48</v>
      </c>
      <c r="H575" s="470">
        <v>568</v>
      </c>
      <c r="I575" s="455">
        <f t="shared" ca="1" si="55"/>
        <v>5649302.4136378737</v>
      </c>
      <c r="J575" s="455">
        <f t="array" ref="J575">IFERROR(INDEX('Retirement Calculator'!J:J,MATCH('Isaac 401k'!N575,'Retirement Calculator'!A:A,0),0),0)</f>
        <v>6404.7404596389215</v>
      </c>
      <c r="K575" s="455">
        <f t="shared" ca="1" si="53"/>
        <v>23512.073638242648</v>
      </c>
      <c r="L575" s="455">
        <f t="shared" ca="1" si="54"/>
        <v>5666409.7468164777</v>
      </c>
      <c r="M575" s="471">
        <f t="shared" si="56"/>
        <v>0.05</v>
      </c>
      <c r="N575" s="475">
        <f t="shared" si="57"/>
        <v>68546</v>
      </c>
    </row>
    <row r="576" spans="7:14" ht="11.25" customHeight="1" x14ac:dyDescent="0.3">
      <c r="G576" s="470">
        <f t="shared" si="62"/>
        <v>48</v>
      </c>
      <c r="H576" s="470">
        <v>569</v>
      </c>
      <c r="I576" s="455">
        <f t="shared" ca="1" si="55"/>
        <v>5666409.7468164777</v>
      </c>
      <c r="J576" s="455">
        <f t="array" ref="J576">IFERROR(INDEX('Retirement Calculator'!J:J,MATCH('Isaac 401k'!N576,'Retirement Calculator'!A:A,0),0),0)</f>
        <v>6404.7404596389215</v>
      </c>
      <c r="K576" s="455">
        <f t="shared" ca="1" si="53"/>
        <v>23583.354193153496</v>
      </c>
      <c r="L576" s="455">
        <f t="shared" ca="1" si="54"/>
        <v>5683588.3605499929</v>
      </c>
      <c r="M576" s="471">
        <f t="shared" si="56"/>
        <v>0.05</v>
      </c>
      <c r="N576" s="475">
        <f t="shared" si="57"/>
        <v>68576</v>
      </c>
    </row>
    <row r="577" spans="7:14" ht="11.25" customHeight="1" x14ac:dyDescent="0.3">
      <c r="G577" s="470">
        <f t="shared" si="62"/>
        <v>48</v>
      </c>
      <c r="H577" s="470">
        <v>570</v>
      </c>
      <c r="I577" s="455">
        <f t="shared" ca="1" si="55"/>
        <v>5683588.3605499929</v>
      </c>
      <c r="J577" s="455">
        <f t="array" ref="J577">IFERROR(INDEX('Retirement Calculator'!J:J,MATCH('Isaac 401k'!N577,'Retirement Calculator'!A:A,0),0),0)</f>
        <v>6404.7404596389215</v>
      </c>
      <c r="K577" s="455">
        <f t="shared" ca="1" si="53"/>
        <v>23654.931750376476</v>
      </c>
      <c r="L577" s="455">
        <f t="shared" ca="1" si="54"/>
        <v>5700838.5518407309</v>
      </c>
      <c r="M577" s="471">
        <f t="shared" si="56"/>
        <v>0.05</v>
      </c>
      <c r="N577" s="475">
        <f t="shared" si="57"/>
        <v>68607</v>
      </c>
    </row>
    <row r="578" spans="7:14" ht="11.25" customHeight="1" x14ac:dyDescent="0.3">
      <c r="G578" s="470">
        <f t="shared" si="62"/>
        <v>48</v>
      </c>
      <c r="H578" s="470">
        <v>571</v>
      </c>
      <c r="I578" s="455">
        <f t="shared" ca="1" si="55"/>
        <v>5700838.5518407309</v>
      </c>
      <c r="J578" s="455">
        <f t="array" ref="J578">IFERROR(INDEX('Retirement Calculator'!J:J,MATCH('Isaac 401k'!N578,'Retirement Calculator'!A:A,0),0),0)</f>
        <v>6404.7404596389215</v>
      </c>
      <c r="K578" s="455">
        <f t="shared" ca="1" si="53"/>
        <v>23726.807547421216</v>
      </c>
      <c r="L578" s="455">
        <f t="shared" ca="1" si="54"/>
        <v>5718160.6189285135</v>
      </c>
      <c r="M578" s="471">
        <f t="shared" si="56"/>
        <v>0.05</v>
      </c>
      <c r="N578" s="475">
        <f t="shared" si="57"/>
        <v>68637</v>
      </c>
    </row>
    <row r="579" spans="7:14" ht="11.25" customHeight="1" x14ac:dyDescent="0.3">
      <c r="G579" s="470">
        <f t="shared" si="62"/>
        <v>48</v>
      </c>
      <c r="H579" s="470">
        <v>572</v>
      </c>
      <c r="I579" s="455">
        <f t="shared" ca="1" si="55"/>
        <v>5718160.6189285135</v>
      </c>
      <c r="J579" s="455">
        <f t="array" ref="J579">IFERROR(INDEX('Retirement Calculator'!J:J,MATCH('Isaac 401k'!N579,'Retirement Calculator'!A:A,0),0),0)</f>
        <v>6404.7404596389215</v>
      </c>
      <c r="K579" s="455">
        <f t="shared" ca="1" si="53"/>
        <v>23798.982826953645</v>
      </c>
      <c r="L579" s="455">
        <f t="shared" ca="1" si="54"/>
        <v>5735554.8612958286</v>
      </c>
      <c r="M579" s="471">
        <f t="shared" si="56"/>
        <v>0.05</v>
      </c>
      <c r="N579" s="475">
        <f t="shared" si="57"/>
        <v>68668</v>
      </c>
    </row>
    <row r="580" spans="7:14" ht="11.25" customHeight="1" x14ac:dyDescent="0.3">
      <c r="G580" s="470">
        <f t="shared" si="62"/>
        <v>48</v>
      </c>
      <c r="H580" s="470">
        <v>573</v>
      </c>
      <c r="I580" s="455">
        <f t="shared" ca="1" si="55"/>
        <v>5735554.8612958286</v>
      </c>
      <c r="J580" s="455">
        <f t="array" ref="J580">IFERROR(INDEX('Retirement Calculator'!J:J,MATCH('Isaac 401k'!N580,'Retirement Calculator'!A:A,0),0),0)</f>
        <v>6404.7404596389215</v>
      </c>
      <c r="K580" s="455">
        <f t="shared" ca="1" si="53"/>
        <v>23871.458836817459</v>
      </c>
      <c r="L580" s="455">
        <f t="shared" ca="1" si="54"/>
        <v>5753021.5796730071</v>
      </c>
      <c r="M580" s="471">
        <f t="shared" si="56"/>
        <v>0.05</v>
      </c>
      <c r="N580" s="475">
        <f t="shared" si="57"/>
        <v>68699</v>
      </c>
    </row>
    <row r="581" spans="7:14" ht="11.25" customHeight="1" x14ac:dyDescent="0.3">
      <c r="G581" s="470">
        <f t="shared" si="62"/>
        <v>48</v>
      </c>
      <c r="H581" s="470">
        <v>574</v>
      </c>
      <c r="I581" s="455">
        <f t="shared" ca="1" si="55"/>
        <v>5753021.5796730071</v>
      </c>
      <c r="J581" s="455">
        <f t="array" ref="J581">IFERROR(INDEX('Retirement Calculator'!J:J,MATCH('Isaac 401k'!N581,'Retirement Calculator'!A:A,0),0),0)</f>
        <v>6404.7404596389215</v>
      </c>
      <c r="K581" s="455">
        <f t="shared" ca="1" si="53"/>
        <v>23944.236830055703</v>
      </c>
      <c r="L581" s="455">
        <f t="shared" ca="1" si="54"/>
        <v>5770561.0760434242</v>
      </c>
      <c r="M581" s="471">
        <f t="shared" si="56"/>
        <v>0.05</v>
      </c>
      <c r="N581" s="475">
        <f t="shared" si="57"/>
        <v>68728</v>
      </c>
    </row>
    <row r="582" spans="7:14" ht="11.25" customHeight="1" x14ac:dyDescent="0.3">
      <c r="G582" s="470">
        <f t="shared" si="62"/>
        <v>48</v>
      </c>
      <c r="H582" s="470">
        <v>575</v>
      </c>
      <c r="I582" s="455">
        <f t="shared" ca="1" si="55"/>
        <v>5770561.0760434242</v>
      </c>
      <c r="J582" s="455">
        <f t="array" ref="J582">IFERROR(INDEX('Retirement Calculator'!J:J,MATCH('Isaac 401k'!N582,'Retirement Calculator'!A:A,0),0),0)</f>
        <v>6404.7404596389215</v>
      </c>
      <c r="K582" s="455">
        <f t="shared" ca="1" si="53"/>
        <v>24017.318064932439</v>
      </c>
      <c r="L582" s="455">
        <f t="shared" ca="1" si="54"/>
        <v>5788173.6536487183</v>
      </c>
      <c r="M582" s="471">
        <f t="shared" si="56"/>
        <v>0.05</v>
      </c>
      <c r="N582" s="475">
        <f t="shared" si="57"/>
        <v>68759</v>
      </c>
    </row>
    <row r="583" spans="7:14" ht="11.25" customHeight="1" x14ac:dyDescent="0.3">
      <c r="G583" s="470">
        <f t="shared" si="62"/>
        <v>48</v>
      </c>
      <c r="H583" s="470">
        <v>576</v>
      </c>
      <c r="I583" s="455">
        <f t="shared" ca="1" si="55"/>
        <v>5788173.6536487183</v>
      </c>
      <c r="J583" s="455">
        <f t="array" ref="J583">IFERROR(INDEX('Retirement Calculator'!J:J,MATCH('Isaac 401k'!N583,'Retirement Calculator'!A:A,0),0),0)</f>
        <v>6404.7404596389215</v>
      </c>
      <c r="K583" s="455">
        <f t="shared" ca="1" si="53"/>
        <v>24090.703804954497</v>
      </c>
      <c r="L583" s="455">
        <f t="shared" ca="1" si="54"/>
        <v>5805859.6169940345</v>
      </c>
      <c r="M583" s="471">
        <f t="shared" si="56"/>
        <v>0.05</v>
      </c>
      <c r="N583" s="475">
        <f t="shared" si="57"/>
        <v>68789</v>
      </c>
    </row>
    <row r="584" spans="7:14" ht="11.25" customHeight="1" x14ac:dyDescent="0.3">
      <c r="G584" s="470">
        <f>G583+1</f>
        <v>49</v>
      </c>
      <c r="H584" s="470">
        <v>577</v>
      </c>
      <c r="I584" s="455">
        <f t="shared" ca="1" si="55"/>
        <v>5805859.6169940345</v>
      </c>
      <c r="J584" s="455">
        <f t="array" ref="J584">IFERROR(INDEX('Retirement Calculator'!J:J,MATCH('Isaac 401k'!N584,'Retirement Calculator'!A:A,0),0),0)</f>
        <v>6404.7404596389215</v>
      </c>
      <c r="K584" s="455">
        <f t="shared" ca="1" si="53"/>
        <v>24164.395318893316</v>
      </c>
      <c r="L584" s="455">
        <f t="shared" ca="1" si="54"/>
        <v>5823619.2718532896</v>
      </c>
      <c r="M584" s="471">
        <f t="shared" si="56"/>
        <v>0.05</v>
      </c>
      <c r="N584" s="475">
        <f t="shared" si="57"/>
        <v>68820</v>
      </c>
    </row>
    <row r="585" spans="7:14" ht="11.25" customHeight="1" x14ac:dyDescent="0.3">
      <c r="G585" s="470">
        <f t="shared" ref="G585:G595" si="63">G584</f>
        <v>49</v>
      </c>
      <c r="H585" s="470">
        <v>578</v>
      </c>
      <c r="I585" s="455">
        <f t="shared" ca="1" si="55"/>
        <v>5823619.2718532896</v>
      </c>
      <c r="J585" s="455">
        <f t="array" ref="J585">IFERROR(INDEX('Retirement Calculator'!J:J,MATCH('Isaac 401k'!N585,'Retirement Calculator'!A:A,0),0),0)</f>
        <v>6404.7404596389215</v>
      </c>
      <c r="K585" s="455">
        <f t="shared" ca="1" si="53"/>
        <v>24238.393880806878</v>
      </c>
      <c r="L585" s="455">
        <f t="shared" ca="1" si="54"/>
        <v>5841452.9252744578</v>
      </c>
      <c r="M585" s="471">
        <f t="shared" si="56"/>
        <v>0.05</v>
      </c>
      <c r="N585" s="475">
        <f t="shared" si="57"/>
        <v>68850</v>
      </c>
    </row>
    <row r="586" spans="7:14" ht="11.25" customHeight="1" x14ac:dyDescent="0.3">
      <c r="G586" s="470">
        <f t="shared" si="63"/>
        <v>49</v>
      </c>
      <c r="H586" s="470">
        <v>579</v>
      </c>
      <c r="I586" s="455">
        <f t="shared" ca="1" si="55"/>
        <v>5841452.9252744578</v>
      </c>
      <c r="J586" s="455">
        <f t="array" ref="J586">IFERROR(INDEX('Retirement Calculator'!J:J,MATCH('Isaac 401k'!N586,'Retirement Calculator'!A:A,0),0),0)</f>
        <v>6404.7404596389215</v>
      </c>
      <c r="K586" s="455">
        <f t="shared" ca="1" si="53"/>
        <v>24312.700770061747</v>
      </c>
      <c r="L586" s="455">
        <f t="shared" ca="1" si="54"/>
        <v>5859360.8855848806</v>
      </c>
      <c r="M586" s="471">
        <f t="shared" si="56"/>
        <v>0.05</v>
      </c>
      <c r="N586" s="475">
        <f t="shared" si="57"/>
        <v>68881</v>
      </c>
    </row>
    <row r="587" spans="7:14" ht="11.25" customHeight="1" x14ac:dyDescent="0.3">
      <c r="G587" s="470">
        <f t="shared" si="63"/>
        <v>49</v>
      </c>
      <c r="H587" s="470">
        <v>580</v>
      </c>
      <c r="I587" s="455">
        <f t="shared" ca="1" si="55"/>
        <v>5859360.8855848806</v>
      </c>
      <c r="J587" s="455">
        <f t="array" ref="J587">IFERROR(INDEX('Retirement Calculator'!J:J,MATCH('Isaac 401k'!N587,'Retirement Calculator'!A:A,0),0),0)</f>
        <v>6404.7404596389215</v>
      </c>
      <c r="K587" s="455">
        <f t="shared" ca="1" si="53"/>
        <v>24387.317271355176</v>
      </c>
      <c r="L587" s="455">
        <f t="shared" ca="1" si="54"/>
        <v>5877343.4623965975</v>
      </c>
      <c r="M587" s="471">
        <f t="shared" si="56"/>
        <v>0.05</v>
      </c>
      <c r="N587" s="475">
        <f t="shared" si="57"/>
        <v>68912</v>
      </c>
    </row>
    <row r="588" spans="7:14" ht="11.25" customHeight="1" x14ac:dyDescent="0.3">
      <c r="G588" s="470">
        <f t="shared" si="63"/>
        <v>49</v>
      </c>
      <c r="H588" s="470">
        <v>581</v>
      </c>
      <c r="I588" s="455">
        <f t="shared" ca="1" si="55"/>
        <v>5877343.4623965975</v>
      </c>
      <c r="J588" s="455">
        <f t="array" ref="J588">IFERROR(INDEX('Retirement Calculator'!J:J,MATCH('Isaac 401k'!N588,'Retirement Calculator'!A:A,0),0),0)</f>
        <v>6404.7404596389215</v>
      </c>
      <c r="K588" s="455">
        <f t="shared" ca="1" si="53"/>
        <v>24462.244674737329</v>
      </c>
      <c r="L588" s="455">
        <f t="shared" ca="1" si="54"/>
        <v>5895400.9666116964</v>
      </c>
      <c r="M588" s="471">
        <f t="shared" si="56"/>
        <v>0.05</v>
      </c>
      <c r="N588" s="475">
        <f t="shared" si="57"/>
        <v>68942</v>
      </c>
    </row>
    <row r="589" spans="7:14" ht="11.25" customHeight="1" x14ac:dyDescent="0.3">
      <c r="G589" s="470">
        <f t="shared" si="63"/>
        <v>49</v>
      </c>
      <c r="H589" s="470">
        <v>582</v>
      </c>
      <c r="I589" s="455">
        <f t="shared" ca="1" si="55"/>
        <v>5895400.9666116964</v>
      </c>
      <c r="J589" s="455">
        <f t="array" ref="J589">IFERROR(INDEX('Retirement Calculator'!J:J,MATCH('Isaac 401k'!N589,'Retirement Calculator'!A:A,0),0),0)</f>
        <v>6404.7404596389215</v>
      </c>
      <c r="K589" s="455">
        <f t="shared" ca="1" si="53"/>
        <v>24537.484275633575</v>
      </c>
      <c r="L589" s="455">
        <f t="shared" ca="1" si="54"/>
        <v>5913533.7104276912</v>
      </c>
      <c r="M589" s="471">
        <f t="shared" si="56"/>
        <v>0.05</v>
      </c>
      <c r="N589" s="475">
        <f t="shared" si="57"/>
        <v>68973</v>
      </c>
    </row>
    <row r="590" spans="7:14" ht="11.25" customHeight="1" x14ac:dyDescent="0.3">
      <c r="G590" s="470">
        <f t="shared" si="63"/>
        <v>49</v>
      </c>
      <c r="H590" s="470">
        <v>583</v>
      </c>
      <c r="I590" s="455">
        <f t="shared" ca="1" si="55"/>
        <v>5913533.7104276912</v>
      </c>
      <c r="J590" s="455">
        <f t="array" ref="J590">IFERROR(INDEX('Retirement Calculator'!J:J,MATCH('Isaac 401k'!N590,'Retirement Calculator'!A:A,0),0),0)</f>
        <v>6404.7404596389215</v>
      </c>
      <c r="K590" s="455">
        <f t="shared" ca="1" si="53"/>
        <v>24613.037374866886</v>
      </c>
      <c r="L590" s="455">
        <f t="shared" ca="1" si="54"/>
        <v>5931742.0073429197</v>
      </c>
      <c r="M590" s="471">
        <f t="shared" si="56"/>
        <v>0.05</v>
      </c>
      <c r="N590" s="475">
        <f t="shared" si="57"/>
        <v>69003</v>
      </c>
    </row>
    <row r="591" spans="7:14" ht="11.25" customHeight="1" x14ac:dyDescent="0.3">
      <c r="G591" s="470">
        <f t="shared" si="63"/>
        <v>49</v>
      </c>
      <c r="H591" s="470">
        <v>584</v>
      </c>
      <c r="I591" s="455">
        <f t="shared" ca="1" si="55"/>
        <v>5931742.0073429197</v>
      </c>
      <c r="J591" s="455">
        <f t="array" ref="J591">IFERROR(INDEX('Retirement Calculator'!J:J,MATCH('Isaac 401k'!N591,'Retirement Calculator'!A:A,0),0),0)</f>
        <v>6404.7404596389215</v>
      </c>
      <c r="K591" s="455">
        <f t="shared" ca="1" si="53"/>
        <v>24688.905278680337</v>
      </c>
      <c r="L591" s="455">
        <f t="shared" ca="1" si="54"/>
        <v>5950026.172161961</v>
      </c>
      <c r="M591" s="471">
        <f t="shared" si="56"/>
        <v>0.05</v>
      </c>
      <c r="N591" s="475">
        <f t="shared" si="57"/>
        <v>69034</v>
      </c>
    </row>
    <row r="592" spans="7:14" ht="11.25" customHeight="1" x14ac:dyDescent="0.3">
      <c r="G592" s="470">
        <f t="shared" si="63"/>
        <v>49</v>
      </c>
      <c r="H592" s="470">
        <v>585</v>
      </c>
      <c r="I592" s="455">
        <f t="shared" ca="1" si="55"/>
        <v>5950026.172161961</v>
      </c>
      <c r="J592" s="455">
        <f t="array" ref="J592">IFERROR(INDEX('Retirement Calculator'!J:J,MATCH('Isaac 401k'!N592,'Retirement Calculator'!A:A,0),0),0)</f>
        <v>6404.7404596389215</v>
      </c>
      <c r="K592" s="455">
        <f t="shared" ca="1" si="53"/>
        <v>24765.089298759674</v>
      </c>
      <c r="L592" s="455">
        <f t="shared" ca="1" si="54"/>
        <v>5968386.5210010819</v>
      </c>
      <c r="M592" s="471">
        <f t="shared" si="56"/>
        <v>0.05</v>
      </c>
      <c r="N592" s="475">
        <f t="shared" si="57"/>
        <v>69065</v>
      </c>
    </row>
    <row r="593" spans="7:14" ht="11.25" customHeight="1" x14ac:dyDescent="0.3">
      <c r="G593" s="470">
        <f t="shared" si="63"/>
        <v>49</v>
      </c>
      <c r="H593" s="470">
        <v>586</v>
      </c>
      <c r="I593" s="455">
        <f t="shared" ca="1" si="55"/>
        <v>5968386.5210010819</v>
      </c>
      <c r="J593" s="455">
        <f t="array" ref="J593">IFERROR(INDEX('Retirement Calculator'!J:J,MATCH('Isaac 401k'!N593,'Retirement Calculator'!A:A,0),0),0)</f>
        <v>6404.7404596389215</v>
      </c>
      <c r="K593" s="455">
        <f t="shared" ca="1" si="53"/>
        <v>24841.590752256012</v>
      </c>
      <c r="L593" s="455">
        <f t="shared" ca="1" si="54"/>
        <v>5986823.3712936994</v>
      </c>
      <c r="M593" s="471">
        <f t="shared" si="56"/>
        <v>0.05</v>
      </c>
      <c r="N593" s="475">
        <f t="shared" si="57"/>
        <v>69093</v>
      </c>
    </row>
    <row r="594" spans="7:14" ht="11.25" customHeight="1" x14ac:dyDescent="0.3">
      <c r="G594" s="470">
        <f t="shared" si="63"/>
        <v>49</v>
      </c>
      <c r="H594" s="470">
        <v>587</v>
      </c>
      <c r="I594" s="455">
        <f t="shared" ca="1" si="55"/>
        <v>5986823.3712936994</v>
      </c>
      <c r="J594" s="455">
        <f t="array" ref="J594">IFERROR(INDEX('Retirement Calculator'!J:J,MATCH('Isaac 401k'!N594,'Retirement Calculator'!A:A,0),0),0)</f>
        <v>6404.7404596389215</v>
      </c>
      <c r="K594" s="455">
        <f t="shared" ca="1" si="53"/>
        <v>24918.410961808586</v>
      </c>
      <c r="L594" s="455">
        <f t="shared" ca="1" si="54"/>
        <v>6005337.0417958694</v>
      </c>
      <c r="M594" s="471">
        <f t="shared" si="56"/>
        <v>0.05</v>
      </c>
      <c r="N594" s="475">
        <f t="shared" si="57"/>
        <v>69124</v>
      </c>
    </row>
    <row r="595" spans="7:14" ht="11.25" customHeight="1" x14ac:dyDescent="0.3">
      <c r="G595" s="470">
        <f t="shared" si="63"/>
        <v>49</v>
      </c>
      <c r="H595" s="470">
        <v>588</v>
      </c>
      <c r="I595" s="455">
        <f t="shared" ca="1" si="55"/>
        <v>6005337.0417958694</v>
      </c>
      <c r="J595" s="455">
        <f t="array" ref="J595">IFERROR(INDEX('Retirement Calculator'!J:J,MATCH('Isaac 401k'!N595,'Retirement Calculator'!A:A,0),0),0)</f>
        <v>6404.7404596389215</v>
      </c>
      <c r="K595" s="455">
        <f t="shared" ca="1" si="53"/>
        <v>24995.551255567629</v>
      </c>
      <c r="L595" s="455">
        <f t="shared" ca="1" si="54"/>
        <v>6023927.8525917986</v>
      </c>
      <c r="M595" s="471">
        <f t="shared" si="56"/>
        <v>0.05</v>
      </c>
      <c r="N595" s="475">
        <f t="shared" si="57"/>
        <v>69154</v>
      </c>
    </row>
    <row r="596" spans="7:14" ht="11.25" customHeight="1" x14ac:dyDescent="0.3">
      <c r="G596" s="470">
        <f>G595+1</f>
        <v>50</v>
      </c>
      <c r="H596" s="470">
        <v>589</v>
      </c>
      <c r="I596" s="455">
        <f t="shared" ca="1" si="55"/>
        <v>6023927.8525917986</v>
      </c>
      <c r="J596" s="455">
        <f t="array" ref="J596">IFERROR(INDEX('Retirement Calculator'!J:J,MATCH('Isaac 401k'!N596,'Retirement Calculator'!A:A,0),0),0)</f>
        <v>6404.7404596389215</v>
      </c>
      <c r="K596" s="455">
        <f t="shared" ca="1" si="53"/>
        <v>25073.012967217332</v>
      </c>
      <c r="L596" s="455">
        <f t="shared" ca="1" si="54"/>
        <v>6042596.1250993777</v>
      </c>
      <c r="M596" s="471">
        <f t="shared" si="56"/>
        <v>0.05</v>
      </c>
      <c r="N596" s="475">
        <f t="shared" si="57"/>
        <v>69185</v>
      </c>
    </row>
    <row r="597" spans="7:14" ht="11.25" customHeight="1" x14ac:dyDescent="0.3">
      <c r="G597" s="470">
        <f t="shared" ref="G597:G607" si="64">G596</f>
        <v>50</v>
      </c>
      <c r="H597" s="470">
        <v>590</v>
      </c>
      <c r="I597" s="455">
        <f t="shared" ca="1" si="55"/>
        <v>6042596.1250993777</v>
      </c>
      <c r="J597" s="455">
        <f t="array" ref="J597">IFERROR(INDEX('Retirement Calculator'!J:J,MATCH('Isaac 401k'!N597,'Retirement Calculator'!A:A,0),0),0)</f>
        <v>6404.7404596389215</v>
      </c>
      <c r="K597" s="455">
        <f t="shared" ca="1" si="53"/>
        <v>25150.797435998913</v>
      </c>
      <c r="L597" s="455">
        <f t="shared" ca="1" si="54"/>
        <v>6061342.182075738</v>
      </c>
      <c r="M597" s="471">
        <f t="shared" si="56"/>
        <v>0.05</v>
      </c>
      <c r="N597" s="475">
        <f t="shared" si="57"/>
        <v>69215</v>
      </c>
    </row>
    <row r="598" spans="7:14" ht="11.25" customHeight="1" x14ac:dyDescent="0.3">
      <c r="G598" s="470">
        <f t="shared" si="64"/>
        <v>50</v>
      </c>
      <c r="H598" s="470">
        <v>591</v>
      </c>
      <c r="I598" s="455">
        <f t="shared" ca="1" si="55"/>
        <v>6061342.182075738</v>
      </c>
      <c r="J598" s="455">
        <f t="array" ref="J598">IFERROR(INDEX('Retirement Calculator'!J:J,MATCH('Isaac 401k'!N598,'Retirement Calculator'!A:A,0),0),0)</f>
        <v>6404.7404596389215</v>
      </c>
      <c r="K598" s="455">
        <f t="shared" ca="1" si="53"/>
        <v>25228.906006733749</v>
      </c>
      <c r="L598" s="455">
        <f t="shared" ca="1" si="54"/>
        <v>6080166.3476228332</v>
      </c>
      <c r="M598" s="471">
        <f t="shared" si="56"/>
        <v>0.05</v>
      </c>
      <c r="N598" s="475">
        <f t="shared" si="57"/>
        <v>69246</v>
      </c>
    </row>
    <row r="599" spans="7:14" ht="11.25" customHeight="1" x14ac:dyDescent="0.3">
      <c r="G599" s="470">
        <f t="shared" si="64"/>
        <v>50</v>
      </c>
      <c r="H599" s="470">
        <v>592</v>
      </c>
      <c r="I599" s="455">
        <f t="shared" ca="1" si="55"/>
        <v>6080166.3476228332</v>
      </c>
      <c r="J599" s="455">
        <f t="array" ref="J599">IFERROR(INDEX('Retirement Calculator'!J:J,MATCH('Isaac 401k'!N599,'Retirement Calculator'!A:A,0),0),0)</f>
        <v>6404.7404596389215</v>
      </c>
      <c r="K599" s="455">
        <f t="shared" ca="1" si="53"/>
        <v>25307.340029846644</v>
      </c>
      <c r="L599" s="455">
        <f t="shared" ca="1" si="54"/>
        <v>6099068.9471930414</v>
      </c>
      <c r="M599" s="471">
        <f t="shared" si="56"/>
        <v>0.05</v>
      </c>
      <c r="N599" s="475">
        <f t="shared" si="57"/>
        <v>69277</v>
      </c>
    </row>
    <row r="600" spans="7:14" ht="11.25" customHeight="1" x14ac:dyDescent="0.3">
      <c r="G600" s="470">
        <f t="shared" si="64"/>
        <v>50</v>
      </c>
      <c r="H600" s="470">
        <v>593</v>
      </c>
      <c r="I600" s="455">
        <f t="shared" ca="1" si="55"/>
        <v>6099068.9471930414</v>
      </c>
      <c r="J600" s="455">
        <f t="array" ref="J600">IFERROR(INDEX('Retirement Calculator'!J:J,MATCH('Isaac 401k'!N600,'Retirement Calculator'!A:A,0),0),0)</f>
        <v>6404.7404596389215</v>
      </c>
      <c r="K600" s="455">
        <f t="shared" ca="1" si="53"/>
        <v>25386.100861389179</v>
      </c>
      <c r="L600" s="455">
        <f t="shared" ca="1" si="54"/>
        <v>6118050.307594792</v>
      </c>
      <c r="M600" s="471">
        <f t="shared" si="56"/>
        <v>0.05</v>
      </c>
      <c r="N600" s="475">
        <f t="shared" si="57"/>
        <v>69307</v>
      </c>
    </row>
    <row r="601" spans="7:14" ht="11.25" customHeight="1" x14ac:dyDescent="0.3">
      <c r="G601" s="470">
        <f t="shared" si="64"/>
        <v>50</v>
      </c>
      <c r="H601" s="470">
        <v>594</v>
      </c>
      <c r="I601" s="455">
        <f t="shared" ca="1" si="55"/>
        <v>6118050.307594792</v>
      </c>
      <c r="J601" s="455">
        <f t="array" ref="J601">IFERROR(INDEX('Retirement Calculator'!J:J,MATCH('Isaac 401k'!N601,'Retirement Calculator'!A:A,0),0),0)</f>
        <v>6404.7404596389215</v>
      </c>
      <c r="K601" s="455">
        <f t="shared" ca="1" si="53"/>
        <v>25465.18986306314</v>
      </c>
      <c r="L601" s="455">
        <f t="shared" ca="1" si="54"/>
        <v>6137110.7569982167</v>
      </c>
      <c r="M601" s="471">
        <f t="shared" si="56"/>
        <v>0.05</v>
      </c>
      <c r="N601" s="475">
        <f t="shared" si="57"/>
        <v>69338</v>
      </c>
    </row>
    <row r="602" spans="7:14" ht="11.25" customHeight="1" x14ac:dyDescent="0.3">
      <c r="G602" s="470">
        <f t="shared" si="64"/>
        <v>50</v>
      </c>
      <c r="H602" s="470">
        <v>595</v>
      </c>
      <c r="I602" s="455">
        <f t="shared" ca="1" si="55"/>
        <v>6137110.7569982167</v>
      </c>
      <c r="J602" s="455">
        <f t="array" ref="J602">IFERROR(INDEX('Retirement Calculator'!J:J,MATCH('Isaac 401k'!N602,'Retirement Calculator'!A:A,0),0),0)</f>
        <v>6404.7404596389215</v>
      </c>
      <c r="K602" s="455">
        <f t="shared" ca="1" si="53"/>
        <v>25544.608402244074</v>
      </c>
      <c r="L602" s="455">
        <f t="shared" ca="1" si="54"/>
        <v>6156250.6249408219</v>
      </c>
      <c r="M602" s="471">
        <f t="shared" si="56"/>
        <v>0.05</v>
      </c>
      <c r="N602" s="475">
        <f t="shared" si="57"/>
        <v>69368</v>
      </c>
    </row>
    <row r="603" spans="7:14" ht="11.25" customHeight="1" x14ac:dyDescent="0.3">
      <c r="G603" s="470">
        <f t="shared" si="64"/>
        <v>50</v>
      </c>
      <c r="H603" s="470">
        <v>596</v>
      </c>
      <c r="I603" s="455">
        <f t="shared" ca="1" si="55"/>
        <v>6156250.6249408219</v>
      </c>
      <c r="J603" s="455">
        <f t="array" ref="J603">IFERROR(INDEX('Retirement Calculator'!J:J,MATCH('Isaac 401k'!N603,'Retirement Calculator'!A:A,0),0),0)</f>
        <v>6404.7404596389215</v>
      </c>
      <c r="K603" s="455">
        <f t="shared" ca="1" si="53"/>
        <v>25624.35785200493</v>
      </c>
      <c r="L603" s="455">
        <f t="shared" ca="1" si="54"/>
        <v>6175470.2423331877</v>
      </c>
      <c r="M603" s="471">
        <f t="shared" si="56"/>
        <v>0.05</v>
      </c>
      <c r="N603" s="475">
        <f t="shared" si="57"/>
        <v>69399</v>
      </c>
    </row>
    <row r="604" spans="7:14" ht="11.25" customHeight="1" x14ac:dyDescent="0.3">
      <c r="G604" s="470">
        <f t="shared" si="64"/>
        <v>50</v>
      </c>
      <c r="H604" s="470">
        <v>597</v>
      </c>
      <c r="I604" s="455">
        <f t="shared" ca="1" si="55"/>
        <v>6175470.2423331877</v>
      </c>
      <c r="J604" s="455">
        <f t="array" ref="J604">IFERROR(INDEX('Retirement Calculator'!J:J,MATCH('Isaac 401k'!N604,'Retirement Calculator'!A:A,0),0),0)</f>
        <v>6404.7404596389215</v>
      </c>
      <c r="K604" s="455">
        <f t="shared" ca="1" si="53"/>
        <v>25704.439591139788</v>
      </c>
      <c r="L604" s="455">
        <f t="shared" ca="1" si="54"/>
        <v>6194769.9414646886</v>
      </c>
      <c r="M604" s="471">
        <f t="shared" si="56"/>
        <v>0.05</v>
      </c>
      <c r="N604" s="475">
        <f t="shared" si="57"/>
        <v>69430</v>
      </c>
    </row>
    <row r="605" spans="7:14" ht="11.25" customHeight="1" x14ac:dyDescent="0.3">
      <c r="G605" s="470">
        <f t="shared" si="64"/>
        <v>50</v>
      </c>
      <c r="H605" s="470">
        <v>598</v>
      </c>
      <c r="I605" s="455">
        <f t="shared" ca="1" si="55"/>
        <v>6194769.9414646886</v>
      </c>
      <c r="J605" s="455">
        <f t="array" ref="J605">IFERROR(INDEX('Retirement Calculator'!J:J,MATCH('Isaac 401k'!N605,'Retirement Calculator'!A:A,0),0),0)</f>
        <v>6404.7404596389215</v>
      </c>
      <c r="K605" s="455">
        <f t="shared" ca="1" si="53"/>
        <v>25784.85500418771</v>
      </c>
      <c r="L605" s="455">
        <f t="shared" ca="1" si="54"/>
        <v>6214150.0560092377</v>
      </c>
      <c r="M605" s="471">
        <f t="shared" si="56"/>
        <v>0.05</v>
      </c>
      <c r="N605" s="475">
        <f t="shared" si="57"/>
        <v>69458</v>
      </c>
    </row>
    <row r="606" spans="7:14" ht="11.25" customHeight="1" x14ac:dyDescent="0.3">
      <c r="G606" s="470">
        <f t="shared" si="64"/>
        <v>50</v>
      </c>
      <c r="H606" s="470">
        <v>599</v>
      </c>
      <c r="I606" s="455">
        <f t="shared" ca="1" si="55"/>
        <v>6214150.0560092377</v>
      </c>
      <c r="J606" s="455">
        <f t="array" ref="J606">IFERROR(INDEX('Retirement Calculator'!J:J,MATCH('Isaac 401k'!N606,'Retirement Calculator'!A:A,0),0),0)</f>
        <v>6404.7404596389215</v>
      </c>
      <c r="K606" s="455">
        <f t="shared" ca="1" si="53"/>
        <v>25865.605481456663</v>
      </c>
      <c r="L606" s="455">
        <f t="shared" ca="1" si="54"/>
        <v>6233610.921031056</v>
      </c>
      <c r="M606" s="471">
        <f t="shared" si="56"/>
        <v>0.05</v>
      </c>
      <c r="N606" s="475">
        <f t="shared" si="57"/>
        <v>69489</v>
      </c>
    </row>
    <row r="607" spans="7:14" ht="11.25" customHeight="1" x14ac:dyDescent="0.3">
      <c r="G607" s="470">
        <f t="shared" si="64"/>
        <v>50</v>
      </c>
      <c r="H607" s="470">
        <v>600</v>
      </c>
      <c r="I607" s="455">
        <f t="shared" ca="1" si="55"/>
        <v>6233610.921031056</v>
      </c>
      <c r="J607" s="455">
        <f t="array" ref="J607">IFERROR(INDEX('Retirement Calculator'!J:J,MATCH('Isaac 401k'!N607,'Retirement Calculator'!A:A,0),0),0)</f>
        <v>6404.7404596389215</v>
      </c>
      <c r="K607" s="455">
        <f t="shared" ca="1" si="53"/>
        <v>25946.692419047573</v>
      </c>
      <c r="L607" s="455">
        <f t="shared" ca="1" si="54"/>
        <v>6253152.8729904648</v>
      </c>
      <c r="M607" s="471">
        <f t="shared" si="56"/>
        <v>0.05</v>
      </c>
      <c r="N607" s="475">
        <f t="shared" si="57"/>
        <v>69519</v>
      </c>
    </row>
    <row r="608" spans="7:14" ht="11.25" customHeight="1" x14ac:dyDescent="0.3">
      <c r="G608" s="470">
        <f>G607+1</f>
        <v>51</v>
      </c>
      <c r="H608" s="470">
        <v>601</v>
      </c>
      <c r="I608" s="455">
        <f t="shared" ca="1" si="55"/>
        <v>6253152.8729904648</v>
      </c>
      <c r="J608" s="455">
        <f t="array" ref="J608">IFERROR(INDEX('Retirement Calculator'!J:J,MATCH('Isaac 401k'!N608,'Retirement Calculator'!A:A,0),0),0)</f>
        <v>6404.7404596389215</v>
      </c>
      <c r="K608" s="455">
        <f t="shared" ca="1" si="53"/>
        <v>26028.11721887844</v>
      </c>
      <c r="L608" s="455">
        <f t="shared" ca="1" si="54"/>
        <v>6272776.2497497043</v>
      </c>
      <c r="M608" s="471">
        <f t="shared" si="56"/>
        <v>0.05</v>
      </c>
      <c r="N608" s="475">
        <f t="shared" si="57"/>
        <v>69550</v>
      </c>
    </row>
    <row r="609" spans="7:14" ht="11.25" customHeight="1" x14ac:dyDescent="0.3">
      <c r="G609" s="470">
        <f t="shared" ref="G609:G619" si="65">G608</f>
        <v>51</v>
      </c>
      <c r="H609" s="470">
        <v>602</v>
      </c>
      <c r="I609" s="455">
        <f t="shared" ca="1" si="55"/>
        <v>6272776.2497497043</v>
      </c>
      <c r="J609" s="455">
        <f t="array" ref="J609">IFERROR(INDEX('Retirement Calculator'!J:J,MATCH('Isaac 401k'!N609,'Retirement Calculator'!A:A,0),0),0)</f>
        <v>6404.7404596389215</v>
      </c>
      <c r="K609" s="455">
        <f t="shared" ca="1" si="53"/>
        <v>26109.881288708606</v>
      </c>
      <c r="L609" s="455">
        <f t="shared" ca="1" si="54"/>
        <v>6292481.3905787738</v>
      </c>
      <c r="M609" s="471">
        <f t="shared" si="56"/>
        <v>0.05</v>
      </c>
      <c r="N609" s="475">
        <f t="shared" si="57"/>
        <v>69580</v>
      </c>
    </row>
    <row r="610" spans="7:14" ht="11.25" customHeight="1" x14ac:dyDescent="0.3">
      <c r="G610" s="470">
        <f t="shared" si="65"/>
        <v>51</v>
      </c>
      <c r="H610" s="470">
        <v>603</v>
      </c>
      <c r="I610" s="455">
        <f t="shared" ca="1" si="55"/>
        <v>6292481.3905787738</v>
      </c>
      <c r="J610" s="455">
        <f t="array" ref="J610">IFERROR(INDEX('Retirement Calculator'!J:J,MATCH('Isaac 401k'!N610,'Retirement Calculator'!A:A,0),0),0)</f>
        <v>6404.7404596389215</v>
      </c>
      <c r="K610" s="455">
        <f t="shared" ca="1" si="53"/>
        <v>26191.986042163062</v>
      </c>
      <c r="L610" s="455">
        <f t="shared" ca="1" si="54"/>
        <v>6312268.6361612985</v>
      </c>
      <c r="M610" s="471">
        <f t="shared" si="56"/>
        <v>0.05</v>
      </c>
      <c r="N610" s="475">
        <f t="shared" si="57"/>
        <v>69611</v>
      </c>
    </row>
    <row r="611" spans="7:14" ht="11.25" customHeight="1" x14ac:dyDescent="0.3">
      <c r="G611" s="470">
        <f t="shared" si="65"/>
        <v>51</v>
      </c>
      <c r="H611" s="470">
        <v>604</v>
      </c>
      <c r="I611" s="455">
        <f t="shared" ca="1" si="55"/>
        <v>6312268.6361612985</v>
      </c>
      <c r="J611" s="455">
        <f t="array" ref="J611">IFERROR(INDEX('Retirement Calculator'!J:J,MATCH('Isaac 401k'!N611,'Retirement Calculator'!A:A,0),0),0)</f>
        <v>6404.7404596389215</v>
      </c>
      <c r="K611" s="455">
        <f t="shared" ca="1" si="53"/>
        <v>26274.432898756917</v>
      </c>
      <c r="L611" s="455">
        <f t="shared" ca="1" si="54"/>
        <v>6332138.3286004169</v>
      </c>
      <c r="M611" s="471">
        <f t="shared" si="56"/>
        <v>0.05</v>
      </c>
      <c r="N611" s="475">
        <f t="shared" si="57"/>
        <v>69642</v>
      </c>
    </row>
    <row r="612" spans="7:14" ht="11.25" customHeight="1" x14ac:dyDescent="0.3">
      <c r="G612" s="470">
        <f t="shared" si="65"/>
        <v>51</v>
      </c>
      <c r="H612" s="470">
        <v>605</v>
      </c>
      <c r="I612" s="455">
        <f t="shared" ca="1" si="55"/>
        <v>6332138.3286004169</v>
      </c>
      <c r="J612" s="455">
        <f t="array" ref="J612">IFERROR(INDEX('Retirement Calculator'!J:J,MATCH('Isaac 401k'!N612,'Retirement Calculator'!A:A,0),0),0)</f>
        <v>6404.7404596389215</v>
      </c>
      <c r="K612" s="455">
        <f t="shared" ca="1" si="53"/>
        <v>26357.22328391991</v>
      </c>
      <c r="L612" s="455">
        <f t="shared" ca="1" si="54"/>
        <v>6352090.8114246977</v>
      </c>
      <c r="M612" s="471">
        <f t="shared" si="56"/>
        <v>0.05</v>
      </c>
      <c r="N612" s="475">
        <f t="shared" si="57"/>
        <v>69672</v>
      </c>
    </row>
    <row r="613" spans="7:14" ht="11.25" customHeight="1" x14ac:dyDescent="0.3">
      <c r="G613" s="470">
        <f t="shared" si="65"/>
        <v>51</v>
      </c>
      <c r="H613" s="470">
        <v>606</v>
      </c>
      <c r="I613" s="455">
        <f t="shared" ca="1" si="55"/>
        <v>6352090.8114246977</v>
      </c>
      <c r="J613" s="455">
        <f t="array" ref="J613">IFERROR(INDEX('Retirement Calculator'!J:J,MATCH('Isaac 401k'!N613,'Retirement Calculator'!A:A,0),0),0)</f>
        <v>6404.7404596389215</v>
      </c>
      <c r="K613" s="455">
        <f t="shared" ca="1" si="53"/>
        <v>26440.358629021081</v>
      </c>
      <c r="L613" s="455">
        <f t="shared" ca="1" si="54"/>
        <v>6372126.42959408</v>
      </c>
      <c r="M613" s="471">
        <f t="shared" si="56"/>
        <v>0.05</v>
      </c>
      <c r="N613" s="475">
        <f t="shared" si="57"/>
        <v>69703</v>
      </c>
    </row>
    <row r="614" spans="7:14" ht="11.25" customHeight="1" x14ac:dyDescent="0.3">
      <c r="G614" s="470">
        <f t="shared" si="65"/>
        <v>51</v>
      </c>
      <c r="H614" s="470">
        <v>607</v>
      </c>
      <c r="I614" s="455">
        <f t="shared" ca="1" si="55"/>
        <v>6372126.42959408</v>
      </c>
      <c r="J614" s="455">
        <f t="array" ref="J614">IFERROR(INDEX('Retirement Calculator'!J:J,MATCH('Isaac 401k'!N614,'Retirement Calculator'!A:A,0),0),0)</f>
        <v>6404.7404596389215</v>
      </c>
      <c r="K614" s="455">
        <f t="shared" ca="1" si="53"/>
        <v>26523.840371393504</v>
      </c>
      <c r="L614" s="455">
        <f t="shared" ca="1" si="54"/>
        <v>6392245.5295058349</v>
      </c>
      <c r="M614" s="471">
        <f t="shared" si="56"/>
        <v>0.05</v>
      </c>
      <c r="N614" s="475">
        <f t="shared" si="57"/>
        <v>69733</v>
      </c>
    </row>
    <row r="615" spans="7:14" ht="11.25" customHeight="1" x14ac:dyDescent="0.3">
      <c r="G615" s="470">
        <f t="shared" si="65"/>
        <v>51</v>
      </c>
      <c r="H615" s="470">
        <v>608</v>
      </c>
      <c r="I615" s="455">
        <f t="shared" ca="1" si="55"/>
        <v>6392245.5295058349</v>
      </c>
      <c r="J615" s="455">
        <f t="array" ref="J615">IFERROR(INDEX('Retirement Calculator'!J:J,MATCH('Isaac 401k'!N615,'Retirement Calculator'!A:A,0),0),0)</f>
        <v>6404.7404596389215</v>
      </c>
      <c r="K615" s="455">
        <f t="shared" ca="1" si="53"/>
        <v>26607.669954359149</v>
      </c>
      <c r="L615" s="455">
        <f t="shared" ca="1" si="54"/>
        <v>6412448.4590005558</v>
      </c>
      <c r="M615" s="471">
        <f t="shared" si="56"/>
        <v>0.05</v>
      </c>
      <c r="N615" s="475">
        <f t="shared" si="57"/>
        <v>69764</v>
      </c>
    </row>
    <row r="616" spans="7:14" ht="11.25" customHeight="1" x14ac:dyDescent="0.3">
      <c r="G616" s="470">
        <f t="shared" si="65"/>
        <v>51</v>
      </c>
      <c r="H616" s="470">
        <v>609</v>
      </c>
      <c r="I616" s="455">
        <f t="shared" ca="1" si="55"/>
        <v>6412448.4590005558</v>
      </c>
      <c r="J616" s="455">
        <f t="array" ref="J616">IFERROR(INDEX('Retirement Calculator'!J:J,MATCH('Isaac 401k'!N616,'Retirement Calculator'!A:A,0),0),0)</f>
        <v>6404.7404596389215</v>
      </c>
      <c r="K616" s="455">
        <f t="shared" ca="1" si="53"/>
        <v>26691.84882725382</v>
      </c>
      <c r="L616" s="455">
        <f t="shared" ca="1" si="54"/>
        <v>6432735.5673681712</v>
      </c>
      <c r="M616" s="471">
        <f t="shared" si="56"/>
        <v>0.05</v>
      </c>
      <c r="N616" s="475">
        <f t="shared" si="57"/>
        <v>69795</v>
      </c>
    </row>
    <row r="617" spans="7:14" ht="11.25" customHeight="1" x14ac:dyDescent="0.3">
      <c r="G617" s="470">
        <f t="shared" si="65"/>
        <v>51</v>
      </c>
      <c r="H617" s="470">
        <v>610</v>
      </c>
      <c r="I617" s="455">
        <f t="shared" ca="1" si="55"/>
        <v>6432735.5673681712</v>
      </c>
      <c r="J617" s="455">
        <f t="array" ref="J617">IFERROR(INDEX('Retirement Calculator'!J:J,MATCH('Isaac 401k'!N617,'Retirement Calculator'!A:A,0),0),0)</f>
        <v>6404.7404596389215</v>
      </c>
      <c r="K617" s="455">
        <f t="shared" ca="1" si="53"/>
        <v>26776.378445452217</v>
      </c>
      <c r="L617" s="455">
        <f t="shared" ca="1" si="54"/>
        <v>6453107.2053539846</v>
      </c>
      <c r="M617" s="471">
        <f t="shared" si="56"/>
        <v>0.05</v>
      </c>
      <c r="N617" s="475">
        <f t="shared" si="57"/>
        <v>69823</v>
      </c>
    </row>
    <row r="618" spans="7:14" ht="11.25" customHeight="1" x14ac:dyDescent="0.3">
      <c r="G618" s="470">
        <f t="shared" si="65"/>
        <v>51</v>
      </c>
      <c r="H618" s="470">
        <v>611</v>
      </c>
      <c r="I618" s="455">
        <f t="shared" ca="1" si="55"/>
        <v>6453107.2053539846</v>
      </c>
      <c r="J618" s="455">
        <f t="array" ref="J618">IFERROR(INDEX('Retirement Calculator'!J:J,MATCH('Isaac 401k'!N618,'Retirement Calculator'!A:A,0),0),0)</f>
        <v>6404.7404596389215</v>
      </c>
      <c r="K618" s="455">
        <f t="shared" ca="1" si="53"/>
        <v>26861.260270393108</v>
      </c>
      <c r="L618" s="455">
        <f t="shared" ca="1" si="54"/>
        <v>6473563.7251647394</v>
      </c>
      <c r="M618" s="471">
        <f t="shared" si="56"/>
        <v>0.05</v>
      </c>
      <c r="N618" s="475">
        <f t="shared" si="57"/>
        <v>69854</v>
      </c>
    </row>
    <row r="619" spans="7:14" ht="11.25" customHeight="1" x14ac:dyDescent="0.3">
      <c r="G619" s="470">
        <f t="shared" si="65"/>
        <v>51</v>
      </c>
      <c r="H619" s="470">
        <v>612</v>
      </c>
      <c r="I619" s="455">
        <f t="shared" ca="1" si="55"/>
        <v>6473563.7251647394</v>
      </c>
      <c r="J619" s="455">
        <f t="array" ref="J619">IFERROR(INDEX('Retirement Calculator'!J:J,MATCH('Isaac 401k'!N619,'Retirement Calculator'!A:A,0),0),0)</f>
        <v>6404.7404596389215</v>
      </c>
      <c r="K619" s="455">
        <f t="shared" ca="1" si="53"/>
        <v>26946.495769604586</v>
      </c>
      <c r="L619" s="455">
        <f t="shared" ca="1" si="54"/>
        <v>6494105.4804747058</v>
      </c>
      <c r="M619" s="471">
        <f t="shared" si="56"/>
        <v>0.05</v>
      </c>
      <c r="N619" s="475">
        <f t="shared" si="57"/>
        <v>69884</v>
      </c>
    </row>
    <row r="620" spans="7:14" ht="11.25" customHeight="1" x14ac:dyDescent="0.3">
      <c r="G620" s="470">
        <f>G619+1</f>
        <v>52</v>
      </c>
      <c r="H620" s="470">
        <v>613</v>
      </c>
      <c r="I620" s="455">
        <f t="shared" ca="1" si="55"/>
        <v>6494105.4804747058</v>
      </c>
      <c r="J620" s="455">
        <f t="array" ref="J620">IFERROR(INDEX('Retirement Calculator'!J:J,MATCH('Isaac 401k'!N620,'Retirement Calculator'!A:A,0),0),0)</f>
        <v>6404.7404596389215</v>
      </c>
      <c r="K620" s="455">
        <f t="shared" ca="1" si="53"/>
        <v>27032.086416729446</v>
      </c>
      <c r="L620" s="455">
        <f t="shared" ca="1" si="54"/>
        <v>6514732.8264317969</v>
      </c>
      <c r="M620" s="471">
        <f t="shared" si="56"/>
        <v>0.05</v>
      </c>
      <c r="N620" s="475">
        <f t="shared" si="57"/>
        <v>69915</v>
      </c>
    </row>
    <row r="621" spans="7:14" ht="11.25" customHeight="1" x14ac:dyDescent="0.3">
      <c r="G621" s="470">
        <f t="shared" ref="G621:G631" si="66">G620</f>
        <v>52</v>
      </c>
      <c r="H621" s="470">
        <v>614</v>
      </c>
      <c r="I621" s="455">
        <f t="shared" ca="1" si="55"/>
        <v>6514732.8264317969</v>
      </c>
      <c r="J621" s="455">
        <f t="array" ref="J621">IFERROR(INDEX('Retirement Calculator'!J:J,MATCH('Isaac 401k'!N621,'Retirement Calculator'!A:A,0),0),0)</f>
        <v>6404.7404596389215</v>
      </c>
      <c r="K621" s="455">
        <f t="shared" ca="1" si="53"/>
        <v>27118.03369155066</v>
      </c>
      <c r="L621" s="455">
        <f t="shared" ca="1" si="54"/>
        <v>6535446.1196637088</v>
      </c>
      <c r="M621" s="471">
        <f t="shared" si="56"/>
        <v>0.05</v>
      </c>
      <c r="N621" s="475">
        <f t="shared" si="57"/>
        <v>69945</v>
      </c>
    </row>
    <row r="622" spans="7:14" ht="11.25" customHeight="1" x14ac:dyDescent="0.3">
      <c r="G622" s="470">
        <f t="shared" si="66"/>
        <v>52</v>
      </c>
      <c r="H622" s="470">
        <v>615</v>
      </c>
      <c r="I622" s="455">
        <f t="shared" ca="1" si="55"/>
        <v>6535446.1196637088</v>
      </c>
      <c r="J622" s="455">
        <f t="array" ref="J622">IFERROR(INDEX('Retirement Calculator'!J:J,MATCH('Isaac 401k'!N622,'Retirement Calculator'!A:A,0),0),0)</f>
        <v>6404.7404596389215</v>
      </c>
      <c r="K622" s="455">
        <f t="shared" ca="1" si="53"/>
        <v>27204.339080016958</v>
      </c>
      <c r="L622" s="455">
        <f t="shared" ca="1" si="54"/>
        <v>6556245.7182840873</v>
      </c>
      <c r="M622" s="471">
        <f t="shared" si="56"/>
        <v>0.05</v>
      </c>
      <c r="N622" s="475">
        <f t="shared" si="57"/>
        <v>69976</v>
      </c>
    </row>
    <row r="623" spans="7:14" ht="11.25" customHeight="1" x14ac:dyDescent="0.3">
      <c r="G623" s="470">
        <f t="shared" si="66"/>
        <v>52</v>
      </c>
      <c r="H623" s="470">
        <v>616</v>
      </c>
      <c r="I623" s="455">
        <f t="shared" ca="1" si="55"/>
        <v>6556245.7182840873</v>
      </c>
      <c r="J623" s="455">
        <f t="array" ref="J623">IFERROR(INDEX('Retirement Calculator'!J:J,MATCH('Isaac 401k'!N623,'Retirement Calculator'!A:A,0),0),0)</f>
        <v>6404.7404596389215</v>
      </c>
      <c r="K623" s="455">
        <f t="shared" ca="1" si="53"/>
        <v>27291.004074268534</v>
      </c>
      <c r="L623" s="455">
        <f t="shared" ca="1" si="54"/>
        <v>6577131.9818987176</v>
      </c>
      <c r="M623" s="471">
        <f t="shared" si="56"/>
        <v>0.05</v>
      </c>
      <c r="N623" s="475">
        <f t="shared" si="57"/>
        <v>70007</v>
      </c>
    </row>
    <row r="624" spans="7:14" ht="11.25" customHeight="1" x14ac:dyDescent="0.3">
      <c r="G624" s="470">
        <f t="shared" si="66"/>
        <v>52</v>
      </c>
      <c r="H624" s="470">
        <v>617</v>
      </c>
      <c r="I624" s="455">
        <f t="shared" ca="1" si="55"/>
        <v>6577131.9818987176</v>
      </c>
      <c r="J624" s="455">
        <f t="array" ref="J624">IFERROR(INDEX('Retirement Calculator'!J:J,MATCH('Isaac 401k'!N624,'Retirement Calculator'!A:A,0),0),0)</f>
        <v>6404.7404596389215</v>
      </c>
      <c r="K624" s="455">
        <f t="shared" ca="1" si="53"/>
        <v>27378.030172662828</v>
      </c>
      <c r="L624" s="455">
        <f t="shared" ca="1" si="54"/>
        <v>6598105.2716117417</v>
      </c>
      <c r="M624" s="471">
        <f t="shared" si="56"/>
        <v>0.05</v>
      </c>
      <c r="N624" s="475">
        <f t="shared" si="57"/>
        <v>70037</v>
      </c>
    </row>
    <row r="625" spans="7:14" ht="11.25" customHeight="1" x14ac:dyDescent="0.3">
      <c r="G625" s="470">
        <f t="shared" si="66"/>
        <v>52</v>
      </c>
      <c r="H625" s="470">
        <v>618</v>
      </c>
      <c r="I625" s="455">
        <f t="shared" ca="1" si="55"/>
        <v>6598105.2716117417</v>
      </c>
      <c r="J625" s="455">
        <f t="array" ref="J625">IFERROR(INDEX('Retirement Calculator'!J:J,MATCH('Isaac 401k'!N625,'Retirement Calculator'!A:A,0),0),0)</f>
        <v>6404.7404596389215</v>
      </c>
      <c r="K625" s="455">
        <f t="shared" ca="1" si="53"/>
        <v>27465.418879800429</v>
      </c>
      <c r="L625" s="455">
        <f t="shared" ca="1" si="54"/>
        <v>6619165.9500319036</v>
      </c>
      <c r="M625" s="471">
        <f t="shared" si="56"/>
        <v>0.05</v>
      </c>
      <c r="N625" s="475">
        <f t="shared" si="57"/>
        <v>70068</v>
      </c>
    </row>
    <row r="626" spans="7:14" ht="11.25" customHeight="1" x14ac:dyDescent="0.3">
      <c r="G626" s="470">
        <f t="shared" si="66"/>
        <v>52</v>
      </c>
      <c r="H626" s="470">
        <v>619</v>
      </c>
      <c r="I626" s="455">
        <f t="shared" ca="1" si="55"/>
        <v>6619165.9500319036</v>
      </c>
      <c r="J626" s="455">
        <f t="array" ref="J626">IFERROR(INDEX('Retirement Calculator'!J:J,MATCH('Isaac 401k'!N626,'Retirement Calculator'!A:A,0),0),0)</f>
        <v>6404.7404596389215</v>
      </c>
      <c r="K626" s="455">
        <f t="shared" ca="1" si="53"/>
        <v>27553.1717065511</v>
      </c>
      <c r="L626" s="455">
        <f t="shared" ca="1" si="54"/>
        <v>6640314.3812788157</v>
      </c>
      <c r="M626" s="471">
        <f t="shared" si="56"/>
        <v>0.05</v>
      </c>
      <c r="N626" s="475">
        <f t="shared" si="57"/>
        <v>70098</v>
      </c>
    </row>
    <row r="627" spans="7:14" ht="11.25" customHeight="1" x14ac:dyDescent="0.3">
      <c r="G627" s="470">
        <f t="shared" si="66"/>
        <v>52</v>
      </c>
      <c r="H627" s="470">
        <v>620</v>
      </c>
      <c r="I627" s="455">
        <f t="shared" ca="1" si="55"/>
        <v>6640314.3812788157</v>
      </c>
      <c r="J627" s="455">
        <f t="array" ref="J627">IFERROR(INDEX('Retirement Calculator'!J:J,MATCH('Isaac 401k'!N627,'Retirement Calculator'!A:A,0),0),0)</f>
        <v>6404.7404596389215</v>
      </c>
      <c r="K627" s="455">
        <f t="shared" ca="1" si="53"/>
        <v>27641.290170079901</v>
      </c>
      <c r="L627" s="455">
        <f t="shared" ca="1" si="54"/>
        <v>6661550.9309892571</v>
      </c>
      <c r="M627" s="471">
        <f t="shared" si="56"/>
        <v>0.05</v>
      </c>
      <c r="N627" s="475">
        <f t="shared" si="57"/>
        <v>70129</v>
      </c>
    </row>
    <row r="628" spans="7:14" ht="11.25" customHeight="1" x14ac:dyDescent="0.3">
      <c r="G628" s="470">
        <f t="shared" si="66"/>
        <v>52</v>
      </c>
      <c r="H628" s="470">
        <v>621</v>
      </c>
      <c r="I628" s="455">
        <f t="shared" ca="1" si="55"/>
        <v>6661550.9309892571</v>
      </c>
      <c r="J628" s="455">
        <f t="array" ref="J628">IFERROR(INDEX('Retirement Calculator'!J:J,MATCH('Isaac 401k'!N628,'Retirement Calculator'!A:A,0),0),0)</f>
        <v>6404.7404596389215</v>
      </c>
      <c r="K628" s="455">
        <f t="shared" ca="1" si="53"/>
        <v>27729.77579387341</v>
      </c>
      <c r="L628" s="455">
        <f t="shared" ca="1" si="54"/>
        <v>6682875.9663234921</v>
      </c>
      <c r="M628" s="471">
        <f t="shared" si="56"/>
        <v>0.05</v>
      </c>
      <c r="N628" s="475">
        <f t="shared" si="57"/>
        <v>70160</v>
      </c>
    </row>
    <row r="629" spans="7:14" ht="11.25" customHeight="1" x14ac:dyDescent="0.3">
      <c r="G629" s="470">
        <f t="shared" si="66"/>
        <v>52</v>
      </c>
      <c r="H629" s="470">
        <v>622</v>
      </c>
      <c r="I629" s="455">
        <f t="shared" ca="1" si="55"/>
        <v>6682875.9663234921</v>
      </c>
      <c r="J629" s="455">
        <f t="array" ref="J629">IFERROR(INDEX('Retirement Calculator'!J:J,MATCH('Isaac 401k'!N629,'Retirement Calculator'!A:A,0),0),0)</f>
        <v>6404.7404596389215</v>
      </c>
      <c r="K629" s="455">
        <f t="shared" ca="1" si="53"/>
        <v>27818.63010776605</v>
      </c>
      <c r="L629" s="455">
        <f t="shared" ca="1" si="54"/>
        <v>6704289.8559716195</v>
      </c>
      <c r="M629" s="471">
        <f t="shared" si="56"/>
        <v>0.05</v>
      </c>
      <c r="N629" s="475">
        <f t="shared" si="57"/>
        <v>70189</v>
      </c>
    </row>
    <row r="630" spans="7:14" ht="11.25" customHeight="1" x14ac:dyDescent="0.3">
      <c r="G630" s="470">
        <f t="shared" si="66"/>
        <v>52</v>
      </c>
      <c r="H630" s="470">
        <v>623</v>
      </c>
      <c r="I630" s="455">
        <f t="shared" ca="1" si="55"/>
        <v>6704289.8559716195</v>
      </c>
      <c r="J630" s="455">
        <f t="array" ref="J630">IFERROR(INDEX('Retirement Calculator'!J:J,MATCH('Isaac 401k'!N630,'Retirement Calculator'!A:A,0),0),0)</f>
        <v>6404.7404596389215</v>
      </c>
      <c r="K630" s="455">
        <f t="shared" ca="1" si="53"/>
        <v>27907.854647966586</v>
      </c>
      <c r="L630" s="455">
        <f t="shared" ca="1" si="54"/>
        <v>6725792.9701599479</v>
      </c>
      <c r="M630" s="471">
        <f t="shared" si="56"/>
        <v>0.05</v>
      </c>
      <c r="N630" s="475">
        <f t="shared" si="57"/>
        <v>70220</v>
      </c>
    </row>
    <row r="631" spans="7:14" ht="11.25" customHeight="1" x14ac:dyDescent="0.3">
      <c r="G631" s="470">
        <f t="shared" si="66"/>
        <v>52</v>
      </c>
      <c r="H631" s="470">
        <v>624</v>
      </c>
      <c r="I631" s="455">
        <f t="shared" ca="1" si="55"/>
        <v>6725792.9701599479</v>
      </c>
      <c r="J631" s="455">
        <f t="array" ref="J631">IFERROR(INDEX('Retirement Calculator'!J:J,MATCH('Isaac 401k'!N631,'Retirement Calculator'!A:A,0),0),0)</f>
        <v>6404.7404596389215</v>
      </c>
      <c r="K631" s="455">
        <f t="shared" ca="1" si="53"/>
        <v>27997.45095708462</v>
      </c>
      <c r="L631" s="455">
        <f t="shared" ca="1" si="54"/>
        <v>6747385.6806573942</v>
      </c>
      <c r="M631" s="471">
        <f t="shared" si="56"/>
        <v>0.05</v>
      </c>
      <c r="N631" s="475">
        <f t="shared" si="57"/>
        <v>70250</v>
      </c>
    </row>
    <row r="632" spans="7:14" ht="11.25" customHeight="1" x14ac:dyDescent="0.3">
      <c r="G632" s="470">
        <f>G631+1</f>
        <v>53</v>
      </c>
      <c r="H632" s="470">
        <v>625</v>
      </c>
      <c r="I632" s="455">
        <f t="shared" ca="1" si="55"/>
        <v>6747385.6806573942</v>
      </c>
      <c r="J632" s="455">
        <f t="array" ref="J632">IFERROR(INDEX('Retirement Calculator'!J:J,MATCH('Isaac 401k'!N632,'Retirement Calculator'!A:A,0),0),0)</f>
        <v>6404.7404596389215</v>
      </c>
      <c r="K632" s="455">
        <f t="shared" ca="1" si="53"/>
        <v>28087.420584157313</v>
      </c>
      <c r="L632" s="455">
        <f t="shared" ca="1" si="54"/>
        <v>6769068.3607819127</v>
      </c>
      <c r="M632" s="471">
        <f t="shared" si="56"/>
        <v>0.05</v>
      </c>
      <c r="N632" s="475">
        <f t="shared" si="57"/>
        <v>70281</v>
      </c>
    </row>
    <row r="633" spans="7:14" ht="11.25" customHeight="1" x14ac:dyDescent="0.3">
      <c r="G633" s="470">
        <f t="shared" ref="G633:G643" si="67">G632</f>
        <v>53</v>
      </c>
      <c r="H633" s="470">
        <v>626</v>
      </c>
      <c r="I633" s="455">
        <f t="shared" ca="1" si="55"/>
        <v>6769068.3607819127</v>
      </c>
      <c r="J633" s="455">
        <f t="array" ref="J633">IFERROR(INDEX('Retirement Calculator'!J:J,MATCH('Isaac 401k'!N633,'Retirement Calculator'!A:A,0),0),0)</f>
        <v>6404.7404596389215</v>
      </c>
      <c r="K633" s="455">
        <f t="shared" ca="1" si="53"/>
        <v>28177.765084676139</v>
      </c>
      <c r="L633" s="455">
        <f t="shared" ca="1" si="54"/>
        <v>6790841.3854069505</v>
      </c>
      <c r="M633" s="471">
        <f t="shared" si="56"/>
        <v>0.05</v>
      </c>
      <c r="N633" s="475">
        <f t="shared" si="57"/>
        <v>70311</v>
      </c>
    </row>
    <row r="634" spans="7:14" ht="11.25" customHeight="1" x14ac:dyDescent="0.3">
      <c r="G634" s="470">
        <f t="shared" si="67"/>
        <v>53</v>
      </c>
      <c r="H634" s="470">
        <v>627</v>
      </c>
      <c r="I634" s="455">
        <f t="shared" ca="1" si="55"/>
        <v>6790841.3854069505</v>
      </c>
      <c r="J634" s="455">
        <f t="array" ref="J634">IFERROR(INDEX('Retirement Calculator'!J:J,MATCH('Isaac 401k'!N634,'Retirement Calculator'!A:A,0),0),0)</f>
        <v>6404.7404596389215</v>
      </c>
      <c r="K634" s="455">
        <f t="shared" ca="1" si="53"/>
        <v>28268.4860206138</v>
      </c>
      <c r="L634" s="455">
        <f t="shared" ca="1" si="54"/>
        <v>6812705.1309679253</v>
      </c>
      <c r="M634" s="471">
        <f t="shared" si="56"/>
        <v>0.05</v>
      </c>
      <c r="N634" s="475">
        <f t="shared" si="57"/>
        <v>70342</v>
      </c>
    </row>
    <row r="635" spans="7:14" ht="11.25" customHeight="1" x14ac:dyDescent="0.3">
      <c r="G635" s="470">
        <f t="shared" si="67"/>
        <v>53</v>
      </c>
      <c r="H635" s="470">
        <v>628</v>
      </c>
      <c r="I635" s="455">
        <f t="shared" ca="1" si="55"/>
        <v>6812705.1309679253</v>
      </c>
      <c r="J635" s="455">
        <f t="array" ref="J635">IFERROR(INDEX('Retirement Calculator'!J:J,MATCH('Isaac 401k'!N635,'Retirement Calculator'!A:A,0),0),0)</f>
        <v>6404.7404596389215</v>
      </c>
      <c r="K635" s="455">
        <f t="shared" ca="1" si="53"/>
        <v>28359.584960451193</v>
      </c>
      <c r="L635" s="455">
        <f t="shared" ca="1" si="54"/>
        <v>6834659.975468738</v>
      </c>
      <c r="M635" s="471">
        <f t="shared" si="56"/>
        <v>0.05</v>
      </c>
      <c r="N635" s="475">
        <f t="shared" si="57"/>
        <v>70373</v>
      </c>
    </row>
    <row r="636" spans="7:14" ht="11.25" customHeight="1" x14ac:dyDescent="0.3">
      <c r="G636" s="470">
        <f t="shared" si="67"/>
        <v>53</v>
      </c>
      <c r="H636" s="470">
        <v>629</v>
      </c>
      <c r="I636" s="455">
        <f t="shared" ca="1" si="55"/>
        <v>6834659.975468738</v>
      </c>
      <c r="J636" s="455">
        <f t="array" ref="J636">IFERROR(INDEX('Retirement Calculator'!J:J,MATCH('Isaac 401k'!N636,'Retirement Calculator'!A:A,0),0),0)</f>
        <v>6404.7404596389215</v>
      </c>
      <c r="K636" s="455">
        <f t="shared" ca="1" si="53"/>
        <v>28451.063479204578</v>
      </c>
      <c r="L636" s="455">
        <f t="shared" ca="1" si="54"/>
        <v>6856706.298488304</v>
      </c>
      <c r="M636" s="471">
        <f t="shared" si="56"/>
        <v>0.05</v>
      </c>
      <c r="N636" s="475">
        <f t="shared" si="57"/>
        <v>70403</v>
      </c>
    </row>
    <row r="637" spans="7:14" ht="11.25" customHeight="1" x14ac:dyDescent="0.3">
      <c r="G637" s="470">
        <f t="shared" si="67"/>
        <v>53</v>
      </c>
      <c r="H637" s="470">
        <v>630</v>
      </c>
      <c r="I637" s="455">
        <f t="shared" ca="1" si="55"/>
        <v>6856706.298488304</v>
      </c>
      <c r="J637" s="455">
        <f t="array" ref="J637">IFERROR(INDEX('Retirement Calculator'!J:J,MATCH('Isaac 401k'!N637,'Retirement Calculator'!A:A,0),0),0)</f>
        <v>6404.7404596389215</v>
      </c>
      <c r="K637" s="455">
        <f t="shared" ca="1" si="53"/>
        <v>28542.92315845277</v>
      </c>
      <c r="L637" s="455">
        <f t="shared" ca="1" si="54"/>
        <v>6878844.4811871182</v>
      </c>
      <c r="M637" s="471">
        <f t="shared" si="56"/>
        <v>0.05</v>
      </c>
      <c r="N637" s="475">
        <f t="shared" si="57"/>
        <v>70434</v>
      </c>
    </row>
    <row r="638" spans="7:14" ht="11.25" customHeight="1" x14ac:dyDescent="0.3">
      <c r="G638" s="470">
        <f t="shared" si="67"/>
        <v>53</v>
      </c>
      <c r="H638" s="470">
        <v>631</v>
      </c>
      <c r="I638" s="455">
        <f t="shared" ca="1" si="55"/>
        <v>6878844.4811871182</v>
      </c>
      <c r="J638" s="455">
        <f t="array" ref="J638">IFERROR(INDEX('Retirement Calculator'!J:J,MATCH('Isaac 401k'!N638,'Retirement Calculator'!A:A,0),0),0)</f>
        <v>6404.7404596389215</v>
      </c>
      <c r="K638" s="455">
        <f t="shared" ca="1" si="53"/>
        <v>28635.165586364496</v>
      </c>
      <c r="L638" s="455">
        <f t="shared" ca="1" si="54"/>
        <v>6901074.906313844</v>
      </c>
      <c r="M638" s="471">
        <f t="shared" si="56"/>
        <v>0.05</v>
      </c>
      <c r="N638" s="475">
        <f t="shared" si="57"/>
        <v>70464</v>
      </c>
    </row>
    <row r="639" spans="7:14" ht="11.25" customHeight="1" x14ac:dyDescent="0.3">
      <c r="G639" s="470">
        <f t="shared" si="67"/>
        <v>53</v>
      </c>
      <c r="H639" s="470">
        <v>632</v>
      </c>
      <c r="I639" s="455">
        <f t="shared" ca="1" si="55"/>
        <v>6901074.906313844</v>
      </c>
      <c r="J639" s="455">
        <f t="array" ref="J639">IFERROR(INDEX('Retirement Calculator'!J:J,MATCH('Isaac 401k'!N639,'Retirement Calculator'!A:A,0),0),0)</f>
        <v>6404.7404596389215</v>
      </c>
      <c r="K639" s="455">
        <f t="shared" ca="1" si="53"/>
        <v>28727.792357725852</v>
      </c>
      <c r="L639" s="455">
        <f t="shared" ca="1" si="54"/>
        <v>6923397.9582119314</v>
      </c>
      <c r="M639" s="471">
        <f t="shared" si="56"/>
        <v>0.05</v>
      </c>
      <c r="N639" s="475">
        <f t="shared" si="57"/>
        <v>70495</v>
      </c>
    </row>
    <row r="640" spans="7:14" ht="11.25" customHeight="1" x14ac:dyDescent="0.3">
      <c r="G640" s="470">
        <f t="shared" si="67"/>
        <v>53</v>
      </c>
      <c r="H640" s="470">
        <v>633</v>
      </c>
      <c r="I640" s="455">
        <f t="shared" ca="1" si="55"/>
        <v>6923397.9582119314</v>
      </c>
      <c r="J640" s="455">
        <f t="array" ref="J640">IFERROR(INDEX('Retirement Calculator'!J:J,MATCH('Isaac 401k'!N640,'Retirement Calculator'!A:A,0),0),0)</f>
        <v>6404.7404596389215</v>
      </c>
      <c r="K640" s="455">
        <f t="shared" ca="1" si="53"/>
        <v>28820.805073967891</v>
      </c>
      <c r="L640" s="455">
        <f t="shared" ca="1" si="54"/>
        <v>6945814.0228262609</v>
      </c>
      <c r="M640" s="471">
        <f t="shared" si="56"/>
        <v>0.05</v>
      </c>
      <c r="N640" s="475">
        <f t="shared" si="57"/>
        <v>70526</v>
      </c>
    </row>
    <row r="641" spans="7:14" ht="11.25" customHeight="1" x14ac:dyDescent="0.3">
      <c r="G641" s="470">
        <f t="shared" si="67"/>
        <v>53</v>
      </c>
      <c r="H641" s="470">
        <v>634</v>
      </c>
      <c r="I641" s="455">
        <f t="shared" ca="1" si="55"/>
        <v>6945814.0228262609</v>
      </c>
      <c r="J641" s="455">
        <f t="array" ref="J641">IFERROR(INDEX('Retirement Calculator'!J:J,MATCH('Isaac 401k'!N641,'Retirement Calculator'!A:A,0),0),0)</f>
        <v>6404.7404596389215</v>
      </c>
      <c r="K641" s="455">
        <f t="shared" ca="1" si="53"/>
        <v>28914.205343194255</v>
      </c>
      <c r="L641" s="455">
        <f t="shared" ca="1" si="54"/>
        <v>6968323.4877098165</v>
      </c>
      <c r="M641" s="471">
        <f t="shared" si="56"/>
        <v>0.05</v>
      </c>
      <c r="N641" s="475">
        <f t="shared" si="57"/>
        <v>70554</v>
      </c>
    </row>
    <row r="642" spans="7:14" ht="11.25" customHeight="1" x14ac:dyDescent="0.3">
      <c r="G642" s="470">
        <f t="shared" si="67"/>
        <v>53</v>
      </c>
      <c r="H642" s="470">
        <v>635</v>
      </c>
      <c r="I642" s="455">
        <f t="shared" ca="1" si="55"/>
        <v>6968323.4877098165</v>
      </c>
      <c r="J642" s="455">
        <f t="array" ref="J642">IFERROR(INDEX('Retirement Calculator'!J:J,MATCH('Isaac 401k'!N642,'Retirement Calculator'!A:A,0),0),0)</f>
        <v>6404.7404596389215</v>
      </c>
      <c r="K642" s="455">
        <f t="shared" ca="1" si="53"/>
        <v>29007.994780209079</v>
      </c>
      <c r="L642" s="455">
        <f t="shared" ca="1" si="54"/>
        <v>6990926.7420303868</v>
      </c>
      <c r="M642" s="471">
        <f t="shared" si="56"/>
        <v>0.05</v>
      </c>
      <c r="N642" s="475">
        <f t="shared" si="57"/>
        <v>70585</v>
      </c>
    </row>
    <row r="643" spans="7:14" ht="11.25" customHeight="1" x14ac:dyDescent="0.3">
      <c r="G643" s="470">
        <f t="shared" si="67"/>
        <v>53</v>
      </c>
      <c r="H643" s="470">
        <v>636</v>
      </c>
      <c r="I643" s="455">
        <f t="shared" ca="1" si="55"/>
        <v>6990926.7420303868</v>
      </c>
      <c r="J643" s="455">
        <f t="array" ref="J643">IFERROR(INDEX('Retirement Calculator'!J:J,MATCH('Isaac 401k'!N643,'Retirement Calculator'!A:A,0),0),0)</f>
        <v>6404.7404596389215</v>
      </c>
      <c r="K643" s="455">
        <f t="shared" ca="1" si="53"/>
        <v>29102.175006544789</v>
      </c>
      <c r="L643" s="455">
        <f t="shared" ca="1" si="54"/>
        <v>7013624.1765772933</v>
      </c>
      <c r="M643" s="471">
        <f t="shared" si="56"/>
        <v>0.05</v>
      </c>
      <c r="N643" s="475">
        <f t="shared" si="57"/>
        <v>70615</v>
      </c>
    </row>
    <row r="644" spans="7:14" ht="11.25" customHeight="1" x14ac:dyDescent="0.3">
      <c r="G644" s="470">
        <f>G643+1</f>
        <v>54</v>
      </c>
      <c r="H644" s="470">
        <v>637</v>
      </c>
      <c r="I644" s="455">
        <f t="shared" ca="1" si="55"/>
        <v>7013624.1765772933</v>
      </c>
      <c r="J644" s="455">
        <f t="array" ref="J644">IFERROR(INDEX('Retirement Calculator'!J:J,MATCH('Isaac 401k'!N644,'Retirement Calculator'!A:A,0),0),0)</f>
        <v>6404.7404596389215</v>
      </c>
      <c r="K644" s="455">
        <f t="shared" ca="1" si="53"/>
        <v>29196.747650490222</v>
      </c>
      <c r="L644" s="455">
        <f t="shared" ca="1" si="54"/>
        <v>7036416.1837681448</v>
      </c>
      <c r="M644" s="471">
        <f t="shared" si="56"/>
        <v>0.05</v>
      </c>
      <c r="N644" s="475">
        <f t="shared" si="57"/>
        <v>70646</v>
      </c>
    </row>
    <row r="645" spans="7:14" ht="11.25" customHeight="1" x14ac:dyDescent="0.3">
      <c r="G645" s="470">
        <f t="shared" ref="G645:G655" si="68">G644</f>
        <v>54</v>
      </c>
      <c r="H645" s="470">
        <v>638</v>
      </c>
      <c r="I645" s="455">
        <f t="shared" ca="1" si="55"/>
        <v>7036416.1837681448</v>
      </c>
      <c r="J645" s="455">
        <f t="array" ref="J645">IFERROR(INDEX('Retirement Calculator'!J:J,MATCH('Isaac 401k'!N645,'Retirement Calculator'!A:A,0),0),0)</f>
        <v>6404.7404596389215</v>
      </c>
      <c r="K645" s="455">
        <f t="shared" ca="1" si="53"/>
        <v>29291.714347118777</v>
      </c>
      <c r="L645" s="455">
        <f t="shared" ca="1" si="54"/>
        <v>7059303.1576556247</v>
      </c>
      <c r="M645" s="471">
        <f t="shared" si="56"/>
        <v>0.05</v>
      </c>
      <c r="N645" s="475">
        <f t="shared" si="57"/>
        <v>70676</v>
      </c>
    </row>
    <row r="646" spans="7:14" ht="11.25" customHeight="1" x14ac:dyDescent="0.3">
      <c r="G646" s="470">
        <f t="shared" si="68"/>
        <v>54</v>
      </c>
      <c r="H646" s="470">
        <v>639</v>
      </c>
      <c r="I646" s="455">
        <f t="shared" ca="1" si="55"/>
        <v>7059303.1576556247</v>
      </c>
      <c r="J646" s="455">
        <f t="array" ref="J646">IFERROR(INDEX('Retirement Calculator'!J:J,MATCH('Isaac 401k'!N646,'Retirement Calculator'!A:A,0),0),0)</f>
        <v>6404.7404596389215</v>
      </c>
      <c r="K646" s="455">
        <f t="shared" ca="1" si="53"/>
        <v>29387.076738316609</v>
      </c>
      <c r="L646" s="455">
        <f t="shared" ca="1" si="54"/>
        <v>7082285.4939343026</v>
      </c>
      <c r="M646" s="471">
        <f t="shared" si="56"/>
        <v>0.05</v>
      </c>
      <c r="N646" s="475">
        <f t="shared" si="57"/>
        <v>70707</v>
      </c>
    </row>
    <row r="647" spans="7:14" ht="11.25" customHeight="1" x14ac:dyDescent="0.3">
      <c r="G647" s="470">
        <f t="shared" si="68"/>
        <v>54</v>
      </c>
      <c r="H647" s="470">
        <v>640</v>
      </c>
      <c r="I647" s="455">
        <f t="shared" ca="1" si="55"/>
        <v>7082285.4939343026</v>
      </c>
      <c r="J647" s="455">
        <f t="array" ref="J647">IFERROR(INDEX('Retirement Calculator'!J:J,MATCH('Isaac 401k'!N647,'Retirement Calculator'!A:A,0),0),0)</f>
        <v>6404.7404596389215</v>
      </c>
      <c r="K647" s="455">
        <f t="shared" ca="1" si="53"/>
        <v>29482.836472811105</v>
      </c>
      <c r="L647" s="455">
        <f t="shared" ca="1" si="54"/>
        <v>7105363.5899474751</v>
      </c>
      <c r="M647" s="471">
        <f t="shared" si="56"/>
        <v>0.05</v>
      </c>
      <c r="N647" s="475">
        <f t="shared" si="57"/>
        <v>70738</v>
      </c>
    </row>
    <row r="648" spans="7:14" ht="11.25" customHeight="1" x14ac:dyDescent="0.3">
      <c r="G648" s="470">
        <f t="shared" si="68"/>
        <v>54</v>
      </c>
      <c r="H648" s="470">
        <v>641</v>
      </c>
      <c r="I648" s="455">
        <f t="shared" ca="1" si="55"/>
        <v>7105363.5899474751</v>
      </c>
      <c r="J648" s="455">
        <f t="array" ref="J648">IFERROR(INDEX('Retirement Calculator'!J:J,MATCH('Isaac 401k'!N648,'Retirement Calculator'!A:A,0),0),0)</f>
        <v>6404.7404596389215</v>
      </c>
      <c r="K648" s="455">
        <f t="shared" ca="1" si="53"/>
        <v>29578.995206199321</v>
      </c>
      <c r="L648" s="455">
        <f t="shared" ca="1" si="54"/>
        <v>7128537.8446940361</v>
      </c>
      <c r="M648" s="471">
        <f t="shared" si="56"/>
        <v>0.05</v>
      </c>
      <c r="N648" s="475">
        <f t="shared" si="57"/>
        <v>70768</v>
      </c>
    </row>
    <row r="649" spans="7:14" ht="11.25" customHeight="1" x14ac:dyDescent="0.3">
      <c r="G649" s="470">
        <f t="shared" si="68"/>
        <v>54</v>
      </c>
      <c r="H649" s="470">
        <v>642</v>
      </c>
      <c r="I649" s="455">
        <f t="shared" ca="1" si="55"/>
        <v>7128537.8446940361</v>
      </c>
      <c r="J649" s="455">
        <f t="array" ref="J649">IFERROR(INDEX('Retirement Calculator'!J:J,MATCH('Isaac 401k'!N649,'Retirement Calculator'!A:A,0),0),0)</f>
        <v>6404.7404596389215</v>
      </c>
      <c r="K649" s="455">
        <f t="shared" ca="1" si="53"/>
        <v>29675.554600976651</v>
      </c>
      <c r="L649" s="455">
        <f t="shared" ca="1" si="54"/>
        <v>7151808.6588353738</v>
      </c>
      <c r="M649" s="471">
        <f t="shared" si="56"/>
        <v>0.05</v>
      </c>
      <c r="N649" s="475">
        <f t="shared" si="57"/>
        <v>70799</v>
      </c>
    </row>
    <row r="650" spans="7:14" ht="11.25" customHeight="1" x14ac:dyDescent="0.3">
      <c r="G650" s="470">
        <f t="shared" si="68"/>
        <v>54</v>
      </c>
      <c r="H650" s="470">
        <v>643</v>
      </c>
      <c r="I650" s="455">
        <f t="shared" ca="1" si="55"/>
        <v>7151808.6588353738</v>
      </c>
      <c r="J650" s="455">
        <f t="array" ref="J650">IFERROR(INDEX('Retirement Calculator'!J:J,MATCH('Isaac 401k'!N650,'Retirement Calculator'!A:A,0),0),0)</f>
        <v>6404.7404596389215</v>
      </c>
      <c r="K650" s="455">
        <f t="shared" ca="1" si="53"/>
        <v>29772.516326565557</v>
      </c>
      <c r="L650" s="455">
        <f t="shared" ca="1" si="54"/>
        <v>7175176.4347023005</v>
      </c>
      <c r="M650" s="471">
        <f t="shared" si="56"/>
        <v>0.05</v>
      </c>
      <c r="N650" s="475">
        <f t="shared" si="57"/>
        <v>70829</v>
      </c>
    </row>
    <row r="651" spans="7:14" ht="11.25" customHeight="1" x14ac:dyDescent="0.3">
      <c r="G651" s="470">
        <f t="shared" si="68"/>
        <v>54</v>
      </c>
      <c r="H651" s="470">
        <v>644</v>
      </c>
      <c r="I651" s="455">
        <f t="shared" ca="1" si="55"/>
        <v>7175176.4347023005</v>
      </c>
      <c r="J651" s="455">
        <f t="array" ref="J651">IFERROR(INDEX('Retirement Calculator'!J:J,MATCH('Isaac 401k'!N651,'Retirement Calculator'!A:A,0),0),0)</f>
        <v>6404.7404596389215</v>
      </c>
      <c r="K651" s="455">
        <f t="shared" ca="1" si="53"/>
        <v>29869.882059344425</v>
      </c>
      <c r="L651" s="455">
        <f t="shared" ca="1" si="54"/>
        <v>7198641.5763020059</v>
      </c>
      <c r="M651" s="471">
        <f t="shared" si="56"/>
        <v>0.05</v>
      </c>
      <c r="N651" s="475">
        <f t="shared" si="57"/>
        <v>70860</v>
      </c>
    </row>
    <row r="652" spans="7:14" ht="11.25" customHeight="1" x14ac:dyDescent="0.3">
      <c r="G652" s="470">
        <f t="shared" si="68"/>
        <v>54</v>
      </c>
      <c r="H652" s="470">
        <v>645</v>
      </c>
      <c r="I652" s="455">
        <f t="shared" ca="1" si="55"/>
        <v>7198641.5763020059</v>
      </c>
      <c r="J652" s="455">
        <f t="array" ref="J652">IFERROR(INDEX('Retirement Calculator'!J:J,MATCH('Isaac 401k'!N652,'Retirement Calculator'!A:A,0),0),0)</f>
        <v>6404.7404596389215</v>
      </c>
      <c r="K652" s="455">
        <f t="shared" ca="1" si="53"/>
        <v>29967.653482676531</v>
      </c>
      <c r="L652" s="455">
        <f t="shared" ca="1" si="54"/>
        <v>7222204.4893250437</v>
      </c>
      <c r="M652" s="471">
        <f t="shared" si="56"/>
        <v>0.05</v>
      </c>
      <c r="N652" s="475">
        <f t="shared" si="57"/>
        <v>70891</v>
      </c>
    </row>
    <row r="653" spans="7:14" ht="11.25" customHeight="1" x14ac:dyDescent="0.3">
      <c r="G653" s="470">
        <f t="shared" si="68"/>
        <v>54</v>
      </c>
      <c r="H653" s="470">
        <v>646</v>
      </c>
      <c r="I653" s="455">
        <f t="shared" ca="1" si="55"/>
        <v>7222204.4893250437</v>
      </c>
      <c r="J653" s="455">
        <f t="array" ref="J653">IFERROR(INDEX('Retirement Calculator'!J:J,MATCH('Isaac 401k'!N653,'Retirement Calculator'!A:A,0),0),0)</f>
        <v>6404.7404596389215</v>
      </c>
      <c r="K653" s="455">
        <f t="shared" ca="1" si="53"/>
        <v>30065.832286939189</v>
      </c>
      <c r="L653" s="455">
        <f t="shared" ca="1" si="54"/>
        <v>7245865.5811523441</v>
      </c>
      <c r="M653" s="471">
        <f t="shared" si="56"/>
        <v>0.05</v>
      </c>
      <c r="N653" s="475">
        <f t="shared" si="57"/>
        <v>70919</v>
      </c>
    </row>
    <row r="654" spans="7:14" ht="11.25" customHeight="1" x14ac:dyDescent="0.3">
      <c r="G654" s="470">
        <f t="shared" si="68"/>
        <v>54</v>
      </c>
      <c r="H654" s="470">
        <v>647</v>
      </c>
      <c r="I654" s="455">
        <f t="shared" ca="1" si="55"/>
        <v>7245865.5811523441</v>
      </c>
      <c r="J654" s="455">
        <f t="array" ref="J654">IFERROR(INDEX('Retirement Calculator'!J:J,MATCH('Isaac 401k'!N654,'Retirement Calculator'!A:A,0),0),0)</f>
        <v>6404.7404596389215</v>
      </c>
      <c r="K654" s="455">
        <f t="shared" ca="1" si="53"/>
        <v>30164.420169552937</v>
      </c>
      <c r="L654" s="455">
        <f t="shared" ca="1" si="54"/>
        <v>7269625.2608622583</v>
      </c>
      <c r="M654" s="471">
        <f t="shared" si="56"/>
        <v>0.05</v>
      </c>
      <c r="N654" s="475">
        <f t="shared" si="57"/>
        <v>70950</v>
      </c>
    </row>
    <row r="655" spans="7:14" ht="11.25" customHeight="1" x14ac:dyDescent="0.3">
      <c r="G655" s="470">
        <f t="shared" si="68"/>
        <v>54</v>
      </c>
      <c r="H655" s="470">
        <v>648</v>
      </c>
      <c r="I655" s="455">
        <f t="shared" ca="1" si="55"/>
        <v>7269625.2608622583</v>
      </c>
      <c r="J655" s="455">
        <f t="array" ref="J655">IFERROR(INDEX('Retirement Calculator'!J:J,MATCH('Isaac 401k'!N655,'Retirement Calculator'!A:A,0),0),0)</f>
        <v>6404.7404596389215</v>
      </c>
      <c r="K655" s="455">
        <f t="shared" ca="1" si="53"/>
        <v>30263.418835010914</v>
      </c>
      <c r="L655" s="455">
        <f t="shared" ca="1" si="54"/>
        <v>7293483.9392376309</v>
      </c>
      <c r="M655" s="471">
        <f t="shared" si="56"/>
        <v>0.05</v>
      </c>
      <c r="N655" s="475">
        <f t="shared" si="57"/>
        <v>70980</v>
      </c>
    </row>
    <row r="656" spans="7:14" ht="11.25" customHeight="1" x14ac:dyDescent="0.3">
      <c r="G656" s="470">
        <f>G655+1</f>
        <v>55</v>
      </c>
      <c r="H656" s="470">
        <v>649</v>
      </c>
      <c r="I656" s="455">
        <f t="shared" ca="1" si="55"/>
        <v>7293483.9392376309</v>
      </c>
      <c r="J656" s="455">
        <f t="array" ref="J656">IFERROR(INDEX('Retirement Calculator'!J:J,MATCH('Isaac 401k'!N656,'Retirement Calculator'!A:A,0),0),0)</f>
        <v>6404.7404596389215</v>
      </c>
      <c r="K656" s="455">
        <f t="shared" ca="1" si="53"/>
        <v>30362.829994908301</v>
      </c>
      <c r="L656" s="455">
        <f t="shared" ca="1" si="54"/>
        <v>7317442.0287729008</v>
      </c>
      <c r="M656" s="471">
        <f t="shared" si="56"/>
        <v>0.05</v>
      </c>
      <c r="N656" s="475">
        <f t="shared" si="57"/>
        <v>71011</v>
      </c>
    </row>
    <row r="657" spans="7:14" ht="11.25" customHeight="1" x14ac:dyDescent="0.3">
      <c r="G657" s="470">
        <f t="shared" ref="G657:G667" si="69">G656</f>
        <v>55</v>
      </c>
      <c r="H657" s="470">
        <v>650</v>
      </c>
      <c r="I657" s="455">
        <f t="shared" ca="1" si="55"/>
        <v>7317442.0287729008</v>
      </c>
      <c r="J657" s="455">
        <f t="array" ref="J657">IFERROR(INDEX('Retirement Calculator'!J:J,MATCH('Isaac 401k'!N657,'Retirement Calculator'!A:A,0),0),0)</f>
        <v>6404.7404596389215</v>
      </c>
      <c r="K657" s="455">
        <f t="shared" ca="1" si="53"/>
        <v>30462.655367971929</v>
      </c>
      <c r="L657" s="455">
        <f t="shared" ca="1" si="54"/>
        <v>7341499.9436812345</v>
      </c>
      <c r="M657" s="471">
        <f t="shared" si="56"/>
        <v>0.05</v>
      </c>
      <c r="N657" s="475">
        <f t="shared" si="57"/>
        <v>71041</v>
      </c>
    </row>
    <row r="658" spans="7:14" ht="11.25" customHeight="1" x14ac:dyDescent="0.3">
      <c r="G658" s="470">
        <f t="shared" si="69"/>
        <v>55</v>
      </c>
      <c r="H658" s="470">
        <v>651</v>
      </c>
      <c r="I658" s="455">
        <f t="shared" ca="1" si="55"/>
        <v>7341499.9436812345</v>
      </c>
      <c r="J658" s="455">
        <f t="array" ref="J658">IFERROR(INDEX('Retirement Calculator'!J:J,MATCH('Isaac 401k'!N658,'Retirement Calculator'!A:A,0),0),0)</f>
        <v>6404.7404596389215</v>
      </c>
      <c r="K658" s="455">
        <f t="shared" ca="1" si="53"/>
        <v>30562.896680089983</v>
      </c>
      <c r="L658" s="455">
        <f t="shared" ca="1" si="54"/>
        <v>7365658.0999016855</v>
      </c>
      <c r="M658" s="471">
        <f t="shared" si="56"/>
        <v>0.05</v>
      </c>
      <c r="N658" s="475">
        <f t="shared" si="57"/>
        <v>71072</v>
      </c>
    </row>
    <row r="659" spans="7:14" ht="11.25" customHeight="1" x14ac:dyDescent="0.3">
      <c r="G659" s="470">
        <f t="shared" si="69"/>
        <v>55</v>
      </c>
      <c r="H659" s="470">
        <v>652</v>
      </c>
      <c r="I659" s="455">
        <f t="shared" ca="1" si="55"/>
        <v>7365658.0999016855</v>
      </c>
      <c r="J659" s="455">
        <f t="array" ref="J659">IFERROR(INDEX('Retirement Calculator'!J:J,MATCH('Isaac 401k'!N659,'Retirement Calculator'!A:A,0),0),0)</f>
        <v>6404.7404596389215</v>
      </c>
      <c r="K659" s="455">
        <f t="shared" ca="1" si="53"/>
        <v>30663.555664341864</v>
      </c>
      <c r="L659" s="455">
        <f t="shared" ca="1" si="54"/>
        <v>7389916.9151063887</v>
      </c>
      <c r="M659" s="471">
        <f t="shared" si="56"/>
        <v>0.05</v>
      </c>
      <c r="N659" s="475">
        <f t="shared" si="57"/>
        <v>71103</v>
      </c>
    </row>
    <row r="660" spans="7:14" ht="11.25" customHeight="1" x14ac:dyDescent="0.3">
      <c r="G660" s="470">
        <f t="shared" si="69"/>
        <v>55</v>
      </c>
      <c r="H660" s="470">
        <v>653</v>
      </c>
      <c r="I660" s="455">
        <f t="shared" ca="1" si="55"/>
        <v>7389916.9151063887</v>
      </c>
      <c r="J660" s="455">
        <f t="array" ref="J660">IFERROR(INDEX('Retirement Calculator'!J:J,MATCH('Isaac 401k'!N660,'Retirement Calculator'!A:A,0),0),0)</f>
        <v>6404.7404596389215</v>
      </c>
      <c r="K660" s="455">
        <f t="shared" ca="1" si="53"/>
        <v>30764.63406102813</v>
      </c>
      <c r="L660" s="455">
        <f t="shared" ca="1" si="54"/>
        <v>7414276.8087077783</v>
      </c>
      <c r="M660" s="471">
        <f t="shared" si="56"/>
        <v>0.05</v>
      </c>
      <c r="N660" s="475">
        <f t="shared" si="57"/>
        <v>71133</v>
      </c>
    </row>
    <row r="661" spans="7:14" ht="11.25" customHeight="1" x14ac:dyDescent="0.3">
      <c r="G661" s="470">
        <f t="shared" si="69"/>
        <v>55</v>
      </c>
      <c r="H661" s="470">
        <v>654</v>
      </c>
      <c r="I661" s="455">
        <f t="shared" ca="1" si="55"/>
        <v>7414276.8087077783</v>
      </c>
      <c r="J661" s="455">
        <f t="array" ref="J661">IFERROR(INDEX('Retirement Calculator'!J:J,MATCH('Isaac 401k'!N661,'Retirement Calculator'!A:A,0),0),0)</f>
        <v>6404.7404596389215</v>
      </c>
      <c r="K661" s="455">
        <f t="shared" ca="1" si="53"/>
        <v>30866.133617700583</v>
      </c>
      <c r="L661" s="455">
        <f t="shared" ca="1" si="54"/>
        <v>7438738.2018658407</v>
      </c>
      <c r="M661" s="471">
        <f t="shared" si="56"/>
        <v>0.05</v>
      </c>
      <c r="N661" s="475">
        <f t="shared" si="57"/>
        <v>71164</v>
      </c>
    </row>
    <row r="662" spans="7:14" ht="11.25" customHeight="1" x14ac:dyDescent="0.3">
      <c r="G662" s="470">
        <f t="shared" si="69"/>
        <v>55</v>
      </c>
      <c r="H662" s="470">
        <v>655</v>
      </c>
      <c r="I662" s="455">
        <f t="shared" ca="1" si="55"/>
        <v>7438738.2018658407</v>
      </c>
      <c r="J662" s="455">
        <f t="array" ref="J662">IFERROR(INDEX('Retirement Calculator'!J:J,MATCH('Isaac 401k'!N662,'Retirement Calculator'!A:A,0),0),0)</f>
        <v>6404.7404596389215</v>
      </c>
      <c r="K662" s="455">
        <f t="shared" ca="1" si="53"/>
        <v>30968.056089192509</v>
      </c>
      <c r="L662" s="455">
        <f t="shared" ca="1" si="54"/>
        <v>7463301.5174953947</v>
      </c>
      <c r="M662" s="471">
        <f t="shared" si="56"/>
        <v>0.05</v>
      </c>
      <c r="N662" s="475">
        <f t="shared" si="57"/>
        <v>71194</v>
      </c>
    </row>
    <row r="663" spans="7:14" ht="11.25" customHeight="1" x14ac:dyDescent="0.3">
      <c r="G663" s="470">
        <f t="shared" si="69"/>
        <v>55</v>
      </c>
      <c r="H663" s="470">
        <v>656</v>
      </c>
      <c r="I663" s="455">
        <f t="shared" ca="1" si="55"/>
        <v>7463301.5174953947</v>
      </c>
      <c r="J663" s="455">
        <f t="array" ref="J663">IFERROR(INDEX('Retirement Calculator'!J:J,MATCH('Isaac 401k'!N663,'Retirement Calculator'!A:A,0),0),0)</f>
        <v>6404.7404596389215</v>
      </c>
      <c r="K663" s="455">
        <f t="shared" ca="1" si="53"/>
        <v>31070.403237648981</v>
      </c>
      <c r="L663" s="455">
        <f t="shared" ca="1" si="54"/>
        <v>7487967.1802734053</v>
      </c>
      <c r="M663" s="471">
        <f t="shared" si="56"/>
        <v>0.05</v>
      </c>
      <c r="N663" s="475">
        <f t="shared" si="57"/>
        <v>71225</v>
      </c>
    </row>
    <row r="664" spans="7:14" ht="11.25" customHeight="1" x14ac:dyDescent="0.3">
      <c r="G664" s="470">
        <f t="shared" si="69"/>
        <v>55</v>
      </c>
      <c r="H664" s="470">
        <v>657</v>
      </c>
      <c r="I664" s="455">
        <f t="shared" ca="1" si="55"/>
        <v>7487967.1802734053</v>
      </c>
      <c r="J664" s="455">
        <f t="array" ref="J664">IFERROR(INDEX('Retirement Calculator'!J:J,MATCH('Isaac 401k'!N664,'Retirement Calculator'!A:A,0),0),0)</f>
        <v>6404.7404596389215</v>
      </c>
      <c r="K664" s="455">
        <f t="shared" ca="1" si="53"/>
        <v>31173.176832557361</v>
      </c>
      <c r="L664" s="455">
        <f t="shared" ca="1" si="54"/>
        <v>7512735.6166463243</v>
      </c>
      <c r="M664" s="471">
        <f t="shared" si="56"/>
        <v>0.05</v>
      </c>
      <c r="N664" s="475">
        <f t="shared" si="57"/>
        <v>71256</v>
      </c>
    </row>
    <row r="665" spans="7:14" ht="11.25" customHeight="1" x14ac:dyDescent="0.3">
      <c r="G665" s="470">
        <f t="shared" si="69"/>
        <v>55</v>
      </c>
      <c r="H665" s="470">
        <v>658</v>
      </c>
      <c r="I665" s="455">
        <f t="shared" ca="1" si="55"/>
        <v>7512735.6166463243</v>
      </c>
      <c r="J665" s="455">
        <f t="array" ref="J665">IFERROR(INDEX('Retirement Calculator'!J:J,MATCH('Isaac 401k'!N665,'Retirement Calculator'!A:A,0),0),0)</f>
        <v>6404.7404596389215</v>
      </c>
      <c r="K665" s="455">
        <f t="shared" ca="1" si="53"/>
        <v>31276.378650777857</v>
      </c>
      <c r="L665" s="455">
        <f t="shared" ca="1" si="54"/>
        <v>7537607.2548374636</v>
      </c>
      <c r="M665" s="471">
        <f t="shared" si="56"/>
        <v>0.05</v>
      </c>
      <c r="N665" s="475">
        <f t="shared" si="57"/>
        <v>71284</v>
      </c>
    </row>
    <row r="666" spans="7:14" ht="11.25" customHeight="1" x14ac:dyDescent="0.3">
      <c r="G666" s="470">
        <f t="shared" si="69"/>
        <v>55</v>
      </c>
      <c r="H666" s="470">
        <v>659</v>
      </c>
      <c r="I666" s="455">
        <f t="shared" ca="1" si="55"/>
        <v>7537607.2548374636</v>
      </c>
      <c r="J666" s="455">
        <f t="array" ref="J666">IFERROR(INDEX('Retirement Calculator'!J:J,MATCH('Isaac 401k'!N666,'Retirement Calculator'!A:A,0),0),0)</f>
        <v>6404.7404596389215</v>
      </c>
      <c r="K666" s="455">
        <f t="shared" ca="1" si="53"/>
        <v>31380.010476574269</v>
      </c>
      <c r="L666" s="455">
        <f t="shared" ca="1" si="54"/>
        <v>7562582.5248543993</v>
      </c>
      <c r="M666" s="471">
        <f t="shared" si="56"/>
        <v>0.05</v>
      </c>
      <c r="N666" s="475">
        <f t="shared" si="57"/>
        <v>71315</v>
      </c>
    </row>
    <row r="667" spans="7:14" ht="11.25" customHeight="1" x14ac:dyDescent="0.3">
      <c r="G667" s="470">
        <f t="shared" si="69"/>
        <v>55</v>
      </c>
      <c r="H667" s="470">
        <v>660</v>
      </c>
      <c r="I667" s="455">
        <f t="shared" ca="1" si="55"/>
        <v>7562582.5248543993</v>
      </c>
      <c r="J667" s="455">
        <f t="array" ref="J667">IFERROR(INDEX('Retirement Calculator'!J:J,MATCH('Isaac 401k'!N667,'Retirement Calculator'!A:A,0),0),0)</f>
        <v>6404.7404596389215</v>
      </c>
      <c r="K667" s="455">
        <f t="shared" ca="1" si="53"/>
        <v>31484.07410164483</v>
      </c>
      <c r="L667" s="455">
        <f t="shared" ca="1" si="54"/>
        <v>7587661.8584964052</v>
      </c>
      <c r="M667" s="471">
        <f t="shared" si="56"/>
        <v>0.05</v>
      </c>
      <c r="N667" s="475">
        <f t="shared" si="57"/>
        <v>71345</v>
      </c>
    </row>
    <row r="668" spans="7:14" ht="11.25" customHeight="1" x14ac:dyDescent="0.3">
      <c r="G668" s="470">
        <f>G667+1</f>
        <v>56</v>
      </c>
      <c r="H668" s="470">
        <v>661</v>
      </c>
      <c r="I668" s="455">
        <f t="shared" ca="1" si="55"/>
        <v>7587661.8584964052</v>
      </c>
      <c r="J668" s="455">
        <f t="array" ref="J668">IFERROR(INDEX('Retirement Calculator'!J:J,MATCH('Isaac 401k'!N668,'Retirement Calculator'!A:A,0),0),0)</f>
        <v>6404.7404596389215</v>
      </c>
      <c r="K668" s="455">
        <f t="shared" ca="1" si="53"/>
        <v>31588.571325153192</v>
      </c>
      <c r="L668" s="455">
        <f t="shared" ca="1" si="54"/>
        <v>7612845.6893619196</v>
      </c>
      <c r="M668" s="471">
        <f t="shared" si="56"/>
        <v>0.05</v>
      </c>
      <c r="N668" s="475">
        <f t="shared" si="57"/>
        <v>71376</v>
      </c>
    </row>
    <row r="669" spans="7:14" ht="11.25" customHeight="1" x14ac:dyDescent="0.3">
      <c r="G669" s="470">
        <f t="shared" ref="G669:G679" si="70">G668</f>
        <v>56</v>
      </c>
      <c r="H669" s="470">
        <v>662</v>
      </c>
      <c r="I669" s="455">
        <f t="shared" ca="1" si="55"/>
        <v>7612845.6893619196</v>
      </c>
      <c r="J669" s="455">
        <f t="array" ref="J669">IFERROR(INDEX('Retirement Calculator'!J:J,MATCH('Isaac 401k'!N669,'Retirement Calculator'!A:A,0),0),0)</f>
        <v>6404.7404596389215</v>
      </c>
      <c r="K669" s="455">
        <f t="shared" ca="1" si="53"/>
        <v>31693.503953759504</v>
      </c>
      <c r="L669" s="455">
        <f t="shared" ca="1" si="54"/>
        <v>7638134.4528560406</v>
      </c>
      <c r="M669" s="471">
        <f t="shared" si="56"/>
        <v>0.05</v>
      </c>
      <c r="N669" s="475">
        <f t="shared" si="57"/>
        <v>71406</v>
      </c>
    </row>
    <row r="670" spans="7:14" ht="11.25" customHeight="1" x14ac:dyDescent="0.3">
      <c r="G670" s="470">
        <f t="shared" si="70"/>
        <v>56</v>
      </c>
      <c r="H670" s="470">
        <v>663</v>
      </c>
      <c r="I670" s="455">
        <f t="shared" ca="1" si="55"/>
        <v>7638134.4528560406</v>
      </c>
      <c r="J670" s="455">
        <f t="array" ref="J670">IFERROR(INDEX('Retirement Calculator'!J:J,MATCH('Isaac 401k'!N670,'Retirement Calculator'!A:A,0),0),0)</f>
        <v>6404.7404596389215</v>
      </c>
      <c r="K670" s="455">
        <f t="shared" ca="1" si="53"/>
        <v>31798.873801651676</v>
      </c>
      <c r="L670" s="455">
        <f t="shared" ca="1" si="54"/>
        <v>7663528.5861980533</v>
      </c>
      <c r="M670" s="471">
        <f t="shared" si="56"/>
        <v>0.05</v>
      </c>
      <c r="N670" s="475">
        <f t="shared" si="57"/>
        <v>71437</v>
      </c>
    </row>
    <row r="671" spans="7:14" ht="11.25" customHeight="1" x14ac:dyDescent="0.3">
      <c r="G671" s="470">
        <f t="shared" si="70"/>
        <v>56</v>
      </c>
      <c r="H671" s="470">
        <v>664</v>
      </c>
      <c r="I671" s="455">
        <f t="shared" ca="1" si="55"/>
        <v>7663528.5861980533</v>
      </c>
      <c r="J671" s="455">
        <f t="array" ref="J671">IFERROR(INDEX('Retirement Calculator'!J:J,MATCH('Isaac 401k'!N671,'Retirement Calculator'!A:A,0),0),0)</f>
        <v>6404.7404596389215</v>
      </c>
      <c r="K671" s="455">
        <f t="shared" ca="1" si="53"/>
        <v>31904.682690576727</v>
      </c>
      <c r="L671" s="455">
        <f t="shared" ca="1" si="54"/>
        <v>7689028.5284289913</v>
      </c>
      <c r="M671" s="471">
        <f t="shared" si="56"/>
        <v>0.05</v>
      </c>
      <c r="N671" s="475">
        <f t="shared" si="57"/>
        <v>71468</v>
      </c>
    </row>
    <row r="672" spans="7:14" ht="11.25" customHeight="1" x14ac:dyDescent="0.3">
      <c r="G672" s="470">
        <f t="shared" si="70"/>
        <v>56</v>
      </c>
      <c r="H672" s="470">
        <v>665</v>
      </c>
      <c r="I672" s="455">
        <f t="shared" ca="1" si="55"/>
        <v>7689028.5284289913</v>
      </c>
      <c r="J672" s="455">
        <f t="array" ref="J672">IFERROR(INDEX('Retirement Calculator'!J:J,MATCH('Isaac 401k'!N672,'Retirement Calculator'!A:A,0),0),0)</f>
        <v>6404.7404596389215</v>
      </c>
      <c r="K672" s="455">
        <f t="shared" ca="1" si="53"/>
        <v>32010.932449872307</v>
      </c>
      <c r="L672" s="455">
        <f t="shared" ca="1" si="54"/>
        <v>7714634.7204192253</v>
      </c>
      <c r="M672" s="471">
        <f t="shared" si="56"/>
        <v>0.05</v>
      </c>
      <c r="N672" s="475">
        <f t="shared" si="57"/>
        <v>71498</v>
      </c>
    </row>
    <row r="673" spans="7:14" ht="11.25" customHeight="1" x14ac:dyDescent="0.3">
      <c r="G673" s="470">
        <f t="shared" si="70"/>
        <v>56</v>
      </c>
      <c r="H673" s="470">
        <v>666</v>
      </c>
      <c r="I673" s="455">
        <f t="shared" ca="1" si="55"/>
        <v>7714634.7204192253</v>
      </c>
      <c r="J673" s="455">
        <f t="array" ref="J673">IFERROR(INDEX('Retirement Calculator'!J:J,MATCH('Isaac 401k'!N673,'Retirement Calculator'!A:A,0),0),0)</f>
        <v>6404.7404596389215</v>
      </c>
      <c r="K673" s="455">
        <f t="shared" ca="1" si="53"/>
        <v>32117.62491649828</v>
      </c>
      <c r="L673" s="455">
        <f t="shared" ca="1" si="54"/>
        <v>7740347.6048760852</v>
      </c>
      <c r="M673" s="471">
        <f t="shared" si="56"/>
        <v>0.05</v>
      </c>
      <c r="N673" s="475">
        <f t="shared" si="57"/>
        <v>71529</v>
      </c>
    </row>
    <row r="674" spans="7:14" ht="11.25" customHeight="1" x14ac:dyDescent="0.3">
      <c r="G674" s="470">
        <f t="shared" si="70"/>
        <v>56</v>
      </c>
      <c r="H674" s="470">
        <v>667</v>
      </c>
      <c r="I674" s="455">
        <f t="shared" ca="1" si="55"/>
        <v>7740347.6048760852</v>
      </c>
      <c r="J674" s="455">
        <f t="array" ref="J674">IFERROR(INDEX('Retirement Calculator'!J:J,MATCH('Isaac 401k'!N674,'Retirement Calculator'!A:A,0),0),0)</f>
        <v>6404.7404596389215</v>
      </c>
      <c r="K674" s="455">
        <f t="shared" ca="1" si="53"/>
        <v>32224.761935068527</v>
      </c>
      <c r="L674" s="455">
        <f t="shared" ca="1" si="54"/>
        <v>7766167.6263515148</v>
      </c>
      <c r="M674" s="471">
        <f t="shared" si="56"/>
        <v>0.05</v>
      </c>
      <c r="N674" s="475">
        <f t="shared" si="57"/>
        <v>71559</v>
      </c>
    </row>
    <row r="675" spans="7:14" ht="11.25" customHeight="1" x14ac:dyDescent="0.3">
      <c r="G675" s="470">
        <f t="shared" si="70"/>
        <v>56</v>
      </c>
      <c r="H675" s="470">
        <v>668</v>
      </c>
      <c r="I675" s="455">
        <f t="shared" ca="1" si="55"/>
        <v>7766167.6263515148</v>
      </c>
      <c r="J675" s="455">
        <f t="array" ref="J675">IFERROR(INDEX('Retirement Calculator'!J:J,MATCH('Isaac 401k'!N675,'Retirement Calculator'!A:A,0),0),0)</f>
        <v>6404.7404596389215</v>
      </c>
      <c r="K675" s="455">
        <f t="shared" ca="1" si="53"/>
        <v>32332.345357882816</v>
      </c>
      <c r="L675" s="455">
        <f t="shared" ca="1" si="54"/>
        <v>7792095.231249759</v>
      </c>
      <c r="M675" s="471">
        <f t="shared" si="56"/>
        <v>0.05</v>
      </c>
      <c r="N675" s="475">
        <f t="shared" si="57"/>
        <v>71590</v>
      </c>
    </row>
    <row r="676" spans="7:14" ht="11.25" customHeight="1" x14ac:dyDescent="0.3">
      <c r="G676" s="470">
        <f t="shared" si="70"/>
        <v>56</v>
      </c>
      <c r="H676" s="470">
        <v>669</v>
      </c>
      <c r="I676" s="455">
        <f t="shared" ca="1" si="55"/>
        <v>7792095.231249759</v>
      </c>
      <c r="J676" s="455">
        <f t="array" ref="J676">IFERROR(INDEX('Retirement Calculator'!J:J,MATCH('Isaac 401k'!N676,'Retirement Calculator'!A:A,0),0),0)</f>
        <v>6404.7404596389215</v>
      </c>
      <c r="K676" s="455">
        <f t="shared" ca="1" si="53"/>
        <v>32440.377044958837</v>
      </c>
      <c r="L676" s="455">
        <f t="shared" ca="1" si="54"/>
        <v>7818130.8678350793</v>
      </c>
      <c r="M676" s="471">
        <f t="shared" si="56"/>
        <v>0.05</v>
      </c>
      <c r="N676" s="475">
        <f t="shared" si="57"/>
        <v>71621</v>
      </c>
    </row>
    <row r="677" spans="7:14" ht="11.25" customHeight="1" x14ac:dyDescent="0.3">
      <c r="G677" s="470">
        <f t="shared" si="70"/>
        <v>56</v>
      </c>
      <c r="H677" s="470">
        <v>670</v>
      </c>
      <c r="I677" s="455">
        <f t="shared" ca="1" si="55"/>
        <v>7818130.8678350793</v>
      </c>
      <c r="J677" s="455">
        <f t="array" ref="J677">IFERROR(INDEX('Retirement Calculator'!J:J,MATCH('Isaac 401k'!N677,'Retirement Calculator'!A:A,0),0),0)</f>
        <v>6404.7404596389215</v>
      </c>
      <c r="K677" s="455">
        <f t="shared" ca="1" si="53"/>
        <v>32548.858864064336</v>
      </c>
      <c r="L677" s="455">
        <f t="shared" ca="1" si="54"/>
        <v>7844274.986239505</v>
      </c>
      <c r="M677" s="471">
        <f t="shared" si="56"/>
        <v>0.05</v>
      </c>
      <c r="N677" s="475">
        <f t="shared" si="57"/>
        <v>71650</v>
      </c>
    </row>
    <row r="678" spans="7:14" ht="11.25" customHeight="1" x14ac:dyDescent="0.3">
      <c r="G678" s="470">
        <f t="shared" si="70"/>
        <v>56</v>
      </c>
      <c r="H678" s="470">
        <v>671</v>
      </c>
      <c r="I678" s="455">
        <f t="shared" ca="1" si="55"/>
        <v>7844274.986239505</v>
      </c>
      <c r="J678" s="455">
        <f t="array" ref="J678">IFERROR(INDEX('Retirement Calculator'!J:J,MATCH('Isaac 401k'!N678,'Retirement Calculator'!A:A,0),0),0)</f>
        <v>6404.7404596389215</v>
      </c>
      <c r="K678" s="455">
        <f t="shared" ca="1" si="53"/>
        <v>32657.792690749448</v>
      </c>
      <c r="L678" s="455">
        <f t="shared" ca="1" si="54"/>
        <v>7870528.0384706156</v>
      </c>
      <c r="M678" s="471">
        <f t="shared" si="56"/>
        <v>0.05</v>
      </c>
      <c r="N678" s="475">
        <f t="shared" si="57"/>
        <v>71681</v>
      </c>
    </row>
    <row r="679" spans="7:14" ht="11.25" customHeight="1" x14ac:dyDescent="0.3">
      <c r="G679" s="470">
        <f t="shared" si="70"/>
        <v>56</v>
      </c>
      <c r="H679" s="470">
        <v>672</v>
      </c>
      <c r="I679" s="455">
        <f t="shared" ca="1" si="55"/>
        <v>7870528.0384706156</v>
      </c>
      <c r="J679" s="455">
        <f t="array" ref="J679">IFERROR(INDEX('Retirement Calculator'!J:J,MATCH('Isaac 401k'!N679,'Retirement Calculator'!A:A,0),0),0)</f>
        <v>6404.7404596389215</v>
      </c>
      <c r="K679" s="455">
        <f t="shared" ca="1" si="53"/>
        <v>32767.18040837907</v>
      </c>
      <c r="L679" s="455">
        <f t="shared" ca="1" si="54"/>
        <v>7896890.478419356</v>
      </c>
      <c r="M679" s="471">
        <f t="shared" si="56"/>
        <v>0.05</v>
      </c>
      <c r="N679" s="475">
        <f t="shared" si="57"/>
        <v>71711</v>
      </c>
    </row>
    <row r="680" spans="7:14" ht="11.25" customHeight="1" x14ac:dyDescent="0.3">
      <c r="G680" s="470">
        <f>G679+1</f>
        <v>57</v>
      </c>
      <c r="H680" s="470">
        <v>673</v>
      </c>
      <c r="I680" s="455">
        <f t="shared" ca="1" si="55"/>
        <v>7896890.478419356</v>
      </c>
      <c r="J680" s="455">
        <f t="array" ref="J680">IFERROR(INDEX('Retirement Calculator'!J:J,MATCH('Isaac 401k'!N680,'Retirement Calculator'!A:A,0),0),0)</f>
        <v>6404.7404596389215</v>
      </c>
      <c r="K680" s="455">
        <f t="shared" ca="1" si="53"/>
        <v>32877.023908165487</v>
      </c>
      <c r="L680" s="455">
        <f t="shared" ca="1" si="54"/>
        <v>7923362.7618678827</v>
      </c>
      <c r="M680" s="471">
        <f t="shared" si="56"/>
        <v>0.05</v>
      </c>
      <c r="N680" s="475">
        <f t="shared" si="57"/>
        <v>71742</v>
      </c>
    </row>
    <row r="681" spans="7:14" ht="11.25" customHeight="1" x14ac:dyDescent="0.3">
      <c r="G681" s="470">
        <f t="shared" ref="G681:G691" si="71">G680</f>
        <v>57</v>
      </c>
      <c r="H681" s="470">
        <v>674</v>
      </c>
      <c r="I681" s="455">
        <f t="shared" ca="1" si="55"/>
        <v>7923362.7618678827</v>
      </c>
      <c r="J681" s="455">
        <f t="array" ref="J681">IFERROR(INDEX('Retirement Calculator'!J:J,MATCH('Isaac 401k'!N681,'Retirement Calculator'!A:A,0),0),0)</f>
        <v>6404.7404596389215</v>
      </c>
      <c r="K681" s="455">
        <f t="shared" ca="1" si="53"/>
        <v>32987.325089201018</v>
      </c>
      <c r="L681" s="455">
        <f t="shared" ca="1" si="54"/>
        <v>7949945.3464974454</v>
      </c>
      <c r="M681" s="471">
        <f t="shared" si="56"/>
        <v>0.05</v>
      </c>
      <c r="N681" s="475">
        <f t="shared" si="57"/>
        <v>71772</v>
      </c>
    </row>
    <row r="682" spans="7:14" ht="11.25" customHeight="1" x14ac:dyDescent="0.3">
      <c r="G682" s="470">
        <f t="shared" si="71"/>
        <v>57</v>
      </c>
      <c r="H682" s="470">
        <v>675</v>
      </c>
      <c r="I682" s="455">
        <f t="shared" ca="1" si="55"/>
        <v>7949945.3464974454</v>
      </c>
      <c r="J682" s="455">
        <f t="array" ref="J682">IFERROR(INDEX('Retirement Calculator'!J:J,MATCH('Isaac 401k'!N682,'Retirement Calculator'!A:A,0),0),0)</f>
        <v>6404.7404596389215</v>
      </c>
      <c r="K682" s="455">
        <f t="shared" ca="1" si="53"/>
        <v>33098.085858490864</v>
      </c>
      <c r="L682" s="455">
        <f t="shared" ca="1" si="54"/>
        <v>7976638.691896298</v>
      </c>
      <c r="M682" s="471">
        <f t="shared" si="56"/>
        <v>0.05</v>
      </c>
      <c r="N682" s="475">
        <f t="shared" si="57"/>
        <v>71803</v>
      </c>
    </row>
    <row r="683" spans="7:14" ht="11.25" customHeight="1" x14ac:dyDescent="0.3">
      <c r="G683" s="470">
        <f t="shared" si="71"/>
        <v>57</v>
      </c>
      <c r="H683" s="470">
        <v>676</v>
      </c>
      <c r="I683" s="455">
        <f t="shared" ca="1" si="55"/>
        <v>7976638.691896298</v>
      </c>
      <c r="J683" s="455">
        <f t="array" ref="J683">IFERROR(INDEX('Retirement Calculator'!J:J,MATCH('Isaac 401k'!N683,'Retirement Calculator'!A:A,0),0),0)</f>
        <v>6404.7404596389215</v>
      </c>
      <c r="K683" s="455">
        <f t="shared" ca="1" si="53"/>
        <v>33209.308130986086</v>
      </c>
      <c r="L683" s="455">
        <f t="shared" ca="1" si="54"/>
        <v>8003443.2595676454</v>
      </c>
      <c r="M683" s="471">
        <f t="shared" si="56"/>
        <v>0.05</v>
      </c>
      <c r="N683" s="475">
        <f t="shared" si="57"/>
        <v>71834</v>
      </c>
    </row>
    <row r="684" spans="7:14" ht="11.25" customHeight="1" x14ac:dyDescent="0.3">
      <c r="G684" s="470">
        <f t="shared" si="71"/>
        <v>57</v>
      </c>
      <c r="H684" s="470">
        <v>677</v>
      </c>
      <c r="I684" s="455">
        <f t="shared" ca="1" si="55"/>
        <v>8003443.2595676454</v>
      </c>
      <c r="J684" s="455">
        <f t="array" ref="J684">IFERROR(INDEX('Retirement Calculator'!J:J,MATCH('Isaac 401k'!N684,'Retirement Calculator'!A:A,0),0),0)</f>
        <v>6404.7404596389215</v>
      </c>
      <c r="K684" s="455">
        <f t="shared" ca="1" si="53"/>
        <v>33320.993829616695</v>
      </c>
      <c r="L684" s="455">
        <f t="shared" ca="1" si="54"/>
        <v>8030359.5129376231</v>
      </c>
      <c r="M684" s="471">
        <f t="shared" si="56"/>
        <v>0.05</v>
      </c>
      <c r="N684" s="475">
        <f t="shared" si="57"/>
        <v>71864</v>
      </c>
    </row>
    <row r="685" spans="7:14" ht="11.25" customHeight="1" x14ac:dyDescent="0.3">
      <c r="G685" s="470">
        <f t="shared" si="71"/>
        <v>57</v>
      </c>
      <c r="H685" s="470">
        <v>678</v>
      </c>
      <c r="I685" s="455">
        <f t="shared" ca="1" si="55"/>
        <v>8030359.5129376231</v>
      </c>
      <c r="J685" s="455">
        <f t="array" ref="J685">IFERROR(INDEX('Retirement Calculator'!J:J,MATCH('Isaac 401k'!N685,'Retirement Calculator'!A:A,0),0),0)</f>
        <v>6404.7404596389215</v>
      </c>
      <c r="K685" s="455">
        <f t="shared" ca="1" si="53"/>
        <v>33433.144885324931</v>
      </c>
      <c r="L685" s="455">
        <f t="shared" ca="1" si="54"/>
        <v>8057387.9173633093</v>
      </c>
      <c r="M685" s="471">
        <f t="shared" si="56"/>
        <v>0.05</v>
      </c>
      <c r="N685" s="475">
        <f t="shared" si="57"/>
        <v>71895</v>
      </c>
    </row>
    <row r="686" spans="7:14" ht="11.25" customHeight="1" x14ac:dyDescent="0.3">
      <c r="G686" s="470">
        <f t="shared" si="71"/>
        <v>57</v>
      </c>
      <c r="H686" s="470">
        <v>679</v>
      </c>
      <c r="I686" s="455">
        <f t="shared" ca="1" si="55"/>
        <v>8057387.9173633093</v>
      </c>
      <c r="J686" s="455">
        <f t="array" ref="J686">IFERROR(INDEX('Retirement Calculator'!J:J,MATCH('Isaac 401k'!N686,'Retirement Calculator'!A:A,0),0),0)</f>
        <v>6404.7404596389215</v>
      </c>
      <c r="K686" s="455">
        <f t="shared" ca="1" si="53"/>
        <v>33545.763237098632</v>
      </c>
      <c r="L686" s="455">
        <f t="shared" ca="1" si="54"/>
        <v>8084528.9401407689</v>
      </c>
      <c r="M686" s="471">
        <f t="shared" si="56"/>
        <v>0.05</v>
      </c>
      <c r="N686" s="475">
        <f t="shared" si="57"/>
        <v>71925</v>
      </c>
    </row>
    <row r="687" spans="7:14" ht="11.25" customHeight="1" x14ac:dyDescent="0.3">
      <c r="G687" s="470">
        <f t="shared" si="71"/>
        <v>57</v>
      </c>
      <c r="H687" s="470">
        <v>680</v>
      </c>
      <c r="I687" s="455">
        <f t="shared" ca="1" si="55"/>
        <v>8084528.9401407689</v>
      </c>
      <c r="J687" s="455">
        <f t="array" ref="J687">IFERROR(INDEX('Retirement Calculator'!J:J,MATCH('Isaac 401k'!N687,'Retirement Calculator'!A:A,0),0),0)</f>
        <v>6404.7404596389215</v>
      </c>
      <c r="K687" s="455">
        <f t="shared" ca="1" si="53"/>
        <v>33658.850832004704</v>
      </c>
      <c r="L687" s="455">
        <f t="shared" ca="1" si="54"/>
        <v>8111783.0505131353</v>
      </c>
      <c r="M687" s="471">
        <f t="shared" si="56"/>
        <v>0.05</v>
      </c>
      <c r="N687" s="475">
        <f t="shared" si="57"/>
        <v>71956</v>
      </c>
    </row>
    <row r="688" spans="7:14" ht="11.25" customHeight="1" x14ac:dyDescent="0.3">
      <c r="G688" s="470">
        <f t="shared" si="71"/>
        <v>57</v>
      </c>
      <c r="H688" s="470">
        <v>681</v>
      </c>
      <c r="I688" s="455">
        <f t="shared" ca="1" si="55"/>
        <v>8111783.0505131353</v>
      </c>
      <c r="J688" s="455">
        <f t="array" ref="J688">IFERROR(INDEX('Retirement Calculator'!J:J,MATCH('Isaac 401k'!N688,'Retirement Calculator'!A:A,0),0),0)</f>
        <v>6404.7404596389215</v>
      </c>
      <c r="K688" s="455">
        <f t="shared" ca="1" si="53"/>
        <v>33772.409625222899</v>
      </c>
      <c r="L688" s="455">
        <f t="shared" ca="1" si="54"/>
        <v>8139150.7196787195</v>
      </c>
      <c r="M688" s="471">
        <f t="shared" si="56"/>
        <v>0.05</v>
      </c>
      <c r="N688" s="475">
        <f t="shared" si="57"/>
        <v>71987</v>
      </c>
    </row>
    <row r="689" spans="7:14" ht="11.25" customHeight="1" x14ac:dyDescent="0.3">
      <c r="G689" s="470">
        <f t="shared" si="71"/>
        <v>57</v>
      </c>
      <c r="H689" s="470">
        <v>682</v>
      </c>
      <c r="I689" s="455">
        <f t="shared" ca="1" si="55"/>
        <v>8139150.7196787195</v>
      </c>
      <c r="J689" s="455">
        <f t="array" ref="J689">IFERROR(INDEX('Retirement Calculator'!J:J,MATCH('Isaac 401k'!N689,'Retirement Calculator'!A:A,0),0),0)</f>
        <v>6404.7404596389215</v>
      </c>
      <c r="K689" s="455">
        <f t="shared" ca="1" si="53"/>
        <v>33886.441580079496</v>
      </c>
      <c r="L689" s="455">
        <f t="shared" ca="1" si="54"/>
        <v>8166632.4207991604</v>
      </c>
      <c r="M689" s="471">
        <f t="shared" si="56"/>
        <v>0.05</v>
      </c>
      <c r="N689" s="475">
        <f t="shared" si="57"/>
        <v>72015</v>
      </c>
    </row>
    <row r="690" spans="7:14" ht="11.25" customHeight="1" x14ac:dyDescent="0.3">
      <c r="G690" s="470">
        <f t="shared" si="71"/>
        <v>57</v>
      </c>
      <c r="H690" s="470">
        <v>683</v>
      </c>
      <c r="I690" s="455">
        <f t="shared" ca="1" si="55"/>
        <v>8166632.4207991604</v>
      </c>
      <c r="J690" s="455">
        <f t="array" ref="J690">IFERROR(INDEX('Retirement Calculator'!J:J,MATCH('Isaac 401k'!N690,'Retirement Calculator'!A:A,0),0),0)</f>
        <v>6404.7404596389215</v>
      </c>
      <c r="K690" s="455">
        <f t="shared" ca="1" si="53"/>
        <v>34000.948668081342</v>
      </c>
      <c r="L690" s="455">
        <f t="shared" ca="1" si="54"/>
        <v>8194228.629007603</v>
      </c>
      <c r="M690" s="471">
        <f t="shared" si="56"/>
        <v>0.05</v>
      </c>
      <c r="N690" s="475">
        <f t="shared" si="57"/>
        <v>72046</v>
      </c>
    </row>
    <row r="691" spans="7:14" ht="11.25" customHeight="1" x14ac:dyDescent="0.3">
      <c r="G691" s="470">
        <f t="shared" si="71"/>
        <v>57</v>
      </c>
      <c r="H691" s="470">
        <v>684</v>
      </c>
      <c r="I691" s="455">
        <f t="shared" ca="1" si="55"/>
        <v>8194228.629007603</v>
      </c>
      <c r="J691" s="455">
        <f t="array" ref="J691">IFERROR(INDEX('Retirement Calculator'!J:J,MATCH('Isaac 401k'!N691,'Retirement Calculator'!A:A,0),0),0)</f>
        <v>6404.7404596389215</v>
      </c>
      <c r="K691" s="455">
        <f t="shared" ca="1" si="53"/>
        <v>34115.932868949858</v>
      </c>
      <c r="L691" s="455">
        <f t="shared" ca="1" si="54"/>
        <v>8221939.8214169145</v>
      </c>
      <c r="M691" s="471">
        <f t="shared" si="56"/>
        <v>0.05</v>
      </c>
      <c r="N691" s="475">
        <f t="shared" si="57"/>
        <v>72076</v>
      </c>
    </row>
    <row r="692" spans="7:14" ht="11.25" customHeight="1" x14ac:dyDescent="0.3">
      <c r="G692" s="470">
        <f>G691+1</f>
        <v>58</v>
      </c>
      <c r="H692" s="470">
        <v>685</v>
      </c>
      <c r="I692" s="455">
        <f t="shared" ca="1" si="55"/>
        <v>8221939.8214169145</v>
      </c>
      <c r="J692" s="455">
        <f t="array" ref="J692">IFERROR(INDEX('Retirement Calculator'!J:J,MATCH('Isaac 401k'!N692,'Retirement Calculator'!A:A,0),0),0)</f>
        <v>6404.7404596389215</v>
      </c>
      <c r="K692" s="455">
        <f t="shared" ca="1" si="53"/>
        <v>34231.396170655316</v>
      </c>
      <c r="L692" s="455">
        <f t="shared" ca="1" si="54"/>
        <v>8249766.4771279311</v>
      </c>
      <c r="M692" s="471">
        <f t="shared" si="56"/>
        <v>0.05</v>
      </c>
      <c r="N692" s="475">
        <f t="shared" si="57"/>
        <v>72107</v>
      </c>
    </row>
    <row r="693" spans="7:14" ht="11.25" customHeight="1" x14ac:dyDescent="0.3">
      <c r="G693" s="470">
        <f t="shared" ref="G693:G703" si="72">G692</f>
        <v>58</v>
      </c>
      <c r="H693" s="470">
        <v>686</v>
      </c>
      <c r="I693" s="455">
        <f t="shared" ca="1" si="55"/>
        <v>8249766.4771279311</v>
      </c>
      <c r="J693" s="455">
        <f t="array" ref="J693">IFERROR(INDEX('Retirement Calculator'!J:J,MATCH('Isaac 401k'!N693,'Retirement Calculator'!A:A,0),0),0)</f>
        <v>6404.7404596389215</v>
      </c>
      <c r="K693" s="455">
        <f t="shared" ca="1" si="53"/>
        <v>34347.340569451218</v>
      </c>
      <c r="L693" s="455">
        <f t="shared" ca="1" si="54"/>
        <v>8277709.0772377439</v>
      </c>
      <c r="M693" s="471">
        <f t="shared" si="56"/>
        <v>0.05</v>
      </c>
      <c r="N693" s="475">
        <f t="shared" si="57"/>
        <v>72137</v>
      </c>
    </row>
    <row r="694" spans="7:14" ht="11.25" customHeight="1" x14ac:dyDescent="0.3">
      <c r="G694" s="470">
        <f t="shared" si="72"/>
        <v>58</v>
      </c>
      <c r="H694" s="470">
        <v>687</v>
      </c>
      <c r="I694" s="455">
        <f t="shared" ca="1" si="55"/>
        <v>8277709.0772377439</v>
      </c>
      <c r="J694" s="455">
        <f t="array" ref="J694">IFERROR(INDEX('Retirement Calculator'!J:J,MATCH('Isaac 401k'!N694,'Retirement Calculator'!A:A,0),0),0)</f>
        <v>6404.7404596389215</v>
      </c>
      <c r="K694" s="455">
        <f t="shared" ca="1" si="53"/>
        <v>34463.768069908765</v>
      </c>
      <c r="L694" s="455">
        <f t="shared" ca="1" si="54"/>
        <v>8305768.1048480142</v>
      </c>
      <c r="M694" s="471">
        <f t="shared" si="56"/>
        <v>0.05</v>
      </c>
      <c r="N694" s="475">
        <f t="shared" si="57"/>
        <v>72168</v>
      </c>
    </row>
    <row r="695" spans="7:14" ht="11.25" customHeight="1" x14ac:dyDescent="0.3">
      <c r="G695" s="470">
        <f t="shared" si="72"/>
        <v>58</v>
      </c>
      <c r="H695" s="470">
        <v>688</v>
      </c>
      <c r="I695" s="455">
        <f t="shared" ca="1" si="55"/>
        <v>8305768.1048480142</v>
      </c>
      <c r="J695" s="455">
        <f t="array" ref="J695">IFERROR(INDEX('Retirement Calculator'!J:J,MATCH('Isaac 401k'!N695,'Retirement Calculator'!A:A,0),0),0)</f>
        <v>6404.7404596389215</v>
      </c>
      <c r="K695" s="455">
        <f t="shared" ca="1" si="53"/>
        <v>34580.680684951563</v>
      </c>
      <c r="L695" s="455">
        <f t="shared" ca="1" si="54"/>
        <v>8333944.0450733267</v>
      </c>
      <c r="M695" s="471">
        <f t="shared" si="56"/>
        <v>0.05</v>
      </c>
      <c r="N695" s="475">
        <f t="shared" si="57"/>
        <v>72199</v>
      </c>
    </row>
    <row r="696" spans="7:14" ht="11.25" customHeight="1" x14ac:dyDescent="0.3">
      <c r="G696" s="470">
        <f t="shared" si="72"/>
        <v>58</v>
      </c>
      <c r="H696" s="470">
        <v>689</v>
      </c>
      <c r="I696" s="455">
        <f t="shared" ca="1" si="55"/>
        <v>8333944.0450733267</v>
      </c>
      <c r="J696" s="455">
        <f t="array" ref="J696">IFERROR(INDEX('Retirement Calculator'!J:J,MATCH('Isaac 401k'!N696,'Retirement Calculator'!A:A,0),0),0)</f>
        <v>6404.7404596389215</v>
      </c>
      <c r="K696" s="455">
        <f t="shared" ca="1" si="53"/>
        <v>34698.08043589037</v>
      </c>
      <c r="L696" s="455">
        <f t="shared" ca="1" si="54"/>
        <v>8362237.3850495787</v>
      </c>
      <c r="M696" s="471">
        <f t="shared" si="56"/>
        <v>0.05</v>
      </c>
      <c r="N696" s="475">
        <f t="shared" si="57"/>
        <v>72229</v>
      </c>
    </row>
    <row r="697" spans="7:14" ht="11.25" customHeight="1" x14ac:dyDescent="0.3">
      <c r="G697" s="470">
        <f t="shared" si="72"/>
        <v>58</v>
      </c>
      <c r="H697" s="470">
        <v>690</v>
      </c>
      <c r="I697" s="455">
        <f t="shared" ca="1" si="55"/>
        <v>8362237.3850495787</v>
      </c>
      <c r="J697" s="455">
        <f t="array" ref="J697">IFERROR(INDEX('Retirement Calculator'!J:J,MATCH('Isaac 401k'!N697,'Retirement Calculator'!A:A,0),0),0)</f>
        <v>6404.7404596389215</v>
      </c>
      <c r="K697" s="455">
        <f t="shared" ca="1" si="53"/>
        <v>34815.96935245808</v>
      </c>
      <c r="L697" s="455">
        <f t="shared" ca="1" si="54"/>
        <v>8390648.6139423978</v>
      </c>
      <c r="M697" s="471">
        <f t="shared" si="56"/>
        <v>0.05</v>
      </c>
      <c r="N697" s="475">
        <f t="shared" si="57"/>
        <v>72260</v>
      </c>
    </row>
    <row r="698" spans="7:14" ht="11.25" customHeight="1" x14ac:dyDescent="0.3">
      <c r="G698" s="470">
        <f t="shared" si="72"/>
        <v>58</v>
      </c>
      <c r="H698" s="470">
        <v>691</v>
      </c>
      <c r="I698" s="455">
        <f t="shared" ca="1" si="55"/>
        <v>8390648.6139423978</v>
      </c>
      <c r="J698" s="455">
        <f t="array" ref="J698">IFERROR(INDEX('Retirement Calculator'!J:J,MATCH('Isaac 401k'!N698,'Retirement Calculator'!A:A,0),0),0)</f>
        <v>6404.7404596389215</v>
      </c>
      <c r="K698" s="455">
        <f t="shared" ca="1" si="53"/>
        <v>34934.349472844828</v>
      </c>
      <c r="L698" s="455">
        <f t="shared" ca="1" si="54"/>
        <v>8419178.2229556032</v>
      </c>
      <c r="M698" s="471">
        <f t="shared" si="56"/>
        <v>0.05</v>
      </c>
      <c r="N698" s="475">
        <f t="shared" si="57"/>
        <v>72290</v>
      </c>
    </row>
    <row r="699" spans="7:14" ht="11.25" customHeight="1" x14ac:dyDescent="0.3">
      <c r="G699" s="470">
        <f t="shared" si="72"/>
        <v>58</v>
      </c>
      <c r="H699" s="470">
        <v>692</v>
      </c>
      <c r="I699" s="455">
        <f t="shared" ca="1" si="55"/>
        <v>8419178.2229556032</v>
      </c>
      <c r="J699" s="455">
        <f t="array" ref="J699">IFERROR(INDEX('Retirement Calculator'!J:J,MATCH('Isaac 401k'!N699,'Retirement Calculator'!A:A,0),0),0)</f>
        <v>6404.7404596389215</v>
      </c>
      <c r="K699" s="455">
        <f t="shared" ca="1" si="53"/>
        <v>35053.22284373318</v>
      </c>
      <c r="L699" s="455">
        <f t="shared" ca="1" si="54"/>
        <v>8447826.7053396963</v>
      </c>
      <c r="M699" s="471">
        <f t="shared" si="56"/>
        <v>0.05</v>
      </c>
      <c r="N699" s="475">
        <f t="shared" si="57"/>
        <v>72321</v>
      </c>
    </row>
    <row r="700" spans="7:14" ht="11.25" customHeight="1" x14ac:dyDescent="0.3">
      <c r="G700" s="470">
        <f t="shared" si="72"/>
        <v>58</v>
      </c>
      <c r="H700" s="470">
        <v>693</v>
      </c>
      <c r="I700" s="455">
        <f t="shared" ca="1" si="55"/>
        <v>8447826.7053396963</v>
      </c>
      <c r="J700" s="455">
        <f t="array" ref="J700">IFERROR(INDEX('Retirement Calculator'!J:J,MATCH('Isaac 401k'!N700,'Retirement Calculator'!A:A,0),0),0)</f>
        <v>6404.7404596389215</v>
      </c>
      <c r="K700" s="455">
        <f t="shared" ca="1" si="53"/>
        <v>35172.591520333568</v>
      </c>
      <c r="L700" s="455">
        <f t="shared" ca="1" si="54"/>
        <v>8476594.5564003903</v>
      </c>
      <c r="M700" s="471">
        <f t="shared" si="56"/>
        <v>0.05</v>
      </c>
      <c r="N700" s="475">
        <f t="shared" si="57"/>
        <v>72352</v>
      </c>
    </row>
    <row r="701" spans="7:14" ht="11.25" customHeight="1" x14ac:dyDescent="0.3">
      <c r="G701" s="470">
        <f t="shared" si="72"/>
        <v>58</v>
      </c>
      <c r="H701" s="470">
        <v>694</v>
      </c>
      <c r="I701" s="455">
        <f t="shared" ca="1" si="55"/>
        <v>8476594.5564003903</v>
      </c>
      <c r="J701" s="455">
        <f t="array" ref="J701">IFERROR(INDEX('Retirement Calculator'!J:J,MATCH('Isaac 401k'!N701,'Retirement Calculator'!A:A,0),0),0)</f>
        <v>6404.7404596389215</v>
      </c>
      <c r="K701" s="455">
        <f t="shared" ca="1" si="53"/>
        <v>35292.457566419791</v>
      </c>
      <c r="L701" s="455">
        <f t="shared" ca="1" si="54"/>
        <v>8505482.2735071704</v>
      </c>
      <c r="M701" s="471">
        <f t="shared" si="56"/>
        <v>0.05</v>
      </c>
      <c r="N701" s="475">
        <f t="shared" si="57"/>
        <v>72380</v>
      </c>
    </row>
    <row r="702" spans="7:14" ht="11.25" customHeight="1" x14ac:dyDescent="0.3">
      <c r="G702" s="470">
        <f t="shared" si="72"/>
        <v>58</v>
      </c>
      <c r="H702" s="470">
        <v>695</v>
      </c>
      <c r="I702" s="455">
        <f t="shared" ca="1" si="55"/>
        <v>8505482.2735071704</v>
      </c>
      <c r="J702" s="455">
        <f t="array" ref="J702">IFERROR(INDEX('Retirement Calculator'!J:J,MATCH('Isaac 401k'!N702,'Retirement Calculator'!A:A,0),0),0)</f>
        <v>6404.7404596389215</v>
      </c>
      <c r="K702" s="455">
        <f t="shared" ca="1" si="53"/>
        <v>35412.823054364708</v>
      </c>
      <c r="L702" s="455">
        <f t="shared" ca="1" si="54"/>
        <v>8534490.3561018948</v>
      </c>
      <c r="M702" s="471">
        <f t="shared" si="56"/>
        <v>0.05</v>
      </c>
      <c r="N702" s="475">
        <f t="shared" si="57"/>
        <v>72411</v>
      </c>
    </row>
    <row r="703" spans="7:14" ht="11.25" customHeight="1" x14ac:dyDescent="0.3">
      <c r="G703" s="470">
        <f t="shared" si="72"/>
        <v>58</v>
      </c>
      <c r="H703" s="470">
        <v>696</v>
      </c>
      <c r="I703" s="455">
        <f t="shared" ca="1" si="55"/>
        <v>8534490.3561018948</v>
      </c>
      <c r="J703" s="455">
        <f t="array" ref="J703">IFERROR(INDEX('Retirement Calculator'!J:J,MATCH('Isaac 401k'!N703,'Retirement Calculator'!A:A,0),0),0)</f>
        <v>6404.7404596389215</v>
      </c>
      <c r="K703" s="455">
        <f t="shared" ca="1" si="53"/>
        <v>35533.690065176066</v>
      </c>
      <c r="L703" s="455">
        <f t="shared" ca="1" si="54"/>
        <v>8563619.3057074305</v>
      </c>
      <c r="M703" s="471">
        <f t="shared" si="56"/>
        <v>0.05</v>
      </c>
      <c r="N703" s="475">
        <f t="shared" si="57"/>
        <v>72441</v>
      </c>
    </row>
    <row r="704" spans="7:14" ht="11.25" customHeight="1" x14ac:dyDescent="0.3">
      <c r="G704" s="470">
        <f>G703+1</f>
        <v>59</v>
      </c>
      <c r="H704" s="470">
        <v>697</v>
      </c>
      <c r="I704" s="455">
        <f t="shared" ca="1" si="55"/>
        <v>8563619.3057074305</v>
      </c>
      <c r="J704" s="455">
        <f t="array" ref="J704">IFERROR(INDEX('Retirement Calculator'!J:J,MATCH('Isaac 401k'!N704,'Retirement Calculator'!A:A,0),0),0)</f>
        <v>6404.7404596389215</v>
      </c>
      <c r="K704" s="455">
        <f t="shared" ca="1" si="53"/>
        <v>35655.06068853246</v>
      </c>
      <c r="L704" s="455">
        <f t="shared" ca="1" si="54"/>
        <v>8592869.6259363238</v>
      </c>
      <c r="M704" s="471">
        <f t="shared" si="56"/>
        <v>0.05</v>
      </c>
      <c r="N704" s="475">
        <f t="shared" si="57"/>
        <v>72472</v>
      </c>
    </row>
    <row r="705" spans="7:14" ht="11.25" customHeight="1" x14ac:dyDescent="0.3">
      <c r="G705" s="470">
        <f t="shared" ref="G705:G715" si="73">G704</f>
        <v>59</v>
      </c>
      <c r="H705" s="470">
        <v>698</v>
      </c>
      <c r="I705" s="455">
        <f t="shared" ca="1" si="55"/>
        <v>8592869.6259363238</v>
      </c>
      <c r="J705" s="455">
        <f t="array" ref="J705">IFERROR(INDEX('Retirement Calculator'!J:J,MATCH('Isaac 401k'!N705,'Retirement Calculator'!A:A,0),0),0)</f>
        <v>6404.7404596389215</v>
      </c>
      <c r="K705" s="455">
        <f t="shared" ca="1" si="53"/>
        <v>35776.937022819518</v>
      </c>
      <c r="L705" s="455">
        <f t="shared" ca="1" si="54"/>
        <v>8622241.8224995043</v>
      </c>
      <c r="M705" s="471">
        <f t="shared" si="56"/>
        <v>0.05</v>
      </c>
      <c r="N705" s="475">
        <f t="shared" si="57"/>
        <v>72502</v>
      </c>
    </row>
    <row r="706" spans="7:14" ht="11.25" customHeight="1" x14ac:dyDescent="0.3">
      <c r="G706" s="470">
        <f t="shared" si="73"/>
        <v>59</v>
      </c>
      <c r="H706" s="470">
        <v>699</v>
      </c>
      <c r="I706" s="455">
        <f t="shared" ca="1" si="55"/>
        <v>8622241.8224995043</v>
      </c>
      <c r="J706" s="455">
        <f t="array" ref="J706">IFERROR(INDEX('Retirement Calculator'!J:J,MATCH('Isaac 401k'!N706,'Retirement Calculator'!A:A,0),0),0)</f>
        <v>6404.7404596389215</v>
      </c>
      <c r="K706" s="455">
        <f t="shared" ca="1" si="53"/>
        <v>35899.3211751661</v>
      </c>
      <c r="L706" s="455">
        <f t="shared" ca="1" si="54"/>
        <v>8651736.4032150302</v>
      </c>
      <c r="M706" s="471">
        <f t="shared" si="56"/>
        <v>0.05</v>
      </c>
      <c r="N706" s="475">
        <f t="shared" si="57"/>
        <v>72533</v>
      </c>
    </row>
    <row r="707" spans="7:14" ht="11.25" customHeight="1" x14ac:dyDescent="0.3">
      <c r="G707" s="470">
        <f t="shared" si="73"/>
        <v>59</v>
      </c>
      <c r="H707" s="470">
        <v>700</v>
      </c>
      <c r="I707" s="455">
        <f t="shared" ca="1" si="55"/>
        <v>8651736.4032150302</v>
      </c>
      <c r="J707" s="455">
        <f t="array" ref="J707">IFERROR(INDEX('Retirement Calculator'!J:J,MATCH('Isaac 401k'!N707,'Retirement Calculator'!A:A,0),0),0)</f>
        <v>6404.7404596389215</v>
      </c>
      <c r="K707" s="455">
        <f t="shared" ca="1" si="53"/>
        <v>36022.215261480793</v>
      </c>
      <c r="L707" s="455">
        <f t="shared" ca="1" si="54"/>
        <v>8681353.8780168723</v>
      </c>
      <c r="M707" s="471">
        <f t="shared" si="56"/>
        <v>0.05</v>
      </c>
      <c r="N707" s="475">
        <f t="shared" si="57"/>
        <v>72564</v>
      </c>
    </row>
    <row r="708" spans="7:14" ht="11.25" customHeight="1" x14ac:dyDescent="0.3">
      <c r="G708" s="470">
        <f t="shared" si="73"/>
        <v>59</v>
      </c>
      <c r="H708" s="470">
        <v>701</v>
      </c>
      <c r="I708" s="455">
        <f t="shared" ca="1" si="55"/>
        <v>8681353.8780168723</v>
      </c>
      <c r="J708" s="455">
        <f t="array" ref="J708">IFERROR(INDEX('Retirement Calculator'!J:J,MATCH('Isaac 401k'!N708,'Retirement Calculator'!A:A,0),0),0)</f>
        <v>6404.7404596389215</v>
      </c>
      <c r="K708" s="455">
        <f t="shared" ca="1" si="53"/>
        <v>36145.62140648847</v>
      </c>
      <c r="L708" s="455">
        <f t="shared" ca="1" si="54"/>
        <v>8711094.7589637209</v>
      </c>
      <c r="M708" s="471">
        <f t="shared" si="56"/>
        <v>0.05</v>
      </c>
      <c r="N708" s="475">
        <f t="shared" si="57"/>
        <v>72594</v>
      </c>
    </row>
    <row r="709" spans="7:14" ht="11.25" customHeight="1" x14ac:dyDescent="0.3">
      <c r="G709" s="470">
        <f t="shared" si="73"/>
        <v>59</v>
      </c>
      <c r="H709" s="470">
        <v>702</v>
      </c>
      <c r="I709" s="455">
        <f t="shared" ca="1" si="55"/>
        <v>8711094.7589637209</v>
      </c>
      <c r="J709" s="455">
        <f t="array" ref="J709">IFERROR(INDEX('Retirement Calculator'!J:J,MATCH('Isaac 401k'!N709,'Retirement Calculator'!A:A,0),0),0)</f>
        <v>6404.7404596389215</v>
      </c>
      <c r="K709" s="455">
        <f t="shared" ca="1" si="53"/>
        <v>36269.541743767004</v>
      </c>
      <c r="L709" s="455">
        <f t="shared" ca="1" si="54"/>
        <v>8740959.5602478478</v>
      </c>
      <c r="M709" s="471">
        <f t="shared" si="56"/>
        <v>0.05</v>
      </c>
      <c r="N709" s="475">
        <f t="shared" si="57"/>
        <v>72625</v>
      </c>
    </row>
    <row r="710" spans="7:14" ht="11.25" customHeight="1" x14ac:dyDescent="0.3">
      <c r="G710" s="470">
        <f t="shared" si="73"/>
        <v>59</v>
      </c>
      <c r="H710" s="470">
        <v>703</v>
      </c>
      <c r="I710" s="455">
        <f t="shared" ca="1" si="55"/>
        <v>8740959.5602478478</v>
      </c>
      <c r="J710" s="455">
        <f t="array" ref="J710">IFERROR(INDEX('Retirement Calculator'!J:J,MATCH('Isaac 401k'!N710,'Retirement Calculator'!A:A,0),0),0)</f>
        <v>6404.7404596389215</v>
      </c>
      <c r="K710" s="455">
        <f t="shared" ca="1" si="53"/>
        <v>36393.9784157842</v>
      </c>
      <c r="L710" s="455">
        <f t="shared" ca="1" si="54"/>
        <v>8770948.7982039917</v>
      </c>
      <c r="M710" s="471">
        <f t="shared" si="56"/>
        <v>0.05</v>
      </c>
      <c r="N710" s="475">
        <f t="shared" si="57"/>
        <v>72655</v>
      </c>
    </row>
    <row r="711" spans="7:14" ht="11.25" customHeight="1" x14ac:dyDescent="0.3">
      <c r="G711" s="470">
        <f t="shared" si="73"/>
        <v>59</v>
      </c>
      <c r="H711" s="470">
        <v>704</v>
      </c>
      <c r="I711" s="455">
        <f t="shared" ca="1" si="55"/>
        <v>8770948.7982039917</v>
      </c>
      <c r="J711" s="455">
        <f t="array" ref="J711">IFERROR(INDEX('Retirement Calculator'!J:J,MATCH('Isaac 401k'!N711,'Retirement Calculator'!A:A,0),0),0)</f>
        <v>6404.7404596389215</v>
      </c>
      <c r="K711" s="455">
        <f t="shared" ca="1" si="53"/>
        <v>36518.933573934803</v>
      </c>
      <c r="L711" s="455">
        <f t="shared" ca="1" si="54"/>
        <v>8801062.9913182873</v>
      </c>
      <c r="M711" s="471">
        <f t="shared" si="56"/>
        <v>0.05</v>
      </c>
      <c r="N711" s="475">
        <f t="shared" si="57"/>
        <v>72686</v>
      </c>
    </row>
    <row r="712" spans="7:14" ht="11.25" customHeight="1" x14ac:dyDescent="0.3">
      <c r="G712" s="470">
        <f t="shared" si="73"/>
        <v>59</v>
      </c>
      <c r="H712" s="470">
        <v>705</v>
      </c>
      <c r="I712" s="455">
        <f t="shared" ca="1" si="55"/>
        <v>8801062.9913182873</v>
      </c>
      <c r="J712" s="455">
        <f t="array" ref="J712">IFERROR(INDEX('Retirement Calculator'!J:J,MATCH('Isaac 401k'!N712,'Retirement Calculator'!A:A,0),0),0)</f>
        <v>6404.7404596389215</v>
      </c>
      <c r="K712" s="455">
        <f t="shared" ca="1" si="53"/>
        <v>36644.4093785777</v>
      </c>
      <c r="L712" s="455">
        <f t="shared" ca="1" si="54"/>
        <v>8831302.6602372248</v>
      </c>
      <c r="M712" s="471">
        <f t="shared" si="56"/>
        <v>0.05</v>
      </c>
      <c r="N712" s="475">
        <f t="shared" si="57"/>
        <v>72717</v>
      </c>
    </row>
    <row r="713" spans="7:14" ht="11.25" customHeight="1" x14ac:dyDescent="0.3">
      <c r="G713" s="470">
        <f t="shared" si="73"/>
        <v>59</v>
      </c>
      <c r="H713" s="470">
        <v>706</v>
      </c>
      <c r="I713" s="455">
        <f t="shared" ca="1" si="55"/>
        <v>8831302.6602372248</v>
      </c>
      <c r="J713" s="455">
        <f t="array" ref="J713">IFERROR(INDEX('Retirement Calculator'!J:J,MATCH('Isaac 401k'!N713,'Retirement Calculator'!A:A,0),0),0)</f>
        <v>6404.7404596389215</v>
      </c>
      <c r="K713" s="455">
        <f t="shared" ca="1" si="53"/>
        <v>36770.407999073272</v>
      </c>
      <c r="L713" s="455">
        <f t="shared" ca="1" si="54"/>
        <v>8861668.3277766593</v>
      </c>
      <c r="M713" s="471">
        <f t="shared" si="56"/>
        <v>0.05</v>
      </c>
      <c r="N713" s="475">
        <f t="shared" si="57"/>
        <v>72745</v>
      </c>
    </row>
    <row r="714" spans="7:14" ht="11.25" customHeight="1" x14ac:dyDescent="0.3">
      <c r="G714" s="470">
        <f t="shared" si="73"/>
        <v>59</v>
      </c>
      <c r="H714" s="470">
        <v>707</v>
      </c>
      <c r="I714" s="455">
        <f t="shared" ca="1" si="55"/>
        <v>8861668.3277766593</v>
      </c>
      <c r="J714" s="455">
        <f t="array" ref="J714">IFERROR(INDEX('Retirement Calculator'!J:J,MATCH('Isaac 401k'!N714,'Retirement Calculator'!A:A,0),0),0)</f>
        <v>6404.7404596389215</v>
      </c>
      <c r="K714" s="455">
        <f t="shared" ca="1" si="53"/>
        <v>36896.931613820918</v>
      </c>
      <c r="L714" s="455">
        <f t="shared" ca="1" si="54"/>
        <v>8892160.5189308412</v>
      </c>
      <c r="M714" s="471">
        <f t="shared" si="56"/>
        <v>0.05</v>
      </c>
      <c r="N714" s="475">
        <f t="shared" si="57"/>
        <v>72776</v>
      </c>
    </row>
    <row r="715" spans="7:14" ht="11.25" customHeight="1" x14ac:dyDescent="0.3">
      <c r="G715" s="470">
        <f t="shared" si="73"/>
        <v>59</v>
      </c>
      <c r="H715" s="470">
        <v>708</v>
      </c>
      <c r="I715" s="455">
        <f t="shared" ca="1" si="55"/>
        <v>8892160.5189308412</v>
      </c>
      <c r="J715" s="455">
        <f t="array" ref="J715">IFERROR(INDEX('Retirement Calculator'!J:J,MATCH('Isaac 401k'!N715,'Retirement Calculator'!A:A,0),0),0)</f>
        <v>6404.7404596389215</v>
      </c>
      <c r="K715" s="455">
        <f t="shared" ca="1" si="53"/>
        <v>37023.982410296674</v>
      </c>
      <c r="L715" s="455">
        <f t="shared" ca="1" si="54"/>
        <v>8922779.7608814985</v>
      </c>
      <c r="M715" s="471">
        <f t="shared" si="56"/>
        <v>0.05</v>
      </c>
      <c r="N715" s="475">
        <f t="shared" si="57"/>
        <v>72806</v>
      </c>
    </row>
    <row r="716" spans="7:14" ht="11.25" customHeight="1" x14ac:dyDescent="0.3">
      <c r="G716" s="470">
        <f>G715+1</f>
        <v>60</v>
      </c>
      <c r="H716" s="470">
        <v>709</v>
      </c>
      <c r="I716" s="455">
        <f t="shared" ca="1" si="55"/>
        <v>8922779.7608814985</v>
      </c>
      <c r="J716" s="455">
        <f t="array" ref="J716">IFERROR(INDEX('Retirement Calculator'!J:J,MATCH('Isaac 401k'!N716,'Retirement Calculator'!A:A,0),0),0)</f>
        <v>6404.7404596389215</v>
      </c>
      <c r="K716" s="455">
        <f t="shared" ca="1" si="53"/>
        <v>37151.56258509108</v>
      </c>
      <c r="L716" s="455">
        <f t="shared" ca="1" si="54"/>
        <v>8953526.5830069501</v>
      </c>
      <c r="M716" s="471">
        <f t="shared" si="56"/>
        <v>0.05</v>
      </c>
      <c r="N716" s="475">
        <f t="shared" si="57"/>
        <v>72837</v>
      </c>
    </row>
    <row r="717" spans="7:14" ht="11.25" customHeight="1" x14ac:dyDescent="0.3">
      <c r="G717" s="470">
        <f t="shared" ref="G717:G727" si="74">G716</f>
        <v>60</v>
      </c>
      <c r="H717" s="470">
        <v>710</v>
      </c>
      <c r="I717" s="455">
        <f t="shared" ca="1" si="55"/>
        <v>8953526.5830069501</v>
      </c>
      <c r="J717" s="455">
        <f t="array" ref="J717">IFERROR(INDEX('Retirement Calculator'!J:J,MATCH('Isaac 401k'!N717,'Retirement Calculator'!A:A,0),0),0)</f>
        <v>6404.7404596389215</v>
      </c>
      <c r="K717" s="455">
        <f t="shared" ca="1" si="53"/>
        <v>37279.674343947125</v>
      </c>
      <c r="L717" s="455">
        <f t="shared" ca="1" si="54"/>
        <v>8984401.5168912578</v>
      </c>
      <c r="M717" s="471">
        <f t="shared" si="56"/>
        <v>0.05</v>
      </c>
      <c r="N717" s="475">
        <f t="shared" si="57"/>
        <v>72867</v>
      </c>
    </row>
    <row r="718" spans="7:14" ht="11.25" customHeight="1" x14ac:dyDescent="0.3">
      <c r="G718" s="470">
        <f t="shared" si="74"/>
        <v>60</v>
      </c>
      <c r="H718" s="470">
        <v>711</v>
      </c>
      <c r="I718" s="455">
        <f t="shared" ca="1" si="55"/>
        <v>8984401.5168912578</v>
      </c>
      <c r="J718" s="455">
        <f t="array" ref="J718">IFERROR(INDEX('Retirement Calculator'!J:J,MATCH('Isaac 401k'!N718,'Retirement Calculator'!A:A,0),0),0)</f>
        <v>6404.7404596389215</v>
      </c>
      <c r="K718" s="455">
        <f t="shared" ca="1" si="53"/>
        <v>37408.319901798408</v>
      </c>
      <c r="L718" s="455">
        <f t="shared" ca="1" si="54"/>
        <v>9015405.0963334162</v>
      </c>
      <c r="M718" s="471">
        <f t="shared" si="56"/>
        <v>0.05</v>
      </c>
      <c r="N718" s="475">
        <f t="shared" si="57"/>
        <v>72898</v>
      </c>
    </row>
    <row r="719" spans="7:14" ht="11.25" customHeight="1" x14ac:dyDescent="0.3">
      <c r="G719" s="470">
        <f t="shared" si="74"/>
        <v>60</v>
      </c>
      <c r="H719" s="470">
        <v>712</v>
      </c>
      <c r="I719" s="455">
        <f t="shared" ca="1" si="55"/>
        <v>9015405.0963334162</v>
      </c>
      <c r="J719" s="455">
        <f t="array" ref="J719">IFERROR(INDEX('Retirement Calculator'!J:J,MATCH('Isaac 401k'!N719,'Retirement Calculator'!A:A,0),0),0)</f>
        <v>6404.7404596389215</v>
      </c>
      <c r="K719" s="455">
        <f t="shared" ca="1" si="53"/>
        <v>37537.501482807405</v>
      </c>
      <c r="L719" s="455">
        <f t="shared" ca="1" si="54"/>
        <v>9046537.8573565837</v>
      </c>
      <c r="M719" s="471">
        <f t="shared" si="56"/>
        <v>0.05</v>
      </c>
      <c r="N719" s="475">
        <f t="shared" si="57"/>
        <v>72929</v>
      </c>
    </row>
    <row r="720" spans="7:14" ht="11.25" customHeight="1" x14ac:dyDescent="0.3">
      <c r="G720" s="470">
        <f t="shared" si="74"/>
        <v>60</v>
      </c>
      <c r="H720" s="470">
        <v>713</v>
      </c>
      <c r="I720" s="455">
        <f t="shared" ca="1" si="55"/>
        <v>9046537.8573565837</v>
      </c>
      <c r="J720" s="455">
        <f t="array" ref="J720">IFERROR(INDEX('Retirement Calculator'!J:J,MATCH('Isaac 401k'!N720,'Retirement Calculator'!A:A,0),0),0)</f>
        <v>6404.7404596389215</v>
      </c>
      <c r="K720" s="455">
        <f t="shared" ca="1" si="53"/>
        <v>37667.221320403936</v>
      </c>
      <c r="L720" s="455">
        <f t="shared" ca="1" si="54"/>
        <v>9077800.3382173479</v>
      </c>
      <c r="M720" s="471">
        <f t="shared" si="56"/>
        <v>0.05</v>
      </c>
      <c r="N720" s="475">
        <f t="shared" si="57"/>
        <v>72959</v>
      </c>
    </row>
    <row r="721" spans="7:14" ht="11.25" customHeight="1" x14ac:dyDescent="0.3">
      <c r="G721" s="470">
        <f t="shared" si="74"/>
        <v>60</v>
      </c>
      <c r="H721" s="470">
        <v>714</v>
      </c>
      <c r="I721" s="455">
        <f t="shared" ca="1" si="55"/>
        <v>9077800.3382173479</v>
      </c>
      <c r="J721" s="455">
        <f t="array" ref="J721">IFERROR(INDEX('Retirement Calculator'!J:J,MATCH('Isaac 401k'!N721,'Retirement Calculator'!A:A,0),0),0)</f>
        <v>6404.7404596389215</v>
      </c>
      <c r="K721" s="455">
        <f t="shared" ca="1" si="53"/>
        <v>37797.481657323784</v>
      </c>
      <c r="L721" s="455">
        <f t="shared" ca="1" si="54"/>
        <v>9109193.0794150326</v>
      </c>
      <c r="M721" s="471">
        <f t="shared" si="56"/>
        <v>0.05</v>
      </c>
      <c r="N721" s="475">
        <f t="shared" si="57"/>
        <v>72990</v>
      </c>
    </row>
    <row r="722" spans="7:14" ht="11.25" customHeight="1" x14ac:dyDescent="0.3">
      <c r="G722" s="470">
        <f t="shared" si="74"/>
        <v>60</v>
      </c>
      <c r="H722" s="470">
        <v>715</v>
      </c>
      <c r="I722" s="455">
        <f t="shared" ca="1" si="55"/>
        <v>9109193.0794150326</v>
      </c>
      <c r="J722" s="455">
        <f t="array" ref="J722">IFERROR(INDEX('Retirement Calculator'!J:J,MATCH('Isaac 401k'!N722,'Retirement Calculator'!A:A,0),0),0)</f>
        <v>6404.7404596389215</v>
      </c>
      <c r="K722" s="455">
        <f t="shared" ca="1" si="53"/>
        <v>37928.28474564747</v>
      </c>
      <c r="L722" s="455">
        <f t="shared" ca="1" si="54"/>
        <v>9140716.6237010397</v>
      </c>
      <c r="M722" s="471">
        <f t="shared" si="56"/>
        <v>0.05</v>
      </c>
      <c r="N722" s="475">
        <f t="shared" si="57"/>
        <v>73020</v>
      </c>
    </row>
    <row r="723" spans="7:14" ht="11.25" customHeight="1" x14ac:dyDescent="0.3">
      <c r="G723" s="470">
        <f t="shared" si="74"/>
        <v>60</v>
      </c>
      <c r="H723" s="470">
        <v>716</v>
      </c>
      <c r="I723" s="455">
        <f t="shared" ca="1" si="55"/>
        <v>9140716.6237010397</v>
      </c>
      <c r="J723" s="455">
        <f t="array" ref="J723">IFERROR(INDEX('Retirement Calculator'!J:J,MATCH('Isaac 401k'!N723,'Retirement Calculator'!A:A,0),0),0)</f>
        <v>6404.7404596389215</v>
      </c>
      <c r="K723" s="455">
        <f t="shared" ca="1" si="53"/>
        <v>38059.632846839166</v>
      </c>
      <c r="L723" s="455">
        <f t="shared" ca="1" si="54"/>
        <v>9172371.5160882398</v>
      </c>
      <c r="M723" s="471">
        <f t="shared" si="56"/>
        <v>0.05</v>
      </c>
      <c r="N723" s="475">
        <f t="shared" si="57"/>
        <v>73051</v>
      </c>
    </row>
    <row r="724" spans="7:14" ht="11.25" customHeight="1" x14ac:dyDescent="0.3">
      <c r="G724" s="470">
        <f t="shared" si="74"/>
        <v>60</v>
      </c>
      <c r="H724" s="470">
        <v>717</v>
      </c>
      <c r="I724" s="455">
        <f t="shared" ca="1" si="55"/>
        <v>9172371.5160882398</v>
      </c>
      <c r="J724" s="455">
        <f t="array" ref="J724">IFERROR(INDEX('Retirement Calculator'!J:J,MATCH('Isaac 401k'!N724,'Retirement Calculator'!A:A,0),0),0)</f>
        <v>6404.7404596389215</v>
      </c>
      <c r="K724" s="455">
        <f t="shared" ca="1" si="53"/>
        <v>38191.528231785836</v>
      </c>
      <c r="L724" s="455">
        <f t="shared" ca="1" si="54"/>
        <v>9204158.3038603868</v>
      </c>
      <c r="M724" s="471">
        <f t="shared" si="56"/>
        <v>0.05</v>
      </c>
      <c r="N724" s="475">
        <f t="shared" si="57"/>
        <v>73082</v>
      </c>
    </row>
    <row r="725" spans="7:14" ht="11.25" customHeight="1" x14ac:dyDescent="0.3">
      <c r="G725" s="470">
        <f t="shared" si="74"/>
        <v>60</v>
      </c>
      <c r="H725" s="470">
        <v>718</v>
      </c>
      <c r="I725" s="455">
        <f t="shared" ca="1" si="55"/>
        <v>9204158.3038603868</v>
      </c>
      <c r="J725" s="455">
        <f t="array" ref="J725">IFERROR(INDEX('Retirement Calculator'!J:J,MATCH('Isaac 401k'!N725,'Retirement Calculator'!A:A,0),0),0)</f>
        <v>6404.7404596389215</v>
      </c>
      <c r="K725" s="455">
        <f t="shared" ca="1" si="53"/>
        <v>38323.973180836445</v>
      </c>
      <c r="L725" s="455">
        <f t="shared" ca="1" si="54"/>
        <v>9236077.5365815833</v>
      </c>
      <c r="M725" s="471">
        <f t="shared" si="56"/>
        <v>0.05</v>
      </c>
      <c r="N725" s="475">
        <f t="shared" si="57"/>
        <v>73110</v>
      </c>
    </row>
    <row r="726" spans="7:14" ht="11.25" customHeight="1" x14ac:dyDescent="0.3">
      <c r="G726" s="470">
        <f t="shared" si="74"/>
        <v>60</v>
      </c>
      <c r="H726" s="470">
        <v>719</v>
      </c>
      <c r="I726" s="455">
        <f t="shared" ca="1" si="55"/>
        <v>9236077.5365815833</v>
      </c>
      <c r="J726" s="455">
        <f t="array" ref="J726">IFERROR(INDEX('Retirement Calculator'!J:J,MATCH('Isaac 401k'!N726,'Retirement Calculator'!A:A,0),0),0)</f>
        <v>6404.7404596389215</v>
      </c>
      <c r="K726" s="455">
        <f t="shared" ca="1" si="53"/>
        <v>38456.969983841431</v>
      </c>
      <c r="L726" s="455">
        <f t="shared" ca="1" si="54"/>
        <v>9268129.766105786</v>
      </c>
      <c r="M726" s="471">
        <f t="shared" si="56"/>
        <v>0.05</v>
      </c>
      <c r="N726" s="475">
        <f t="shared" si="57"/>
        <v>73141</v>
      </c>
    </row>
    <row r="727" spans="7:14" ht="11.25" customHeight="1" x14ac:dyDescent="0.3">
      <c r="G727" s="470">
        <f t="shared" si="74"/>
        <v>60</v>
      </c>
      <c r="H727" s="470">
        <v>720</v>
      </c>
      <c r="I727" s="455">
        <f t="shared" ca="1" si="55"/>
        <v>9268129.766105786</v>
      </c>
      <c r="J727" s="455">
        <f t="array" ref="J727">IFERROR(INDEX('Retirement Calculator'!J:J,MATCH('Isaac 401k'!N727,'Retirement Calculator'!A:A,0),0),0)</f>
        <v>6404.7404596389215</v>
      </c>
      <c r="K727" s="455">
        <f t="shared" ca="1" si="53"/>
        <v>38590.520940192277</v>
      </c>
      <c r="L727" s="455">
        <f t="shared" ca="1" si="54"/>
        <v>9300315.5465863384</v>
      </c>
      <c r="M727" s="471">
        <f t="shared" si="56"/>
        <v>0.05</v>
      </c>
      <c r="N727" s="475">
        <f t="shared" si="57"/>
        <v>73171</v>
      </c>
    </row>
    <row r="728" spans="7:14" ht="11.25" customHeight="1" x14ac:dyDescent="0.3">
      <c r="G728" s="470">
        <f>G727+1</f>
        <v>61</v>
      </c>
      <c r="H728" s="470">
        <v>721</v>
      </c>
      <c r="I728" s="455">
        <f t="shared" ca="1" si="55"/>
        <v>9300315.5465863384</v>
      </c>
      <c r="J728" s="455">
        <f t="array" ref="J728">IFERROR(INDEX('Retirement Calculator'!J:J,MATCH('Isaac 401k'!N728,'Retirement Calculator'!A:A,0),0),0)</f>
        <v>6404.7404596389215</v>
      </c>
      <c r="K728" s="455">
        <f t="shared" ca="1" si="53"/>
        <v>38724.628358861242</v>
      </c>
      <c r="L728" s="455">
        <f t="shared" ca="1" si="54"/>
        <v>9332635.4344855603</v>
      </c>
      <c r="M728" s="471">
        <f t="shared" si="56"/>
        <v>0.05</v>
      </c>
      <c r="N728" s="475">
        <f t="shared" si="57"/>
        <v>73202</v>
      </c>
    </row>
    <row r="729" spans="7:14" ht="11.25" customHeight="1" x14ac:dyDescent="0.3">
      <c r="G729" s="470">
        <f t="shared" ref="G729:G739" si="75">G728</f>
        <v>61</v>
      </c>
      <c r="H729" s="470">
        <v>722</v>
      </c>
      <c r="I729" s="455">
        <f t="shared" ca="1" si="55"/>
        <v>9332635.4344855603</v>
      </c>
      <c r="J729" s="455">
        <f t="array" ref="J729">IFERROR(INDEX('Retirement Calculator'!J:J,MATCH('Isaac 401k'!N729,'Retirement Calculator'!A:A,0),0),0)</f>
        <v>6404.7404596389215</v>
      </c>
      <c r="K729" s="455">
        <f t="shared" ca="1" si="53"/>
        <v>38859.294558441339</v>
      </c>
      <c r="L729" s="455">
        <f t="shared" ca="1" si="54"/>
        <v>9365089.988584362</v>
      </c>
      <c r="M729" s="471">
        <f t="shared" si="56"/>
        <v>0.05</v>
      </c>
      <c r="N729" s="475">
        <f t="shared" si="57"/>
        <v>73232</v>
      </c>
    </row>
    <row r="730" spans="7:14" ht="11.25" customHeight="1" x14ac:dyDescent="0.3">
      <c r="G730" s="470">
        <f t="shared" si="75"/>
        <v>61</v>
      </c>
      <c r="H730" s="470">
        <v>723</v>
      </c>
      <c r="I730" s="455">
        <f t="shared" ca="1" si="55"/>
        <v>9365089.988584362</v>
      </c>
      <c r="J730" s="455">
        <f t="array" ref="J730">IFERROR(INDEX('Retirement Calculator'!J:J,MATCH('Isaac 401k'!N730,'Retirement Calculator'!A:A,0),0),0)</f>
        <v>6404.7404596389215</v>
      </c>
      <c r="K730" s="455">
        <f t="shared" ca="1" si="53"/>
        <v>38994.52186718634</v>
      </c>
      <c r="L730" s="455">
        <f t="shared" ca="1" si="54"/>
        <v>9397679.7699919082</v>
      </c>
      <c r="M730" s="471">
        <f t="shared" si="56"/>
        <v>0.05</v>
      </c>
      <c r="N730" s="475">
        <f t="shared" si="57"/>
        <v>73263</v>
      </c>
    </row>
    <row r="731" spans="7:14" ht="11.25" customHeight="1" x14ac:dyDescent="0.3">
      <c r="G731" s="470">
        <f t="shared" si="75"/>
        <v>61</v>
      </c>
      <c r="H731" s="470">
        <v>724</v>
      </c>
      <c r="I731" s="455">
        <f t="shared" ca="1" si="55"/>
        <v>9397679.7699919082</v>
      </c>
      <c r="J731" s="455">
        <f t="array" ref="J731">IFERROR(INDEX('Retirement Calculator'!J:J,MATCH('Isaac 401k'!N731,'Retirement Calculator'!A:A,0),0),0)</f>
        <v>6404.7404596389215</v>
      </c>
      <c r="K731" s="455">
        <f t="shared" ca="1" si="53"/>
        <v>39130.312623051119</v>
      </c>
      <c r="L731" s="455">
        <f t="shared" ca="1" si="54"/>
        <v>9430405.3421553206</v>
      </c>
      <c r="M731" s="471">
        <f t="shared" si="56"/>
        <v>0.05</v>
      </c>
      <c r="N731" s="475">
        <f t="shared" si="57"/>
        <v>73294</v>
      </c>
    </row>
    <row r="732" spans="7:14" ht="11.25" customHeight="1" x14ac:dyDescent="0.3">
      <c r="G732" s="470">
        <f t="shared" si="75"/>
        <v>61</v>
      </c>
      <c r="H732" s="470">
        <v>725</v>
      </c>
      <c r="I732" s="455">
        <f t="shared" ca="1" si="55"/>
        <v>9430405.3421553206</v>
      </c>
      <c r="J732" s="455">
        <f t="array" ref="J732">IFERROR(INDEX('Retirement Calculator'!J:J,MATCH('Isaac 401k'!N732,'Retirement Calculator'!A:A,0),0),0)</f>
        <v>6404.7404596389215</v>
      </c>
      <c r="K732" s="455">
        <f t="shared" ca="1" si="53"/>
        <v>39266.669173732007</v>
      </c>
      <c r="L732" s="455">
        <f t="shared" ca="1" si="54"/>
        <v>9463267.2708694134</v>
      </c>
      <c r="M732" s="471">
        <f t="shared" si="56"/>
        <v>0.05</v>
      </c>
      <c r="N732" s="475">
        <f t="shared" si="57"/>
        <v>73324</v>
      </c>
    </row>
    <row r="733" spans="7:14" ht="11.25" customHeight="1" x14ac:dyDescent="0.3">
      <c r="G733" s="470">
        <f t="shared" si="75"/>
        <v>61</v>
      </c>
      <c r="H733" s="470">
        <v>726</v>
      </c>
      <c r="I733" s="455">
        <f t="shared" ca="1" si="55"/>
        <v>9463267.2708694134</v>
      </c>
      <c r="J733" s="455">
        <f t="array" ref="J733">IFERROR(INDEX('Retirement Calculator'!J:J,MATCH('Isaac 401k'!N733,'Retirement Calculator'!A:A,0),0),0)</f>
        <v>6404.7404596389215</v>
      </c>
      <c r="K733" s="455">
        <f t="shared" ca="1" si="53"/>
        <v>39403.593876707389</v>
      </c>
      <c r="L733" s="455">
        <f t="shared" ca="1" si="54"/>
        <v>9496266.1242864821</v>
      </c>
      <c r="M733" s="471">
        <f t="shared" si="56"/>
        <v>0.05</v>
      </c>
      <c r="N733" s="475">
        <f t="shared" si="57"/>
        <v>73355</v>
      </c>
    </row>
    <row r="734" spans="7:14" ht="11.25" customHeight="1" x14ac:dyDescent="0.3">
      <c r="G734" s="470">
        <f t="shared" si="75"/>
        <v>61</v>
      </c>
      <c r="H734" s="470">
        <v>727</v>
      </c>
      <c r="I734" s="455">
        <f t="shared" ca="1" si="55"/>
        <v>9496266.1242864821</v>
      </c>
      <c r="J734" s="455">
        <f t="array" ref="J734">IFERROR(INDEX('Retirement Calculator'!J:J,MATCH('Isaac 401k'!N734,'Retirement Calculator'!A:A,0),0),0)</f>
        <v>6404.7404596389215</v>
      </c>
      <c r="K734" s="455">
        <f t="shared" ca="1" si="53"/>
        <v>39541.089099278513</v>
      </c>
      <c r="L734" s="455">
        <f t="shared" ca="1" si="54"/>
        <v>9529402.4729261212</v>
      </c>
      <c r="M734" s="471">
        <f t="shared" si="56"/>
        <v>0.05</v>
      </c>
      <c r="N734" s="475">
        <f t="shared" si="57"/>
        <v>73385</v>
      </c>
    </row>
    <row r="735" spans="7:14" ht="11.25" customHeight="1" x14ac:dyDescent="0.3">
      <c r="G735" s="470">
        <f t="shared" si="75"/>
        <v>61</v>
      </c>
      <c r="H735" s="470">
        <v>728</v>
      </c>
      <c r="I735" s="455">
        <f t="shared" ca="1" si="55"/>
        <v>9529402.4729261212</v>
      </c>
      <c r="J735" s="455">
        <f t="array" ref="J735">IFERROR(INDEX('Retirement Calculator'!J:J,MATCH('Isaac 401k'!N735,'Retirement Calculator'!A:A,0),0),0)</f>
        <v>6404.7404596389215</v>
      </c>
      <c r="K735" s="455">
        <f t="shared" ca="1" si="53"/>
        <v>39679.157218610337</v>
      </c>
      <c r="L735" s="455">
        <f t="shared" ca="1" si="54"/>
        <v>9562676.8896850925</v>
      </c>
      <c r="M735" s="471">
        <f t="shared" si="56"/>
        <v>0.05</v>
      </c>
      <c r="N735" s="475">
        <f t="shared" si="57"/>
        <v>73416</v>
      </c>
    </row>
    <row r="736" spans="7:14" ht="11.25" customHeight="1" x14ac:dyDescent="0.3">
      <c r="G736" s="470">
        <f t="shared" si="75"/>
        <v>61</v>
      </c>
      <c r="H736" s="470">
        <v>729</v>
      </c>
      <c r="I736" s="455">
        <f t="shared" ca="1" si="55"/>
        <v>9562676.8896850925</v>
      </c>
      <c r="J736" s="455">
        <f t="array" ref="J736">IFERROR(INDEX('Retirement Calculator'!J:J,MATCH('Isaac 401k'!N736,'Retirement Calculator'!A:A,0),0),0)</f>
        <v>6404.7404596389215</v>
      </c>
      <c r="K736" s="455">
        <f t="shared" ca="1" si="53"/>
        <v>39817.800621772723</v>
      </c>
      <c r="L736" s="455">
        <f t="shared" ca="1" si="54"/>
        <v>9596089.9498472251</v>
      </c>
      <c r="M736" s="471">
        <f t="shared" si="56"/>
        <v>0.05</v>
      </c>
      <c r="N736" s="475">
        <f t="shared" si="57"/>
        <v>73447</v>
      </c>
    </row>
    <row r="737" spans="7:14" ht="11.25" customHeight="1" x14ac:dyDescent="0.3">
      <c r="G737" s="470">
        <f t="shared" si="75"/>
        <v>61</v>
      </c>
      <c r="H737" s="470">
        <v>730</v>
      </c>
      <c r="I737" s="455">
        <f t="shared" ca="1" si="55"/>
        <v>9596089.9498472251</v>
      </c>
      <c r="J737" s="455">
        <f t="array" ref="J737">IFERROR(INDEX('Retirement Calculator'!J:J,MATCH('Isaac 401k'!N737,'Retirement Calculator'!A:A,0),0),0)</f>
        <v>6404.7404596389215</v>
      </c>
      <c r="K737" s="455">
        <f t="shared" ca="1" si="53"/>
        <v>39957.021705781604</v>
      </c>
      <c r="L737" s="455">
        <f t="shared" ca="1" si="54"/>
        <v>9629642.2310933676</v>
      </c>
      <c r="M737" s="471">
        <f t="shared" si="56"/>
        <v>0.05</v>
      </c>
      <c r="N737" s="475">
        <f t="shared" si="57"/>
        <v>73475</v>
      </c>
    </row>
    <row r="738" spans="7:14" ht="11.25" customHeight="1" x14ac:dyDescent="0.3">
      <c r="G738" s="470">
        <f t="shared" si="75"/>
        <v>61</v>
      </c>
      <c r="H738" s="470">
        <v>731</v>
      </c>
      <c r="I738" s="455">
        <f t="shared" ca="1" si="55"/>
        <v>9629642.2310933676</v>
      </c>
      <c r="J738" s="455">
        <f t="array" ref="J738">IFERROR(INDEX('Retirement Calculator'!J:J,MATCH('Isaac 401k'!N738,'Retirement Calculator'!A:A,0),0),0)</f>
        <v>6404.7404596389215</v>
      </c>
      <c r="K738" s="455">
        <f t="shared" ca="1" si="53"/>
        <v>40096.82287764053</v>
      </c>
      <c r="L738" s="455">
        <f t="shared" ca="1" si="54"/>
        <v>9663334.3135113679</v>
      </c>
      <c r="M738" s="471">
        <f t="shared" si="56"/>
        <v>0.05</v>
      </c>
      <c r="N738" s="475">
        <f t="shared" si="57"/>
        <v>73506</v>
      </c>
    </row>
    <row r="739" spans="7:14" ht="11.25" customHeight="1" x14ac:dyDescent="0.3">
      <c r="G739" s="470">
        <f t="shared" si="75"/>
        <v>61</v>
      </c>
      <c r="H739" s="470">
        <v>732</v>
      </c>
      <c r="I739" s="455">
        <f t="shared" ca="1" si="55"/>
        <v>9663334.3135113679</v>
      </c>
      <c r="J739" s="455">
        <f t="array" ref="J739">IFERROR(INDEX('Retirement Calculator'!J:J,MATCH('Isaac 401k'!N739,'Retirement Calculator'!A:A,0),0),0)</f>
        <v>6404.7404596389215</v>
      </c>
      <c r="K739" s="455">
        <f t="shared" ca="1" si="53"/>
        <v>40237.206554382203</v>
      </c>
      <c r="L739" s="455">
        <f t="shared" ca="1" si="54"/>
        <v>9697166.7796061113</v>
      </c>
      <c r="M739" s="471">
        <f t="shared" si="56"/>
        <v>0.05</v>
      </c>
      <c r="N739" s="475">
        <f t="shared" si="57"/>
        <v>73536</v>
      </c>
    </row>
    <row r="740" spans="7:14" ht="11.25" customHeight="1" x14ac:dyDescent="0.3">
      <c r="G740" s="470">
        <f>G739+1</f>
        <v>62</v>
      </c>
      <c r="H740" s="470">
        <v>733</v>
      </c>
      <c r="I740" s="455">
        <f t="shared" ca="1" si="55"/>
        <v>9697166.7796061113</v>
      </c>
      <c r="J740" s="455">
        <f t="array" ref="J740">IFERROR(INDEX('Retirement Calculator'!J:J,MATCH('Isaac 401k'!N740,'Retirement Calculator'!A:A,0),0),0)</f>
        <v>6404.7404596389215</v>
      </c>
      <c r="K740" s="455">
        <f t="shared" ca="1" si="53"/>
        <v>40378.175163110296</v>
      </c>
      <c r="L740" s="455">
        <f t="shared" ca="1" si="54"/>
        <v>9731140.2143095825</v>
      </c>
      <c r="M740" s="471">
        <f t="shared" si="56"/>
        <v>0.05</v>
      </c>
      <c r="N740" s="475">
        <f t="shared" si="57"/>
        <v>73567</v>
      </c>
    </row>
    <row r="741" spans="7:14" ht="11.25" customHeight="1" x14ac:dyDescent="0.3">
      <c r="G741" s="470">
        <f t="shared" ref="G741:G751" si="76">G740</f>
        <v>62</v>
      </c>
      <c r="H741" s="470">
        <v>734</v>
      </c>
      <c r="I741" s="455">
        <f t="shared" ca="1" si="55"/>
        <v>9731140.2143095825</v>
      </c>
      <c r="J741" s="455">
        <f t="array" ref="J741">IFERROR(INDEX('Retirement Calculator'!J:J,MATCH('Isaac 401k'!N741,'Retirement Calculator'!A:A,0),0),0)</f>
        <v>6404.7404596389215</v>
      </c>
      <c r="K741" s="455">
        <f t="shared" ca="1" si="53"/>
        <v>40519.731141041426</v>
      </c>
      <c r="L741" s="455">
        <f t="shared" ca="1" si="54"/>
        <v>9765255.2049909849</v>
      </c>
      <c r="M741" s="471">
        <f t="shared" si="56"/>
        <v>0.05</v>
      </c>
      <c r="N741" s="475">
        <f t="shared" si="57"/>
        <v>73597</v>
      </c>
    </row>
    <row r="742" spans="7:14" ht="11.25" customHeight="1" x14ac:dyDescent="0.3">
      <c r="G742" s="470">
        <f t="shared" si="76"/>
        <v>62</v>
      </c>
      <c r="H742" s="470">
        <v>735</v>
      </c>
      <c r="I742" s="455">
        <f t="shared" ca="1" si="55"/>
        <v>9765255.2049909849</v>
      </c>
      <c r="J742" s="455">
        <f t="array" ref="J742">IFERROR(INDEX('Retirement Calculator'!J:J,MATCH('Isaac 401k'!N742,'Retirement Calculator'!A:A,0),0),0)</f>
        <v>6404.7404596389215</v>
      </c>
      <c r="K742" s="455">
        <f t="shared" ca="1" si="53"/>
        <v>40661.876935547269</v>
      </c>
      <c r="L742" s="455">
        <f t="shared" ca="1" si="54"/>
        <v>9799512.3414668925</v>
      </c>
      <c r="M742" s="471">
        <f t="shared" si="56"/>
        <v>0.05</v>
      </c>
      <c r="N742" s="475">
        <f t="shared" si="57"/>
        <v>73628</v>
      </c>
    </row>
    <row r="743" spans="7:14" ht="11.25" customHeight="1" x14ac:dyDescent="0.3">
      <c r="G743" s="470">
        <f t="shared" si="76"/>
        <v>62</v>
      </c>
      <c r="H743" s="470">
        <v>736</v>
      </c>
      <c r="I743" s="455">
        <f t="shared" ca="1" si="55"/>
        <v>9799512.3414668925</v>
      </c>
      <c r="J743" s="455">
        <f t="array" ref="J743">IFERROR(INDEX('Retirement Calculator'!J:J,MATCH('Isaac 401k'!N743,'Retirement Calculator'!A:A,0),0),0)</f>
        <v>6404.7404596389215</v>
      </c>
      <c r="K743" s="455">
        <f t="shared" ca="1" si="53"/>
        <v>40804.615004196887</v>
      </c>
      <c r="L743" s="455">
        <f t="shared" ca="1" si="54"/>
        <v>9833912.2160114497</v>
      </c>
      <c r="M743" s="471">
        <f t="shared" si="56"/>
        <v>0.05</v>
      </c>
      <c r="N743" s="475">
        <f t="shared" si="57"/>
        <v>73659</v>
      </c>
    </row>
    <row r="744" spans="7:14" ht="11.25" customHeight="1" x14ac:dyDescent="0.3">
      <c r="G744" s="470">
        <f t="shared" si="76"/>
        <v>62</v>
      </c>
      <c r="H744" s="470">
        <v>737</v>
      </c>
      <c r="I744" s="455">
        <f t="shared" ca="1" si="55"/>
        <v>9833912.2160114497</v>
      </c>
      <c r="J744" s="455">
        <f t="array" ref="J744">IFERROR(INDEX('Retirement Calculator'!J:J,MATCH('Isaac 401k'!N744,'Retirement Calculator'!A:A,0),0),0)</f>
        <v>6404.7404596389215</v>
      </c>
      <c r="K744" s="455">
        <f t="shared" ca="1" si="53"/>
        <v>40947.947814799205</v>
      </c>
      <c r="L744" s="455">
        <f t="shared" ca="1" si="54"/>
        <v>9868455.42336661</v>
      </c>
      <c r="M744" s="471">
        <f t="shared" si="56"/>
        <v>0.05</v>
      </c>
      <c r="N744" s="475">
        <f t="shared" si="57"/>
        <v>73689</v>
      </c>
    </row>
    <row r="745" spans="7:14" ht="11.25" customHeight="1" x14ac:dyDescent="0.3">
      <c r="G745" s="470">
        <f t="shared" si="76"/>
        <v>62</v>
      </c>
      <c r="H745" s="470">
        <v>738</v>
      </c>
      <c r="I745" s="455">
        <f t="shared" ca="1" si="55"/>
        <v>9868455.42336661</v>
      </c>
      <c r="J745" s="455">
        <f t="array" ref="J745">IFERROR(INDEX('Retirement Calculator'!J:J,MATCH('Isaac 401k'!N745,'Retirement Calculator'!A:A,0),0),0)</f>
        <v>6404.7404596389215</v>
      </c>
      <c r="K745" s="455">
        <f t="shared" ca="1" si="53"/>
        <v>41091.877845445706</v>
      </c>
      <c r="L745" s="455">
        <f t="shared" ca="1" si="54"/>
        <v>9903142.560752416</v>
      </c>
      <c r="M745" s="471">
        <f t="shared" si="56"/>
        <v>0.05</v>
      </c>
      <c r="N745" s="475">
        <f t="shared" si="57"/>
        <v>73720</v>
      </c>
    </row>
    <row r="746" spans="7:14" ht="11.25" customHeight="1" x14ac:dyDescent="0.3">
      <c r="G746" s="470">
        <f t="shared" si="76"/>
        <v>62</v>
      </c>
      <c r="H746" s="470">
        <v>739</v>
      </c>
      <c r="I746" s="455">
        <f t="shared" ca="1" si="55"/>
        <v>9903142.560752416</v>
      </c>
      <c r="J746" s="455">
        <f t="array" ref="J746">IFERROR(INDEX('Retirement Calculator'!J:J,MATCH('Isaac 401k'!N746,'Retirement Calculator'!A:A,0),0),0)</f>
        <v>6404.7404596389215</v>
      </c>
      <c r="K746" s="455">
        <f t="shared" ca="1" si="53"/>
        <v>41236.407584553235</v>
      </c>
      <c r="L746" s="455">
        <f t="shared" ca="1" si="54"/>
        <v>9937974.22787733</v>
      </c>
      <c r="M746" s="471">
        <f t="shared" si="56"/>
        <v>0.05</v>
      </c>
      <c r="N746" s="475">
        <f t="shared" si="57"/>
        <v>73750</v>
      </c>
    </row>
    <row r="747" spans="7:14" ht="11.25" customHeight="1" x14ac:dyDescent="0.3">
      <c r="G747" s="470">
        <f t="shared" si="76"/>
        <v>62</v>
      </c>
      <c r="H747" s="470">
        <v>740</v>
      </c>
      <c r="I747" s="455">
        <f t="shared" ca="1" si="55"/>
        <v>9937974.22787733</v>
      </c>
      <c r="J747" s="455">
        <f t="array" ref="J747">IFERROR(INDEX('Retirement Calculator'!J:J,MATCH('Isaac 401k'!N747,'Retirement Calculator'!A:A,0),0),0)</f>
        <v>6404.7404596389215</v>
      </c>
      <c r="K747" s="455">
        <f t="shared" ca="1" si="53"/>
        <v>41381.539530907045</v>
      </c>
      <c r="L747" s="455">
        <f t="shared" ca="1" si="54"/>
        <v>9972951.0269485973</v>
      </c>
      <c r="M747" s="471">
        <f t="shared" si="56"/>
        <v>0.05</v>
      </c>
      <c r="N747" s="475">
        <f t="shared" si="57"/>
        <v>73781</v>
      </c>
    </row>
    <row r="748" spans="7:14" ht="11.25" customHeight="1" x14ac:dyDescent="0.3">
      <c r="G748" s="470">
        <f t="shared" si="76"/>
        <v>62</v>
      </c>
      <c r="H748" s="470">
        <v>741</v>
      </c>
      <c r="I748" s="455">
        <f t="shared" ca="1" si="55"/>
        <v>9972951.0269485973</v>
      </c>
      <c r="J748" s="455">
        <f t="array" ref="J748">IFERROR(INDEX('Retirement Calculator'!J:J,MATCH('Isaac 401k'!N748,'Retirement Calculator'!A:A,0),0),0)</f>
        <v>6404.7404596389215</v>
      </c>
      <c r="K748" s="455">
        <f t="shared" ca="1" si="53"/>
        <v>41527.27619370399</v>
      </c>
      <c r="L748" s="455">
        <f t="shared" ca="1" si="54"/>
        <v>10008073.562682662</v>
      </c>
      <c r="M748" s="471">
        <f t="shared" si="56"/>
        <v>0.05</v>
      </c>
      <c r="N748" s="475">
        <f t="shared" si="57"/>
        <v>73812</v>
      </c>
    </row>
    <row r="749" spans="7:14" ht="11.25" customHeight="1" x14ac:dyDescent="0.3">
      <c r="G749" s="470">
        <f t="shared" si="76"/>
        <v>62</v>
      </c>
      <c r="H749" s="470">
        <v>742</v>
      </c>
      <c r="I749" s="455">
        <f t="shared" ca="1" si="55"/>
        <v>10008073.562682662</v>
      </c>
      <c r="J749" s="455">
        <f t="array" ref="J749">IFERROR(INDEX('Retirement Calculator'!J:J,MATCH('Isaac 401k'!N749,'Retirement Calculator'!A:A,0),0),0)</f>
        <v>6404.7404596389215</v>
      </c>
      <c r="K749" s="455">
        <f t="shared" ca="1" si="53"/>
        <v>41673.620092595927</v>
      </c>
      <c r="L749" s="455">
        <f t="shared" ca="1" si="54"/>
        <v>10043342.442315619</v>
      </c>
      <c r="M749" s="471">
        <f t="shared" si="56"/>
        <v>0.05</v>
      </c>
      <c r="N749" s="475">
        <f t="shared" si="57"/>
        <v>73840</v>
      </c>
    </row>
    <row r="750" spans="7:14" ht="11.25" customHeight="1" x14ac:dyDescent="0.3">
      <c r="G750" s="470">
        <f t="shared" si="76"/>
        <v>62</v>
      </c>
      <c r="H750" s="470">
        <v>743</v>
      </c>
      <c r="I750" s="455">
        <f t="shared" ca="1" si="55"/>
        <v>10043342.442315619</v>
      </c>
      <c r="J750" s="455">
        <f t="array" ref="J750">IFERROR(INDEX('Retirement Calculator'!J:J,MATCH('Isaac 401k'!N750,'Retirement Calculator'!A:A,0),0),0)</f>
        <v>6404.7404596389215</v>
      </c>
      <c r="K750" s="455">
        <f t="shared" ca="1" si="53"/>
        <v>41820.573757733247</v>
      </c>
      <c r="L750" s="455">
        <f t="shared" ca="1" si="54"/>
        <v>10078758.275613714</v>
      </c>
      <c r="M750" s="471">
        <f t="shared" si="56"/>
        <v>0.05</v>
      </c>
      <c r="N750" s="475">
        <f t="shared" si="57"/>
        <v>73871</v>
      </c>
    </row>
    <row r="751" spans="7:14" ht="11.25" customHeight="1" x14ac:dyDescent="0.3">
      <c r="G751" s="470">
        <f t="shared" si="76"/>
        <v>62</v>
      </c>
      <c r="H751" s="470">
        <v>744</v>
      </c>
      <c r="I751" s="455">
        <f t="shared" ca="1" si="55"/>
        <v>10078758.275613714</v>
      </c>
      <c r="J751" s="455">
        <f t="array" ref="J751">IFERROR(INDEX('Retirement Calculator'!J:J,MATCH('Isaac 401k'!N751,'Retirement Calculator'!A:A,0),0),0)</f>
        <v>6404.7404596389215</v>
      </c>
      <c r="K751" s="455">
        <f t="shared" ca="1" si="53"/>
        <v>41968.139729808645</v>
      </c>
      <c r="L751" s="455">
        <f t="shared" ca="1" si="54"/>
        <v>10114321.674883883</v>
      </c>
      <c r="M751" s="471">
        <f t="shared" si="56"/>
        <v>0.05</v>
      </c>
      <c r="N751" s="475">
        <f t="shared" si="57"/>
        <v>73901</v>
      </c>
    </row>
    <row r="752" spans="7:14" ht="11.25" customHeight="1" x14ac:dyDescent="0.3">
      <c r="G752" s="470">
        <f>G751+1</f>
        <v>63</v>
      </c>
      <c r="H752" s="470">
        <v>745</v>
      </c>
      <c r="I752" s="455">
        <f t="shared" ca="1" si="55"/>
        <v>10114321.674883883</v>
      </c>
      <c r="J752" s="455">
        <f t="array" ref="J752">IFERROR(INDEX('Retirement Calculator'!J:J,MATCH('Isaac 401k'!N752,'Retirement Calculator'!A:A,0),0),0)</f>
        <v>6404.7404596389215</v>
      </c>
      <c r="K752" s="455">
        <f t="shared" ca="1" si="53"/>
        <v>42116.320560101012</v>
      </c>
      <c r="L752" s="455">
        <f t="shared" ca="1" si="54"/>
        <v>10150033.254984345</v>
      </c>
      <c r="M752" s="471">
        <f t="shared" si="56"/>
        <v>0.05</v>
      </c>
      <c r="N752" s="475">
        <f t="shared" si="57"/>
        <v>73932</v>
      </c>
    </row>
    <row r="753" spans="7:14" ht="11.25" customHeight="1" x14ac:dyDescent="0.3">
      <c r="G753" s="470">
        <f t="shared" ref="G753:G763" si="77">G752</f>
        <v>63</v>
      </c>
      <c r="H753" s="470">
        <v>746</v>
      </c>
      <c r="I753" s="455">
        <f t="shared" ca="1" si="55"/>
        <v>10150033.254984345</v>
      </c>
      <c r="J753" s="455">
        <f t="array" ref="J753">IFERROR(INDEX('Retirement Calculator'!J:J,MATCH('Isaac 401k'!N753,'Retirement Calculator'!A:A,0),0),0)</f>
        <v>6404.7404596389215</v>
      </c>
      <c r="K753" s="455">
        <f t="shared" ca="1" si="53"/>
        <v>42265.118810519605</v>
      </c>
      <c r="L753" s="455">
        <f t="shared" ca="1" si="54"/>
        <v>10185893.633335225</v>
      </c>
      <c r="M753" s="471">
        <f t="shared" si="56"/>
        <v>0.05</v>
      </c>
      <c r="N753" s="475">
        <f t="shared" si="57"/>
        <v>73962</v>
      </c>
    </row>
    <row r="754" spans="7:14" ht="11.25" customHeight="1" x14ac:dyDescent="0.3">
      <c r="G754" s="470">
        <f t="shared" si="77"/>
        <v>63</v>
      </c>
      <c r="H754" s="470">
        <v>747</v>
      </c>
      <c r="I754" s="455">
        <f t="shared" ca="1" si="55"/>
        <v>10185893.633335225</v>
      </c>
      <c r="J754" s="455">
        <f t="array" ref="J754">IFERROR(INDEX('Retirement Calculator'!J:J,MATCH('Isaac 401k'!N754,'Retirement Calculator'!A:A,0),0),0)</f>
        <v>6404.7404596389215</v>
      </c>
      <c r="K754" s="455">
        <f t="shared" ca="1" si="53"/>
        <v>42414.537053648273</v>
      </c>
      <c r="L754" s="455">
        <f t="shared" ca="1" si="54"/>
        <v>10221903.429929234</v>
      </c>
      <c r="M754" s="471">
        <f t="shared" si="56"/>
        <v>0.05</v>
      </c>
      <c r="N754" s="475">
        <f t="shared" si="57"/>
        <v>73993</v>
      </c>
    </row>
    <row r="755" spans="7:14" ht="11.25" customHeight="1" x14ac:dyDescent="0.3">
      <c r="G755" s="470">
        <f t="shared" si="77"/>
        <v>63</v>
      </c>
      <c r="H755" s="470">
        <v>748</v>
      </c>
      <c r="I755" s="455">
        <f t="shared" ca="1" si="55"/>
        <v>10221903.429929234</v>
      </c>
      <c r="J755" s="455">
        <f t="array" ref="J755">IFERROR(INDEX('Retirement Calculator'!J:J,MATCH('Isaac 401k'!N755,'Retirement Calculator'!A:A,0),0),0)</f>
        <v>6404.7404596389215</v>
      </c>
      <c r="K755" s="455">
        <f t="shared" ca="1" si="53"/>
        <v>42564.577872789974</v>
      </c>
      <c r="L755" s="455">
        <f t="shared" ca="1" si="54"/>
        <v>10258063.267342385</v>
      </c>
      <c r="M755" s="471">
        <f t="shared" si="56"/>
        <v>0.05</v>
      </c>
      <c r="N755" s="475">
        <f t="shared" si="57"/>
        <v>74024</v>
      </c>
    </row>
    <row r="756" spans="7:14" ht="11.25" customHeight="1" x14ac:dyDescent="0.3">
      <c r="G756" s="470">
        <f t="shared" si="77"/>
        <v>63</v>
      </c>
      <c r="H756" s="470">
        <v>749</v>
      </c>
      <c r="I756" s="455">
        <f t="shared" ca="1" si="55"/>
        <v>10258063.267342385</v>
      </c>
      <c r="J756" s="455">
        <f t="array" ref="J756">IFERROR(INDEX('Retirement Calculator'!J:J,MATCH('Isaac 401k'!N756,'Retirement Calculator'!A:A,0),0),0)</f>
        <v>6404.7404596389215</v>
      </c>
      <c r="K756" s="455">
        <f t="shared" ca="1" si="53"/>
        <v>42715.243862011441</v>
      </c>
      <c r="L756" s="455">
        <f t="shared" ca="1" si="54"/>
        <v>10294373.770744756</v>
      </c>
      <c r="M756" s="471">
        <f t="shared" si="56"/>
        <v>0.05</v>
      </c>
      <c r="N756" s="475">
        <f t="shared" si="57"/>
        <v>74054</v>
      </c>
    </row>
    <row r="757" spans="7:14" ht="11.25" customHeight="1" x14ac:dyDescent="0.3">
      <c r="G757" s="470">
        <f t="shared" si="77"/>
        <v>63</v>
      </c>
      <c r="H757" s="470">
        <v>750</v>
      </c>
      <c r="I757" s="455">
        <f t="shared" ca="1" si="55"/>
        <v>10294373.770744756</v>
      </c>
      <c r="J757" s="455">
        <f t="array" ref="J757">IFERROR(INDEX('Retirement Calculator'!J:J,MATCH('Isaac 401k'!N757,'Retirement Calculator'!A:A,0),0),0)</f>
        <v>6404.7404596389215</v>
      </c>
      <c r="K757" s="455">
        <f t="shared" ca="1" si="53"/>
        <v>42866.537626187986</v>
      </c>
      <c r="L757" s="455">
        <f t="shared" ca="1" si="54"/>
        <v>10330835.567911305</v>
      </c>
      <c r="M757" s="471">
        <f t="shared" si="56"/>
        <v>0.05</v>
      </c>
      <c r="N757" s="475">
        <f t="shared" si="57"/>
        <v>74085</v>
      </c>
    </row>
    <row r="758" spans="7:14" ht="11.25" customHeight="1" x14ac:dyDescent="0.3">
      <c r="G758" s="470">
        <f t="shared" si="77"/>
        <v>63</v>
      </c>
      <c r="H758" s="470">
        <v>751</v>
      </c>
      <c r="I758" s="455">
        <f t="shared" ca="1" si="55"/>
        <v>10330835.567911305</v>
      </c>
      <c r="J758" s="455">
        <f t="array" ref="J758">IFERROR(INDEX('Retirement Calculator'!J:J,MATCH('Isaac 401k'!N758,'Retirement Calculator'!A:A,0),0),0)</f>
        <v>6404.7404596389215</v>
      </c>
      <c r="K758" s="455">
        <f t="shared" ca="1" si="53"/>
        <v>43018.461781048602</v>
      </c>
      <c r="L758" s="455">
        <f t="shared" ca="1" si="54"/>
        <v>10367449.289232714</v>
      </c>
      <c r="M758" s="471">
        <f t="shared" si="56"/>
        <v>0.05</v>
      </c>
      <c r="N758" s="475">
        <f t="shared" si="57"/>
        <v>74115</v>
      </c>
    </row>
    <row r="759" spans="7:14" ht="11.25" customHeight="1" x14ac:dyDescent="0.3">
      <c r="G759" s="470">
        <f t="shared" si="77"/>
        <v>63</v>
      </c>
      <c r="H759" s="470">
        <v>752</v>
      </c>
      <c r="I759" s="455">
        <f t="shared" ca="1" si="55"/>
        <v>10367449.289232714</v>
      </c>
      <c r="J759" s="455">
        <f t="array" ref="J759">IFERROR(INDEX('Retirement Calculator'!J:J,MATCH('Isaac 401k'!N759,'Retirement Calculator'!A:A,0),0),0)</f>
        <v>6404.7404596389215</v>
      </c>
      <c r="K759" s="455">
        <f t="shared" ca="1" si="53"/>
        <v>43171.018953221144</v>
      </c>
      <c r="L759" s="455">
        <f t="shared" ca="1" si="54"/>
        <v>10404215.567726295</v>
      </c>
      <c r="M759" s="471">
        <f t="shared" si="56"/>
        <v>0.05</v>
      </c>
      <c r="N759" s="475">
        <f t="shared" si="57"/>
        <v>74146</v>
      </c>
    </row>
    <row r="760" spans="7:14" ht="11.25" customHeight="1" x14ac:dyDescent="0.3">
      <c r="G760" s="470">
        <f t="shared" si="77"/>
        <v>63</v>
      </c>
      <c r="H760" s="470">
        <v>753</v>
      </c>
      <c r="I760" s="455">
        <f t="shared" ca="1" si="55"/>
        <v>10404215.567726295</v>
      </c>
      <c r="J760" s="455">
        <f t="array" ref="J760">IFERROR(INDEX('Retirement Calculator'!J:J,MATCH('Isaac 401k'!N760,'Retirement Calculator'!A:A,0),0),0)</f>
        <v>6404.7404596389215</v>
      </c>
      <c r="K760" s="455">
        <f t="shared" ca="1" si="53"/>
        <v>43324.211780277736</v>
      </c>
      <c r="L760" s="455">
        <f t="shared" ca="1" si="54"/>
        <v>10441135.039046934</v>
      </c>
      <c r="M760" s="471">
        <f t="shared" si="56"/>
        <v>0.05</v>
      </c>
      <c r="N760" s="475">
        <f t="shared" si="57"/>
        <v>74177</v>
      </c>
    </row>
    <row r="761" spans="7:14" ht="11.25" customHeight="1" x14ac:dyDescent="0.3">
      <c r="G761" s="470">
        <f t="shared" si="77"/>
        <v>63</v>
      </c>
      <c r="H761" s="470">
        <v>754</v>
      </c>
      <c r="I761" s="455">
        <f t="shared" ca="1" si="55"/>
        <v>10441135.039046934</v>
      </c>
      <c r="J761" s="455">
        <f t="array" ref="J761">IFERROR(INDEX('Retirement Calculator'!J:J,MATCH('Isaac 401k'!N761,'Retirement Calculator'!A:A,0),0),0)</f>
        <v>6404.7404596389215</v>
      </c>
      <c r="K761" s="455">
        <f t="shared" ca="1" si="53"/>
        <v>43478.042910780394</v>
      </c>
      <c r="L761" s="455">
        <f t="shared" ca="1" si="54"/>
        <v>10478208.341498075</v>
      </c>
      <c r="M761" s="471">
        <f t="shared" si="56"/>
        <v>0.05</v>
      </c>
      <c r="N761" s="475">
        <f t="shared" si="57"/>
        <v>74205</v>
      </c>
    </row>
    <row r="762" spans="7:14" ht="11.25" customHeight="1" x14ac:dyDescent="0.3">
      <c r="G762" s="470">
        <f t="shared" si="77"/>
        <v>63</v>
      </c>
      <c r="H762" s="470">
        <v>755</v>
      </c>
      <c r="I762" s="455">
        <f t="shared" ca="1" si="55"/>
        <v>10478208.341498075</v>
      </c>
      <c r="J762" s="455">
        <f t="array" ref="J762">IFERROR(INDEX('Retirement Calculator'!J:J,MATCH('Isaac 401k'!N762,'Retirement Calculator'!A:A,0),0),0)</f>
        <v>6404.7404596389215</v>
      </c>
      <c r="K762" s="455">
        <f t="shared" ca="1" si="53"/>
        <v>43632.515004326815</v>
      </c>
      <c r="L762" s="455">
        <f t="shared" ca="1" si="54"/>
        <v>10515436.116042763</v>
      </c>
      <c r="M762" s="471">
        <f t="shared" si="56"/>
        <v>0.05</v>
      </c>
      <c r="N762" s="475">
        <f t="shared" si="57"/>
        <v>74236</v>
      </c>
    </row>
    <row r="763" spans="7:14" ht="11.25" customHeight="1" x14ac:dyDescent="0.3">
      <c r="G763" s="470">
        <f t="shared" si="77"/>
        <v>63</v>
      </c>
      <c r="H763" s="470">
        <v>756</v>
      </c>
      <c r="I763" s="455">
        <f t="shared" ca="1" si="55"/>
        <v>10515436.116042763</v>
      </c>
      <c r="J763" s="455">
        <f t="array" ref="J763">IFERROR(INDEX('Retirement Calculator'!J:J,MATCH('Isaac 401k'!N763,'Retirement Calculator'!A:A,0),0),0)</f>
        <v>6404.7404596389215</v>
      </c>
      <c r="K763" s="455">
        <f t="shared" ca="1" si="53"/>
        <v>43787.63073159635</v>
      </c>
      <c r="L763" s="455">
        <f t="shared" ca="1" si="54"/>
        <v>10552819.006314719</v>
      </c>
      <c r="M763" s="471">
        <f t="shared" si="56"/>
        <v>0.05</v>
      </c>
      <c r="N763" s="475">
        <f t="shared" si="57"/>
        <v>74266</v>
      </c>
    </row>
    <row r="764" spans="7:14" ht="11.25" customHeight="1" x14ac:dyDescent="0.3">
      <c r="G764" s="470">
        <f>G763+1</f>
        <v>64</v>
      </c>
      <c r="H764" s="470">
        <v>757</v>
      </c>
      <c r="I764" s="455">
        <f t="shared" ca="1" si="55"/>
        <v>10552819.006314719</v>
      </c>
      <c r="J764" s="455">
        <f t="array" ref="J764">IFERROR(INDEX('Retirement Calculator'!J:J,MATCH('Isaac 401k'!N764,'Retirement Calculator'!A:A,0),0),0)</f>
        <v>6404.7404596389215</v>
      </c>
      <c r="K764" s="455">
        <f t="shared" ca="1" si="53"/>
        <v>43943.392774396161</v>
      </c>
      <c r="L764" s="455">
        <f t="shared" ca="1" si="54"/>
        <v>10590357.658629475</v>
      </c>
      <c r="M764" s="471">
        <f t="shared" si="56"/>
        <v>0.05</v>
      </c>
      <c r="N764" s="475">
        <f t="shared" si="57"/>
        <v>74297</v>
      </c>
    </row>
    <row r="765" spans="7:14" ht="11.25" customHeight="1" x14ac:dyDescent="0.3">
      <c r="G765" s="470">
        <f t="shared" ref="G765:G775" si="78">G764</f>
        <v>64</v>
      </c>
      <c r="H765" s="470">
        <v>758</v>
      </c>
      <c r="I765" s="455">
        <f t="shared" ca="1" si="55"/>
        <v>10590357.658629475</v>
      </c>
      <c r="J765" s="455">
        <f t="array" ref="J765">IFERROR(INDEX('Retirement Calculator'!J:J,MATCH('Isaac 401k'!N765,'Retirement Calculator'!A:A,0),0),0)</f>
        <v>6404.7404596389215</v>
      </c>
      <c r="K765" s="455">
        <f t="shared" ca="1" si="53"/>
        <v>44099.803825707648</v>
      </c>
      <c r="L765" s="455">
        <f t="shared" ca="1" si="54"/>
        <v>10628052.721995544</v>
      </c>
      <c r="M765" s="471">
        <f t="shared" si="56"/>
        <v>0.05</v>
      </c>
      <c r="N765" s="475">
        <f t="shared" si="57"/>
        <v>74327</v>
      </c>
    </row>
    <row r="766" spans="7:14" ht="11.25" customHeight="1" x14ac:dyDescent="0.3">
      <c r="G766" s="470">
        <f t="shared" si="78"/>
        <v>64</v>
      </c>
      <c r="H766" s="470">
        <v>759</v>
      </c>
      <c r="I766" s="455">
        <f t="shared" ca="1" si="55"/>
        <v>10628052.721995544</v>
      </c>
      <c r="J766" s="455">
        <f t="array" ref="J766">IFERROR(INDEX('Retirement Calculator'!J:J,MATCH('Isaac 401k'!N766,'Retirement Calculator'!A:A,0),0),0)</f>
        <v>6404.7404596389215</v>
      </c>
      <c r="K766" s="455">
        <f t="shared" ca="1" si="53"/>
        <v>44256.866589732934</v>
      </c>
      <c r="L766" s="455">
        <f t="shared" ca="1" si="54"/>
        <v>10665904.848125637</v>
      </c>
      <c r="M766" s="471">
        <f t="shared" si="56"/>
        <v>0.05</v>
      </c>
      <c r="N766" s="475">
        <f t="shared" si="57"/>
        <v>74358</v>
      </c>
    </row>
    <row r="767" spans="7:14" ht="11.25" customHeight="1" x14ac:dyDescent="0.3">
      <c r="G767" s="470">
        <f t="shared" si="78"/>
        <v>64</v>
      </c>
      <c r="H767" s="470">
        <v>760</v>
      </c>
      <c r="I767" s="455">
        <f t="shared" ca="1" si="55"/>
        <v>10665904.848125637</v>
      </c>
      <c r="J767" s="455">
        <f t="array" ref="J767">IFERROR(INDEX('Retirement Calculator'!J:J,MATCH('Isaac 401k'!N767,'Retirement Calculator'!A:A,0),0),0)</f>
        <v>6404.7404596389215</v>
      </c>
      <c r="K767" s="455">
        <f t="shared" ca="1" si="53"/>
        <v>44414.583781941656</v>
      </c>
      <c r="L767" s="455">
        <f t="shared" ca="1" si="54"/>
        <v>10703914.691447938</v>
      </c>
      <c r="M767" s="471">
        <f t="shared" si="56"/>
        <v>0.05</v>
      </c>
      <c r="N767" s="475">
        <f t="shared" si="57"/>
        <v>74389</v>
      </c>
    </row>
    <row r="768" spans="7:14" ht="11.25" customHeight="1" x14ac:dyDescent="0.3">
      <c r="G768" s="470">
        <f t="shared" si="78"/>
        <v>64</v>
      </c>
      <c r="H768" s="470">
        <v>761</v>
      </c>
      <c r="I768" s="455">
        <f t="shared" ca="1" si="55"/>
        <v>10703914.691447938</v>
      </c>
      <c r="J768" s="455">
        <f t="array" ref="J768">IFERROR(INDEX('Retirement Calculator'!J:J,MATCH('Isaac 401k'!N768,'Retirement Calculator'!A:A,0),0),0)</f>
        <v>6404.7404596389215</v>
      </c>
      <c r="K768" s="455">
        <f t="shared" ca="1" si="53"/>
        <v>44572.958129117906</v>
      </c>
      <c r="L768" s="455">
        <f t="shared" ca="1" si="54"/>
        <v>10742082.909117416</v>
      </c>
      <c r="M768" s="471">
        <f t="shared" si="56"/>
        <v>0.05</v>
      </c>
      <c r="N768" s="475">
        <f t="shared" si="57"/>
        <v>74419</v>
      </c>
    </row>
    <row r="769" spans="7:14" ht="11.25" customHeight="1" x14ac:dyDescent="0.3">
      <c r="G769" s="470">
        <f t="shared" si="78"/>
        <v>64</v>
      </c>
      <c r="H769" s="470">
        <v>762</v>
      </c>
      <c r="I769" s="455">
        <f t="shared" ca="1" si="55"/>
        <v>10742082.909117416</v>
      </c>
      <c r="J769" s="455">
        <f t="array" ref="J769">IFERROR(INDEX('Retirement Calculator'!J:J,MATCH('Isaac 401k'!N769,'Retirement Calculator'!A:A,0),0),0)</f>
        <v>6404.7404596389215</v>
      </c>
      <c r="K769" s="455">
        <f t="shared" ca="1" si="53"/>
        <v>44731.992369407402</v>
      </c>
      <c r="L769" s="455">
        <f t="shared" ca="1" si="54"/>
        <v>10780410.161027184</v>
      </c>
      <c r="M769" s="471">
        <f t="shared" si="56"/>
        <v>0.05</v>
      </c>
      <c r="N769" s="475">
        <f t="shared" si="57"/>
        <v>74450</v>
      </c>
    </row>
    <row r="770" spans="7:14" ht="11.25" customHeight="1" x14ac:dyDescent="0.3">
      <c r="G770" s="470">
        <f t="shared" si="78"/>
        <v>64</v>
      </c>
      <c r="H770" s="470">
        <v>763</v>
      </c>
      <c r="I770" s="455">
        <f t="shared" ca="1" si="55"/>
        <v>10780410.161027184</v>
      </c>
      <c r="J770" s="455">
        <f t="array" ref="J770">IFERROR(INDEX('Retirement Calculator'!J:J,MATCH('Isaac 401k'!N770,'Retirement Calculator'!A:A,0),0),0)</f>
        <v>6404.7404596389215</v>
      </c>
      <c r="K770" s="455">
        <f t="shared" ca="1" si="53"/>
        <v>44891.689252364769</v>
      </c>
      <c r="L770" s="455">
        <f t="shared" ca="1" si="54"/>
        <v>10818897.10981991</v>
      </c>
      <c r="M770" s="471">
        <f t="shared" si="56"/>
        <v>0.05</v>
      </c>
      <c r="N770" s="475">
        <f t="shared" si="57"/>
        <v>74480</v>
      </c>
    </row>
    <row r="771" spans="7:14" ht="11.25" customHeight="1" x14ac:dyDescent="0.3">
      <c r="G771" s="470">
        <f t="shared" si="78"/>
        <v>64</v>
      </c>
      <c r="H771" s="470">
        <v>764</v>
      </c>
      <c r="I771" s="455">
        <f t="shared" ca="1" si="55"/>
        <v>10818897.10981991</v>
      </c>
      <c r="J771" s="455">
        <f t="array" ref="J771">IFERROR(INDEX('Retirement Calculator'!J:J,MATCH('Isaac 401k'!N771,'Retirement Calculator'!A:A,0),0),0)</f>
        <v>6404.7404596389215</v>
      </c>
      <c r="K771" s="455">
        <f t="shared" ca="1" si="53"/>
        <v>45052.051539001128</v>
      </c>
      <c r="L771" s="455">
        <f t="shared" ca="1" si="54"/>
        <v>10857544.420899272</v>
      </c>
      <c r="M771" s="471">
        <f t="shared" si="56"/>
        <v>0.05</v>
      </c>
      <c r="N771" s="475">
        <f t="shared" si="57"/>
        <v>74511</v>
      </c>
    </row>
    <row r="772" spans="7:14" ht="11.25" customHeight="1" x14ac:dyDescent="0.3">
      <c r="G772" s="470">
        <f t="shared" si="78"/>
        <v>64</v>
      </c>
      <c r="H772" s="470">
        <v>765</v>
      </c>
      <c r="I772" s="455">
        <f t="shared" ca="1" si="55"/>
        <v>10857544.420899272</v>
      </c>
      <c r="J772" s="455">
        <f t="array" ref="J772">IFERROR(INDEX('Retirement Calculator'!J:J,MATCH('Isaac 401k'!N772,'Retirement Calculator'!A:A,0),0),0)</f>
        <v>6404.7404596389215</v>
      </c>
      <c r="K772" s="455">
        <f t="shared" ca="1" si="53"/>
        <v>45213.082001831805</v>
      </c>
      <c r="L772" s="455">
        <f t="shared" ca="1" si="54"/>
        <v>10896352.762441464</v>
      </c>
      <c r="M772" s="471">
        <f t="shared" si="56"/>
        <v>0.05</v>
      </c>
      <c r="N772" s="475">
        <f t="shared" si="57"/>
        <v>74542</v>
      </c>
    </row>
    <row r="773" spans="7:14" ht="11.25" customHeight="1" x14ac:dyDescent="0.3">
      <c r="G773" s="470">
        <f t="shared" si="78"/>
        <v>64</v>
      </c>
      <c r="H773" s="470">
        <v>766</v>
      </c>
      <c r="I773" s="455">
        <f t="shared" ca="1" si="55"/>
        <v>10896352.762441464</v>
      </c>
      <c r="J773" s="455">
        <f t="array" ref="J773">IFERROR(INDEX('Retirement Calculator'!J:J,MATCH('Isaac 401k'!N773,'Retirement Calculator'!A:A,0),0),0)</f>
        <v>6404.7404596389215</v>
      </c>
      <c r="K773" s="455">
        <f t="shared" ref="K773:K1027" ca="1" si="79">IPMT(M773/12,1,12,-I773+J773,,0)</f>
        <v>45374.783424924266</v>
      </c>
      <c r="L773" s="455">
        <f t="shared" ref="L773:L1027" ca="1" si="80">I773-J773+K773</f>
        <v>10935322.805406749</v>
      </c>
      <c r="M773" s="471">
        <f t="shared" si="56"/>
        <v>0.05</v>
      </c>
      <c r="N773" s="475">
        <f t="shared" si="57"/>
        <v>74571</v>
      </c>
    </row>
    <row r="774" spans="7:14" ht="11.25" customHeight="1" x14ac:dyDescent="0.3">
      <c r="G774" s="470">
        <f t="shared" si="78"/>
        <v>64</v>
      </c>
      <c r="H774" s="470">
        <v>767</v>
      </c>
      <c r="I774" s="455">
        <f t="shared" ref="I774:I1028" ca="1" si="81">L773</f>
        <v>10935322.805406749</v>
      </c>
      <c r="J774" s="455">
        <f t="array" ref="J774">IFERROR(INDEX('Retirement Calculator'!J:J,MATCH('Isaac 401k'!N774,'Retirement Calculator'!A:A,0),0),0)</f>
        <v>6404.7404596389215</v>
      </c>
      <c r="K774" s="455">
        <f t="shared" ca="1" si="79"/>
        <v>45537.158603946293</v>
      </c>
      <c r="L774" s="455">
        <f t="shared" ca="1" si="80"/>
        <v>10974455.223551055</v>
      </c>
      <c r="M774" s="471">
        <f t="shared" ref="M774:M1028" si="82">M773</f>
        <v>0.05</v>
      </c>
      <c r="N774" s="475">
        <f t="shared" ref="N774:N1028" si="83">EDATE(N773,1)</f>
        <v>74602</v>
      </c>
    </row>
    <row r="775" spans="7:14" ht="11.25" customHeight="1" x14ac:dyDescent="0.3">
      <c r="G775" s="470">
        <f t="shared" si="78"/>
        <v>64</v>
      </c>
      <c r="H775" s="470">
        <v>768</v>
      </c>
      <c r="I775" s="455">
        <f t="shared" ca="1" si="81"/>
        <v>10974455.223551055</v>
      </c>
      <c r="J775" s="455">
        <f t="array" ref="J775">IFERROR(INDEX('Retirement Calculator'!J:J,MATCH('Isaac 401k'!N775,'Retirement Calculator'!A:A,0),0),0)</f>
        <v>6404.7404596389215</v>
      </c>
      <c r="K775" s="455">
        <f t="shared" ca="1" si="79"/>
        <v>45700.210346214233</v>
      </c>
      <c r="L775" s="455">
        <f t="shared" ca="1" si="80"/>
        <v>11013750.69343763</v>
      </c>
      <c r="M775" s="471">
        <f t="shared" si="82"/>
        <v>0.05</v>
      </c>
      <c r="N775" s="475">
        <f t="shared" si="83"/>
        <v>74632</v>
      </c>
    </row>
    <row r="776" spans="7:14" ht="11.25" customHeight="1" x14ac:dyDescent="0.3">
      <c r="G776" s="470">
        <f>G775+1</f>
        <v>65</v>
      </c>
      <c r="H776" s="470">
        <v>769</v>
      </c>
      <c r="I776" s="455">
        <f t="shared" ca="1" si="81"/>
        <v>11013750.69343763</v>
      </c>
      <c r="J776" s="455">
        <f t="array" ref="J776">IFERROR(INDEX('Retirement Calculator'!J:J,MATCH('Isaac 401k'!N776,'Retirement Calculator'!A:A,0),0),0)</f>
        <v>6404.7404596389215</v>
      </c>
      <c r="K776" s="455">
        <f t="shared" ca="1" si="79"/>
        <v>45863.941470741629</v>
      </c>
      <c r="L776" s="455">
        <f t="shared" ca="1" si="80"/>
        <v>11053209.894448733</v>
      </c>
      <c r="M776" s="471">
        <f t="shared" si="82"/>
        <v>0.05</v>
      </c>
      <c r="N776" s="475">
        <f t="shared" si="83"/>
        <v>74663</v>
      </c>
    </row>
    <row r="777" spans="7:14" ht="11.25" customHeight="1" x14ac:dyDescent="0.3">
      <c r="G777" s="470">
        <f t="shared" ref="G777:G787" si="84">G776</f>
        <v>65</v>
      </c>
      <c r="H777" s="470">
        <v>770</v>
      </c>
      <c r="I777" s="455">
        <f t="shared" ca="1" si="81"/>
        <v>11053209.894448733</v>
      </c>
      <c r="J777" s="455">
        <f t="array" ref="J777">IFERROR(INDEX('Retirement Calculator'!J:J,MATCH('Isaac 401k'!N777,'Retirement Calculator'!A:A,0),0),0)</f>
        <v>6404.7404596389215</v>
      </c>
      <c r="K777" s="455">
        <f t="shared" ca="1" si="79"/>
        <v>46028.354808287892</v>
      </c>
      <c r="L777" s="455">
        <f t="shared" ca="1" si="80"/>
        <v>11092833.508797381</v>
      </c>
      <c r="M777" s="471">
        <f t="shared" si="82"/>
        <v>0.05</v>
      </c>
      <c r="N777" s="475">
        <f t="shared" si="83"/>
        <v>74693</v>
      </c>
    </row>
    <row r="778" spans="7:14" ht="11.25" customHeight="1" x14ac:dyDescent="0.3">
      <c r="G778" s="470">
        <f t="shared" si="84"/>
        <v>65</v>
      </c>
      <c r="H778" s="470">
        <v>771</v>
      </c>
      <c r="I778" s="455">
        <f t="shared" ca="1" si="81"/>
        <v>11092833.508797381</v>
      </c>
      <c r="J778" s="455">
        <f t="array" ref="J778">IFERROR(INDEX('Retirement Calculator'!J:J,MATCH('Isaac 401k'!N778,'Retirement Calculator'!A:A,0),0),0)</f>
        <v>6404.7404596389215</v>
      </c>
      <c r="K778" s="455">
        <f t="shared" ca="1" si="79"/>
        <v>46193.453201407254</v>
      </c>
      <c r="L778" s="455">
        <f t="shared" ca="1" si="80"/>
        <v>11132622.221539149</v>
      </c>
      <c r="M778" s="471">
        <f t="shared" si="82"/>
        <v>0.05</v>
      </c>
      <c r="N778" s="475">
        <f t="shared" si="83"/>
        <v>74724</v>
      </c>
    </row>
    <row r="779" spans="7:14" ht="11.25" customHeight="1" x14ac:dyDescent="0.3">
      <c r="G779" s="470">
        <f t="shared" si="84"/>
        <v>65</v>
      </c>
      <c r="H779" s="470">
        <v>772</v>
      </c>
      <c r="I779" s="455">
        <f t="shared" ca="1" si="81"/>
        <v>11132622.221539149</v>
      </c>
      <c r="J779" s="455">
        <f t="array" ref="J779">IFERROR(INDEX('Retirement Calculator'!J:J,MATCH('Isaac 401k'!N779,'Retirement Calculator'!A:A,0),0),0)</f>
        <v>6404.7404596389215</v>
      </c>
      <c r="K779" s="455">
        <f t="shared" ca="1" si="79"/>
        <v>46359.239504497957</v>
      </c>
      <c r="L779" s="455">
        <f t="shared" ca="1" si="80"/>
        <v>11172576.720584007</v>
      </c>
      <c r="M779" s="471">
        <f t="shared" si="82"/>
        <v>0.05</v>
      </c>
      <c r="N779" s="475">
        <f t="shared" si="83"/>
        <v>74755</v>
      </c>
    </row>
    <row r="780" spans="7:14" ht="11.25" customHeight="1" x14ac:dyDescent="0.3">
      <c r="G780" s="470">
        <f t="shared" si="84"/>
        <v>65</v>
      </c>
      <c r="H780" s="470">
        <v>773</v>
      </c>
      <c r="I780" s="455">
        <f t="shared" ca="1" si="81"/>
        <v>11172576.720584007</v>
      </c>
      <c r="J780" s="455">
        <f t="array" ref="J780">IFERROR(INDEX('Retirement Calculator'!J:J,MATCH('Isaac 401k'!N780,'Retirement Calculator'!A:A,0),0),0)</f>
        <v>6404.7404596389215</v>
      </c>
      <c r="K780" s="455">
        <f t="shared" ca="1" si="79"/>
        <v>46525.716583851528</v>
      </c>
      <c r="L780" s="455">
        <f t="shared" ca="1" si="80"/>
        <v>11212697.696708219</v>
      </c>
      <c r="M780" s="471">
        <f t="shared" si="82"/>
        <v>0.05</v>
      </c>
      <c r="N780" s="475">
        <f t="shared" si="83"/>
        <v>74785</v>
      </c>
    </row>
    <row r="781" spans="7:14" ht="11.25" customHeight="1" x14ac:dyDescent="0.3">
      <c r="G781" s="470">
        <f t="shared" si="84"/>
        <v>65</v>
      </c>
      <c r="H781" s="470">
        <v>774</v>
      </c>
      <c r="I781" s="455">
        <f t="shared" ca="1" si="81"/>
        <v>11212697.696708219</v>
      </c>
      <c r="J781" s="455">
        <f t="array" ref="J781">IFERROR(INDEX('Retirement Calculator'!J:J,MATCH('Isaac 401k'!N781,'Retirement Calculator'!A:A,0),0),0)</f>
        <v>6404.7404596389215</v>
      </c>
      <c r="K781" s="455">
        <f t="shared" ca="1" si="79"/>
        <v>46692.887317702414</v>
      </c>
      <c r="L781" s="455">
        <f t="shared" ca="1" si="80"/>
        <v>11252985.843566282</v>
      </c>
      <c r="M781" s="471">
        <f t="shared" si="82"/>
        <v>0.05</v>
      </c>
      <c r="N781" s="475">
        <f t="shared" si="83"/>
        <v>74816</v>
      </c>
    </row>
    <row r="782" spans="7:14" ht="11.25" customHeight="1" x14ac:dyDescent="0.3">
      <c r="G782" s="470">
        <f t="shared" si="84"/>
        <v>65</v>
      </c>
      <c r="H782" s="470">
        <v>775</v>
      </c>
      <c r="I782" s="455">
        <f t="shared" ca="1" si="81"/>
        <v>11252985.843566282</v>
      </c>
      <c r="J782" s="455">
        <f t="array" ref="J782">IFERROR(INDEX('Retirement Calculator'!J:J,MATCH('Isaac 401k'!N782,'Retirement Calculator'!A:A,0),0),0)</f>
        <v>6404.7404596389215</v>
      </c>
      <c r="K782" s="455">
        <f t="shared" ca="1" si="79"/>
        <v>46860.754596277679</v>
      </c>
      <c r="L782" s="455">
        <f t="shared" ca="1" si="80"/>
        <v>11293441.85770292</v>
      </c>
      <c r="M782" s="471">
        <f t="shared" si="82"/>
        <v>0.05</v>
      </c>
      <c r="N782" s="475">
        <f t="shared" si="83"/>
        <v>74846</v>
      </c>
    </row>
    <row r="783" spans="7:14" ht="11.25" customHeight="1" x14ac:dyDescent="0.3">
      <c r="G783" s="470">
        <f t="shared" si="84"/>
        <v>65</v>
      </c>
      <c r="H783" s="470">
        <v>776</v>
      </c>
      <c r="I783" s="455">
        <f t="shared" ca="1" si="81"/>
        <v>11293441.85770292</v>
      </c>
      <c r="J783" s="455">
        <f t="array" ref="J783">IFERROR(INDEX('Retirement Calculator'!J:J,MATCH('Isaac 401k'!N783,'Retirement Calculator'!A:A,0),0),0)</f>
        <v>6404.7404596389215</v>
      </c>
      <c r="K783" s="455">
        <f t="shared" ca="1" si="79"/>
        <v>47029.321321847005</v>
      </c>
      <c r="L783" s="455">
        <f t="shared" ca="1" si="80"/>
        <v>11334066.438565128</v>
      </c>
      <c r="M783" s="471">
        <f t="shared" si="82"/>
        <v>0.05</v>
      </c>
      <c r="N783" s="475">
        <f t="shared" si="83"/>
        <v>74877</v>
      </c>
    </row>
    <row r="784" spans="7:14" ht="11.25" customHeight="1" x14ac:dyDescent="0.3">
      <c r="G784" s="470">
        <f t="shared" si="84"/>
        <v>65</v>
      </c>
      <c r="H784" s="470">
        <v>777</v>
      </c>
      <c r="I784" s="455">
        <f t="shared" ca="1" si="81"/>
        <v>11334066.438565128</v>
      </c>
      <c r="J784" s="455">
        <f t="array" ref="J784">IFERROR(INDEX('Retirement Calculator'!J:J,MATCH('Isaac 401k'!N784,'Retirement Calculator'!A:A,0),0),0)</f>
        <v>6404.7404596389215</v>
      </c>
      <c r="K784" s="455">
        <f t="shared" ca="1" si="79"/>
        <v>47198.590408772863</v>
      </c>
      <c r="L784" s="455">
        <f t="shared" ca="1" si="80"/>
        <v>11374860.28851426</v>
      </c>
      <c r="M784" s="471">
        <f t="shared" si="82"/>
        <v>0.05</v>
      </c>
      <c r="N784" s="475">
        <f t="shared" si="83"/>
        <v>74908</v>
      </c>
    </row>
    <row r="785" spans="7:14" ht="11.25" customHeight="1" x14ac:dyDescent="0.3">
      <c r="G785" s="470">
        <f t="shared" si="84"/>
        <v>65</v>
      </c>
      <c r="H785" s="470">
        <v>778</v>
      </c>
      <c r="I785" s="455">
        <f t="shared" ca="1" si="81"/>
        <v>11374860.28851426</v>
      </c>
      <c r="J785" s="455">
        <f t="array" ref="J785">IFERROR(INDEX('Retirement Calculator'!J:J,MATCH('Isaac 401k'!N785,'Retirement Calculator'!A:A,0),0),0)</f>
        <v>6404.7404596389215</v>
      </c>
      <c r="K785" s="455">
        <f t="shared" ca="1" si="79"/>
        <v>47368.56478356092</v>
      </c>
      <c r="L785" s="455">
        <f t="shared" ca="1" si="80"/>
        <v>11415824.112838181</v>
      </c>
      <c r="M785" s="471">
        <f t="shared" si="82"/>
        <v>0.05</v>
      </c>
      <c r="N785" s="475">
        <f t="shared" si="83"/>
        <v>74936</v>
      </c>
    </row>
    <row r="786" spans="7:14" ht="11.25" customHeight="1" x14ac:dyDescent="0.3">
      <c r="G786" s="470">
        <f t="shared" si="84"/>
        <v>65</v>
      </c>
      <c r="H786" s="470">
        <v>779</v>
      </c>
      <c r="I786" s="455">
        <f t="shared" ca="1" si="81"/>
        <v>11415824.112838181</v>
      </c>
      <c r="J786" s="455">
        <f t="array" ref="J786">IFERROR(INDEX('Retirement Calculator'!J:J,MATCH('Isaac 401k'!N786,'Retirement Calculator'!A:A,0),0),0)</f>
        <v>6404.7404596389215</v>
      </c>
      <c r="K786" s="455">
        <f t="shared" ca="1" si="79"/>
        <v>47539.247384910588</v>
      </c>
      <c r="L786" s="455">
        <f t="shared" ca="1" si="80"/>
        <v>11456958.619763453</v>
      </c>
      <c r="M786" s="471">
        <f t="shared" si="82"/>
        <v>0.05</v>
      </c>
      <c r="N786" s="475">
        <f t="shared" si="83"/>
        <v>74967</v>
      </c>
    </row>
    <row r="787" spans="7:14" ht="11.25" customHeight="1" x14ac:dyDescent="0.3">
      <c r="G787" s="470">
        <f t="shared" si="84"/>
        <v>65</v>
      </c>
      <c r="H787" s="470">
        <v>780</v>
      </c>
      <c r="I787" s="455">
        <f t="shared" ca="1" si="81"/>
        <v>11456958.619763453</v>
      </c>
      <c r="J787" s="455">
        <f t="array" ref="J787">IFERROR(INDEX('Retirement Calculator'!J:J,MATCH('Isaac 401k'!N787,'Retirement Calculator'!A:A,0),0),0)</f>
        <v>6404.7404596389215</v>
      </c>
      <c r="K787" s="455">
        <f t="shared" ca="1" si="79"/>
        <v>47710.641163765889</v>
      </c>
      <c r="L787" s="455">
        <f t="shared" ca="1" si="80"/>
        <v>11498264.520467579</v>
      </c>
      <c r="M787" s="471">
        <f t="shared" si="82"/>
        <v>0.05</v>
      </c>
      <c r="N787" s="475">
        <f t="shared" si="83"/>
        <v>74997</v>
      </c>
    </row>
    <row r="788" spans="7:14" ht="11.25" customHeight="1" x14ac:dyDescent="0.3">
      <c r="G788" s="470">
        <f>G787+1</f>
        <v>66</v>
      </c>
      <c r="H788" s="470">
        <v>781</v>
      </c>
      <c r="I788" s="455">
        <f t="shared" ca="1" si="81"/>
        <v>11498264.520467579</v>
      </c>
      <c r="J788" s="455">
        <f t="array" ref="J788">IFERROR(INDEX('Retirement Calculator'!J:J,MATCH('Isaac 401k'!N788,'Retirement Calculator'!A:A,0),0),0)</f>
        <v>6404.7404596389215</v>
      </c>
      <c r="K788" s="455">
        <f t="shared" ca="1" si="79"/>
        <v>47882.749083366412</v>
      </c>
      <c r="L788" s="455">
        <f t="shared" ca="1" si="80"/>
        <v>11539742.529091306</v>
      </c>
      <c r="M788" s="471">
        <f t="shared" si="82"/>
        <v>0.05</v>
      </c>
      <c r="N788" s="475">
        <f t="shared" si="83"/>
        <v>75028</v>
      </c>
    </row>
    <row r="789" spans="7:14" ht="11.25" customHeight="1" x14ac:dyDescent="0.3">
      <c r="G789" s="470">
        <f t="shared" ref="G789:G799" si="85">G788</f>
        <v>66</v>
      </c>
      <c r="H789" s="470">
        <v>782</v>
      </c>
      <c r="I789" s="455">
        <f t="shared" ca="1" si="81"/>
        <v>11539742.529091306</v>
      </c>
      <c r="J789" s="455">
        <f t="array" ref="J789">IFERROR(INDEX('Retirement Calculator'!J:J,MATCH('Isaac 401k'!N789,'Retirement Calculator'!A:A,0),0),0)</f>
        <v>6404.7404596389215</v>
      </c>
      <c r="K789" s="455">
        <f t="shared" ca="1" si="79"/>
        <v>48055.57411929861</v>
      </c>
      <c r="L789" s="455">
        <f t="shared" ca="1" si="80"/>
        <v>11581393.362750964</v>
      </c>
      <c r="M789" s="471">
        <f t="shared" si="82"/>
        <v>0.05</v>
      </c>
      <c r="N789" s="475">
        <f t="shared" si="83"/>
        <v>75058</v>
      </c>
    </row>
    <row r="790" spans="7:14" ht="11.25" customHeight="1" x14ac:dyDescent="0.3">
      <c r="G790" s="470">
        <f t="shared" si="85"/>
        <v>66</v>
      </c>
      <c r="H790" s="470">
        <v>783</v>
      </c>
      <c r="I790" s="455">
        <f t="shared" ca="1" si="81"/>
        <v>11581393.362750964</v>
      </c>
      <c r="J790" s="455">
        <f t="array" ref="J790">IFERROR(INDEX('Retirement Calculator'!J:J,MATCH('Isaac 401k'!N790,'Retirement Calculator'!A:A,0),0),0)</f>
        <v>6404.7404596389215</v>
      </c>
      <c r="K790" s="455">
        <f t="shared" ca="1" si="79"/>
        <v>48229.119259547188</v>
      </c>
      <c r="L790" s="455">
        <f t="shared" ca="1" si="80"/>
        <v>11623217.741550872</v>
      </c>
      <c r="M790" s="471">
        <f t="shared" si="82"/>
        <v>0.05</v>
      </c>
      <c r="N790" s="475">
        <f t="shared" si="83"/>
        <v>75089</v>
      </c>
    </row>
    <row r="791" spans="7:14" ht="11.25" customHeight="1" x14ac:dyDescent="0.3">
      <c r="G791" s="470">
        <f t="shared" si="85"/>
        <v>66</v>
      </c>
      <c r="H791" s="470">
        <v>784</v>
      </c>
      <c r="I791" s="455">
        <f t="shared" ca="1" si="81"/>
        <v>11623217.741550872</v>
      </c>
      <c r="J791" s="455">
        <f t="array" ref="J791">IFERROR(INDEX('Retirement Calculator'!J:J,MATCH('Isaac 401k'!N791,'Retirement Calculator'!A:A,0),0),0)</f>
        <v>6404.7404596389215</v>
      </c>
      <c r="K791" s="455">
        <f t="shared" ca="1" si="79"/>
        <v>48403.387504546801</v>
      </c>
      <c r="L791" s="455">
        <f t="shared" ca="1" si="80"/>
        <v>11665216.388595778</v>
      </c>
      <c r="M791" s="471">
        <f t="shared" si="82"/>
        <v>0.05</v>
      </c>
      <c r="N791" s="475">
        <f t="shared" si="83"/>
        <v>75120</v>
      </c>
    </row>
    <row r="792" spans="7:14" ht="11.25" customHeight="1" x14ac:dyDescent="0.3">
      <c r="G792" s="470">
        <f t="shared" si="85"/>
        <v>66</v>
      </c>
      <c r="H792" s="470">
        <v>785</v>
      </c>
      <c r="I792" s="455">
        <f t="shared" ca="1" si="81"/>
        <v>11665216.388595778</v>
      </c>
      <c r="J792" s="455">
        <f t="array" ref="J792">IFERROR(INDEX('Retirement Calculator'!J:J,MATCH('Isaac 401k'!N792,'Retirement Calculator'!A:A,0),0),0)</f>
        <v>6404.7404596389215</v>
      </c>
      <c r="K792" s="455">
        <f t="shared" ca="1" si="79"/>
        <v>48578.381867233911</v>
      </c>
      <c r="L792" s="455">
        <f t="shared" ca="1" si="80"/>
        <v>11707390.030003373</v>
      </c>
      <c r="M792" s="471">
        <f t="shared" si="82"/>
        <v>0.05</v>
      </c>
      <c r="N792" s="475">
        <f t="shared" si="83"/>
        <v>75150</v>
      </c>
    </row>
    <row r="793" spans="7:14" ht="11.25" customHeight="1" x14ac:dyDescent="0.3">
      <c r="G793" s="470">
        <f t="shared" si="85"/>
        <v>66</v>
      </c>
      <c r="H793" s="470">
        <v>786</v>
      </c>
      <c r="I793" s="455">
        <f t="shared" ca="1" si="81"/>
        <v>11707390.030003373</v>
      </c>
      <c r="J793" s="455">
        <f t="array" ref="J793">IFERROR(INDEX('Retirement Calculator'!J:J,MATCH('Isaac 401k'!N793,'Retirement Calculator'!A:A,0),0),0)</f>
        <v>6404.7404596389215</v>
      </c>
      <c r="K793" s="455">
        <f t="shared" ca="1" si="79"/>
        <v>48754.105373098886</v>
      </c>
      <c r="L793" s="455">
        <f t="shared" ca="1" si="80"/>
        <v>11749739.394916832</v>
      </c>
      <c r="M793" s="471">
        <f t="shared" si="82"/>
        <v>0.05</v>
      </c>
      <c r="N793" s="475">
        <f t="shared" si="83"/>
        <v>75181</v>
      </c>
    </row>
    <row r="794" spans="7:14" ht="11.25" customHeight="1" x14ac:dyDescent="0.3">
      <c r="G794" s="470">
        <f t="shared" si="85"/>
        <v>66</v>
      </c>
      <c r="H794" s="470">
        <v>787</v>
      </c>
      <c r="I794" s="455">
        <f t="shared" ca="1" si="81"/>
        <v>11749739.394916832</v>
      </c>
      <c r="J794" s="455">
        <f t="array" ref="J794">IFERROR(INDEX('Retirement Calculator'!J:J,MATCH('Isaac 401k'!N794,'Retirement Calculator'!A:A,0),0),0)</f>
        <v>6404.7404596389215</v>
      </c>
      <c r="K794" s="455">
        <f t="shared" ca="1" si="79"/>
        <v>48930.561060238302</v>
      </c>
      <c r="L794" s="455">
        <f t="shared" ca="1" si="80"/>
        <v>11792265.215517431</v>
      </c>
      <c r="M794" s="471">
        <f t="shared" si="82"/>
        <v>0.05</v>
      </c>
      <c r="N794" s="475">
        <f t="shared" si="83"/>
        <v>75211</v>
      </c>
    </row>
    <row r="795" spans="7:14" ht="11.25" customHeight="1" x14ac:dyDescent="0.3">
      <c r="G795" s="470">
        <f t="shared" si="85"/>
        <v>66</v>
      </c>
      <c r="H795" s="470">
        <v>788</v>
      </c>
      <c r="I795" s="455">
        <f t="shared" ca="1" si="81"/>
        <v>11792265.215517431</v>
      </c>
      <c r="J795" s="455">
        <f t="array" ref="J795">IFERROR(INDEX('Retirement Calculator'!J:J,MATCH('Isaac 401k'!N795,'Retirement Calculator'!A:A,0),0),0)</f>
        <v>6404.7404596389215</v>
      </c>
      <c r="K795" s="455">
        <f t="shared" ca="1" si="79"/>
        <v>49107.751979407469</v>
      </c>
      <c r="L795" s="455">
        <f t="shared" ca="1" si="80"/>
        <v>11834968.227037199</v>
      </c>
      <c r="M795" s="471">
        <f t="shared" si="82"/>
        <v>0.05</v>
      </c>
      <c r="N795" s="475">
        <f t="shared" si="83"/>
        <v>75242</v>
      </c>
    </row>
    <row r="796" spans="7:14" ht="11.25" customHeight="1" x14ac:dyDescent="0.3">
      <c r="G796" s="470">
        <f t="shared" si="85"/>
        <v>66</v>
      </c>
      <c r="H796" s="470">
        <v>789</v>
      </c>
      <c r="I796" s="455">
        <f t="shared" ca="1" si="81"/>
        <v>11834968.227037199</v>
      </c>
      <c r="J796" s="455">
        <f t="array" ref="J796">IFERROR(INDEX('Retirement Calculator'!J:J,MATCH('Isaac 401k'!N796,'Retirement Calculator'!A:A,0),0),0)</f>
        <v>6404.7404596389215</v>
      </c>
      <c r="K796" s="455">
        <f t="shared" ca="1" si="79"/>
        <v>49285.681194073164</v>
      </c>
      <c r="L796" s="455">
        <f t="shared" ca="1" si="80"/>
        <v>11877849.167771632</v>
      </c>
      <c r="M796" s="471">
        <f t="shared" si="82"/>
        <v>0.05</v>
      </c>
      <c r="N796" s="475">
        <f t="shared" si="83"/>
        <v>75273</v>
      </c>
    </row>
    <row r="797" spans="7:14" ht="11.25" customHeight="1" x14ac:dyDescent="0.3">
      <c r="G797" s="470">
        <f t="shared" si="85"/>
        <v>66</v>
      </c>
      <c r="H797" s="470">
        <v>790</v>
      </c>
      <c r="I797" s="455">
        <f t="shared" ca="1" si="81"/>
        <v>11877849.167771632</v>
      </c>
      <c r="J797" s="455">
        <f t="array" ref="J797">IFERROR(INDEX('Retirement Calculator'!J:J,MATCH('Isaac 401k'!N797,'Retirement Calculator'!A:A,0),0),0)</f>
        <v>6404.7404596389215</v>
      </c>
      <c r="K797" s="455">
        <f t="shared" ca="1" si="79"/>
        <v>49464.351780466633</v>
      </c>
      <c r="L797" s="455">
        <f t="shared" ca="1" si="80"/>
        <v>11920908.779092459</v>
      </c>
      <c r="M797" s="471">
        <f t="shared" si="82"/>
        <v>0.05</v>
      </c>
      <c r="N797" s="475">
        <f t="shared" si="83"/>
        <v>75301</v>
      </c>
    </row>
    <row r="798" spans="7:14" ht="11.25" customHeight="1" x14ac:dyDescent="0.3">
      <c r="G798" s="470">
        <f t="shared" si="85"/>
        <v>66</v>
      </c>
      <c r="H798" s="470">
        <v>791</v>
      </c>
      <c r="I798" s="455">
        <f t="shared" ca="1" si="81"/>
        <v>11920908.779092459</v>
      </c>
      <c r="J798" s="455">
        <f t="array" ref="J798">IFERROR(INDEX('Retirement Calculator'!J:J,MATCH('Isaac 401k'!N798,'Retirement Calculator'!A:A,0),0),0)</f>
        <v>6404.7404596389215</v>
      </c>
      <c r="K798" s="455">
        <f t="shared" ca="1" si="79"/>
        <v>49643.766827636748</v>
      </c>
      <c r="L798" s="455">
        <f t="shared" ca="1" si="80"/>
        <v>11964147.805460457</v>
      </c>
      <c r="M798" s="471">
        <f t="shared" si="82"/>
        <v>0.05</v>
      </c>
      <c r="N798" s="475">
        <f t="shared" si="83"/>
        <v>75332</v>
      </c>
    </row>
    <row r="799" spans="7:14" ht="11.25" customHeight="1" x14ac:dyDescent="0.3">
      <c r="G799" s="470">
        <f t="shared" si="85"/>
        <v>66</v>
      </c>
      <c r="H799" s="470">
        <v>792</v>
      </c>
      <c r="I799" s="455">
        <f t="shared" ca="1" si="81"/>
        <v>11964147.805460457</v>
      </c>
      <c r="J799" s="455">
        <f t="array" ref="J799">IFERROR(INDEX('Retirement Calculator'!J:J,MATCH('Isaac 401k'!N799,'Retirement Calculator'!A:A,0),0),0)</f>
        <v>6404.7404596389215</v>
      </c>
      <c r="K799" s="455">
        <f t="shared" ca="1" si="79"/>
        <v>49823.929437503408</v>
      </c>
      <c r="L799" s="455">
        <f t="shared" ca="1" si="80"/>
        <v>12007566.99443832</v>
      </c>
      <c r="M799" s="471">
        <f t="shared" si="82"/>
        <v>0.05</v>
      </c>
      <c r="N799" s="475">
        <f t="shared" si="83"/>
        <v>75362</v>
      </c>
    </row>
    <row r="800" spans="7:14" ht="11.25" customHeight="1" x14ac:dyDescent="0.3">
      <c r="G800" s="470">
        <f>G799+1</f>
        <v>67</v>
      </c>
      <c r="H800" s="470">
        <v>793</v>
      </c>
      <c r="I800" s="455">
        <f t="shared" ca="1" si="81"/>
        <v>12007566.99443832</v>
      </c>
      <c r="J800" s="455">
        <f t="array" ref="J800">IFERROR(INDEX('Retirement Calculator'!J:J,MATCH('Isaac 401k'!N800,'Retirement Calculator'!A:A,0),0),0)</f>
        <v>6404.7404596389215</v>
      </c>
      <c r="K800" s="455">
        <f t="shared" ca="1" si="79"/>
        <v>50004.84272491117</v>
      </c>
      <c r="L800" s="455">
        <f t="shared" ca="1" si="80"/>
        <v>12051167.096703593</v>
      </c>
      <c r="M800" s="471">
        <f t="shared" si="82"/>
        <v>0.05</v>
      </c>
      <c r="N800" s="475">
        <f t="shared" si="83"/>
        <v>75393</v>
      </c>
    </row>
    <row r="801" spans="7:14" ht="11.25" customHeight="1" x14ac:dyDescent="0.3">
      <c r="G801" s="470">
        <f t="shared" ref="G801:G811" si="86">G800</f>
        <v>67</v>
      </c>
      <c r="H801" s="470">
        <v>794</v>
      </c>
      <c r="I801" s="455">
        <f t="shared" ca="1" si="81"/>
        <v>12051167.096703593</v>
      </c>
      <c r="J801" s="455">
        <f t="array" ref="J801">IFERROR(INDEX('Retirement Calculator'!J:J,MATCH('Isaac 401k'!N801,'Retirement Calculator'!A:A,0),0),0)</f>
        <v>6404.7404596389215</v>
      </c>
      <c r="K801" s="455">
        <f t="shared" ca="1" si="79"/>
        <v>50186.509817683138</v>
      </c>
      <c r="L801" s="455">
        <f t="shared" ca="1" si="80"/>
        <v>12094948.866061635</v>
      </c>
      <c r="M801" s="471">
        <f t="shared" si="82"/>
        <v>0.05</v>
      </c>
      <c r="N801" s="475">
        <f t="shared" si="83"/>
        <v>75423</v>
      </c>
    </row>
    <row r="802" spans="7:14" ht="11.25" customHeight="1" x14ac:dyDescent="0.3">
      <c r="G802" s="470">
        <f t="shared" si="86"/>
        <v>67</v>
      </c>
      <c r="H802" s="470">
        <v>795</v>
      </c>
      <c r="I802" s="455">
        <f t="shared" ca="1" si="81"/>
        <v>12094948.866061635</v>
      </c>
      <c r="J802" s="455">
        <f t="array" ref="J802">IFERROR(INDEX('Retirement Calculator'!J:J,MATCH('Isaac 401k'!N802,'Retirement Calculator'!A:A,0),0),0)</f>
        <v>6404.7404596389215</v>
      </c>
      <c r="K802" s="455">
        <f t="shared" ca="1" si="79"/>
        <v>50368.933856674979</v>
      </c>
      <c r="L802" s="455">
        <f t="shared" ca="1" si="80"/>
        <v>12138913.059458671</v>
      </c>
      <c r="M802" s="471">
        <f t="shared" si="82"/>
        <v>0.05</v>
      </c>
      <c r="N802" s="475">
        <f t="shared" si="83"/>
        <v>75454</v>
      </c>
    </row>
    <row r="803" spans="7:14" ht="11.25" customHeight="1" x14ac:dyDescent="0.3">
      <c r="G803" s="470">
        <f t="shared" si="86"/>
        <v>67</v>
      </c>
      <c r="H803" s="470">
        <v>796</v>
      </c>
      <c r="I803" s="455">
        <f t="shared" ca="1" si="81"/>
        <v>12138913.059458671</v>
      </c>
      <c r="J803" s="455">
        <f t="array" ref="J803">IFERROR(INDEX('Retirement Calculator'!J:J,MATCH('Isaac 401k'!N803,'Retirement Calculator'!A:A,0),0),0)</f>
        <v>6404.7404596389215</v>
      </c>
      <c r="K803" s="455">
        <f t="shared" ca="1" si="79"/>
        <v>50552.1179958293</v>
      </c>
      <c r="L803" s="455">
        <f t="shared" ca="1" si="80"/>
        <v>12183060.43699486</v>
      </c>
      <c r="M803" s="471">
        <f t="shared" si="82"/>
        <v>0.05</v>
      </c>
      <c r="N803" s="475">
        <f t="shared" si="83"/>
        <v>75485</v>
      </c>
    </row>
    <row r="804" spans="7:14" ht="11.25" customHeight="1" x14ac:dyDescent="0.3">
      <c r="G804" s="470">
        <f t="shared" si="86"/>
        <v>67</v>
      </c>
      <c r="H804" s="470">
        <v>797</v>
      </c>
      <c r="I804" s="455">
        <f t="shared" ca="1" si="81"/>
        <v>12183060.43699486</v>
      </c>
      <c r="J804" s="455">
        <f t="array" ref="J804">IFERROR(INDEX('Retirement Calculator'!J:J,MATCH('Isaac 401k'!N804,'Retirement Calculator'!A:A,0),0),0)</f>
        <v>6404.7404596389215</v>
      </c>
      <c r="K804" s="455">
        <f t="shared" ca="1" si="79"/>
        <v>50736.065402230088</v>
      </c>
      <c r="L804" s="455">
        <f t="shared" ca="1" si="80"/>
        <v>12227391.761937451</v>
      </c>
      <c r="M804" s="471">
        <f t="shared" si="82"/>
        <v>0.05</v>
      </c>
      <c r="N804" s="475">
        <f t="shared" si="83"/>
        <v>75515</v>
      </c>
    </row>
    <row r="805" spans="7:14" ht="11.25" customHeight="1" x14ac:dyDescent="0.3">
      <c r="G805" s="470">
        <f t="shared" si="86"/>
        <v>67</v>
      </c>
      <c r="H805" s="470">
        <v>798</v>
      </c>
      <c r="I805" s="455">
        <f t="shared" ca="1" si="81"/>
        <v>12227391.761937451</v>
      </c>
      <c r="J805" s="455">
        <f t="array" ref="J805">IFERROR(INDEX('Retirement Calculator'!J:J,MATCH('Isaac 401k'!N805,'Retirement Calculator'!A:A,0),0),0)</f>
        <v>6404.7404596389215</v>
      </c>
      <c r="K805" s="455">
        <f t="shared" ca="1" si="79"/>
        <v>50920.779256157548</v>
      </c>
      <c r="L805" s="455">
        <f t="shared" ca="1" si="80"/>
        <v>12271907.800733969</v>
      </c>
      <c r="M805" s="471">
        <f t="shared" si="82"/>
        <v>0.05</v>
      </c>
      <c r="N805" s="475">
        <f t="shared" si="83"/>
        <v>75546</v>
      </c>
    </row>
    <row r="806" spans="7:14" ht="11.25" customHeight="1" x14ac:dyDescent="0.3">
      <c r="G806" s="470">
        <f t="shared" si="86"/>
        <v>67</v>
      </c>
      <c r="H806" s="470">
        <v>799</v>
      </c>
      <c r="I806" s="455">
        <f t="shared" ca="1" si="81"/>
        <v>12271907.800733969</v>
      </c>
      <c r="J806" s="455">
        <f t="array" ref="J806">IFERROR(INDEX('Retirement Calculator'!J:J,MATCH('Isaac 401k'!N806,'Retirement Calculator'!A:A,0),0),0)</f>
        <v>6404.7404596389215</v>
      </c>
      <c r="K806" s="455">
        <f t="shared" ca="1" si="79"/>
        <v>51106.26275114304</v>
      </c>
      <c r="L806" s="455">
        <f t="shared" ca="1" si="80"/>
        <v>12316609.323025472</v>
      </c>
      <c r="M806" s="471">
        <f t="shared" si="82"/>
        <v>0.05</v>
      </c>
      <c r="N806" s="475">
        <f t="shared" si="83"/>
        <v>75576</v>
      </c>
    </row>
    <row r="807" spans="7:14" ht="11.25" customHeight="1" x14ac:dyDescent="0.3">
      <c r="G807" s="470">
        <f t="shared" si="86"/>
        <v>67</v>
      </c>
      <c r="H807" s="470">
        <v>800</v>
      </c>
      <c r="I807" s="455">
        <f t="shared" ca="1" si="81"/>
        <v>12316609.323025472</v>
      </c>
      <c r="J807" s="455">
        <f t="array" ref="J807">IFERROR(INDEX('Retirement Calculator'!J:J,MATCH('Isaac 401k'!N807,'Retirement Calculator'!A:A,0),0),0)</f>
        <v>6404.7404596389215</v>
      </c>
      <c r="K807" s="455">
        <f t="shared" ca="1" si="79"/>
        <v>51292.519094024305</v>
      </c>
      <c r="L807" s="455">
        <f t="shared" ca="1" si="80"/>
        <v>12361497.101659857</v>
      </c>
      <c r="M807" s="471">
        <f t="shared" si="82"/>
        <v>0.05</v>
      </c>
      <c r="N807" s="475">
        <f t="shared" si="83"/>
        <v>75607</v>
      </c>
    </row>
    <row r="808" spans="7:14" ht="11.25" customHeight="1" x14ac:dyDescent="0.3">
      <c r="G808" s="470">
        <f t="shared" si="86"/>
        <v>67</v>
      </c>
      <c r="H808" s="470">
        <v>801</v>
      </c>
      <c r="I808" s="455">
        <f t="shared" ca="1" si="81"/>
        <v>12361497.101659857</v>
      </c>
      <c r="J808" s="455">
        <f t="array" ref="J808">IFERROR(INDEX('Retirement Calculator'!J:J,MATCH('Isaac 401k'!N808,'Retirement Calculator'!A:A,0),0),0)</f>
        <v>6404.7404596389215</v>
      </c>
      <c r="K808" s="455">
        <f t="shared" ca="1" si="79"/>
        <v>51479.551505000905</v>
      </c>
      <c r="L808" s="455">
        <f t="shared" ca="1" si="80"/>
        <v>12406571.912705218</v>
      </c>
      <c r="M808" s="471">
        <f t="shared" si="82"/>
        <v>0.05</v>
      </c>
      <c r="N808" s="475">
        <f t="shared" si="83"/>
        <v>75638</v>
      </c>
    </row>
    <row r="809" spans="7:14" ht="11.25" customHeight="1" x14ac:dyDescent="0.3">
      <c r="G809" s="470">
        <f t="shared" si="86"/>
        <v>67</v>
      </c>
      <c r="H809" s="470">
        <v>802</v>
      </c>
      <c r="I809" s="455">
        <f t="shared" ca="1" si="81"/>
        <v>12406571.912705218</v>
      </c>
      <c r="J809" s="455">
        <f t="array" ref="J809">IFERROR(INDEX('Retirement Calculator'!J:J,MATCH('Isaac 401k'!N809,'Retirement Calculator'!A:A,0),0),0)</f>
        <v>6404.7404596389215</v>
      </c>
      <c r="K809" s="455">
        <f t="shared" ca="1" si="79"/>
        <v>51667.363217689912</v>
      </c>
      <c r="L809" s="455">
        <f t="shared" ca="1" si="80"/>
        <v>12451834.535463268</v>
      </c>
      <c r="M809" s="471">
        <f t="shared" si="82"/>
        <v>0.05</v>
      </c>
      <c r="N809" s="475">
        <f t="shared" si="83"/>
        <v>75666</v>
      </c>
    </row>
    <row r="810" spans="7:14" ht="11.25" customHeight="1" x14ac:dyDescent="0.3">
      <c r="G810" s="470">
        <f t="shared" si="86"/>
        <v>67</v>
      </c>
      <c r="H810" s="470">
        <v>803</v>
      </c>
      <c r="I810" s="455">
        <f t="shared" ca="1" si="81"/>
        <v>12451834.535463268</v>
      </c>
      <c r="J810" s="455">
        <f t="array" ref="J810">IFERROR(INDEX('Retirement Calculator'!J:J,MATCH('Isaac 401k'!N810,'Retirement Calculator'!A:A,0),0),0)</f>
        <v>6404.7404596389215</v>
      </c>
      <c r="K810" s="455">
        <f t="shared" ca="1" si="79"/>
        <v>51855.957479181787</v>
      </c>
      <c r="L810" s="455">
        <f t="shared" ca="1" si="80"/>
        <v>12497285.752482811</v>
      </c>
      <c r="M810" s="471">
        <f t="shared" si="82"/>
        <v>0.05</v>
      </c>
      <c r="N810" s="475">
        <f t="shared" si="83"/>
        <v>75697</v>
      </c>
    </row>
    <row r="811" spans="7:14" ht="11.25" customHeight="1" x14ac:dyDescent="0.3">
      <c r="G811" s="470">
        <f t="shared" si="86"/>
        <v>67</v>
      </c>
      <c r="H811" s="470">
        <v>804</v>
      </c>
      <c r="I811" s="455">
        <f t="shared" ca="1" si="81"/>
        <v>12497285.752482811</v>
      </c>
      <c r="J811" s="455">
        <f t="array" ref="J811">IFERROR(INDEX('Retirement Calculator'!J:J,MATCH('Isaac 401k'!N811,'Retirement Calculator'!A:A,0),0),0)</f>
        <v>6404.7404596389215</v>
      </c>
      <c r="K811" s="455">
        <f t="shared" ca="1" si="79"/>
        <v>52045.337550096549</v>
      </c>
      <c r="L811" s="455">
        <f t="shared" ca="1" si="80"/>
        <v>12542926.349573268</v>
      </c>
      <c r="M811" s="471">
        <f t="shared" si="82"/>
        <v>0.05</v>
      </c>
      <c r="N811" s="475">
        <f t="shared" si="83"/>
        <v>75727</v>
      </c>
    </row>
    <row r="812" spans="7:14" ht="11.25" customHeight="1" x14ac:dyDescent="0.3">
      <c r="G812" s="470">
        <f>G811+1</f>
        <v>68</v>
      </c>
      <c r="H812" s="470">
        <v>805</v>
      </c>
      <c r="I812" s="455">
        <f t="shared" ca="1" si="81"/>
        <v>12542926.349573268</v>
      </c>
      <c r="J812" s="455">
        <f t="array" ref="J812">IFERROR(INDEX('Retirement Calculator'!J:J,MATCH('Isaac 401k'!N812,'Retirement Calculator'!A:A,0),0),0)</f>
        <v>6404.7404596389215</v>
      </c>
      <c r="K812" s="455">
        <f t="shared" ca="1" si="79"/>
        <v>52235.506704640116</v>
      </c>
      <c r="L812" s="455">
        <f t="shared" ca="1" si="80"/>
        <v>12588757.115818268</v>
      </c>
      <c r="M812" s="471">
        <f t="shared" si="82"/>
        <v>0.05</v>
      </c>
      <c r="N812" s="475">
        <f t="shared" si="83"/>
        <v>75758</v>
      </c>
    </row>
    <row r="813" spans="7:14" ht="11.25" customHeight="1" x14ac:dyDescent="0.3">
      <c r="G813" s="470">
        <f t="shared" ref="G813:G823" si="87">G812</f>
        <v>68</v>
      </c>
      <c r="H813" s="470">
        <v>806</v>
      </c>
      <c r="I813" s="455">
        <f t="shared" ca="1" si="81"/>
        <v>12588757.115818268</v>
      </c>
      <c r="J813" s="455">
        <f t="array" ref="J813">IFERROR(INDEX('Retirement Calculator'!J:J,MATCH('Isaac 401k'!N813,'Retirement Calculator'!A:A,0),0),0)</f>
        <v>6404.7404596389215</v>
      </c>
      <c r="K813" s="455">
        <f t="shared" ca="1" si="79"/>
        <v>52426.468230660947</v>
      </c>
      <c r="L813" s="455">
        <f t="shared" ca="1" si="80"/>
        <v>12634778.843589289</v>
      </c>
      <c r="M813" s="471">
        <f t="shared" si="82"/>
        <v>0.05</v>
      </c>
      <c r="N813" s="475">
        <f t="shared" si="83"/>
        <v>75788</v>
      </c>
    </row>
    <row r="814" spans="7:14" ht="11.25" customHeight="1" x14ac:dyDescent="0.3">
      <c r="G814" s="470">
        <f t="shared" si="87"/>
        <v>68</v>
      </c>
      <c r="H814" s="470">
        <v>807</v>
      </c>
      <c r="I814" s="455">
        <f t="shared" ca="1" si="81"/>
        <v>12634778.843589289</v>
      </c>
      <c r="J814" s="455">
        <f t="array" ref="J814">IFERROR(INDEX('Retirement Calculator'!J:J,MATCH('Isaac 401k'!N814,'Retirement Calculator'!A:A,0),0),0)</f>
        <v>6404.7404596389215</v>
      </c>
      <c r="K814" s="455">
        <f t="shared" ca="1" si="79"/>
        <v>52618.225429706872</v>
      </c>
      <c r="L814" s="455">
        <f t="shared" ca="1" si="80"/>
        <v>12680992.328559356</v>
      </c>
      <c r="M814" s="471">
        <f t="shared" si="82"/>
        <v>0.05</v>
      </c>
      <c r="N814" s="475">
        <f t="shared" si="83"/>
        <v>75819</v>
      </c>
    </row>
    <row r="815" spans="7:14" ht="11.25" customHeight="1" x14ac:dyDescent="0.3">
      <c r="G815" s="470">
        <f t="shared" si="87"/>
        <v>68</v>
      </c>
      <c r="H815" s="470">
        <v>808</v>
      </c>
      <c r="I815" s="455">
        <f t="shared" ca="1" si="81"/>
        <v>12680992.328559356</v>
      </c>
      <c r="J815" s="455">
        <f t="array" ref="J815">IFERROR(INDEX('Retirement Calculator'!J:J,MATCH('Isaac 401k'!N815,'Retirement Calculator'!A:A,0),0),0)</f>
        <v>6404.7404596389215</v>
      </c>
      <c r="K815" s="455">
        <f t="shared" ca="1" si="79"/>
        <v>52810.781617082153</v>
      </c>
      <c r="L815" s="455">
        <f t="shared" ca="1" si="80"/>
        <v>12727398.369716799</v>
      </c>
      <c r="M815" s="471">
        <f t="shared" si="82"/>
        <v>0.05</v>
      </c>
      <c r="N815" s="475">
        <f t="shared" si="83"/>
        <v>75850</v>
      </c>
    </row>
    <row r="816" spans="7:14" ht="11.25" customHeight="1" x14ac:dyDescent="0.3">
      <c r="G816" s="470">
        <f t="shared" si="87"/>
        <v>68</v>
      </c>
      <c r="H816" s="470">
        <v>809</v>
      </c>
      <c r="I816" s="455">
        <f t="shared" ca="1" si="81"/>
        <v>12727398.369716799</v>
      </c>
      <c r="J816" s="455">
        <f t="array" ref="J816">IFERROR(INDEX('Retirement Calculator'!J:J,MATCH('Isaac 401k'!N816,'Retirement Calculator'!A:A,0),0),0)</f>
        <v>6404.7404596389215</v>
      </c>
      <c r="K816" s="455">
        <f t="shared" ca="1" si="79"/>
        <v>53004.140121904828</v>
      </c>
      <c r="L816" s="455">
        <f t="shared" ca="1" si="80"/>
        <v>12773997.769379064</v>
      </c>
      <c r="M816" s="471">
        <f t="shared" si="82"/>
        <v>0.05</v>
      </c>
      <c r="N816" s="475">
        <f t="shared" si="83"/>
        <v>75880</v>
      </c>
    </row>
    <row r="817" spans="7:14" ht="11.25" customHeight="1" x14ac:dyDescent="0.3">
      <c r="G817" s="470">
        <f t="shared" si="87"/>
        <v>68</v>
      </c>
      <c r="H817" s="470">
        <v>810</v>
      </c>
      <c r="I817" s="455">
        <f t="shared" ca="1" si="81"/>
        <v>12773997.769379064</v>
      </c>
      <c r="J817" s="455">
        <f t="array" ref="J817">IFERROR(INDEX('Retirement Calculator'!J:J,MATCH('Isaac 401k'!N817,'Retirement Calculator'!A:A,0),0),0)</f>
        <v>6404.7404596389215</v>
      </c>
      <c r="K817" s="455">
        <f t="shared" ca="1" si="79"/>
        <v>53198.304287164268</v>
      </c>
      <c r="L817" s="455">
        <f t="shared" ca="1" si="80"/>
        <v>12820791.333206588</v>
      </c>
      <c r="M817" s="471">
        <f t="shared" si="82"/>
        <v>0.05</v>
      </c>
      <c r="N817" s="475">
        <f t="shared" si="83"/>
        <v>75911</v>
      </c>
    </row>
    <row r="818" spans="7:14" ht="11.25" customHeight="1" x14ac:dyDescent="0.3">
      <c r="G818" s="470">
        <f t="shared" si="87"/>
        <v>68</v>
      </c>
      <c r="H818" s="470">
        <v>811</v>
      </c>
      <c r="I818" s="455">
        <f t="shared" ca="1" si="81"/>
        <v>12820791.333206588</v>
      </c>
      <c r="J818" s="455">
        <f t="array" ref="J818">IFERROR(INDEX('Retirement Calculator'!J:J,MATCH('Isaac 401k'!N818,'Retirement Calculator'!A:A,0),0),0)</f>
        <v>6404.7404596389215</v>
      </c>
      <c r="K818" s="455">
        <f t="shared" ca="1" si="79"/>
        <v>53393.27746977895</v>
      </c>
      <c r="L818" s="455">
        <f t="shared" ca="1" si="80"/>
        <v>12867779.870216727</v>
      </c>
      <c r="M818" s="471">
        <f t="shared" si="82"/>
        <v>0.05</v>
      </c>
      <c r="N818" s="475">
        <f t="shared" si="83"/>
        <v>75941</v>
      </c>
    </row>
    <row r="819" spans="7:14" ht="11.25" customHeight="1" x14ac:dyDescent="0.3">
      <c r="G819" s="470">
        <f t="shared" si="87"/>
        <v>68</v>
      </c>
      <c r="H819" s="470">
        <v>812</v>
      </c>
      <c r="I819" s="455">
        <f t="shared" ca="1" si="81"/>
        <v>12867779.870216727</v>
      </c>
      <c r="J819" s="455">
        <f t="array" ref="J819">IFERROR(INDEX('Retirement Calculator'!J:J,MATCH('Isaac 401k'!N819,'Retirement Calculator'!A:A,0),0),0)</f>
        <v>6404.7404596389215</v>
      </c>
      <c r="K819" s="455">
        <f t="shared" ca="1" si="79"/>
        <v>53589.063040654532</v>
      </c>
      <c r="L819" s="455">
        <f t="shared" ca="1" si="80"/>
        <v>12914964.192797743</v>
      </c>
      <c r="M819" s="471">
        <f t="shared" si="82"/>
        <v>0.05</v>
      </c>
      <c r="N819" s="475">
        <f t="shared" si="83"/>
        <v>75972</v>
      </c>
    </row>
    <row r="820" spans="7:14" ht="11.25" customHeight="1" x14ac:dyDescent="0.3">
      <c r="G820" s="470">
        <f t="shared" si="87"/>
        <v>68</v>
      </c>
      <c r="H820" s="470">
        <v>813</v>
      </c>
      <c r="I820" s="455">
        <f t="shared" ca="1" si="81"/>
        <v>12914964.192797743</v>
      </c>
      <c r="J820" s="455">
        <f t="array" ref="J820">IFERROR(INDEX('Retirement Calculator'!J:J,MATCH('Isaac 401k'!N820,'Retirement Calculator'!A:A,0),0),0)</f>
        <v>6404.7404596389215</v>
      </c>
      <c r="K820" s="455">
        <f t="shared" ca="1" si="79"/>
        <v>53785.664384742093</v>
      </c>
      <c r="L820" s="455">
        <f t="shared" ca="1" si="80"/>
        <v>12962345.116722845</v>
      </c>
      <c r="M820" s="471">
        <f t="shared" si="82"/>
        <v>0.05</v>
      </c>
      <c r="N820" s="475">
        <f t="shared" si="83"/>
        <v>76003</v>
      </c>
    </row>
    <row r="821" spans="7:14" ht="11.25" customHeight="1" x14ac:dyDescent="0.3">
      <c r="G821" s="470">
        <f t="shared" si="87"/>
        <v>68</v>
      </c>
      <c r="H821" s="470">
        <v>814</v>
      </c>
      <c r="I821" s="455">
        <f t="shared" ca="1" si="81"/>
        <v>12962345.116722845</v>
      </c>
      <c r="J821" s="455">
        <f t="array" ref="J821">IFERROR(INDEX('Retirement Calculator'!J:J,MATCH('Isaac 401k'!N821,'Retirement Calculator'!A:A,0),0),0)</f>
        <v>6404.7404596389215</v>
      </c>
      <c r="K821" s="455">
        <f t="shared" ca="1" si="79"/>
        <v>53983.084901096685</v>
      </c>
      <c r="L821" s="455">
        <f t="shared" ca="1" si="80"/>
        <v>13009923.461164301</v>
      </c>
      <c r="M821" s="471">
        <f t="shared" si="82"/>
        <v>0.05</v>
      </c>
      <c r="N821" s="475">
        <f t="shared" si="83"/>
        <v>76032</v>
      </c>
    </row>
    <row r="822" spans="7:14" ht="11.25" customHeight="1" x14ac:dyDescent="0.3">
      <c r="G822" s="470">
        <f t="shared" si="87"/>
        <v>68</v>
      </c>
      <c r="H822" s="470">
        <v>815</v>
      </c>
      <c r="I822" s="455">
        <f t="shared" ca="1" si="81"/>
        <v>13009923.461164301</v>
      </c>
      <c r="J822" s="455">
        <f t="array" ref="J822">IFERROR(INDEX('Retirement Calculator'!J:J,MATCH('Isaac 401k'!N822,'Retirement Calculator'!A:A,0),0),0)</f>
        <v>6404.7404596389215</v>
      </c>
      <c r="K822" s="455">
        <f t="shared" ca="1" si="79"/>
        <v>54181.32800293609</v>
      </c>
      <c r="L822" s="455">
        <f t="shared" ca="1" si="80"/>
        <v>13057700.048707597</v>
      </c>
      <c r="M822" s="471">
        <f t="shared" si="82"/>
        <v>0.05</v>
      </c>
      <c r="N822" s="475">
        <f t="shared" si="83"/>
        <v>76063</v>
      </c>
    </row>
    <row r="823" spans="7:14" ht="11.25" customHeight="1" x14ac:dyDescent="0.3">
      <c r="G823" s="470">
        <f t="shared" si="87"/>
        <v>68</v>
      </c>
      <c r="H823" s="470">
        <v>816</v>
      </c>
      <c r="I823" s="455">
        <f t="shared" ca="1" si="81"/>
        <v>13057700.048707597</v>
      </c>
      <c r="J823" s="455">
        <f t="array" ref="J823">IFERROR(INDEX('Retirement Calculator'!J:J,MATCH('Isaac 401k'!N823,'Retirement Calculator'!A:A,0),0),0)</f>
        <v>6404.7404596389215</v>
      </c>
      <c r="K823" s="455">
        <f t="shared" ca="1" si="79"/>
        <v>54380.397117699824</v>
      </c>
      <c r="L823" s="455">
        <f t="shared" ca="1" si="80"/>
        <v>13105675.705365658</v>
      </c>
      <c r="M823" s="471">
        <f t="shared" si="82"/>
        <v>0.05</v>
      </c>
      <c r="N823" s="475">
        <f t="shared" si="83"/>
        <v>76093</v>
      </c>
    </row>
    <row r="824" spans="7:14" ht="11.25" customHeight="1" x14ac:dyDescent="0.3">
      <c r="G824" s="470">
        <f>G823+1</f>
        <v>69</v>
      </c>
      <c r="H824" s="470">
        <v>817</v>
      </c>
      <c r="I824" s="455">
        <f t="shared" ca="1" si="81"/>
        <v>13105675.705365658</v>
      </c>
      <c r="J824" s="455">
        <f t="array" ref="J824">IFERROR(INDEX('Retirement Calculator'!J:J,MATCH('Isaac 401k'!N824,'Retirement Calculator'!A:A,0),0),0)</f>
        <v>6404.7404596389215</v>
      </c>
      <c r="K824" s="455">
        <f t="shared" ca="1" si="79"/>
        <v>54580.29568710841</v>
      </c>
      <c r="L824" s="455">
        <f t="shared" ca="1" si="80"/>
        <v>13153851.260593127</v>
      </c>
      <c r="M824" s="471">
        <f t="shared" si="82"/>
        <v>0.05</v>
      </c>
      <c r="N824" s="475">
        <f t="shared" si="83"/>
        <v>76124</v>
      </c>
    </row>
    <row r="825" spans="7:14" ht="11.25" customHeight="1" x14ac:dyDescent="0.3">
      <c r="G825" s="470">
        <f t="shared" ref="G825:G835" si="88">G824</f>
        <v>69</v>
      </c>
      <c r="H825" s="470">
        <v>818</v>
      </c>
      <c r="I825" s="455">
        <f t="shared" ca="1" si="81"/>
        <v>13153851.260593127</v>
      </c>
      <c r="J825" s="455">
        <f t="array" ref="J825">IFERROR(INDEX('Retirement Calculator'!J:J,MATCH('Isaac 401k'!N825,'Retirement Calculator'!A:A,0),0),0)</f>
        <v>6404.7404596389215</v>
      </c>
      <c r="K825" s="455">
        <f t="shared" ca="1" si="79"/>
        <v>54781.02716722287</v>
      </c>
      <c r="L825" s="455">
        <f t="shared" ca="1" si="80"/>
        <v>13202227.547300711</v>
      </c>
      <c r="M825" s="471">
        <f t="shared" si="82"/>
        <v>0.05</v>
      </c>
      <c r="N825" s="475">
        <f t="shared" si="83"/>
        <v>76154</v>
      </c>
    </row>
    <row r="826" spans="7:14" ht="11.25" customHeight="1" x14ac:dyDescent="0.3">
      <c r="G826" s="470">
        <f t="shared" si="88"/>
        <v>69</v>
      </c>
      <c r="H826" s="470">
        <v>819</v>
      </c>
      <c r="I826" s="455">
        <f t="shared" ca="1" si="81"/>
        <v>13202227.547300711</v>
      </c>
      <c r="J826" s="455">
        <f t="array" ref="J826">IFERROR(INDEX('Retirement Calculator'!J:J,MATCH('Isaac 401k'!N826,'Retirement Calculator'!A:A,0),0),0)</f>
        <v>6404.7404596389215</v>
      </c>
      <c r="K826" s="455">
        <f t="shared" ca="1" si="79"/>
        <v>54982.595028504467</v>
      </c>
      <c r="L826" s="455">
        <f t="shared" ca="1" si="80"/>
        <v>13250805.401869576</v>
      </c>
      <c r="M826" s="471">
        <f t="shared" si="82"/>
        <v>0.05</v>
      </c>
      <c r="N826" s="475">
        <f t="shared" si="83"/>
        <v>76185</v>
      </c>
    </row>
    <row r="827" spans="7:14" ht="11.25" customHeight="1" x14ac:dyDescent="0.3">
      <c r="G827" s="470">
        <f t="shared" si="88"/>
        <v>69</v>
      </c>
      <c r="H827" s="470">
        <v>820</v>
      </c>
      <c r="I827" s="455">
        <f t="shared" ca="1" si="81"/>
        <v>13250805.401869576</v>
      </c>
      <c r="J827" s="455">
        <f t="array" ref="J827">IFERROR(INDEX('Retirement Calculator'!J:J,MATCH('Isaac 401k'!N827,'Retirement Calculator'!A:A,0),0),0)</f>
        <v>6404.7404596389215</v>
      </c>
      <c r="K827" s="455">
        <f t="shared" ca="1" si="79"/>
        <v>55185.002755874746</v>
      </c>
      <c r="L827" s="455">
        <f t="shared" ca="1" si="80"/>
        <v>13299585.664165812</v>
      </c>
      <c r="M827" s="471">
        <f t="shared" si="82"/>
        <v>0.05</v>
      </c>
      <c r="N827" s="475">
        <f t="shared" si="83"/>
        <v>76216</v>
      </c>
    </row>
    <row r="828" spans="7:14" ht="11.25" customHeight="1" x14ac:dyDescent="0.3">
      <c r="G828" s="470">
        <f t="shared" si="88"/>
        <v>69</v>
      </c>
      <c r="H828" s="470">
        <v>821</v>
      </c>
      <c r="I828" s="455">
        <f t="shared" ca="1" si="81"/>
        <v>13299585.664165812</v>
      </c>
      <c r="J828" s="455">
        <f t="array" ref="J828">IFERROR(INDEX('Retirement Calculator'!J:J,MATCH('Isaac 401k'!N828,'Retirement Calculator'!A:A,0),0),0)</f>
        <v>6404.7404596389215</v>
      </c>
      <c r="K828" s="455">
        <f t="shared" ca="1" si="79"/>
        <v>55388.253848775719</v>
      </c>
      <c r="L828" s="455">
        <f t="shared" ca="1" si="80"/>
        <v>13348569.177554948</v>
      </c>
      <c r="M828" s="471">
        <f t="shared" si="82"/>
        <v>0.05</v>
      </c>
      <c r="N828" s="475">
        <f t="shared" si="83"/>
        <v>76246</v>
      </c>
    </row>
    <row r="829" spans="7:14" ht="11.25" customHeight="1" x14ac:dyDescent="0.3">
      <c r="G829" s="470">
        <f t="shared" si="88"/>
        <v>69</v>
      </c>
      <c r="H829" s="470">
        <v>822</v>
      </c>
      <c r="I829" s="455">
        <f t="shared" ca="1" si="81"/>
        <v>13348569.177554948</v>
      </c>
      <c r="J829" s="455">
        <f t="array" ref="J829">IFERROR(INDEX('Retirement Calculator'!J:J,MATCH('Isaac 401k'!N829,'Retirement Calculator'!A:A,0),0),0)</f>
        <v>6404.7404596389215</v>
      </c>
      <c r="K829" s="455">
        <f t="shared" ca="1" si="79"/>
        <v>55592.351821230441</v>
      </c>
      <c r="L829" s="455">
        <f t="shared" ca="1" si="80"/>
        <v>13397756.788916539</v>
      </c>
      <c r="M829" s="471">
        <f t="shared" si="82"/>
        <v>0.05</v>
      </c>
      <c r="N829" s="475">
        <f t="shared" si="83"/>
        <v>76277</v>
      </c>
    </row>
    <row r="830" spans="7:14" ht="11.25" customHeight="1" x14ac:dyDescent="0.3">
      <c r="G830" s="470">
        <f t="shared" si="88"/>
        <v>69</v>
      </c>
      <c r="H830" s="470">
        <v>823</v>
      </c>
      <c r="I830" s="455">
        <f t="shared" ca="1" si="81"/>
        <v>13397756.788916539</v>
      </c>
      <c r="J830" s="455">
        <f t="array" ref="J830">IFERROR(INDEX('Retirement Calculator'!J:J,MATCH('Isaac 401k'!N830,'Retirement Calculator'!A:A,0),0),0)</f>
        <v>6404.7404596389215</v>
      </c>
      <c r="K830" s="455">
        <f t="shared" ca="1" si="79"/>
        <v>55797.300201903745</v>
      </c>
      <c r="L830" s="455">
        <f t="shared" ca="1" si="80"/>
        <v>13447149.348658804</v>
      </c>
      <c r="M830" s="471">
        <f t="shared" si="82"/>
        <v>0.05</v>
      </c>
      <c r="N830" s="475">
        <f t="shared" si="83"/>
        <v>76307</v>
      </c>
    </row>
    <row r="831" spans="7:14" ht="11.25" customHeight="1" x14ac:dyDescent="0.3">
      <c r="G831" s="470">
        <f t="shared" si="88"/>
        <v>69</v>
      </c>
      <c r="H831" s="470">
        <v>824</v>
      </c>
      <c r="I831" s="455">
        <f t="shared" ca="1" si="81"/>
        <v>13447149.348658804</v>
      </c>
      <c r="J831" s="455">
        <f t="array" ref="J831">IFERROR(INDEX('Retirement Calculator'!J:J,MATCH('Isaac 401k'!N831,'Retirement Calculator'!A:A,0),0),0)</f>
        <v>6404.7404596389215</v>
      </c>
      <c r="K831" s="455">
        <f t="shared" ca="1" si="79"/>
        <v>56003.10253416319</v>
      </c>
      <c r="L831" s="455">
        <f t="shared" ca="1" si="80"/>
        <v>13496747.710733328</v>
      </c>
      <c r="M831" s="471">
        <f t="shared" si="82"/>
        <v>0.05</v>
      </c>
      <c r="N831" s="475">
        <f t="shared" si="83"/>
        <v>76338</v>
      </c>
    </row>
    <row r="832" spans="7:14" ht="11.25" customHeight="1" x14ac:dyDescent="0.3">
      <c r="G832" s="470">
        <f t="shared" si="88"/>
        <v>69</v>
      </c>
      <c r="H832" s="470">
        <v>825</v>
      </c>
      <c r="I832" s="455">
        <f t="shared" ca="1" si="81"/>
        <v>13496747.710733328</v>
      </c>
      <c r="J832" s="455">
        <f t="array" ref="J832">IFERROR(INDEX('Retirement Calculator'!J:J,MATCH('Isaac 401k'!N832,'Retirement Calculator'!A:A,0),0),0)</f>
        <v>6404.7404596389215</v>
      </c>
      <c r="K832" s="455">
        <f t="shared" ca="1" si="79"/>
        <v>56209.762376140374</v>
      </c>
      <c r="L832" s="455">
        <f t="shared" ca="1" si="80"/>
        <v>13546552.732649829</v>
      </c>
      <c r="M832" s="471">
        <f t="shared" si="82"/>
        <v>0.05</v>
      </c>
      <c r="N832" s="475">
        <f t="shared" si="83"/>
        <v>76369</v>
      </c>
    </row>
    <row r="833" spans="7:14" ht="11.25" customHeight="1" x14ac:dyDescent="0.3">
      <c r="G833" s="470">
        <f t="shared" si="88"/>
        <v>69</v>
      </c>
      <c r="H833" s="470">
        <v>826</v>
      </c>
      <c r="I833" s="455">
        <f t="shared" ca="1" si="81"/>
        <v>13546552.732649829</v>
      </c>
      <c r="J833" s="455">
        <f t="array" ref="J833">IFERROR(INDEX('Retirement Calculator'!J:J,MATCH('Isaac 401k'!N833,'Retirement Calculator'!A:A,0),0),0)</f>
        <v>6404.7404596389215</v>
      </c>
      <c r="K833" s="455">
        <f t="shared" ca="1" si="79"/>
        <v>56417.283300792456</v>
      </c>
      <c r="L833" s="455">
        <f t="shared" ca="1" si="80"/>
        <v>13596565.275490982</v>
      </c>
      <c r="M833" s="471">
        <f t="shared" si="82"/>
        <v>0.05</v>
      </c>
      <c r="N833" s="475">
        <f t="shared" si="83"/>
        <v>76397</v>
      </c>
    </row>
    <row r="834" spans="7:14" ht="11.25" customHeight="1" x14ac:dyDescent="0.3">
      <c r="G834" s="470">
        <f t="shared" si="88"/>
        <v>69</v>
      </c>
      <c r="H834" s="470">
        <v>827</v>
      </c>
      <c r="I834" s="455">
        <f t="shared" ca="1" si="81"/>
        <v>13596565.275490982</v>
      </c>
      <c r="J834" s="455">
        <f t="array" ref="J834">IFERROR(INDEX('Retirement Calculator'!J:J,MATCH('Isaac 401k'!N834,'Retirement Calculator'!A:A,0),0),0)</f>
        <v>6404.7404596389215</v>
      </c>
      <c r="K834" s="455">
        <f t="shared" ca="1" si="79"/>
        <v>56625.668895963929</v>
      </c>
      <c r="L834" s="455">
        <f t="shared" ca="1" si="80"/>
        <v>13646786.203927306</v>
      </c>
      <c r="M834" s="471">
        <f t="shared" si="82"/>
        <v>0.05</v>
      </c>
      <c r="N834" s="475">
        <f t="shared" si="83"/>
        <v>76428</v>
      </c>
    </row>
    <row r="835" spans="7:14" ht="11.25" customHeight="1" x14ac:dyDescent="0.3">
      <c r="G835" s="470">
        <f t="shared" si="88"/>
        <v>69</v>
      </c>
      <c r="H835" s="470">
        <v>828</v>
      </c>
      <c r="I835" s="455">
        <f t="shared" ca="1" si="81"/>
        <v>13646786.203927306</v>
      </c>
      <c r="J835" s="455">
        <f t="array" ref="J835">IFERROR(INDEX('Retirement Calculator'!J:J,MATCH('Isaac 401k'!N835,'Retirement Calculator'!A:A,0),0),0)</f>
        <v>6404.7404596389215</v>
      </c>
      <c r="K835" s="455">
        <f t="shared" ca="1" si="79"/>
        <v>56834.922764448616</v>
      </c>
      <c r="L835" s="455">
        <f t="shared" ca="1" si="80"/>
        <v>13697216.386232115</v>
      </c>
      <c r="M835" s="471">
        <f t="shared" si="82"/>
        <v>0.05</v>
      </c>
      <c r="N835" s="475">
        <f t="shared" si="83"/>
        <v>76458</v>
      </c>
    </row>
    <row r="836" spans="7:14" ht="11.25" customHeight="1" x14ac:dyDescent="0.3">
      <c r="G836" s="470">
        <f>G835+1</f>
        <v>70</v>
      </c>
      <c r="H836" s="470">
        <v>829</v>
      </c>
      <c r="I836" s="455">
        <f t="shared" ca="1" si="81"/>
        <v>13697216.386232115</v>
      </c>
      <c r="J836" s="455">
        <f t="array" ref="J836">IFERROR(INDEX('Retirement Calculator'!J:J,MATCH('Isaac 401k'!N836,'Retirement Calculator'!A:A,0),0),0)</f>
        <v>6404.7404596389215</v>
      </c>
      <c r="K836" s="455">
        <f t="shared" ca="1" si="79"/>
        <v>57045.048524051985</v>
      </c>
      <c r="L836" s="455">
        <f t="shared" ca="1" si="80"/>
        <v>13747856.694296528</v>
      </c>
      <c r="M836" s="471">
        <f t="shared" si="82"/>
        <v>0.05</v>
      </c>
      <c r="N836" s="475">
        <f t="shared" si="83"/>
        <v>76489</v>
      </c>
    </row>
    <row r="837" spans="7:14" ht="11.25" customHeight="1" x14ac:dyDescent="0.3">
      <c r="G837" s="470">
        <f t="shared" ref="G837:G847" si="89">G836</f>
        <v>70</v>
      </c>
      <c r="H837" s="470">
        <v>830</v>
      </c>
      <c r="I837" s="455">
        <f t="shared" ca="1" si="81"/>
        <v>13747856.694296528</v>
      </c>
      <c r="J837" s="455">
        <f t="array" ref="J837">IFERROR(INDEX('Retirement Calculator'!J:J,MATCH('Isaac 401k'!N837,'Retirement Calculator'!A:A,0),0),0)</f>
        <v>6404.7404596389215</v>
      </c>
      <c r="K837" s="455">
        <f t="shared" ca="1" si="79"/>
        <v>57256.049807653697</v>
      </c>
      <c r="L837" s="455">
        <f t="shared" ca="1" si="80"/>
        <v>13798708.003644541</v>
      </c>
      <c r="M837" s="471">
        <f t="shared" si="82"/>
        <v>0.05</v>
      </c>
      <c r="N837" s="475">
        <f t="shared" si="83"/>
        <v>76519</v>
      </c>
    </row>
    <row r="838" spans="7:14" ht="11.25" customHeight="1" x14ac:dyDescent="0.3">
      <c r="G838" s="470">
        <f t="shared" si="89"/>
        <v>70</v>
      </c>
      <c r="H838" s="470">
        <v>831</v>
      </c>
      <c r="I838" s="455">
        <f t="shared" ca="1" si="81"/>
        <v>13798708.003644541</v>
      </c>
      <c r="J838" s="455">
        <f t="array" ref="J838">IFERROR(INDEX('Retirement Calculator'!J:J,MATCH('Isaac 401k'!N838,'Retirement Calculator'!A:A,0),0),0)</f>
        <v>6404.7404596389215</v>
      </c>
      <c r="K838" s="455">
        <f t="shared" ca="1" si="79"/>
        <v>57467.930263270413</v>
      </c>
      <c r="L838" s="455">
        <f t="shared" ca="1" si="80"/>
        <v>13849771.193448171</v>
      </c>
      <c r="M838" s="471">
        <f t="shared" si="82"/>
        <v>0.05</v>
      </c>
      <c r="N838" s="475">
        <f t="shared" si="83"/>
        <v>76550</v>
      </c>
    </row>
    <row r="839" spans="7:14" ht="11.25" customHeight="1" x14ac:dyDescent="0.3">
      <c r="G839" s="470">
        <f t="shared" si="89"/>
        <v>70</v>
      </c>
      <c r="H839" s="470">
        <v>832</v>
      </c>
      <c r="I839" s="455">
        <f t="shared" ca="1" si="81"/>
        <v>13849771.193448171</v>
      </c>
      <c r="J839" s="455">
        <f t="array" ref="J839">IFERROR(INDEX('Retirement Calculator'!J:J,MATCH('Isaac 401k'!N839,'Retirement Calculator'!A:A,0),0),0)</f>
        <v>6404.7404596389215</v>
      </c>
      <c r="K839" s="455">
        <f t="shared" ca="1" si="79"/>
        <v>57680.69355411888</v>
      </c>
      <c r="L839" s="455">
        <f t="shared" ca="1" si="80"/>
        <v>13901047.14654265</v>
      </c>
      <c r="M839" s="471">
        <f t="shared" si="82"/>
        <v>0.05</v>
      </c>
      <c r="N839" s="475">
        <f t="shared" si="83"/>
        <v>76581</v>
      </c>
    </row>
    <row r="840" spans="7:14" ht="11.25" customHeight="1" x14ac:dyDescent="0.3">
      <c r="G840" s="470">
        <f t="shared" si="89"/>
        <v>70</v>
      </c>
      <c r="H840" s="470">
        <v>833</v>
      </c>
      <c r="I840" s="455">
        <f t="shared" ca="1" si="81"/>
        <v>13901047.14654265</v>
      </c>
      <c r="J840" s="455">
        <f t="array" ref="J840">IFERROR(INDEX('Retirement Calculator'!J:J,MATCH('Isaac 401k'!N840,'Retirement Calculator'!A:A,0),0),0)</f>
        <v>6404.7404596389215</v>
      </c>
      <c r="K840" s="455">
        <f t="shared" ca="1" si="79"/>
        <v>57894.343358679209</v>
      </c>
      <c r="L840" s="455">
        <f t="shared" ca="1" si="80"/>
        <v>13952536.749441689</v>
      </c>
      <c r="M840" s="471">
        <f t="shared" si="82"/>
        <v>0.05</v>
      </c>
      <c r="N840" s="475">
        <f t="shared" si="83"/>
        <v>76611</v>
      </c>
    </row>
    <row r="841" spans="7:14" ht="11.25" customHeight="1" x14ac:dyDescent="0.3">
      <c r="G841" s="470">
        <f t="shared" si="89"/>
        <v>70</v>
      </c>
      <c r="H841" s="470">
        <v>834</v>
      </c>
      <c r="I841" s="455">
        <f t="shared" ca="1" si="81"/>
        <v>13952536.749441689</v>
      </c>
      <c r="J841" s="455">
        <f t="array" ref="J841">IFERROR(INDEX('Retirement Calculator'!J:J,MATCH('Isaac 401k'!N841,'Retirement Calculator'!A:A,0),0),0)</f>
        <v>6404.7404596389215</v>
      </c>
      <c r="K841" s="455">
        <f t="shared" ca="1" si="79"/>
        <v>58108.883370758536</v>
      </c>
      <c r="L841" s="455">
        <f t="shared" ca="1" si="80"/>
        <v>14004240.892352808</v>
      </c>
      <c r="M841" s="471">
        <f t="shared" si="82"/>
        <v>0.05</v>
      </c>
      <c r="N841" s="475">
        <f t="shared" si="83"/>
        <v>76642</v>
      </c>
    </row>
    <row r="842" spans="7:14" ht="11.25" customHeight="1" x14ac:dyDescent="0.3">
      <c r="G842" s="470">
        <f t="shared" si="89"/>
        <v>70</v>
      </c>
      <c r="H842" s="470">
        <v>835</v>
      </c>
      <c r="I842" s="455">
        <f t="shared" ca="1" si="81"/>
        <v>14004240.892352808</v>
      </c>
      <c r="J842" s="455">
        <f t="array" ref="J842">IFERROR(INDEX('Retirement Calculator'!J:J,MATCH('Isaac 401k'!N842,'Retirement Calculator'!A:A,0),0),0)</f>
        <v>6404.7404596389215</v>
      </c>
      <c r="K842" s="455">
        <f t="shared" ca="1" si="79"/>
        <v>58324.317299554867</v>
      </c>
      <c r="L842" s="455">
        <f t="shared" ca="1" si="80"/>
        <v>14056160.469192723</v>
      </c>
      <c r="M842" s="471">
        <f t="shared" si="82"/>
        <v>0.05</v>
      </c>
      <c r="N842" s="475">
        <f t="shared" si="83"/>
        <v>76672</v>
      </c>
    </row>
    <row r="843" spans="7:14" ht="11.25" customHeight="1" x14ac:dyDescent="0.3">
      <c r="G843" s="470">
        <f t="shared" si="89"/>
        <v>70</v>
      </c>
      <c r="H843" s="470">
        <v>836</v>
      </c>
      <c r="I843" s="455">
        <f t="shared" ca="1" si="81"/>
        <v>14056160.469192723</v>
      </c>
      <c r="J843" s="455">
        <f t="array" ref="J843">IFERROR(INDEX('Retirement Calculator'!J:J,MATCH('Isaac 401k'!N843,'Retirement Calculator'!A:A,0),0),0)</f>
        <v>6404.7404596389215</v>
      </c>
      <c r="K843" s="455">
        <f t="shared" ca="1" si="79"/>
        <v>58540.648869721183</v>
      </c>
      <c r="L843" s="455">
        <f t="shared" ca="1" si="80"/>
        <v>14108296.377602804</v>
      </c>
      <c r="M843" s="471">
        <f t="shared" si="82"/>
        <v>0.05</v>
      </c>
      <c r="N843" s="475">
        <f t="shared" si="83"/>
        <v>76703</v>
      </c>
    </row>
    <row r="844" spans="7:14" ht="11.25" customHeight="1" x14ac:dyDescent="0.3">
      <c r="G844" s="470">
        <f t="shared" si="89"/>
        <v>70</v>
      </c>
      <c r="H844" s="470">
        <v>837</v>
      </c>
      <c r="I844" s="455">
        <f t="shared" ca="1" si="81"/>
        <v>14108296.377602804</v>
      </c>
      <c r="J844" s="455">
        <f t="array" ref="J844">IFERROR(INDEX('Retirement Calculator'!J:J,MATCH('Isaac 401k'!N844,'Retirement Calculator'!A:A,0),0),0)</f>
        <v>6404.7404596389215</v>
      </c>
      <c r="K844" s="455">
        <f t="shared" ca="1" si="79"/>
        <v>58757.881821429852</v>
      </c>
      <c r="L844" s="455">
        <f t="shared" ca="1" si="80"/>
        <v>14160649.518964594</v>
      </c>
      <c r="M844" s="471">
        <f t="shared" si="82"/>
        <v>0.05</v>
      </c>
      <c r="N844" s="475">
        <f t="shared" si="83"/>
        <v>76734</v>
      </c>
    </row>
    <row r="845" spans="7:14" ht="11.25" customHeight="1" x14ac:dyDescent="0.3">
      <c r="G845" s="470">
        <f t="shared" si="89"/>
        <v>70</v>
      </c>
      <c r="H845" s="470">
        <v>838</v>
      </c>
      <c r="I845" s="455">
        <f t="shared" ca="1" si="81"/>
        <v>14160649.518964594</v>
      </c>
      <c r="J845" s="455">
        <f t="array" ref="J845">IFERROR(INDEX('Retirement Calculator'!J:J,MATCH('Isaac 401k'!N845,'Retirement Calculator'!A:A,0),0),0)</f>
        <v>6404.7404596389215</v>
      </c>
      <c r="K845" s="455">
        <f t="shared" ca="1" si="79"/>
        <v>58976.01991043731</v>
      </c>
      <c r="L845" s="455">
        <f t="shared" ca="1" si="80"/>
        <v>14213220.798415393</v>
      </c>
      <c r="M845" s="471">
        <f t="shared" si="82"/>
        <v>0.05</v>
      </c>
      <c r="N845" s="475">
        <f t="shared" si="83"/>
        <v>76762</v>
      </c>
    </row>
    <row r="846" spans="7:14" ht="11.25" customHeight="1" x14ac:dyDescent="0.3">
      <c r="G846" s="470">
        <f t="shared" si="89"/>
        <v>70</v>
      </c>
      <c r="H846" s="470">
        <v>839</v>
      </c>
      <c r="I846" s="455">
        <f t="shared" ca="1" si="81"/>
        <v>14213220.798415393</v>
      </c>
      <c r="J846" s="455">
        <f t="array" ref="J846">IFERROR(INDEX('Retirement Calculator'!J:J,MATCH('Isaac 401k'!N846,'Retirement Calculator'!A:A,0),0),0)</f>
        <v>6404.7404596389215</v>
      </c>
      <c r="K846" s="455">
        <f t="shared" ca="1" si="79"/>
        <v>59195.066908148969</v>
      </c>
      <c r="L846" s="455">
        <f t="shared" ca="1" si="80"/>
        <v>14266011.124863902</v>
      </c>
      <c r="M846" s="471">
        <f t="shared" si="82"/>
        <v>0.05</v>
      </c>
      <c r="N846" s="475">
        <f t="shared" si="83"/>
        <v>76793</v>
      </c>
    </row>
    <row r="847" spans="7:14" ht="11.25" customHeight="1" x14ac:dyDescent="0.3">
      <c r="G847" s="470">
        <f t="shared" si="89"/>
        <v>70</v>
      </c>
      <c r="H847" s="470">
        <v>840</v>
      </c>
      <c r="I847" s="455">
        <f t="shared" ca="1" si="81"/>
        <v>14266011.124863902</v>
      </c>
      <c r="J847" s="455">
        <f t="array" ref="J847">IFERROR(INDEX('Retirement Calculator'!J:J,MATCH('Isaac 401k'!N847,'Retirement Calculator'!A:A,0),0),0)</f>
        <v>6404.7404596389215</v>
      </c>
      <c r="K847" s="455">
        <f t="shared" ca="1" si="79"/>
        <v>59415.026601684425</v>
      </c>
      <c r="L847" s="455">
        <f t="shared" ca="1" si="80"/>
        <v>14319021.411005948</v>
      </c>
      <c r="M847" s="471">
        <f t="shared" si="82"/>
        <v>0.05</v>
      </c>
      <c r="N847" s="475">
        <f t="shared" si="83"/>
        <v>76823</v>
      </c>
    </row>
    <row r="848" spans="7:14" ht="11.25" customHeight="1" x14ac:dyDescent="0.3">
      <c r="G848" s="470">
        <f>G847+1</f>
        <v>71</v>
      </c>
      <c r="H848" s="470">
        <v>841</v>
      </c>
      <c r="I848" s="455">
        <f t="shared" ca="1" si="81"/>
        <v>14319021.411005948</v>
      </c>
      <c r="J848" s="455">
        <f t="array" ref="J848">IFERROR(INDEX('Retirement Calculator'!J:J,MATCH('Isaac 401k'!N848,'Retirement Calculator'!A:A,0),0),0)</f>
        <v>6404.7404596389215</v>
      </c>
      <c r="K848" s="455">
        <f t="shared" ca="1" si="79"/>
        <v>59635.902793942943</v>
      </c>
      <c r="L848" s="455">
        <f t="shared" ca="1" si="80"/>
        <v>14372252.57334025</v>
      </c>
      <c r="M848" s="471">
        <f t="shared" si="82"/>
        <v>0.05</v>
      </c>
      <c r="N848" s="475">
        <f t="shared" si="83"/>
        <v>76854</v>
      </c>
    </row>
    <row r="849" spans="7:14" ht="11.25" customHeight="1" x14ac:dyDescent="0.3">
      <c r="G849" s="470">
        <f t="shared" ref="G849:G859" si="90">G848</f>
        <v>71</v>
      </c>
      <c r="H849" s="470">
        <v>842</v>
      </c>
      <c r="I849" s="455">
        <f t="shared" ca="1" si="81"/>
        <v>14372252.57334025</v>
      </c>
      <c r="J849" s="455">
        <f t="array" ref="J849">IFERROR(INDEX('Retirement Calculator'!J:J,MATCH('Isaac 401k'!N849,'Retirement Calculator'!A:A,0),0),0)</f>
        <v>6404.7404596389215</v>
      </c>
      <c r="K849" s="455">
        <f t="shared" ca="1" si="79"/>
        <v>59857.699303669207</v>
      </c>
      <c r="L849" s="455">
        <f t="shared" ca="1" si="80"/>
        <v>14425705.53218428</v>
      </c>
      <c r="M849" s="471">
        <f t="shared" si="82"/>
        <v>0.05</v>
      </c>
      <c r="N849" s="475">
        <f t="shared" si="83"/>
        <v>76884</v>
      </c>
    </row>
    <row r="850" spans="7:14" ht="11.25" customHeight="1" x14ac:dyDescent="0.3">
      <c r="G850" s="470">
        <f t="shared" si="90"/>
        <v>71</v>
      </c>
      <c r="H850" s="470">
        <v>843</v>
      </c>
      <c r="I850" s="455">
        <f t="shared" ca="1" si="81"/>
        <v>14425705.53218428</v>
      </c>
      <c r="J850" s="455">
        <f t="array" ref="J850">IFERROR(INDEX('Retirement Calculator'!J:J,MATCH('Isaac 401k'!N850,'Retirement Calculator'!A:A,0),0),0)</f>
        <v>6404.7404596389215</v>
      </c>
      <c r="K850" s="455">
        <f t="shared" ca="1" si="79"/>
        <v>60080.419965519337</v>
      </c>
      <c r="L850" s="455">
        <f t="shared" ca="1" si="80"/>
        <v>14479381.21169016</v>
      </c>
      <c r="M850" s="471">
        <f t="shared" si="82"/>
        <v>0.05</v>
      </c>
      <c r="N850" s="475">
        <f t="shared" si="83"/>
        <v>76915</v>
      </c>
    </row>
    <row r="851" spans="7:14" ht="11.25" customHeight="1" x14ac:dyDescent="0.3">
      <c r="G851" s="470">
        <f t="shared" si="90"/>
        <v>71</v>
      </c>
      <c r="H851" s="470">
        <v>844</v>
      </c>
      <c r="I851" s="455">
        <f t="shared" ca="1" si="81"/>
        <v>14479381.21169016</v>
      </c>
      <c r="J851" s="455">
        <f t="array" ref="J851">IFERROR(INDEX('Retirement Calculator'!J:J,MATCH('Isaac 401k'!N851,'Retirement Calculator'!A:A,0),0),0)</f>
        <v>6404.7404596389215</v>
      </c>
      <c r="K851" s="455">
        <f t="shared" ca="1" si="79"/>
        <v>60304.068630127163</v>
      </c>
      <c r="L851" s="455">
        <f t="shared" ca="1" si="80"/>
        <v>14533280.539860647</v>
      </c>
      <c r="M851" s="471">
        <f t="shared" si="82"/>
        <v>0.05</v>
      </c>
      <c r="N851" s="475">
        <f t="shared" si="83"/>
        <v>76946</v>
      </c>
    </row>
    <row r="852" spans="7:14" ht="11.25" customHeight="1" x14ac:dyDescent="0.3">
      <c r="G852" s="470">
        <f t="shared" si="90"/>
        <v>71</v>
      </c>
      <c r="H852" s="470">
        <v>845</v>
      </c>
      <c r="I852" s="455">
        <f t="shared" ca="1" si="81"/>
        <v>14533280.539860647</v>
      </c>
      <c r="J852" s="455">
        <f t="array" ref="J852">IFERROR(INDEX('Retirement Calculator'!J:J,MATCH('Isaac 401k'!N852,'Retirement Calculator'!A:A,0),0),0)</f>
        <v>6404.7404596389215</v>
      </c>
      <c r="K852" s="455">
        <f t="shared" ca="1" si="79"/>
        <v>60528.649164170864</v>
      </c>
      <c r="L852" s="455">
        <f t="shared" ca="1" si="80"/>
        <v>14587404.448565178</v>
      </c>
      <c r="M852" s="471">
        <f t="shared" si="82"/>
        <v>0.05</v>
      </c>
      <c r="N852" s="475">
        <f t="shared" si="83"/>
        <v>76976</v>
      </c>
    </row>
    <row r="853" spans="7:14" ht="11.25" customHeight="1" x14ac:dyDescent="0.3">
      <c r="G853" s="470">
        <f t="shared" si="90"/>
        <v>71</v>
      </c>
      <c r="H853" s="470">
        <v>846</v>
      </c>
      <c r="I853" s="455">
        <f t="shared" ca="1" si="81"/>
        <v>14587404.448565178</v>
      </c>
      <c r="J853" s="455">
        <f t="array" ref="J853">IFERROR(INDEX('Retirement Calculator'!J:J,MATCH('Isaac 401k'!N853,'Retirement Calculator'!A:A,0),0),0)</f>
        <v>6404.7404596389215</v>
      </c>
      <c r="K853" s="455">
        <f t="shared" ca="1" si="79"/>
        <v>60754.165450439737</v>
      </c>
      <c r="L853" s="455">
        <f t="shared" ca="1" si="80"/>
        <v>14641753.873555977</v>
      </c>
      <c r="M853" s="471">
        <f t="shared" si="82"/>
        <v>0.05</v>
      </c>
      <c r="N853" s="475">
        <f t="shared" si="83"/>
        <v>77007</v>
      </c>
    </row>
    <row r="854" spans="7:14" ht="11.25" customHeight="1" x14ac:dyDescent="0.3">
      <c r="G854" s="470">
        <f t="shared" si="90"/>
        <v>71</v>
      </c>
      <c r="H854" s="470">
        <v>847</v>
      </c>
      <c r="I854" s="455">
        <f t="shared" ca="1" si="81"/>
        <v>14641753.873555977</v>
      </c>
      <c r="J854" s="455">
        <f t="array" ref="J854">IFERROR(INDEX('Retirement Calculator'!J:J,MATCH('Isaac 401k'!N854,'Retirement Calculator'!A:A,0),0),0)</f>
        <v>6404.7404596389215</v>
      </c>
      <c r="K854" s="455">
        <f t="shared" ca="1" si="79"/>
        <v>60980.621387901396</v>
      </c>
      <c r="L854" s="455">
        <f t="shared" ca="1" si="80"/>
        <v>14696329.754484238</v>
      </c>
      <c r="M854" s="471">
        <f t="shared" si="82"/>
        <v>0.05</v>
      </c>
      <c r="N854" s="475">
        <f t="shared" si="83"/>
        <v>77037</v>
      </c>
    </row>
    <row r="855" spans="7:14" ht="11.25" customHeight="1" x14ac:dyDescent="0.3">
      <c r="G855" s="470">
        <f t="shared" si="90"/>
        <v>71</v>
      </c>
      <c r="H855" s="470">
        <v>848</v>
      </c>
      <c r="I855" s="455">
        <f t="shared" ca="1" si="81"/>
        <v>14696329.754484238</v>
      </c>
      <c r="J855" s="455">
        <f t="array" ref="J855">IFERROR(INDEX('Retirement Calculator'!J:J,MATCH('Isaac 401k'!N855,'Retirement Calculator'!A:A,0),0),0)</f>
        <v>6404.7404596389215</v>
      </c>
      <c r="K855" s="455">
        <f t="shared" ca="1" si="79"/>
        <v>61208.020891769156</v>
      </c>
      <c r="L855" s="455">
        <f t="shared" ca="1" si="80"/>
        <v>14751133.034916367</v>
      </c>
      <c r="M855" s="471">
        <f t="shared" si="82"/>
        <v>0.05</v>
      </c>
      <c r="N855" s="475">
        <f t="shared" si="83"/>
        <v>77068</v>
      </c>
    </row>
    <row r="856" spans="7:14" ht="11.25" customHeight="1" x14ac:dyDescent="0.3">
      <c r="G856" s="470">
        <f t="shared" si="90"/>
        <v>71</v>
      </c>
      <c r="H856" s="470">
        <v>849</v>
      </c>
      <c r="I856" s="455">
        <f t="shared" ca="1" si="81"/>
        <v>14751133.034916367</v>
      </c>
      <c r="J856" s="455">
        <f t="array" ref="J856">IFERROR(INDEX('Retirement Calculator'!J:J,MATCH('Isaac 401k'!N856,'Retirement Calculator'!A:A,0),0),0)</f>
        <v>6404.7404596389215</v>
      </c>
      <c r="K856" s="455">
        <f t="shared" ca="1" si="79"/>
        <v>61436.367893569688</v>
      </c>
      <c r="L856" s="455">
        <f t="shared" ca="1" si="80"/>
        <v>14806164.662350297</v>
      </c>
      <c r="M856" s="471">
        <f t="shared" si="82"/>
        <v>0.05</v>
      </c>
      <c r="N856" s="475">
        <f t="shared" si="83"/>
        <v>77099</v>
      </c>
    </row>
    <row r="857" spans="7:14" ht="11.25" customHeight="1" x14ac:dyDescent="0.3">
      <c r="G857" s="470">
        <f t="shared" si="90"/>
        <v>71</v>
      </c>
      <c r="H857" s="470">
        <v>850</v>
      </c>
      <c r="I857" s="455">
        <f t="shared" ca="1" si="81"/>
        <v>14806164.662350297</v>
      </c>
      <c r="J857" s="455">
        <f t="array" ref="J857">IFERROR(INDEX('Retirement Calculator'!J:J,MATCH('Isaac 401k'!N857,'Retirement Calculator'!A:A,0),0),0)</f>
        <v>6404.7404596389215</v>
      </c>
      <c r="K857" s="455">
        <f t="shared" ca="1" si="79"/>
        <v>61665.666341211079</v>
      </c>
      <c r="L857" s="455">
        <f t="shared" ca="1" si="80"/>
        <v>14861425.588231869</v>
      </c>
      <c r="M857" s="471">
        <f t="shared" si="82"/>
        <v>0.05</v>
      </c>
      <c r="N857" s="475">
        <f t="shared" si="83"/>
        <v>77127</v>
      </c>
    </row>
    <row r="858" spans="7:14" ht="11.25" customHeight="1" x14ac:dyDescent="0.3">
      <c r="G858" s="470">
        <f t="shared" si="90"/>
        <v>71</v>
      </c>
      <c r="H858" s="470">
        <v>851</v>
      </c>
      <c r="I858" s="455">
        <f t="shared" ca="1" si="81"/>
        <v>14861425.588231869</v>
      </c>
      <c r="J858" s="455">
        <f t="array" ref="J858">IFERROR(INDEX('Retirement Calculator'!J:J,MATCH('Isaac 401k'!N858,'Retirement Calculator'!A:A,0),0),0)</f>
        <v>6404.7404596389215</v>
      </c>
      <c r="K858" s="455">
        <f t="shared" ca="1" si="79"/>
        <v>61895.920199050954</v>
      </c>
      <c r="L858" s="455">
        <f t="shared" ca="1" si="80"/>
        <v>14916916.767971281</v>
      </c>
      <c r="M858" s="471">
        <f t="shared" si="82"/>
        <v>0.05</v>
      </c>
      <c r="N858" s="475">
        <f t="shared" si="83"/>
        <v>77158</v>
      </c>
    </row>
    <row r="859" spans="7:14" ht="11.25" customHeight="1" x14ac:dyDescent="0.3">
      <c r="G859" s="470">
        <f t="shared" si="90"/>
        <v>71</v>
      </c>
      <c r="H859" s="470">
        <v>852</v>
      </c>
      <c r="I859" s="455">
        <f t="shared" ca="1" si="81"/>
        <v>14916916.767971281</v>
      </c>
      <c r="J859" s="455">
        <f t="array" ref="J859">IFERROR(INDEX('Retirement Calculator'!J:J,MATCH('Isaac 401k'!N859,'Retirement Calculator'!A:A,0),0),0)</f>
        <v>6404.7404596389215</v>
      </c>
      <c r="K859" s="455">
        <f t="shared" ca="1" si="79"/>
        <v>62127.13344796517</v>
      </c>
      <c r="L859" s="455">
        <f t="shared" ca="1" si="80"/>
        <v>14972639.160959607</v>
      </c>
      <c r="M859" s="471">
        <f t="shared" si="82"/>
        <v>0.05</v>
      </c>
      <c r="N859" s="475">
        <f t="shared" si="83"/>
        <v>77188</v>
      </c>
    </row>
    <row r="860" spans="7:14" ht="11.25" customHeight="1" x14ac:dyDescent="0.3">
      <c r="G860" s="470">
        <f>G859+1</f>
        <v>72</v>
      </c>
      <c r="H860" s="470">
        <v>853</v>
      </c>
      <c r="I860" s="455">
        <f t="shared" ca="1" si="81"/>
        <v>14972639.160959607</v>
      </c>
      <c r="J860" s="455">
        <f t="array" ref="J860">IFERROR(INDEX('Retirement Calculator'!J:J,MATCH('Isaac 401k'!N860,'Retirement Calculator'!A:A,0),0),0)</f>
        <v>6404.7404596389215</v>
      </c>
      <c r="K860" s="455">
        <f t="shared" ca="1" si="79"/>
        <v>62359.310085416524</v>
      </c>
      <c r="L860" s="455">
        <f t="shared" ca="1" si="80"/>
        <v>15028593.730585383</v>
      </c>
      <c r="M860" s="471">
        <f t="shared" si="82"/>
        <v>0.05</v>
      </c>
      <c r="N860" s="475">
        <f t="shared" si="83"/>
        <v>77219</v>
      </c>
    </row>
    <row r="861" spans="7:14" ht="11.25" customHeight="1" x14ac:dyDescent="0.3">
      <c r="G861" s="470">
        <f t="shared" ref="G861:G871" si="91">G860</f>
        <v>72</v>
      </c>
      <c r="H861" s="470">
        <v>854</v>
      </c>
      <c r="I861" s="455">
        <f t="shared" ca="1" si="81"/>
        <v>15028593.730585383</v>
      </c>
      <c r="J861" s="455">
        <f t="array" ref="J861">IFERROR(INDEX('Retirement Calculator'!J:J,MATCH('Isaac 401k'!N861,'Retirement Calculator'!A:A,0),0),0)</f>
        <v>6404.7404596389215</v>
      </c>
      <c r="K861" s="455">
        <f t="shared" ca="1" si="79"/>
        <v>62592.454125523938</v>
      </c>
      <c r="L861" s="455">
        <f t="shared" ca="1" si="80"/>
        <v>15084781.444251267</v>
      </c>
      <c r="M861" s="471">
        <f t="shared" si="82"/>
        <v>0.05</v>
      </c>
      <c r="N861" s="475">
        <f t="shared" si="83"/>
        <v>77249</v>
      </c>
    </row>
    <row r="862" spans="7:14" ht="11.25" customHeight="1" x14ac:dyDescent="0.3">
      <c r="G862" s="470">
        <f t="shared" si="91"/>
        <v>72</v>
      </c>
      <c r="H862" s="470">
        <v>855</v>
      </c>
      <c r="I862" s="455">
        <f t="shared" ca="1" si="81"/>
        <v>15084781.444251267</v>
      </c>
      <c r="J862" s="455">
        <f t="array" ref="J862">IFERROR(INDEX('Retirement Calculator'!J:J,MATCH('Isaac 401k'!N862,'Retirement Calculator'!A:A,0),0),0)</f>
        <v>6404.7404596389215</v>
      </c>
      <c r="K862" s="455">
        <f t="shared" ca="1" si="79"/>
        <v>62826.56959913177</v>
      </c>
      <c r="L862" s="455">
        <f t="shared" ca="1" si="80"/>
        <v>15141203.273390759</v>
      </c>
      <c r="M862" s="471">
        <f t="shared" si="82"/>
        <v>0.05</v>
      </c>
      <c r="N862" s="475">
        <f t="shared" si="83"/>
        <v>77280</v>
      </c>
    </row>
    <row r="863" spans="7:14" ht="11.25" customHeight="1" x14ac:dyDescent="0.3">
      <c r="G863" s="470">
        <f t="shared" si="91"/>
        <v>72</v>
      </c>
      <c r="H863" s="470">
        <v>856</v>
      </c>
      <c r="I863" s="455">
        <f t="shared" ca="1" si="81"/>
        <v>15141203.273390759</v>
      </c>
      <c r="J863" s="455">
        <f t="array" ref="J863">IFERROR(INDEX('Retirement Calculator'!J:J,MATCH('Isaac 401k'!N863,'Retirement Calculator'!A:A,0),0),0)</f>
        <v>6404.7404596389215</v>
      </c>
      <c r="K863" s="455">
        <f t="shared" ca="1" si="79"/>
        <v>63061.660553879658</v>
      </c>
      <c r="L863" s="455">
        <f t="shared" ca="1" si="80"/>
        <v>15197860.193484999</v>
      </c>
      <c r="M863" s="471">
        <f t="shared" si="82"/>
        <v>0.05</v>
      </c>
      <c r="N863" s="475">
        <f t="shared" si="83"/>
        <v>77311</v>
      </c>
    </row>
    <row r="864" spans="7:14" ht="11.25" customHeight="1" x14ac:dyDescent="0.3">
      <c r="G864" s="470">
        <f t="shared" si="91"/>
        <v>72</v>
      </c>
      <c r="H864" s="470">
        <v>857</v>
      </c>
      <c r="I864" s="455">
        <f t="shared" ca="1" si="81"/>
        <v>15197860.193484999</v>
      </c>
      <c r="J864" s="455">
        <f t="array" ref="J864">IFERROR(INDEX('Retirement Calculator'!J:J,MATCH('Isaac 401k'!N864,'Retirement Calculator'!A:A,0),0),0)</f>
        <v>6404.7404596389215</v>
      </c>
      <c r="K864" s="455">
        <f t="shared" ca="1" si="79"/>
        <v>63297.731054272335</v>
      </c>
      <c r="L864" s="455">
        <f t="shared" ca="1" si="80"/>
        <v>15254753.184079632</v>
      </c>
      <c r="M864" s="471">
        <f t="shared" si="82"/>
        <v>0.05</v>
      </c>
      <c r="N864" s="475">
        <f t="shared" si="83"/>
        <v>77341</v>
      </c>
    </row>
    <row r="865" spans="7:14" ht="11.25" customHeight="1" x14ac:dyDescent="0.3">
      <c r="G865" s="470">
        <f t="shared" si="91"/>
        <v>72</v>
      </c>
      <c r="H865" s="470">
        <v>858</v>
      </c>
      <c r="I865" s="455">
        <f t="shared" ca="1" si="81"/>
        <v>15254753.184079632</v>
      </c>
      <c r="J865" s="455">
        <f t="array" ref="J865">IFERROR(INDEX('Retirement Calculator'!J:J,MATCH('Isaac 401k'!N865,'Retirement Calculator'!A:A,0),0),0)</f>
        <v>6404.7404596389215</v>
      </c>
      <c r="K865" s="455">
        <f t="shared" ca="1" si="79"/>
        <v>63534.785181749969</v>
      </c>
      <c r="L865" s="455">
        <f t="shared" ca="1" si="80"/>
        <v>15311883.228801742</v>
      </c>
      <c r="M865" s="471">
        <f t="shared" si="82"/>
        <v>0.05</v>
      </c>
      <c r="N865" s="475">
        <f t="shared" si="83"/>
        <v>77372</v>
      </c>
    </row>
    <row r="866" spans="7:14" ht="11.25" customHeight="1" x14ac:dyDescent="0.3">
      <c r="G866" s="470">
        <f t="shared" si="91"/>
        <v>72</v>
      </c>
      <c r="H866" s="470">
        <v>859</v>
      </c>
      <c r="I866" s="455">
        <f t="shared" ca="1" si="81"/>
        <v>15311883.228801742</v>
      </c>
      <c r="J866" s="455">
        <f t="array" ref="J866">IFERROR(INDEX('Retirement Calculator'!J:J,MATCH('Isaac 401k'!N866,'Retirement Calculator'!A:A,0),0),0)</f>
        <v>6404.7404596389215</v>
      </c>
      <c r="K866" s="455">
        <f t="shared" ca="1" si="79"/>
        <v>63772.82703475876</v>
      </c>
      <c r="L866" s="455">
        <f t="shared" ca="1" si="80"/>
        <v>15369251.315376861</v>
      </c>
      <c r="M866" s="471">
        <f t="shared" si="82"/>
        <v>0.05</v>
      </c>
      <c r="N866" s="475">
        <f t="shared" si="83"/>
        <v>77402</v>
      </c>
    </row>
    <row r="867" spans="7:14" ht="11.25" customHeight="1" x14ac:dyDescent="0.3">
      <c r="G867" s="470">
        <f t="shared" si="91"/>
        <v>72</v>
      </c>
      <c r="H867" s="470">
        <v>860</v>
      </c>
      <c r="I867" s="455">
        <f t="shared" ca="1" si="81"/>
        <v>15369251.315376861</v>
      </c>
      <c r="J867" s="455">
        <f t="array" ref="J867">IFERROR(INDEX('Retirement Calculator'!J:J,MATCH('Isaac 401k'!N867,'Retirement Calculator'!A:A,0),0),0)</f>
        <v>6404.7404596389215</v>
      </c>
      <c r="K867" s="455">
        <f t="shared" ca="1" si="79"/>
        <v>64011.860728821746</v>
      </c>
      <c r="L867" s="455">
        <f t="shared" ca="1" si="80"/>
        <v>15426858.435646044</v>
      </c>
      <c r="M867" s="471">
        <f t="shared" si="82"/>
        <v>0.05</v>
      </c>
      <c r="N867" s="475">
        <f t="shared" si="83"/>
        <v>77433</v>
      </c>
    </row>
    <row r="868" spans="7:14" ht="11.25" customHeight="1" x14ac:dyDescent="0.3">
      <c r="G868" s="470">
        <f t="shared" si="91"/>
        <v>72</v>
      </c>
      <c r="H868" s="470">
        <v>861</v>
      </c>
      <c r="I868" s="455">
        <f t="shared" ca="1" si="81"/>
        <v>15426858.435646044</v>
      </c>
      <c r="J868" s="455">
        <f t="array" ref="J868">IFERROR(INDEX('Retirement Calculator'!J:J,MATCH('Isaac 401k'!N868,'Retirement Calculator'!A:A,0),0),0)</f>
        <v>6404.7404596389215</v>
      </c>
      <c r="K868" s="455">
        <f t="shared" ca="1" si="79"/>
        <v>64251.890396610019</v>
      </c>
      <c r="L868" s="455">
        <f t="shared" ca="1" si="80"/>
        <v>15484705.585583014</v>
      </c>
      <c r="M868" s="471">
        <f t="shared" si="82"/>
        <v>0.05</v>
      </c>
      <c r="N868" s="475">
        <f t="shared" si="83"/>
        <v>77464</v>
      </c>
    </row>
    <row r="869" spans="7:14" ht="11.25" customHeight="1" x14ac:dyDescent="0.3">
      <c r="G869" s="470">
        <f t="shared" si="91"/>
        <v>72</v>
      </c>
      <c r="H869" s="470">
        <v>862</v>
      </c>
      <c r="I869" s="455">
        <f t="shared" ca="1" si="81"/>
        <v>15484705.585583014</v>
      </c>
      <c r="J869" s="455">
        <f t="array" ref="J869">IFERROR(INDEX('Retirement Calculator'!J:J,MATCH('Isaac 401k'!N869,'Retirement Calculator'!A:A,0),0),0)</f>
        <v>6404.7404596389215</v>
      </c>
      <c r="K869" s="455">
        <f t="shared" ca="1" si="79"/>
        <v>64492.920188014061</v>
      </c>
      <c r="L869" s="455">
        <f t="shared" ca="1" si="80"/>
        <v>15542793.765311388</v>
      </c>
      <c r="M869" s="471">
        <f t="shared" si="82"/>
        <v>0.05</v>
      </c>
      <c r="N869" s="475">
        <f t="shared" si="83"/>
        <v>77493</v>
      </c>
    </row>
    <row r="870" spans="7:14" ht="11.25" customHeight="1" x14ac:dyDescent="0.3">
      <c r="G870" s="470">
        <f t="shared" si="91"/>
        <v>72</v>
      </c>
      <c r="H870" s="470">
        <v>863</v>
      </c>
      <c r="I870" s="455">
        <f t="shared" ca="1" si="81"/>
        <v>15542793.765311388</v>
      </c>
      <c r="J870" s="455">
        <f t="array" ref="J870">IFERROR(INDEX('Retirement Calculator'!J:J,MATCH('Isaac 401k'!N870,'Retirement Calculator'!A:A,0),0),0)</f>
        <v>6404.7404596389215</v>
      </c>
      <c r="K870" s="455">
        <f t="shared" ca="1" si="79"/>
        <v>64734.954270215618</v>
      </c>
      <c r="L870" s="455">
        <f t="shared" ca="1" si="80"/>
        <v>15601123.979121964</v>
      </c>
      <c r="M870" s="471">
        <f t="shared" si="82"/>
        <v>0.05</v>
      </c>
      <c r="N870" s="475">
        <f t="shared" si="83"/>
        <v>77524</v>
      </c>
    </row>
    <row r="871" spans="7:14" ht="11.25" customHeight="1" x14ac:dyDescent="0.3">
      <c r="G871" s="470">
        <f t="shared" si="91"/>
        <v>72</v>
      </c>
      <c r="H871" s="470">
        <v>864</v>
      </c>
      <c r="I871" s="455">
        <f t="shared" ca="1" si="81"/>
        <v>15601123.979121964</v>
      </c>
      <c r="J871" s="455">
        <f t="array" ref="J871">IFERROR(INDEX('Retirement Calculator'!J:J,MATCH('Isaac 401k'!N871,'Retirement Calculator'!A:A,0),0),0)</f>
        <v>6404.7404596389215</v>
      </c>
      <c r="K871" s="455">
        <f t="shared" ca="1" si="79"/>
        <v>64977.996827759685</v>
      </c>
      <c r="L871" s="455">
        <f t="shared" ca="1" si="80"/>
        <v>15659697.235490084</v>
      </c>
      <c r="M871" s="471">
        <f t="shared" si="82"/>
        <v>0.05</v>
      </c>
      <c r="N871" s="475">
        <f t="shared" si="83"/>
        <v>77554</v>
      </c>
    </row>
    <row r="872" spans="7:14" ht="11.25" customHeight="1" x14ac:dyDescent="0.3">
      <c r="G872" s="470">
        <f>G871+1</f>
        <v>73</v>
      </c>
      <c r="H872" s="470">
        <v>865</v>
      </c>
      <c r="I872" s="455">
        <f t="shared" ca="1" si="81"/>
        <v>15659697.235490084</v>
      </c>
      <c r="J872" s="455">
        <f t="array" ref="J872">IFERROR(INDEX('Retirement Calculator'!J:J,MATCH('Isaac 401k'!N872,'Retirement Calculator'!A:A,0),0),0)</f>
        <v>6404.7404596389215</v>
      </c>
      <c r="K872" s="455">
        <f t="shared" ca="1" si="79"/>
        <v>65222.052062626848</v>
      </c>
      <c r="L872" s="455">
        <f t="shared" ca="1" si="80"/>
        <v>15718514.547093071</v>
      </c>
      <c r="M872" s="471">
        <f t="shared" si="82"/>
        <v>0.05</v>
      </c>
      <c r="N872" s="475">
        <f t="shared" si="83"/>
        <v>77585</v>
      </c>
    </row>
    <row r="873" spans="7:14" ht="11.25" customHeight="1" x14ac:dyDescent="0.3">
      <c r="G873" s="470">
        <f t="shared" ref="G873:G883" si="92">G872</f>
        <v>73</v>
      </c>
      <c r="H873" s="470">
        <v>866</v>
      </c>
      <c r="I873" s="455">
        <f t="shared" ca="1" si="81"/>
        <v>15718514.547093071</v>
      </c>
      <c r="J873" s="455">
        <f t="array" ref="J873">IFERROR(INDEX('Retirement Calculator'!J:J,MATCH('Isaac 401k'!N873,'Retirement Calculator'!A:A,0),0),0)</f>
        <v>6404.7404596389215</v>
      </c>
      <c r="K873" s="455">
        <f t="shared" ca="1" si="79"/>
        <v>65467.124194305958</v>
      </c>
      <c r="L873" s="455">
        <f t="shared" ca="1" si="80"/>
        <v>15777576.930827737</v>
      </c>
      <c r="M873" s="471">
        <f t="shared" si="82"/>
        <v>0.05</v>
      </c>
      <c r="N873" s="475">
        <f t="shared" si="83"/>
        <v>77615</v>
      </c>
    </row>
    <row r="874" spans="7:14" ht="11.25" customHeight="1" x14ac:dyDescent="0.3">
      <c r="G874" s="470">
        <f t="shared" si="92"/>
        <v>73</v>
      </c>
      <c r="H874" s="470">
        <v>867</v>
      </c>
      <c r="I874" s="455">
        <f t="shared" ca="1" si="81"/>
        <v>15777576.930827737</v>
      </c>
      <c r="J874" s="455">
        <f t="array" ref="J874">IFERROR(INDEX('Retirement Calculator'!J:J,MATCH('Isaac 401k'!N874,'Retirement Calculator'!A:A,0),0),0)</f>
        <v>6404.7404596389215</v>
      </c>
      <c r="K874" s="455">
        <f t="shared" ca="1" si="79"/>
        <v>65713.217459867068</v>
      </c>
      <c r="L874" s="455">
        <f t="shared" ca="1" si="80"/>
        <v>15836885.407827964</v>
      </c>
      <c r="M874" s="471">
        <f t="shared" si="82"/>
        <v>0.05</v>
      </c>
      <c r="N874" s="475">
        <f t="shared" si="83"/>
        <v>77646</v>
      </c>
    </row>
    <row r="875" spans="7:14" ht="11.25" customHeight="1" x14ac:dyDescent="0.3">
      <c r="G875" s="470">
        <f t="shared" si="92"/>
        <v>73</v>
      </c>
      <c r="H875" s="470">
        <v>868</v>
      </c>
      <c r="I875" s="455">
        <f t="shared" ca="1" si="81"/>
        <v>15836885.407827964</v>
      </c>
      <c r="J875" s="455">
        <f t="array" ref="J875">IFERROR(INDEX('Retirement Calculator'!J:J,MATCH('Isaac 401k'!N875,'Retirement Calculator'!A:A,0),0),0)</f>
        <v>6404.7404596389215</v>
      </c>
      <c r="K875" s="455">
        <f t="shared" ca="1" si="79"/>
        <v>65960.336114034682</v>
      </c>
      <c r="L875" s="455">
        <f t="shared" ca="1" si="80"/>
        <v>15896441.003482359</v>
      </c>
      <c r="M875" s="471">
        <f t="shared" si="82"/>
        <v>0.05</v>
      </c>
      <c r="N875" s="475">
        <f t="shared" si="83"/>
        <v>77677</v>
      </c>
    </row>
    <row r="876" spans="7:14" ht="11.25" customHeight="1" x14ac:dyDescent="0.3">
      <c r="G876" s="470">
        <f t="shared" si="92"/>
        <v>73</v>
      </c>
      <c r="H876" s="470">
        <v>869</v>
      </c>
      <c r="I876" s="455">
        <f t="shared" ca="1" si="81"/>
        <v>15896441.003482359</v>
      </c>
      <c r="J876" s="455">
        <f t="array" ref="J876">IFERROR(INDEX('Retirement Calculator'!J:J,MATCH('Isaac 401k'!N876,'Retirement Calculator'!A:A,0),0),0)</f>
        <v>6404.7404596389215</v>
      </c>
      <c r="K876" s="455">
        <f t="shared" ca="1" si="79"/>
        <v>66208.484429261327</v>
      </c>
      <c r="L876" s="455">
        <f t="shared" ca="1" si="80"/>
        <v>15956244.74745198</v>
      </c>
      <c r="M876" s="471">
        <f t="shared" si="82"/>
        <v>0.05</v>
      </c>
      <c r="N876" s="475">
        <f t="shared" si="83"/>
        <v>77707</v>
      </c>
    </row>
    <row r="877" spans="7:14" ht="11.25" customHeight="1" x14ac:dyDescent="0.3">
      <c r="G877" s="470">
        <f t="shared" si="92"/>
        <v>73</v>
      </c>
      <c r="H877" s="470">
        <v>870</v>
      </c>
      <c r="I877" s="455">
        <f t="shared" ca="1" si="81"/>
        <v>15956244.74745198</v>
      </c>
      <c r="J877" s="455">
        <f t="array" ref="J877">IFERROR(INDEX('Retirement Calculator'!J:J,MATCH('Isaac 401k'!N877,'Retirement Calculator'!A:A,0),0),0)</f>
        <v>6404.7404596389215</v>
      </c>
      <c r="K877" s="455">
        <f t="shared" ca="1" si="79"/>
        <v>66457.66669580141</v>
      </c>
      <c r="L877" s="455">
        <f t="shared" ca="1" si="80"/>
        <v>16016297.673688142</v>
      </c>
      <c r="M877" s="471">
        <f t="shared" si="82"/>
        <v>0.05</v>
      </c>
      <c r="N877" s="475">
        <f t="shared" si="83"/>
        <v>77738</v>
      </c>
    </row>
    <row r="878" spans="7:14" ht="11.25" customHeight="1" x14ac:dyDescent="0.3">
      <c r="G878" s="470">
        <f t="shared" si="92"/>
        <v>73</v>
      </c>
      <c r="H878" s="470">
        <v>871</v>
      </c>
      <c r="I878" s="455">
        <f t="shared" ca="1" si="81"/>
        <v>16016297.673688142</v>
      </c>
      <c r="J878" s="455">
        <f t="array" ref="J878">IFERROR(INDEX('Retirement Calculator'!J:J,MATCH('Isaac 401k'!N878,'Retirement Calculator'!A:A,0),0),0)</f>
        <v>6404.7404596389215</v>
      </c>
      <c r="K878" s="455">
        <f t="shared" ca="1" si="79"/>
        <v>66707.887221785422</v>
      </c>
      <c r="L878" s="455">
        <f t="shared" ca="1" si="80"/>
        <v>16076600.820450287</v>
      </c>
      <c r="M878" s="471">
        <f t="shared" si="82"/>
        <v>0.05</v>
      </c>
      <c r="N878" s="475">
        <f t="shared" si="83"/>
        <v>77768</v>
      </c>
    </row>
    <row r="879" spans="7:14" ht="11.25" customHeight="1" x14ac:dyDescent="0.3">
      <c r="G879" s="470">
        <f t="shared" si="92"/>
        <v>73</v>
      </c>
      <c r="H879" s="470">
        <v>872</v>
      </c>
      <c r="I879" s="455">
        <f t="shared" ca="1" si="81"/>
        <v>16076600.820450287</v>
      </c>
      <c r="J879" s="455">
        <f t="array" ref="J879">IFERROR(INDEX('Retirement Calculator'!J:J,MATCH('Isaac 401k'!N879,'Retirement Calculator'!A:A,0),0),0)</f>
        <v>6404.7404596389215</v>
      </c>
      <c r="K879" s="455">
        <f t="shared" ca="1" si="79"/>
        <v>66959.150333294368</v>
      </c>
      <c r="L879" s="455">
        <f t="shared" ca="1" si="80"/>
        <v>16137155.230323942</v>
      </c>
      <c r="M879" s="471">
        <f t="shared" si="82"/>
        <v>0.05</v>
      </c>
      <c r="N879" s="475">
        <f t="shared" si="83"/>
        <v>77799</v>
      </c>
    </row>
    <row r="880" spans="7:14" ht="11.25" customHeight="1" x14ac:dyDescent="0.3">
      <c r="G880" s="470">
        <f t="shared" si="92"/>
        <v>73</v>
      </c>
      <c r="H880" s="470">
        <v>873</v>
      </c>
      <c r="I880" s="455">
        <f t="shared" ca="1" si="81"/>
        <v>16137155.230323942</v>
      </c>
      <c r="J880" s="455">
        <f t="array" ref="J880">IFERROR(INDEX('Retirement Calculator'!J:J,MATCH('Isaac 401k'!N880,'Retirement Calculator'!A:A,0),0),0)</f>
        <v>6404.7404596389215</v>
      </c>
      <c r="K880" s="455">
        <f t="shared" ca="1" si="79"/>
        <v>67211.460374434595</v>
      </c>
      <c r="L880" s="455">
        <f t="shared" ca="1" si="80"/>
        <v>16197961.950238738</v>
      </c>
      <c r="M880" s="471">
        <f t="shared" si="82"/>
        <v>0.05</v>
      </c>
      <c r="N880" s="475">
        <f t="shared" si="83"/>
        <v>77830</v>
      </c>
    </row>
    <row r="881" spans="7:14" ht="11.25" customHeight="1" x14ac:dyDescent="0.3">
      <c r="G881" s="470">
        <f t="shared" si="92"/>
        <v>73</v>
      </c>
      <c r="H881" s="470">
        <v>874</v>
      </c>
      <c r="I881" s="455">
        <f t="shared" ca="1" si="81"/>
        <v>16197961.950238738</v>
      </c>
      <c r="J881" s="455">
        <f t="array" ref="J881">IFERROR(INDEX('Retirement Calculator'!J:J,MATCH('Isaac 401k'!N881,'Retirement Calculator'!A:A,0),0),0)</f>
        <v>6404.7404596389215</v>
      </c>
      <c r="K881" s="455">
        <f t="shared" ca="1" si="79"/>
        <v>67464.821707412906</v>
      </c>
      <c r="L881" s="455">
        <f t="shared" ca="1" si="80"/>
        <v>16259022.031486511</v>
      </c>
      <c r="M881" s="471">
        <f t="shared" si="82"/>
        <v>0.05</v>
      </c>
      <c r="N881" s="475">
        <f t="shared" si="83"/>
        <v>77858</v>
      </c>
    </row>
    <row r="882" spans="7:14" ht="11.25" customHeight="1" x14ac:dyDescent="0.3">
      <c r="G882" s="470">
        <f t="shared" si="92"/>
        <v>73</v>
      </c>
      <c r="H882" s="470">
        <v>875</v>
      </c>
      <c r="I882" s="455">
        <f t="shared" ca="1" si="81"/>
        <v>16259022.031486511</v>
      </c>
      <c r="J882" s="455">
        <f t="array" ref="J882">IFERROR(INDEX('Retirement Calculator'!J:J,MATCH('Isaac 401k'!N882,'Retirement Calculator'!A:A,0),0),0)</f>
        <v>6404.7404596389215</v>
      </c>
      <c r="K882" s="455">
        <f t="shared" ca="1" si="79"/>
        <v>67719.238712611957</v>
      </c>
      <c r="L882" s="455">
        <f t="shared" ca="1" si="80"/>
        <v>16320336.529739484</v>
      </c>
      <c r="M882" s="471">
        <f t="shared" si="82"/>
        <v>0.05</v>
      </c>
      <c r="N882" s="475">
        <f t="shared" si="83"/>
        <v>77889</v>
      </c>
    </row>
    <row r="883" spans="7:14" ht="11.25" customHeight="1" x14ac:dyDescent="0.3">
      <c r="G883" s="470">
        <f t="shared" si="92"/>
        <v>73</v>
      </c>
      <c r="H883" s="470">
        <v>876</v>
      </c>
      <c r="I883" s="455">
        <f t="shared" ca="1" si="81"/>
        <v>16320336.529739484</v>
      </c>
      <c r="J883" s="455">
        <f t="array" ref="J883">IFERROR(INDEX('Retirement Calculator'!J:J,MATCH('Isaac 401k'!N883,'Retirement Calculator'!A:A,0),0),0)</f>
        <v>6404.7404596389215</v>
      </c>
      <c r="K883" s="455">
        <f t="shared" ca="1" si="79"/>
        <v>67974.715788666013</v>
      </c>
      <c r="L883" s="455">
        <f t="shared" ca="1" si="80"/>
        <v>16381906.505068511</v>
      </c>
      <c r="M883" s="471">
        <f t="shared" si="82"/>
        <v>0.05</v>
      </c>
      <c r="N883" s="475">
        <f t="shared" si="83"/>
        <v>77919</v>
      </c>
    </row>
    <row r="884" spans="7:14" ht="11.25" customHeight="1" x14ac:dyDescent="0.3">
      <c r="G884" s="470">
        <f>G883+1</f>
        <v>74</v>
      </c>
      <c r="H884" s="470">
        <v>877</v>
      </c>
      <c r="I884" s="455">
        <f t="shared" ca="1" si="81"/>
        <v>16381906.505068511</v>
      </c>
      <c r="J884" s="455">
        <f t="array" ref="J884">IFERROR(INDEX('Retirement Calculator'!J:J,MATCH('Isaac 401k'!N884,'Retirement Calculator'!A:A,0),0),0)</f>
        <v>6404.7404596389215</v>
      </c>
      <c r="K884" s="455">
        <f t="shared" ca="1" si="79"/>
        <v>68231.257352536966</v>
      </c>
      <c r="L884" s="455">
        <f t="shared" ca="1" si="80"/>
        <v>16443733.021961408</v>
      </c>
      <c r="M884" s="471">
        <f t="shared" si="82"/>
        <v>0.05</v>
      </c>
      <c r="N884" s="475">
        <f t="shared" si="83"/>
        <v>77950</v>
      </c>
    </row>
    <row r="885" spans="7:14" ht="11.25" customHeight="1" x14ac:dyDescent="0.3">
      <c r="G885" s="470">
        <f t="shared" ref="G885:G895" si="93">G884</f>
        <v>74</v>
      </c>
      <c r="H885" s="470">
        <v>878</v>
      </c>
      <c r="I885" s="455">
        <f t="shared" ca="1" si="81"/>
        <v>16443733.021961408</v>
      </c>
      <c r="J885" s="455">
        <f t="array" ref="J885">IFERROR(INDEX('Retirement Calculator'!J:J,MATCH('Isaac 401k'!N885,'Retirement Calculator'!A:A,0),0),0)</f>
        <v>6404.7404596389215</v>
      </c>
      <c r="K885" s="455">
        <f t="shared" ca="1" si="79"/>
        <v>68488.867839590705</v>
      </c>
      <c r="L885" s="455">
        <f t="shared" ca="1" si="80"/>
        <v>16505817.14934136</v>
      </c>
      <c r="M885" s="471">
        <f t="shared" si="82"/>
        <v>0.05</v>
      </c>
      <c r="N885" s="475">
        <f t="shared" si="83"/>
        <v>77980</v>
      </c>
    </row>
    <row r="886" spans="7:14" ht="11.25" customHeight="1" x14ac:dyDescent="0.3">
      <c r="G886" s="470">
        <f t="shared" si="93"/>
        <v>74</v>
      </c>
      <c r="H886" s="470">
        <v>879</v>
      </c>
      <c r="I886" s="455">
        <f t="shared" ca="1" si="81"/>
        <v>16505817.14934136</v>
      </c>
      <c r="J886" s="455">
        <f t="array" ref="J886">IFERROR(INDEX('Retirement Calculator'!J:J,MATCH('Isaac 401k'!N886,'Retirement Calculator'!A:A,0),0),0)</f>
        <v>6404.7404596389215</v>
      </c>
      <c r="K886" s="455">
        <f t="shared" ca="1" si="79"/>
        <v>68747.551703673846</v>
      </c>
      <c r="L886" s="455">
        <f t="shared" ca="1" si="80"/>
        <v>16568159.960585395</v>
      </c>
      <c r="M886" s="471">
        <f t="shared" si="82"/>
        <v>0.05</v>
      </c>
      <c r="N886" s="475">
        <f t="shared" si="83"/>
        <v>78011</v>
      </c>
    </row>
    <row r="887" spans="7:14" ht="11.25" customHeight="1" x14ac:dyDescent="0.3">
      <c r="G887" s="470">
        <f t="shared" si="93"/>
        <v>74</v>
      </c>
      <c r="H887" s="470">
        <v>880</v>
      </c>
      <c r="I887" s="455">
        <f t="shared" ca="1" si="81"/>
        <v>16568159.960585395</v>
      </c>
      <c r="J887" s="455">
        <f t="array" ref="J887">IFERROR(INDEX('Retirement Calculator'!J:J,MATCH('Isaac 401k'!N887,'Retirement Calculator'!A:A,0),0),0)</f>
        <v>6404.7404596389215</v>
      </c>
      <c r="K887" s="455">
        <f t="shared" ca="1" si="79"/>
        <v>69007.313417190642</v>
      </c>
      <c r="L887" s="455">
        <f t="shared" ca="1" si="80"/>
        <v>16630762.533542946</v>
      </c>
      <c r="M887" s="471">
        <f t="shared" si="82"/>
        <v>0.05</v>
      </c>
      <c r="N887" s="475">
        <f t="shared" si="83"/>
        <v>78042</v>
      </c>
    </row>
    <row r="888" spans="7:14" ht="11.25" customHeight="1" x14ac:dyDescent="0.3">
      <c r="G888" s="470">
        <f t="shared" si="93"/>
        <v>74</v>
      </c>
      <c r="H888" s="470">
        <v>881</v>
      </c>
      <c r="I888" s="455">
        <f t="shared" ca="1" si="81"/>
        <v>16630762.533542946</v>
      </c>
      <c r="J888" s="455">
        <f t="array" ref="J888">IFERROR(INDEX('Retirement Calculator'!J:J,MATCH('Isaac 401k'!N888,'Retirement Calculator'!A:A,0),0),0)</f>
        <v>6404.7404596389215</v>
      </c>
      <c r="K888" s="455">
        <f t="shared" ca="1" si="79"/>
        <v>69268.157471180428</v>
      </c>
      <c r="L888" s="455">
        <f t="shared" ca="1" si="80"/>
        <v>16693625.950554486</v>
      </c>
      <c r="M888" s="471">
        <f t="shared" si="82"/>
        <v>0.05</v>
      </c>
      <c r="N888" s="475">
        <f t="shared" si="83"/>
        <v>78072</v>
      </c>
    </row>
    <row r="889" spans="7:14" ht="11.25" customHeight="1" x14ac:dyDescent="0.3">
      <c r="G889" s="470">
        <f t="shared" si="93"/>
        <v>74</v>
      </c>
      <c r="H889" s="470">
        <v>882</v>
      </c>
      <c r="I889" s="455">
        <f t="shared" ca="1" si="81"/>
        <v>16693625.950554486</v>
      </c>
      <c r="J889" s="455">
        <f t="array" ref="J889">IFERROR(INDEX('Retirement Calculator'!J:J,MATCH('Isaac 401k'!N889,'Retirement Calculator'!A:A,0),0),0)</f>
        <v>6404.7404596389215</v>
      </c>
      <c r="K889" s="455">
        <f t="shared" ca="1" si="79"/>
        <v>69530.088375395193</v>
      </c>
      <c r="L889" s="455">
        <f t="shared" ca="1" si="80"/>
        <v>16756751.298470242</v>
      </c>
      <c r="M889" s="471">
        <f t="shared" si="82"/>
        <v>0.05</v>
      </c>
      <c r="N889" s="475">
        <f t="shared" si="83"/>
        <v>78103</v>
      </c>
    </row>
    <row r="890" spans="7:14" ht="11.25" customHeight="1" x14ac:dyDescent="0.3">
      <c r="G890" s="470">
        <f t="shared" si="93"/>
        <v>74</v>
      </c>
      <c r="H890" s="470">
        <v>883</v>
      </c>
      <c r="I890" s="455">
        <f t="shared" ca="1" si="81"/>
        <v>16756751.298470242</v>
      </c>
      <c r="J890" s="455">
        <f t="array" ref="J890">IFERROR(INDEX('Retirement Calculator'!J:J,MATCH('Isaac 401k'!N890,'Retirement Calculator'!A:A,0),0),0)</f>
        <v>6404.7404596389215</v>
      </c>
      <c r="K890" s="455">
        <f t="shared" ca="1" si="79"/>
        <v>69793.110658377511</v>
      </c>
      <c r="L890" s="455">
        <f t="shared" ca="1" si="80"/>
        <v>16820139.668668982</v>
      </c>
      <c r="M890" s="471">
        <f t="shared" si="82"/>
        <v>0.05</v>
      </c>
      <c r="N890" s="475">
        <f t="shared" si="83"/>
        <v>78133</v>
      </c>
    </row>
    <row r="891" spans="7:14" ht="11.25" customHeight="1" x14ac:dyDescent="0.3">
      <c r="G891" s="470">
        <f t="shared" si="93"/>
        <v>74</v>
      </c>
      <c r="H891" s="470">
        <v>884</v>
      </c>
      <c r="I891" s="455">
        <f t="shared" ca="1" si="81"/>
        <v>16820139.668668982</v>
      </c>
      <c r="J891" s="455">
        <f t="array" ref="J891">IFERROR(INDEX('Retirement Calculator'!J:J,MATCH('Isaac 401k'!N891,'Retirement Calculator'!A:A,0),0),0)</f>
        <v>6404.7404596389215</v>
      </c>
      <c r="K891" s="455">
        <f t="shared" ca="1" si="79"/>
        <v>70057.228867538928</v>
      </c>
      <c r="L891" s="455">
        <f t="shared" ca="1" si="80"/>
        <v>16883792.15707688</v>
      </c>
      <c r="M891" s="471">
        <f t="shared" si="82"/>
        <v>0.05</v>
      </c>
      <c r="N891" s="475">
        <f t="shared" si="83"/>
        <v>78164</v>
      </c>
    </row>
    <row r="892" spans="7:14" ht="11.25" customHeight="1" x14ac:dyDescent="0.3">
      <c r="G892" s="470">
        <f t="shared" si="93"/>
        <v>74</v>
      </c>
      <c r="H892" s="470">
        <v>885</v>
      </c>
      <c r="I892" s="455">
        <f t="shared" ca="1" si="81"/>
        <v>16883792.15707688</v>
      </c>
      <c r="J892" s="455">
        <f t="array" ref="J892">IFERROR(INDEX('Retirement Calculator'!J:J,MATCH('Isaac 401k'!N892,'Retirement Calculator'!A:A,0),0),0)</f>
        <v>6404.7404596389215</v>
      </c>
      <c r="K892" s="455">
        <f t="shared" ca="1" si="79"/>
        <v>70322.447569238502</v>
      </c>
      <c r="L892" s="455">
        <f t="shared" ca="1" si="80"/>
        <v>16947709.864186481</v>
      </c>
      <c r="M892" s="471">
        <f t="shared" si="82"/>
        <v>0.05</v>
      </c>
      <c r="N892" s="475">
        <f t="shared" si="83"/>
        <v>78195</v>
      </c>
    </row>
    <row r="893" spans="7:14" ht="11.25" customHeight="1" x14ac:dyDescent="0.3">
      <c r="G893" s="470">
        <f t="shared" si="93"/>
        <v>74</v>
      </c>
      <c r="H893" s="470">
        <v>886</v>
      </c>
      <c r="I893" s="455">
        <f t="shared" ca="1" si="81"/>
        <v>16947709.864186481</v>
      </c>
      <c r="J893" s="455">
        <f t="array" ref="J893">IFERROR(INDEX('Retirement Calculator'!J:J,MATCH('Isaac 401k'!N893,'Retirement Calculator'!A:A,0),0),0)</f>
        <v>6404.7404596389215</v>
      </c>
      <c r="K893" s="455">
        <f t="shared" ca="1" si="79"/>
        <v>70588.771348861832</v>
      </c>
      <c r="L893" s="455">
        <f t="shared" ca="1" si="80"/>
        <v>17011893.895075701</v>
      </c>
      <c r="M893" s="471">
        <f t="shared" si="82"/>
        <v>0.05</v>
      </c>
      <c r="N893" s="475">
        <f t="shared" si="83"/>
        <v>78223</v>
      </c>
    </row>
    <row r="894" spans="7:14" ht="11.25" customHeight="1" x14ac:dyDescent="0.3">
      <c r="G894" s="470">
        <f t="shared" si="93"/>
        <v>74</v>
      </c>
      <c r="H894" s="470">
        <v>887</v>
      </c>
      <c r="I894" s="455">
        <f t="shared" ca="1" si="81"/>
        <v>17011893.895075701</v>
      </c>
      <c r="J894" s="455">
        <f t="array" ref="J894">IFERROR(INDEX('Retirement Calculator'!J:J,MATCH('Isaac 401k'!N894,'Retirement Calculator'!A:A,0),0),0)</f>
        <v>6404.7404596389215</v>
      </c>
      <c r="K894" s="455">
        <f t="shared" ca="1" si="79"/>
        <v>70856.20481090025</v>
      </c>
      <c r="L894" s="455">
        <f t="shared" ca="1" si="80"/>
        <v>17076345.35942696</v>
      </c>
      <c r="M894" s="471">
        <f t="shared" si="82"/>
        <v>0.05</v>
      </c>
      <c r="N894" s="475">
        <f t="shared" si="83"/>
        <v>78254</v>
      </c>
    </row>
    <row r="895" spans="7:14" ht="11.25" customHeight="1" x14ac:dyDescent="0.3">
      <c r="G895" s="470">
        <f t="shared" si="93"/>
        <v>74</v>
      </c>
      <c r="H895" s="470">
        <v>888</v>
      </c>
      <c r="I895" s="455">
        <f t="shared" ca="1" si="81"/>
        <v>17076345.35942696</v>
      </c>
      <c r="J895" s="455">
        <f t="array" ref="J895">IFERROR(INDEX('Retirement Calculator'!J:J,MATCH('Isaac 401k'!N895,'Retirement Calculator'!A:A,0),0),0)</f>
        <v>6404.7404596389215</v>
      </c>
      <c r="K895" s="455">
        <f t="shared" ca="1" si="79"/>
        <v>71124.752579030508</v>
      </c>
      <c r="L895" s="455">
        <f t="shared" ca="1" si="80"/>
        <v>17141065.37154635</v>
      </c>
      <c r="M895" s="471">
        <f t="shared" si="82"/>
        <v>0.05</v>
      </c>
      <c r="N895" s="475">
        <f t="shared" si="83"/>
        <v>78284</v>
      </c>
    </row>
    <row r="896" spans="7:14" ht="11.25" customHeight="1" x14ac:dyDescent="0.3">
      <c r="G896" s="470">
        <f>G895+1</f>
        <v>75</v>
      </c>
      <c r="H896" s="470">
        <v>889</v>
      </c>
      <c r="I896" s="455">
        <f t="shared" ca="1" si="81"/>
        <v>17141065.37154635</v>
      </c>
      <c r="J896" s="455">
        <f t="array" ref="J896">IFERROR(INDEX('Retirement Calculator'!J:J,MATCH('Isaac 401k'!N896,'Retirement Calculator'!A:A,0),0),0)</f>
        <v>6404.7404596389215</v>
      </c>
      <c r="K896" s="455">
        <f t="shared" ca="1" si="79"/>
        <v>71394.419296194625</v>
      </c>
      <c r="L896" s="455">
        <f t="shared" ca="1" si="80"/>
        <v>17206055.050382905</v>
      </c>
      <c r="M896" s="471">
        <f t="shared" si="82"/>
        <v>0.05</v>
      </c>
      <c r="N896" s="475">
        <f t="shared" si="83"/>
        <v>78315</v>
      </c>
    </row>
    <row r="897" spans="7:14" ht="11.25" customHeight="1" x14ac:dyDescent="0.3">
      <c r="G897" s="470">
        <f t="shared" ref="G897:G907" si="94">G896</f>
        <v>75</v>
      </c>
      <c r="H897" s="470">
        <v>890</v>
      </c>
      <c r="I897" s="455">
        <f t="shared" ca="1" si="81"/>
        <v>17206055.050382905</v>
      </c>
      <c r="J897" s="455">
        <f t="array" ref="J897">IFERROR(INDEX('Retirement Calculator'!J:J,MATCH('Isaac 401k'!N897,'Retirement Calculator'!A:A,0),0),0)</f>
        <v>6404.7404596389215</v>
      </c>
      <c r="K897" s="455">
        <f t="shared" ca="1" si="79"/>
        <v>71665.209624680268</v>
      </c>
      <c r="L897" s="455">
        <f t="shared" ca="1" si="80"/>
        <v>17271315.519547947</v>
      </c>
      <c r="M897" s="471">
        <f t="shared" si="82"/>
        <v>0.05</v>
      </c>
      <c r="N897" s="475">
        <f t="shared" si="83"/>
        <v>78345</v>
      </c>
    </row>
    <row r="898" spans="7:14" ht="11.25" customHeight="1" x14ac:dyDescent="0.3">
      <c r="G898" s="470">
        <f t="shared" si="94"/>
        <v>75</v>
      </c>
      <c r="H898" s="470">
        <v>891</v>
      </c>
      <c r="I898" s="455">
        <f t="shared" ca="1" si="81"/>
        <v>17271315.519547947</v>
      </c>
      <c r="J898" s="455">
        <f t="array" ref="J898">IFERROR(INDEX('Retirement Calculator'!J:J,MATCH('Isaac 401k'!N898,'Retirement Calculator'!A:A,0),0),0)</f>
        <v>6404.7404596389215</v>
      </c>
      <c r="K898" s="455">
        <f t="shared" ca="1" si="79"/>
        <v>71937.128246201275</v>
      </c>
      <c r="L898" s="455">
        <f t="shared" ca="1" si="80"/>
        <v>17336847.90733451</v>
      </c>
      <c r="M898" s="471">
        <f t="shared" si="82"/>
        <v>0.05</v>
      </c>
      <c r="N898" s="475">
        <f t="shared" si="83"/>
        <v>78376</v>
      </c>
    </row>
    <row r="899" spans="7:14" ht="11.25" customHeight="1" x14ac:dyDescent="0.3">
      <c r="G899" s="470">
        <f t="shared" si="94"/>
        <v>75</v>
      </c>
      <c r="H899" s="470">
        <v>892</v>
      </c>
      <c r="I899" s="455">
        <f t="shared" ca="1" si="81"/>
        <v>17336847.90733451</v>
      </c>
      <c r="J899" s="455">
        <f t="array" ref="J899">IFERROR(INDEX('Retirement Calculator'!J:J,MATCH('Isaac 401k'!N899,'Retirement Calculator'!A:A,0),0),0)</f>
        <v>6404.7404596389215</v>
      </c>
      <c r="K899" s="455">
        <f t="shared" ca="1" si="79"/>
        <v>72210.179861978628</v>
      </c>
      <c r="L899" s="455">
        <f t="shared" ca="1" si="80"/>
        <v>17402653.346736848</v>
      </c>
      <c r="M899" s="471">
        <f t="shared" si="82"/>
        <v>0.05</v>
      </c>
      <c r="N899" s="475">
        <f t="shared" si="83"/>
        <v>78407</v>
      </c>
    </row>
    <row r="900" spans="7:14" ht="11.25" customHeight="1" x14ac:dyDescent="0.3">
      <c r="G900" s="470">
        <f t="shared" si="94"/>
        <v>75</v>
      </c>
      <c r="H900" s="470">
        <v>893</v>
      </c>
      <c r="I900" s="455">
        <f t="shared" ca="1" si="81"/>
        <v>17402653.346736848</v>
      </c>
      <c r="J900" s="455">
        <f t="array" ref="J900">IFERROR(INDEX('Retirement Calculator'!J:J,MATCH('Isaac 401k'!N900,'Retirement Calculator'!A:A,0),0),0)</f>
        <v>6404.7404596389215</v>
      </c>
      <c r="K900" s="455">
        <f t="shared" ca="1" si="79"/>
        <v>72484.369192821701</v>
      </c>
      <c r="L900" s="455">
        <f t="shared" ca="1" si="80"/>
        <v>17468732.975470029</v>
      </c>
      <c r="M900" s="471">
        <f t="shared" si="82"/>
        <v>0.05</v>
      </c>
      <c r="N900" s="475">
        <f t="shared" si="83"/>
        <v>78437</v>
      </c>
    </row>
    <row r="901" spans="7:14" ht="11.25" customHeight="1" x14ac:dyDescent="0.3">
      <c r="G901" s="470">
        <f t="shared" si="94"/>
        <v>75</v>
      </c>
      <c r="H901" s="470">
        <v>894</v>
      </c>
      <c r="I901" s="455">
        <f t="shared" ca="1" si="81"/>
        <v>17468732.975470029</v>
      </c>
      <c r="J901" s="455">
        <f t="array" ref="J901">IFERROR(INDEX('Retirement Calculator'!J:J,MATCH('Isaac 401k'!N901,'Retirement Calculator'!A:A,0),0),0)</f>
        <v>6404.7404596389215</v>
      </c>
      <c r="K901" s="455">
        <f t="shared" ca="1" si="79"/>
        <v>72759.700979209956</v>
      </c>
      <c r="L901" s="455">
        <f t="shared" ca="1" si="80"/>
        <v>17535087.9359896</v>
      </c>
      <c r="M901" s="471">
        <f t="shared" si="82"/>
        <v>0.05</v>
      </c>
      <c r="N901" s="475">
        <f t="shared" si="83"/>
        <v>78468</v>
      </c>
    </row>
    <row r="902" spans="7:14" ht="11.25" customHeight="1" x14ac:dyDescent="0.3">
      <c r="G902" s="470">
        <f t="shared" si="94"/>
        <v>75</v>
      </c>
      <c r="H902" s="470">
        <v>895</v>
      </c>
      <c r="I902" s="455">
        <f t="shared" ca="1" si="81"/>
        <v>17535087.9359896</v>
      </c>
      <c r="J902" s="455">
        <f t="array" ref="J902">IFERROR(INDEX('Retirement Calculator'!J:J,MATCH('Isaac 401k'!N902,'Retirement Calculator'!A:A,0),0),0)</f>
        <v>6404.7404596389215</v>
      </c>
      <c r="K902" s="455">
        <f t="shared" ca="1" si="79"/>
        <v>73036.179981374837</v>
      </c>
      <c r="L902" s="455">
        <f t="shared" ca="1" si="80"/>
        <v>17601719.375511333</v>
      </c>
      <c r="M902" s="471">
        <f t="shared" si="82"/>
        <v>0.05</v>
      </c>
      <c r="N902" s="475">
        <f t="shared" si="83"/>
        <v>78498</v>
      </c>
    </row>
    <row r="903" spans="7:14" ht="11.25" customHeight="1" x14ac:dyDescent="0.3">
      <c r="G903" s="470">
        <f t="shared" si="94"/>
        <v>75</v>
      </c>
      <c r="H903" s="470">
        <v>896</v>
      </c>
      <c r="I903" s="455">
        <f t="shared" ca="1" si="81"/>
        <v>17601719.375511333</v>
      </c>
      <c r="J903" s="455">
        <f t="array" ref="J903">IFERROR(INDEX('Retirement Calculator'!J:J,MATCH('Isaac 401k'!N903,'Retirement Calculator'!A:A,0),0),0)</f>
        <v>6404.7404596389215</v>
      </c>
      <c r="K903" s="455">
        <f t="shared" ca="1" si="79"/>
        <v>73313.810979382062</v>
      </c>
      <c r="L903" s="455">
        <f t="shared" ca="1" si="80"/>
        <v>17668628.446031075</v>
      </c>
      <c r="M903" s="471">
        <f t="shared" si="82"/>
        <v>0.05</v>
      </c>
      <c r="N903" s="475">
        <f t="shared" si="83"/>
        <v>78529</v>
      </c>
    </row>
    <row r="904" spans="7:14" ht="11.25" customHeight="1" x14ac:dyDescent="0.3">
      <c r="G904" s="470">
        <f t="shared" si="94"/>
        <v>75</v>
      </c>
      <c r="H904" s="470">
        <v>897</v>
      </c>
      <c r="I904" s="455">
        <f t="shared" ca="1" si="81"/>
        <v>17668628.446031075</v>
      </c>
      <c r="J904" s="455">
        <f t="array" ref="J904">IFERROR(INDEX('Retirement Calculator'!J:J,MATCH('Isaac 401k'!N904,'Retirement Calculator'!A:A,0),0),0)</f>
        <v>6404.7404596389215</v>
      </c>
      <c r="K904" s="455">
        <f t="shared" ca="1" si="79"/>
        <v>73592.598773214311</v>
      </c>
      <c r="L904" s="455">
        <f t="shared" ca="1" si="80"/>
        <v>17735816.30434465</v>
      </c>
      <c r="M904" s="471">
        <f t="shared" si="82"/>
        <v>0.05</v>
      </c>
      <c r="N904" s="475">
        <f t="shared" si="83"/>
        <v>78560</v>
      </c>
    </row>
    <row r="905" spans="7:14" ht="11.25" customHeight="1" x14ac:dyDescent="0.3">
      <c r="G905" s="470">
        <f t="shared" si="94"/>
        <v>75</v>
      </c>
      <c r="H905" s="470">
        <v>898</v>
      </c>
      <c r="I905" s="455">
        <f t="shared" ca="1" si="81"/>
        <v>17735816.30434465</v>
      </c>
      <c r="J905" s="455">
        <f t="array" ref="J905">IFERROR(INDEX('Retirement Calculator'!J:J,MATCH('Isaac 401k'!N905,'Retirement Calculator'!A:A,0),0),0)</f>
        <v>6404.7404596389215</v>
      </c>
      <c r="K905" s="455">
        <f t="shared" ca="1" si="79"/>
        <v>73872.548182854211</v>
      </c>
      <c r="L905" s="455">
        <f t="shared" ca="1" si="80"/>
        <v>17803284.112067863</v>
      </c>
      <c r="M905" s="471">
        <f t="shared" si="82"/>
        <v>0.05</v>
      </c>
      <c r="N905" s="475">
        <f t="shared" si="83"/>
        <v>78588</v>
      </c>
    </row>
    <row r="906" spans="7:14" ht="11.25" customHeight="1" x14ac:dyDescent="0.3">
      <c r="G906" s="470">
        <f t="shared" si="94"/>
        <v>75</v>
      </c>
      <c r="H906" s="470">
        <v>899</v>
      </c>
      <c r="I906" s="455">
        <f t="shared" ca="1" si="81"/>
        <v>17803284.112067863</v>
      </c>
      <c r="J906" s="455">
        <f t="array" ref="J906">IFERROR(INDEX('Retirement Calculator'!J:J,MATCH('Isaac 401k'!N906,'Retirement Calculator'!A:A,0),0),0)</f>
        <v>6404.7404596389215</v>
      </c>
      <c r="K906" s="455">
        <f t="shared" ca="1" si="79"/>
        <v>74153.664048367602</v>
      </c>
      <c r="L906" s="455">
        <f t="shared" ca="1" si="80"/>
        <v>17871033.03565659</v>
      </c>
      <c r="M906" s="471">
        <f t="shared" si="82"/>
        <v>0.05</v>
      </c>
      <c r="N906" s="475">
        <f t="shared" si="83"/>
        <v>78619</v>
      </c>
    </row>
    <row r="907" spans="7:14" ht="11.25" customHeight="1" x14ac:dyDescent="0.3">
      <c r="G907" s="470">
        <f t="shared" si="94"/>
        <v>75</v>
      </c>
      <c r="H907" s="470">
        <v>900</v>
      </c>
      <c r="I907" s="455">
        <f t="shared" ca="1" si="81"/>
        <v>17871033.03565659</v>
      </c>
      <c r="J907" s="455">
        <f t="array" ref="J907">IFERROR(INDEX('Retirement Calculator'!J:J,MATCH('Isaac 401k'!N907,'Retirement Calculator'!A:A,0),0),0)</f>
        <v>6404.7404596389215</v>
      </c>
      <c r="K907" s="455">
        <f t="shared" ca="1" si="79"/>
        <v>74435.951229987288</v>
      </c>
      <c r="L907" s="455">
        <f t="shared" ca="1" si="80"/>
        <v>17939064.246426936</v>
      </c>
      <c r="M907" s="471">
        <f t="shared" si="82"/>
        <v>0.05</v>
      </c>
      <c r="N907" s="475">
        <f t="shared" si="83"/>
        <v>78649</v>
      </c>
    </row>
    <row r="908" spans="7:14" ht="11.25" customHeight="1" x14ac:dyDescent="0.3">
      <c r="G908" s="470">
        <f>G907+1</f>
        <v>76</v>
      </c>
      <c r="H908" s="470">
        <v>901</v>
      </c>
      <c r="I908" s="455">
        <f t="shared" ca="1" si="81"/>
        <v>17939064.246426936</v>
      </c>
      <c r="J908" s="455">
        <f t="array" ref="J908">IFERROR(INDEX('Retirement Calculator'!J:J,MATCH('Isaac 401k'!N908,'Retirement Calculator'!A:A,0),0),0)</f>
        <v>6404.7404596389215</v>
      </c>
      <c r="K908" s="455">
        <f t="shared" ca="1" si="79"/>
        <v>74719.414608197068</v>
      </c>
      <c r="L908" s="455">
        <f t="shared" ca="1" si="80"/>
        <v>18007378.920575492</v>
      </c>
      <c r="M908" s="471">
        <f t="shared" si="82"/>
        <v>0.05</v>
      </c>
      <c r="N908" s="475">
        <f t="shared" si="83"/>
        <v>78680</v>
      </c>
    </row>
    <row r="909" spans="7:14" ht="11.25" customHeight="1" x14ac:dyDescent="0.3">
      <c r="G909" s="470">
        <f t="shared" ref="G909:G919" si="95">G908</f>
        <v>76</v>
      </c>
      <c r="H909" s="470">
        <v>902</v>
      </c>
      <c r="I909" s="455">
        <f t="shared" ca="1" si="81"/>
        <v>18007378.920575492</v>
      </c>
      <c r="J909" s="455">
        <f t="array" ref="J909">IFERROR(INDEX('Retirement Calculator'!J:J,MATCH('Isaac 401k'!N909,'Retirement Calculator'!A:A,0),0),0)</f>
        <v>6404.7404596389215</v>
      </c>
      <c r="K909" s="455">
        <f t="shared" ca="1" si="79"/>
        <v>75004.059083816057</v>
      </c>
      <c r="L909" s="455">
        <f t="shared" ca="1" si="80"/>
        <v>18075978.239199668</v>
      </c>
      <c r="M909" s="471">
        <f t="shared" si="82"/>
        <v>0.05</v>
      </c>
      <c r="N909" s="475">
        <f t="shared" si="83"/>
        <v>78710</v>
      </c>
    </row>
    <row r="910" spans="7:14" ht="11.25" customHeight="1" x14ac:dyDescent="0.3">
      <c r="G910" s="470">
        <f t="shared" si="95"/>
        <v>76</v>
      </c>
      <c r="H910" s="470">
        <v>903</v>
      </c>
      <c r="I910" s="455">
        <f t="shared" ca="1" si="81"/>
        <v>18075978.239199668</v>
      </c>
      <c r="J910" s="455">
        <f t="array" ref="J910">IFERROR(INDEX('Retirement Calculator'!J:J,MATCH('Isaac 401k'!N910,'Retirement Calculator'!A:A,0),0),0)</f>
        <v>6404.7404596389215</v>
      </c>
      <c r="K910" s="455">
        <f t="shared" ca="1" si="79"/>
        <v>75289.889578083457</v>
      </c>
      <c r="L910" s="455">
        <f t="shared" ca="1" si="80"/>
        <v>18144863.38831811</v>
      </c>
      <c r="M910" s="471">
        <f t="shared" si="82"/>
        <v>0.05</v>
      </c>
      <c r="N910" s="475">
        <f t="shared" si="83"/>
        <v>78741</v>
      </c>
    </row>
    <row r="911" spans="7:14" ht="11.25" customHeight="1" x14ac:dyDescent="0.3">
      <c r="G911" s="470">
        <f t="shared" si="95"/>
        <v>76</v>
      </c>
      <c r="H911" s="470">
        <v>904</v>
      </c>
      <c r="I911" s="455">
        <f t="shared" ca="1" si="81"/>
        <v>18144863.38831811</v>
      </c>
      <c r="J911" s="455">
        <f t="array" ref="J911">IFERROR(INDEX('Retirement Calculator'!J:J,MATCH('Isaac 401k'!N911,'Retirement Calculator'!A:A,0),0),0)</f>
        <v>6404.7404596389215</v>
      </c>
      <c r="K911" s="455">
        <f t="shared" ca="1" si="79"/>
        <v>75576.911032743621</v>
      </c>
      <c r="L911" s="455">
        <f t="shared" ca="1" si="80"/>
        <v>18214035.558891214</v>
      </c>
      <c r="M911" s="471">
        <f t="shared" si="82"/>
        <v>0.05</v>
      </c>
      <c r="N911" s="475">
        <f t="shared" si="83"/>
        <v>78772</v>
      </c>
    </row>
    <row r="912" spans="7:14" ht="11.25" customHeight="1" x14ac:dyDescent="0.3">
      <c r="G912" s="470">
        <f t="shared" si="95"/>
        <v>76</v>
      </c>
      <c r="H912" s="470">
        <v>905</v>
      </c>
      <c r="I912" s="455">
        <f t="shared" ca="1" si="81"/>
        <v>18214035.558891214</v>
      </c>
      <c r="J912" s="455">
        <f t="array" ref="J912">IFERROR(INDEX('Retirement Calculator'!J:J,MATCH('Isaac 401k'!N912,'Retirement Calculator'!A:A,0),0),0)</f>
        <v>6404.7404596389215</v>
      </c>
      <c r="K912" s="455">
        <f t="shared" ca="1" si="79"/>
        <v>75865.128410131554</v>
      </c>
      <c r="L912" s="455">
        <f t="shared" ca="1" si="80"/>
        <v>18283495.946841706</v>
      </c>
      <c r="M912" s="471">
        <f t="shared" si="82"/>
        <v>0.05</v>
      </c>
      <c r="N912" s="475">
        <f t="shared" si="83"/>
        <v>78802</v>
      </c>
    </row>
    <row r="913" spans="7:14" ht="11.25" customHeight="1" x14ac:dyDescent="0.3">
      <c r="G913" s="470">
        <f t="shared" si="95"/>
        <v>76</v>
      </c>
      <c r="H913" s="470">
        <v>906</v>
      </c>
      <c r="I913" s="455">
        <f t="shared" ca="1" si="81"/>
        <v>18283495.946841706</v>
      </c>
      <c r="J913" s="455">
        <f t="array" ref="J913">IFERROR(INDEX('Retirement Calculator'!J:J,MATCH('Isaac 401k'!N913,'Retirement Calculator'!A:A,0),0),0)</f>
        <v>6404.7404596389215</v>
      </c>
      <c r="K913" s="455">
        <f t="shared" ca="1" si="79"/>
        <v>76154.546693258613</v>
      </c>
      <c r="L913" s="455">
        <f t="shared" ca="1" si="80"/>
        <v>18353245.753075324</v>
      </c>
      <c r="M913" s="471">
        <f t="shared" si="82"/>
        <v>0.05</v>
      </c>
      <c r="N913" s="475">
        <f t="shared" si="83"/>
        <v>78833</v>
      </c>
    </row>
    <row r="914" spans="7:14" ht="11.25" customHeight="1" x14ac:dyDescent="0.3">
      <c r="G914" s="470">
        <f t="shared" si="95"/>
        <v>76</v>
      </c>
      <c r="H914" s="470">
        <v>907</v>
      </c>
      <c r="I914" s="455">
        <f t="shared" ca="1" si="81"/>
        <v>18353245.753075324</v>
      </c>
      <c r="J914" s="455">
        <f t="array" ref="J914">IFERROR(INDEX('Retirement Calculator'!J:J,MATCH('Isaac 401k'!N914,'Retirement Calculator'!A:A,0),0),0)</f>
        <v>6404.7404596389215</v>
      </c>
      <c r="K914" s="455">
        <f t="shared" ca="1" si="79"/>
        <v>76445.170885898682</v>
      </c>
      <c r="L914" s="455">
        <f t="shared" ca="1" si="80"/>
        <v>18423286.183501583</v>
      </c>
      <c r="M914" s="471">
        <f t="shared" si="82"/>
        <v>0.05</v>
      </c>
      <c r="N914" s="475">
        <f t="shared" si="83"/>
        <v>78863</v>
      </c>
    </row>
    <row r="915" spans="7:14" ht="11.25" customHeight="1" x14ac:dyDescent="0.3">
      <c r="G915" s="470">
        <f t="shared" si="95"/>
        <v>76</v>
      </c>
      <c r="H915" s="470">
        <v>908</v>
      </c>
      <c r="I915" s="455">
        <f t="shared" ca="1" si="81"/>
        <v>18423286.183501583</v>
      </c>
      <c r="J915" s="455">
        <f t="array" ref="J915">IFERROR(INDEX('Retirement Calculator'!J:J,MATCH('Isaac 401k'!N915,'Retirement Calculator'!A:A,0),0),0)</f>
        <v>6404.7404596389215</v>
      </c>
      <c r="K915" s="455">
        <f t="shared" ca="1" si="79"/>
        <v>76737.006012674756</v>
      </c>
      <c r="L915" s="455">
        <f t="shared" ca="1" si="80"/>
        <v>18493618.449054617</v>
      </c>
      <c r="M915" s="471">
        <f t="shared" si="82"/>
        <v>0.05</v>
      </c>
      <c r="N915" s="475">
        <f t="shared" si="83"/>
        <v>78894</v>
      </c>
    </row>
    <row r="916" spans="7:14" ht="11.25" customHeight="1" x14ac:dyDescent="0.3">
      <c r="G916" s="470">
        <f t="shared" si="95"/>
        <v>76</v>
      </c>
      <c r="H916" s="470">
        <v>909</v>
      </c>
      <c r="I916" s="455">
        <f t="shared" ca="1" si="81"/>
        <v>18493618.449054617</v>
      </c>
      <c r="J916" s="455">
        <f t="array" ref="J916">IFERROR(INDEX('Retirement Calculator'!J:J,MATCH('Isaac 401k'!N916,'Retirement Calculator'!A:A,0),0),0)</f>
        <v>6404.7404596389215</v>
      </c>
      <c r="K916" s="455">
        <f t="shared" ca="1" si="79"/>
        <v>77030.057119145742</v>
      </c>
      <c r="L916" s="455">
        <f t="shared" ca="1" si="80"/>
        <v>18564243.765714124</v>
      </c>
      <c r="M916" s="471">
        <f t="shared" si="82"/>
        <v>0.05</v>
      </c>
      <c r="N916" s="475">
        <f t="shared" si="83"/>
        <v>78925</v>
      </c>
    </row>
    <row r="917" spans="7:14" ht="11.25" customHeight="1" x14ac:dyDescent="0.3">
      <c r="G917" s="470">
        <f t="shared" si="95"/>
        <v>76</v>
      </c>
      <c r="H917" s="470">
        <v>910</v>
      </c>
      <c r="I917" s="455">
        <f t="shared" ca="1" si="81"/>
        <v>18564243.765714124</v>
      </c>
      <c r="J917" s="455">
        <f t="array" ref="J917">IFERROR(INDEX('Retirement Calculator'!J:J,MATCH('Isaac 401k'!N917,'Retirement Calculator'!A:A,0),0),0)</f>
        <v>6404.7404596389215</v>
      </c>
      <c r="K917" s="455">
        <f t="shared" ca="1" si="79"/>
        <v>77324.329271893686</v>
      </c>
      <c r="L917" s="455">
        <f t="shared" ca="1" si="80"/>
        <v>18635163.354526378</v>
      </c>
      <c r="M917" s="471">
        <f t="shared" si="82"/>
        <v>0.05</v>
      </c>
      <c r="N917" s="475">
        <f t="shared" si="83"/>
        <v>78954</v>
      </c>
    </row>
    <row r="918" spans="7:14" ht="11.25" customHeight="1" x14ac:dyDescent="0.3">
      <c r="G918" s="470">
        <f t="shared" si="95"/>
        <v>76</v>
      </c>
      <c r="H918" s="470">
        <v>911</v>
      </c>
      <c r="I918" s="455">
        <f t="shared" ca="1" si="81"/>
        <v>18635163.354526378</v>
      </c>
      <c r="J918" s="455">
        <f t="array" ref="J918">IFERROR(INDEX('Retirement Calculator'!J:J,MATCH('Isaac 401k'!N918,'Retirement Calculator'!A:A,0),0),0)</f>
        <v>6404.7404596389215</v>
      </c>
      <c r="K918" s="455">
        <f t="shared" ca="1" si="79"/>
        <v>77619.827558611403</v>
      </c>
      <c r="L918" s="455">
        <f t="shared" ca="1" si="80"/>
        <v>18706378.441625349</v>
      </c>
      <c r="M918" s="471">
        <f t="shared" si="82"/>
        <v>0.05</v>
      </c>
      <c r="N918" s="475">
        <f t="shared" si="83"/>
        <v>78985</v>
      </c>
    </row>
    <row r="919" spans="7:14" ht="11.25" customHeight="1" x14ac:dyDescent="0.3">
      <c r="G919" s="470">
        <f t="shared" si="95"/>
        <v>76</v>
      </c>
      <c r="H919" s="470">
        <v>912</v>
      </c>
      <c r="I919" s="455">
        <f t="shared" ca="1" si="81"/>
        <v>18706378.441625349</v>
      </c>
      <c r="J919" s="455">
        <f t="array" ref="J919">IFERROR(INDEX('Retirement Calculator'!J:J,MATCH('Isaac 401k'!N919,'Retirement Calculator'!A:A,0),0),0)</f>
        <v>6404.7404596389215</v>
      </c>
      <c r="K919" s="455">
        <f t="shared" ca="1" si="79"/>
        <v>77916.557088190457</v>
      </c>
      <c r="L919" s="455">
        <f t="shared" ca="1" si="80"/>
        <v>18777890.258253898</v>
      </c>
      <c r="M919" s="471">
        <f t="shared" si="82"/>
        <v>0.05</v>
      </c>
      <c r="N919" s="475">
        <f t="shared" si="83"/>
        <v>79015</v>
      </c>
    </row>
    <row r="920" spans="7:14" ht="11.25" customHeight="1" x14ac:dyDescent="0.3">
      <c r="G920" s="470">
        <f>G919+1</f>
        <v>77</v>
      </c>
      <c r="H920" s="470">
        <v>913</v>
      </c>
      <c r="I920" s="455">
        <f t="shared" ca="1" si="81"/>
        <v>18777890.258253898</v>
      </c>
      <c r="J920" s="455">
        <f t="array" ref="J920">IFERROR(INDEX('Retirement Calculator'!J:J,MATCH('Isaac 401k'!N920,'Retirement Calculator'!A:A,0),0),0)</f>
        <v>6404.7404596389215</v>
      </c>
      <c r="K920" s="455">
        <f t="shared" ca="1" si="79"/>
        <v>78214.522990809404</v>
      </c>
      <c r="L920" s="455">
        <f t="shared" ca="1" si="80"/>
        <v>18849700.040785067</v>
      </c>
      <c r="M920" s="471">
        <f t="shared" si="82"/>
        <v>0.05</v>
      </c>
      <c r="N920" s="475">
        <f t="shared" si="83"/>
        <v>79046</v>
      </c>
    </row>
    <row r="921" spans="7:14" ht="11.25" customHeight="1" x14ac:dyDescent="0.3">
      <c r="G921" s="470">
        <f t="shared" ref="G921:G931" si="96">G920</f>
        <v>77</v>
      </c>
      <c r="H921" s="470">
        <v>914</v>
      </c>
      <c r="I921" s="455">
        <f t="shared" ca="1" si="81"/>
        <v>18849700.040785067</v>
      </c>
      <c r="J921" s="455">
        <f t="array" ref="J921">IFERROR(INDEX('Retirement Calculator'!J:J,MATCH('Isaac 401k'!N921,'Retirement Calculator'!A:A,0),0),0)</f>
        <v>6404.7404596389215</v>
      </c>
      <c r="K921" s="455">
        <f t="shared" ca="1" si="79"/>
        <v>78513.730418022606</v>
      </c>
      <c r="L921" s="455">
        <f t="shared" ca="1" si="80"/>
        <v>18921809.03074345</v>
      </c>
      <c r="M921" s="471">
        <f t="shared" si="82"/>
        <v>0.05</v>
      </c>
      <c r="N921" s="475">
        <f t="shared" si="83"/>
        <v>79076</v>
      </c>
    </row>
    <row r="922" spans="7:14" ht="11.25" customHeight="1" x14ac:dyDescent="0.3">
      <c r="G922" s="470">
        <f t="shared" si="96"/>
        <v>77</v>
      </c>
      <c r="H922" s="470">
        <v>915</v>
      </c>
      <c r="I922" s="455">
        <f t="shared" ca="1" si="81"/>
        <v>18921809.03074345</v>
      </c>
      <c r="J922" s="455">
        <f t="array" ref="J922">IFERROR(INDEX('Retirement Calculator'!J:J,MATCH('Isaac 401k'!N922,'Retirement Calculator'!A:A,0),0),0)</f>
        <v>6404.7404596389215</v>
      </c>
      <c r="K922" s="455">
        <f t="shared" ca="1" si="79"/>
        <v>78814.184542849209</v>
      </c>
      <c r="L922" s="455">
        <f t="shared" ca="1" si="80"/>
        <v>18994218.47482666</v>
      </c>
      <c r="M922" s="471">
        <f t="shared" si="82"/>
        <v>0.05</v>
      </c>
      <c r="N922" s="475">
        <f t="shared" si="83"/>
        <v>79107</v>
      </c>
    </row>
    <row r="923" spans="7:14" ht="11.25" customHeight="1" x14ac:dyDescent="0.3">
      <c r="G923" s="470">
        <f t="shared" si="96"/>
        <v>77</v>
      </c>
      <c r="H923" s="470">
        <v>916</v>
      </c>
      <c r="I923" s="455">
        <f t="shared" ca="1" si="81"/>
        <v>18994218.47482666</v>
      </c>
      <c r="J923" s="455">
        <f t="array" ref="J923">IFERROR(INDEX('Retirement Calculator'!J:J,MATCH('Isaac 401k'!N923,'Retirement Calculator'!A:A,0),0),0)</f>
        <v>6404.7404596389215</v>
      </c>
      <c r="K923" s="455">
        <f t="shared" ca="1" si="79"/>
        <v>79115.890559862586</v>
      </c>
      <c r="L923" s="455">
        <f t="shared" ca="1" si="80"/>
        <v>19066929.624926884</v>
      </c>
      <c r="M923" s="471">
        <f t="shared" si="82"/>
        <v>0.05</v>
      </c>
      <c r="N923" s="475">
        <f t="shared" si="83"/>
        <v>79138</v>
      </c>
    </row>
    <row r="924" spans="7:14" ht="11.25" customHeight="1" x14ac:dyDescent="0.3">
      <c r="G924" s="470">
        <f t="shared" si="96"/>
        <v>77</v>
      </c>
      <c r="H924" s="470">
        <v>917</v>
      </c>
      <c r="I924" s="455">
        <f t="shared" ca="1" si="81"/>
        <v>19066929.624926884</v>
      </c>
      <c r="J924" s="455">
        <f t="array" ref="J924">IFERROR(INDEX('Retirement Calculator'!J:J,MATCH('Isaac 401k'!N924,'Retirement Calculator'!A:A,0),0),0)</f>
        <v>6404.7404596389215</v>
      </c>
      <c r="K924" s="455">
        <f t="shared" ca="1" si="79"/>
        <v>79418.853685280177</v>
      </c>
      <c r="L924" s="455">
        <f t="shared" ca="1" si="80"/>
        <v>19139943.738152523</v>
      </c>
      <c r="M924" s="471">
        <f t="shared" si="82"/>
        <v>0.05</v>
      </c>
      <c r="N924" s="475">
        <f t="shared" si="83"/>
        <v>79168</v>
      </c>
    </row>
    <row r="925" spans="7:14" ht="11.25" customHeight="1" x14ac:dyDescent="0.3">
      <c r="G925" s="470">
        <f t="shared" si="96"/>
        <v>77</v>
      </c>
      <c r="H925" s="470">
        <v>918</v>
      </c>
      <c r="I925" s="455">
        <f t="shared" ca="1" si="81"/>
        <v>19139943.738152523</v>
      </c>
      <c r="J925" s="455">
        <f t="array" ref="J925">IFERROR(INDEX('Retirement Calculator'!J:J,MATCH('Isaac 401k'!N925,'Retirement Calculator'!A:A,0),0),0)</f>
        <v>6404.7404596389215</v>
      </c>
      <c r="K925" s="455">
        <f t="shared" ca="1" si="79"/>
        <v>79723.079157053682</v>
      </c>
      <c r="L925" s="455">
        <f t="shared" ca="1" si="80"/>
        <v>19213262.076849937</v>
      </c>
      <c r="M925" s="471">
        <f t="shared" si="82"/>
        <v>0.05</v>
      </c>
      <c r="N925" s="475">
        <f t="shared" si="83"/>
        <v>79199</v>
      </c>
    </row>
    <row r="926" spans="7:14" ht="11.25" customHeight="1" x14ac:dyDescent="0.3">
      <c r="G926" s="470">
        <f t="shared" si="96"/>
        <v>77</v>
      </c>
      <c r="H926" s="470">
        <v>919</v>
      </c>
      <c r="I926" s="455">
        <f t="shared" ca="1" si="81"/>
        <v>19213262.076849937</v>
      </c>
      <c r="J926" s="455">
        <f t="array" ref="J926">IFERROR(INDEX('Retirement Calculator'!J:J,MATCH('Isaac 401k'!N926,'Retirement Calculator'!A:A,0),0),0)</f>
        <v>6404.7404596389215</v>
      </c>
      <c r="K926" s="455">
        <f t="shared" ca="1" si="79"/>
        <v>80028.572234959574</v>
      </c>
      <c r="L926" s="455">
        <f t="shared" ca="1" si="80"/>
        <v>19286885.908625256</v>
      </c>
      <c r="M926" s="471">
        <f t="shared" si="82"/>
        <v>0.05</v>
      </c>
      <c r="N926" s="475">
        <f t="shared" si="83"/>
        <v>79229</v>
      </c>
    </row>
    <row r="927" spans="7:14" ht="11.25" customHeight="1" x14ac:dyDescent="0.3">
      <c r="G927" s="470">
        <f t="shared" si="96"/>
        <v>77</v>
      </c>
      <c r="H927" s="470">
        <v>920</v>
      </c>
      <c r="I927" s="455">
        <f t="shared" ca="1" si="81"/>
        <v>19286885.908625256</v>
      </c>
      <c r="J927" s="455">
        <f t="array" ref="J927">IFERROR(INDEX('Retirement Calculator'!J:J,MATCH('Isaac 401k'!N927,'Retirement Calculator'!A:A,0),0),0)</f>
        <v>6404.7404596389215</v>
      </c>
      <c r="K927" s="455">
        <f t="shared" ca="1" si="79"/>
        <v>80335.338200690065</v>
      </c>
      <c r="L927" s="455">
        <f t="shared" ca="1" si="80"/>
        <v>19360816.506366305</v>
      </c>
      <c r="M927" s="471">
        <f t="shared" si="82"/>
        <v>0.05</v>
      </c>
      <c r="N927" s="475">
        <f t="shared" si="83"/>
        <v>79260</v>
      </c>
    </row>
    <row r="928" spans="7:14" ht="11.25" customHeight="1" x14ac:dyDescent="0.3">
      <c r="G928" s="470">
        <f t="shared" si="96"/>
        <v>77</v>
      </c>
      <c r="H928" s="470">
        <v>921</v>
      </c>
      <c r="I928" s="455">
        <f t="shared" ca="1" si="81"/>
        <v>19360816.506366305</v>
      </c>
      <c r="J928" s="455">
        <f t="array" ref="J928">IFERROR(INDEX('Retirement Calculator'!J:J,MATCH('Isaac 401k'!N928,'Retirement Calculator'!A:A,0),0),0)</f>
        <v>6404.7404596389215</v>
      </c>
      <c r="K928" s="455">
        <f t="shared" ca="1" si="79"/>
        <v>80643.382357944443</v>
      </c>
      <c r="L928" s="455">
        <f t="shared" ca="1" si="80"/>
        <v>19435055.148264609</v>
      </c>
      <c r="M928" s="471">
        <f t="shared" si="82"/>
        <v>0.05</v>
      </c>
      <c r="N928" s="475">
        <f t="shared" si="83"/>
        <v>79291</v>
      </c>
    </row>
    <row r="929" spans="7:14" ht="11.25" customHeight="1" x14ac:dyDescent="0.3">
      <c r="G929" s="470">
        <f t="shared" si="96"/>
        <v>77</v>
      </c>
      <c r="H929" s="470">
        <v>922</v>
      </c>
      <c r="I929" s="455">
        <f t="shared" ca="1" si="81"/>
        <v>19435055.148264609</v>
      </c>
      <c r="J929" s="455">
        <f t="array" ref="J929">IFERROR(INDEX('Retirement Calculator'!J:J,MATCH('Isaac 401k'!N929,'Retirement Calculator'!A:A,0),0),0)</f>
        <v>6404.7404596389215</v>
      </c>
      <c r="K929" s="455">
        <f t="shared" ca="1" si="79"/>
        <v>80952.710032520699</v>
      </c>
      <c r="L929" s="455">
        <f t="shared" ca="1" si="80"/>
        <v>19509603.117837489</v>
      </c>
      <c r="M929" s="471">
        <f t="shared" si="82"/>
        <v>0.05</v>
      </c>
      <c r="N929" s="475">
        <f t="shared" si="83"/>
        <v>79319</v>
      </c>
    </row>
    <row r="930" spans="7:14" ht="11.25" customHeight="1" x14ac:dyDescent="0.3">
      <c r="G930" s="470">
        <f t="shared" si="96"/>
        <v>77</v>
      </c>
      <c r="H930" s="470">
        <v>923</v>
      </c>
      <c r="I930" s="455">
        <f t="shared" ca="1" si="81"/>
        <v>19509603.117837489</v>
      </c>
      <c r="J930" s="455">
        <f t="array" ref="J930">IFERROR(INDEX('Retirement Calculator'!J:J,MATCH('Isaac 401k'!N930,'Retirement Calculator'!A:A,0),0),0)</f>
        <v>6404.7404596389215</v>
      </c>
      <c r="K930" s="455">
        <f t="shared" ca="1" si="79"/>
        <v>81263.326572407706</v>
      </c>
      <c r="L930" s="455">
        <f t="shared" ca="1" si="80"/>
        <v>19584461.703950256</v>
      </c>
      <c r="M930" s="471">
        <f t="shared" si="82"/>
        <v>0.05</v>
      </c>
      <c r="N930" s="475">
        <f t="shared" si="83"/>
        <v>79350</v>
      </c>
    </row>
    <row r="931" spans="7:14" ht="11.25" customHeight="1" x14ac:dyDescent="0.3">
      <c r="G931" s="470">
        <f t="shared" si="96"/>
        <v>77</v>
      </c>
      <c r="H931" s="470">
        <v>924</v>
      </c>
      <c r="I931" s="455">
        <f t="shared" ca="1" si="81"/>
        <v>19584461.703950256</v>
      </c>
      <c r="J931" s="455">
        <f t="array" ref="J931">IFERROR(INDEX('Retirement Calculator'!J:J,MATCH('Isaac 401k'!N931,'Retirement Calculator'!A:A,0),0),0)</f>
        <v>6404.7404596389215</v>
      </c>
      <c r="K931" s="455">
        <f t="shared" ca="1" si="79"/>
        <v>81575.23734787757</v>
      </c>
      <c r="L931" s="455">
        <f t="shared" ca="1" si="80"/>
        <v>19659632.200838495</v>
      </c>
      <c r="M931" s="471">
        <f t="shared" si="82"/>
        <v>0.05</v>
      </c>
      <c r="N931" s="475">
        <f t="shared" si="83"/>
        <v>79380</v>
      </c>
    </row>
    <row r="932" spans="7:14" ht="11.25" customHeight="1" x14ac:dyDescent="0.3">
      <c r="G932" s="470">
        <f>G931+1</f>
        <v>78</v>
      </c>
      <c r="H932" s="470">
        <v>925</v>
      </c>
      <c r="I932" s="455">
        <f t="shared" ca="1" si="81"/>
        <v>19659632.200838495</v>
      </c>
      <c r="J932" s="455">
        <f t="array" ref="J932">IFERROR(INDEX('Retirement Calculator'!J:J,MATCH('Isaac 401k'!N932,'Retirement Calculator'!A:A,0),0),0)</f>
        <v>6404.7404596389215</v>
      </c>
      <c r="K932" s="455">
        <f t="shared" ca="1" si="79"/>
        <v>81888.447751578569</v>
      </c>
      <c r="L932" s="455">
        <f t="shared" ca="1" si="80"/>
        <v>19735115.908130433</v>
      </c>
      <c r="M932" s="471">
        <f t="shared" si="82"/>
        <v>0.05</v>
      </c>
      <c r="N932" s="475">
        <f t="shared" si="83"/>
        <v>79411</v>
      </c>
    </row>
    <row r="933" spans="7:14" ht="11.25" customHeight="1" x14ac:dyDescent="0.3">
      <c r="G933" s="470">
        <f t="shared" ref="G933:G943" si="97">G932</f>
        <v>78</v>
      </c>
      <c r="H933" s="470">
        <v>926</v>
      </c>
      <c r="I933" s="455">
        <f t="shared" ca="1" si="81"/>
        <v>19735115.908130433</v>
      </c>
      <c r="J933" s="455">
        <f t="array" ref="J933">IFERROR(INDEX('Retirement Calculator'!J:J,MATCH('Isaac 401k'!N933,'Retirement Calculator'!A:A,0),0),0)</f>
        <v>6404.7404596389215</v>
      </c>
      <c r="K933" s="455">
        <f t="shared" ca="1" si="79"/>
        <v>82202.963198628306</v>
      </c>
      <c r="L933" s="455">
        <f t="shared" ca="1" si="80"/>
        <v>19810914.130869422</v>
      </c>
      <c r="M933" s="471">
        <f t="shared" si="82"/>
        <v>0.05</v>
      </c>
      <c r="N933" s="475">
        <f t="shared" si="83"/>
        <v>79441</v>
      </c>
    </row>
    <row r="934" spans="7:14" ht="11.25" customHeight="1" x14ac:dyDescent="0.3">
      <c r="G934" s="470">
        <f t="shared" si="97"/>
        <v>78</v>
      </c>
      <c r="H934" s="470">
        <v>927</v>
      </c>
      <c r="I934" s="455">
        <f t="shared" ca="1" si="81"/>
        <v>19810914.130869422</v>
      </c>
      <c r="J934" s="455">
        <f t="array" ref="J934">IFERROR(INDEX('Retirement Calculator'!J:J,MATCH('Isaac 401k'!N934,'Retirement Calculator'!A:A,0),0),0)</f>
        <v>6404.7404596389215</v>
      </c>
      <c r="K934" s="455">
        <f t="shared" ca="1" si="79"/>
        <v>82518.78912670743</v>
      </c>
      <c r="L934" s="455">
        <f t="shared" ca="1" si="80"/>
        <v>19887028.179536492</v>
      </c>
      <c r="M934" s="471">
        <f t="shared" si="82"/>
        <v>0.05</v>
      </c>
      <c r="N934" s="475">
        <f t="shared" si="83"/>
        <v>79472</v>
      </c>
    </row>
    <row r="935" spans="7:14" ht="11.25" customHeight="1" x14ac:dyDescent="0.3">
      <c r="G935" s="470">
        <f t="shared" si="97"/>
        <v>78</v>
      </c>
      <c r="H935" s="470">
        <v>928</v>
      </c>
      <c r="I935" s="455">
        <f t="shared" ca="1" si="81"/>
        <v>19887028.179536492</v>
      </c>
      <c r="J935" s="455">
        <f t="array" ref="J935">IFERROR(INDEX('Retirement Calculator'!J:J,MATCH('Isaac 401k'!N935,'Retirement Calculator'!A:A,0),0),0)</f>
        <v>6404.7404596389215</v>
      </c>
      <c r="K935" s="455">
        <f t="shared" ca="1" si="79"/>
        <v>82835.930996153547</v>
      </c>
      <c r="L935" s="455">
        <f t="shared" ca="1" si="80"/>
        <v>19963459.370073006</v>
      </c>
      <c r="M935" s="471">
        <f t="shared" si="82"/>
        <v>0.05</v>
      </c>
      <c r="N935" s="475">
        <f t="shared" si="83"/>
        <v>79503</v>
      </c>
    </row>
    <row r="936" spans="7:14" ht="11.25" customHeight="1" x14ac:dyDescent="0.3">
      <c r="G936" s="470">
        <f t="shared" si="97"/>
        <v>78</v>
      </c>
      <c r="H936" s="470">
        <v>929</v>
      </c>
      <c r="I936" s="455">
        <f t="shared" ca="1" si="81"/>
        <v>19963459.370073006</v>
      </c>
      <c r="J936" s="455">
        <f t="array" ref="J936">IFERROR(INDEX('Retirement Calculator'!J:J,MATCH('Isaac 401k'!N936,'Retirement Calculator'!A:A,0),0),0)</f>
        <v>6404.7404596389215</v>
      </c>
      <c r="K936" s="455">
        <f t="shared" ca="1" si="79"/>
        <v>83154.394290055687</v>
      </c>
      <c r="L936" s="455">
        <f t="shared" ca="1" si="80"/>
        <v>20040209.023903422</v>
      </c>
      <c r="M936" s="471">
        <f t="shared" si="82"/>
        <v>0.05</v>
      </c>
      <c r="N936" s="475">
        <f t="shared" si="83"/>
        <v>79533</v>
      </c>
    </row>
    <row r="937" spans="7:14" ht="11.25" customHeight="1" x14ac:dyDescent="0.3">
      <c r="G937" s="470">
        <f t="shared" si="97"/>
        <v>78</v>
      </c>
      <c r="H937" s="470">
        <v>930</v>
      </c>
      <c r="I937" s="455">
        <f t="shared" ca="1" si="81"/>
        <v>20040209.023903422</v>
      </c>
      <c r="J937" s="455">
        <f t="array" ref="J937">IFERROR(INDEX('Retirement Calculator'!J:J,MATCH('Isaac 401k'!N937,'Retirement Calculator'!A:A,0),0),0)</f>
        <v>6404.7404596389215</v>
      </c>
      <c r="K937" s="455">
        <f t="shared" ca="1" si="79"/>
        <v>83474.184514349094</v>
      </c>
      <c r="L937" s="455">
        <f t="shared" ca="1" si="80"/>
        <v>20117278.46795813</v>
      </c>
      <c r="M937" s="471">
        <f t="shared" si="82"/>
        <v>0.05</v>
      </c>
      <c r="N937" s="475">
        <f t="shared" si="83"/>
        <v>79564</v>
      </c>
    </row>
    <row r="938" spans="7:14" ht="11.25" customHeight="1" x14ac:dyDescent="0.3">
      <c r="G938" s="470">
        <f t="shared" si="97"/>
        <v>78</v>
      </c>
      <c r="H938" s="470">
        <v>931</v>
      </c>
      <c r="I938" s="455">
        <f t="shared" ca="1" si="81"/>
        <v>20117278.46795813</v>
      </c>
      <c r="J938" s="455">
        <f t="array" ref="J938">IFERROR(INDEX('Retirement Calculator'!J:J,MATCH('Isaac 401k'!N938,'Retirement Calculator'!A:A,0),0),0)</f>
        <v>6404.7404596389215</v>
      </c>
      <c r="K938" s="455">
        <f t="shared" ca="1" si="79"/>
        <v>83795.30719791037</v>
      </c>
      <c r="L938" s="455">
        <f t="shared" ca="1" si="80"/>
        <v>20194669.0346964</v>
      </c>
      <c r="M938" s="471">
        <f t="shared" si="82"/>
        <v>0.05</v>
      </c>
      <c r="N938" s="475">
        <f t="shared" si="83"/>
        <v>79594</v>
      </c>
    </row>
    <row r="939" spans="7:14" ht="11.25" customHeight="1" x14ac:dyDescent="0.3">
      <c r="G939" s="470">
        <f t="shared" si="97"/>
        <v>78</v>
      </c>
      <c r="H939" s="470">
        <v>932</v>
      </c>
      <c r="I939" s="455">
        <f t="shared" ca="1" si="81"/>
        <v>20194669.0346964</v>
      </c>
      <c r="J939" s="455">
        <f t="array" ref="J939">IFERROR(INDEX('Retirement Calculator'!J:J,MATCH('Isaac 401k'!N939,'Retirement Calculator'!A:A,0),0),0)</f>
        <v>6404.7404596389215</v>
      </c>
      <c r="K939" s="455">
        <f t="shared" ca="1" si="79"/>
        <v>84117.767892653166</v>
      </c>
      <c r="L939" s="455">
        <f t="shared" ca="1" si="80"/>
        <v>20272382.062129416</v>
      </c>
      <c r="M939" s="471">
        <f t="shared" si="82"/>
        <v>0.05</v>
      </c>
      <c r="N939" s="475">
        <f t="shared" si="83"/>
        <v>79625</v>
      </c>
    </row>
    <row r="940" spans="7:14" ht="11.25" customHeight="1" x14ac:dyDescent="0.3">
      <c r="G940" s="470">
        <f t="shared" si="97"/>
        <v>78</v>
      </c>
      <c r="H940" s="470">
        <v>933</v>
      </c>
      <c r="I940" s="455">
        <f t="shared" ca="1" si="81"/>
        <v>20272382.062129416</v>
      </c>
      <c r="J940" s="455">
        <f t="array" ref="J940">IFERROR(INDEX('Retirement Calculator'!J:J,MATCH('Isaac 401k'!N940,'Retirement Calculator'!A:A,0),0),0)</f>
        <v>6404.7404596389215</v>
      </c>
      <c r="K940" s="455">
        <f t="shared" ca="1" si="79"/>
        <v>84441.572173624067</v>
      </c>
      <c r="L940" s="455">
        <f t="shared" ca="1" si="80"/>
        <v>20350418.893843401</v>
      </c>
      <c r="M940" s="471">
        <f t="shared" si="82"/>
        <v>0.05</v>
      </c>
      <c r="N940" s="475">
        <f t="shared" si="83"/>
        <v>79656</v>
      </c>
    </row>
    <row r="941" spans="7:14" ht="11.25" customHeight="1" x14ac:dyDescent="0.3">
      <c r="G941" s="470">
        <f t="shared" si="97"/>
        <v>78</v>
      </c>
      <c r="H941" s="470">
        <v>934</v>
      </c>
      <c r="I941" s="455">
        <f t="shared" ca="1" si="81"/>
        <v>20350418.893843401</v>
      </c>
      <c r="J941" s="455">
        <f t="array" ref="J941">IFERROR(INDEX('Retirement Calculator'!J:J,MATCH('Isaac 401k'!N941,'Retirement Calculator'!A:A,0),0),0)</f>
        <v>6404.7404596389215</v>
      </c>
      <c r="K941" s="455">
        <f t="shared" ca="1" si="79"/>
        <v>84766.725639099008</v>
      </c>
      <c r="L941" s="455">
        <f t="shared" ca="1" si="80"/>
        <v>20428780.879022859</v>
      </c>
      <c r="M941" s="471">
        <f t="shared" si="82"/>
        <v>0.05</v>
      </c>
      <c r="N941" s="475">
        <f t="shared" si="83"/>
        <v>79684</v>
      </c>
    </row>
    <row r="942" spans="7:14" ht="11.25" customHeight="1" x14ac:dyDescent="0.3">
      <c r="G942" s="470">
        <f t="shared" si="97"/>
        <v>78</v>
      </c>
      <c r="H942" s="470">
        <v>935</v>
      </c>
      <c r="I942" s="455">
        <f t="shared" ca="1" si="81"/>
        <v>20428780.879022859</v>
      </c>
      <c r="J942" s="455">
        <f t="array" ref="J942">IFERROR(INDEX('Retirement Calculator'!J:J,MATCH('Isaac 401k'!N942,'Retirement Calculator'!A:A,0),0),0)</f>
        <v>6404.7404596389215</v>
      </c>
      <c r="K942" s="455">
        <f t="shared" ca="1" si="79"/>
        <v>85093.233910680079</v>
      </c>
      <c r="L942" s="455">
        <f t="shared" ca="1" si="80"/>
        <v>20507469.372473899</v>
      </c>
      <c r="M942" s="471">
        <f t="shared" si="82"/>
        <v>0.05</v>
      </c>
      <c r="N942" s="475">
        <f t="shared" si="83"/>
        <v>79715</v>
      </c>
    </row>
    <row r="943" spans="7:14" ht="11.25" customHeight="1" x14ac:dyDescent="0.3">
      <c r="G943" s="470">
        <f t="shared" si="97"/>
        <v>78</v>
      </c>
      <c r="H943" s="470">
        <v>936</v>
      </c>
      <c r="I943" s="455">
        <f t="shared" ca="1" si="81"/>
        <v>20507469.372473899</v>
      </c>
      <c r="J943" s="455">
        <f t="array" ref="J943">IFERROR(INDEX('Retirement Calculator'!J:J,MATCH('Isaac 401k'!N943,'Retirement Calculator'!A:A,0),0),0)</f>
        <v>6404.7404596389215</v>
      </c>
      <c r="K943" s="455">
        <f t="shared" ca="1" si="79"/>
        <v>85421.102633392744</v>
      </c>
      <c r="L943" s="455">
        <f t="shared" ca="1" si="80"/>
        <v>20586485.734647654</v>
      </c>
      <c r="M943" s="471">
        <f t="shared" si="82"/>
        <v>0.05</v>
      </c>
      <c r="N943" s="475">
        <f t="shared" si="83"/>
        <v>79745</v>
      </c>
    </row>
    <row r="944" spans="7:14" ht="11.25" customHeight="1" x14ac:dyDescent="0.3">
      <c r="G944" s="470">
        <f>G943+1</f>
        <v>79</v>
      </c>
      <c r="H944" s="470">
        <v>937</v>
      </c>
      <c r="I944" s="455">
        <f t="shared" ca="1" si="81"/>
        <v>20586485.734647654</v>
      </c>
      <c r="J944" s="455">
        <f t="array" ref="J944">IFERROR(INDEX('Retirement Calculator'!J:J,MATCH('Isaac 401k'!N944,'Retirement Calculator'!A:A,0),0),0)</f>
        <v>6404.7404596389215</v>
      </c>
      <c r="K944" s="455">
        <f t="shared" ca="1" si="79"/>
        <v>85750.337475783395</v>
      </c>
      <c r="L944" s="455">
        <f t="shared" ca="1" si="80"/>
        <v>20665831.331663799</v>
      </c>
      <c r="M944" s="471">
        <f t="shared" si="82"/>
        <v>0.05</v>
      </c>
      <c r="N944" s="475">
        <f t="shared" si="83"/>
        <v>79776</v>
      </c>
    </row>
    <row r="945" spans="7:14" ht="11.25" customHeight="1" x14ac:dyDescent="0.3">
      <c r="G945" s="470">
        <f t="shared" ref="G945:G955" si="98">G944</f>
        <v>79</v>
      </c>
      <c r="H945" s="470">
        <v>938</v>
      </c>
      <c r="I945" s="455">
        <f t="shared" ca="1" si="81"/>
        <v>20665831.331663799</v>
      </c>
      <c r="J945" s="455">
        <f t="array" ref="J945">IFERROR(INDEX('Retirement Calculator'!J:J,MATCH('Isaac 401k'!N945,'Retirement Calculator'!A:A,0),0),0)</f>
        <v>6404.7404596389215</v>
      </c>
      <c r="K945" s="455">
        <f t="shared" ca="1" si="79"/>
        <v>86080.944130017335</v>
      </c>
      <c r="L945" s="455">
        <f t="shared" ca="1" si="80"/>
        <v>20745507.535334177</v>
      </c>
      <c r="M945" s="471">
        <f t="shared" si="82"/>
        <v>0.05</v>
      </c>
      <c r="N945" s="475">
        <f t="shared" si="83"/>
        <v>79806</v>
      </c>
    </row>
    <row r="946" spans="7:14" ht="11.25" customHeight="1" x14ac:dyDescent="0.3">
      <c r="G946" s="470">
        <f t="shared" si="98"/>
        <v>79</v>
      </c>
      <c r="H946" s="470">
        <v>939</v>
      </c>
      <c r="I946" s="455">
        <f t="shared" ca="1" si="81"/>
        <v>20745507.535334177</v>
      </c>
      <c r="J946" s="455">
        <f t="array" ref="J946">IFERROR(INDEX('Retirement Calculator'!J:J,MATCH('Isaac 401k'!N946,'Retirement Calculator'!A:A,0),0),0)</f>
        <v>6404.7404596389215</v>
      </c>
      <c r="K946" s="455">
        <f t="shared" ca="1" si="79"/>
        <v>86412.928311977244</v>
      </c>
      <c r="L946" s="455">
        <f t="shared" ca="1" si="80"/>
        <v>20825515.723186515</v>
      </c>
      <c r="M946" s="471">
        <f t="shared" si="82"/>
        <v>0.05</v>
      </c>
      <c r="N946" s="475">
        <f t="shared" si="83"/>
        <v>79837</v>
      </c>
    </row>
    <row r="947" spans="7:14" ht="11.25" customHeight="1" x14ac:dyDescent="0.3">
      <c r="G947" s="470">
        <f t="shared" si="98"/>
        <v>79</v>
      </c>
      <c r="H947" s="470">
        <v>940</v>
      </c>
      <c r="I947" s="455">
        <f t="shared" ca="1" si="81"/>
        <v>20825515.723186515</v>
      </c>
      <c r="J947" s="455">
        <f t="array" ref="J947">IFERROR(INDEX('Retirement Calculator'!J:J,MATCH('Isaac 401k'!N947,'Retirement Calculator'!A:A,0),0),0)</f>
        <v>6404.7404596389215</v>
      </c>
      <c r="K947" s="455">
        <f t="shared" ca="1" si="79"/>
        <v>86746.29576136198</v>
      </c>
      <c r="L947" s="455">
        <f t="shared" ca="1" si="80"/>
        <v>20905857.278488237</v>
      </c>
      <c r="M947" s="471">
        <f t="shared" si="82"/>
        <v>0.05</v>
      </c>
      <c r="N947" s="475">
        <f t="shared" si="83"/>
        <v>79868</v>
      </c>
    </row>
    <row r="948" spans="7:14" ht="11.25" customHeight="1" x14ac:dyDescent="0.3">
      <c r="G948" s="470">
        <f t="shared" si="98"/>
        <v>79</v>
      </c>
      <c r="H948" s="470">
        <v>941</v>
      </c>
      <c r="I948" s="455">
        <f t="shared" ca="1" si="81"/>
        <v>20905857.278488237</v>
      </c>
      <c r="J948" s="455">
        <f t="array" ref="J948">IFERROR(INDEX('Retirement Calculator'!J:J,MATCH('Isaac 401k'!N948,'Retirement Calculator'!A:A,0),0),0)</f>
        <v>6404.7404596389215</v>
      </c>
      <c r="K948" s="455">
        <f t="shared" ca="1" si="79"/>
        <v>87081.05224178583</v>
      </c>
      <c r="L948" s="455">
        <f t="shared" ca="1" si="80"/>
        <v>20986533.590270385</v>
      </c>
      <c r="M948" s="471">
        <f t="shared" si="82"/>
        <v>0.05</v>
      </c>
      <c r="N948" s="475">
        <f t="shared" si="83"/>
        <v>79898</v>
      </c>
    </row>
    <row r="949" spans="7:14" ht="11.25" customHeight="1" x14ac:dyDescent="0.3">
      <c r="G949" s="470">
        <f t="shared" si="98"/>
        <v>79</v>
      </c>
      <c r="H949" s="470">
        <v>942</v>
      </c>
      <c r="I949" s="455">
        <f t="shared" ca="1" si="81"/>
        <v>20986533.590270385</v>
      </c>
      <c r="J949" s="455">
        <f t="array" ref="J949">IFERROR(INDEX('Retirement Calculator'!J:J,MATCH('Isaac 401k'!N949,'Retirement Calculator'!A:A,0),0),0)</f>
        <v>6404.7404596389215</v>
      </c>
      <c r="K949" s="455">
        <f t="shared" ca="1" si="79"/>
        <v>87417.203540878108</v>
      </c>
      <c r="L949" s="455">
        <f t="shared" ca="1" si="80"/>
        <v>21067546.053351622</v>
      </c>
      <c r="M949" s="471">
        <f t="shared" si="82"/>
        <v>0.05</v>
      </c>
      <c r="N949" s="475">
        <f t="shared" si="83"/>
        <v>79929</v>
      </c>
    </row>
    <row r="950" spans="7:14" ht="11.25" customHeight="1" x14ac:dyDescent="0.3">
      <c r="G950" s="470">
        <f t="shared" si="98"/>
        <v>79</v>
      </c>
      <c r="H950" s="470">
        <v>943</v>
      </c>
      <c r="I950" s="455">
        <f t="shared" ca="1" si="81"/>
        <v>21067546.053351622</v>
      </c>
      <c r="J950" s="455">
        <f t="array" ref="J950">IFERROR(INDEX('Retirement Calculator'!J:J,MATCH('Isaac 401k'!N950,'Retirement Calculator'!A:A,0),0),0)</f>
        <v>6404.7404596389215</v>
      </c>
      <c r="K950" s="455">
        <f t="shared" ca="1" si="79"/>
        <v>87754.755470383257</v>
      </c>
      <c r="L950" s="455">
        <f t="shared" ca="1" si="80"/>
        <v>21148896.068362366</v>
      </c>
      <c r="M950" s="471">
        <f t="shared" si="82"/>
        <v>0.05</v>
      </c>
      <c r="N950" s="475">
        <f t="shared" si="83"/>
        <v>79959</v>
      </c>
    </row>
    <row r="951" spans="7:14" ht="11.25" customHeight="1" x14ac:dyDescent="0.3">
      <c r="G951" s="470">
        <f t="shared" si="98"/>
        <v>79</v>
      </c>
      <c r="H951" s="470">
        <v>944</v>
      </c>
      <c r="I951" s="455">
        <f t="shared" ca="1" si="81"/>
        <v>21148896.068362366</v>
      </c>
      <c r="J951" s="455">
        <f t="array" ref="J951">IFERROR(INDEX('Retirement Calculator'!J:J,MATCH('Isaac 401k'!N951,'Retirement Calculator'!A:A,0),0),0)</f>
        <v>6404.7404596389215</v>
      </c>
      <c r="K951" s="455">
        <f t="shared" ca="1" si="79"/>
        <v>88093.713866261358</v>
      </c>
      <c r="L951" s="455">
        <f t="shared" ca="1" si="80"/>
        <v>21230585.041768987</v>
      </c>
      <c r="M951" s="471">
        <f t="shared" si="82"/>
        <v>0.05</v>
      </c>
      <c r="N951" s="475">
        <f t="shared" si="83"/>
        <v>79990</v>
      </c>
    </row>
    <row r="952" spans="7:14" ht="11.25" customHeight="1" x14ac:dyDescent="0.3">
      <c r="G952" s="470">
        <f t="shared" si="98"/>
        <v>79</v>
      </c>
      <c r="H952" s="470">
        <v>945</v>
      </c>
      <c r="I952" s="455">
        <f t="shared" ca="1" si="81"/>
        <v>21230585.041768987</v>
      </c>
      <c r="J952" s="455">
        <f t="array" ref="J952">IFERROR(INDEX('Retirement Calculator'!J:J,MATCH('Isaac 401k'!N952,'Retirement Calculator'!A:A,0),0),0)</f>
        <v>6404.7404596389215</v>
      </c>
      <c r="K952" s="455">
        <f t="shared" ca="1" si="79"/>
        <v>88434.084588788945</v>
      </c>
      <c r="L952" s="455">
        <f t="shared" ca="1" si="80"/>
        <v>21312614.385898136</v>
      </c>
      <c r="M952" s="471">
        <f t="shared" si="82"/>
        <v>0.05</v>
      </c>
      <c r="N952" s="475">
        <f t="shared" si="83"/>
        <v>80021</v>
      </c>
    </row>
    <row r="953" spans="7:14" ht="11.25" customHeight="1" x14ac:dyDescent="0.3">
      <c r="G953" s="470">
        <f t="shared" si="98"/>
        <v>79</v>
      </c>
      <c r="H953" s="470">
        <v>946</v>
      </c>
      <c r="I953" s="455">
        <f t="shared" ca="1" si="81"/>
        <v>21312614.385898136</v>
      </c>
      <c r="J953" s="455">
        <f t="array" ref="J953">IFERROR(INDEX('Retirement Calculator'!J:J,MATCH('Isaac 401k'!N953,'Retirement Calculator'!A:A,0),0),0)</f>
        <v>6404.7404596389215</v>
      </c>
      <c r="K953" s="455">
        <f t="shared" ca="1" si="79"/>
        <v>88775.873522660404</v>
      </c>
      <c r="L953" s="455">
        <f t="shared" ca="1" si="80"/>
        <v>21394985.518961158</v>
      </c>
      <c r="M953" s="471">
        <f t="shared" si="82"/>
        <v>0.05</v>
      </c>
      <c r="N953" s="475">
        <f t="shared" si="83"/>
        <v>80049</v>
      </c>
    </row>
    <row r="954" spans="7:14" ht="11.25" customHeight="1" x14ac:dyDescent="0.3">
      <c r="G954" s="470">
        <f t="shared" si="98"/>
        <v>79</v>
      </c>
      <c r="H954" s="470">
        <v>947</v>
      </c>
      <c r="I954" s="455">
        <f t="shared" ca="1" si="81"/>
        <v>21394985.518961158</v>
      </c>
      <c r="J954" s="455">
        <f t="array" ref="J954">IFERROR(INDEX('Retirement Calculator'!J:J,MATCH('Isaac 401k'!N954,'Retirement Calculator'!A:A,0),0),0)</f>
        <v>6404.7404596389215</v>
      </c>
      <c r="K954" s="455">
        <f t="shared" ca="1" si="79"/>
        <v>89119.086577089663</v>
      </c>
      <c r="L954" s="455">
        <f t="shared" ca="1" si="80"/>
        <v>21477699.865078609</v>
      </c>
      <c r="M954" s="471">
        <f t="shared" si="82"/>
        <v>0.05</v>
      </c>
      <c r="N954" s="475">
        <f t="shared" si="83"/>
        <v>80080</v>
      </c>
    </row>
    <row r="955" spans="7:14" ht="11.25" customHeight="1" x14ac:dyDescent="0.3">
      <c r="G955" s="470">
        <f t="shared" si="98"/>
        <v>79</v>
      </c>
      <c r="H955" s="470">
        <v>948</v>
      </c>
      <c r="I955" s="455">
        <f t="shared" ca="1" si="81"/>
        <v>21477699.865078609</v>
      </c>
      <c r="J955" s="455">
        <f t="array" ref="J955">IFERROR(INDEX('Retirement Calculator'!J:J,MATCH('Isaac 401k'!N955,'Retirement Calculator'!A:A,0),0),0)</f>
        <v>6404.7404596389215</v>
      </c>
      <c r="K955" s="455">
        <f t="shared" ca="1" si="79"/>
        <v>89463.729685912374</v>
      </c>
      <c r="L955" s="455">
        <f t="shared" ca="1" si="80"/>
        <v>21560758.854304884</v>
      </c>
      <c r="M955" s="471">
        <f t="shared" si="82"/>
        <v>0.05</v>
      </c>
      <c r="N955" s="475">
        <f t="shared" si="83"/>
        <v>80110</v>
      </c>
    </row>
    <row r="956" spans="7:14" ht="11.25" customHeight="1" x14ac:dyDescent="0.3">
      <c r="G956" s="470">
        <f>G955+1</f>
        <v>80</v>
      </c>
      <c r="H956" s="470">
        <v>949</v>
      </c>
      <c r="I956" s="455">
        <f t="shared" ca="1" si="81"/>
        <v>21560758.854304884</v>
      </c>
      <c r="J956" s="455">
        <f t="array" ref="J956">IFERROR(INDEX('Retirement Calculator'!J:J,MATCH('Isaac 401k'!N956,'Retirement Calculator'!A:A,0),0),0)</f>
        <v>6404.7404596389215</v>
      </c>
      <c r="K956" s="455">
        <f t="shared" ca="1" si="79"/>
        <v>89809.808807688518</v>
      </c>
      <c r="L956" s="455">
        <f t="shared" ca="1" si="80"/>
        <v>21644163.922652934</v>
      </c>
      <c r="M956" s="471">
        <f t="shared" si="82"/>
        <v>0.05</v>
      </c>
      <c r="N956" s="475">
        <f t="shared" si="83"/>
        <v>80141</v>
      </c>
    </row>
    <row r="957" spans="7:14" ht="11.25" customHeight="1" x14ac:dyDescent="0.3">
      <c r="G957" s="470">
        <f t="shared" ref="G957:G967" si="99">G956</f>
        <v>80</v>
      </c>
      <c r="H957" s="470">
        <v>950</v>
      </c>
      <c r="I957" s="455">
        <f t="shared" ca="1" si="81"/>
        <v>21644163.922652934</v>
      </c>
      <c r="J957" s="455">
        <f t="array" ref="J957">IFERROR(INDEX('Retirement Calculator'!J:J,MATCH('Isaac 401k'!N957,'Retirement Calculator'!A:A,0),0),0)</f>
        <v>6404.7404596389215</v>
      </c>
      <c r="K957" s="455">
        <f t="shared" ca="1" si="79"/>
        <v>90157.329925805388</v>
      </c>
      <c r="L957" s="455">
        <f t="shared" ca="1" si="80"/>
        <v>21727916.512119099</v>
      </c>
      <c r="M957" s="471">
        <f t="shared" si="82"/>
        <v>0.05</v>
      </c>
      <c r="N957" s="475">
        <f t="shared" si="83"/>
        <v>80171</v>
      </c>
    </row>
    <row r="958" spans="7:14" ht="11.25" customHeight="1" x14ac:dyDescent="0.3">
      <c r="G958" s="470">
        <f t="shared" si="99"/>
        <v>80</v>
      </c>
      <c r="H958" s="470">
        <v>951</v>
      </c>
      <c r="I958" s="455">
        <f t="shared" ca="1" si="81"/>
        <v>21727916.512119099</v>
      </c>
      <c r="J958" s="455">
        <f t="array" ref="J958">IFERROR(INDEX('Retirement Calculator'!J:J,MATCH('Isaac 401k'!N958,'Retirement Calculator'!A:A,0),0),0)</f>
        <v>6404.7404596389215</v>
      </c>
      <c r="K958" s="455">
        <f t="shared" ca="1" si="79"/>
        <v>90506.299048581088</v>
      </c>
      <c r="L958" s="455">
        <f t="shared" ca="1" si="80"/>
        <v>21812018.07070804</v>
      </c>
      <c r="M958" s="471">
        <f t="shared" si="82"/>
        <v>0.05</v>
      </c>
      <c r="N958" s="475">
        <f t="shared" si="83"/>
        <v>80202</v>
      </c>
    </row>
    <row r="959" spans="7:14" ht="11.25" customHeight="1" x14ac:dyDescent="0.3">
      <c r="G959" s="470">
        <f t="shared" si="99"/>
        <v>80</v>
      </c>
      <c r="H959" s="470">
        <v>952</v>
      </c>
      <c r="I959" s="455">
        <f t="shared" ca="1" si="81"/>
        <v>21812018.07070804</v>
      </c>
      <c r="J959" s="455">
        <f t="array" ref="J959">IFERROR(INDEX('Retirement Calculator'!J:J,MATCH('Isaac 401k'!N959,'Retirement Calculator'!A:A,0),0),0)</f>
        <v>6404.7404596389215</v>
      </c>
      <c r="K959" s="455">
        <f t="shared" ca="1" si="79"/>
        <v>90856.722209368338</v>
      </c>
      <c r="L959" s="455">
        <f t="shared" ca="1" si="80"/>
        <v>21896470.052457768</v>
      </c>
      <c r="M959" s="471">
        <f t="shared" si="82"/>
        <v>0.05</v>
      </c>
      <c r="N959" s="475">
        <f t="shared" si="83"/>
        <v>80233</v>
      </c>
    </row>
    <row r="960" spans="7:14" ht="11.25" customHeight="1" x14ac:dyDescent="0.3">
      <c r="G960" s="470">
        <f t="shared" si="99"/>
        <v>80</v>
      </c>
      <c r="H960" s="470">
        <v>953</v>
      </c>
      <c r="I960" s="455">
        <f t="shared" ca="1" si="81"/>
        <v>21896470.052457768</v>
      </c>
      <c r="J960" s="455">
        <f t="array" ref="J960">IFERROR(INDEX('Retirement Calculator'!J:J,MATCH('Isaac 401k'!N960,'Retirement Calculator'!A:A,0),0),0)</f>
        <v>6404.7404596389215</v>
      </c>
      <c r="K960" s="455">
        <f t="shared" ca="1" si="79"/>
        <v>91208.605466658875</v>
      </c>
      <c r="L960" s="455">
        <f t="shared" ca="1" si="80"/>
        <v>21981273.917464789</v>
      </c>
      <c r="M960" s="471">
        <f t="shared" si="82"/>
        <v>0.05</v>
      </c>
      <c r="N960" s="475">
        <f t="shared" si="83"/>
        <v>80263</v>
      </c>
    </row>
    <row r="961" spans="7:14" ht="11.25" customHeight="1" x14ac:dyDescent="0.3">
      <c r="G961" s="470">
        <f t="shared" si="99"/>
        <v>80</v>
      </c>
      <c r="H961" s="470">
        <v>954</v>
      </c>
      <c r="I961" s="455">
        <f t="shared" ca="1" si="81"/>
        <v>21981273.917464789</v>
      </c>
      <c r="J961" s="455">
        <f t="array" ref="J961">IFERROR(INDEX('Retirement Calculator'!J:J,MATCH('Isaac 401k'!N961,'Retirement Calculator'!A:A,0),0),0)</f>
        <v>6404.7404596389215</v>
      </c>
      <c r="K961" s="455">
        <f t="shared" ca="1" si="79"/>
        <v>91561.954904188126</v>
      </c>
      <c r="L961" s="455">
        <f t="shared" ca="1" si="80"/>
        <v>22066431.131909337</v>
      </c>
      <c r="M961" s="471">
        <f t="shared" si="82"/>
        <v>0.05</v>
      </c>
      <c r="N961" s="475">
        <f t="shared" si="83"/>
        <v>80294</v>
      </c>
    </row>
    <row r="962" spans="7:14" ht="11.25" customHeight="1" x14ac:dyDescent="0.3">
      <c r="G962" s="470">
        <f t="shared" si="99"/>
        <v>80</v>
      </c>
      <c r="H962" s="470">
        <v>955</v>
      </c>
      <c r="I962" s="455">
        <f t="shared" ca="1" si="81"/>
        <v>22066431.131909337</v>
      </c>
      <c r="J962" s="455">
        <f t="array" ref="J962">IFERROR(INDEX('Retirement Calculator'!J:J,MATCH('Isaac 401k'!N962,'Retirement Calculator'!A:A,0),0),0)</f>
        <v>6404.7404596389215</v>
      </c>
      <c r="K962" s="455">
        <f t="shared" ca="1" si="79"/>
        <v>91916.776631040411</v>
      </c>
      <c r="L962" s="455">
        <f t="shared" ca="1" si="80"/>
        <v>22151943.168080736</v>
      </c>
      <c r="M962" s="471">
        <f t="shared" si="82"/>
        <v>0.05</v>
      </c>
      <c r="N962" s="475">
        <f t="shared" si="83"/>
        <v>80324</v>
      </c>
    </row>
    <row r="963" spans="7:14" ht="11.25" customHeight="1" x14ac:dyDescent="0.3">
      <c r="G963" s="470">
        <f t="shared" si="99"/>
        <v>80</v>
      </c>
      <c r="H963" s="470">
        <v>956</v>
      </c>
      <c r="I963" s="455">
        <f t="shared" ca="1" si="81"/>
        <v>22151943.168080736</v>
      </c>
      <c r="J963" s="455">
        <f t="array" ref="J963">IFERROR(INDEX('Retirement Calculator'!J:J,MATCH('Isaac 401k'!N963,'Retirement Calculator'!A:A,0),0),0)</f>
        <v>6404.7404596389215</v>
      </c>
      <c r="K963" s="455">
        <f t="shared" ca="1" si="79"/>
        <v>92273.076781754571</v>
      </c>
      <c r="L963" s="455">
        <f t="shared" ca="1" si="80"/>
        <v>22237811.50440285</v>
      </c>
      <c r="M963" s="471">
        <f t="shared" si="82"/>
        <v>0.05</v>
      </c>
      <c r="N963" s="475">
        <f t="shared" si="83"/>
        <v>80355</v>
      </c>
    </row>
    <row r="964" spans="7:14" ht="11.25" customHeight="1" x14ac:dyDescent="0.3">
      <c r="G964" s="470">
        <f t="shared" si="99"/>
        <v>80</v>
      </c>
      <c r="H964" s="470">
        <v>957</v>
      </c>
      <c r="I964" s="455">
        <f t="shared" ca="1" si="81"/>
        <v>22237811.50440285</v>
      </c>
      <c r="J964" s="455">
        <f t="array" ref="J964">IFERROR(INDEX('Retirement Calculator'!J:J,MATCH('Isaac 401k'!N964,'Retirement Calculator'!A:A,0),0),0)</f>
        <v>6404.7404596389215</v>
      </c>
      <c r="K964" s="455">
        <f t="shared" ca="1" si="79"/>
        <v>92630.861516430043</v>
      </c>
      <c r="L964" s="455">
        <f t="shared" ca="1" si="80"/>
        <v>22324037.625459641</v>
      </c>
      <c r="M964" s="471">
        <f t="shared" si="82"/>
        <v>0.05</v>
      </c>
      <c r="N964" s="475">
        <f t="shared" si="83"/>
        <v>80386</v>
      </c>
    </row>
    <row r="965" spans="7:14" ht="11.25" customHeight="1" x14ac:dyDescent="0.3">
      <c r="G965" s="470">
        <f t="shared" si="99"/>
        <v>80</v>
      </c>
      <c r="H965" s="470">
        <v>958</v>
      </c>
      <c r="I965" s="455">
        <f t="shared" ca="1" si="81"/>
        <v>22324037.625459641</v>
      </c>
      <c r="J965" s="455">
        <f t="array" ref="J965">IFERROR(INDEX('Retirement Calculator'!J:J,MATCH('Isaac 401k'!N965,'Retirement Calculator'!A:A,0),0),0)</f>
        <v>6404.7404596389215</v>
      </c>
      <c r="K965" s="455">
        <f t="shared" ca="1" si="79"/>
        <v>92990.137020833339</v>
      </c>
      <c r="L965" s="455">
        <f t="shared" ca="1" si="80"/>
        <v>22410623.022020835</v>
      </c>
      <c r="M965" s="471">
        <f t="shared" si="82"/>
        <v>0.05</v>
      </c>
      <c r="N965" s="475">
        <f t="shared" si="83"/>
        <v>80415</v>
      </c>
    </row>
    <row r="966" spans="7:14" ht="11.25" customHeight="1" x14ac:dyDescent="0.3">
      <c r="G966" s="470">
        <f t="shared" si="99"/>
        <v>80</v>
      </c>
      <c r="H966" s="470">
        <v>959</v>
      </c>
      <c r="I966" s="455">
        <f t="shared" ca="1" si="81"/>
        <v>22410623.022020835</v>
      </c>
      <c r="J966" s="455">
        <f t="array" ref="J966">IFERROR(INDEX('Retirement Calculator'!J:J,MATCH('Isaac 401k'!N966,'Retirement Calculator'!A:A,0),0),0)</f>
        <v>6404.7404596389215</v>
      </c>
      <c r="K966" s="455">
        <f t="shared" ca="1" si="79"/>
        <v>93350.909506504977</v>
      </c>
      <c r="L966" s="455">
        <f t="shared" ca="1" si="80"/>
        <v>22497569.191067699</v>
      </c>
      <c r="M966" s="471">
        <f t="shared" si="82"/>
        <v>0.05</v>
      </c>
      <c r="N966" s="475">
        <f t="shared" si="83"/>
        <v>80446</v>
      </c>
    </row>
    <row r="967" spans="7:14" ht="11.25" customHeight="1" x14ac:dyDescent="0.3">
      <c r="G967" s="470">
        <f t="shared" si="99"/>
        <v>80</v>
      </c>
      <c r="H967" s="470">
        <v>960</v>
      </c>
      <c r="I967" s="455">
        <f t="shared" ca="1" si="81"/>
        <v>22497569.191067699</v>
      </c>
      <c r="J967" s="455">
        <f t="array" ref="J967">IFERROR(INDEX('Retirement Calculator'!J:J,MATCH('Isaac 401k'!N967,'Retirement Calculator'!A:A,0),0),0)</f>
        <v>6404.7404596389215</v>
      </c>
      <c r="K967" s="455">
        <f t="shared" ca="1" si="79"/>
        <v>93713.185210866912</v>
      </c>
      <c r="L967" s="455">
        <f t="shared" ca="1" si="80"/>
        <v>22584877.635818928</v>
      </c>
      <c r="M967" s="471">
        <f t="shared" si="82"/>
        <v>0.05</v>
      </c>
      <c r="N967" s="475">
        <f t="shared" si="83"/>
        <v>80476</v>
      </c>
    </row>
    <row r="968" spans="7:14" ht="11.25" customHeight="1" x14ac:dyDescent="0.3">
      <c r="G968" s="470">
        <f>G967+1</f>
        <v>81</v>
      </c>
      <c r="H968" s="470">
        <v>961</v>
      </c>
      <c r="I968" s="455">
        <f t="shared" ca="1" si="81"/>
        <v>22584877.635818928</v>
      </c>
      <c r="J968" s="455">
        <f t="array" ref="J968">IFERROR(INDEX('Retirement Calculator'!J:J,MATCH('Isaac 401k'!N968,'Retirement Calculator'!A:A,0),0),0)</f>
        <v>6404.7404596389215</v>
      </c>
      <c r="K968" s="455">
        <f t="shared" ca="1" si="79"/>
        <v>94076.970397330369</v>
      </c>
      <c r="L968" s="455">
        <f t="shared" ca="1" si="80"/>
        <v>22672549.86575662</v>
      </c>
      <c r="M968" s="471">
        <f t="shared" si="82"/>
        <v>0.05</v>
      </c>
      <c r="N968" s="475">
        <f t="shared" si="83"/>
        <v>80507</v>
      </c>
    </row>
    <row r="969" spans="7:14" ht="11.25" customHeight="1" x14ac:dyDescent="0.3">
      <c r="G969" s="470">
        <f t="shared" ref="G969:G979" si="100">G968</f>
        <v>81</v>
      </c>
      <c r="H969" s="470">
        <v>962</v>
      </c>
      <c r="I969" s="455">
        <f t="shared" ca="1" si="81"/>
        <v>22672549.86575662</v>
      </c>
      <c r="J969" s="455">
        <f t="array" ref="J969">IFERROR(INDEX('Retirement Calculator'!J:J,MATCH('Isaac 401k'!N969,'Retirement Calculator'!A:A,0),0),0)</f>
        <v>6404.7404596389215</v>
      </c>
      <c r="K969" s="455">
        <f t="shared" ca="1" si="79"/>
        <v>94442.271355404082</v>
      </c>
      <c r="L969" s="455">
        <f t="shared" ca="1" si="80"/>
        <v>22760587.396652386</v>
      </c>
      <c r="M969" s="471">
        <f t="shared" si="82"/>
        <v>0.05</v>
      </c>
      <c r="N969" s="475">
        <f t="shared" si="83"/>
        <v>80537</v>
      </c>
    </row>
    <row r="970" spans="7:14" ht="11.25" customHeight="1" x14ac:dyDescent="0.3">
      <c r="G970" s="470">
        <f t="shared" si="100"/>
        <v>81</v>
      </c>
      <c r="H970" s="470">
        <v>963</v>
      </c>
      <c r="I970" s="455">
        <f t="shared" ca="1" si="81"/>
        <v>22760587.396652386</v>
      </c>
      <c r="J970" s="455">
        <f t="array" ref="J970">IFERROR(INDEX('Retirement Calculator'!J:J,MATCH('Isaac 401k'!N970,'Retirement Calculator'!A:A,0),0),0)</f>
        <v>6404.7404596389215</v>
      </c>
      <c r="K970" s="455">
        <f t="shared" ca="1" si="79"/>
        <v>94809.094400803107</v>
      </c>
      <c r="L970" s="455">
        <f t="shared" ca="1" si="80"/>
        <v>22848991.750593551</v>
      </c>
      <c r="M970" s="471">
        <f t="shared" si="82"/>
        <v>0.05</v>
      </c>
      <c r="N970" s="475">
        <f t="shared" si="83"/>
        <v>80568</v>
      </c>
    </row>
    <row r="971" spans="7:14" ht="11.25" customHeight="1" x14ac:dyDescent="0.3">
      <c r="G971" s="470">
        <f t="shared" si="100"/>
        <v>81</v>
      </c>
      <c r="H971" s="470">
        <v>964</v>
      </c>
      <c r="I971" s="455">
        <f t="shared" ca="1" si="81"/>
        <v>22848991.750593551</v>
      </c>
      <c r="J971" s="455">
        <f t="array" ref="J971">IFERROR(INDEX('Retirement Calculator'!J:J,MATCH('Isaac 401k'!N971,'Retirement Calculator'!A:A,0),0),0)</f>
        <v>6404.7404596389215</v>
      </c>
      <c r="K971" s="455">
        <f t="shared" ca="1" si="79"/>
        <v>95177.445875557954</v>
      </c>
      <c r="L971" s="455">
        <f t="shared" ca="1" si="80"/>
        <v>22937764.45600947</v>
      </c>
      <c r="M971" s="471">
        <f t="shared" si="82"/>
        <v>0.05</v>
      </c>
      <c r="N971" s="475">
        <f t="shared" si="83"/>
        <v>80599</v>
      </c>
    </row>
    <row r="972" spans="7:14" ht="11.25" customHeight="1" x14ac:dyDescent="0.3">
      <c r="G972" s="470">
        <f t="shared" si="100"/>
        <v>81</v>
      </c>
      <c r="H972" s="470">
        <v>965</v>
      </c>
      <c r="I972" s="455">
        <f t="shared" ca="1" si="81"/>
        <v>22937764.45600947</v>
      </c>
      <c r="J972" s="455">
        <f t="array" ref="J972">IFERROR(INDEX('Retirement Calculator'!J:J,MATCH('Isaac 401k'!N972,'Retirement Calculator'!A:A,0),0),0)</f>
        <v>6404.7404596389215</v>
      </c>
      <c r="K972" s="455">
        <f t="shared" ca="1" si="79"/>
        <v>95547.332148124289</v>
      </c>
      <c r="L972" s="455">
        <f t="shared" ca="1" si="80"/>
        <v>23026907.047697954</v>
      </c>
      <c r="M972" s="471">
        <f t="shared" si="82"/>
        <v>0.05</v>
      </c>
      <c r="N972" s="475">
        <f t="shared" si="83"/>
        <v>80629</v>
      </c>
    </row>
    <row r="973" spans="7:14" ht="11.25" customHeight="1" x14ac:dyDescent="0.3">
      <c r="G973" s="470">
        <f t="shared" si="100"/>
        <v>81</v>
      </c>
      <c r="H973" s="470">
        <v>966</v>
      </c>
      <c r="I973" s="455">
        <f t="shared" ca="1" si="81"/>
        <v>23026907.047697954</v>
      </c>
      <c r="J973" s="455">
        <f t="array" ref="J973">IFERROR(INDEX('Retirement Calculator'!J:J,MATCH('Isaac 401k'!N973,'Retirement Calculator'!A:A,0),0),0)</f>
        <v>6404.7404596389215</v>
      </c>
      <c r="K973" s="455">
        <f t="shared" ca="1" si="79"/>
        <v>95918.759613492977</v>
      </c>
      <c r="L973" s="455">
        <f t="shared" ca="1" si="80"/>
        <v>23116421.066851806</v>
      </c>
      <c r="M973" s="471">
        <f t="shared" si="82"/>
        <v>0.05</v>
      </c>
      <c r="N973" s="475">
        <f t="shared" si="83"/>
        <v>80660</v>
      </c>
    </row>
    <row r="974" spans="7:14" ht="11.25" customHeight="1" x14ac:dyDescent="0.3">
      <c r="G974" s="470">
        <f t="shared" si="100"/>
        <v>81</v>
      </c>
      <c r="H974" s="470">
        <v>967</v>
      </c>
      <c r="I974" s="455">
        <f t="shared" ca="1" si="81"/>
        <v>23116421.066851806</v>
      </c>
      <c r="J974" s="455">
        <f t="array" ref="J974">IFERROR(INDEX('Retirement Calculator'!J:J,MATCH('Isaac 401k'!N974,'Retirement Calculator'!A:A,0),0),0)</f>
        <v>6404.7404596389215</v>
      </c>
      <c r="K974" s="455">
        <f t="shared" ca="1" si="79"/>
        <v>96291.734693300692</v>
      </c>
      <c r="L974" s="455">
        <f t="shared" ca="1" si="80"/>
        <v>23206308.061085466</v>
      </c>
      <c r="M974" s="471">
        <f t="shared" si="82"/>
        <v>0.05</v>
      </c>
      <c r="N974" s="475">
        <f t="shared" si="83"/>
        <v>80690</v>
      </c>
    </row>
    <row r="975" spans="7:14" ht="11.25" customHeight="1" x14ac:dyDescent="0.3">
      <c r="G975" s="470">
        <f t="shared" si="100"/>
        <v>81</v>
      </c>
      <c r="H975" s="470">
        <v>968</v>
      </c>
      <c r="I975" s="455">
        <f t="shared" ca="1" si="81"/>
        <v>23206308.061085466</v>
      </c>
      <c r="J975" s="455">
        <f t="array" ref="J975">IFERROR(INDEX('Retirement Calculator'!J:J,MATCH('Isaac 401k'!N975,'Retirement Calculator'!A:A,0),0),0)</f>
        <v>6404.7404596389215</v>
      </c>
      <c r="K975" s="455">
        <f t="shared" ca="1" si="79"/>
        <v>96666.263835940947</v>
      </c>
      <c r="L975" s="455">
        <f t="shared" ca="1" si="80"/>
        <v>23296569.584461767</v>
      </c>
      <c r="M975" s="471">
        <f t="shared" si="82"/>
        <v>0.05</v>
      </c>
      <c r="N975" s="475">
        <f t="shared" si="83"/>
        <v>80721</v>
      </c>
    </row>
    <row r="976" spans="7:14" ht="11.25" customHeight="1" x14ac:dyDescent="0.3">
      <c r="G976" s="470">
        <f t="shared" si="100"/>
        <v>81</v>
      </c>
      <c r="H976" s="470">
        <v>969</v>
      </c>
      <c r="I976" s="455">
        <f t="shared" ca="1" si="81"/>
        <v>23296569.584461767</v>
      </c>
      <c r="J976" s="455">
        <f t="array" ref="J976">IFERROR(INDEX('Retirement Calculator'!J:J,MATCH('Isaac 401k'!N976,'Retirement Calculator'!A:A,0),0),0)</f>
        <v>6404.7404596389215</v>
      </c>
      <c r="K976" s="455">
        <f t="shared" ca="1" si="79"/>
        <v>97042.353516675532</v>
      </c>
      <c r="L976" s="455">
        <f t="shared" ca="1" si="80"/>
        <v>23387207.197518803</v>
      </c>
      <c r="M976" s="471">
        <f t="shared" si="82"/>
        <v>0.05</v>
      </c>
      <c r="N976" s="475">
        <f t="shared" si="83"/>
        <v>80752</v>
      </c>
    </row>
    <row r="977" spans="7:14" ht="11.25" customHeight="1" x14ac:dyDescent="0.3">
      <c r="G977" s="470">
        <f t="shared" si="100"/>
        <v>81</v>
      </c>
      <c r="H977" s="470">
        <v>970</v>
      </c>
      <c r="I977" s="455">
        <f t="shared" ca="1" si="81"/>
        <v>23387207.197518803</v>
      </c>
      <c r="J977" s="455">
        <f t="array" ref="J977">IFERROR(INDEX('Retirement Calculator'!J:J,MATCH('Isaac 401k'!N977,'Retirement Calculator'!A:A,0),0),0)</f>
        <v>6404.7404596389215</v>
      </c>
      <c r="K977" s="455">
        <f t="shared" ca="1" si="79"/>
        <v>97420.010237746508</v>
      </c>
      <c r="L977" s="455">
        <f t="shared" ca="1" si="80"/>
        <v>23478222.46729691</v>
      </c>
      <c r="M977" s="471">
        <f t="shared" si="82"/>
        <v>0.05</v>
      </c>
      <c r="N977" s="475">
        <f t="shared" si="83"/>
        <v>80780</v>
      </c>
    </row>
    <row r="978" spans="7:14" ht="11.25" customHeight="1" x14ac:dyDescent="0.3">
      <c r="G978" s="470">
        <f t="shared" si="100"/>
        <v>81</v>
      </c>
      <c r="H978" s="470">
        <v>971</v>
      </c>
      <c r="I978" s="455">
        <f t="shared" ca="1" si="81"/>
        <v>23478222.46729691</v>
      </c>
      <c r="J978" s="455">
        <f t="array" ref="J978">IFERROR(INDEX('Retirement Calculator'!J:J,MATCH('Isaac 401k'!N978,'Retirement Calculator'!A:A,0),0),0)</f>
        <v>6404.7404596389215</v>
      </c>
      <c r="K978" s="455">
        <f t="shared" ca="1" si="79"/>
        <v>97799.240528488619</v>
      </c>
      <c r="L978" s="455">
        <f t="shared" ca="1" si="80"/>
        <v>23569616.96736576</v>
      </c>
      <c r="M978" s="471">
        <f t="shared" si="82"/>
        <v>0.05</v>
      </c>
      <c r="N978" s="475">
        <f t="shared" si="83"/>
        <v>80811</v>
      </c>
    </row>
    <row r="979" spans="7:14" ht="11.25" customHeight="1" x14ac:dyDescent="0.3">
      <c r="G979" s="470">
        <f t="shared" si="100"/>
        <v>81</v>
      </c>
      <c r="H979" s="470">
        <v>972</v>
      </c>
      <c r="I979" s="455">
        <f t="shared" ca="1" si="81"/>
        <v>23569616.96736576</v>
      </c>
      <c r="J979" s="455">
        <f t="array" ref="J979">IFERROR(INDEX('Retirement Calculator'!J:J,MATCH('Isaac 401k'!N979,'Retirement Calculator'!A:A,0),0),0)</f>
        <v>6404.7404596389215</v>
      </c>
      <c r="K979" s="455">
        <f t="shared" ca="1" si="79"/>
        <v>98180.05094544217</v>
      </c>
      <c r="L979" s="455">
        <f t="shared" ca="1" si="80"/>
        <v>23661392.277851563</v>
      </c>
      <c r="M979" s="471">
        <f t="shared" si="82"/>
        <v>0.05</v>
      </c>
      <c r="N979" s="475">
        <f t="shared" si="83"/>
        <v>80841</v>
      </c>
    </row>
    <row r="980" spans="7:14" ht="11.25" customHeight="1" x14ac:dyDescent="0.3">
      <c r="G980" s="470">
        <f>G979+1</f>
        <v>82</v>
      </c>
      <c r="H980" s="470">
        <v>973</v>
      </c>
      <c r="I980" s="455">
        <f t="shared" ca="1" si="81"/>
        <v>23661392.277851563</v>
      </c>
      <c r="J980" s="455">
        <f t="array" ref="J980">IFERROR(INDEX('Retirement Calculator'!J:J,MATCH('Isaac 401k'!N980,'Retirement Calculator'!A:A,0),0),0)</f>
        <v>6404.7404596389215</v>
      </c>
      <c r="K980" s="455">
        <f t="shared" ca="1" si="79"/>
        <v>98562.448072466344</v>
      </c>
      <c r="L980" s="455">
        <f t="shared" ca="1" si="80"/>
        <v>23753549.98546439</v>
      </c>
      <c r="M980" s="471">
        <f t="shared" si="82"/>
        <v>0.05</v>
      </c>
      <c r="N980" s="475">
        <f t="shared" si="83"/>
        <v>80872</v>
      </c>
    </row>
    <row r="981" spans="7:14" ht="11.25" customHeight="1" x14ac:dyDescent="0.3">
      <c r="G981" s="470">
        <f t="shared" ref="G981:G991" si="101">G980</f>
        <v>82</v>
      </c>
      <c r="H981" s="470">
        <v>974</v>
      </c>
      <c r="I981" s="455">
        <f t="shared" ca="1" si="81"/>
        <v>23753549.98546439</v>
      </c>
      <c r="J981" s="455">
        <f t="array" ref="J981">IFERROR(INDEX('Retirement Calculator'!J:J,MATCH('Isaac 401k'!N981,'Retirement Calculator'!A:A,0),0),0)</f>
        <v>6404.7404596389215</v>
      </c>
      <c r="K981" s="455">
        <f t="shared" ca="1" si="79"/>
        <v>98946.438520853131</v>
      </c>
      <c r="L981" s="455">
        <f t="shared" ca="1" si="80"/>
        <v>23846091.683525603</v>
      </c>
      <c r="M981" s="471">
        <f t="shared" si="82"/>
        <v>0.05</v>
      </c>
      <c r="N981" s="475">
        <f t="shared" si="83"/>
        <v>80902</v>
      </c>
    </row>
    <row r="982" spans="7:14" ht="11.25" customHeight="1" x14ac:dyDescent="0.3">
      <c r="G982" s="470">
        <f t="shared" si="101"/>
        <v>82</v>
      </c>
      <c r="H982" s="470">
        <v>975</v>
      </c>
      <c r="I982" s="455">
        <f t="shared" ca="1" si="81"/>
        <v>23846091.683525603</v>
      </c>
      <c r="J982" s="455">
        <f t="array" ref="J982">IFERROR(INDEX('Retirement Calculator'!J:J,MATCH('Isaac 401k'!N982,'Retirement Calculator'!A:A,0),0),0)</f>
        <v>6404.7404596389215</v>
      </c>
      <c r="K982" s="455">
        <f t="shared" ca="1" si="79"/>
        <v>99332.028929441512</v>
      </c>
      <c r="L982" s="455">
        <f t="shared" ca="1" si="80"/>
        <v>23939018.971995406</v>
      </c>
      <c r="M982" s="471">
        <f t="shared" si="82"/>
        <v>0.05</v>
      </c>
      <c r="N982" s="475">
        <f t="shared" si="83"/>
        <v>80933</v>
      </c>
    </row>
    <row r="983" spans="7:14" ht="11.25" customHeight="1" x14ac:dyDescent="0.3">
      <c r="G983" s="470">
        <f t="shared" si="101"/>
        <v>82</v>
      </c>
      <c r="H983" s="470">
        <v>976</v>
      </c>
      <c r="I983" s="455">
        <f t="shared" ca="1" si="81"/>
        <v>23939018.971995406</v>
      </c>
      <c r="J983" s="455">
        <f t="array" ref="J983">IFERROR(INDEX('Retirement Calculator'!J:J,MATCH('Isaac 401k'!N983,'Retirement Calculator'!A:A,0),0),0)</f>
        <v>6404.7404596389215</v>
      </c>
      <c r="K983" s="455">
        <f t="shared" ca="1" si="79"/>
        <v>99719.225964732352</v>
      </c>
      <c r="L983" s="455">
        <f t="shared" ca="1" si="80"/>
        <v>24032333.457500499</v>
      </c>
      <c r="M983" s="471">
        <f t="shared" si="82"/>
        <v>0.05</v>
      </c>
      <c r="N983" s="475">
        <f t="shared" si="83"/>
        <v>80964</v>
      </c>
    </row>
    <row r="984" spans="7:14" ht="11.25" customHeight="1" x14ac:dyDescent="0.3">
      <c r="G984" s="470">
        <f t="shared" si="101"/>
        <v>82</v>
      </c>
      <c r="H984" s="470">
        <v>977</v>
      </c>
      <c r="I984" s="455">
        <f t="shared" ca="1" si="81"/>
        <v>24032333.457500499</v>
      </c>
      <c r="J984" s="455">
        <f t="array" ref="J984">IFERROR(INDEX('Retirement Calculator'!J:J,MATCH('Isaac 401k'!N984,'Retirement Calculator'!A:A,0),0),0)</f>
        <v>6404.7404596389215</v>
      </c>
      <c r="K984" s="455">
        <f t="shared" ca="1" si="79"/>
        <v>100108.03632100357</v>
      </c>
      <c r="L984" s="455">
        <f t="shared" ca="1" si="80"/>
        <v>24126036.753361862</v>
      </c>
      <c r="M984" s="471">
        <f t="shared" si="82"/>
        <v>0.05</v>
      </c>
      <c r="N984" s="475">
        <f t="shared" si="83"/>
        <v>80994</v>
      </c>
    </row>
    <row r="985" spans="7:14" ht="11.25" customHeight="1" x14ac:dyDescent="0.3">
      <c r="G985" s="470">
        <f t="shared" si="101"/>
        <v>82</v>
      </c>
      <c r="H985" s="470">
        <v>978</v>
      </c>
      <c r="I985" s="455">
        <f t="shared" ca="1" si="81"/>
        <v>24126036.753361862</v>
      </c>
      <c r="J985" s="455">
        <f t="array" ref="J985">IFERROR(INDEX('Retirement Calculator'!J:J,MATCH('Isaac 401k'!N985,'Retirement Calculator'!A:A,0),0),0)</f>
        <v>6404.7404596389215</v>
      </c>
      <c r="K985" s="455">
        <f t="shared" ca="1" si="79"/>
        <v>100498.46672042593</v>
      </c>
      <c r="L985" s="455">
        <f t="shared" ca="1" si="80"/>
        <v>24220130.479622647</v>
      </c>
      <c r="M985" s="471">
        <f t="shared" si="82"/>
        <v>0.05</v>
      </c>
      <c r="N985" s="475">
        <f t="shared" si="83"/>
        <v>81025</v>
      </c>
    </row>
    <row r="986" spans="7:14" ht="11.25" customHeight="1" x14ac:dyDescent="0.3">
      <c r="G986" s="470">
        <f t="shared" si="101"/>
        <v>82</v>
      </c>
      <c r="H986" s="470">
        <v>979</v>
      </c>
      <c r="I986" s="455">
        <f t="shared" ca="1" si="81"/>
        <v>24220130.479622647</v>
      </c>
      <c r="J986" s="455">
        <f t="array" ref="J986">IFERROR(INDEX('Retirement Calculator'!J:J,MATCH('Isaac 401k'!N986,'Retirement Calculator'!A:A,0),0),0)</f>
        <v>6404.7404596389215</v>
      </c>
      <c r="K986" s="455">
        <f t="shared" ca="1" si="79"/>
        <v>100890.5239131792</v>
      </c>
      <c r="L986" s="455">
        <f t="shared" ca="1" si="80"/>
        <v>24314616.263076186</v>
      </c>
      <c r="M986" s="471">
        <f t="shared" si="82"/>
        <v>0.05</v>
      </c>
      <c r="N986" s="475">
        <f t="shared" si="83"/>
        <v>81055</v>
      </c>
    </row>
    <row r="987" spans="7:14" ht="11.25" customHeight="1" x14ac:dyDescent="0.3">
      <c r="G987" s="470">
        <f t="shared" si="101"/>
        <v>82</v>
      </c>
      <c r="H987" s="470">
        <v>980</v>
      </c>
      <c r="I987" s="455">
        <f t="shared" ca="1" si="81"/>
        <v>24314616.263076186</v>
      </c>
      <c r="J987" s="455">
        <f t="array" ref="J987">IFERROR(INDEX('Retirement Calculator'!J:J,MATCH('Isaac 401k'!N987,'Retirement Calculator'!A:A,0),0),0)</f>
        <v>6404.7404596389215</v>
      </c>
      <c r="K987" s="455">
        <f t="shared" ca="1" si="79"/>
        <v>101284.21467756895</v>
      </c>
      <c r="L987" s="455">
        <f t="shared" ca="1" si="80"/>
        <v>24409495.737294115</v>
      </c>
      <c r="M987" s="471">
        <f t="shared" si="82"/>
        <v>0.05</v>
      </c>
      <c r="N987" s="475">
        <f t="shared" si="83"/>
        <v>81086</v>
      </c>
    </row>
    <row r="988" spans="7:14" ht="11.25" customHeight="1" x14ac:dyDescent="0.3">
      <c r="G988" s="470">
        <f t="shared" si="101"/>
        <v>82</v>
      </c>
      <c r="H988" s="470">
        <v>981</v>
      </c>
      <c r="I988" s="455">
        <f t="shared" ca="1" si="81"/>
        <v>24409495.737294115</v>
      </c>
      <c r="J988" s="455">
        <f t="array" ref="J988">IFERROR(INDEX('Retirement Calculator'!J:J,MATCH('Isaac 401k'!N988,'Retirement Calculator'!A:A,0),0),0)</f>
        <v>6404.7404596389215</v>
      </c>
      <c r="K988" s="455">
        <f t="shared" ca="1" si="79"/>
        <v>101679.54582014364</v>
      </c>
      <c r="L988" s="455">
        <f t="shared" ca="1" si="80"/>
        <v>24504770.542654619</v>
      </c>
      <c r="M988" s="471">
        <f t="shared" si="82"/>
        <v>0.05</v>
      </c>
      <c r="N988" s="475">
        <f t="shared" si="83"/>
        <v>81117</v>
      </c>
    </row>
    <row r="989" spans="7:14" ht="11.25" customHeight="1" x14ac:dyDescent="0.3">
      <c r="G989" s="470">
        <f t="shared" si="101"/>
        <v>82</v>
      </c>
      <c r="H989" s="470">
        <v>982</v>
      </c>
      <c r="I989" s="455">
        <f t="shared" ca="1" si="81"/>
        <v>24504770.542654619</v>
      </c>
      <c r="J989" s="455">
        <f t="array" ref="J989">IFERROR(INDEX('Retirement Calculator'!J:J,MATCH('Isaac 401k'!N989,'Retirement Calculator'!A:A,0),0),0)</f>
        <v>6404.7404596389215</v>
      </c>
      <c r="K989" s="455">
        <f t="shared" ca="1" si="79"/>
        <v>102076.52417581242</v>
      </c>
      <c r="L989" s="455">
        <f t="shared" ca="1" si="80"/>
        <v>24600442.326370791</v>
      </c>
      <c r="M989" s="471">
        <f t="shared" si="82"/>
        <v>0.05</v>
      </c>
      <c r="N989" s="475">
        <f t="shared" si="83"/>
        <v>81145</v>
      </c>
    </row>
    <row r="990" spans="7:14" ht="11.25" customHeight="1" x14ac:dyDescent="0.3">
      <c r="G990" s="470">
        <f t="shared" si="101"/>
        <v>82</v>
      </c>
      <c r="H990" s="470">
        <v>983</v>
      </c>
      <c r="I990" s="455">
        <f t="shared" ca="1" si="81"/>
        <v>24600442.326370791</v>
      </c>
      <c r="J990" s="455">
        <f t="array" ref="J990">IFERROR(INDEX('Retirement Calculator'!J:J,MATCH('Isaac 401k'!N990,'Retirement Calculator'!A:A,0),0),0)</f>
        <v>6404.7404596389215</v>
      </c>
      <c r="K990" s="455">
        <f t="shared" ca="1" si="79"/>
        <v>102475.15660796313</v>
      </c>
      <c r="L990" s="455">
        <f t="shared" ca="1" si="80"/>
        <v>24696512.742519114</v>
      </c>
      <c r="M990" s="471">
        <f t="shared" si="82"/>
        <v>0.05</v>
      </c>
      <c r="N990" s="475">
        <f t="shared" si="83"/>
        <v>81176</v>
      </c>
    </row>
    <row r="991" spans="7:14" ht="11.25" customHeight="1" x14ac:dyDescent="0.3">
      <c r="G991" s="470">
        <f t="shared" si="101"/>
        <v>82</v>
      </c>
      <c r="H991" s="470">
        <v>984</v>
      </c>
      <c r="I991" s="455">
        <f t="shared" ca="1" si="81"/>
        <v>24696512.742519114</v>
      </c>
      <c r="J991" s="455">
        <f t="array" ref="J991">IFERROR(INDEX('Retirement Calculator'!J:J,MATCH('Isaac 401k'!N991,'Retirement Calculator'!A:A,0),0),0)</f>
        <v>6404.7404596389215</v>
      </c>
      <c r="K991" s="455">
        <f t="shared" ca="1" si="79"/>
        <v>102875.45000858115</v>
      </c>
      <c r="L991" s="455">
        <f t="shared" ca="1" si="80"/>
        <v>24792983.452068057</v>
      </c>
      <c r="M991" s="471">
        <f t="shared" si="82"/>
        <v>0.05</v>
      </c>
      <c r="N991" s="475">
        <f t="shared" si="83"/>
        <v>81206</v>
      </c>
    </row>
    <row r="992" spans="7:14" ht="11.25" customHeight="1" x14ac:dyDescent="0.3">
      <c r="G992" s="470">
        <f>G991+1</f>
        <v>83</v>
      </c>
      <c r="H992" s="470">
        <v>985</v>
      </c>
      <c r="I992" s="455">
        <f t="shared" ca="1" si="81"/>
        <v>24792983.452068057</v>
      </c>
      <c r="J992" s="455">
        <f t="array" ref="J992">IFERROR(INDEX('Retirement Calculator'!J:J,MATCH('Isaac 401k'!N992,'Retirement Calculator'!A:A,0),0),0)</f>
        <v>6404.7404596389215</v>
      </c>
      <c r="K992" s="455">
        <f t="shared" ca="1" si="79"/>
        <v>103277.4112983684</v>
      </c>
      <c r="L992" s="455">
        <f t="shared" ca="1" si="80"/>
        <v>24889856.122906785</v>
      </c>
      <c r="M992" s="471">
        <f t="shared" si="82"/>
        <v>0.05</v>
      </c>
      <c r="N992" s="475">
        <f t="shared" si="83"/>
        <v>81237</v>
      </c>
    </row>
    <row r="993" spans="7:14" ht="11.25" customHeight="1" x14ac:dyDescent="0.3">
      <c r="G993" s="470">
        <f t="shared" ref="G993:G1003" si="102">G992</f>
        <v>83</v>
      </c>
      <c r="H993" s="470">
        <v>986</v>
      </c>
      <c r="I993" s="455">
        <f t="shared" ca="1" si="81"/>
        <v>24889856.122906785</v>
      </c>
      <c r="J993" s="455">
        <f t="array" ref="J993">IFERROR(INDEX('Retirement Calculator'!J:J,MATCH('Isaac 401k'!N993,'Retirement Calculator'!A:A,0),0),0)</f>
        <v>6404.7404596389215</v>
      </c>
      <c r="K993" s="455">
        <f t="shared" ca="1" si="79"/>
        <v>103681.04742686311</v>
      </c>
      <c r="L993" s="455">
        <f t="shared" ca="1" si="80"/>
        <v>24987132.42987401</v>
      </c>
      <c r="M993" s="471">
        <f t="shared" si="82"/>
        <v>0.05</v>
      </c>
      <c r="N993" s="475">
        <f t="shared" si="83"/>
        <v>81267</v>
      </c>
    </row>
    <row r="994" spans="7:14" ht="11.25" customHeight="1" x14ac:dyDescent="0.3">
      <c r="G994" s="470">
        <f t="shared" si="102"/>
        <v>83</v>
      </c>
      <c r="H994" s="470">
        <v>987</v>
      </c>
      <c r="I994" s="455">
        <f t="shared" ca="1" si="81"/>
        <v>24987132.42987401</v>
      </c>
      <c r="J994" s="455">
        <f t="array" ref="J994">IFERROR(INDEX('Retirement Calculator'!J:J,MATCH('Isaac 401k'!N994,'Retirement Calculator'!A:A,0),0),0)</f>
        <v>6404.7404596389215</v>
      </c>
      <c r="K994" s="455">
        <f t="shared" ca="1" si="79"/>
        <v>104086.36537255987</v>
      </c>
      <c r="L994" s="455">
        <f t="shared" ca="1" si="80"/>
        <v>25084814.054786932</v>
      </c>
      <c r="M994" s="471">
        <f t="shared" si="82"/>
        <v>0.05</v>
      </c>
      <c r="N994" s="475">
        <f t="shared" si="83"/>
        <v>81298</v>
      </c>
    </row>
    <row r="995" spans="7:14" ht="11.25" customHeight="1" x14ac:dyDescent="0.3">
      <c r="G995" s="470">
        <f t="shared" si="102"/>
        <v>83</v>
      </c>
      <c r="H995" s="470">
        <v>988</v>
      </c>
      <c r="I995" s="455">
        <f t="shared" ca="1" si="81"/>
        <v>25084814.054786932</v>
      </c>
      <c r="J995" s="455">
        <f t="array" ref="J995">IFERROR(INDEX('Retirement Calculator'!J:J,MATCH('Isaac 401k'!N995,'Retirement Calculator'!A:A,0),0),0)</f>
        <v>6404.7404596389215</v>
      </c>
      <c r="K995" s="455">
        <f t="shared" ca="1" si="79"/>
        <v>104493.37214303038</v>
      </c>
      <c r="L995" s="455">
        <f t="shared" ca="1" si="80"/>
        <v>25182902.686470322</v>
      </c>
      <c r="M995" s="471">
        <f t="shared" si="82"/>
        <v>0.05</v>
      </c>
      <c r="N995" s="475">
        <f t="shared" si="83"/>
        <v>81329</v>
      </c>
    </row>
    <row r="996" spans="7:14" ht="11.25" customHeight="1" x14ac:dyDescent="0.3">
      <c r="G996" s="470">
        <f t="shared" si="102"/>
        <v>83</v>
      </c>
      <c r="H996" s="470">
        <v>989</v>
      </c>
      <c r="I996" s="455">
        <f t="shared" ca="1" si="81"/>
        <v>25182902.686470322</v>
      </c>
      <c r="J996" s="455">
        <f t="array" ref="J996">IFERROR(INDEX('Retirement Calculator'!J:J,MATCH('Isaac 401k'!N996,'Retirement Calculator'!A:A,0),0),0)</f>
        <v>6404.7404596389215</v>
      </c>
      <c r="K996" s="455">
        <f t="shared" ca="1" si="79"/>
        <v>104902.07477504452</v>
      </c>
      <c r="L996" s="455">
        <f t="shared" ca="1" si="80"/>
        <v>25281400.020785727</v>
      </c>
      <c r="M996" s="471">
        <f t="shared" si="82"/>
        <v>0.05</v>
      </c>
      <c r="N996" s="475">
        <f t="shared" si="83"/>
        <v>81359</v>
      </c>
    </row>
    <row r="997" spans="7:14" ht="11.25" customHeight="1" x14ac:dyDescent="0.3">
      <c r="G997" s="470">
        <f t="shared" si="102"/>
        <v>83</v>
      </c>
      <c r="H997" s="470">
        <v>990</v>
      </c>
      <c r="I997" s="455">
        <f t="shared" ca="1" si="81"/>
        <v>25281400.020785727</v>
      </c>
      <c r="J997" s="455">
        <f t="array" ref="J997">IFERROR(INDEX('Retirement Calculator'!J:J,MATCH('Isaac 401k'!N997,'Retirement Calculator'!A:A,0),0),0)</f>
        <v>6404.7404596389215</v>
      </c>
      <c r="K997" s="455">
        <f t="shared" ca="1" si="79"/>
        <v>105312.48033469202</v>
      </c>
      <c r="L997" s="455">
        <f t="shared" ca="1" si="80"/>
        <v>25380307.760660779</v>
      </c>
      <c r="M997" s="471">
        <f t="shared" si="82"/>
        <v>0.05</v>
      </c>
      <c r="N997" s="475">
        <f t="shared" si="83"/>
        <v>81390</v>
      </c>
    </row>
    <row r="998" spans="7:14" ht="11.25" customHeight="1" x14ac:dyDescent="0.3">
      <c r="G998" s="470">
        <f t="shared" si="102"/>
        <v>83</v>
      </c>
      <c r="H998" s="470">
        <v>991</v>
      </c>
      <c r="I998" s="455">
        <f t="shared" ca="1" si="81"/>
        <v>25380307.760660779</v>
      </c>
      <c r="J998" s="455">
        <f t="array" ref="J998">IFERROR(INDEX('Retirement Calculator'!J:J,MATCH('Isaac 401k'!N998,'Retirement Calculator'!A:A,0),0),0)</f>
        <v>6404.7404596389215</v>
      </c>
      <c r="K998" s="455">
        <f t="shared" ca="1" si="79"/>
        <v>105724.59591750475</v>
      </c>
      <c r="L998" s="455">
        <f t="shared" ca="1" si="80"/>
        <v>25479627.616118643</v>
      </c>
      <c r="M998" s="471">
        <f t="shared" si="82"/>
        <v>0.05</v>
      </c>
      <c r="N998" s="475">
        <f t="shared" si="83"/>
        <v>81420</v>
      </c>
    </row>
    <row r="999" spans="7:14" ht="11.25" customHeight="1" x14ac:dyDescent="0.3">
      <c r="G999" s="470">
        <f t="shared" si="102"/>
        <v>83</v>
      </c>
      <c r="H999" s="470">
        <v>992</v>
      </c>
      <c r="I999" s="455">
        <f t="shared" ca="1" si="81"/>
        <v>25479627.616118643</v>
      </c>
      <c r="J999" s="455">
        <f t="array" ref="J999">IFERROR(INDEX('Retirement Calculator'!J:J,MATCH('Isaac 401k'!N999,'Retirement Calculator'!A:A,0),0),0)</f>
        <v>6404.7404596389215</v>
      </c>
      <c r="K999" s="455">
        <f t="shared" ca="1" si="79"/>
        <v>106138.42864857918</v>
      </c>
      <c r="L999" s="455">
        <f t="shared" ca="1" si="80"/>
        <v>25579361.304307584</v>
      </c>
      <c r="M999" s="471">
        <f t="shared" si="82"/>
        <v>0.05</v>
      </c>
      <c r="N999" s="475">
        <f t="shared" si="83"/>
        <v>81451</v>
      </c>
    </row>
    <row r="1000" spans="7:14" ht="11.25" customHeight="1" x14ac:dyDescent="0.3">
      <c r="G1000" s="470">
        <f t="shared" si="102"/>
        <v>83</v>
      </c>
      <c r="H1000" s="470">
        <v>993</v>
      </c>
      <c r="I1000" s="455">
        <f t="shared" ca="1" si="81"/>
        <v>25579361.304307584</v>
      </c>
      <c r="J1000" s="455">
        <f t="array" ref="J1000">IFERROR(INDEX('Retirement Calculator'!J:J,MATCH('Isaac 401k'!N1000,'Retirement Calculator'!A:A,0),0),0)</f>
        <v>6404.7404596389215</v>
      </c>
      <c r="K1000" s="455">
        <f t="shared" ca="1" si="79"/>
        <v>106553.98568269977</v>
      </c>
      <c r="L1000" s="455">
        <f t="shared" ca="1" si="80"/>
        <v>25679510.549530644</v>
      </c>
      <c r="M1000" s="471">
        <f t="shared" si="82"/>
        <v>0.05</v>
      </c>
      <c r="N1000" s="475">
        <f t="shared" si="83"/>
        <v>81482</v>
      </c>
    </row>
    <row r="1001" spans="7:14" ht="11.25" customHeight="1" x14ac:dyDescent="0.3">
      <c r="G1001" s="470">
        <f t="shared" si="102"/>
        <v>83</v>
      </c>
      <c r="H1001" s="470">
        <v>994</v>
      </c>
      <c r="I1001" s="455">
        <f t="shared" ca="1" si="81"/>
        <v>25679510.549530644</v>
      </c>
      <c r="J1001" s="455">
        <f t="array" ref="J1001">IFERROR(INDEX('Retirement Calculator'!J:J,MATCH('Isaac 401k'!N1001,'Retirement Calculator'!A:A,0),0),0)</f>
        <v>6404.7404596389215</v>
      </c>
      <c r="K1001" s="455">
        <f t="shared" ca="1" si="79"/>
        <v>106971.27420446252</v>
      </c>
      <c r="L1001" s="455">
        <f t="shared" ca="1" si="80"/>
        <v>25780077.083275467</v>
      </c>
      <c r="M1001" s="471">
        <f t="shared" si="82"/>
        <v>0.05</v>
      </c>
      <c r="N1001" s="475">
        <f t="shared" si="83"/>
        <v>81510</v>
      </c>
    </row>
    <row r="1002" spans="7:14" ht="11.25" customHeight="1" x14ac:dyDescent="0.3">
      <c r="G1002" s="470">
        <f t="shared" si="102"/>
        <v>83</v>
      </c>
      <c r="H1002" s="470">
        <v>995</v>
      </c>
      <c r="I1002" s="455">
        <f t="shared" ca="1" si="81"/>
        <v>25780077.083275467</v>
      </c>
      <c r="J1002" s="455">
        <f t="array" ref="J1002">IFERROR(INDEX('Retirement Calculator'!J:J,MATCH('Isaac 401k'!N1002,'Retirement Calculator'!A:A,0),0),0)</f>
        <v>6404.7404596389215</v>
      </c>
      <c r="K1002" s="455">
        <f t="shared" ca="1" si="79"/>
        <v>107390.30142839928</v>
      </c>
      <c r="L1002" s="455">
        <f t="shared" ca="1" si="80"/>
        <v>25881062.644244228</v>
      </c>
      <c r="M1002" s="471">
        <f t="shared" si="82"/>
        <v>0.05</v>
      </c>
      <c r="N1002" s="475">
        <f t="shared" si="83"/>
        <v>81541</v>
      </c>
    </row>
    <row r="1003" spans="7:14" ht="11.25" customHeight="1" x14ac:dyDescent="0.3">
      <c r="G1003" s="470">
        <f t="shared" si="102"/>
        <v>83</v>
      </c>
      <c r="H1003" s="470">
        <v>996</v>
      </c>
      <c r="I1003" s="455">
        <f t="shared" ca="1" si="81"/>
        <v>25881062.644244228</v>
      </c>
      <c r="J1003" s="455">
        <f t="array" ref="J1003">IFERROR(INDEX('Retirement Calculator'!J:J,MATCH('Isaac 401k'!N1003,'Retirement Calculator'!A:A,0),0),0)</f>
        <v>6404.7404596389215</v>
      </c>
      <c r="K1003" s="455">
        <f t="shared" ca="1" si="79"/>
        <v>107811.07459910245</v>
      </c>
      <c r="L1003" s="455">
        <f t="shared" ca="1" si="80"/>
        <v>25982468.97838369</v>
      </c>
      <c r="M1003" s="471">
        <f t="shared" si="82"/>
        <v>0.05</v>
      </c>
      <c r="N1003" s="475">
        <f t="shared" si="83"/>
        <v>81571</v>
      </c>
    </row>
    <row r="1004" spans="7:14" ht="11.25" customHeight="1" x14ac:dyDescent="0.3">
      <c r="G1004" s="470">
        <f>G1003+1</f>
        <v>84</v>
      </c>
      <c r="H1004" s="470">
        <v>997</v>
      </c>
      <c r="I1004" s="455">
        <f t="shared" ca="1" si="81"/>
        <v>25982468.97838369</v>
      </c>
      <c r="J1004" s="455">
        <f t="array" ref="J1004">IFERROR(INDEX('Retirement Calculator'!J:J,MATCH('Isaac 401k'!N1004,'Retirement Calculator'!A:A,0),0),0)</f>
        <v>6404.7404596389215</v>
      </c>
      <c r="K1004" s="455">
        <f t="shared" ca="1" si="79"/>
        <v>108233.60099135021</v>
      </c>
      <c r="L1004" s="455">
        <f t="shared" ca="1" si="80"/>
        <v>26084297.8389154</v>
      </c>
      <c r="M1004" s="471">
        <f t="shared" si="82"/>
        <v>0.05</v>
      </c>
      <c r="N1004" s="475">
        <f t="shared" si="83"/>
        <v>81602</v>
      </c>
    </row>
    <row r="1005" spans="7:14" ht="11.25" customHeight="1" x14ac:dyDescent="0.3">
      <c r="G1005" s="470">
        <f t="shared" ref="G1005:G1015" si="103">G1004</f>
        <v>84</v>
      </c>
      <c r="H1005" s="470">
        <v>998</v>
      </c>
      <c r="I1005" s="455">
        <f t="shared" ca="1" si="81"/>
        <v>26084297.8389154</v>
      </c>
      <c r="J1005" s="455">
        <f t="array" ref="J1005">IFERROR(INDEX('Retirement Calculator'!J:J,MATCH('Isaac 401k'!N1005,'Retirement Calculator'!A:A,0),0),0)</f>
        <v>6404.7404596389215</v>
      </c>
      <c r="K1005" s="455">
        <f t="shared" ca="1" si="79"/>
        <v>108657.88791023234</v>
      </c>
      <c r="L1005" s="455">
        <f t="shared" ca="1" si="80"/>
        <v>26186550.986365993</v>
      </c>
      <c r="M1005" s="471">
        <f t="shared" si="82"/>
        <v>0.05</v>
      </c>
      <c r="N1005" s="475">
        <f t="shared" si="83"/>
        <v>81632</v>
      </c>
    </row>
    <row r="1006" spans="7:14" ht="11.25" customHeight="1" x14ac:dyDescent="0.3">
      <c r="G1006" s="470">
        <f t="shared" si="103"/>
        <v>84</v>
      </c>
      <c r="H1006" s="470">
        <v>999</v>
      </c>
      <c r="I1006" s="455">
        <f t="shared" ca="1" si="81"/>
        <v>26186550.986365993</v>
      </c>
      <c r="J1006" s="455">
        <f t="array" ref="J1006">IFERROR(INDEX('Retirement Calculator'!J:J,MATCH('Isaac 401k'!N1006,'Retirement Calculator'!A:A,0),0),0)</f>
        <v>6404.7404596389215</v>
      </c>
      <c r="K1006" s="455">
        <f t="shared" ca="1" si="79"/>
        <v>109083.94269127648</v>
      </c>
      <c r="L1006" s="455">
        <f t="shared" ca="1" si="80"/>
        <v>26289230.188597631</v>
      </c>
      <c r="M1006" s="471">
        <f t="shared" si="82"/>
        <v>0.05</v>
      </c>
      <c r="N1006" s="475">
        <f t="shared" si="83"/>
        <v>81663</v>
      </c>
    </row>
    <row r="1007" spans="7:14" ht="11.25" customHeight="1" x14ac:dyDescent="0.3">
      <c r="G1007" s="470">
        <f t="shared" si="103"/>
        <v>84</v>
      </c>
      <c r="H1007" s="470">
        <v>1000</v>
      </c>
      <c r="I1007" s="455">
        <f t="shared" ca="1" si="81"/>
        <v>26289230.188597631</v>
      </c>
      <c r="J1007" s="455">
        <f t="array" ref="J1007">IFERROR(INDEX('Retirement Calculator'!J:J,MATCH('Isaac 401k'!N1007,'Retirement Calculator'!A:A,0),0),0)</f>
        <v>6404.7404596389215</v>
      </c>
      <c r="K1007" s="455">
        <f t="shared" ca="1" si="79"/>
        <v>109511.77270057496</v>
      </c>
      <c r="L1007" s="455">
        <f t="shared" ca="1" si="80"/>
        <v>26392337.220838565</v>
      </c>
      <c r="M1007" s="471">
        <f t="shared" si="82"/>
        <v>0.05</v>
      </c>
      <c r="N1007" s="475">
        <f t="shared" si="83"/>
        <v>81694</v>
      </c>
    </row>
    <row r="1008" spans="7:14" ht="11.25" customHeight="1" x14ac:dyDescent="0.3">
      <c r="G1008" s="470">
        <f t="shared" si="103"/>
        <v>84</v>
      </c>
      <c r="H1008" s="470">
        <v>1001</v>
      </c>
      <c r="I1008" s="455">
        <f t="shared" ca="1" si="81"/>
        <v>26392337.220838565</v>
      </c>
      <c r="J1008" s="455">
        <f t="array" ref="J1008">IFERROR(INDEX('Retirement Calculator'!J:J,MATCH('Isaac 401k'!N1008,'Retirement Calculator'!A:A,0),0),0)</f>
        <v>6404.7404596389215</v>
      </c>
      <c r="K1008" s="455">
        <f t="shared" ca="1" si="79"/>
        <v>109941.38533491221</v>
      </c>
      <c r="L1008" s="455">
        <f t="shared" ca="1" si="80"/>
        <v>26495873.865713838</v>
      </c>
      <c r="M1008" s="471">
        <f t="shared" si="82"/>
        <v>0.05</v>
      </c>
      <c r="N1008" s="475">
        <f t="shared" si="83"/>
        <v>81724</v>
      </c>
    </row>
    <row r="1009" spans="7:14" ht="11.25" customHeight="1" x14ac:dyDescent="0.3">
      <c r="G1009" s="470">
        <f t="shared" si="103"/>
        <v>84</v>
      </c>
      <c r="H1009" s="470">
        <v>1002</v>
      </c>
      <c r="I1009" s="455">
        <f t="shared" ca="1" si="81"/>
        <v>26495873.865713838</v>
      </c>
      <c r="J1009" s="455">
        <f t="array" ref="J1009">IFERROR(INDEX('Retirement Calculator'!J:J,MATCH('Isaac 401k'!N1009,'Retirement Calculator'!A:A,0),0),0)</f>
        <v>6404.7404596389215</v>
      </c>
      <c r="K1009" s="455">
        <f t="shared" ca="1" si="79"/>
        <v>110372.78802189251</v>
      </c>
      <c r="L1009" s="455">
        <f t="shared" ca="1" si="80"/>
        <v>26599841.913276091</v>
      </c>
      <c r="M1009" s="471">
        <f t="shared" si="82"/>
        <v>0.05</v>
      </c>
      <c r="N1009" s="475">
        <f t="shared" si="83"/>
        <v>81755</v>
      </c>
    </row>
    <row r="1010" spans="7:14" ht="11.25" customHeight="1" x14ac:dyDescent="0.3">
      <c r="G1010" s="470">
        <f t="shared" si="103"/>
        <v>84</v>
      </c>
      <c r="H1010" s="470">
        <v>1003</v>
      </c>
      <c r="I1010" s="455">
        <f t="shared" ca="1" si="81"/>
        <v>26599841.913276091</v>
      </c>
      <c r="J1010" s="455">
        <f t="array" ref="J1010">IFERROR(INDEX('Retirement Calculator'!J:J,MATCH('Isaac 401k'!N1010,'Retirement Calculator'!A:A,0),0),0)</f>
        <v>6404.7404596389215</v>
      </c>
      <c r="K1010" s="455">
        <f t="shared" ca="1" si="79"/>
        <v>110805.98822006855</v>
      </c>
      <c r="L1010" s="455">
        <f t="shared" ca="1" si="80"/>
        <v>26704243.161036521</v>
      </c>
      <c r="M1010" s="471">
        <f t="shared" si="82"/>
        <v>0.05</v>
      </c>
      <c r="N1010" s="475">
        <f t="shared" si="83"/>
        <v>81785</v>
      </c>
    </row>
    <row r="1011" spans="7:14" ht="11.25" customHeight="1" x14ac:dyDescent="0.3">
      <c r="G1011" s="470">
        <f t="shared" si="103"/>
        <v>84</v>
      </c>
      <c r="H1011" s="470">
        <v>1004</v>
      </c>
      <c r="I1011" s="455">
        <f t="shared" ca="1" si="81"/>
        <v>26704243.161036521</v>
      </c>
      <c r="J1011" s="455">
        <f t="array" ref="J1011">IFERROR(INDEX('Retirement Calculator'!J:J,MATCH('Isaac 401k'!N1011,'Retirement Calculator'!A:A,0),0),0)</f>
        <v>6404.7404596389215</v>
      </c>
      <c r="K1011" s="455">
        <f t="shared" ca="1" si="79"/>
        <v>111240.99341907035</v>
      </c>
      <c r="L1011" s="455">
        <f t="shared" ca="1" si="80"/>
        <v>26809079.413995951</v>
      </c>
      <c r="M1011" s="471">
        <f t="shared" si="82"/>
        <v>0.05</v>
      </c>
      <c r="N1011" s="475">
        <f t="shared" si="83"/>
        <v>81816</v>
      </c>
    </row>
    <row r="1012" spans="7:14" ht="11.25" customHeight="1" x14ac:dyDescent="0.3">
      <c r="G1012" s="470">
        <f t="shared" si="103"/>
        <v>84</v>
      </c>
      <c r="H1012" s="470">
        <v>1005</v>
      </c>
      <c r="I1012" s="455">
        <f t="shared" ca="1" si="81"/>
        <v>26809079.413995951</v>
      </c>
      <c r="J1012" s="455">
        <f t="array" ref="J1012">IFERROR(INDEX('Retirement Calculator'!J:J,MATCH('Isaac 401k'!N1012,'Retirement Calculator'!A:A,0),0),0)</f>
        <v>6404.7404596389215</v>
      </c>
      <c r="K1012" s="455">
        <f t="shared" ca="1" si="79"/>
        <v>111677.81113973464</v>
      </c>
      <c r="L1012" s="455">
        <f t="shared" ca="1" si="80"/>
        <v>26914352.484676048</v>
      </c>
      <c r="M1012" s="471">
        <f t="shared" si="82"/>
        <v>0.05</v>
      </c>
      <c r="N1012" s="475">
        <f t="shared" si="83"/>
        <v>81847</v>
      </c>
    </row>
    <row r="1013" spans="7:14" ht="11.25" customHeight="1" x14ac:dyDescent="0.3">
      <c r="G1013" s="470">
        <f t="shared" si="103"/>
        <v>84</v>
      </c>
      <c r="H1013" s="470">
        <v>1006</v>
      </c>
      <c r="I1013" s="455">
        <f t="shared" ca="1" si="81"/>
        <v>26914352.484676048</v>
      </c>
      <c r="J1013" s="455">
        <f t="array" ref="J1013">IFERROR(INDEX('Retirement Calculator'!J:J,MATCH('Isaac 401k'!N1013,'Retirement Calculator'!A:A,0),0),0)</f>
        <v>6404.7404596389215</v>
      </c>
      <c r="K1013" s="455">
        <f t="shared" ca="1" si="79"/>
        <v>112116.44893423504</v>
      </c>
      <c r="L1013" s="455">
        <f t="shared" ca="1" si="80"/>
        <v>27020064.193150643</v>
      </c>
      <c r="M1013" s="471">
        <f t="shared" si="82"/>
        <v>0.05</v>
      </c>
      <c r="N1013" s="475">
        <f t="shared" si="83"/>
        <v>81876</v>
      </c>
    </row>
    <row r="1014" spans="7:14" ht="11.25" customHeight="1" x14ac:dyDescent="0.3">
      <c r="G1014" s="470">
        <f t="shared" si="103"/>
        <v>84</v>
      </c>
      <c r="H1014" s="470">
        <v>1007</v>
      </c>
      <c r="I1014" s="455">
        <f t="shared" ca="1" si="81"/>
        <v>27020064.193150643</v>
      </c>
      <c r="J1014" s="455">
        <f t="array" ref="J1014">IFERROR(INDEX('Retirement Calculator'!J:J,MATCH('Isaac 401k'!N1014,'Retirement Calculator'!A:A,0),0),0)</f>
        <v>6404.7404596389215</v>
      </c>
      <c r="K1014" s="455">
        <f t="shared" ca="1" si="79"/>
        <v>112556.91438621252</v>
      </c>
      <c r="L1014" s="455">
        <f t="shared" ca="1" si="80"/>
        <v>27126216.367077217</v>
      </c>
      <c r="M1014" s="471">
        <f t="shared" si="82"/>
        <v>0.05</v>
      </c>
      <c r="N1014" s="475">
        <f t="shared" si="83"/>
        <v>81907</v>
      </c>
    </row>
    <row r="1015" spans="7:14" ht="11.25" customHeight="1" x14ac:dyDescent="0.3">
      <c r="G1015" s="470">
        <f t="shared" si="103"/>
        <v>84</v>
      </c>
      <c r="H1015" s="470">
        <v>1008</v>
      </c>
      <c r="I1015" s="455">
        <f t="shared" ca="1" si="81"/>
        <v>27126216.367077217</v>
      </c>
      <c r="J1015" s="455">
        <f t="array" ref="J1015">IFERROR(INDEX('Retirement Calculator'!J:J,MATCH('Isaac 401k'!N1015,'Retirement Calculator'!A:A,0),0),0)</f>
        <v>6404.7404596389215</v>
      </c>
      <c r="K1015" s="455">
        <f t="shared" ca="1" si="79"/>
        <v>112999.21511090656</v>
      </c>
      <c r="L1015" s="455">
        <f t="shared" ca="1" si="80"/>
        <v>27232810.841728482</v>
      </c>
      <c r="M1015" s="471">
        <f t="shared" si="82"/>
        <v>0.05</v>
      </c>
      <c r="N1015" s="475">
        <f t="shared" si="83"/>
        <v>81937</v>
      </c>
    </row>
    <row r="1016" spans="7:14" ht="11.25" customHeight="1" x14ac:dyDescent="0.3">
      <c r="G1016" s="470">
        <f>G1015+1</f>
        <v>85</v>
      </c>
      <c r="H1016" s="470">
        <v>1009</v>
      </c>
      <c r="I1016" s="455">
        <f t="shared" ca="1" si="81"/>
        <v>27232810.841728482</v>
      </c>
      <c r="J1016" s="455">
        <f t="array" ref="J1016">IFERROR(INDEX('Retirement Calculator'!J:J,MATCH('Isaac 401k'!N1016,'Retirement Calculator'!A:A,0),0),0)</f>
        <v>6404.7404596389215</v>
      </c>
      <c r="K1016" s="455">
        <f t="shared" ca="1" si="79"/>
        <v>113443.35875528684</v>
      </c>
      <c r="L1016" s="455">
        <f t="shared" ca="1" si="80"/>
        <v>27339849.46002413</v>
      </c>
      <c r="M1016" s="471">
        <f t="shared" si="82"/>
        <v>0.05</v>
      </c>
      <c r="N1016" s="475">
        <f t="shared" si="83"/>
        <v>81968</v>
      </c>
    </row>
    <row r="1017" spans="7:14" ht="11.25" customHeight="1" x14ac:dyDescent="0.3">
      <c r="G1017" s="470">
        <f t="shared" ref="G1017:G1027" si="104">G1016</f>
        <v>85</v>
      </c>
      <c r="H1017" s="470">
        <v>1010</v>
      </c>
      <c r="I1017" s="455">
        <f t="shared" ca="1" si="81"/>
        <v>27339849.46002413</v>
      </c>
      <c r="J1017" s="455">
        <f t="array" ref="J1017">IFERROR(INDEX('Retirement Calculator'!J:J,MATCH('Isaac 401k'!N1017,'Retirement Calculator'!A:A,0),0),0)</f>
        <v>6404.7404596389215</v>
      </c>
      <c r="K1017" s="455">
        <f t="shared" ca="1" si="79"/>
        <v>113889.35299818538</v>
      </c>
      <c r="L1017" s="455">
        <f t="shared" ca="1" si="80"/>
        <v>27447334.072562676</v>
      </c>
      <c r="M1017" s="471">
        <f t="shared" si="82"/>
        <v>0.05</v>
      </c>
      <c r="N1017" s="475">
        <f t="shared" si="83"/>
        <v>81998</v>
      </c>
    </row>
    <row r="1018" spans="7:14" ht="11.25" customHeight="1" x14ac:dyDescent="0.3">
      <c r="G1018" s="470">
        <f t="shared" si="104"/>
        <v>85</v>
      </c>
      <c r="H1018" s="470">
        <v>1011</v>
      </c>
      <c r="I1018" s="455">
        <f t="shared" ca="1" si="81"/>
        <v>27447334.072562676</v>
      </c>
      <c r="J1018" s="455">
        <f t="array" ref="J1018">IFERROR(INDEX('Retirement Calculator'!J:J,MATCH('Isaac 401k'!N1018,'Retirement Calculator'!A:A,0),0),0)</f>
        <v>6404.7404596389215</v>
      </c>
      <c r="K1018" s="455">
        <f t="shared" ca="1" si="79"/>
        <v>114337.20555042931</v>
      </c>
      <c r="L1018" s="455">
        <f t="shared" ca="1" si="80"/>
        <v>27555266.537653465</v>
      </c>
      <c r="M1018" s="471">
        <f t="shared" si="82"/>
        <v>0.05</v>
      </c>
      <c r="N1018" s="475">
        <f t="shared" si="83"/>
        <v>82029</v>
      </c>
    </row>
    <row r="1019" spans="7:14" ht="11.25" customHeight="1" x14ac:dyDescent="0.3">
      <c r="G1019" s="470">
        <f t="shared" si="104"/>
        <v>85</v>
      </c>
      <c r="H1019" s="470">
        <v>1012</v>
      </c>
      <c r="I1019" s="455">
        <f t="shared" ca="1" si="81"/>
        <v>27555266.537653465</v>
      </c>
      <c r="J1019" s="455">
        <f t="array" ref="J1019">IFERROR(INDEX('Retirement Calculator'!J:J,MATCH('Isaac 401k'!N1019,'Retirement Calculator'!A:A,0),0),0)</f>
        <v>6404.7404596389215</v>
      </c>
      <c r="K1019" s="455">
        <f t="shared" ca="1" si="79"/>
        <v>114786.92415497427</v>
      </c>
      <c r="L1019" s="455">
        <f t="shared" ca="1" si="80"/>
        <v>27663648.7213488</v>
      </c>
      <c r="M1019" s="471">
        <f t="shared" si="82"/>
        <v>0.05</v>
      </c>
      <c r="N1019" s="475">
        <f t="shared" si="83"/>
        <v>82060</v>
      </c>
    </row>
    <row r="1020" spans="7:14" ht="11.25" customHeight="1" x14ac:dyDescent="0.3">
      <c r="G1020" s="470">
        <f t="shared" si="104"/>
        <v>85</v>
      </c>
      <c r="H1020" s="470">
        <v>1013</v>
      </c>
      <c r="I1020" s="455">
        <f t="shared" ca="1" si="81"/>
        <v>27663648.7213488</v>
      </c>
      <c r="J1020" s="455">
        <f t="array" ref="J1020">IFERROR(INDEX('Retirement Calculator'!J:J,MATCH('Isaac 401k'!N1020,'Retirement Calculator'!A:A,0),0),0)</f>
        <v>6404.7404596389215</v>
      </c>
      <c r="K1020" s="455">
        <f t="shared" ca="1" si="79"/>
        <v>115238.51658703816</v>
      </c>
      <c r="L1020" s="455">
        <f t="shared" ca="1" si="80"/>
        <v>27772482.497476198</v>
      </c>
      <c r="M1020" s="471">
        <f t="shared" si="82"/>
        <v>0.05</v>
      </c>
      <c r="N1020" s="475">
        <f t="shared" si="83"/>
        <v>82090</v>
      </c>
    </row>
    <row r="1021" spans="7:14" ht="11.25" customHeight="1" x14ac:dyDescent="0.3">
      <c r="G1021" s="470">
        <f t="shared" si="104"/>
        <v>85</v>
      </c>
      <c r="H1021" s="470">
        <v>1014</v>
      </c>
      <c r="I1021" s="455">
        <f t="shared" ca="1" si="81"/>
        <v>27772482.497476198</v>
      </c>
      <c r="J1021" s="455">
        <f t="array" ref="J1021">IFERROR(INDEX('Retirement Calculator'!J:J,MATCH('Isaac 401k'!N1021,'Retirement Calculator'!A:A,0),0),0)</f>
        <v>6404.7404596389215</v>
      </c>
      <c r="K1021" s="455">
        <f t="shared" ca="1" si="79"/>
        <v>115691.99065423566</v>
      </c>
      <c r="L1021" s="455">
        <f t="shared" ca="1" si="80"/>
        <v>27881769.747670792</v>
      </c>
      <c r="M1021" s="471">
        <f t="shared" si="82"/>
        <v>0.05</v>
      </c>
      <c r="N1021" s="475">
        <f t="shared" si="83"/>
        <v>82121</v>
      </c>
    </row>
    <row r="1022" spans="7:14" ht="11.25" customHeight="1" x14ac:dyDescent="0.3">
      <c r="G1022" s="470">
        <f t="shared" si="104"/>
        <v>85</v>
      </c>
      <c r="H1022" s="470">
        <v>1015</v>
      </c>
      <c r="I1022" s="455">
        <f t="shared" ca="1" si="81"/>
        <v>27881769.747670792</v>
      </c>
      <c r="J1022" s="455">
        <f t="array" ref="J1022">IFERROR(INDEX('Retirement Calculator'!J:J,MATCH('Isaac 401k'!N1022,'Retirement Calculator'!A:A,0),0),0)</f>
        <v>6404.7404596389215</v>
      </c>
      <c r="K1022" s="455">
        <f t="shared" ca="1" si="79"/>
        <v>116147.35419671313</v>
      </c>
      <c r="L1022" s="455">
        <f t="shared" ca="1" si="80"/>
        <v>27991512.361407865</v>
      </c>
      <c r="M1022" s="471">
        <f t="shared" si="82"/>
        <v>0.05</v>
      </c>
      <c r="N1022" s="475">
        <f t="shared" si="83"/>
        <v>82151</v>
      </c>
    </row>
    <row r="1023" spans="7:14" ht="11.25" customHeight="1" x14ac:dyDescent="0.3">
      <c r="G1023" s="470">
        <f t="shared" si="104"/>
        <v>85</v>
      </c>
      <c r="H1023" s="470">
        <v>1016</v>
      </c>
      <c r="I1023" s="455">
        <f t="shared" ca="1" si="81"/>
        <v>27991512.361407865</v>
      </c>
      <c r="J1023" s="455">
        <f t="array" ref="J1023">IFERROR(INDEX('Retirement Calculator'!J:J,MATCH('Isaac 401k'!N1023,'Retirement Calculator'!A:A,0),0),0)</f>
        <v>6404.7404596389215</v>
      </c>
      <c r="K1023" s="455">
        <f t="shared" ca="1" si="79"/>
        <v>116604.61508728427</v>
      </c>
      <c r="L1023" s="455">
        <f t="shared" ca="1" si="80"/>
        <v>28101712.236035511</v>
      </c>
      <c r="M1023" s="471">
        <f t="shared" si="82"/>
        <v>0.05</v>
      </c>
      <c r="N1023" s="475">
        <f t="shared" si="83"/>
        <v>82182</v>
      </c>
    </row>
    <row r="1024" spans="7:14" ht="11.25" customHeight="1" x14ac:dyDescent="0.3">
      <c r="G1024" s="470">
        <f t="shared" si="104"/>
        <v>85</v>
      </c>
      <c r="H1024" s="470">
        <v>1017</v>
      </c>
      <c r="I1024" s="455">
        <f t="shared" ca="1" si="81"/>
        <v>28101712.236035511</v>
      </c>
      <c r="J1024" s="455">
        <f t="array" ref="J1024">IFERROR(INDEX('Retirement Calculator'!J:J,MATCH('Isaac 401k'!N1024,'Retirement Calculator'!A:A,0),0),0)</f>
        <v>6404.7404596389215</v>
      </c>
      <c r="K1024" s="455">
        <f t="shared" ca="1" si="79"/>
        <v>117063.78123156613</v>
      </c>
      <c r="L1024" s="455">
        <f t="shared" ca="1" si="80"/>
        <v>28212371.276807439</v>
      </c>
      <c r="M1024" s="471">
        <f t="shared" si="82"/>
        <v>0.05</v>
      </c>
      <c r="N1024" s="475">
        <f t="shared" si="83"/>
        <v>82213</v>
      </c>
    </row>
    <row r="1025" spans="7:14" ht="11.25" customHeight="1" x14ac:dyDescent="0.3">
      <c r="G1025" s="470">
        <f t="shared" si="104"/>
        <v>85</v>
      </c>
      <c r="H1025" s="470">
        <v>1018</v>
      </c>
      <c r="I1025" s="455">
        <f t="shared" ca="1" si="81"/>
        <v>28212371.276807439</v>
      </c>
      <c r="J1025" s="455">
        <f t="array" ref="J1025">IFERROR(INDEX('Retirement Calculator'!J:J,MATCH('Isaac 401k'!N1025,'Retirement Calculator'!A:A,0),0),0)</f>
        <v>6404.7404596389215</v>
      </c>
      <c r="K1025" s="455">
        <f t="shared" ca="1" si="79"/>
        <v>117524.86056811582</v>
      </c>
      <c r="L1025" s="455">
        <f t="shared" ca="1" si="80"/>
        <v>28323491.396915916</v>
      </c>
      <c r="M1025" s="471">
        <f t="shared" si="82"/>
        <v>0.05</v>
      </c>
      <c r="N1025" s="475">
        <f t="shared" si="83"/>
        <v>82241</v>
      </c>
    </row>
    <row r="1026" spans="7:14" ht="11.25" customHeight="1" x14ac:dyDescent="0.3">
      <c r="G1026" s="470">
        <f t="shared" si="104"/>
        <v>85</v>
      </c>
      <c r="H1026" s="470">
        <v>1019</v>
      </c>
      <c r="I1026" s="455">
        <f t="shared" ca="1" si="81"/>
        <v>28323491.396915916</v>
      </c>
      <c r="J1026" s="455">
        <f t="array" ref="J1026">IFERROR(INDEX('Retirement Calculator'!J:J,MATCH('Isaac 401k'!N1026,'Retirement Calculator'!A:A,0),0),0)</f>
        <v>6404.7404596389215</v>
      </c>
      <c r="K1026" s="455">
        <f t="shared" ca="1" si="79"/>
        <v>117987.86106856783</v>
      </c>
      <c r="L1026" s="455">
        <f t="shared" ca="1" si="80"/>
        <v>28435074.517524846</v>
      </c>
      <c r="M1026" s="471">
        <f t="shared" si="82"/>
        <v>0.05</v>
      </c>
      <c r="N1026" s="475">
        <f t="shared" si="83"/>
        <v>82272</v>
      </c>
    </row>
    <row r="1027" spans="7:14" ht="11.25" customHeight="1" x14ac:dyDescent="0.3">
      <c r="G1027" s="470">
        <f t="shared" si="104"/>
        <v>85</v>
      </c>
      <c r="H1027" s="470">
        <v>1020</v>
      </c>
      <c r="I1027" s="455">
        <f t="shared" ca="1" si="81"/>
        <v>28435074.517524846</v>
      </c>
      <c r="J1027" s="455">
        <f t="array" ref="J1027">IFERROR(INDEX('Retirement Calculator'!J:J,MATCH('Isaac 401k'!N1027,'Retirement Calculator'!A:A,0),0),0)</f>
        <v>6404.7404596389215</v>
      </c>
      <c r="K1027" s="455">
        <f t="shared" ca="1" si="79"/>
        <v>118452.79073777171</v>
      </c>
      <c r="L1027" s="455">
        <f t="shared" ca="1" si="80"/>
        <v>28547122.567802977</v>
      </c>
      <c r="M1027" s="471">
        <f t="shared" si="82"/>
        <v>0.05</v>
      </c>
      <c r="N1027" s="475">
        <f t="shared" si="83"/>
        <v>82302</v>
      </c>
    </row>
    <row r="1028" spans="7:14" ht="11.25" customHeight="1" x14ac:dyDescent="0.3">
      <c r="G1028" s="470">
        <f>G1027+1</f>
        <v>86</v>
      </c>
      <c r="H1028" s="470">
        <v>1021</v>
      </c>
      <c r="I1028" s="455">
        <f t="shared" ca="1" si="81"/>
        <v>28547122.567802977</v>
      </c>
      <c r="J1028" s="455">
        <f t="array" ref="J1028">IFERROR(INDEX('Retirement Calculator'!J:J,MATCH('Isaac 401k'!N1028,'Retirement Calculator'!A:A,0),0),0)</f>
        <v>6404.7404596389215</v>
      </c>
      <c r="K1028" s="455">
        <f t="shared" ref="K1028:K1282" ca="1" si="105">IPMT(M1028/12,1,12,-I1028+J1028,,0)</f>
        <v>118919.65761393057</v>
      </c>
      <c r="L1028" s="455">
        <f t="shared" ref="L1028:L1282" ca="1" si="106">I1028-J1028+K1028</f>
        <v>28659637.484957267</v>
      </c>
      <c r="M1028" s="471">
        <f t="shared" si="82"/>
        <v>0.05</v>
      </c>
      <c r="N1028" s="475">
        <f t="shared" si="83"/>
        <v>82333</v>
      </c>
    </row>
    <row r="1029" spans="7:14" ht="11.25" customHeight="1" x14ac:dyDescent="0.3">
      <c r="G1029" s="470">
        <f t="shared" ref="G1029:G1039" si="107">G1028</f>
        <v>86</v>
      </c>
      <c r="H1029" s="470">
        <v>1022</v>
      </c>
      <c r="I1029" s="455">
        <f t="shared" ref="I1029:I1283" ca="1" si="108">L1028</f>
        <v>28659637.484957267</v>
      </c>
      <c r="J1029" s="455">
        <f t="array" ref="J1029">IFERROR(INDEX('Retirement Calculator'!J:J,MATCH('Isaac 401k'!N1029,'Retirement Calculator'!A:A,0),0),0)</f>
        <v>6404.7404596389215</v>
      </c>
      <c r="K1029" s="455">
        <f t="shared" ca="1" si="105"/>
        <v>119388.46976874012</v>
      </c>
      <c r="L1029" s="455">
        <f t="shared" ca="1" si="106"/>
        <v>28772621.214266367</v>
      </c>
      <c r="M1029" s="471">
        <f t="shared" ref="M1029:M1283" si="109">M1028</f>
        <v>0.05</v>
      </c>
      <c r="N1029" s="475">
        <f t="shared" ref="N1029:N1283" si="110">EDATE(N1028,1)</f>
        <v>82363</v>
      </c>
    </row>
    <row r="1030" spans="7:14" ht="11.25" customHeight="1" x14ac:dyDescent="0.3">
      <c r="G1030" s="470">
        <f t="shared" si="107"/>
        <v>86</v>
      </c>
      <c r="H1030" s="470">
        <v>1023</v>
      </c>
      <c r="I1030" s="455">
        <f t="shared" ca="1" si="108"/>
        <v>28772621.214266367</v>
      </c>
      <c r="J1030" s="455">
        <f t="array" ref="J1030">IFERROR(INDEX('Retirement Calculator'!J:J,MATCH('Isaac 401k'!N1030,'Retirement Calculator'!A:A,0),0),0)</f>
        <v>6404.7404596389215</v>
      </c>
      <c r="K1030" s="455">
        <f t="shared" ca="1" si="105"/>
        <v>119859.23530752803</v>
      </c>
      <c r="L1030" s="455">
        <f t="shared" ca="1" si="106"/>
        <v>28886075.709114257</v>
      </c>
      <c r="M1030" s="471">
        <f t="shared" si="109"/>
        <v>0.05</v>
      </c>
      <c r="N1030" s="475">
        <f t="shared" si="110"/>
        <v>82394</v>
      </c>
    </row>
    <row r="1031" spans="7:14" ht="11.25" customHeight="1" x14ac:dyDescent="0.3">
      <c r="G1031" s="470">
        <f t="shared" si="107"/>
        <v>86</v>
      </c>
      <c r="H1031" s="470">
        <v>1024</v>
      </c>
      <c r="I1031" s="455">
        <f t="shared" ca="1" si="108"/>
        <v>28886075.709114257</v>
      </c>
      <c r="J1031" s="455">
        <f t="array" ref="J1031">IFERROR(INDEX('Retirement Calculator'!J:J,MATCH('Isaac 401k'!N1031,'Retirement Calculator'!A:A,0),0),0)</f>
        <v>6404.7404596389215</v>
      </c>
      <c r="K1031" s="455">
        <f t="shared" ca="1" si="105"/>
        <v>120331.96236939423</v>
      </c>
      <c r="L1031" s="455">
        <f t="shared" ca="1" si="106"/>
        <v>29000002.931024011</v>
      </c>
      <c r="M1031" s="471">
        <f t="shared" si="109"/>
        <v>0.05</v>
      </c>
      <c r="N1031" s="475">
        <f t="shared" si="110"/>
        <v>82425</v>
      </c>
    </row>
    <row r="1032" spans="7:14" ht="11.25" customHeight="1" x14ac:dyDescent="0.3">
      <c r="G1032" s="470">
        <f t="shared" si="107"/>
        <v>86</v>
      </c>
      <c r="H1032" s="470">
        <v>1025</v>
      </c>
      <c r="I1032" s="455">
        <f t="shared" ca="1" si="108"/>
        <v>29000002.931024011</v>
      </c>
      <c r="J1032" s="455">
        <f t="array" ref="J1032">IFERROR(INDEX('Retirement Calculator'!J:J,MATCH('Isaac 401k'!N1032,'Retirement Calculator'!A:A,0),0),0)</f>
        <v>6404.7404596389215</v>
      </c>
      <c r="K1032" s="455">
        <f t="shared" ca="1" si="105"/>
        <v>120806.65912735154</v>
      </c>
      <c r="L1032" s="455">
        <f t="shared" ca="1" si="106"/>
        <v>29114404.849691723</v>
      </c>
      <c r="M1032" s="471">
        <f t="shared" si="109"/>
        <v>0.05</v>
      </c>
      <c r="N1032" s="475">
        <f t="shared" si="110"/>
        <v>82455</v>
      </c>
    </row>
    <row r="1033" spans="7:14" ht="11.25" customHeight="1" x14ac:dyDescent="0.3">
      <c r="G1033" s="470">
        <f t="shared" si="107"/>
        <v>86</v>
      </c>
      <c r="H1033" s="470">
        <v>1026</v>
      </c>
      <c r="I1033" s="455">
        <f t="shared" ca="1" si="108"/>
        <v>29114404.849691723</v>
      </c>
      <c r="J1033" s="455">
        <f t="array" ref="J1033">IFERROR(INDEX('Retirement Calculator'!J:J,MATCH('Isaac 401k'!N1033,'Retirement Calculator'!A:A,0),0),0)</f>
        <v>6404.7404596389215</v>
      </c>
      <c r="K1033" s="455">
        <f t="shared" ca="1" si="105"/>
        <v>121283.333788467</v>
      </c>
      <c r="L1033" s="455">
        <f t="shared" ca="1" si="106"/>
        <v>29229283.443020549</v>
      </c>
      <c r="M1033" s="471">
        <f t="shared" si="109"/>
        <v>0.05</v>
      </c>
      <c r="N1033" s="475">
        <f t="shared" si="110"/>
        <v>82486</v>
      </c>
    </row>
    <row r="1034" spans="7:14" ht="11.25" customHeight="1" x14ac:dyDescent="0.3">
      <c r="G1034" s="470">
        <f t="shared" si="107"/>
        <v>86</v>
      </c>
      <c r="H1034" s="470">
        <v>1027</v>
      </c>
      <c r="I1034" s="455">
        <f t="shared" ca="1" si="108"/>
        <v>29229283.443020549</v>
      </c>
      <c r="J1034" s="455">
        <f t="array" ref="J1034">IFERROR(INDEX('Retirement Calculator'!J:J,MATCH('Isaac 401k'!N1034,'Retirement Calculator'!A:A,0),0),0)</f>
        <v>6404.7404596389215</v>
      </c>
      <c r="K1034" s="455">
        <f t="shared" ca="1" si="105"/>
        <v>121761.99459400379</v>
      </c>
      <c r="L1034" s="455">
        <f t="shared" ca="1" si="106"/>
        <v>29344640.697154913</v>
      </c>
      <c r="M1034" s="471">
        <f t="shared" si="109"/>
        <v>0.05</v>
      </c>
      <c r="N1034" s="475">
        <f t="shared" si="110"/>
        <v>82516</v>
      </c>
    </row>
    <row r="1035" spans="7:14" ht="11.25" customHeight="1" x14ac:dyDescent="0.3">
      <c r="G1035" s="470">
        <f t="shared" si="107"/>
        <v>86</v>
      </c>
      <c r="H1035" s="470">
        <v>1028</v>
      </c>
      <c r="I1035" s="455">
        <f t="shared" ca="1" si="108"/>
        <v>29344640.697154913</v>
      </c>
      <c r="J1035" s="455">
        <f t="array" ref="J1035">IFERROR(INDEX('Retirement Calculator'!J:J,MATCH('Isaac 401k'!N1035,'Retirement Calculator'!A:A,0),0),0)</f>
        <v>6404.7404596389215</v>
      </c>
      <c r="K1035" s="455">
        <f t="shared" ca="1" si="105"/>
        <v>122242.64981956362</v>
      </c>
      <c r="L1035" s="455">
        <f t="shared" ca="1" si="106"/>
        <v>29460478.606514838</v>
      </c>
      <c r="M1035" s="471">
        <f t="shared" si="109"/>
        <v>0.05</v>
      </c>
      <c r="N1035" s="475">
        <f t="shared" si="110"/>
        <v>82547</v>
      </c>
    </row>
    <row r="1036" spans="7:14" ht="11.25" customHeight="1" x14ac:dyDescent="0.3">
      <c r="G1036" s="470">
        <f t="shared" si="107"/>
        <v>86</v>
      </c>
      <c r="H1036" s="470">
        <v>1029</v>
      </c>
      <c r="I1036" s="455">
        <f t="shared" ca="1" si="108"/>
        <v>29460478.606514838</v>
      </c>
      <c r="J1036" s="455">
        <f t="array" ref="J1036">IFERROR(INDEX('Retirement Calculator'!J:J,MATCH('Isaac 401k'!N1036,'Retirement Calculator'!A:A,0),0),0)</f>
        <v>6404.7404596389215</v>
      </c>
      <c r="K1036" s="455">
        <f t="shared" ca="1" si="105"/>
        <v>122725.30777522997</v>
      </c>
      <c r="L1036" s="455">
        <f t="shared" ca="1" si="106"/>
        <v>29576799.173830427</v>
      </c>
      <c r="M1036" s="471">
        <f t="shared" si="109"/>
        <v>0.05</v>
      </c>
      <c r="N1036" s="475">
        <f t="shared" si="110"/>
        <v>82578</v>
      </c>
    </row>
    <row r="1037" spans="7:14" ht="11.25" customHeight="1" x14ac:dyDescent="0.3">
      <c r="G1037" s="470">
        <f t="shared" si="107"/>
        <v>86</v>
      </c>
      <c r="H1037" s="470">
        <v>1030</v>
      </c>
      <c r="I1037" s="455">
        <f t="shared" ca="1" si="108"/>
        <v>29576799.173830427</v>
      </c>
      <c r="J1037" s="455">
        <f t="array" ref="J1037">IFERROR(INDEX('Retirement Calculator'!J:J,MATCH('Isaac 401k'!N1037,'Retirement Calculator'!A:A,0),0),0)</f>
        <v>6404.7404596389215</v>
      </c>
      <c r="K1037" s="455">
        <f t="shared" ca="1" si="105"/>
        <v>123209.9768057116</v>
      </c>
      <c r="L1037" s="455">
        <f t="shared" ca="1" si="106"/>
        <v>29693604.410176501</v>
      </c>
      <c r="M1037" s="471">
        <f t="shared" si="109"/>
        <v>0.05</v>
      </c>
      <c r="N1037" s="475">
        <f t="shared" si="110"/>
        <v>82606</v>
      </c>
    </row>
    <row r="1038" spans="7:14" ht="11.25" customHeight="1" x14ac:dyDescent="0.3">
      <c r="G1038" s="470">
        <f t="shared" si="107"/>
        <v>86</v>
      </c>
      <c r="H1038" s="470">
        <v>1031</v>
      </c>
      <c r="I1038" s="455">
        <f t="shared" ca="1" si="108"/>
        <v>29693604.410176501</v>
      </c>
      <c r="J1038" s="455">
        <f t="array" ref="J1038">IFERROR(INDEX('Retirement Calculator'!J:J,MATCH('Isaac 401k'!N1038,'Retirement Calculator'!A:A,0),0),0)</f>
        <v>6404.7404596389215</v>
      </c>
      <c r="K1038" s="455">
        <f t="shared" ca="1" si="105"/>
        <v>123696.66529048693</v>
      </c>
      <c r="L1038" s="455">
        <f t="shared" ca="1" si="106"/>
        <v>29810896.335007347</v>
      </c>
      <c r="M1038" s="471">
        <f t="shared" si="109"/>
        <v>0.05</v>
      </c>
      <c r="N1038" s="475">
        <f t="shared" si="110"/>
        <v>82637</v>
      </c>
    </row>
    <row r="1039" spans="7:14" ht="11.25" customHeight="1" x14ac:dyDescent="0.3">
      <c r="G1039" s="470">
        <f t="shared" si="107"/>
        <v>86</v>
      </c>
      <c r="H1039" s="470">
        <v>1032</v>
      </c>
      <c r="I1039" s="455">
        <f t="shared" ca="1" si="108"/>
        <v>29810896.335007347</v>
      </c>
      <c r="J1039" s="455">
        <f t="array" ref="J1039">IFERROR(INDEX('Retirement Calculator'!J:J,MATCH('Isaac 401k'!N1039,'Retirement Calculator'!A:A,0),0),0)</f>
        <v>6404.7404596389215</v>
      </c>
      <c r="K1039" s="455">
        <f t="shared" ca="1" si="105"/>
        <v>124185.38164394879</v>
      </c>
      <c r="L1039" s="455">
        <f t="shared" ca="1" si="106"/>
        <v>29928676.976191655</v>
      </c>
      <c r="M1039" s="471">
        <f t="shared" si="109"/>
        <v>0.05</v>
      </c>
      <c r="N1039" s="475">
        <f t="shared" si="110"/>
        <v>82667</v>
      </c>
    </row>
    <row r="1040" spans="7:14" ht="11.25" customHeight="1" x14ac:dyDescent="0.3">
      <c r="G1040" s="470">
        <f>G1039+1</f>
        <v>87</v>
      </c>
      <c r="H1040" s="470">
        <v>1033</v>
      </c>
      <c r="I1040" s="455">
        <f t="shared" ca="1" si="108"/>
        <v>29928676.976191655</v>
      </c>
      <c r="J1040" s="455">
        <f t="array" ref="J1040">IFERROR(INDEX('Retirement Calculator'!J:J,MATCH('Isaac 401k'!N1040,'Retirement Calculator'!A:A,0),0),0)</f>
        <v>6404.7404596389215</v>
      </c>
      <c r="K1040" s="455">
        <f t="shared" ca="1" si="105"/>
        <v>124676.13431555007</v>
      </c>
      <c r="L1040" s="455">
        <f t="shared" ca="1" si="106"/>
        <v>30046948.370047566</v>
      </c>
      <c r="M1040" s="471">
        <f t="shared" si="109"/>
        <v>0.05</v>
      </c>
      <c r="N1040" s="475">
        <f t="shared" si="110"/>
        <v>82698</v>
      </c>
    </row>
    <row r="1041" spans="7:14" ht="11.25" customHeight="1" x14ac:dyDescent="0.3">
      <c r="G1041" s="470">
        <f t="shared" ref="G1041:G1051" si="111">G1040</f>
        <v>87</v>
      </c>
      <c r="H1041" s="470">
        <v>1034</v>
      </c>
      <c r="I1041" s="455">
        <f t="shared" ca="1" si="108"/>
        <v>30046948.370047566</v>
      </c>
      <c r="J1041" s="455">
        <f t="array" ref="J1041">IFERROR(INDEX('Retirement Calculator'!J:J,MATCH('Isaac 401k'!N1041,'Retirement Calculator'!A:A,0),0),0)</f>
        <v>6404.7404596389215</v>
      </c>
      <c r="K1041" s="455">
        <f t="shared" ca="1" si="105"/>
        <v>125168.9317899497</v>
      </c>
      <c r="L1041" s="455">
        <f t="shared" ca="1" si="106"/>
        <v>30165712.561377876</v>
      </c>
      <c r="M1041" s="471">
        <f t="shared" si="109"/>
        <v>0.05</v>
      </c>
      <c r="N1041" s="475">
        <f t="shared" si="110"/>
        <v>82728</v>
      </c>
    </row>
    <row r="1042" spans="7:14" ht="11.25" customHeight="1" x14ac:dyDescent="0.3">
      <c r="G1042" s="470">
        <f t="shared" si="111"/>
        <v>87</v>
      </c>
      <c r="H1042" s="470">
        <v>1035</v>
      </c>
      <c r="I1042" s="455">
        <f t="shared" ca="1" si="108"/>
        <v>30165712.561377876</v>
      </c>
      <c r="J1042" s="455">
        <f t="array" ref="J1042">IFERROR(INDEX('Retirement Calculator'!J:J,MATCH('Isaac 401k'!N1042,'Retirement Calculator'!A:A,0),0),0)</f>
        <v>6404.7404596389215</v>
      </c>
      <c r="K1042" s="455">
        <f t="shared" ca="1" si="105"/>
        <v>125663.78258715932</v>
      </c>
      <c r="L1042" s="455">
        <f t="shared" ca="1" si="106"/>
        <v>30284971.603505395</v>
      </c>
      <c r="M1042" s="471">
        <f t="shared" si="109"/>
        <v>0.05</v>
      </c>
      <c r="N1042" s="475">
        <f t="shared" si="110"/>
        <v>82759</v>
      </c>
    </row>
    <row r="1043" spans="7:14" ht="11.25" customHeight="1" x14ac:dyDescent="0.3">
      <c r="G1043" s="470">
        <f t="shared" si="111"/>
        <v>87</v>
      </c>
      <c r="H1043" s="470">
        <v>1036</v>
      </c>
      <c r="I1043" s="455">
        <f t="shared" ca="1" si="108"/>
        <v>30284971.603505395</v>
      </c>
      <c r="J1043" s="455">
        <f t="array" ref="J1043">IFERROR(INDEX('Retirement Calculator'!J:J,MATCH('Isaac 401k'!N1043,'Retirement Calculator'!A:A,0),0),0)</f>
        <v>6404.7404596389215</v>
      </c>
      <c r="K1043" s="455">
        <f t="shared" ca="1" si="105"/>
        <v>126160.69526269064</v>
      </c>
      <c r="L1043" s="455">
        <f t="shared" ca="1" si="106"/>
        <v>30404727.558308445</v>
      </c>
      <c r="M1043" s="471">
        <f t="shared" si="109"/>
        <v>0.05</v>
      </c>
      <c r="N1043" s="475">
        <f t="shared" si="110"/>
        <v>82790</v>
      </c>
    </row>
    <row r="1044" spans="7:14" ht="11.25" customHeight="1" x14ac:dyDescent="0.3">
      <c r="G1044" s="470">
        <f t="shared" si="111"/>
        <v>87</v>
      </c>
      <c r="H1044" s="470">
        <v>1037</v>
      </c>
      <c r="I1044" s="455">
        <f t="shared" ca="1" si="108"/>
        <v>30404727.558308445</v>
      </c>
      <c r="J1044" s="455">
        <f t="array" ref="J1044">IFERROR(INDEX('Retirement Calculator'!J:J,MATCH('Isaac 401k'!N1044,'Retirement Calculator'!A:A,0),0),0)</f>
        <v>6404.7404596389215</v>
      </c>
      <c r="K1044" s="455">
        <f t="shared" ca="1" si="105"/>
        <v>126659.67840770335</v>
      </c>
      <c r="L1044" s="455">
        <f t="shared" ca="1" si="106"/>
        <v>30524982.496256508</v>
      </c>
      <c r="M1044" s="471">
        <f t="shared" si="109"/>
        <v>0.05</v>
      </c>
      <c r="N1044" s="475">
        <f t="shared" si="110"/>
        <v>82820</v>
      </c>
    </row>
    <row r="1045" spans="7:14" ht="11.25" customHeight="1" x14ac:dyDescent="0.3">
      <c r="G1045" s="470">
        <f t="shared" si="111"/>
        <v>87</v>
      </c>
      <c r="H1045" s="470">
        <v>1038</v>
      </c>
      <c r="I1045" s="455">
        <f t="shared" ca="1" si="108"/>
        <v>30524982.496256508</v>
      </c>
      <c r="J1045" s="455">
        <f t="array" ref="J1045">IFERROR(INDEX('Retirement Calculator'!J:J,MATCH('Isaac 401k'!N1045,'Retirement Calculator'!A:A,0),0),0)</f>
        <v>6404.7404596389215</v>
      </c>
      <c r="K1045" s="455">
        <f t="shared" ca="1" si="105"/>
        <v>127160.74064915359</v>
      </c>
      <c r="L1045" s="455">
        <f t="shared" ca="1" si="106"/>
        <v>30645738.496446021</v>
      </c>
      <c r="M1045" s="471">
        <f t="shared" si="109"/>
        <v>0.05</v>
      </c>
      <c r="N1045" s="475">
        <f t="shared" si="110"/>
        <v>82851</v>
      </c>
    </row>
    <row r="1046" spans="7:14" ht="11.25" customHeight="1" x14ac:dyDescent="0.3">
      <c r="G1046" s="470">
        <f t="shared" si="111"/>
        <v>87</v>
      </c>
      <c r="H1046" s="470">
        <v>1039</v>
      </c>
      <c r="I1046" s="455">
        <f t="shared" ca="1" si="108"/>
        <v>30645738.496446021</v>
      </c>
      <c r="J1046" s="455">
        <f t="array" ref="J1046">IFERROR(INDEX('Retirement Calculator'!J:J,MATCH('Isaac 401k'!N1046,'Retirement Calculator'!A:A,0),0),0)</f>
        <v>6404.7404596389215</v>
      </c>
      <c r="K1046" s="455">
        <f t="shared" ca="1" si="105"/>
        <v>127663.89064994325</v>
      </c>
      <c r="L1046" s="455">
        <f t="shared" ca="1" si="106"/>
        <v>30766997.646636326</v>
      </c>
      <c r="M1046" s="471">
        <f t="shared" si="109"/>
        <v>0.05</v>
      </c>
      <c r="N1046" s="475">
        <f t="shared" si="110"/>
        <v>82881</v>
      </c>
    </row>
    <row r="1047" spans="7:14" ht="11.25" customHeight="1" x14ac:dyDescent="0.3">
      <c r="G1047" s="470">
        <f t="shared" si="111"/>
        <v>87</v>
      </c>
      <c r="H1047" s="470">
        <v>1040</v>
      </c>
      <c r="I1047" s="455">
        <f t="shared" ca="1" si="108"/>
        <v>30766997.646636326</v>
      </c>
      <c r="J1047" s="455">
        <f t="array" ref="J1047">IFERROR(INDEX('Retirement Calculator'!J:J,MATCH('Isaac 401k'!N1047,'Retirement Calculator'!A:A,0),0),0)</f>
        <v>6404.7404596389215</v>
      </c>
      <c r="K1047" s="455">
        <f t="shared" ca="1" si="105"/>
        <v>128169.1371090695</v>
      </c>
      <c r="L1047" s="455">
        <f t="shared" ca="1" si="106"/>
        <v>30888762.043285757</v>
      </c>
      <c r="M1047" s="471">
        <f t="shared" si="109"/>
        <v>0.05</v>
      </c>
      <c r="N1047" s="475">
        <f t="shared" si="110"/>
        <v>82912</v>
      </c>
    </row>
    <row r="1048" spans="7:14" ht="11.25" customHeight="1" x14ac:dyDescent="0.3">
      <c r="G1048" s="470">
        <f t="shared" si="111"/>
        <v>87</v>
      </c>
      <c r="H1048" s="470">
        <v>1041</v>
      </c>
      <c r="I1048" s="455">
        <f t="shared" ca="1" si="108"/>
        <v>30888762.043285757</v>
      </c>
      <c r="J1048" s="455">
        <f t="array" ref="J1048">IFERROR(INDEX('Retirement Calculator'!J:J,MATCH('Isaac 401k'!N1048,'Retirement Calculator'!A:A,0),0),0)</f>
        <v>6404.7404596389215</v>
      </c>
      <c r="K1048" s="455">
        <f t="shared" ca="1" si="105"/>
        <v>128676.48876177549</v>
      </c>
      <c r="L1048" s="455">
        <f t="shared" ca="1" si="106"/>
        <v>31011033.791587893</v>
      </c>
      <c r="M1048" s="471">
        <f t="shared" si="109"/>
        <v>0.05</v>
      </c>
      <c r="N1048" s="475">
        <f t="shared" si="110"/>
        <v>82943</v>
      </c>
    </row>
    <row r="1049" spans="7:14" ht="11.25" customHeight="1" x14ac:dyDescent="0.3">
      <c r="G1049" s="470">
        <f t="shared" si="111"/>
        <v>87</v>
      </c>
      <c r="H1049" s="470">
        <v>1042</v>
      </c>
      <c r="I1049" s="455">
        <f t="shared" ca="1" si="108"/>
        <v>31011033.791587893</v>
      </c>
      <c r="J1049" s="455">
        <f t="array" ref="J1049">IFERROR(INDEX('Retirement Calculator'!J:J,MATCH('Isaac 401k'!N1049,'Retirement Calculator'!A:A,0),0),0)</f>
        <v>6404.7404596389215</v>
      </c>
      <c r="K1049" s="455">
        <f t="shared" ca="1" si="105"/>
        <v>129185.95437970104</v>
      </c>
      <c r="L1049" s="455">
        <f t="shared" ca="1" si="106"/>
        <v>31133815.005507953</v>
      </c>
      <c r="M1049" s="471">
        <f t="shared" si="109"/>
        <v>0.05</v>
      </c>
      <c r="N1049" s="475">
        <f t="shared" si="110"/>
        <v>82971</v>
      </c>
    </row>
    <row r="1050" spans="7:14" ht="11.25" customHeight="1" x14ac:dyDescent="0.3">
      <c r="G1050" s="470">
        <f t="shared" si="111"/>
        <v>87</v>
      </c>
      <c r="H1050" s="470">
        <v>1043</v>
      </c>
      <c r="I1050" s="455">
        <f t="shared" ca="1" si="108"/>
        <v>31133815.005507953</v>
      </c>
      <c r="J1050" s="455">
        <f t="array" ref="J1050">IFERROR(INDEX('Retirement Calculator'!J:J,MATCH('Isaac 401k'!N1050,'Retirement Calculator'!A:A,0),0),0)</f>
        <v>6404.7404596389215</v>
      </c>
      <c r="K1050" s="455">
        <f t="shared" ca="1" si="105"/>
        <v>129697.54277103466</v>
      </c>
      <c r="L1050" s="455">
        <f t="shared" ca="1" si="106"/>
        <v>31257107.807819348</v>
      </c>
      <c r="M1050" s="471">
        <f t="shared" si="109"/>
        <v>0.05</v>
      </c>
      <c r="N1050" s="475">
        <f t="shared" si="110"/>
        <v>83002</v>
      </c>
    </row>
    <row r="1051" spans="7:14" ht="11.25" customHeight="1" x14ac:dyDescent="0.3">
      <c r="G1051" s="470">
        <f t="shared" si="111"/>
        <v>87</v>
      </c>
      <c r="H1051" s="470">
        <v>1044</v>
      </c>
      <c r="I1051" s="455">
        <f t="shared" ca="1" si="108"/>
        <v>31257107.807819348</v>
      </c>
      <c r="J1051" s="455">
        <f t="array" ref="J1051">IFERROR(INDEX('Retirement Calculator'!J:J,MATCH('Isaac 401k'!N1051,'Retirement Calculator'!A:A,0),0),0)</f>
        <v>6404.7404596389215</v>
      </c>
      <c r="K1051" s="455">
        <f t="shared" ca="1" si="105"/>
        <v>130211.26278066543</v>
      </c>
      <c r="L1051" s="455">
        <f t="shared" ca="1" si="106"/>
        <v>31380914.330140375</v>
      </c>
      <c r="M1051" s="471">
        <f t="shared" si="109"/>
        <v>0.05</v>
      </c>
      <c r="N1051" s="475">
        <f t="shared" si="110"/>
        <v>83032</v>
      </c>
    </row>
    <row r="1052" spans="7:14" ht="11.25" customHeight="1" x14ac:dyDescent="0.3">
      <c r="G1052" s="470">
        <f>G1051+1</f>
        <v>88</v>
      </c>
      <c r="H1052" s="470">
        <v>1045</v>
      </c>
      <c r="I1052" s="455">
        <f t="shared" ca="1" si="108"/>
        <v>31380914.330140375</v>
      </c>
      <c r="J1052" s="455">
        <f t="array" ref="J1052">IFERROR(INDEX('Retirement Calculator'!J:J,MATCH('Isaac 401k'!N1052,'Retirement Calculator'!A:A,0),0),0)</f>
        <v>6404.7404596389215</v>
      </c>
      <c r="K1052" s="455">
        <f t="shared" ca="1" si="105"/>
        <v>130727.1232903364</v>
      </c>
      <c r="L1052" s="455">
        <f t="shared" ca="1" si="106"/>
        <v>31505236.712971073</v>
      </c>
      <c r="M1052" s="471">
        <f t="shared" si="109"/>
        <v>0.05</v>
      </c>
      <c r="N1052" s="475">
        <f t="shared" si="110"/>
        <v>83063</v>
      </c>
    </row>
    <row r="1053" spans="7:14" ht="11.25" customHeight="1" x14ac:dyDescent="0.3">
      <c r="G1053" s="470">
        <f t="shared" ref="G1053:G1063" si="112">G1052</f>
        <v>88</v>
      </c>
      <c r="H1053" s="470">
        <v>1046</v>
      </c>
      <c r="I1053" s="455">
        <f t="shared" ca="1" si="108"/>
        <v>31505236.712971073</v>
      </c>
      <c r="J1053" s="455">
        <f t="array" ref="J1053">IFERROR(INDEX('Retirement Calculator'!J:J,MATCH('Isaac 401k'!N1053,'Retirement Calculator'!A:A,0),0),0)</f>
        <v>6404.7404596389215</v>
      </c>
      <c r="K1053" s="455">
        <f t="shared" ca="1" si="105"/>
        <v>131245.13321879762</v>
      </c>
      <c r="L1053" s="455">
        <f t="shared" ca="1" si="106"/>
        <v>31630077.105730232</v>
      </c>
      <c r="M1053" s="471">
        <f t="shared" si="109"/>
        <v>0.05</v>
      </c>
      <c r="N1053" s="475">
        <f t="shared" si="110"/>
        <v>83093</v>
      </c>
    </row>
    <row r="1054" spans="7:14" ht="11.25" customHeight="1" x14ac:dyDescent="0.3">
      <c r="G1054" s="470">
        <f t="shared" si="112"/>
        <v>88</v>
      </c>
      <c r="H1054" s="470">
        <v>1047</v>
      </c>
      <c r="I1054" s="455">
        <f t="shared" ca="1" si="108"/>
        <v>31630077.105730232</v>
      </c>
      <c r="J1054" s="455">
        <f t="array" ref="J1054">IFERROR(INDEX('Retirement Calculator'!J:J,MATCH('Isaac 401k'!N1054,'Retirement Calculator'!A:A,0),0),0)</f>
        <v>6404.7404596389215</v>
      </c>
      <c r="K1054" s="455">
        <f t="shared" ca="1" si="105"/>
        <v>131765.30152196079</v>
      </c>
      <c r="L1054" s="455">
        <f t="shared" ca="1" si="106"/>
        <v>31755437.666792553</v>
      </c>
      <c r="M1054" s="471">
        <f t="shared" si="109"/>
        <v>0.05</v>
      </c>
      <c r="N1054" s="475">
        <f t="shared" si="110"/>
        <v>83124</v>
      </c>
    </row>
    <row r="1055" spans="7:14" ht="11.25" customHeight="1" x14ac:dyDescent="0.3">
      <c r="G1055" s="470">
        <f t="shared" si="112"/>
        <v>88</v>
      </c>
      <c r="H1055" s="470">
        <v>1048</v>
      </c>
      <c r="I1055" s="455">
        <f t="shared" ca="1" si="108"/>
        <v>31755437.666792553</v>
      </c>
      <c r="J1055" s="455">
        <f t="array" ref="J1055">IFERROR(INDEX('Retirement Calculator'!J:J,MATCH('Isaac 401k'!N1055,'Retirement Calculator'!A:A,0),0),0)</f>
        <v>6404.7404596389215</v>
      </c>
      <c r="K1055" s="455">
        <f t="shared" ca="1" si="105"/>
        <v>132287.63719305382</v>
      </c>
      <c r="L1055" s="455">
        <f t="shared" ca="1" si="106"/>
        <v>31881320.563525967</v>
      </c>
      <c r="M1055" s="471">
        <f t="shared" si="109"/>
        <v>0.05</v>
      </c>
      <c r="N1055" s="475">
        <f t="shared" si="110"/>
        <v>83155</v>
      </c>
    </row>
    <row r="1056" spans="7:14" ht="11.25" customHeight="1" x14ac:dyDescent="0.3">
      <c r="G1056" s="470">
        <f t="shared" si="112"/>
        <v>88</v>
      </c>
      <c r="H1056" s="470">
        <v>1049</v>
      </c>
      <c r="I1056" s="455">
        <f t="shared" ca="1" si="108"/>
        <v>31881320.563525967</v>
      </c>
      <c r="J1056" s="455">
        <f t="array" ref="J1056">IFERROR(INDEX('Retirement Calculator'!J:J,MATCH('Isaac 401k'!N1056,'Retirement Calculator'!A:A,0),0),0)</f>
        <v>6404.7404596389215</v>
      </c>
      <c r="K1056" s="455">
        <f t="shared" ca="1" si="105"/>
        <v>132812.14926277637</v>
      </c>
      <c r="L1056" s="455">
        <f t="shared" ca="1" si="106"/>
        <v>32007727.972329102</v>
      </c>
      <c r="M1056" s="471">
        <f t="shared" si="109"/>
        <v>0.05</v>
      </c>
      <c r="N1056" s="475">
        <f t="shared" si="110"/>
        <v>83185</v>
      </c>
    </row>
    <row r="1057" spans="7:14" ht="11.25" customHeight="1" x14ac:dyDescent="0.3">
      <c r="G1057" s="470">
        <f t="shared" si="112"/>
        <v>88</v>
      </c>
      <c r="H1057" s="470">
        <v>1050</v>
      </c>
      <c r="I1057" s="455">
        <f t="shared" ca="1" si="108"/>
        <v>32007727.972329102</v>
      </c>
      <c r="J1057" s="455">
        <f t="array" ref="J1057">IFERROR(INDEX('Retirement Calculator'!J:J,MATCH('Isaac 401k'!N1057,'Retirement Calculator'!A:A,0),0),0)</f>
        <v>6404.7404596389215</v>
      </c>
      <c r="K1057" s="455">
        <f t="shared" ca="1" si="105"/>
        <v>133338.84679945611</v>
      </c>
      <c r="L1057" s="455">
        <f t="shared" ca="1" si="106"/>
        <v>32134662.078668918</v>
      </c>
      <c r="M1057" s="471">
        <f t="shared" si="109"/>
        <v>0.05</v>
      </c>
      <c r="N1057" s="475">
        <f t="shared" si="110"/>
        <v>83216</v>
      </c>
    </row>
    <row r="1058" spans="7:14" ht="11.25" customHeight="1" x14ac:dyDescent="0.3">
      <c r="G1058" s="470">
        <f t="shared" si="112"/>
        <v>88</v>
      </c>
      <c r="H1058" s="470">
        <v>1051</v>
      </c>
      <c r="I1058" s="455">
        <f t="shared" ca="1" si="108"/>
        <v>32134662.078668918</v>
      </c>
      <c r="J1058" s="455">
        <f t="array" ref="J1058">IFERROR(INDEX('Retirement Calculator'!J:J,MATCH('Isaac 401k'!N1058,'Retirement Calculator'!A:A,0),0),0)</f>
        <v>6404.7404596389215</v>
      </c>
      <c r="K1058" s="455">
        <f t="shared" ca="1" si="105"/>
        <v>133867.73890920533</v>
      </c>
      <c r="L1058" s="455">
        <f t="shared" ca="1" si="106"/>
        <v>32262125.077118482</v>
      </c>
      <c r="M1058" s="471">
        <f t="shared" si="109"/>
        <v>0.05</v>
      </c>
      <c r="N1058" s="475">
        <f t="shared" si="110"/>
        <v>83246</v>
      </c>
    </row>
    <row r="1059" spans="7:14" ht="11.25" customHeight="1" x14ac:dyDescent="0.3">
      <c r="G1059" s="470">
        <f t="shared" si="112"/>
        <v>88</v>
      </c>
      <c r="H1059" s="470">
        <v>1052</v>
      </c>
      <c r="I1059" s="455">
        <f t="shared" ca="1" si="108"/>
        <v>32262125.077118482</v>
      </c>
      <c r="J1059" s="455">
        <f t="array" ref="J1059">IFERROR(INDEX('Retirement Calculator'!J:J,MATCH('Isaac 401k'!N1059,'Retirement Calculator'!A:A,0),0),0)</f>
        <v>6404.7404596389215</v>
      </c>
      <c r="K1059" s="455">
        <f t="shared" ca="1" si="105"/>
        <v>134398.83473607851</v>
      </c>
      <c r="L1059" s="455">
        <f t="shared" ca="1" si="106"/>
        <v>32390119.171394922</v>
      </c>
      <c r="M1059" s="471">
        <f t="shared" si="109"/>
        <v>0.05</v>
      </c>
      <c r="N1059" s="475">
        <f t="shared" si="110"/>
        <v>83277</v>
      </c>
    </row>
    <row r="1060" spans="7:14" ht="11.25" customHeight="1" x14ac:dyDescent="0.3">
      <c r="G1060" s="470">
        <f t="shared" si="112"/>
        <v>88</v>
      </c>
      <c r="H1060" s="470">
        <v>1053</v>
      </c>
      <c r="I1060" s="455">
        <f t="shared" ca="1" si="108"/>
        <v>32390119.171394922</v>
      </c>
      <c r="J1060" s="455">
        <f t="array" ref="J1060">IFERROR(INDEX('Retirement Calculator'!J:J,MATCH('Isaac 401k'!N1060,'Retirement Calculator'!A:A,0),0),0)</f>
        <v>6404.7404596389215</v>
      </c>
      <c r="K1060" s="455">
        <f t="shared" ca="1" si="105"/>
        <v>134932.14346223036</v>
      </c>
      <c r="L1060" s="455">
        <f t="shared" ca="1" si="106"/>
        <v>32518646.574397512</v>
      </c>
      <c r="M1060" s="471">
        <f t="shared" si="109"/>
        <v>0.05</v>
      </c>
      <c r="N1060" s="475">
        <f t="shared" si="110"/>
        <v>83308</v>
      </c>
    </row>
    <row r="1061" spans="7:14" ht="11.25" customHeight="1" x14ac:dyDescent="0.3">
      <c r="G1061" s="470">
        <f t="shared" si="112"/>
        <v>88</v>
      </c>
      <c r="H1061" s="470">
        <v>1054</v>
      </c>
      <c r="I1061" s="455">
        <f t="shared" ca="1" si="108"/>
        <v>32518646.574397512</v>
      </c>
      <c r="J1061" s="455">
        <f t="array" ref="J1061">IFERROR(INDEX('Retirement Calculator'!J:J,MATCH('Isaac 401k'!N1061,'Retirement Calculator'!A:A,0),0),0)</f>
        <v>6404.7404596389215</v>
      </c>
      <c r="K1061" s="455">
        <f t="shared" ca="1" si="105"/>
        <v>135467.67430807446</v>
      </c>
      <c r="L1061" s="455">
        <f t="shared" ca="1" si="106"/>
        <v>32647709.508245945</v>
      </c>
      <c r="M1061" s="471">
        <f t="shared" si="109"/>
        <v>0.05</v>
      </c>
      <c r="N1061" s="475">
        <f t="shared" si="110"/>
        <v>83337</v>
      </c>
    </row>
    <row r="1062" spans="7:14" ht="11.25" customHeight="1" x14ac:dyDescent="0.3">
      <c r="G1062" s="470">
        <f t="shared" si="112"/>
        <v>88</v>
      </c>
      <c r="H1062" s="470">
        <v>1055</v>
      </c>
      <c r="I1062" s="455">
        <f t="shared" ca="1" si="108"/>
        <v>32647709.508245945</v>
      </c>
      <c r="J1062" s="455">
        <f t="array" ref="J1062">IFERROR(INDEX('Retirement Calculator'!J:J,MATCH('Isaac 401k'!N1062,'Retirement Calculator'!A:A,0),0),0)</f>
        <v>6404.7404596389215</v>
      </c>
      <c r="K1062" s="455">
        <f t="shared" ca="1" si="105"/>
        <v>136005.43653244292</v>
      </c>
      <c r="L1062" s="455">
        <f t="shared" ca="1" si="106"/>
        <v>32777310.204318747</v>
      </c>
      <c r="M1062" s="471">
        <f t="shared" si="109"/>
        <v>0.05</v>
      </c>
      <c r="N1062" s="475">
        <f t="shared" si="110"/>
        <v>83368</v>
      </c>
    </row>
    <row r="1063" spans="7:14" ht="11.25" customHeight="1" x14ac:dyDescent="0.3">
      <c r="G1063" s="470">
        <f t="shared" si="112"/>
        <v>88</v>
      </c>
      <c r="H1063" s="470">
        <v>1056</v>
      </c>
      <c r="I1063" s="455">
        <f t="shared" ca="1" si="108"/>
        <v>32777310.204318747</v>
      </c>
      <c r="J1063" s="455">
        <f t="array" ref="J1063">IFERROR(INDEX('Retirement Calculator'!J:J,MATCH('Isaac 401k'!N1063,'Retirement Calculator'!A:A,0),0),0)</f>
        <v>6404.7404596389215</v>
      </c>
      <c r="K1063" s="455">
        <f t="shared" ca="1" si="105"/>
        <v>136545.43943274627</v>
      </c>
      <c r="L1063" s="455">
        <f t="shared" ca="1" si="106"/>
        <v>32907450.903291855</v>
      </c>
      <c r="M1063" s="471">
        <f t="shared" si="109"/>
        <v>0.05</v>
      </c>
      <c r="N1063" s="475">
        <f t="shared" si="110"/>
        <v>83398</v>
      </c>
    </row>
    <row r="1064" spans="7:14" ht="11.25" customHeight="1" x14ac:dyDescent="0.3">
      <c r="G1064" s="470">
        <f>G1063+1</f>
        <v>89</v>
      </c>
      <c r="H1064" s="470">
        <v>1057</v>
      </c>
      <c r="I1064" s="455">
        <f t="shared" ca="1" si="108"/>
        <v>32907450.903291855</v>
      </c>
      <c r="J1064" s="455">
        <f t="array" ref="J1064">IFERROR(INDEX('Retirement Calculator'!J:J,MATCH('Isaac 401k'!N1064,'Retirement Calculator'!A:A,0),0),0)</f>
        <v>6404.7404596389215</v>
      </c>
      <c r="K1064" s="455">
        <f t="shared" ca="1" si="105"/>
        <v>137087.69234513422</v>
      </c>
      <c r="L1064" s="455">
        <f t="shared" ca="1" si="106"/>
        <v>33038133.85517735</v>
      </c>
      <c r="M1064" s="471">
        <f t="shared" si="109"/>
        <v>0.05</v>
      </c>
      <c r="N1064" s="475">
        <f t="shared" si="110"/>
        <v>83429</v>
      </c>
    </row>
    <row r="1065" spans="7:14" ht="11.25" customHeight="1" x14ac:dyDescent="0.3">
      <c r="G1065" s="470">
        <f t="shared" ref="G1065:G1075" si="113">G1064</f>
        <v>89</v>
      </c>
      <c r="H1065" s="470">
        <v>1058</v>
      </c>
      <c r="I1065" s="455">
        <f t="shared" ca="1" si="108"/>
        <v>33038133.85517735</v>
      </c>
      <c r="J1065" s="455">
        <f t="array" ref="J1065">IFERROR(INDEX('Retirement Calculator'!J:J,MATCH('Isaac 401k'!N1065,'Retirement Calculator'!A:A,0),0),0)</f>
        <v>6404.7404596389215</v>
      </c>
      <c r="K1065" s="455">
        <f t="shared" ca="1" si="105"/>
        <v>137632.20464465712</v>
      </c>
      <c r="L1065" s="455">
        <f t="shared" ca="1" si="106"/>
        <v>33169361.319362368</v>
      </c>
      <c r="M1065" s="471">
        <f t="shared" si="109"/>
        <v>0.05</v>
      </c>
      <c r="N1065" s="475">
        <f t="shared" si="110"/>
        <v>83459</v>
      </c>
    </row>
    <row r="1066" spans="7:14" ht="11.25" customHeight="1" x14ac:dyDescent="0.3">
      <c r="G1066" s="470">
        <f t="shared" si="113"/>
        <v>89</v>
      </c>
      <c r="H1066" s="470">
        <v>1059</v>
      </c>
      <c r="I1066" s="455">
        <f t="shared" ca="1" si="108"/>
        <v>33169361.319362368</v>
      </c>
      <c r="J1066" s="455">
        <f t="array" ref="J1066">IFERROR(INDEX('Retirement Calculator'!J:J,MATCH('Isaac 401k'!N1066,'Retirement Calculator'!A:A,0),0),0)</f>
        <v>6404.7404596389215</v>
      </c>
      <c r="K1066" s="455">
        <f t="shared" ca="1" si="105"/>
        <v>138178.98574542804</v>
      </c>
      <c r="L1066" s="455">
        <f t="shared" ca="1" si="106"/>
        <v>33301135.564648155</v>
      </c>
      <c r="M1066" s="471">
        <f t="shared" si="109"/>
        <v>0.05</v>
      </c>
      <c r="N1066" s="475">
        <f t="shared" si="110"/>
        <v>83490</v>
      </c>
    </row>
    <row r="1067" spans="7:14" ht="11.25" customHeight="1" x14ac:dyDescent="0.3">
      <c r="G1067" s="470">
        <f t="shared" si="113"/>
        <v>89</v>
      </c>
      <c r="H1067" s="470">
        <v>1060</v>
      </c>
      <c r="I1067" s="455">
        <f t="shared" ca="1" si="108"/>
        <v>33301135.564648155</v>
      </c>
      <c r="J1067" s="455">
        <f t="array" ref="J1067">IFERROR(INDEX('Retirement Calculator'!J:J,MATCH('Isaac 401k'!N1067,'Retirement Calculator'!A:A,0),0),0)</f>
        <v>6404.7404596389215</v>
      </c>
      <c r="K1067" s="455">
        <f t="shared" ca="1" si="105"/>
        <v>138728.04510078547</v>
      </c>
      <c r="L1067" s="455">
        <f t="shared" ca="1" si="106"/>
        <v>33433458.869289301</v>
      </c>
      <c r="M1067" s="471">
        <f t="shared" si="109"/>
        <v>0.05</v>
      </c>
      <c r="N1067" s="475">
        <f t="shared" si="110"/>
        <v>83521</v>
      </c>
    </row>
    <row r="1068" spans="7:14" ht="11.25" customHeight="1" x14ac:dyDescent="0.3">
      <c r="G1068" s="470">
        <f t="shared" si="113"/>
        <v>89</v>
      </c>
      <c r="H1068" s="470">
        <v>1061</v>
      </c>
      <c r="I1068" s="455">
        <f t="shared" ca="1" si="108"/>
        <v>33433458.869289301</v>
      </c>
      <c r="J1068" s="455">
        <f t="array" ref="J1068">IFERROR(INDEX('Retirement Calculator'!J:J,MATCH('Isaac 401k'!N1068,'Retirement Calculator'!A:A,0),0),0)</f>
        <v>6404.7404596389215</v>
      </c>
      <c r="K1068" s="455">
        <f t="shared" ca="1" si="105"/>
        <v>139279.39220345693</v>
      </c>
      <c r="L1068" s="455">
        <f t="shared" ca="1" si="106"/>
        <v>33566333.521033116</v>
      </c>
      <c r="M1068" s="471">
        <f t="shared" si="109"/>
        <v>0.05</v>
      </c>
      <c r="N1068" s="475">
        <f t="shared" si="110"/>
        <v>83551</v>
      </c>
    </row>
    <row r="1069" spans="7:14" ht="11.25" customHeight="1" x14ac:dyDescent="0.3">
      <c r="G1069" s="470">
        <f t="shared" si="113"/>
        <v>89</v>
      </c>
      <c r="H1069" s="470">
        <v>1062</v>
      </c>
      <c r="I1069" s="455">
        <f t="shared" ca="1" si="108"/>
        <v>33566333.521033116</v>
      </c>
      <c r="J1069" s="455">
        <f t="array" ref="J1069">IFERROR(INDEX('Retirement Calculator'!J:J,MATCH('Isaac 401k'!N1069,'Retirement Calculator'!A:A,0),0),0)</f>
        <v>6404.7404596389215</v>
      </c>
      <c r="K1069" s="455">
        <f t="shared" ca="1" si="105"/>
        <v>139833.03658572282</v>
      </c>
      <c r="L1069" s="455">
        <f t="shared" ca="1" si="106"/>
        <v>33699761.817159206</v>
      </c>
      <c r="M1069" s="471">
        <f t="shared" si="109"/>
        <v>0.05</v>
      </c>
      <c r="N1069" s="475">
        <f t="shared" si="110"/>
        <v>83582</v>
      </c>
    </row>
    <row r="1070" spans="7:14" ht="11.25" customHeight="1" x14ac:dyDescent="0.3">
      <c r="G1070" s="470">
        <f t="shared" si="113"/>
        <v>89</v>
      </c>
      <c r="H1070" s="470">
        <v>1063</v>
      </c>
      <c r="I1070" s="455">
        <f t="shared" ca="1" si="108"/>
        <v>33699761.817159206</v>
      </c>
      <c r="J1070" s="455">
        <f t="array" ref="J1070">IFERROR(INDEX('Retirement Calculator'!J:J,MATCH('Isaac 401k'!N1070,'Retirement Calculator'!A:A,0),0),0)</f>
        <v>6404.7404596389215</v>
      </c>
      <c r="K1070" s="455">
        <f t="shared" ca="1" si="105"/>
        <v>140388.98781958153</v>
      </c>
      <c r="L1070" s="455">
        <f t="shared" ca="1" si="106"/>
        <v>33833746.064519152</v>
      </c>
      <c r="M1070" s="471">
        <f t="shared" si="109"/>
        <v>0.05</v>
      </c>
      <c r="N1070" s="475">
        <f t="shared" si="110"/>
        <v>83612</v>
      </c>
    </row>
    <row r="1071" spans="7:14" ht="11.25" customHeight="1" x14ac:dyDescent="0.3">
      <c r="G1071" s="470">
        <f t="shared" si="113"/>
        <v>89</v>
      </c>
      <c r="H1071" s="470">
        <v>1064</v>
      </c>
      <c r="I1071" s="455">
        <f t="shared" ca="1" si="108"/>
        <v>33833746.064519152</v>
      </c>
      <c r="J1071" s="455">
        <f t="array" ref="J1071">IFERROR(INDEX('Retirement Calculator'!J:J,MATCH('Isaac 401k'!N1071,'Retirement Calculator'!A:A,0),0),0)</f>
        <v>6404.7404596389215</v>
      </c>
      <c r="K1071" s="455">
        <f t="shared" ca="1" si="105"/>
        <v>140947.25551691465</v>
      </c>
      <c r="L1071" s="455">
        <f t="shared" ca="1" si="106"/>
        <v>33968288.579576433</v>
      </c>
      <c r="M1071" s="471">
        <f t="shared" si="109"/>
        <v>0.05</v>
      </c>
      <c r="N1071" s="475">
        <f t="shared" si="110"/>
        <v>83643</v>
      </c>
    </row>
    <row r="1072" spans="7:14" ht="11.25" customHeight="1" x14ac:dyDescent="0.3">
      <c r="G1072" s="470">
        <f t="shared" si="113"/>
        <v>89</v>
      </c>
      <c r="H1072" s="470">
        <v>1065</v>
      </c>
      <c r="I1072" s="455">
        <f t="shared" ca="1" si="108"/>
        <v>33968288.579576433</v>
      </c>
      <c r="J1072" s="455">
        <f t="array" ref="J1072">IFERROR(INDEX('Retirement Calculator'!J:J,MATCH('Isaac 401k'!N1072,'Retirement Calculator'!A:A,0),0),0)</f>
        <v>6404.7404596389215</v>
      </c>
      <c r="K1072" s="455">
        <f t="shared" ca="1" si="105"/>
        <v>141507.84932965331</v>
      </c>
      <c r="L1072" s="455">
        <f t="shared" ca="1" si="106"/>
        <v>34103391.688446447</v>
      </c>
      <c r="M1072" s="471">
        <f t="shared" si="109"/>
        <v>0.05</v>
      </c>
      <c r="N1072" s="475">
        <f t="shared" si="110"/>
        <v>83674</v>
      </c>
    </row>
    <row r="1073" spans="7:14" ht="11.25" customHeight="1" x14ac:dyDescent="0.3">
      <c r="G1073" s="470">
        <f t="shared" si="113"/>
        <v>89</v>
      </c>
      <c r="H1073" s="470">
        <v>1066</v>
      </c>
      <c r="I1073" s="455">
        <f t="shared" ca="1" si="108"/>
        <v>34103391.688446447</v>
      </c>
      <c r="J1073" s="455">
        <f t="array" ref="J1073">IFERROR(INDEX('Retirement Calculator'!J:J,MATCH('Isaac 401k'!N1073,'Retirement Calculator'!A:A,0),0),0)</f>
        <v>6404.7404596389215</v>
      </c>
      <c r="K1073" s="455">
        <f t="shared" ca="1" si="105"/>
        <v>142070.77894994506</v>
      </c>
      <c r="L1073" s="455">
        <f t="shared" ca="1" si="106"/>
        <v>34239057.726936758</v>
      </c>
      <c r="M1073" s="471">
        <f t="shared" si="109"/>
        <v>0.05</v>
      </c>
      <c r="N1073" s="475">
        <f t="shared" si="110"/>
        <v>83702</v>
      </c>
    </row>
    <row r="1074" spans="7:14" ht="11.25" customHeight="1" x14ac:dyDescent="0.3">
      <c r="G1074" s="470">
        <f t="shared" si="113"/>
        <v>89</v>
      </c>
      <c r="H1074" s="470">
        <v>1067</v>
      </c>
      <c r="I1074" s="455">
        <f t="shared" ca="1" si="108"/>
        <v>34239057.726936758</v>
      </c>
      <c r="J1074" s="455">
        <f t="array" ref="J1074">IFERROR(INDEX('Retirement Calculator'!J:J,MATCH('Isaac 401k'!N1074,'Retirement Calculator'!A:A,0),0),0)</f>
        <v>6404.7404596389215</v>
      </c>
      <c r="K1074" s="455">
        <f t="shared" ca="1" si="105"/>
        <v>142636.05411032133</v>
      </c>
      <c r="L1074" s="455">
        <f t="shared" ca="1" si="106"/>
        <v>34375289.04058744</v>
      </c>
      <c r="M1074" s="471">
        <f t="shared" si="109"/>
        <v>0.05</v>
      </c>
      <c r="N1074" s="475">
        <f t="shared" si="110"/>
        <v>83733</v>
      </c>
    </row>
    <row r="1075" spans="7:14" ht="11.25" customHeight="1" x14ac:dyDescent="0.3">
      <c r="G1075" s="470">
        <f t="shared" si="113"/>
        <v>89</v>
      </c>
      <c r="H1075" s="470">
        <v>1068</v>
      </c>
      <c r="I1075" s="455">
        <f t="shared" ca="1" si="108"/>
        <v>34375289.04058744</v>
      </c>
      <c r="J1075" s="455">
        <f t="array" ref="J1075">IFERROR(INDEX('Retirement Calculator'!J:J,MATCH('Isaac 401k'!N1075,'Retirement Calculator'!A:A,0),0),0)</f>
        <v>6404.7404596389215</v>
      </c>
      <c r="K1075" s="455">
        <f t="shared" ca="1" si="105"/>
        <v>143203.68458386586</v>
      </c>
      <c r="L1075" s="455">
        <f t="shared" ca="1" si="106"/>
        <v>34512087.984711669</v>
      </c>
      <c r="M1075" s="471">
        <f t="shared" si="109"/>
        <v>0.05</v>
      </c>
      <c r="N1075" s="475">
        <f t="shared" si="110"/>
        <v>83763</v>
      </c>
    </row>
    <row r="1076" spans="7:14" ht="11.25" customHeight="1" x14ac:dyDescent="0.3">
      <c r="G1076" s="470">
        <f>G1075+1</f>
        <v>90</v>
      </c>
      <c r="H1076" s="470">
        <v>1069</v>
      </c>
      <c r="I1076" s="455">
        <f t="shared" ca="1" si="108"/>
        <v>34512087.984711669</v>
      </c>
      <c r="J1076" s="455">
        <f t="array" ref="J1076">IFERROR(INDEX('Retirement Calculator'!J:J,MATCH('Isaac 401k'!N1076,'Retirement Calculator'!A:A,0),0),0)</f>
        <v>6404.7404596389215</v>
      </c>
      <c r="K1076" s="455">
        <f t="shared" ca="1" si="105"/>
        <v>143773.68018438347</v>
      </c>
      <c r="L1076" s="455">
        <f t="shared" ca="1" si="106"/>
        <v>34649456.92443642</v>
      </c>
      <c r="M1076" s="471">
        <f t="shared" si="109"/>
        <v>0.05</v>
      </c>
      <c r="N1076" s="475">
        <f t="shared" si="110"/>
        <v>83794</v>
      </c>
    </row>
    <row r="1077" spans="7:14" ht="11.25" customHeight="1" x14ac:dyDescent="0.3">
      <c r="G1077" s="470">
        <f t="shared" ref="G1077:G1087" si="114">G1076</f>
        <v>90</v>
      </c>
      <c r="H1077" s="470">
        <v>1070</v>
      </c>
      <c r="I1077" s="455">
        <f t="shared" ca="1" si="108"/>
        <v>34649456.92443642</v>
      </c>
      <c r="J1077" s="455">
        <f t="array" ref="J1077">IFERROR(INDEX('Retirement Calculator'!J:J,MATCH('Isaac 401k'!N1077,'Retirement Calculator'!A:A,0),0),0)</f>
        <v>6404.7404596389215</v>
      </c>
      <c r="K1077" s="455">
        <f t="shared" ca="1" si="105"/>
        <v>144346.05076656994</v>
      </c>
      <c r="L1077" s="455">
        <f t="shared" ca="1" si="106"/>
        <v>34787398.234743357</v>
      </c>
      <c r="M1077" s="471">
        <f t="shared" si="109"/>
        <v>0.05</v>
      </c>
      <c r="N1077" s="475">
        <f t="shared" si="110"/>
        <v>83824</v>
      </c>
    </row>
    <row r="1078" spans="7:14" ht="11.25" customHeight="1" x14ac:dyDescent="0.3">
      <c r="G1078" s="470">
        <f t="shared" si="114"/>
        <v>90</v>
      </c>
      <c r="H1078" s="470">
        <v>1071</v>
      </c>
      <c r="I1078" s="455">
        <f t="shared" ca="1" si="108"/>
        <v>34787398.234743357</v>
      </c>
      <c r="J1078" s="455">
        <f t="array" ref="J1078">IFERROR(INDEX('Retirement Calculator'!J:J,MATCH('Isaac 401k'!N1078,'Retirement Calculator'!A:A,0),0),0)</f>
        <v>6404.7404596389215</v>
      </c>
      <c r="K1078" s="455">
        <f t="shared" ca="1" si="105"/>
        <v>144920.80622618218</v>
      </c>
      <c r="L1078" s="455">
        <f t="shared" ca="1" si="106"/>
        <v>34925914.3005099</v>
      </c>
      <c r="M1078" s="471">
        <f t="shared" si="109"/>
        <v>0.05</v>
      </c>
      <c r="N1078" s="475">
        <f t="shared" si="110"/>
        <v>83855</v>
      </c>
    </row>
    <row r="1079" spans="7:14" ht="11.25" customHeight="1" x14ac:dyDescent="0.3">
      <c r="G1079" s="470">
        <f t="shared" si="114"/>
        <v>90</v>
      </c>
      <c r="H1079" s="470">
        <v>1072</v>
      </c>
      <c r="I1079" s="455">
        <f t="shared" ca="1" si="108"/>
        <v>34925914.3005099</v>
      </c>
      <c r="J1079" s="455">
        <f t="array" ref="J1079">IFERROR(INDEX('Retirement Calculator'!J:J,MATCH('Isaac 401k'!N1079,'Retirement Calculator'!A:A,0),0),0)</f>
        <v>6404.7404596389215</v>
      </c>
      <c r="K1079" s="455">
        <f t="shared" ca="1" si="105"/>
        <v>145497.95650020943</v>
      </c>
      <c r="L1079" s="455">
        <f t="shared" ca="1" si="106"/>
        <v>35065007.516550474</v>
      </c>
      <c r="M1079" s="471">
        <f t="shared" si="109"/>
        <v>0.05</v>
      </c>
      <c r="N1079" s="475">
        <f t="shared" si="110"/>
        <v>83886</v>
      </c>
    </row>
    <row r="1080" spans="7:14" ht="11.25" customHeight="1" x14ac:dyDescent="0.3">
      <c r="G1080" s="470">
        <f t="shared" si="114"/>
        <v>90</v>
      </c>
      <c r="H1080" s="470">
        <v>1073</v>
      </c>
      <c r="I1080" s="455">
        <f t="shared" ca="1" si="108"/>
        <v>35065007.516550474</v>
      </c>
      <c r="J1080" s="455">
        <f t="array" ref="J1080">IFERROR(INDEX('Retirement Calculator'!J:J,MATCH('Isaac 401k'!N1080,'Retirement Calculator'!A:A,0),0),0)</f>
        <v>6404.7404596389215</v>
      </c>
      <c r="K1080" s="455">
        <f t="shared" ca="1" si="105"/>
        <v>146077.51156704515</v>
      </c>
      <c r="L1080" s="455">
        <f t="shared" ca="1" si="106"/>
        <v>35204680.287657887</v>
      </c>
      <c r="M1080" s="471">
        <f t="shared" si="109"/>
        <v>0.05</v>
      </c>
      <c r="N1080" s="475">
        <f t="shared" si="110"/>
        <v>83916</v>
      </c>
    </row>
    <row r="1081" spans="7:14" ht="11.25" customHeight="1" x14ac:dyDescent="0.3">
      <c r="G1081" s="470">
        <f t="shared" si="114"/>
        <v>90</v>
      </c>
      <c r="H1081" s="470">
        <v>1074</v>
      </c>
      <c r="I1081" s="455">
        <f t="shared" ca="1" si="108"/>
        <v>35204680.287657887</v>
      </c>
      <c r="J1081" s="455">
        <f t="array" ref="J1081">IFERROR(INDEX('Retirement Calculator'!J:J,MATCH('Isaac 401k'!N1081,'Retirement Calculator'!A:A,0),0),0)</f>
        <v>6404.7404596389215</v>
      </c>
      <c r="K1081" s="455">
        <f t="shared" ca="1" si="105"/>
        <v>146659.48144665937</v>
      </c>
      <c r="L1081" s="455">
        <f t="shared" ca="1" si="106"/>
        <v>35344935.028644912</v>
      </c>
      <c r="M1081" s="471">
        <f t="shared" si="109"/>
        <v>0.05</v>
      </c>
      <c r="N1081" s="475">
        <f t="shared" si="110"/>
        <v>83947</v>
      </c>
    </row>
    <row r="1082" spans="7:14" ht="11.25" customHeight="1" x14ac:dyDescent="0.3">
      <c r="G1082" s="470">
        <f t="shared" si="114"/>
        <v>90</v>
      </c>
      <c r="H1082" s="470">
        <v>1075</v>
      </c>
      <c r="I1082" s="455">
        <f t="shared" ca="1" si="108"/>
        <v>35344935.028644912</v>
      </c>
      <c r="J1082" s="455">
        <f t="array" ref="J1082">IFERROR(INDEX('Retirement Calculator'!J:J,MATCH('Isaac 401k'!N1082,'Retirement Calculator'!A:A,0),0),0)</f>
        <v>6404.7404596389215</v>
      </c>
      <c r="K1082" s="455">
        <f t="shared" ca="1" si="105"/>
        <v>147243.87620077198</v>
      </c>
      <c r="L1082" s="455">
        <f t="shared" ca="1" si="106"/>
        <v>35485774.164386049</v>
      </c>
      <c r="M1082" s="471">
        <f t="shared" si="109"/>
        <v>0.05</v>
      </c>
      <c r="N1082" s="475">
        <f t="shared" si="110"/>
        <v>83977</v>
      </c>
    </row>
    <row r="1083" spans="7:14" ht="11.25" customHeight="1" x14ac:dyDescent="0.3">
      <c r="G1083" s="470">
        <f t="shared" si="114"/>
        <v>90</v>
      </c>
      <c r="H1083" s="470">
        <v>1076</v>
      </c>
      <c r="I1083" s="455">
        <f t="shared" ca="1" si="108"/>
        <v>35485774.164386049</v>
      </c>
      <c r="J1083" s="455">
        <f t="array" ref="J1083">IFERROR(INDEX('Retirement Calculator'!J:J,MATCH('Isaac 401k'!N1083,'Retirement Calculator'!A:A,0),0),0)</f>
        <v>6404.7404596389215</v>
      </c>
      <c r="K1083" s="455">
        <f t="shared" ca="1" si="105"/>
        <v>147830.70593302671</v>
      </c>
      <c r="L1083" s="455">
        <f t="shared" ca="1" si="106"/>
        <v>35627200.12985944</v>
      </c>
      <c r="M1083" s="471">
        <f t="shared" si="109"/>
        <v>0.05</v>
      </c>
      <c r="N1083" s="475">
        <f t="shared" si="110"/>
        <v>84008</v>
      </c>
    </row>
    <row r="1084" spans="7:14" ht="11.25" customHeight="1" x14ac:dyDescent="0.3">
      <c r="G1084" s="470">
        <f t="shared" si="114"/>
        <v>90</v>
      </c>
      <c r="H1084" s="470">
        <v>1077</v>
      </c>
      <c r="I1084" s="455">
        <f t="shared" ca="1" si="108"/>
        <v>35627200.12985944</v>
      </c>
      <c r="J1084" s="455">
        <f t="array" ref="J1084">IFERROR(INDEX('Retirement Calculator'!J:J,MATCH('Isaac 401k'!N1084,'Retirement Calculator'!A:A,0),0),0)</f>
        <v>6404.7404596389215</v>
      </c>
      <c r="K1084" s="455">
        <f t="shared" ca="1" si="105"/>
        <v>148419.98078916586</v>
      </c>
      <c r="L1084" s="455">
        <f t="shared" ca="1" si="106"/>
        <v>35769215.370188966</v>
      </c>
      <c r="M1084" s="471">
        <f t="shared" si="109"/>
        <v>0.05</v>
      </c>
      <c r="N1084" s="475">
        <f t="shared" si="110"/>
        <v>84039</v>
      </c>
    </row>
    <row r="1085" spans="7:14" ht="11.25" customHeight="1" x14ac:dyDescent="0.3">
      <c r="G1085" s="470">
        <f t="shared" si="114"/>
        <v>90</v>
      </c>
      <c r="H1085" s="470">
        <v>1078</v>
      </c>
      <c r="I1085" s="455">
        <f t="shared" ca="1" si="108"/>
        <v>35769215.370188966</v>
      </c>
      <c r="J1085" s="455">
        <f t="array" ref="J1085">IFERROR(INDEX('Retirement Calculator'!J:J,MATCH('Isaac 401k'!N1085,'Retirement Calculator'!A:A,0),0),0)</f>
        <v>6404.7404596389215</v>
      </c>
      <c r="K1085" s="455">
        <f t="shared" ca="1" si="105"/>
        <v>149011.71095720553</v>
      </c>
      <c r="L1085" s="455">
        <f t="shared" ca="1" si="106"/>
        <v>35911822.340686537</v>
      </c>
      <c r="M1085" s="471">
        <f t="shared" si="109"/>
        <v>0.05</v>
      </c>
      <c r="N1085" s="475">
        <f t="shared" si="110"/>
        <v>84067</v>
      </c>
    </row>
    <row r="1086" spans="7:14" ht="11.25" customHeight="1" x14ac:dyDescent="0.3">
      <c r="G1086" s="470">
        <f t="shared" si="114"/>
        <v>90</v>
      </c>
      <c r="H1086" s="470">
        <v>1079</v>
      </c>
      <c r="I1086" s="455">
        <f t="shared" ca="1" si="108"/>
        <v>35911822.340686537</v>
      </c>
      <c r="J1086" s="455">
        <f t="array" ref="J1086">IFERROR(INDEX('Retirement Calculator'!J:J,MATCH('Isaac 401k'!N1086,'Retirement Calculator'!A:A,0),0),0)</f>
        <v>6404.7404596389215</v>
      </c>
      <c r="K1086" s="455">
        <f t="shared" ca="1" si="105"/>
        <v>149605.90666761209</v>
      </c>
      <c r="L1086" s="455">
        <f t="shared" ca="1" si="106"/>
        <v>36055023.506894514</v>
      </c>
      <c r="M1086" s="471">
        <f t="shared" si="109"/>
        <v>0.05</v>
      </c>
      <c r="N1086" s="475">
        <f t="shared" si="110"/>
        <v>84098</v>
      </c>
    </row>
    <row r="1087" spans="7:14" ht="11.25" customHeight="1" x14ac:dyDescent="0.3">
      <c r="G1087" s="470">
        <f t="shared" si="114"/>
        <v>90</v>
      </c>
      <c r="H1087" s="470">
        <v>1080</v>
      </c>
      <c r="I1087" s="455">
        <f t="shared" ca="1" si="108"/>
        <v>36055023.506894514</v>
      </c>
      <c r="J1087" s="455">
        <f t="array" ref="J1087">IFERROR(INDEX('Retirement Calculator'!J:J,MATCH('Isaac 401k'!N1087,'Retirement Calculator'!A:A,0),0),0)</f>
        <v>6404.7404596389215</v>
      </c>
      <c r="K1087" s="455">
        <f t="shared" ca="1" si="105"/>
        <v>150202.57819347866</v>
      </c>
      <c r="L1087" s="455">
        <f t="shared" ca="1" si="106"/>
        <v>36198821.344628356</v>
      </c>
      <c r="M1087" s="471">
        <f t="shared" si="109"/>
        <v>0.05</v>
      </c>
      <c r="N1087" s="475">
        <f t="shared" si="110"/>
        <v>84128</v>
      </c>
    </row>
    <row r="1088" spans="7:14" ht="11.25" customHeight="1" x14ac:dyDescent="0.3">
      <c r="G1088" s="470">
        <f>G1087+1</f>
        <v>91</v>
      </c>
      <c r="H1088" s="470">
        <v>1081</v>
      </c>
      <c r="I1088" s="455">
        <f t="shared" ca="1" si="108"/>
        <v>36198821.344628356</v>
      </c>
      <c r="J1088" s="455">
        <f t="array" ref="J1088">IFERROR(INDEX('Retirement Calculator'!J:J,MATCH('Isaac 401k'!N1088,'Retirement Calculator'!A:A,0),0),0)</f>
        <v>6404.7404596389215</v>
      </c>
      <c r="K1088" s="455">
        <f t="shared" ca="1" si="105"/>
        <v>150801.735850703</v>
      </c>
      <c r="L1088" s="455">
        <f t="shared" ca="1" si="106"/>
        <v>36343218.340019427</v>
      </c>
      <c r="M1088" s="471">
        <f t="shared" si="109"/>
        <v>0.05</v>
      </c>
      <c r="N1088" s="475">
        <f t="shared" si="110"/>
        <v>84159</v>
      </c>
    </row>
    <row r="1089" spans="7:14" ht="11.25" customHeight="1" x14ac:dyDescent="0.3">
      <c r="G1089" s="470">
        <f t="shared" ref="G1089:G1099" si="115">G1088</f>
        <v>91</v>
      </c>
      <c r="H1089" s="470">
        <v>1082</v>
      </c>
      <c r="I1089" s="455">
        <f t="shared" ca="1" si="108"/>
        <v>36343218.340019427</v>
      </c>
      <c r="J1089" s="455">
        <f t="array" ref="J1089">IFERROR(INDEX('Retirement Calculator'!J:J,MATCH('Isaac 401k'!N1089,'Retirement Calculator'!A:A,0),0),0)</f>
        <v>6404.7404596389215</v>
      </c>
      <c r="K1089" s="455">
        <f t="shared" ca="1" si="105"/>
        <v>151403.3899981658</v>
      </c>
      <c r="L1089" s="455">
        <f t="shared" ca="1" si="106"/>
        <v>36488216.989557959</v>
      </c>
      <c r="M1089" s="471">
        <f t="shared" si="109"/>
        <v>0.05</v>
      </c>
      <c r="N1089" s="475">
        <f t="shared" si="110"/>
        <v>84189</v>
      </c>
    </row>
    <row r="1090" spans="7:14" ht="11.25" customHeight="1" x14ac:dyDescent="0.3">
      <c r="G1090" s="470">
        <f t="shared" si="115"/>
        <v>91</v>
      </c>
      <c r="H1090" s="470">
        <v>1083</v>
      </c>
      <c r="I1090" s="455">
        <f t="shared" ca="1" si="108"/>
        <v>36488216.989557959</v>
      </c>
      <c r="J1090" s="455">
        <f t="array" ref="J1090">IFERROR(INDEX('Retirement Calculator'!J:J,MATCH('Isaac 401k'!N1090,'Retirement Calculator'!A:A,0),0),0)</f>
        <v>6404.7404596389215</v>
      </c>
      <c r="K1090" s="455">
        <f t="shared" ca="1" si="105"/>
        <v>152007.55103790967</v>
      </c>
      <c r="L1090" s="455">
        <f t="shared" ca="1" si="106"/>
        <v>36633819.800136231</v>
      </c>
      <c r="M1090" s="471">
        <f t="shared" si="109"/>
        <v>0.05</v>
      </c>
      <c r="N1090" s="475">
        <f t="shared" si="110"/>
        <v>84220</v>
      </c>
    </row>
    <row r="1091" spans="7:14" ht="11.25" customHeight="1" x14ac:dyDescent="0.3">
      <c r="G1091" s="470">
        <f t="shared" si="115"/>
        <v>91</v>
      </c>
      <c r="H1091" s="470">
        <v>1084</v>
      </c>
      <c r="I1091" s="455">
        <f t="shared" ca="1" si="108"/>
        <v>36633819.800136231</v>
      </c>
      <c r="J1091" s="455">
        <f t="array" ref="J1091">IFERROR(INDEX('Retirement Calculator'!J:J,MATCH('Isaac 401k'!N1091,'Retirement Calculator'!A:A,0),0),0)</f>
        <v>6404.7404596389215</v>
      </c>
      <c r="K1091" s="455">
        <f t="shared" ca="1" si="105"/>
        <v>152614.22941531913</v>
      </c>
      <c r="L1091" s="455">
        <f t="shared" ca="1" si="106"/>
        <v>36780029.289091915</v>
      </c>
      <c r="M1091" s="471">
        <f t="shared" si="109"/>
        <v>0.05</v>
      </c>
      <c r="N1091" s="475">
        <f t="shared" si="110"/>
        <v>84251</v>
      </c>
    </row>
    <row r="1092" spans="7:14" ht="11.25" customHeight="1" x14ac:dyDescent="0.3">
      <c r="G1092" s="470">
        <f t="shared" si="115"/>
        <v>91</v>
      </c>
      <c r="H1092" s="470">
        <v>1085</v>
      </c>
      <c r="I1092" s="455">
        <f t="shared" ca="1" si="108"/>
        <v>36780029.289091915</v>
      </c>
      <c r="J1092" s="455">
        <f t="array" ref="J1092">IFERROR(INDEX('Retirement Calculator'!J:J,MATCH('Isaac 401k'!N1092,'Retirement Calculator'!A:A,0),0),0)</f>
        <v>6404.7404596389215</v>
      </c>
      <c r="K1092" s="455">
        <f t="shared" ca="1" si="105"/>
        <v>153223.43561930116</v>
      </c>
      <c r="L1092" s="455">
        <f t="shared" ca="1" si="106"/>
        <v>36926847.984251581</v>
      </c>
      <c r="M1092" s="471">
        <f t="shared" si="109"/>
        <v>0.05</v>
      </c>
      <c r="N1092" s="475">
        <f t="shared" si="110"/>
        <v>84281</v>
      </c>
    </row>
    <row r="1093" spans="7:14" ht="11.25" customHeight="1" x14ac:dyDescent="0.3">
      <c r="G1093" s="470">
        <f t="shared" si="115"/>
        <v>91</v>
      </c>
      <c r="H1093" s="470">
        <v>1086</v>
      </c>
      <c r="I1093" s="455">
        <f t="shared" ca="1" si="108"/>
        <v>36926847.984251581</v>
      </c>
      <c r="J1093" s="455">
        <f t="array" ref="J1093">IFERROR(INDEX('Retirement Calculator'!J:J,MATCH('Isaac 401k'!N1093,'Retirement Calculator'!A:A,0),0),0)</f>
        <v>6404.7404596389215</v>
      </c>
      <c r="K1093" s="455">
        <f t="shared" ca="1" si="105"/>
        <v>153835.18018246643</v>
      </c>
      <c r="L1093" s="455">
        <f t="shared" ca="1" si="106"/>
        <v>37074278.42397441</v>
      </c>
      <c r="M1093" s="471">
        <f t="shared" si="109"/>
        <v>0.05</v>
      </c>
      <c r="N1093" s="475">
        <f t="shared" si="110"/>
        <v>84312</v>
      </c>
    </row>
    <row r="1094" spans="7:14" ht="11.25" customHeight="1" x14ac:dyDescent="0.3">
      <c r="G1094" s="470">
        <f t="shared" si="115"/>
        <v>91</v>
      </c>
      <c r="H1094" s="470">
        <v>1087</v>
      </c>
      <c r="I1094" s="455">
        <f t="shared" ca="1" si="108"/>
        <v>37074278.42397441</v>
      </c>
      <c r="J1094" s="455">
        <f t="array" ref="J1094">IFERROR(INDEX('Retirement Calculator'!J:J,MATCH('Isaac 401k'!N1094,'Retirement Calculator'!A:A,0),0),0)</f>
        <v>6404.7404596389215</v>
      </c>
      <c r="K1094" s="455">
        <f t="shared" ca="1" si="105"/>
        <v>154449.47368131156</v>
      </c>
      <c r="L1094" s="455">
        <f t="shared" ca="1" si="106"/>
        <v>37222323.157196082</v>
      </c>
      <c r="M1094" s="471">
        <f t="shared" si="109"/>
        <v>0.05</v>
      </c>
      <c r="N1094" s="475">
        <f t="shared" si="110"/>
        <v>84342</v>
      </c>
    </row>
    <row r="1095" spans="7:14" ht="11.25" customHeight="1" x14ac:dyDescent="0.3">
      <c r="G1095" s="470">
        <f t="shared" si="115"/>
        <v>91</v>
      </c>
      <c r="H1095" s="470">
        <v>1088</v>
      </c>
      <c r="I1095" s="455">
        <f t="shared" ca="1" si="108"/>
        <v>37222323.157196082</v>
      </c>
      <c r="J1095" s="455">
        <f t="array" ref="J1095">IFERROR(INDEX('Retirement Calculator'!J:J,MATCH('Isaac 401k'!N1095,'Retirement Calculator'!A:A,0),0),0)</f>
        <v>6404.7404596389215</v>
      </c>
      <c r="K1095" s="455">
        <f t="shared" ca="1" si="105"/>
        <v>155066.32673640185</v>
      </c>
      <c r="L1095" s="455">
        <f t="shared" ca="1" si="106"/>
        <v>37370984.743472852</v>
      </c>
      <c r="M1095" s="471">
        <f t="shared" si="109"/>
        <v>0.05</v>
      </c>
      <c r="N1095" s="475">
        <f t="shared" si="110"/>
        <v>84373</v>
      </c>
    </row>
    <row r="1096" spans="7:14" ht="11.25" customHeight="1" x14ac:dyDescent="0.3">
      <c r="G1096" s="470">
        <f t="shared" si="115"/>
        <v>91</v>
      </c>
      <c r="H1096" s="470">
        <v>1089</v>
      </c>
      <c r="I1096" s="455">
        <f t="shared" ca="1" si="108"/>
        <v>37370984.743472852</v>
      </c>
      <c r="J1096" s="455">
        <f t="array" ref="J1096">IFERROR(INDEX('Retirement Calculator'!J:J,MATCH('Isaac 401k'!N1096,'Retirement Calculator'!A:A,0),0),0)</f>
        <v>6404.7404596389215</v>
      </c>
      <c r="K1096" s="455">
        <f t="shared" ca="1" si="105"/>
        <v>155685.75001255507</v>
      </c>
      <c r="L1096" s="455">
        <f t="shared" ca="1" si="106"/>
        <v>37520265.75302577</v>
      </c>
      <c r="M1096" s="471">
        <f t="shared" si="109"/>
        <v>0.05</v>
      </c>
      <c r="N1096" s="475">
        <f t="shared" si="110"/>
        <v>84404</v>
      </c>
    </row>
    <row r="1097" spans="7:14" ht="11.25" customHeight="1" x14ac:dyDescent="0.3">
      <c r="G1097" s="470">
        <f t="shared" si="115"/>
        <v>91</v>
      </c>
      <c r="H1097" s="470">
        <v>1090</v>
      </c>
      <c r="I1097" s="455">
        <f t="shared" ca="1" si="108"/>
        <v>37520265.75302577</v>
      </c>
      <c r="J1097" s="455">
        <f t="array" ref="J1097">IFERROR(INDEX('Retirement Calculator'!J:J,MATCH('Isaac 401k'!N1097,'Retirement Calculator'!A:A,0),0),0)</f>
        <v>6404.7404596389215</v>
      </c>
      <c r="K1097" s="455">
        <f t="shared" ca="1" si="105"/>
        <v>156307.75421902555</v>
      </c>
      <c r="L1097" s="455">
        <f t="shared" ca="1" si="106"/>
        <v>37670168.76678516</v>
      </c>
      <c r="M1097" s="471">
        <f t="shared" si="109"/>
        <v>0.05</v>
      </c>
      <c r="N1097" s="475">
        <f t="shared" si="110"/>
        <v>84432</v>
      </c>
    </row>
    <row r="1098" spans="7:14" ht="11.25" customHeight="1" x14ac:dyDescent="0.3">
      <c r="G1098" s="470">
        <f t="shared" si="115"/>
        <v>91</v>
      </c>
      <c r="H1098" s="470">
        <v>1091</v>
      </c>
      <c r="I1098" s="455">
        <f t="shared" ca="1" si="108"/>
        <v>37670168.76678516</v>
      </c>
      <c r="J1098" s="455">
        <f t="array" ref="J1098">IFERROR(INDEX('Retirement Calculator'!J:J,MATCH('Isaac 401k'!N1098,'Retirement Calculator'!A:A,0),0),0)</f>
        <v>6404.7404596389215</v>
      </c>
      <c r="K1098" s="455">
        <f t="shared" ca="1" si="105"/>
        <v>156932.35010968969</v>
      </c>
      <c r="L1098" s="455">
        <f t="shared" ca="1" si="106"/>
        <v>37820696.376435213</v>
      </c>
      <c r="M1098" s="471">
        <f t="shared" si="109"/>
        <v>0.05</v>
      </c>
      <c r="N1098" s="475">
        <f t="shared" si="110"/>
        <v>84463</v>
      </c>
    </row>
    <row r="1099" spans="7:14" ht="11.25" customHeight="1" x14ac:dyDescent="0.3">
      <c r="G1099" s="470">
        <f t="shared" si="115"/>
        <v>91</v>
      </c>
      <c r="H1099" s="470">
        <v>1092</v>
      </c>
      <c r="I1099" s="455">
        <f t="shared" ca="1" si="108"/>
        <v>37820696.376435213</v>
      </c>
      <c r="J1099" s="455">
        <f t="array" ref="J1099">IFERROR(INDEX('Retirement Calculator'!J:J,MATCH('Isaac 401k'!N1099,'Retirement Calculator'!A:A,0),0),0)</f>
        <v>6404.7404596389215</v>
      </c>
      <c r="K1099" s="455">
        <f t="shared" ca="1" si="105"/>
        <v>157559.54848323157</v>
      </c>
      <c r="L1099" s="455">
        <f t="shared" ca="1" si="106"/>
        <v>37971851.184458807</v>
      </c>
      <c r="M1099" s="471">
        <f t="shared" si="109"/>
        <v>0.05</v>
      </c>
      <c r="N1099" s="475">
        <f t="shared" si="110"/>
        <v>84493</v>
      </c>
    </row>
    <row r="1100" spans="7:14" ht="11.25" customHeight="1" x14ac:dyDescent="0.3">
      <c r="G1100" s="470">
        <f>G1099+1</f>
        <v>92</v>
      </c>
      <c r="H1100" s="470">
        <v>1093</v>
      </c>
      <c r="I1100" s="455">
        <f t="shared" ca="1" si="108"/>
        <v>37971851.184458807</v>
      </c>
      <c r="J1100" s="455">
        <f t="array" ref="J1100">IFERROR(INDEX('Retirement Calculator'!J:J,MATCH('Isaac 401k'!N1100,'Retirement Calculator'!A:A,0),0),0)</f>
        <v>6404.7404596389215</v>
      </c>
      <c r="K1100" s="455">
        <f t="shared" ca="1" si="105"/>
        <v>158189.36018332987</v>
      </c>
      <c r="L1100" s="455">
        <f t="shared" ca="1" si="106"/>
        <v>38123635.8041825</v>
      </c>
      <c r="M1100" s="471">
        <f t="shared" si="109"/>
        <v>0.05</v>
      </c>
      <c r="N1100" s="475">
        <f t="shared" si="110"/>
        <v>84524</v>
      </c>
    </row>
    <row r="1101" spans="7:14" ht="11.25" customHeight="1" x14ac:dyDescent="0.3">
      <c r="G1101" s="470">
        <f t="shared" ref="G1101:G1111" si="116">G1100</f>
        <v>92</v>
      </c>
      <c r="H1101" s="470">
        <v>1094</v>
      </c>
      <c r="I1101" s="455">
        <f t="shared" ca="1" si="108"/>
        <v>38123635.8041825</v>
      </c>
      <c r="J1101" s="455">
        <f t="array" ref="J1101">IFERROR(INDEX('Retirement Calculator'!J:J,MATCH('Isaac 401k'!N1101,'Retirement Calculator'!A:A,0),0),0)</f>
        <v>6404.7404596389215</v>
      </c>
      <c r="K1101" s="455">
        <f t="shared" ca="1" si="105"/>
        <v>158821.79609884525</v>
      </c>
      <c r="L1101" s="455">
        <f t="shared" ca="1" si="106"/>
        <v>38276052.859821707</v>
      </c>
      <c r="M1101" s="471">
        <f t="shared" si="109"/>
        <v>0.05</v>
      </c>
      <c r="N1101" s="475">
        <f t="shared" si="110"/>
        <v>84554</v>
      </c>
    </row>
    <row r="1102" spans="7:14" ht="11.25" customHeight="1" x14ac:dyDescent="0.3">
      <c r="G1102" s="470">
        <f t="shared" si="116"/>
        <v>92</v>
      </c>
      <c r="H1102" s="470">
        <v>1095</v>
      </c>
      <c r="I1102" s="455">
        <f t="shared" ca="1" si="108"/>
        <v>38276052.859821707</v>
      </c>
      <c r="J1102" s="455">
        <f t="array" ref="J1102">IFERROR(INDEX('Retirement Calculator'!J:J,MATCH('Isaac 401k'!N1102,'Retirement Calculator'!A:A,0),0),0)</f>
        <v>6404.7404596389215</v>
      </c>
      <c r="K1102" s="455">
        <f t="shared" ca="1" si="105"/>
        <v>159456.86716400864</v>
      </c>
      <c r="L1102" s="455">
        <f t="shared" ca="1" si="106"/>
        <v>38429104.986526079</v>
      </c>
      <c r="M1102" s="471">
        <f t="shared" si="109"/>
        <v>0.05</v>
      </c>
      <c r="N1102" s="475">
        <f t="shared" si="110"/>
        <v>84585</v>
      </c>
    </row>
    <row r="1103" spans="7:14" ht="11.25" customHeight="1" x14ac:dyDescent="0.3">
      <c r="G1103" s="470">
        <f t="shared" si="116"/>
        <v>92</v>
      </c>
      <c r="H1103" s="470">
        <v>1096</v>
      </c>
      <c r="I1103" s="455">
        <f t="shared" ca="1" si="108"/>
        <v>38429104.986526079</v>
      </c>
      <c r="J1103" s="455">
        <f t="array" ref="J1103">IFERROR(INDEX('Retirement Calculator'!J:J,MATCH('Isaac 401k'!N1103,'Retirement Calculator'!A:A,0),0),0)</f>
        <v>6404.7404596389215</v>
      </c>
      <c r="K1103" s="455">
        <f t="shared" ca="1" si="105"/>
        <v>160094.58435861018</v>
      </c>
      <c r="L1103" s="455">
        <f t="shared" ca="1" si="106"/>
        <v>38582794.830425054</v>
      </c>
      <c r="M1103" s="471">
        <f t="shared" si="109"/>
        <v>0.05</v>
      </c>
      <c r="N1103" s="475">
        <f t="shared" si="110"/>
        <v>84616</v>
      </c>
    </row>
    <row r="1104" spans="7:14" ht="11.25" customHeight="1" x14ac:dyDescent="0.3">
      <c r="G1104" s="470">
        <f t="shared" si="116"/>
        <v>92</v>
      </c>
      <c r="H1104" s="470">
        <v>1097</v>
      </c>
      <c r="I1104" s="455">
        <f t="shared" ca="1" si="108"/>
        <v>38582794.830425054</v>
      </c>
      <c r="J1104" s="455">
        <f t="array" ref="J1104">IFERROR(INDEX('Retirement Calculator'!J:J,MATCH('Isaac 401k'!N1104,'Retirement Calculator'!A:A,0),0),0)</f>
        <v>6404.7404596389215</v>
      </c>
      <c r="K1104" s="455">
        <f t="shared" ca="1" si="105"/>
        <v>160734.95870818925</v>
      </c>
      <c r="L1104" s="455">
        <f t="shared" ca="1" si="106"/>
        <v>38737125.048673607</v>
      </c>
      <c r="M1104" s="471">
        <f t="shared" si="109"/>
        <v>0.05</v>
      </c>
      <c r="N1104" s="475">
        <f t="shared" si="110"/>
        <v>84646</v>
      </c>
    </row>
    <row r="1105" spans="7:14" ht="11.25" customHeight="1" x14ac:dyDescent="0.3">
      <c r="G1105" s="470">
        <f t="shared" si="116"/>
        <v>92</v>
      </c>
      <c r="H1105" s="470">
        <v>1098</v>
      </c>
      <c r="I1105" s="455">
        <f t="shared" ca="1" si="108"/>
        <v>38737125.048673607</v>
      </c>
      <c r="J1105" s="455">
        <f t="array" ref="J1105">IFERROR(INDEX('Retirement Calculator'!J:J,MATCH('Isaac 401k'!N1105,'Retirement Calculator'!A:A,0),0),0)</f>
        <v>6404.7404596389215</v>
      </c>
      <c r="K1105" s="455">
        <f t="shared" ca="1" si="105"/>
        <v>161378.00128422488</v>
      </c>
      <c r="L1105" s="455">
        <f t="shared" ca="1" si="106"/>
        <v>38892098.309498198</v>
      </c>
      <c r="M1105" s="471">
        <f t="shared" si="109"/>
        <v>0.05</v>
      </c>
      <c r="N1105" s="475">
        <f t="shared" si="110"/>
        <v>84677</v>
      </c>
    </row>
    <row r="1106" spans="7:14" ht="11.25" customHeight="1" x14ac:dyDescent="0.3">
      <c r="G1106" s="470">
        <f t="shared" si="116"/>
        <v>92</v>
      </c>
      <c r="H1106" s="470">
        <v>1099</v>
      </c>
      <c r="I1106" s="455">
        <f t="shared" ca="1" si="108"/>
        <v>38892098.309498198</v>
      </c>
      <c r="J1106" s="455">
        <f t="array" ref="J1106">IFERROR(INDEX('Retirement Calculator'!J:J,MATCH('Isaac 401k'!N1106,'Retirement Calculator'!A:A,0),0),0)</f>
        <v>6404.7404596389215</v>
      </c>
      <c r="K1106" s="455">
        <f t="shared" ca="1" si="105"/>
        <v>162023.72320432734</v>
      </c>
      <c r="L1106" s="455">
        <f t="shared" ca="1" si="106"/>
        <v>39047717.292242892</v>
      </c>
      <c r="M1106" s="471">
        <f t="shared" si="109"/>
        <v>0.05</v>
      </c>
      <c r="N1106" s="475">
        <f t="shared" si="110"/>
        <v>84707</v>
      </c>
    </row>
    <row r="1107" spans="7:14" ht="11.25" customHeight="1" x14ac:dyDescent="0.3">
      <c r="G1107" s="470">
        <f t="shared" si="116"/>
        <v>92</v>
      </c>
      <c r="H1107" s="470">
        <v>1100</v>
      </c>
      <c r="I1107" s="455">
        <f t="shared" ca="1" si="108"/>
        <v>39047717.292242892</v>
      </c>
      <c r="J1107" s="455">
        <f t="array" ref="J1107">IFERROR(INDEX('Retirement Calculator'!J:J,MATCH('Isaac 401k'!N1107,'Retirement Calculator'!A:A,0),0),0)</f>
        <v>6404.7404596389215</v>
      </c>
      <c r="K1107" s="455">
        <f t="shared" ca="1" si="105"/>
        <v>162672.13563243023</v>
      </c>
      <c r="L1107" s="455">
        <f t="shared" ca="1" si="106"/>
        <v>39203984.687415689</v>
      </c>
      <c r="M1107" s="471">
        <f t="shared" si="109"/>
        <v>0.05</v>
      </c>
      <c r="N1107" s="475">
        <f t="shared" si="110"/>
        <v>84738</v>
      </c>
    </row>
    <row r="1108" spans="7:14" ht="11.25" customHeight="1" x14ac:dyDescent="0.3">
      <c r="G1108" s="470">
        <f t="shared" si="116"/>
        <v>92</v>
      </c>
      <c r="H1108" s="470">
        <v>1101</v>
      </c>
      <c r="I1108" s="455">
        <f t="shared" ca="1" si="108"/>
        <v>39203984.687415689</v>
      </c>
      <c r="J1108" s="455">
        <f t="array" ref="J1108">IFERROR(INDEX('Retirement Calculator'!J:J,MATCH('Isaac 401k'!N1108,'Retirement Calculator'!A:A,0),0),0)</f>
        <v>6404.7404596389215</v>
      </c>
      <c r="K1108" s="455">
        <f t="shared" ca="1" si="105"/>
        <v>163323.24977898356</v>
      </c>
      <c r="L1108" s="455">
        <f t="shared" ca="1" si="106"/>
        <v>39360903.196735039</v>
      </c>
      <c r="M1108" s="471">
        <f t="shared" si="109"/>
        <v>0.05</v>
      </c>
      <c r="N1108" s="475">
        <f t="shared" si="110"/>
        <v>84769</v>
      </c>
    </row>
    <row r="1109" spans="7:14" ht="11.25" customHeight="1" x14ac:dyDescent="0.3">
      <c r="G1109" s="470">
        <f t="shared" si="116"/>
        <v>92</v>
      </c>
      <c r="H1109" s="470">
        <v>1102</v>
      </c>
      <c r="I1109" s="455">
        <f t="shared" ca="1" si="108"/>
        <v>39360903.196735039</v>
      </c>
      <c r="J1109" s="455">
        <f t="array" ref="J1109">IFERROR(INDEX('Retirement Calculator'!J:J,MATCH('Isaac 401k'!N1109,'Retirement Calculator'!A:A,0),0),0)</f>
        <v>6404.7404596389215</v>
      </c>
      <c r="K1109" s="455">
        <f t="shared" ca="1" si="105"/>
        <v>163977.07690114752</v>
      </c>
      <c r="L1109" s="455">
        <f t="shared" ca="1" si="106"/>
        <v>39518475.533176549</v>
      </c>
      <c r="M1109" s="471">
        <f t="shared" si="109"/>
        <v>0.05</v>
      </c>
      <c r="N1109" s="475">
        <f t="shared" si="110"/>
        <v>84798</v>
      </c>
    </row>
    <row r="1110" spans="7:14" ht="11.25" customHeight="1" x14ac:dyDescent="0.3">
      <c r="G1110" s="470">
        <f t="shared" si="116"/>
        <v>92</v>
      </c>
      <c r="H1110" s="470">
        <v>1103</v>
      </c>
      <c r="I1110" s="455">
        <f t="shared" ca="1" si="108"/>
        <v>39518475.533176549</v>
      </c>
      <c r="J1110" s="455">
        <f t="array" ref="J1110">IFERROR(INDEX('Retirement Calculator'!J:J,MATCH('Isaac 401k'!N1110,'Retirement Calculator'!A:A,0),0),0)</f>
        <v>6404.7404596389215</v>
      </c>
      <c r="K1110" s="455">
        <f t="shared" ca="1" si="105"/>
        <v>164633.62830298714</v>
      </c>
      <c r="L1110" s="455">
        <f t="shared" ca="1" si="106"/>
        <v>39676704.421019897</v>
      </c>
      <c r="M1110" s="471">
        <f t="shared" si="109"/>
        <v>0.05</v>
      </c>
      <c r="N1110" s="475">
        <f t="shared" si="110"/>
        <v>84829</v>
      </c>
    </row>
    <row r="1111" spans="7:14" ht="11.25" customHeight="1" x14ac:dyDescent="0.3">
      <c r="G1111" s="470">
        <f t="shared" si="116"/>
        <v>92</v>
      </c>
      <c r="H1111" s="470">
        <v>1104</v>
      </c>
      <c r="I1111" s="455">
        <f t="shared" ca="1" si="108"/>
        <v>39676704.421019897</v>
      </c>
      <c r="J1111" s="455">
        <f t="array" ref="J1111">IFERROR(INDEX('Retirement Calculator'!J:J,MATCH('Isaac 401k'!N1111,'Retirement Calculator'!A:A,0),0),0)</f>
        <v>6404.7404596389215</v>
      </c>
      <c r="K1111" s="455">
        <f t="shared" ca="1" si="105"/>
        <v>165292.91533566776</v>
      </c>
      <c r="L1111" s="455">
        <f t="shared" ca="1" si="106"/>
        <v>39835592.595895931</v>
      </c>
      <c r="M1111" s="471">
        <f t="shared" si="109"/>
        <v>0.05</v>
      </c>
      <c r="N1111" s="475">
        <f t="shared" si="110"/>
        <v>84859</v>
      </c>
    </row>
    <row r="1112" spans="7:14" ht="11.25" customHeight="1" x14ac:dyDescent="0.3">
      <c r="G1112" s="470">
        <f>G1111+1</f>
        <v>93</v>
      </c>
      <c r="H1112" s="470">
        <v>1105</v>
      </c>
      <c r="I1112" s="455">
        <f t="shared" ca="1" si="108"/>
        <v>39835592.595895931</v>
      </c>
      <c r="J1112" s="455">
        <f t="array" ref="J1112">IFERROR(INDEX('Retirement Calculator'!J:J,MATCH('Isaac 401k'!N1112,'Retirement Calculator'!A:A,0),0),0)</f>
        <v>6404.7404596389215</v>
      </c>
      <c r="K1112" s="455">
        <f t="shared" ca="1" si="105"/>
        <v>165954.94939765122</v>
      </c>
      <c r="L1112" s="455">
        <f t="shared" ca="1" si="106"/>
        <v>39995142.804833949</v>
      </c>
      <c r="M1112" s="471">
        <f t="shared" si="109"/>
        <v>0.05</v>
      </c>
      <c r="N1112" s="475">
        <f t="shared" si="110"/>
        <v>84890</v>
      </c>
    </row>
    <row r="1113" spans="7:14" ht="11.25" customHeight="1" x14ac:dyDescent="0.3">
      <c r="G1113" s="470">
        <f t="shared" ref="G1113:G1123" si="117">G1112</f>
        <v>93</v>
      </c>
      <c r="H1113" s="470">
        <v>1106</v>
      </c>
      <c r="I1113" s="455">
        <f t="shared" ca="1" si="108"/>
        <v>39995142.804833949</v>
      </c>
      <c r="J1113" s="455">
        <f t="array" ref="J1113">IFERROR(INDEX('Retirement Calculator'!J:J,MATCH('Isaac 401k'!N1113,'Retirement Calculator'!A:A,0),0),0)</f>
        <v>6404.7404596389215</v>
      </c>
      <c r="K1113" s="455">
        <f t="shared" ca="1" si="105"/>
        <v>166619.74193489295</v>
      </c>
      <c r="L1113" s="455">
        <f t="shared" ca="1" si="106"/>
        <v>40155357.806309208</v>
      </c>
      <c r="M1113" s="471">
        <f t="shared" si="109"/>
        <v>0.05</v>
      </c>
      <c r="N1113" s="475">
        <f t="shared" si="110"/>
        <v>84920</v>
      </c>
    </row>
    <row r="1114" spans="7:14" ht="11.25" customHeight="1" x14ac:dyDescent="0.3">
      <c r="G1114" s="470">
        <f t="shared" si="117"/>
        <v>93</v>
      </c>
      <c r="H1114" s="470">
        <v>1107</v>
      </c>
      <c r="I1114" s="455">
        <f t="shared" ca="1" si="108"/>
        <v>40155357.806309208</v>
      </c>
      <c r="J1114" s="455">
        <f t="array" ref="J1114">IFERROR(INDEX('Retirement Calculator'!J:J,MATCH('Isaac 401k'!N1114,'Retirement Calculator'!A:A,0),0),0)</f>
        <v>6404.7404596389215</v>
      </c>
      <c r="K1114" s="455">
        <f t="shared" ca="1" si="105"/>
        <v>167287.30444103989</v>
      </c>
      <c r="L1114" s="455">
        <f t="shared" ca="1" si="106"/>
        <v>40316240.370290615</v>
      </c>
      <c r="M1114" s="471">
        <f t="shared" si="109"/>
        <v>0.05</v>
      </c>
      <c r="N1114" s="475">
        <f t="shared" si="110"/>
        <v>84951</v>
      </c>
    </row>
    <row r="1115" spans="7:14" ht="11.25" customHeight="1" x14ac:dyDescent="0.3">
      <c r="G1115" s="470">
        <f t="shared" si="117"/>
        <v>93</v>
      </c>
      <c r="H1115" s="470">
        <v>1108</v>
      </c>
      <c r="I1115" s="455">
        <f t="shared" ca="1" si="108"/>
        <v>40316240.370290615</v>
      </c>
      <c r="J1115" s="455">
        <f t="array" ref="J1115">IFERROR(INDEX('Retirement Calculator'!J:J,MATCH('Isaac 401k'!N1115,'Retirement Calculator'!A:A,0),0),0)</f>
        <v>6404.7404596389215</v>
      </c>
      <c r="K1115" s="455">
        <f t="shared" ca="1" si="105"/>
        <v>167957.64845762908</v>
      </c>
      <c r="L1115" s="455">
        <f t="shared" ca="1" si="106"/>
        <v>40477793.27828861</v>
      </c>
      <c r="M1115" s="471">
        <f t="shared" si="109"/>
        <v>0.05</v>
      </c>
      <c r="N1115" s="475">
        <f t="shared" si="110"/>
        <v>84982</v>
      </c>
    </row>
    <row r="1116" spans="7:14" ht="11.25" customHeight="1" x14ac:dyDescent="0.3">
      <c r="G1116" s="470">
        <f t="shared" si="117"/>
        <v>93</v>
      </c>
      <c r="H1116" s="470">
        <v>1109</v>
      </c>
      <c r="I1116" s="455">
        <f t="shared" ca="1" si="108"/>
        <v>40477793.27828861</v>
      </c>
      <c r="J1116" s="455">
        <f t="array" ref="J1116">IFERROR(INDEX('Retirement Calculator'!J:J,MATCH('Isaac 401k'!N1116,'Retirement Calculator'!A:A,0),0),0)</f>
        <v>6404.7404596389215</v>
      </c>
      <c r="K1116" s="455">
        <f t="shared" ca="1" si="105"/>
        <v>168630.78557428738</v>
      </c>
      <c r="L1116" s="455">
        <f t="shared" ca="1" si="106"/>
        <v>40640019.323403262</v>
      </c>
      <c r="M1116" s="471">
        <f t="shared" si="109"/>
        <v>0.05</v>
      </c>
      <c r="N1116" s="475">
        <f t="shared" si="110"/>
        <v>85012</v>
      </c>
    </row>
    <row r="1117" spans="7:14" ht="11.25" customHeight="1" x14ac:dyDescent="0.3">
      <c r="G1117" s="470">
        <f t="shared" si="117"/>
        <v>93</v>
      </c>
      <c r="H1117" s="470">
        <v>1110</v>
      </c>
      <c r="I1117" s="455">
        <f t="shared" ca="1" si="108"/>
        <v>40640019.323403262</v>
      </c>
      <c r="J1117" s="455">
        <f t="array" ref="J1117">IFERROR(INDEX('Retirement Calculator'!J:J,MATCH('Isaac 401k'!N1117,'Retirement Calculator'!A:A,0),0),0)</f>
        <v>6404.7404596389215</v>
      </c>
      <c r="K1117" s="455">
        <f t="shared" ca="1" si="105"/>
        <v>169306.72742893177</v>
      </c>
      <c r="L1117" s="455">
        <f t="shared" ca="1" si="106"/>
        <v>40802921.310372561</v>
      </c>
      <c r="M1117" s="471">
        <f t="shared" si="109"/>
        <v>0.05</v>
      </c>
      <c r="N1117" s="475">
        <f t="shared" si="110"/>
        <v>85043</v>
      </c>
    </row>
    <row r="1118" spans="7:14" ht="11.25" customHeight="1" x14ac:dyDescent="0.3">
      <c r="G1118" s="470">
        <f t="shared" si="117"/>
        <v>93</v>
      </c>
      <c r="H1118" s="470">
        <v>1111</v>
      </c>
      <c r="I1118" s="455">
        <f t="shared" ca="1" si="108"/>
        <v>40802921.310372561</v>
      </c>
      <c r="J1118" s="455">
        <f t="array" ref="J1118">IFERROR(INDEX('Retirement Calculator'!J:J,MATCH('Isaac 401k'!N1118,'Retirement Calculator'!A:A,0),0),0)</f>
        <v>6404.7404596389215</v>
      </c>
      <c r="K1118" s="455">
        <f t="shared" ca="1" si="105"/>
        <v>169985.48570797051</v>
      </c>
      <c r="L1118" s="455">
        <f t="shared" ca="1" si="106"/>
        <v>40966502.055620894</v>
      </c>
      <c r="M1118" s="471">
        <f t="shared" si="109"/>
        <v>0.05</v>
      </c>
      <c r="N1118" s="475">
        <f t="shared" si="110"/>
        <v>85073</v>
      </c>
    </row>
    <row r="1119" spans="7:14" ht="11.25" customHeight="1" x14ac:dyDescent="0.3">
      <c r="G1119" s="470">
        <f t="shared" si="117"/>
        <v>93</v>
      </c>
      <c r="H1119" s="470">
        <v>1112</v>
      </c>
      <c r="I1119" s="455">
        <f t="shared" ca="1" si="108"/>
        <v>40966502.055620894</v>
      </c>
      <c r="J1119" s="455">
        <f t="array" ref="J1119">IFERROR(INDEX('Retirement Calculator'!J:J,MATCH('Isaac 401k'!N1119,'Retirement Calculator'!A:A,0),0),0)</f>
        <v>6404.7404596389215</v>
      </c>
      <c r="K1119" s="455">
        <f t="shared" ca="1" si="105"/>
        <v>170667.07214650523</v>
      </c>
      <c r="L1119" s="455">
        <f t="shared" ca="1" si="106"/>
        <v>41130764.387307763</v>
      </c>
      <c r="M1119" s="471">
        <f t="shared" si="109"/>
        <v>0.05</v>
      </c>
      <c r="N1119" s="475">
        <f t="shared" si="110"/>
        <v>85104</v>
      </c>
    </row>
    <row r="1120" spans="7:14" ht="11.25" customHeight="1" x14ac:dyDescent="0.3">
      <c r="G1120" s="470">
        <f t="shared" si="117"/>
        <v>93</v>
      </c>
      <c r="H1120" s="470">
        <v>1113</v>
      </c>
      <c r="I1120" s="455">
        <f t="shared" ca="1" si="108"/>
        <v>41130764.387307763</v>
      </c>
      <c r="J1120" s="455">
        <f t="array" ref="J1120">IFERROR(INDEX('Retirement Calculator'!J:J,MATCH('Isaac 401k'!N1120,'Retirement Calculator'!A:A,0),0),0)</f>
        <v>6404.7404596389215</v>
      </c>
      <c r="K1120" s="455">
        <f t="shared" ca="1" si="105"/>
        <v>171351.49852853385</v>
      </c>
      <c r="L1120" s="455">
        <f t="shared" ca="1" si="106"/>
        <v>41295711.14537666</v>
      </c>
      <c r="M1120" s="471">
        <f t="shared" si="109"/>
        <v>0.05</v>
      </c>
      <c r="N1120" s="475">
        <f t="shared" si="110"/>
        <v>85135</v>
      </c>
    </row>
    <row r="1121" spans="7:14" ht="11.25" customHeight="1" x14ac:dyDescent="0.3">
      <c r="G1121" s="470">
        <f t="shared" si="117"/>
        <v>93</v>
      </c>
      <c r="H1121" s="470">
        <v>1114</v>
      </c>
      <c r="I1121" s="455">
        <f t="shared" ca="1" si="108"/>
        <v>41295711.14537666</v>
      </c>
      <c r="J1121" s="455">
        <f t="array" ref="J1121">IFERROR(INDEX('Retirement Calculator'!J:J,MATCH('Isaac 401k'!N1121,'Retirement Calculator'!A:A,0),0),0)</f>
        <v>6404.7404596389215</v>
      </c>
      <c r="K1121" s="455">
        <f t="shared" ca="1" si="105"/>
        <v>172038.77668715426</v>
      </c>
      <c r="L1121" s="455">
        <f t="shared" ca="1" si="106"/>
        <v>41461345.181604177</v>
      </c>
      <c r="M1121" s="471">
        <f t="shared" si="109"/>
        <v>0.05</v>
      </c>
      <c r="N1121" s="475">
        <f t="shared" si="110"/>
        <v>85163</v>
      </c>
    </row>
    <row r="1122" spans="7:14" ht="11.25" customHeight="1" x14ac:dyDescent="0.3">
      <c r="G1122" s="470">
        <f t="shared" si="117"/>
        <v>93</v>
      </c>
      <c r="H1122" s="470">
        <v>1115</v>
      </c>
      <c r="I1122" s="455">
        <f t="shared" ca="1" si="108"/>
        <v>41461345.181604177</v>
      </c>
      <c r="J1122" s="455">
        <f t="array" ref="J1122">IFERROR(INDEX('Retirement Calculator'!J:J,MATCH('Isaac 401k'!N1122,'Retirement Calculator'!A:A,0),0),0)</f>
        <v>6404.7404596389215</v>
      </c>
      <c r="K1122" s="455">
        <f t="shared" ca="1" si="105"/>
        <v>172728.91850476892</v>
      </c>
      <c r="L1122" s="455">
        <f t="shared" ca="1" si="106"/>
        <v>41627669.359649308</v>
      </c>
      <c r="M1122" s="471">
        <f t="shared" si="109"/>
        <v>0.05</v>
      </c>
      <c r="N1122" s="475">
        <f t="shared" si="110"/>
        <v>85194</v>
      </c>
    </row>
    <row r="1123" spans="7:14" ht="11.25" customHeight="1" x14ac:dyDescent="0.3">
      <c r="G1123" s="470">
        <f t="shared" si="117"/>
        <v>93</v>
      </c>
      <c r="H1123" s="470">
        <v>1116</v>
      </c>
      <c r="I1123" s="455">
        <f t="shared" ca="1" si="108"/>
        <v>41627669.359649308</v>
      </c>
      <c r="J1123" s="455">
        <f t="array" ref="J1123">IFERROR(INDEX('Retirement Calculator'!J:J,MATCH('Isaac 401k'!N1123,'Retirement Calculator'!A:A,0),0),0)</f>
        <v>6404.7404596389215</v>
      </c>
      <c r="K1123" s="455">
        <f t="shared" ca="1" si="105"/>
        <v>173421.9359132903</v>
      </c>
      <c r="L1123" s="455">
        <f t="shared" ca="1" si="106"/>
        <v>41794686.555102959</v>
      </c>
      <c r="M1123" s="471">
        <f t="shared" si="109"/>
        <v>0.05</v>
      </c>
      <c r="N1123" s="475">
        <f t="shared" si="110"/>
        <v>85224</v>
      </c>
    </row>
    <row r="1124" spans="7:14" ht="11.25" customHeight="1" x14ac:dyDescent="0.3">
      <c r="G1124" s="470">
        <f>G1123+1</f>
        <v>94</v>
      </c>
      <c r="H1124" s="470">
        <v>1117</v>
      </c>
      <c r="I1124" s="455">
        <f t="shared" ca="1" si="108"/>
        <v>41794686.555102959</v>
      </c>
      <c r="J1124" s="455">
        <f t="array" ref="J1124">IFERROR(INDEX('Retirement Calculator'!J:J,MATCH('Isaac 401k'!N1124,'Retirement Calculator'!A:A,0),0),0)</f>
        <v>6404.7404596389215</v>
      </c>
      <c r="K1124" s="455">
        <f t="shared" ca="1" si="105"/>
        <v>174117.84089434717</v>
      </c>
      <c r="L1124" s="455">
        <f t="shared" ca="1" si="106"/>
        <v>41962399.655537672</v>
      </c>
      <c r="M1124" s="471">
        <f t="shared" si="109"/>
        <v>0.05</v>
      </c>
      <c r="N1124" s="475">
        <f t="shared" si="110"/>
        <v>85255</v>
      </c>
    </row>
    <row r="1125" spans="7:14" ht="11.25" customHeight="1" x14ac:dyDescent="0.3">
      <c r="G1125" s="470">
        <f t="shared" ref="G1125:G1135" si="118">G1124</f>
        <v>94</v>
      </c>
      <c r="H1125" s="470">
        <v>1118</v>
      </c>
      <c r="I1125" s="455">
        <f t="shared" ca="1" si="108"/>
        <v>41962399.655537672</v>
      </c>
      <c r="J1125" s="455">
        <f t="array" ref="J1125">IFERROR(INDEX('Retirement Calculator'!J:J,MATCH('Isaac 401k'!N1125,'Retirement Calculator'!A:A,0),0),0)</f>
        <v>6404.7404596389215</v>
      </c>
      <c r="K1125" s="455">
        <f t="shared" ca="1" si="105"/>
        <v>174816.64547949182</v>
      </c>
      <c r="L1125" s="455">
        <f t="shared" ca="1" si="106"/>
        <v>42130811.560557529</v>
      </c>
      <c r="M1125" s="471">
        <f t="shared" si="109"/>
        <v>0.05</v>
      </c>
      <c r="N1125" s="475">
        <f t="shared" si="110"/>
        <v>85285</v>
      </c>
    </row>
    <row r="1126" spans="7:14" ht="11.25" customHeight="1" x14ac:dyDescent="0.3">
      <c r="G1126" s="470">
        <f t="shared" si="118"/>
        <v>94</v>
      </c>
      <c r="H1126" s="470">
        <v>1119</v>
      </c>
      <c r="I1126" s="455">
        <f t="shared" ca="1" si="108"/>
        <v>42130811.560557529</v>
      </c>
      <c r="J1126" s="455">
        <f t="array" ref="J1126">IFERROR(INDEX('Retirement Calculator'!J:J,MATCH('Isaac 401k'!N1126,'Retirement Calculator'!A:A,0),0),0)</f>
        <v>6404.7404596389215</v>
      </c>
      <c r="K1126" s="455">
        <f t="shared" ca="1" si="105"/>
        <v>175518.3617504079</v>
      </c>
      <c r="L1126" s="455">
        <f t="shared" ca="1" si="106"/>
        <v>42299925.181848302</v>
      </c>
      <c r="M1126" s="471">
        <f t="shared" si="109"/>
        <v>0.05</v>
      </c>
      <c r="N1126" s="475">
        <f t="shared" si="110"/>
        <v>85316</v>
      </c>
    </row>
    <row r="1127" spans="7:14" ht="11.25" customHeight="1" x14ac:dyDescent="0.3">
      <c r="G1127" s="470">
        <f t="shared" si="118"/>
        <v>94</v>
      </c>
      <c r="H1127" s="470">
        <v>1120</v>
      </c>
      <c r="I1127" s="455">
        <f t="shared" ca="1" si="108"/>
        <v>42299925.181848302</v>
      </c>
      <c r="J1127" s="455">
        <f t="array" ref="J1127">IFERROR(INDEX('Retirement Calculator'!J:J,MATCH('Isaac 401k'!N1127,'Retirement Calculator'!A:A,0),0),0)</f>
        <v>6404.7404596389215</v>
      </c>
      <c r="K1127" s="455">
        <f t="shared" ca="1" si="105"/>
        <v>176223.00183911945</v>
      </c>
      <c r="L1127" s="455">
        <f t="shared" ca="1" si="106"/>
        <v>42469743.443227783</v>
      </c>
      <c r="M1127" s="471">
        <f t="shared" si="109"/>
        <v>0.05</v>
      </c>
      <c r="N1127" s="475">
        <f t="shared" si="110"/>
        <v>85347</v>
      </c>
    </row>
    <row r="1128" spans="7:14" ht="11.25" customHeight="1" x14ac:dyDescent="0.3">
      <c r="G1128" s="470">
        <f t="shared" si="118"/>
        <v>94</v>
      </c>
      <c r="H1128" s="470">
        <v>1121</v>
      </c>
      <c r="I1128" s="455">
        <f t="shared" ca="1" si="108"/>
        <v>42469743.443227783</v>
      </c>
      <c r="J1128" s="455">
        <f t="array" ref="J1128">IFERROR(INDEX('Retirement Calculator'!J:J,MATCH('Isaac 401k'!N1128,'Retirement Calculator'!A:A,0),0),0)</f>
        <v>6404.7404596389215</v>
      </c>
      <c r="K1128" s="455">
        <f t="shared" ca="1" si="105"/>
        <v>176930.5779282006</v>
      </c>
      <c r="L1128" s="455">
        <f t="shared" ca="1" si="106"/>
        <v>42640269.280696347</v>
      </c>
      <c r="M1128" s="471">
        <f t="shared" si="109"/>
        <v>0.05</v>
      </c>
      <c r="N1128" s="475">
        <f t="shared" si="110"/>
        <v>85377</v>
      </c>
    </row>
    <row r="1129" spans="7:14" ht="11.25" customHeight="1" x14ac:dyDescent="0.3">
      <c r="G1129" s="470">
        <f t="shared" si="118"/>
        <v>94</v>
      </c>
      <c r="H1129" s="470">
        <v>1122</v>
      </c>
      <c r="I1129" s="455">
        <f t="shared" ca="1" si="108"/>
        <v>42640269.280696347</v>
      </c>
      <c r="J1129" s="455">
        <f t="array" ref="J1129">IFERROR(INDEX('Retirement Calculator'!J:J,MATCH('Isaac 401k'!N1129,'Retirement Calculator'!A:A,0),0),0)</f>
        <v>6404.7404596389215</v>
      </c>
      <c r="K1129" s="455">
        <f t="shared" ca="1" si="105"/>
        <v>177641.1022509863</v>
      </c>
      <c r="L1129" s="455">
        <f t="shared" ca="1" si="106"/>
        <v>42811505.642487697</v>
      </c>
      <c r="M1129" s="471">
        <f t="shared" si="109"/>
        <v>0.05</v>
      </c>
      <c r="N1129" s="475">
        <f t="shared" si="110"/>
        <v>85408</v>
      </c>
    </row>
    <row r="1130" spans="7:14" ht="11.25" customHeight="1" x14ac:dyDescent="0.3">
      <c r="G1130" s="470">
        <f t="shared" si="118"/>
        <v>94</v>
      </c>
      <c r="H1130" s="470">
        <v>1123</v>
      </c>
      <c r="I1130" s="455">
        <f t="shared" ca="1" si="108"/>
        <v>42811505.642487697</v>
      </c>
      <c r="J1130" s="455">
        <f t="array" ref="J1130">IFERROR(INDEX('Retirement Calculator'!J:J,MATCH('Isaac 401k'!N1130,'Retirement Calculator'!A:A,0),0),0)</f>
        <v>6404.7404596389215</v>
      </c>
      <c r="K1130" s="455">
        <f t="shared" ca="1" si="105"/>
        <v>178354.58709178359</v>
      </c>
      <c r="L1130" s="455">
        <f t="shared" ca="1" si="106"/>
        <v>42983455.489119843</v>
      </c>
      <c r="M1130" s="471">
        <f t="shared" si="109"/>
        <v>0.05</v>
      </c>
      <c r="N1130" s="475">
        <f t="shared" si="110"/>
        <v>85438</v>
      </c>
    </row>
    <row r="1131" spans="7:14" ht="11.25" customHeight="1" x14ac:dyDescent="0.3">
      <c r="G1131" s="470">
        <f t="shared" si="118"/>
        <v>94</v>
      </c>
      <c r="H1131" s="470">
        <v>1124</v>
      </c>
      <c r="I1131" s="455">
        <f t="shared" ca="1" si="108"/>
        <v>42983455.489119843</v>
      </c>
      <c r="J1131" s="455">
        <f t="array" ref="J1131">IFERROR(INDEX('Retirement Calculator'!J:J,MATCH('Isaac 401k'!N1131,'Retirement Calculator'!A:A,0),0),0)</f>
        <v>6404.7404596389215</v>
      </c>
      <c r="K1131" s="455">
        <f t="shared" ca="1" si="105"/>
        <v>179071.04478608418</v>
      </c>
      <c r="L1131" s="455">
        <f t="shared" ca="1" si="106"/>
        <v>43156121.793446288</v>
      </c>
      <c r="M1131" s="471">
        <f t="shared" si="109"/>
        <v>0.05</v>
      </c>
      <c r="N1131" s="475">
        <f t="shared" si="110"/>
        <v>85469</v>
      </c>
    </row>
    <row r="1132" spans="7:14" ht="11.25" customHeight="1" x14ac:dyDescent="0.3">
      <c r="G1132" s="470">
        <f t="shared" si="118"/>
        <v>94</v>
      </c>
      <c r="H1132" s="470">
        <v>1125</v>
      </c>
      <c r="I1132" s="455">
        <f t="shared" ca="1" si="108"/>
        <v>43156121.793446288</v>
      </c>
      <c r="J1132" s="455">
        <f t="array" ref="J1132">IFERROR(INDEX('Retirement Calculator'!J:J,MATCH('Isaac 401k'!N1132,'Retirement Calculator'!A:A,0),0),0)</f>
        <v>6404.7404596389215</v>
      </c>
      <c r="K1132" s="455">
        <f t="shared" ca="1" si="105"/>
        <v>179790.48772077772</v>
      </c>
      <c r="L1132" s="455">
        <f t="shared" ca="1" si="106"/>
        <v>43329507.540707432</v>
      </c>
      <c r="M1132" s="471">
        <f t="shared" si="109"/>
        <v>0.05</v>
      </c>
      <c r="N1132" s="475">
        <f t="shared" si="110"/>
        <v>85500</v>
      </c>
    </row>
    <row r="1133" spans="7:14" ht="11.25" customHeight="1" x14ac:dyDescent="0.3">
      <c r="G1133" s="470">
        <f t="shared" si="118"/>
        <v>94</v>
      </c>
      <c r="H1133" s="470">
        <v>1126</v>
      </c>
      <c r="I1133" s="455">
        <f t="shared" ca="1" si="108"/>
        <v>43329507.540707432</v>
      </c>
      <c r="J1133" s="455">
        <f t="array" ref="J1133">IFERROR(INDEX('Retirement Calculator'!J:J,MATCH('Isaac 401k'!N1133,'Retirement Calculator'!A:A,0),0),0)</f>
        <v>6404.7404596389215</v>
      </c>
      <c r="K1133" s="455">
        <f t="shared" ca="1" si="105"/>
        <v>180512.9283343658</v>
      </c>
      <c r="L1133" s="455">
        <f t="shared" ca="1" si="106"/>
        <v>43503615.728582159</v>
      </c>
      <c r="M1133" s="471">
        <f t="shared" si="109"/>
        <v>0.05</v>
      </c>
      <c r="N1133" s="475">
        <f t="shared" si="110"/>
        <v>85528</v>
      </c>
    </row>
    <row r="1134" spans="7:14" ht="11.25" customHeight="1" x14ac:dyDescent="0.3">
      <c r="G1134" s="470">
        <f t="shared" si="118"/>
        <v>94</v>
      </c>
      <c r="H1134" s="470">
        <v>1127</v>
      </c>
      <c r="I1134" s="455">
        <f t="shared" ca="1" si="108"/>
        <v>43503615.728582159</v>
      </c>
      <c r="J1134" s="455">
        <f t="array" ref="J1134">IFERROR(INDEX('Retirement Calculator'!J:J,MATCH('Isaac 401k'!N1134,'Retirement Calculator'!A:A,0),0),0)</f>
        <v>6404.7404596389215</v>
      </c>
      <c r="K1134" s="455">
        <f t="shared" ca="1" si="105"/>
        <v>181238.37911717719</v>
      </c>
      <c r="L1134" s="455">
        <f t="shared" ca="1" si="106"/>
        <v>43678449.367239699</v>
      </c>
      <c r="M1134" s="471">
        <f t="shared" si="109"/>
        <v>0.05</v>
      </c>
      <c r="N1134" s="475">
        <f t="shared" si="110"/>
        <v>85559</v>
      </c>
    </row>
    <row r="1135" spans="7:14" ht="11.25" customHeight="1" x14ac:dyDescent="0.3">
      <c r="G1135" s="470">
        <f t="shared" si="118"/>
        <v>94</v>
      </c>
      <c r="H1135" s="470">
        <v>1128</v>
      </c>
      <c r="I1135" s="455">
        <f t="shared" ca="1" si="108"/>
        <v>43678449.367239699</v>
      </c>
      <c r="J1135" s="455">
        <f t="array" ref="J1135">IFERROR(INDEX('Retirement Calculator'!J:J,MATCH('Isaac 401k'!N1135,'Retirement Calculator'!A:A,0),0),0)</f>
        <v>6404.7404596389215</v>
      </c>
      <c r="K1135" s="455">
        <f t="shared" ca="1" si="105"/>
        <v>181966.8526115836</v>
      </c>
      <c r="L1135" s="455">
        <f t="shared" ca="1" si="106"/>
        <v>43854011.479391649</v>
      </c>
      <c r="M1135" s="471">
        <f t="shared" si="109"/>
        <v>0.05</v>
      </c>
      <c r="N1135" s="475">
        <f t="shared" si="110"/>
        <v>85589</v>
      </c>
    </row>
    <row r="1136" spans="7:14" ht="11.25" customHeight="1" x14ac:dyDescent="0.3">
      <c r="G1136" s="470">
        <f>G1135+1</f>
        <v>95</v>
      </c>
      <c r="H1136" s="470">
        <v>1129</v>
      </c>
      <c r="I1136" s="455">
        <f t="shared" ca="1" si="108"/>
        <v>43854011.479391649</v>
      </c>
      <c r="J1136" s="455">
        <f t="array" ref="J1136">IFERROR(INDEX('Retirement Calculator'!J:J,MATCH('Isaac 401k'!N1136,'Retirement Calculator'!A:A,0),0),0)</f>
        <v>6404.7404596389215</v>
      </c>
      <c r="K1136" s="455">
        <f t="shared" ca="1" si="105"/>
        <v>182698.36141221673</v>
      </c>
      <c r="L1136" s="455">
        <f t="shared" ca="1" si="106"/>
        <v>44030305.100344233</v>
      </c>
      <c r="M1136" s="471">
        <f t="shared" si="109"/>
        <v>0.05</v>
      </c>
      <c r="N1136" s="475">
        <f t="shared" si="110"/>
        <v>85620</v>
      </c>
    </row>
    <row r="1137" spans="7:14" ht="11.25" customHeight="1" x14ac:dyDescent="0.3">
      <c r="G1137" s="470">
        <f t="shared" ref="G1137:G1147" si="119">G1136</f>
        <v>95</v>
      </c>
      <c r="H1137" s="470">
        <v>1130</v>
      </c>
      <c r="I1137" s="455">
        <f t="shared" ca="1" si="108"/>
        <v>44030305.100344233</v>
      </c>
      <c r="J1137" s="455">
        <f t="array" ref="J1137">IFERROR(INDEX('Retirement Calculator'!J:J,MATCH('Isaac 401k'!N1137,'Retirement Calculator'!A:A,0),0),0)</f>
        <v>6404.7404596389215</v>
      </c>
      <c r="K1137" s="455">
        <f t="shared" ca="1" si="105"/>
        <v>183432.91816618582</v>
      </c>
      <c r="L1137" s="455">
        <f t="shared" ca="1" si="106"/>
        <v>44207333.27805078</v>
      </c>
      <c r="M1137" s="471">
        <f t="shared" si="109"/>
        <v>0.05</v>
      </c>
      <c r="N1137" s="475">
        <f t="shared" si="110"/>
        <v>85650</v>
      </c>
    </row>
    <row r="1138" spans="7:14" ht="11.25" customHeight="1" x14ac:dyDescent="0.3">
      <c r="G1138" s="470">
        <f t="shared" si="119"/>
        <v>95</v>
      </c>
      <c r="H1138" s="470">
        <v>1131</v>
      </c>
      <c r="I1138" s="455">
        <f t="shared" ca="1" si="108"/>
        <v>44207333.27805078</v>
      </c>
      <c r="J1138" s="455">
        <f t="array" ref="J1138">IFERROR(INDEX('Retirement Calculator'!J:J,MATCH('Isaac 401k'!N1138,'Retirement Calculator'!A:A,0),0),0)</f>
        <v>6404.7404596389215</v>
      </c>
      <c r="K1138" s="455">
        <f t="shared" ca="1" si="105"/>
        <v>184170.53557329642</v>
      </c>
      <c r="L1138" s="455">
        <f t="shared" ca="1" si="106"/>
        <v>44385099.073164441</v>
      </c>
      <c r="M1138" s="471">
        <f t="shared" si="109"/>
        <v>0.05</v>
      </c>
      <c r="N1138" s="475">
        <f t="shared" si="110"/>
        <v>85681</v>
      </c>
    </row>
    <row r="1139" spans="7:14" ht="11.25" customHeight="1" x14ac:dyDescent="0.3">
      <c r="G1139" s="470">
        <f t="shared" si="119"/>
        <v>95</v>
      </c>
      <c r="H1139" s="470">
        <v>1132</v>
      </c>
      <c r="I1139" s="455">
        <f t="shared" ca="1" si="108"/>
        <v>44385099.073164441</v>
      </c>
      <c r="J1139" s="455">
        <f t="array" ref="J1139">IFERROR(INDEX('Retirement Calculator'!J:J,MATCH('Isaac 401k'!N1139,'Retirement Calculator'!A:A,0),0),0)</f>
        <v>6404.7404596389215</v>
      </c>
      <c r="K1139" s="455">
        <f t="shared" ca="1" si="105"/>
        <v>184911.22638627002</v>
      </c>
      <c r="L1139" s="455">
        <f t="shared" ca="1" si="106"/>
        <v>44563605.559091076</v>
      </c>
      <c r="M1139" s="471">
        <f t="shared" si="109"/>
        <v>0.05</v>
      </c>
      <c r="N1139" s="475">
        <f t="shared" si="110"/>
        <v>85712</v>
      </c>
    </row>
    <row r="1140" spans="7:14" ht="11.25" customHeight="1" x14ac:dyDescent="0.3">
      <c r="G1140" s="470">
        <f t="shared" si="119"/>
        <v>95</v>
      </c>
      <c r="H1140" s="470">
        <v>1133</v>
      </c>
      <c r="I1140" s="455">
        <f t="shared" ca="1" si="108"/>
        <v>44563605.559091076</v>
      </c>
      <c r="J1140" s="455">
        <f t="array" ref="J1140">IFERROR(INDEX('Retirement Calculator'!J:J,MATCH('Isaac 401k'!N1140,'Retirement Calculator'!A:A,0),0),0)</f>
        <v>6404.7404596389215</v>
      </c>
      <c r="K1140" s="455">
        <f t="shared" ca="1" si="105"/>
        <v>185655.00341096433</v>
      </c>
      <c r="L1140" s="455">
        <f t="shared" ca="1" si="106"/>
        <v>44742855.822042406</v>
      </c>
      <c r="M1140" s="471">
        <f t="shared" si="109"/>
        <v>0.05</v>
      </c>
      <c r="N1140" s="475">
        <f t="shared" si="110"/>
        <v>85742</v>
      </c>
    </row>
    <row r="1141" spans="7:14" ht="11.25" customHeight="1" x14ac:dyDescent="0.3">
      <c r="G1141" s="470">
        <f t="shared" si="119"/>
        <v>95</v>
      </c>
      <c r="H1141" s="470">
        <v>1134</v>
      </c>
      <c r="I1141" s="455">
        <f t="shared" ca="1" si="108"/>
        <v>44742855.822042406</v>
      </c>
      <c r="J1141" s="455">
        <f t="array" ref="J1141">IFERROR(INDEX('Retirement Calculator'!J:J,MATCH('Isaac 401k'!N1141,'Retirement Calculator'!A:A,0),0),0)</f>
        <v>6404.7404596389215</v>
      </c>
      <c r="K1141" s="455">
        <f t="shared" ca="1" si="105"/>
        <v>186401.87950659488</v>
      </c>
      <c r="L1141" s="455">
        <f t="shared" ca="1" si="106"/>
        <v>44922852.961089365</v>
      </c>
      <c r="M1141" s="471">
        <f t="shared" si="109"/>
        <v>0.05</v>
      </c>
      <c r="N1141" s="475">
        <f t="shared" si="110"/>
        <v>85773</v>
      </c>
    </row>
    <row r="1142" spans="7:14" ht="11.25" customHeight="1" x14ac:dyDescent="0.3">
      <c r="G1142" s="470">
        <f t="shared" si="119"/>
        <v>95</v>
      </c>
      <c r="H1142" s="470">
        <v>1135</v>
      </c>
      <c r="I1142" s="455">
        <f t="shared" ca="1" si="108"/>
        <v>44922852.961089365</v>
      </c>
      <c r="J1142" s="455">
        <f t="array" ref="J1142">IFERROR(INDEX('Retirement Calculator'!J:J,MATCH('Isaac 401k'!N1142,'Retirement Calculator'!A:A,0),0),0)</f>
        <v>6404.7404596389215</v>
      </c>
      <c r="K1142" s="455">
        <f t="shared" ca="1" si="105"/>
        <v>187151.8675859572</v>
      </c>
      <c r="L1142" s="455">
        <f t="shared" ca="1" si="106"/>
        <v>45103600.088215686</v>
      </c>
      <c r="M1142" s="471">
        <f t="shared" si="109"/>
        <v>0.05</v>
      </c>
      <c r="N1142" s="475">
        <f t="shared" si="110"/>
        <v>85803</v>
      </c>
    </row>
    <row r="1143" spans="7:14" ht="11.25" customHeight="1" x14ac:dyDescent="0.3">
      <c r="G1143" s="470">
        <f t="shared" si="119"/>
        <v>95</v>
      </c>
      <c r="H1143" s="470">
        <v>1136</v>
      </c>
      <c r="I1143" s="455">
        <f t="shared" ca="1" si="108"/>
        <v>45103600.088215686</v>
      </c>
      <c r="J1143" s="455">
        <f t="array" ref="J1143">IFERROR(INDEX('Retirement Calculator'!J:J,MATCH('Isaac 401k'!N1143,'Retirement Calculator'!A:A,0),0),0)</f>
        <v>6404.7404596389215</v>
      </c>
      <c r="K1143" s="455">
        <f t="shared" ca="1" si="105"/>
        <v>187904.98061565022</v>
      </c>
      <c r="L1143" s="455">
        <f t="shared" ca="1" si="106"/>
        <v>45285100.328371704</v>
      </c>
      <c r="M1143" s="471">
        <f t="shared" si="109"/>
        <v>0.05</v>
      </c>
      <c r="N1143" s="475">
        <f t="shared" si="110"/>
        <v>85834</v>
      </c>
    </row>
    <row r="1144" spans="7:14" ht="11.25" customHeight="1" x14ac:dyDescent="0.3">
      <c r="G1144" s="470">
        <f t="shared" si="119"/>
        <v>95</v>
      </c>
      <c r="H1144" s="470">
        <v>1137</v>
      </c>
      <c r="I1144" s="455">
        <f t="shared" ca="1" si="108"/>
        <v>45285100.328371704</v>
      </c>
      <c r="J1144" s="455">
        <f t="array" ref="J1144">IFERROR(INDEX('Retirement Calculator'!J:J,MATCH('Isaac 401k'!N1144,'Retirement Calculator'!A:A,0),0),0)</f>
        <v>6404.7404596389215</v>
      </c>
      <c r="K1144" s="455">
        <f t="shared" ca="1" si="105"/>
        <v>188661.23161630027</v>
      </c>
      <c r="L1144" s="455">
        <f t="shared" ca="1" si="106"/>
        <v>45467356.819528371</v>
      </c>
      <c r="M1144" s="471">
        <f t="shared" si="109"/>
        <v>0.05</v>
      </c>
      <c r="N1144" s="475">
        <f t="shared" si="110"/>
        <v>85865</v>
      </c>
    </row>
    <row r="1145" spans="7:14" ht="11.25" customHeight="1" x14ac:dyDescent="0.3">
      <c r="G1145" s="470">
        <f t="shared" si="119"/>
        <v>95</v>
      </c>
      <c r="H1145" s="470">
        <v>1138</v>
      </c>
      <c r="I1145" s="455">
        <f t="shared" ca="1" si="108"/>
        <v>45467356.819528371</v>
      </c>
      <c r="J1145" s="455">
        <f t="array" ref="J1145">IFERROR(INDEX('Retirement Calculator'!J:J,MATCH('Isaac 401k'!N1145,'Retirement Calculator'!A:A,0),0),0)</f>
        <v>6404.7404596389215</v>
      </c>
      <c r="K1145" s="455">
        <f t="shared" ca="1" si="105"/>
        <v>189420.63366278639</v>
      </c>
      <c r="L1145" s="455">
        <f t="shared" ca="1" si="106"/>
        <v>45650372.712731525</v>
      </c>
      <c r="M1145" s="471">
        <f t="shared" si="109"/>
        <v>0.05</v>
      </c>
      <c r="N1145" s="475">
        <f t="shared" si="110"/>
        <v>85893</v>
      </c>
    </row>
    <row r="1146" spans="7:14" ht="11.25" customHeight="1" x14ac:dyDescent="0.3">
      <c r="G1146" s="470">
        <f t="shared" si="119"/>
        <v>95</v>
      </c>
      <c r="H1146" s="470">
        <v>1139</v>
      </c>
      <c r="I1146" s="455">
        <f t="shared" ca="1" si="108"/>
        <v>45650372.712731525</v>
      </c>
      <c r="J1146" s="455">
        <f t="array" ref="J1146">IFERROR(INDEX('Retirement Calculator'!J:J,MATCH('Isaac 401k'!N1146,'Retirement Calculator'!A:A,0),0),0)</f>
        <v>6404.7404596389215</v>
      </c>
      <c r="K1146" s="455">
        <f t="shared" ca="1" si="105"/>
        <v>190183.19988446622</v>
      </c>
      <c r="L1146" s="455">
        <f t="shared" ca="1" si="106"/>
        <v>45834151.172156356</v>
      </c>
      <c r="M1146" s="471">
        <f t="shared" si="109"/>
        <v>0.05</v>
      </c>
      <c r="N1146" s="475">
        <f t="shared" si="110"/>
        <v>85924</v>
      </c>
    </row>
    <row r="1147" spans="7:14" ht="11.25" customHeight="1" x14ac:dyDescent="0.3">
      <c r="G1147" s="470">
        <f t="shared" si="119"/>
        <v>95</v>
      </c>
      <c r="H1147" s="470">
        <v>1140</v>
      </c>
      <c r="I1147" s="455">
        <f t="shared" ca="1" si="108"/>
        <v>45834151.172156356</v>
      </c>
      <c r="J1147" s="455">
        <f t="array" ref="J1147">IFERROR(INDEX('Retirement Calculator'!J:J,MATCH('Isaac 401k'!N1147,'Retirement Calculator'!A:A,0),0),0)</f>
        <v>6404.7404596389215</v>
      </c>
      <c r="K1147" s="455">
        <f t="shared" ca="1" si="105"/>
        <v>190948.94346540299</v>
      </c>
      <c r="L1147" s="455">
        <f t="shared" ca="1" si="106"/>
        <v>46018695.375162125</v>
      </c>
      <c r="M1147" s="471">
        <f t="shared" si="109"/>
        <v>0.05</v>
      </c>
      <c r="N1147" s="475">
        <f t="shared" si="110"/>
        <v>85954</v>
      </c>
    </row>
    <row r="1148" spans="7:14" ht="11.25" customHeight="1" x14ac:dyDescent="0.3">
      <c r="G1148" s="470">
        <f>G1147+1</f>
        <v>96</v>
      </c>
      <c r="H1148" s="470">
        <v>1141</v>
      </c>
      <c r="I1148" s="455">
        <f t="shared" ca="1" si="108"/>
        <v>46018695.375162125</v>
      </c>
      <c r="J1148" s="455">
        <f t="array" ref="J1148">IFERROR(INDEX('Retirement Calculator'!J:J,MATCH('Isaac 401k'!N1148,'Retirement Calculator'!A:A,0),0),0)</f>
        <v>6404.7404596389215</v>
      </c>
      <c r="K1148" s="455">
        <f t="shared" ca="1" si="105"/>
        <v>191717.87764459371</v>
      </c>
      <c r="L1148" s="455">
        <f t="shared" ca="1" si="106"/>
        <v>46204008.51234708</v>
      </c>
      <c r="M1148" s="471">
        <f t="shared" si="109"/>
        <v>0.05</v>
      </c>
      <c r="N1148" s="475">
        <f t="shared" si="110"/>
        <v>85985</v>
      </c>
    </row>
    <row r="1149" spans="7:14" ht="11.25" customHeight="1" x14ac:dyDescent="0.3">
      <c r="G1149" s="470">
        <f t="shared" ref="G1149:G1159" si="120">G1148</f>
        <v>96</v>
      </c>
      <c r="H1149" s="470">
        <v>1142</v>
      </c>
      <c r="I1149" s="455">
        <f t="shared" ca="1" si="108"/>
        <v>46204008.51234708</v>
      </c>
      <c r="J1149" s="455">
        <f t="array" ref="J1149">IFERROR(INDEX('Retirement Calculator'!J:J,MATCH('Isaac 401k'!N1149,'Retirement Calculator'!A:A,0),0),0)</f>
        <v>6404.7404596389215</v>
      </c>
      <c r="K1149" s="455">
        <f t="shared" ca="1" si="105"/>
        <v>192490.01571619767</v>
      </c>
      <c r="L1149" s="455">
        <f t="shared" ca="1" si="106"/>
        <v>46390093.787603639</v>
      </c>
      <c r="M1149" s="471">
        <f t="shared" si="109"/>
        <v>0.05</v>
      </c>
      <c r="N1149" s="475">
        <f t="shared" si="110"/>
        <v>86015</v>
      </c>
    </row>
    <row r="1150" spans="7:14" ht="11.25" customHeight="1" x14ac:dyDescent="0.3">
      <c r="G1150" s="470">
        <f t="shared" si="120"/>
        <v>96</v>
      </c>
      <c r="H1150" s="470">
        <v>1143</v>
      </c>
      <c r="I1150" s="455">
        <f t="shared" ca="1" si="108"/>
        <v>46390093.787603639</v>
      </c>
      <c r="J1150" s="455">
        <f t="array" ref="J1150">IFERROR(INDEX('Retirement Calculator'!J:J,MATCH('Isaac 401k'!N1150,'Retirement Calculator'!A:A,0),0),0)</f>
        <v>6404.7404596389215</v>
      </c>
      <c r="K1150" s="455">
        <f t="shared" ca="1" si="105"/>
        <v>193265.37102976668</v>
      </c>
      <c r="L1150" s="455">
        <f t="shared" ca="1" si="106"/>
        <v>46576954.418173768</v>
      </c>
      <c r="M1150" s="471">
        <f t="shared" si="109"/>
        <v>0.05</v>
      </c>
      <c r="N1150" s="475">
        <f t="shared" si="110"/>
        <v>86046</v>
      </c>
    </row>
    <row r="1151" spans="7:14" ht="11.25" customHeight="1" x14ac:dyDescent="0.3">
      <c r="G1151" s="470">
        <f t="shared" si="120"/>
        <v>96</v>
      </c>
      <c r="H1151" s="470">
        <v>1144</v>
      </c>
      <c r="I1151" s="455">
        <f t="shared" ca="1" si="108"/>
        <v>46576954.418173768</v>
      </c>
      <c r="J1151" s="455">
        <f t="array" ref="J1151">IFERROR(INDEX('Retirement Calculator'!J:J,MATCH('Isaac 401k'!N1151,'Retirement Calculator'!A:A,0),0),0)</f>
        <v>6404.7404596389215</v>
      </c>
      <c r="K1151" s="455">
        <f t="shared" ca="1" si="105"/>
        <v>194043.95699047553</v>
      </c>
      <c r="L1151" s="455">
        <f t="shared" ca="1" si="106"/>
        <v>46764593.634704605</v>
      </c>
      <c r="M1151" s="471">
        <f t="shared" si="109"/>
        <v>0.05</v>
      </c>
      <c r="N1151" s="475">
        <f t="shared" si="110"/>
        <v>86077</v>
      </c>
    </row>
    <row r="1152" spans="7:14" ht="11.25" customHeight="1" x14ac:dyDescent="0.3">
      <c r="G1152" s="470">
        <f t="shared" si="120"/>
        <v>96</v>
      </c>
      <c r="H1152" s="470">
        <v>1145</v>
      </c>
      <c r="I1152" s="455">
        <f t="shared" ca="1" si="108"/>
        <v>46764593.634704605</v>
      </c>
      <c r="J1152" s="455">
        <f t="array" ref="J1152">IFERROR(INDEX('Retirement Calculator'!J:J,MATCH('Isaac 401k'!N1152,'Retirement Calculator'!A:A,0),0),0)</f>
        <v>6404.7404596389215</v>
      </c>
      <c r="K1152" s="455">
        <f t="shared" ca="1" si="105"/>
        <v>194825.78705935404</v>
      </c>
      <c r="L1152" s="455">
        <f t="shared" ca="1" si="106"/>
        <v>46953014.681304321</v>
      </c>
      <c r="M1152" s="471">
        <f t="shared" si="109"/>
        <v>0.05</v>
      </c>
      <c r="N1152" s="475">
        <f t="shared" si="110"/>
        <v>86107</v>
      </c>
    </row>
    <row r="1153" spans="7:14" ht="11.25" customHeight="1" x14ac:dyDescent="0.3">
      <c r="G1153" s="470">
        <f t="shared" si="120"/>
        <v>96</v>
      </c>
      <c r="H1153" s="470">
        <v>1146</v>
      </c>
      <c r="I1153" s="455">
        <f t="shared" ca="1" si="108"/>
        <v>46953014.681304321</v>
      </c>
      <c r="J1153" s="455">
        <f t="array" ref="J1153">IFERROR(INDEX('Retirement Calculator'!J:J,MATCH('Isaac 401k'!N1153,'Retirement Calculator'!A:A,0),0),0)</f>
        <v>6404.7404596389215</v>
      </c>
      <c r="K1153" s="455">
        <f t="shared" ca="1" si="105"/>
        <v>195610.87475351951</v>
      </c>
      <c r="L1153" s="455">
        <f t="shared" ca="1" si="106"/>
        <v>47142220.815598205</v>
      </c>
      <c r="M1153" s="471">
        <f t="shared" si="109"/>
        <v>0.05</v>
      </c>
      <c r="N1153" s="475">
        <f t="shared" si="110"/>
        <v>86138</v>
      </c>
    </row>
    <row r="1154" spans="7:14" ht="11.25" customHeight="1" x14ac:dyDescent="0.3">
      <c r="G1154" s="470">
        <f t="shared" si="120"/>
        <v>96</v>
      </c>
      <c r="H1154" s="470">
        <v>1147</v>
      </c>
      <c r="I1154" s="455">
        <f t="shared" ca="1" si="108"/>
        <v>47142220.815598205</v>
      </c>
      <c r="J1154" s="455">
        <f t="array" ref="J1154">IFERROR(INDEX('Retirement Calculator'!J:J,MATCH('Isaac 401k'!N1154,'Retirement Calculator'!A:A,0),0),0)</f>
        <v>6404.7404596389215</v>
      </c>
      <c r="K1154" s="455">
        <f t="shared" ca="1" si="105"/>
        <v>196399.23364641069</v>
      </c>
      <c r="L1154" s="455">
        <f t="shared" ca="1" si="106"/>
        <v>47332215.308784977</v>
      </c>
      <c r="M1154" s="471">
        <f t="shared" si="109"/>
        <v>0.05</v>
      </c>
      <c r="N1154" s="475">
        <f t="shared" si="110"/>
        <v>86168</v>
      </c>
    </row>
    <row r="1155" spans="7:14" ht="11.25" customHeight="1" x14ac:dyDescent="0.3">
      <c r="G1155" s="470">
        <f t="shared" si="120"/>
        <v>96</v>
      </c>
      <c r="H1155" s="470">
        <v>1148</v>
      </c>
      <c r="I1155" s="455">
        <f t="shared" ca="1" si="108"/>
        <v>47332215.308784977</v>
      </c>
      <c r="J1155" s="455">
        <f t="array" ref="J1155">IFERROR(INDEX('Retirement Calculator'!J:J,MATCH('Isaac 401k'!N1155,'Retirement Calculator'!A:A,0),0),0)</f>
        <v>6404.7404596389215</v>
      </c>
      <c r="K1155" s="455">
        <f t="shared" ca="1" si="105"/>
        <v>197190.87736802225</v>
      </c>
      <c r="L1155" s="455">
        <f t="shared" ca="1" si="106"/>
        <v>47523001.445693366</v>
      </c>
      <c r="M1155" s="471">
        <f t="shared" si="109"/>
        <v>0.05</v>
      </c>
      <c r="N1155" s="475">
        <f t="shared" si="110"/>
        <v>86199</v>
      </c>
    </row>
    <row r="1156" spans="7:14" ht="11.25" customHeight="1" x14ac:dyDescent="0.3">
      <c r="G1156" s="470">
        <f t="shared" si="120"/>
        <v>96</v>
      </c>
      <c r="H1156" s="470">
        <v>1149</v>
      </c>
      <c r="I1156" s="455">
        <f t="shared" ca="1" si="108"/>
        <v>47523001.445693366</v>
      </c>
      <c r="J1156" s="455">
        <f t="array" ref="J1156">IFERROR(INDEX('Retirement Calculator'!J:J,MATCH('Isaac 401k'!N1156,'Retirement Calculator'!A:A,0),0),0)</f>
        <v>6404.7404596389215</v>
      </c>
      <c r="K1156" s="455">
        <f t="shared" ca="1" si="105"/>
        <v>197985.81960514054</v>
      </c>
      <c r="L1156" s="455">
        <f t="shared" ca="1" si="106"/>
        <v>47714582.524838872</v>
      </c>
      <c r="M1156" s="471">
        <f t="shared" si="109"/>
        <v>0.05</v>
      </c>
      <c r="N1156" s="475">
        <f t="shared" si="110"/>
        <v>86230</v>
      </c>
    </row>
    <row r="1157" spans="7:14" ht="11.25" customHeight="1" x14ac:dyDescent="0.3">
      <c r="G1157" s="470">
        <f t="shared" si="120"/>
        <v>96</v>
      </c>
      <c r="H1157" s="470">
        <v>1150</v>
      </c>
      <c r="I1157" s="455">
        <f t="shared" ca="1" si="108"/>
        <v>47714582.524838872</v>
      </c>
      <c r="J1157" s="455">
        <f t="array" ref="J1157">IFERROR(INDEX('Retirement Calculator'!J:J,MATCH('Isaac 401k'!N1157,'Retirement Calculator'!A:A,0),0),0)</f>
        <v>6404.7404596389215</v>
      </c>
      <c r="K1157" s="455">
        <f t="shared" ca="1" si="105"/>
        <v>198784.07410158016</v>
      </c>
      <c r="L1157" s="455">
        <f t="shared" ca="1" si="106"/>
        <v>47906961.858480819</v>
      </c>
      <c r="M1157" s="471">
        <f t="shared" si="109"/>
        <v>0.05</v>
      </c>
      <c r="N1157" s="475">
        <f t="shared" si="110"/>
        <v>86259</v>
      </c>
    </row>
    <row r="1158" spans="7:14" ht="11.25" customHeight="1" x14ac:dyDescent="0.3">
      <c r="G1158" s="470">
        <f t="shared" si="120"/>
        <v>96</v>
      </c>
      <c r="H1158" s="470">
        <v>1151</v>
      </c>
      <c r="I1158" s="455">
        <f t="shared" ca="1" si="108"/>
        <v>47906961.858480819</v>
      </c>
      <c r="J1158" s="455">
        <f t="array" ref="J1158">IFERROR(INDEX('Retirement Calculator'!J:J,MATCH('Isaac 401k'!N1158,'Retirement Calculator'!A:A,0),0),0)</f>
        <v>6404.7404596389215</v>
      </c>
      <c r="K1158" s="455">
        <f t="shared" ca="1" si="105"/>
        <v>199585.65465842158</v>
      </c>
      <c r="L1158" s="455">
        <f t="shared" ca="1" si="106"/>
        <v>48100142.772679605</v>
      </c>
      <c r="M1158" s="471">
        <f t="shared" si="109"/>
        <v>0.05</v>
      </c>
      <c r="N1158" s="475">
        <f t="shared" si="110"/>
        <v>86290</v>
      </c>
    </row>
    <row r="1159" spans="7:14" ht="11.25" customHeight="1" x14ac:dyDescent="0.3">
      <c r="G1159" s="470">
        <f t="shared" si="120"/>
        <v>96</v>
      </c>
      <c r="H1159" s="470">
        <v>1152</v>
      </c>
      <c r="I1159" s="455">
        <f t="shared" ca="1" si="108"/>
        <v>48100142.772679605</v>
      </c>
      <c r="J1159" s="455">
        <f t="array" ref="J1159">IFERROR(INDEX('Retirement Calculator'!J:J,MATCH('Isaac 401k'!N1159,'Retirement Calculator'!A:A,0),0),0)</f>
        <v>6404.7404596389215</v>
      </c>
      <c r="K1159" s="455">
        <f t="shared" ca="1" si="105"/>
        <v>200390.57513424987</v>
      </c>
      <c r="L1159" s="455">
        <f t="shared" ca="1" si="106"/>
        <v>48294128.607354216</v>
      </c>
      <c r="M1159" s="471">
        <f t="shared" si="109"/>
        <v>0.05</v>
      </c>
      <c r="N1159" s="475">
        <f t="shared" si="110"/>
        <v>86320</v>
      </c>
    </row>
    <row r="1160" spans="7:14" ht="11.25" customHeight="1" x14ac:dyDescent="0.3">
      <c r="G1160" s="470">
        <f>G1159+1</f>
        <v>97</v>
      </c>
      <c r="H1160" s="470">
        <v>1153</v>
      </c>
      <c r="I1160" s="455">
        <f t="shared" ca="1" si="108"/>
        <v>48294128.607354216</v>
      </c>
      <c r="J1160" s="455">
        <f t="array" ref="J1160">IFERROR(INDEX('Retirement Calculator'!J:J,MATCH('Isaac 401k'!N1160,'Retirement Calculator'!A:A,0),0),0)</f>
        <v>6404.7404596389215</v>
      </c>
      <c r="K1160" s="455">
        <f t="shared" ca="1" si="105"/>
        <v>201198.84944539409</v>
      </c>
      <c r="L1160" s="455">
        <f t="shared" ca="1" si="106"/>
        <v>48488922.716339976</v>
      </c>
      <c r="M1160" s="471">
        <f t="shared" si="109"/>
        <v>0.05</v>
      </c>
      <c r="N1160" s="475">
        <f t="shared" si="110"/>
        <v>86351</v>
      </c>
    </row>
    <row r="1161" spans="7:14" ht="11.25" customHeight="1" x14ac:dyDescent="0.3">
      <c r="G1161" s="470">
        <f t="shared" ref="G1161:G1171" si="121">G1160</f>
        <v>97</v>
      </c>
      <c r="H1161" s="470">
        <v>1154</v>
      </c>
      <c r="I1161" s="455">
        <f t="shared" ca="1" si="108"/>
        <v>48488922.716339976</v>
      </c>
      <c r="J1161" s="455">
        <f t="array" ref="J1161">IFERROR(INDEX('Retirement Calculator'!J:J,MATCH('Isaac 401k'!N1161,'Retirement Calculator'!A:A,0),0),0)</f>
        <v>6404.7404596389215</v>
      </c>
      <c r="K1161" s="455">
        <f t="shared" ca="1" si="105"/>
        <v>202010.49156616809</v>
      </c>
      <c r="L1161" s="455">
        <f t="shared" ca="1" si="106"/>
        <v>48684528.467446506</v>
      </c>
      <c r="M1161" s="471">
        <f t="shared" si="109"/>
        <v>0.05</v>
      </c>
      <c r="N1161" s="475">
        <f t="shared" si="110"/>
        <v>86381</v>
      </c>
    </row>
    <row r="1162" spans="7:14" ht="11.25" customHeight="1" x14ac:dyDescent="0.3">
      <c r="G1162" s="470">
        <f t="shared" si="121"/>
        <v>97</v>
      </c>
      <c r="H1162" s="470">
        <v>1155</v>
      </c>
      <c r="I1162" s="455">
        <f t="shared" ca="1" si="108"/>
        <v>48684528.467446506</v>
      </c>
      <c r="J1162" s="455">
        <f t="array" ref="J1162">IFERROR(INDEX('Retirement Calculator'!J:J,MATCH('Isaac 401k'!N1162,'Retirement Calculator'!A:A,0),0),0)</f>
        <v>6404.7404596389215</v>
      </c>
      <c r="K1162" s="455">
        <f t="shared" ca="1" si="105"/>
        <v>202825.51552911196</v>
      </c>
      <c r="L1162" s="455">
        <f t="shared" ca="1" si="106"/>
        <v>48880949.242515981</v>
      </c>
      <c r="M1162" s="471">
        <f t="shared" si="109"/>
        <v>0.05</v>
      </c>
      <c r="N1162" s="475">
        <f t="shared" si="110"/>
        <v>86412</v>
      </c>
    </row>
    <row r="1163" spans="7:14" ht="11.25" customHeight="1" x14ac:dyDescent="0.3">
      <c r="G1163" s="470">
        <f t="shared" si="121"/>
        <v>97</v>
      </c>
      <c r="H1163" s="470">
        <v>1156</v>
      </c>
      <c r="I1163" s="455">
        <f t="shared" ca="1" si="108"/>
        <v>48880949.242515981</v>
      </c>
      <c r="J1163" s="455">
        <f t="array" ref="J1163">IFERROR(INDEX('Retirement Calculator'!J:J,MATCH('Isaac 401k'!N1163,'Retirement Calculator'!A:A,0),0),0)</f>
        <v>6404.7404596389215</v>
      </c>
      <c r="K1163" s="455">
        <f t="shared" ca="1" si="105"/>
        <v>203643.93542523478</v>
      </c>
      <c r="L1163" s="455">
        <f t="shared" ca="1" si="106"/>
        <v>49078188.437481582</v>
      </c>
      <c r="M1163" s="471">
        <f t="shared" si="109"/>
        <v>0.05</v>
      </c>
      <c r="N1163" s="475">
        <f t="shared" si="110"/>
        <v>86443</v>
      </c>
    </row>
    <row r="1164" spans="7:14" ht="11.25" customHeight="1" x14ac:dyDescent="0.3">
      <c r="G1164" s="470">
        <f t="shared" si="121"/>
        <v>97</v>
      </c>
      <c r="H1164" s="470">
        <v>1157</v>
      </c>
      <c r="I1164" s="455">
        <f t="shared" ca="1" si="108"/>
        <v>49078188.437481582</v>
      </c>
      <c r="J1164" s="455">
        <f t="array" ref="J1164">IFERROR(INDEX('Retirement Calculator'!J:J,MATCH('Isaac 401k'!N1164,'Retirement Calculator'!A:A,0),0),0)</f>
        <v>6404.7404596389215</v>
      </c>
      <c r="K1164" s="455">
        <f t="shared" ca="1" si="105"/>
        <v>204465.7654042581</v>
      </c>
      <c r="L1164" s="455">
        <f t="shared" ca="1" si="106"/>
        <v>49276249.462426208</v>
      </c>
      <c r="M1164" s="471">
        <f t="shared" si="109"/>
        <v>0.05</v>
      </c>
      <c r="N1164" s="475">
        <f t="shared" si="110"/>
        <v>86473</v>
      </c>
    </row>
    <row r="1165" spans="7:14" ht="11.25" customHeight="1" x14ac:dyDescent="0.3">
      <c r="G1165" s="470">
        <f t="shared" si="121"/>
        <v>97</v>
      </c>
      <c r="H1165" s="470">
        <v>1158</v>
      </c>
      <c r="I1165" s="455">
        <f t="shared" ca="1" si="108"/>
        <v>49276249.462426208</v>
      </c>
      <c r="J1165" s="455">
        <f t="array" ref="J1165">IFERROR(INDEX('Retirement Calculator'!J:J,MATCH('Isaac 401k'!N1165,'Retirement Calculator'!A:A,0),0),0)</f>
        <v>6404.7404596389215</v>
      </c>
      <c r="K1165" s="455">
        <f t="shared" ca="1" si="105"/>
        <v>205291.01967486073</v>
      </c>
      <c r="L1165" s="455">
        <f t="shared" ca="1" si="106"/>
        <v>49475135.741641432</v>
      </c>
      <c r="M1165" s="471">
        <f t="shared" si="109"/>
        <v>0.05</v>
      </c>
      <c r="N1165" s="475">
        <f t="shared" si="110"/>
        <v>86504</v>
      </c>
    </row>
    <row r="1166" spans="7:14" ht="11.25" customHeight="1" x14ac:dyDescent="0.3">
      <c r="G1166" s="470">
        <f t="shared" si="121"/>
        <v>97</v>
      </c>
      <c r="H1166" s="470">
        <v>1159</v>
      </c>
      <c r="I1166" s="455">
        <f t="shared" ca="1" si="108"/>
        <v>49475135.741641432</v>
      </c>
      <c r="J1166" s="455">
        <f t="array" ref="J1166">IFERROR(INDEX('Retirement Calculator'!J:J,MATCH('Isaac 401k'!N1166,'Retirement Calculator'!A:A,0),0),0)</f>
        <v>6404.7404596389215</v>
      </c>
      <c r="K1166" s="455">
        <f t="shared" ca="1" si="105"/>
        <v>206119.71250492416</v>
      </c>
      <c r="L1166" s="455">
        <f t="shared" ca="1" si="106"/>
        <v>49674850.71368672</v>
      </c>
      <c r="M1166" s="471">
        <f t="shared" si="109"/>
        <v>0.05</v>
      </c>
      <c r="N1166" s="475">
        <f t="shared" si="110"/>
        <v>86534</v>
      </c>
    </row>
    <row r="1167" spans="7:14" ht="11.25" customHeight="1" x14ac:dyDescent="0.3">
      <c r="G1167" s="470">
        <f t="shared" si="121"/>
        <v>97</v>
      </c>
      <c r="H1167" s="470">
        <v>1160</v>
      </c>
      <c r="I1167" s="455">
        <f t="shared" ca="1" si="108"/>
        <v>49674850.71368672</v>
      </c>
      <c r="J1167" s="455">
        <f t="array" ref="J1167">IFERROR(INDEX('Retirement Calculator'!J:J,MATCH('Isaac 401k'!N1167,'Retirement Calculator'!A:A,0),0),0)</f>
        <v>6404.7404596389215</v>
      </c>
      <c r="K1167" s="455">
        <f t="shared" ca="1" si="105"/>
        <v>206951.85822177952</v>
      </c>
      <c r="L1167" s="455">
        <f t="shared" ca="1" si="106"/>
        <v>49875397.83144886</v>
      </c>
      <c r="M1167" s="471">
        <f t="shared" si="109"/>
        <v>0.05</v>
      </c>
      <c r="N1167" s="475">
        <f t="shared" si="110"/>
        <v>86565</v>
      </c>
    </row>
    <row r="1168" spans="7:14" ht="11.25" customHeight="1" x14ac:dyDescent="0.3">
      <c r="G1168" s="470">
        <f t="shared" si="121"/>
        <v>97</v>
      </c>
      <c r="H1168" s="470">
        <v>1161</v>
      </c>
      <c r="I1168" s="455">
        <f t="shared" ca="1" si="108"/>
        <v>49875397.83144886</v>
      </c>
      <c r="J1168" s="455">
        <f t="array" ref="J1168">IFERROR(INDEX('Retirement Calculator'!J:J,MATCH('Isaac 401k'!N1168,'Retirement Calculator'!A:A,0),0),0)</f>
        <v>6404.7404596389215</v>
      </c>
      <c r="K1168" s="455">
        <f t="shared" ca="1" si="105"/>
        <v>207787.4712124551</v>
      </c>
      <c r="L1168" s="455">
        <f t="shared" ca="1" si="106"/>
        <v>50076780.562201679</v>
      </c>
      <c r="M1168" s="471">
        <f t="shared" si="109"/>
        <v>0.05</v>
      </c>
      <c r="N1168" s="475">
        <f t="shared" si="110"/>
        <v>86596</v>
      </c>
    </row>
    <row r="1169" spans="7:14" ht="11.25" customHeight="1" x14ac:dyDescent="0.3">
      <c r="G1169" s="470">
        <f t="shared" si="121"/>
        <v>97</v>
      </c>
      <c r="H1169" s="470">
        <v>1162</v>
      </c>
      <c r="I1169" s="455">
        <f t="shared" ca="1" si="108"/>
        <v>50076780.562201679</v>
      </c>
      <c r="J1169" s="455">
        <f t="array" ref="J1169">IFERROR(INDEX('Retirement Calculator'!J:J,MATCH('Isaac 401k'!N1169,'Retirement Calculator'!A:A,0),0),0)</f>
        <v>0</v>
      </c>
      <c r="K1169" s="455">
        <f t="shared" ca="1" si="105"/>
        <v>208653.25234250698</v>
      </c>
      <c r="L1169" s="455">
        <f t="shared" ca="1" si="106"/>
        <v>50285433.814544186</v>
      </c>
      <c r="M1169" s="471">
        <f t="shared" si="109"/>
        <v>0.05</v>
      </c>
      <c r="N1169" s="475">
        <f t="shared" si="110"/>
        <v>86624</v>
      </c>
    </row>
    <row r="1170" spans="7:14" ht="11.25" customHeight="1" x14ac:dyDescent="0.3">
      <c r="G1170" s="470">
        <f t="shared" si="121"/>
        <v>97</v>
      </c>
      <c r="H1170" s="470">
        <v>1163</v>
      </c>
      <c r="I1170" s="455">
        <f t="shared" ca="1" si="108"/>
        <v>50285433.814544186</v>
      </c>
      <c r="J1170" s="455">
        <f t="array" ref="J1170">IFERROR(INDEX('Retirement Calculator'!J:J,MATCH('Isaac 401k'!N1170,'Retirement Calculator'!A:A,0),0),0)</f>
        <v>0</v>
      </c>
      <c r="K1170" s="455">
        <f t="shared" ca="1" si="105"/>
        <v>209522.64089393412</v>
      </c>
      <c r="L1170" s="455">
        <f t="shared" ca="1" si="106"/>
        <v>50494956.455438122</v>
      </c>
      <c r="M1170" s="471">
        <f t="shared" si="109"/>
        <v>0.05</v>
      </c>
      <c r="N1170" s="475">
        <f t="shared" si="110"/>
        <v>86655</v>
      </c>
    </row>
    <row r="1171" spans="7:14" ht="11.25" customHeight="1" x14ac:dyDescent="0.3">
      <c r="G1171" s="470">
        <f t="shared" si="121"/>
        <v>97</v>
      </c>
      <c r="H1171" s="470">
        <v>1164</v>
      </c>
      <c r="I1171" s="455">
        <f t="shared" ca="1" si="108"/>
        <v>50494956.455438122</v>
      </c>
      <c r="J1171" s="455">
        <f t="array" ref="J1171">IFERROR(INDEX('Retirement Calculator'!J:J,MATCH('Isaac 401k'!N1171,'Retirement Calculator'!A:A,0),0),0)</f>
        <v>0</v>
      </c>
      <c r="K1171" s="455">
        <f t="shared" ca="1" si="105"/>
        <v>210395.65189765883</v>
      </c>
      <c r="L1171" s="455">
        <f t="shared" ca="1" si="106"/>
        <v>50705352.107335784</v>
      </c>
      <c r="M1171" s="471">
        <f t="shared" si="109"/>
        <v>0.05</v>
      </c>
      <c r="N1171" s="475">
        <f t="shared" si="110"/>
        <v>86685</v>
      </c>
    </row>
    <row r="1172" spans="7:14" ht="11.25" customHeight="1" x14ac:dyDescent="0.3">
      <c r="G1172" s="470">
        <f>G1171+1</f>
        <v>98</v>
      </c>
      <c r="H1172" s="470">
        <v>1165</v>
      </c>
      <c r="I1172" s="455">
        <f t="shared" ca="1" si="108"/>
        <v>50705352.107335784</v>
      </c>
      <c r="J1172" s="455">
        <f t="array" ref="J1172">IFERROR(INDEX('Retirement Calculator'!J:J,MATCH('Isaac 401k'!N1172,'Retirement Calculator'!A:A,0),0),0)</f>
        <v>0</v>
      </c>
      <c r="K1172" s="455">
        <f t="shared" ca="1" si="105"/>
        <v>211272.30044723244</v>
      </c>
      <c r="L1172" s="455">
        <f t="shared" ca="1" si="106"/>
        <v>50916624.407783017</v>
      </c>
      <c r="M1172" s="471">
        <f t="shared" si="109"/>
        <v>0.05</v>
      </c>
      <c r="N1172" s="475">
        <f t="shared" si="110"/>
        <v>86716</v>
      </c>
    </row>
    <row r="1173" spans="7:14" ht="11.25" customHeight="1" x14ac:dyDescent="0.3">
      <c r="G1173" s="470">
        <f t="shared" ref="G1173:G1183" si="122">G1172</f>
        <v>98</v>
      </c>
      <c r="H1173" s="470">
        <v>1166</v>
      </c>
      <c r="I1173" s="455">
        <f t="shared" ca="1" si="108"/>
        <v>50916624.407783017</v>
      </c>
      <c r="J1173" s="455">
        <f t="array" ref="J1173">IFERROR(INDEX('Retirement Calculator'!J:J,MATCH('Isaac 401k'!N1173,'Retirement Calculator'!A:A,0),0),0)</f>
        <v>0</v>
      </c>
      <c r="K1173" s="455">
        <f t="shared" ca="1" si="105"/>
        <v>212152.60169909589</v>
      </c>
      <c r="L1173" s="455">
        <f t="shared" ca="1" si="106"/>
        <v>51128777.009482116</v>
      </c>
      <c r="M1173" s="471">
        <f t="shared" si="109"/>
        <v>0.05</v>
      </c>
      <c r="N1173" s="475">
        <f t="shared" si="110"/>
        <v>86746</v>
      </c>
    </row>
    <row r="1174" spans="7:14" ht="11.25" customHeight="1" x14ac:dyDescent="0.3">
      <c r="G1174" s="470">
        <f t="shared" si="122"/>
        <v>98</v>
      </c>
      <c r="H1174" s="470">
        <v>1167</v>
      </c>
      <c r="I1174" s="455">
        <f t="shared" ca="1" si="108"/>
        <v>51128777.009482116</v>
      </c>
      <c r="J1174" s="455">
        <f t="array" ref="J1174">IFERROR(INDEX('Retirement Calculator'!J:J,MATCH('Isaac 401k'!N1174,'Retirement Calculator'!A:A,0),0),0)</f>
        <v>0</v>
      </c>
      <c r="K1174" s="455">
        <f t="shared" ca="1" si="105"/>
        <v>213036.57087284213</v>
      </c>
      <c r="L1174" s="455">
        <f t="shared" ca="1" si="106"/>
        <v>51341813.580354959</v>
      </c>
      <c r="M1174" s="471">
        <f t="shared" si="109"/>
        <v>0.05</v>
      </c>
      <c r="N1174" s="475">
        <f t="shared" si="110"/>
        <v>86777</v>
      </c>
    </row>
    <row r="1175" spans="7:14" ht="11.25" customHeight="1" x14ac:dyDescent="0.3">
      <c r="G1175" s="470">
        <f t="shared" si="122"/>
        <v>98</v>
      </c>
      <c r="H1175" s="470">
        <v>1168</v>
      </c>
      <c r="I1175" s="455">
        <f t="shared" ca="1" si="108"/>
        <v>51341813.580354959</v>
      </c>
      <c r="J1175" s="455">
        <f t="array" ref="J1175">IFERROR(INDEX('Retirement Calculator'!J:J,MATCH('Isaac 401k'!N1175,'Retirement Calculator'!A:A,0),0),0)</f>
        <v>0</v>
      </c>
      <c r="K1175" s="455">
        <f t="shared" ca="1" si="105"/>
        <v>213924.22325147898</v>
      </c>
      <c r="L1175" s="455">
        <f t="shared" ca="1" si="106"/>
        <v>51555737.803606436</v>
      </c>
      <c r="M1175" s="471">
        <f t="shared" si="109"/>
        <v>0.05</v>
      </c>
      <c r="N1175" s="475">
        <f t="shared" si="110"/>
        <v>86808</v>
      </c>
    </row>
    <row r="1176" spans="7:14" ht="11.25" customHeight="1" x14ac:dyDescent="0.3">
      <c r="G1176" s="470">
        <f t="shared" si="122"/>
        <v>98</v>
      </c>
      <c r="H1176" s="470">
        <v>1169</v>
      </c>
      <c r="I1176" s="455">
        <f t="shared" ca="1" si="108"/>
        <v>51555737.803606436</v>
      </c>
      <c r="J1176" s="455">
        <f t="array" ref="J1176">IFERROR(INDEX('Retirement Calculator'!J:J,MATCH('Isaac 401k'!N1176,'Retirement Calculator'!A:A,0),0),0)</f>
        <v>0</v>
      </c>
      <c r="K1176" s="455">
        <f t="shared" ca="1" si="105"/>
        <v>214815.57418169349</v>
      </c>
      <c r="L1176" s="455">
        <f t="shared" ca="1" si="106"/>
        <v>51770553.377788126</v>
      </c>
      <c r="M1176" s="471">
        <f t="shared" si="109"/>
        <v>0.05</v>
      </c>
      <c r="N1176" s="475">
        <f t="shared" si="110"/>
        <v>86838</v>
      </c>
    </row>
    <row r="1177" spans="7:14" ht="11.25" customHeight="1" x14ac:dyDescent="0.3">
      <c r="G1177" s="470">
        <f t="shared" si="122"/>
        <v>98</v>
      </c>
      <c r="H1177" s="470">
        <v>1170</v>
      </c>
      <c r="I1177" s="455">
        <f t="shared" ca="1" si="108"/>
        <v>51770553.377788126</v>
      </c>
      <c r="J1177" s="455">
        <f t="array" ref="J1177">IFERROR(INDEX('Retirement Calculator'!J:J,MATCH('Isaac 401k'!N1177,'Retirement Calculator'!A:A,0),0),0)</f>
        <v>0</v>
      </c>
      <c r="K1177" s="455">
        <f t="shared" ca="1" si="105"/>
        <v>215710.63907411718</v>
      </c>
      <c r="L1177" s="455">
        <f t="shared" ca="1" si="106"/>
        <v>51986264.016862243</v>
      </c>
      <c r="M1177" s="471">
        <f t="shared" si="109"/>
        <v>0.05</v>
      </c>
      <c r="N1177" s="475">
        <f t="shared" si="110"/>
        <v>86869</v>
      </c>
    </row>
    <row r="1178" spans="7:14" ht="11.25" customHeight="1" x14ac:dyDescent="0.3">
      <c r="G1178" s="470">
        <f t="shared" si="122"/>
        <v>98</v>
      </c>
      <c r="H1178" s="470">
        <v>1171</v>
      </c>
      <c r="I1178" s="455">
        <f t="shared" ca="1" si="108"/>
        <v>51986264.016862243</v>
      </c>
      <c r="J1178" s="455">
        <f t="array" ref="J1178">IFERROR(INDEX('Retirement Calculator'!J:J,MATCH('Isaac 401k'!N1178,'Retirement Calculator'!A:A,0),0),0)</f>
        <v>0</v>
      </c>
      <c r="K1178" s="455">
        <f t="shared" ca="1" si="105"/>
        <v>216609.43340359267</v>
      </c>
      <c r="L1178" s="455">
        <f t="shared" ca="1" si="106"/>
        <v>52202873.45026584</v>
      </c>
      <c r="M1178" s="471">
        <f t="shared" si="109"/>
        <v>0.05</v>
      </c>
      <c r="N1178" s="475">
        <f t="shared" si="110"/>
        <v>86899</v>
      </c>
    </row>
    <row r="1179" spans="7:14" ht="11.25" customHeight="1" x14ac:dyDescent="0.3">
      <c r="G1179" s="470">
        <f t="shared" si="122"/>
        <v>98</v>
      </c>
      <c r="H1179" s="470">
        <v>1172</v>
      </c>
      <c r="I1179" s="455">
        <f t="shared" ca="1" si="108"/>
        <v>52202873.45026584</v>
      </c>
      <c r="J1179" s="455">
        <f t="array" ref="J1179">IFERROR(INDEX('Retirement Calculator'!J:J,MATCH('Isaac 401k'!N1179,'Retirement Calculator'!A:A,0),0),0)</f>
        <v>0</v>
      </c>
      <c r="K1179" s="455">
        <f t="shared" ca="1" si="105"/>
        <v>217511.972709441</v>
      </c>
      <c r="L1179" s="455">
        <f t="shared" ca="1" si="106"/>
        <v>52420385.422975279</v>
      </c>
      <c r="M1179" s="471">
        <f t="shared" si="109"/>
        <v>0.05</v>
      </c>
      <c r="N1179" s="475">
        <f t="shared" si="110"/>
        <v>86930</v>
      </c>
    </row>
    <row r="1180" spans="7:14" ht="11.25" customHeight="1" x14ac:dyDescent="0.3">
      <c r="G1180" s="470">
        <f t="shared" si="122"/>
        <v>98</v>
      </c>
      <c r="H1180" s="470">
        <v>1173</v>
      </c>
      <c r="I1180" s="455">
        <f t="shared" ca="1" si="108"/>
        <v>52420385.422975279</v>
      </c>
      <c r="J1180" s="455">
        <f t="array" ref="J1180">IFERROR(INDEX('Retirement Calculator'!J:J,MATCH('Isaac 401k'!N1180,'Retirement Calculator'!A:A,0),0),0)</f>
        <v>0</v>
      </c>
      <c r="K1180" s="455">
        <f t="shared" ca="1" si="105"/>
        <v>218418.27259573032</v>
      </c>
      <c r="L1180" s="455">
        <f t="shared" ca="1" si="106"/>
        <v>52638803.695571013</v>
      </c>
      <c r="M1180" s="471">
        <f t="shared" si="109"/>
        <v>0.05</v>
      </c>
      <c r="N1180" s="475">
        <f t="shared" si="110"/>
        <v>86961</v>
      </c>
    </row>
    <row r="1181" spans="7:14" ht="11.25" customHeight="1" x14ac:dyDescent="0.3">
      <c r="G1181" s="470">
        <f t="shared" si="122"/>
        <v>98</v>
      </c>
      <c r="H1181" s="470">
        <v>1174</v>
      </c>
      <c r="I1181" s="455">
        <f t="shared" ca="1" si="108"/>
        <v>52638803.695571013</v>
      </c>
      <c r="J1181" s="455">
        <f t="array" ref="J1181">IFERROR(INDEX('Retirement Calculator'!J:J,MATCH('Isaac 401k'!N1181,'Retirement Calculator'!A:A,0),0),0)</f>
        <v>0</v>
      </c>
      <c r="K1181" s="455">
        <f t="shared" ca="1" si="105"/>
        <v>219328.34873154588</v>
      </c>
      <c r="L1181" s="455">
        <f t="shared" ca="1" si="106"/>
        <v>52858132.04430256</v>
      </c>
      <c r="M1181" s="471">
        <f t="shared" si="109"/>
        <v>0.05</v>
      </c>
      <c r="N1181" s="475">
        <f t="shared" si="110"/>
        <v>86989</v>
      </c>
    </row>
    <row r="1182" spans="7:14" ht="11.25" customHeight="1" x14ac:dyDescent="0.3">
      <c r="G1182" s="470">
        <f t="shared" si="122"/>
        <v>98</v>
      </c>
      <c r="H1182" s="470">
        <v>1175</v>
      </c>
      <c r="I1182" s="455">
        <f t="shared" ca="1" si="108"/>
        <v>52858132.04430256</v>
      </c>
      <c r="J1182" s="455">
        <f t="array" ref="J1182">IFERROR(INDEX('Retirement Calculator'!J:J,MATCH('Isaac 401k'!N1182,'Retirement Calculator'!A:A,0),0),0)</f>
        <v>0</v>
      </c>
      <c r="K1182" s="455">
        <f t="shared" ca="1" si="105"/>
        <v>220242.21685126066</v>
      </c>
      <c r="L1182" s="455">
        <f t="shared" ca="1" si="106"/>
        <v>53078374.261153825</v>
      </c>
      <c r="M1182" s="471">
        <f t="shared" si="109"/>
        <v>0.05</v>
      </c>
      <c r="N1182" s="475">
        <f t="shared" si="110"/>
        <v>87020</v>
      </c>
    </row>
    <row r="1183" spans="7:14" ht="11.25" customHeight="1" x14ac:dyDescent="0.3">
      <c r="G1183" s="470">
        <f t="shared" si="122"/>
        <v>98</v>
      </c>
      <c r="H1183" s="470">
        <v>1176</v>
      </c>
      <c r="I1183" s="455">
        <f t="shared" ca="1" si="108"/>
        <v>53078374.261153825</v>
      </c>
      <c r="J1183" s="455">
        <f t="array" ref="J1183">IFERROR(INDEX('Retirement Calculator'!J:J,MATCH('Isaac 401k'!N1183,'Retirement Calculator'!A:A,0),0),0)</f>
        <v>0</v>
      </c>
      <c r="K1183" s="455">
        <f t="shared" ca="1" si="105"/>
        <v>221159.89275480763</v>
      </c>
      <c r="L1183" s="455">
        <f t="shared" ca="1" si="106"/>
        <v>53299534.153908633</v>
      </c>
      <c r="M1183" s="471">
        <f t="shared" si="109"/>
        <v>0.05</v>
      </c>
      <c r="N1183" s="475">
        <f t="shared" si="110"/>
        <v>87050</v>
      </c>
    </row>
    <row r="1184" spans="7:14" ht="11.25" customHeight="1" x14ac:dyDescent="0.3">
      <c r="G1184" s="470">
        <f>G1183+1</f>
        <v>99</v>
      </c>
      <c r="H1184" s="470">
        <v>1177</v>
      </c>
      <c r="I1184" s="455">
        <f t="shared" ca="1" si="108"/>
        <v>53299534.153908633</v>
      </c>
      <c r="J1184" s="455">
        <f t="array" ref="J1184">IFERROR(INDEX('Retirement Calculator'!J:J,MATCH('Isaac 401k'!N1184,'Retirement Calculator'!A:A,0),0),0)</f>
        <v>0</v>
      </c>
      <c r="K1184" s="455">
        <f t="shared" ca="1" si="105"/>
        <v>222081.39230795266</v>
      </c>
      <c r="L1184" s="455">
        <f t="shared" ca="1" si="106"/>
        <v>53521615.546216585</v>
      </c>
      <c r="M1184" s="471">
        <f t="shared" si="109"/>
        <v>0.05</v>
      </c>
      <c r="N1184" s="475">
        <f t="shared" si="110"/>
        <v>87081</v>
      </c>
    </row>
    <row r="1185" spans="7:14" ht="11.25" customHeight="1" x14ac:dyDescent="0.3">
      <c r="G1185" s="470">
        <f t="shared" ref="G1185:G1195" si="123">G1184</f>
        <v>99</v>
      </c>
      <c r="H1185" s="470">
        <v>1178</v>
      </c>
      <c r="I1185" s="455">
        <f t="shared" ca="1" si="108"/>
        <v>53521615.546216585</v>
      </c>
      <c r="J1185" s="455">
        <f t="array" ref="J1185">IFERROR(INDEX('Retirement Calculator'!J:J,MATCH('Isaac 401k'!N1185,'Retirement Calculator'!A:A,0),0),0)</f>
        <v>0</v>
      </c>
      <c r="K1185" s="455">
        <f t="shared" ca="1" si="105"/>
        <v>223006.73144256906</v>
      </c>
      <c r="L1185" s="455">
        <f t="shared" ca="1" si="106"/>
        <v>53744622.277659155</v>
      </c>
      <c r="M1185" s="471">
        <f t="shared" si="109"/>
        <v>0.05</v>
      </c>
      <c r="N1185" s="475">
        <f t="shared" si="110"/>
        <v>87111</v>
      </c>
    </row>
    <row r="1186" spans="7:14" ht="11.25" customHeight="1" x14ac:dyDescent="0.3">
      <c r="G1186" s="470">
        <f t="shared" si="123"/>
        <v>99</v>
      </c>
      <c r="H1186" s="470">
        <v>1179</v>
      </c>
      <c r="I1186" s="455">
        <f t="shared" ca="1" si="108"/>
        <v>53744622.277659155</v>
      </c>
      <c r="J1186" s="455">
        <f t="array" ref="J1186">IFERROR(INDEX('Retirement Calculator'!J:J,MATCH('Isaac 401k'!N1186,'Retirement Calculator'!A:A,0),0),0)</f>
        <v>0</v>
      </c>
      <c r="K1186" s="455">
        <f t="shared" ca="1" si="105"/>
        <v>223935.92615691316</v>
      </c>
      <c r="L1186" s="455">
        <f t="shared" ca="1" si="106"/>
        <v>53968558.203816071</v>
      </c>
      <c r="M1186" s="471">
        <f t="shared" si="109"/>
        <v>0.05</v>
      </c>
      <c r="N1186" s="475">
        <f t="shared" si="110"/>
        <v>87142</v>
      </c>
    </row>
    <row r="1187" spans="7:14" ht="11.25" customHeight="1" x14ac:dyDescent="0.3">
      <c r="G1187" s="470">
        <f t="shared" si="123"/>
        <v>99</v>
      </c>
      <c r="H1187" s="470">
        <v>1180</v>
      </c>
      <c r="I1187" s="455">
        <f t="shared" ca="1" si="108"/>
        <v>53968558.203816071</v>
      </c>
      <c r="J1187" s="455">
        <f t="array" ref="J1187">IFERROR(INDEX('Retirement Calculator'!J:J,MATCH('Isaac 401k'!N1187,'Retirement Calculator'!A:A,0),0),0)</f>
        <v>0</v>
      </c>
      <c r="K1187" s="455">
        <f t="shared" ca="1" si="105"/>
        <v>224868.99251590029</v>
      </c>
      <c r="L1187" s="455">
        <f t="shared" ca="1" si="106"/>
        <v>54193427.19633197</v>
      </c>
      <c r="M1187" s="471">
        <f t="shared" si="109"/>
        <v>0.05</v>
      </c>
      <c r="N1187" s="475">
        <f t="shared" si="110"/>
        <v>87173</v>
      </c>
    </row>
    <row r="1188" spans="7:14" ht="11.25" customHeight="1" x14ac:dyDescent="0.3">
      <c r="G1188" s="470">
        <f t="shared" si="123"/>
        <v>99</v>
      </c>
      <c r="H1188" s="470">
        <v>1181</v>
      </c>
      <c r="I1188" s="455">
        <f t="shared" ca="1" si="108"/>
        <v>54193427.19633197</v>
      </c>
      <c r="J1188" s="455">
        <f t="array" ref="J1188">IFERROR(INDEX('Retirement Calculator'!J:J,MATCH('Isaac 401k'!N1188,'Retirement Calculator'!A:A,0),0),0)</f>
        <v>0</v>
      </c>
      <c r="K1188" s="455">
        <f t="shared" ca="1" si="105"/>
        <v>225805.94665138322</v>
      </c>
      <c r="L1188" s="455">
        <f t="shared" ca="1" si="106"/>
        <v>54419233.142983355</v>
      </c>
      <c r="M1188" s="471">
        <f t="shared" si="109"/>
        <v>0.05</v>
      </c>
      <c r="N1188" s="475">
        <f t="shared" si="110"/>
        <v>87203</v>
      </c>
    </row>
    <row r="1189" spans="7:14" ht="11.25" customHeight="1" x14ac:dyDescent="0.3">
      <c r="G1189" s="470">
        <f t="shared" si="123"/>
        <v>99</v>
      </c>
      <c r="H1189" s="470">
        <v>1182</v>
      </c>
      <c r="I1189" s="455">
        <f t="shared" ca="1" si="108"/>
        <v>54419233.142983355</v>
      </c>
      <c r="J1189" s="455">
        <f t="array" ref="J1189">IFERROR(INDEX('Retirement Calculator'!J:J,MATCH('Isaac 401k'!N1189,'Retirement Calculator'!A:A,0),0),0)</f>
        <v>0</v>
      </c>
      <c r="K1189" s="455">
        <f t="shared" ca="1" si="105"/>
        <v>226746.80476243061</v>
      </c>
      <c r="L1189" s="455">
        <f t="shared" ca="1" si="106"/>
        <v>54645979.947745785</v>
      </c>
      <c r="M1189" s="471">
        <f t="shared" si="109"/>
        <v>0.05</v>
      </c>
      <c r="N1189" s="475">
        <f t="shared" si="110"/>
        <v>87234</v>
      </c>
    </row>
    <row r="1190" spans="7:14" ht="11.25" customHeight="1" x14ac:dyDescent="0.3">
      <c r="G1190" s="470">
        <f t="shared" si="123"/>
        <v>99</v>
      </c>
      <c r="H1190" s="470">
        <v>1183</v>
      </c>
      <c r="I1190" s="455">
        <f t="shared" ca="1" si="108"/>
        <v>54645979.947745785</v>
      </c>
      <c r="J1190" s="455">
        <f t="array" ref="J1190">IFERROR(INDEX('Retirement Calculator'!J:J,MATCH('Isaac 401k'!N1190,'Retirement Calculator'!A:A,0),0),0)</f>
        <v>0</v>
      </c>
      <c r="K1190" s="455">
        <f t="shared" ca="1" si="105"/>
        <v>227691.58311560741</v>
      </c>
      <c r="L1190" s="455">
        <f t="shared" ca="1" si="106"/>
        <v>54873671.530861393</v>
      </c>
      <c r="M1190" s="471">
        <f t="shared" si="109"/>
        <v>0.05</v>
      </c>
      <c r="N1190" s="475">
        <f t="shared" si="110"/>
        <v>87264</v>
      </c>
    </row>
    <row r="1191" spans="7:14" ht="11.25" customHeight="1" x14ac:dyDescent="0.3">
      <c r="G1191" s="470">
        <f t="shared" si="123"/>
        <v>99</v>
      </c>
      <c r="H1191" s="470">
        <v>1184</v>
      </c>
      <c r="I1191" s="455">
        <f t="shared" ca="1" si="108"/>
        <v>54873671.530861393</v>
      </c>
      <c r="J1191" s="455">
        <f t="array" ref="J1191">IFERROR(INDEX('Retirement Calculator'!J:J,MATCH('Isaac 401k'!N1191,'Retirement Calculator'!A:A,0),0),0)</f>
        <v>0</v>
      </c>
      <c r="K1191" s="455">
        <f t="shared" ca="1" si="105"/>
        <v>228640.29804525577</v>
      </c>
      <c r="L1191" s="455">
        <f t="shared" ca="1" si="106"/>
        <v>55102311.828906648</v>
      </c>
      <c r="M1191" s="471">
        <f t="shared" si="109"/>
        <v>0.05</v>
      </c>
      <c r="N1191" s="475">
        <f t="shared" si="110"/>
        <v>87295</v>
      </c>
    </row>
    <row r="1192" spans="7:14" ht="11.25" customHeight="1" x14ac:dyDescent="0.3">
      <c r="G1192" s="470">
        <f t="shared" si="123"/>
        <v>99</v>
      </c>
      <c r="H1192" s="470">
        <v>1185</v>
      </c>
      <c r="I1192" s="455">
        <f t="shared" ca="1" si="108"/>
        <v>55102311.828906648</v>
      </c>
      <c r="J1192" s="455">
        <f t="array" ref="J1192">IFERROR(INDEX('Retirement Calculator'!J:J,MATCH('Isaac 401k'!N1192,'Retirement Calculator'!A:A,0),0),0)</f>
        <v>0</v>
      </c>
      <c r="K1192" s="455">
        <f t="shared" ca="1" si="105"/>
        <v>229592.96595377769</v>
      </c>
      <c r="L1192" s="455">
        <f t="shared" ca="1" si="106"/>
        <v>55331904.794860423</v>
      </c>
      <c r="M1192" s="471">
        <f t="shared" si="109"/>
        <v>0.05</v>
      </c>
      <c r="N1192" s="475">
        <f t="shared" si="110"/>
        <v>87326</v>
      </c>
    </row>
    <row r="1193" spans="7:14" ht="11.25" customHeight="1" x14ac:dyDescent="0.3">
      <c r="G1193" s="470">
        <f t="shared" si="123"/>
        <v>99</v>
      </c>
      <c r="H1193" s="470">
        <v>1186</v>
      </c>
      <c r="I1193" s="455">
        <f t="shared" ca="1" si="108"/>
        <v>55331904.794860423</v>
      </c>
      <c r="J1193" s="455">
        <f t="array" ref="J1193">IFERROR(INDEX('Retirement Calculator'!J:J,MATCH('Isaac 401k'!N1193,'Retirement Calculator'!A:A,0),0),0)</f>
        <v>0</v>
      </c>
      <c r="K1193" s="455">
        <f t="shared" ca="1" si="105"/>
        <v>230549.60331191844</v>
      </c>
      <c r="L1193" s="455">
        <f t="shared" ca="1" si="106"/>
        <v>55562454.398172341</v>
      </c>
      <c r="M1193" s="471">
        <f t="shared" si="109"/>
        <v>0.05</v>
      </c>
      <c r="N1193" s="475">
        <f t="shared" si="110"/>
        <v>87354</v>
      </c>
    </row>
    <row r="1194" spans="7:14" ht="11.25" customHeight="1" x14ac:dyDescent="0.3">
      <c r="G1194" s="470">
        <f t="shared" si="123"/>
        <v>99</v>
      </c>
      <c r="H1194" s="470">
        <v>1187</v>
      </c>
      <c r="I1194" s="455">
        <f t="shared" ca="1" si="108"/>
        <v>55562454.398172341</v>
      </c>
      <c r="J1194" s="455">
        <f t="array" ref="J1194">IFERROR(INDEX('Retirement Calculator'!J:J,MATCH('Isaac 401k'!N1194,'Retirement Calculator'!A:A,0),0),0)</f>
        <v>0</v>
      </c>
      <c r="K1194" s="455">
        <f t="shared" ca="1" si="105"/>
        <v>231510.2266590514</v>
      </c>
      <c r="L1194" s="455">
        <f t="shared" ca="1" si="106"/>
        <v>55793964.624831393</v>
      </c>
      <c r="M1194" s="471">
        <f t="shared" si="109"/>
        <v>0.05</v>
      </c>
      <c r="N1194" s="475">
        <f t="shared" si="110"/>
        <v>87385</v>
      </c>
    </row>
    <row r="1195" spans="7:14" ht="11.25" customHeight="1" x14ac:dyDescent="0.3">
      <c r="G1195" s="470">
        <f t="shared" si="123"/>
        <v>99</v>
      </c>
      <c r="H1195" s="470">
        <v>1188</v>
      </c>
      <c r="I1195" s="455">
        <f t="shared" ca="1" si="108"/>
        <v>55793964.624831393</v>
      </c>
      <c r="J1195" s="455">
        <f t="array" ref="J1195">IFERROR(INDEX('Retirement Calculator'!J:J,MATCH('Isaac 401k'!N1195,'Retirement Calculator'!A:A,0),0),0)</f>
        <v>0</v>
      </c>
      <c r="K1195" s="455">
        <f t="shared" ca="1" si="105"/>
        <v>232474.8526034641</v>
      </c>
      <c r="L1195" s="455">
        <f t="shared" ca="1" si="106"/>
        <v>56026439.477434859</v>
      </c>
      <c r="M1195" s="471">
        <f t="shared" si="109"/>
        <v>0.05</v>
      </c>
      <c r="N1195" s="475">
        <f t="shared" si="110"/>
        <v>87415</v>
      </c>
    </row>
    <row r="1196" spans="7:14" ht="11.25" customHeight="1" x14ac:dyDescent="0.3">
      <c r="G1196" s="470">
        <f>G1195+1</f>
        <v>100</v>
      </c>
      <c r="H1196" s="470">
        <v>1189</v>
      </c>
      <c r="I1196" s="455">
        <f t="shared" ca="1" si="108"/>
        <v>56026439.477434859</v>
      </c>
      <c r="J1196" s="455">
        <f t="array" ref="J1196">IFERROR(INDEX('Retirement Calculator'!J:J,MATCH('Isaac 401k'!N1196,'Retirement Calculator'!A:A,0),0),0)</f>
        <v>0</v>
      </c>
      <c r="K1196" s="455">
        <f t="shared" ca="1" si="105"/>
        <v>233443.49782264524</v>
      </c>
      <c r="L1196" s="455">
        <f t="shared" ca="1" si="106"/>
        <v>56259882.975257501</v>
      </c>
      <c r="M1196" s="471">
        <f t="shared" si="109"/>
        <v>0.05</v>
      </c>
      <c r="N1196" s="475">
        <f t="shared" si="110"/>
        <v>87446</v>
      </c>
    </row>
    <row r="1197" spans="7:14" ht="11.25" customHeight="1" x14ac:dyDescent="0.3">
      <c r="G1197" s="470">
        <f t="shared" ref="G1197:G1207" si="124">G1196</f>
        <v>100</v>
      </c>
      <c r="H1197" s="470">
        <v>1190</v>
      </c>
      <c r="I1197" s="455">
        <f t="shared" ca="1" si="108"/>
        <v>56259882.975257501</v>
      </c>
      <c r="J1197" s="455">
        <f t="array" ref="J1197">IFERROR(INDEX('Retirement Calculator'!J:J,MATCH('Isaac 401k'!N1197,'Retirement Calculator'!A:A,0),0),0)</f>
        <v>0</v>
      </c>
      <c r="K1197" s="455">
        <f t="shared" ca="1" si="105"/>
        <v>234416.17906357293</v>
      </c>
      <c r="L1197" s="455">
        <f t="shared" ca="1" si="106"/>
        <v>56494299.154321074</v>
      </c>
      <c r="M1197" s="471">
        <f t="shared" si="109"/>
        <v>0.05</v>
      </c>
      <c r="N1197" s="475">
        <f t="shared" si="110"/>
        <v>87476</v>
      </c>
    </row>
    <row r="1198" spans="7:14" ht="11.25" customHeight="1" x14ac:dyDescent="0.3">
      <c r="G1198" s="470">
        <f t="shared" si="124"/>
        <v>100</v>
      </c>
      <c r="H1198" s="470">
        <v>1191</v>
      </c>
      <c r="I1198" s="455">
        <f t="shared" ca="1" si="108"/>
        <v>56494299.154321074</v>
      </c>
      <c r="J1198" s="455">
        <f t="array" ref="J1198">IFERROR(INDEX('Retirement Calculator'!J:J,MATCH('Isaac 401k'!N1198,'Retirement Calculator'!A:A,0),0),0)</f>
        <v>0</v>
      </c>
      <c r="K1198" s="455">
        <f t="shared" ca="1" si="105"/>
        <v>235392.91314300447</v>
      </c>
      <c r="L1198" s="455">
        <f t="shared" ca="1" si="106"/>
        <v>56729692.067464076</v>
      </c>
      <c r="M1198" s="471">
        <f t="shared" si="109"/>
        <v>0.05</v>
      </c>
      <c r="N1198" s="475">
        <f t="shared" si="110"/>
        <v>87507</v>
      </c>
    </row>
    <row r="1199" spans="7:14" ht="11.25" customHeight="1" x14ac:dyDescent="0.3">
      <c r="G1199" s="470">
        <f t="shared" si="124"/>
        <v>100</v>
      </c>
      <c r="H1199" s="470">
        <v>1192</v>
      </c>
      <c r="I1199" s="455">
        <f t="shared" ca="1" si="108"/>
        <v>56729692.067464076</v>
      </c>
      <c r="J1199" s="455">
        <f t="array" ref="J1199">IFERROR(INDEX('Retirement Calculator'!J:J,MATCH('Isaac 401k'!N1199,'Retirement Calculator'!A:A,0),0),0)</f>
        <v>0</v>
      </c>
      <c r="K1199" s="455">
        <f t="shared" ca="1" si="105"/>
        <v>236373.71694776695</v>
      </c>
      <c r="L1199" s="455">
        <f t="shared" ca="1" si="106"/>
        <v>56966065.78441184</v>
      </c>
      <c r="M1199" s="471">
        <f t="shared" si="109"/>
        <v>0.05</v>
      </c>
      <c r="N1199" s="475">
        <f t="shared" si="110"/>
        <v>87538</v>
      </c>
    </row>
    <row r="1200" spans="7:14" ht="11.25" customHeight="1" x14ac:dyDescent="0.3">
      <c r="G1200" s="470">
        <f t="shared" si="124"/>
        <v>100</v>
      </c>
      <c r="H1200" s="470">
        <v>1193</v>
      </c>
      <c r="I1200" s="455">
        <f t="shared" ca="1" si="108"/>
        <v>56966065.78441184</v>
      </c>
      <c r="J1200" s="455">
        <f t="array" ref="J1200">IFERROR(INDEX('Retirement Calculator'!J:J,MATCH('Isaac 401k'!N1200,'Retirement Calculator'!A:A,0),0),0)</f>
        <v>0</v>
      </c>
      <c r="K1200" s="455">
        <f t="shared" ca="1" si="105"/>
        <v>237358.60743504934</v>
      </c>
      <c r="L1200" s="455">
        <f t="shared" ca="1" si="106"/>
        <v>57203424.391846888</v>
      </c>
      <c r="M1200" s="471">
        <f t="shared" si="109"/>
        <v>0.05</v>
      </c>
      <c r="N1200" s="475">
        <f t="shared" si="110"/>
        <v>87568</v>
      </c>
    </row>
    <row r="1201" spans="7:14" ht="11.25" customHeight="1" x14ac:dyDescent="0.3">
      <c r="G1201" s="470">
        <f t="shared" si="124"/>
        <v>100</v>
      </c>
      <c r="H1201" s="470">
        <v>1194</v>
      </c>
      <c r="I1201" s="455">
        <f t="shared" ca="1" si="108"/>
        <v>57203424.391846888</v>
      </c>
      <c r="J1201" s="455">
        <f t="array" ref="J1201">IFERROR(INDEX('Retirement Calculator'!J:J,MATCH('Isaac 401k'!N1201,'Retirement Calculator'!A:A,0),0),0)</f>
        <v>0</v>
      </c>
      <c r="K1201" s="455">
        <f t="shared" ca="1" si="105"/>
        <v>238347.60163269538</v>
      </c>
      <c r="L1201" s="455">
        <f t="shared" ca="1" si="106"/>
        <v>57441771.99347958</v>
      </c>
      <c r="M1201" s="471">
        <f t="shared" si="109"/>
        <v>0.05</v>
      </c>
      <c r="N1201" s="475">
        <f t="shared" si="110"/>
        <v>87599</v>
      </c>
    </row>
    <row r="1202" spans="7:14" ht="11.25" customHeight="1" x14ac:dyDescent="0.3">
      <c r="G1202" s="470">
        <f t="shared" si="124"/>
        <v>100</v>
      </c>
      <c r="H1202" s="470">
        <v>1195</v>
      </c>
      <c r="I1202" s="455">
        <f t="shared" ca="1" si="108"/>
        <v>57441771.99347958</v>
      </c>
      <c r="J1202" s="455">
        <f t="array" ref="J1202">IFERROR(INDEX('Retirement Calculator'!J:J,MATCH('Isaac 401k'!N1202,'Retirement Calculator'!A:A,0),0),0)</f>
        <v>0</v>
      </c>
      <c r="K1202" s="455">
        <f t="shared" ca="1" si="105"/>
        <v>239340.71663949828</v>
      </c>
      <c r="L1202" s="455">
        <f t="shared" ca="1" si="106"/>
        <v>57681112.710119076</v>
      </c>
      <c r="M1202" s="471">
        <f t="shared" si="109"/>
        <v>0.05</v>
      </c>
      <c r="N1202" s="475">
        <f t="shared" si="110"/>
        <v>87629</v>
      </c>
    </row>
    <row r="1203" spans="7:14" ht="11.25" customHeight="1" x14ac:dyDescent="0.3">
      <c r="G1203" s="470">
        <f t="shared" si="124"/>
        <v>100</v>
      </c>
      <c r="H1203" s="470">
        <v>1196</v>
      </c>
      <c r="I1203" s="455">
        <f t="shared" ca="1" si="108"/>
        <v>57681112.710119076</v>
      </c>
      <c r="J1203" s="455">
        <f t="array" ref="J1203">IFERROR(INDEX('Retirement Calculator'!J:J,MATCH('Isaac 401k'!N1203,'Retirement Calculator'!A:A,0),0),0)</f>
        <v>0</v>
      </c>
      <c r="K1203" s="455">
        <f t="shared" ca="1" si="105"/>
        <v>240337.9696254961</v>
      </c>
      <c r="L1203" s="455">
        <f t="shared" ca="1" si="106"/>
        <v>57921450.679744571</v>
      </c>
      <c r="M1203" s="471">
        <f t="shared" si="109"/>
        <v>0.05</v>
      </c>
      <c r="N1203" s="475">
        <f t="shared" si="110"/>
        <v>87660</v>
      </c>
    </row>
    <row r="1204" spans="7:14" ht="11.25" customHeight="1" x14ac:dyDescent="0.3">
      <c r="G1204" s="470">
        <f t="shared" si="124"/>
        <v>100</v>
      </c>
      <c r="H1204" s="470">
        <v>1197</v>
      </c>
      <c r="I1204" s="455">
        <f t="shared" ca="1" si="108"/>
        <v>57921450.679744571</v>
      </c>
      <c r="J1204" s="455">
        <f t="array" ref="J1204">IFERROR(INDEX('Retirement Calculator'!J:J,MATCH('Isaac 401k'!N1204,'Retirement Calculator'!A:A,0),0),0)</f>
        <v>0</v>
      </c>
      <c r="K1204" s="455">
        <f t="shared" ca="1" si="105"/>
        <v>241339.37783226903</v>
      </c>
      <c r="L1204" s="455">
        <f t="shared" ca="1" si="106"/>
        <v>58162790.057576843</v>
      </c>
      <c r="M1204" s="471">
        <f t="shared" si="109"/>
        <v>0.05</v>
      </c>
      <c r="N1204" s="475">
        <f t="shared" si="110"/>
        <v>87691</v>
      </c>
    </row>
    <row r="1205" spans="7:14" ht="11.25" customHeight="1" x14ac:dyDescent="0.3">
      <c r="G1205" s="470">
        <f t="shared" si="124"/>
        <v>100</v>
      </c>
      <c r="H1205" s="470">
        <v>1198</v>
      </c>
      <c r="I1205" s="455">
        <f t="shared" ca="1" si="108"/>
        <v>58162790.057576843</v>
      </c>
      <c r="J1205" s="455">
        <f t="array" ref="J1205">IFERROR(INDEX('Retirement Calculator'!J:J,MATCH('Isaac 401k'!N1205,'Retirement Calculator'!A:A,0),0),0)</f>
        <v>0</v>
      </c>
      <c r="K1205" s="455">
        <f t="shared" ca="1" si="105"/>
        <v>242344.9585732368</v>
      </c>
      <c r="L1205" s="455">
        <f t="shared" ca="1" si="106"/>
        <v>58405135.01615008</v>
      </c>
      <c r="M1205" s="471">
        <f t="shared" si="109"/>
        <v>0.05</v>
      </c>
      <c r="N1205" s="475">
        <f t="shared" si="110"/>
        <v>87720</v>
      </c>
    </row>
    <row r="1206" spans="7:14" ht="11.25" customHeight="1" x14ac:dyDescent="0.3">
      <c r="G1206" s="470">
        <f t="shared" si="124"/>
        <v>100</v>
      </c>
      <c r="H1206" s="470">
        <v>1199</v>
      </c>
      <c r="I1206" s="455">
        <f t="shared" ca="1" si="108"/>
        <v>58405135.01615008</v>
      </c>
      <c r="J1206" s="455">
        <f t="array" ref="J1206">IFERROR(INDEX('Retirement Calculator'!J:J,MATCH('Isaac 401k'!N1206,'Retirement Calculator'!A:A,0),0),0)</f>
        <v>0</v>
      </c>
      <c r="K1206" s="455">
        <f t="shared" ca="1" si="105"/>
        <v>243354.72923395867</v>
      </c>
      <c r="L1206" s="455">
        <f t="shared" ca="1" si="106"/>
        <v>58648489.745384037</v>
      </c>
      <c r="M1206" s="471">
        <f t="shared" si="109"/>
        <v>0.05</v>
      </c>
      <c r="N1206" s="475">
        <f t="shared" si="110"/>
        <v>87751</v>
      </c>
    </row>
    <row r="1207" spans="7:14" ht="11.25" customHeight="1" x14ac:dyDescent="0.3">
      <c r="G1207" s="470">
        <f t="shared" si="124"/>
        <v>100</v>
      </c>
      <c r="H1207" s="470">
        <v>1200</v>
      </c>
      <c r="I1207" s="455">
        <f t="shared" ca="1" si="108"/>
        <v>58648489.745384037</v>
      </c>
      <c r="J1207" s="455">
        <f t="array" ref="J1207">IFERROR(INDEX('Retirement Calculator'!J:J,MATCH('Isaac 401k'!N1207,'Retirement Calculator'!A:A,0),0),0)</f>
        <v>0</v>
      </c>
      <c r="K1207" s="455">
        <f t="shared" ca="1" si="105"/>
        <v>244368.70727243353</v>
      </c>
      <c r="L1207" s="455">
        <f t="shared" ca="1" si="106"/>
        <v>58892858.45265647</v>
      </c>
      <c r="M1207" s="471">
        <f t="shared" si="109"/>
        <v>0.05</v>
      </c>
      <c r="N1207" s="475">
        <f t="shared" si="110"/>
        <v>87781</v>
      </c>
    </row>
    <row r="1208" spans="7:14" ht="11.25" customHeight="1" x14ac:dyDescent="0.3">
      <c r="G1208" s="470">
        <f>G1207+1</f>
        <v>101</v>
      </c>
      <c r="H1208" s="470">
        <v>1201</v>
      </c>
      <c r="I1208" s="455">
        <f t="shared" ca="1" si="108"/>
        <v>58892858.45265647</v>
      </c>
      <c r="J1208" s="455">
        <f t="array" ref="J1208">IFERROR(INDEX('Retirement Calculator'!J:J,MATCH('Isaac 401k'!N1208,'Retirement Calculator'!A:A,0),0),0)</f>
        <v>0</v>
      </c>
      <c r="K1208" s="455">
        <f t="shared" ca="1" si="105"/>
        <v>245386.91021940197</v>
      </c>
      <c r="L1208" s="455">
        <f t="shared" ca="1" si="106"/>
        <v>59138245.362875871</v>
      </c>
      <c r="M1208" s="471">
        <f t="shared" si="109"/>
        <v>0.05</v>
      </c>
      <c r="N1208" s="475">
        <f t="shared" si="110"/>
        <v>87812</v>
      </c>
    </row>
    <row r="1209" spans="7:14" ht="11.25" customHeight="1" x14ac:dyDescent="0.3">
      <c r="G1209" s="470">
        <f t="shared" ref="G1209:G1219" si="125">G1208</f>
        <v>101</v>
      </c>
      <c r="H1209" s="470">
        <v>1202</v>
      </c>
      <c r="I1209" s="455">
        <f t="shared" ca="1" si="108"/>
        <v>59138245.362875871</v>
      </c>
      <c r="J1209" s="455">
        <f t="array" ref="J1209">IFERROR(INDEX('Retirement Calculator'!J:J,MATCH('Isaac 401k'!N1209,'Retirement Calculator'!A:A,0),0),0)</f>
        <v>0</v>
      </c>
      <c r="K1209" s="455">
        <f t="shared" ca="1" si="105"/>
        <v>246409.3556786495</v>
      </c>
      <c r="L1209" s="455">
        <f t="shared" ca="1" si="106"/>
        <v>59384654.718554519</v>
      </c>
      <c r="M1209" s="471">
        <f t="shared" si="109"/>
        <v>0.05</v>
      </c>
      <c r="N1209" s="475">
        <f t="shared" si="110"/>
        <v>87842</v>
      </c>
    </row>
    <row r="1210" spans="7:14" ht="11.25" customHeight="1" x14ac:dyDescent="0.3">
      <c r="G1210" s="470">
        <f t="shared" si="125"/>
        <v>101</v>
      </c>
      <c r="H1210" s="470">
        <v>1203</v>
      </c>
      <c r="I1210" s="455">
        <f t="shared" ca="1" si="108"/>
        <v>59384654.718554519</v>
      </c>
      <c r="J1210" s="455">
        <f t="array" ref="J1210">IFERROR(INDEX('Retirement Calculator'!J:J,MATCH('Isaac 401k'!N1210,'Retirement Calculator'!A:A,0),0),0)</f>
        <v>0</v>
      </c>
      <c r="K1210" s="455">
        <f t="shared" ca="1" si="105"/>
        <v>247436.06132731048</v>
      </c>
      <c r="L1210" s="455">
        <f t="shared" ca="1" si="106"/>
        <v>59632090.779881828</v>
      </c>
      <c r="M1210" s="471">
        <f t="shared" si="109"/>
        <v>0.05</v>
      </c>
      <c r="N1210" s="475">
        <f t="shared" si="110"/>
        <v>87873</v>
      </c>
    </row>
    <row r="1211" spans="7:14" ht="11.25" customHeight="1" x14ac:dyDescent="0.3">
      <c r="G1211" s="470">
        <f t="shared" si="125"/>
        <v>101</v>
      </c>
      <c r="H1211" s="470">
        <v>1204</v>
      </c>
      <c r="I1211" s="455">
        <f t="shared" ca="1" si="108"/>
        <v>59632090.779881828</v>
      </c>
      <c r="J1211" s="455">
        <f t="array" ref="J1211">IFERROR(INDEX('Retirement Calculator'!J:J,MATCH('Isaac 401k'!N1211,'Retirement Calculator'!A:A,0),0),0)</f>
        <v>0</v>
      </c>
      <c r="K1211" s="455">
        <f t="shared" ca="1" si="105"/>
        <v>248467.04491617429</v>
      </c>
      <c r="L1211" s="455">
        <f t="shared" ca="1" si="106"/>
        <v>59880557.824798003</v>
      </c>
      <c r="M1211" s="471">
        <f t="shared" si="109"/>
        <v>0.05</v>
      </c>
      <c r="N1211" s="475">
        <f t="shared" si="110"/>
        <v>87904</v>
      </c>
    </row>
    <row r="1212" spans="7:14" ht="11.25" customHeight="1" x14ac:dyDescent="0.3">
      <c r="G1212" s="470">
        <f t="shared" si="125"/>
        <v>101</v>
      </c>
      <c r="H1212" s="470">
        <v>1205</v>
      </c>
      <c r="I1212" s="455">
        <f t="shared" ca="1" si="108"/>
        <v>59880557.824798003</v>
      </c>
      <c r="J1212" s="455">
        <f t="array" ref="J1212">IFERROR(INDEX('Retirement Calculator'!J:J,MATCH('Isaac 401k'!N1212,'Retirement Calculator'!A:A,0),0),0)</f>
        <v>0</v>
      </c>
      <c r="K1212" s="455">
        <f t="shared" ca="1" si="105"/>
        <v>249502.32426999172</v>
      </c>
      <c r="L1212" s="455">
        <f t="shared" ca="1" si="106"/>
        <v>60130060.149067998</v>
      </c>
      <c r="M1212" s="471">
        <f t="shared" si="109"/>
        <v>0.05</v>
      </c>
      <c r="N1212" s="475">
        <f t="shared" si="110"/>
        <v>87934</v>
      </c>
    </row>
    <row r="1213" spans="7:14" ht="11.25" customHeight="1" x14ac:dyDescent="0.3">
      <c r="G1213" s="470">
        <f t="shared" si="125"/>
        <v>101</v>
      </c>
      <c r="H1213" s="470">
        <v>1206</v>
      </c>
      <c r="I1213" s="455">
        <f t="shared" ca="1" si="108"/>
        <v>60130060.149067998</v>
      </c>
      <c r="J1213" s="455">
        <f t="array" ref="J1213">IFERROR(INDEX('Retirement Calculator'!J:J,MATCH('Isaac 401k'!N1213,'Retirement Calculator'!A:A,0),0),0)</f>
        <v>0</v>
      </c>
      <c r="K1213" s="455">
        <f t="shared" ca="1" si="105"/>
        <v>250541.91728778335</v>
      </c>
      <c r="L1213" s="455">
        <f t="shared" ca="1" si="106"/>
        <v>60380602.06635578</v>
      </c>
      <c r="M1213" s="471">
        <f t="shared" si="109"/>
        <v>0.05</v>
      </c>
      <c r="N1213" s="475">
        <f t="shared" si="110"/>
        <v>87965</v>
      </c>
    </row>
    <row r="1214" spans="7:14" ht="11.25" customHeight="1" x14ac:dyDescent="0.3">
      <c r="G1214" s="470">
        <f t="shared" si="125"/>
        <v>101</v>
      </c>
      <c r="H1214" s="470">
        <v>1207</v>
      </c>
      <c r="I1214" s="455">
        <f t="shared" ca="1" si="108"/>
        <v>60380602.06635578</v>
      </c>
      <c r="J1214" s="455">
        <f t="array" ref="J1214">IFERROR(INDEX('Retirement Calculator'!J:J,MATCH('Isaac 401k'!N1214,'Retirement Calculator'!A:A,0),0),0)</f>
        <v>0</v>
      </c>
      <c r="K1214" s="455">
        <f t="shared" ca="1" si="105"/>
        <v>251585.84194314908</v>
      </c>
      <c r="L1214" s="455">
        <f t="shared" ca="1" si="106"/>
        <v>60632187.908298932</v>
      </c>
      <c r="M1214" s="471">
        <f t="shared" si="109"/>
        <v>0.05</v>
      </c>
      <c r="N1214" s="475">
        <f t="shared" si="110"/>
        <v>87995</v>
      </c>
    </row>
    <row r="1215" spans="7:14" ht="11.25" customHeight="1" x14ac:dyDescent="0.3">
      <c r="G1215" s="470">
        <f t="shared" si="125"/>
        <v>101</v>
      </c>
      <c r="H1215" s="470">
        <v>1208</v>
      </c>
      <c r="I1215" s="455">
        <f t="shared" ca="1" si="108"/>
        <v>60632187.908298932</v>
      </c>
      <c r="J1215" s="455">
        <f t="array" ref="J1215">IFERROR(INDEX('Retirement Calculator'!J:J,MATCH('Isaac 401k'!N1215,'Retirement Calculator'!A:A,0),0),0)</f>
        <v>0</v>
      </c>
      <c r="K1215" s="455">
        <f t="shared" ca="1" si="105"/>
        <v>252634.11628457883</v>
      </c>
      <c r="L1215" s="455">
        <f t="shared" ca="1" si="106"/>
        <v>60884822.024583511</v>
      </c>
      <c r="M1215" s="471">
        <f t="shared" si="109"/>
        <v>0.05</v>
      </c>
      <c r="N1215" s="475">
        <f t="shared" si="110"/>
        <v>88026</v>
      </c>
    </row>
    <row r="1216" spans="7:14" ht="11.25" customHeight="1" x14ac:dyDescent="0.3">
      <c r="G1216" s="470">
        <f t="shared" si="125"/>
        <v>101</v>
      </c>
      <c r="H1216" s="470">
        <v>1209</v>
      </c>
      <c r="I1216" s="455">
        <f t="shared" ca="1" si="108"/>
        <v>60884822.024583511</v>
      </c>
      <c r="J1216" s="455">
        <f t="array" ref="J1216">IFERROR(INDEX('Retirement Calculator'!J:J,MATCH('Isaac 401k'!N1216,'Retirement Calculator'!A:A,0),0),0)</f>
        <v>0</v>
      </c>
      <c r="K1216" s="455">
        <f t="shared" ca="1" si="105"/>
        <v>253686.75843576461</v>
      </c>
      <c r="L1216" s="455">
        <f t="shared" ca="1" si="106"/>
        <v>61138508.783019274</v>
      </c>
      <c r="M1216" s="471">
        <f t="shared" si="109"/>
        <v>0.05</v>
      </c>
      <c r="N1216" s="475">
        <f t="shared" si="110"/>
        <v>88057</v>
      </c>
    </row>
    <row r="1217" spans="7:14" ht="11.25" customHeight="1" x14ac:dyDescent="0.3">
      <c r="G1217" s="470">
        <f t="shared" si="125"/>
        <v>101</v>
      </c>
      <c r="H1217" s="470">
        <v>1210</v>
      </c>
      <c r="I1217" s="455">
        <f t="shared" ca="1" si="108"/>
        <v>61138508.783019274</v>
      </c>
      <c r="J1217" s="455">
        <f t="array" ref="J1217">IFERROR(INDEX('Retirement Calculator'!J:J,MATCH('Isaac 401k'!N1217,'Retirement Calculator'!A:A,0),0),0)</f>
        <v>0</v>
      </c>
      <c r="K1217" s="455">
        <f t="shared" ca="1" si="105"/>
        <v>254743.78659591364</v>
      </c>
      <c r="L1217" s="455">
        <f t="shared" ca="1" si="106"/>
        <v>61393252.569615185</v>
      </c>
      <c r="M1217" s="471">
        <f t="shared" si="109"/>
        <v>0.05</v>
      </c>
      <c r="N1217" s="475">
        <f t="shared" si="110"/>
        <v>88085</v>
      </c>
    </row>
    <row r="1218" spans="7:14" ht="11.25" customHeight="1" x14ac:dyDescent="0.3">
      <c r="G1218" s="470">
        <f t="shared" si="125"/>
        <v>101</v>
      </c>
      <c r="H1218" s="470">
        <v>1211</v>
      </c>
      <c r="I1218" s="455">
        <f t="shared" ca="1" si="108"/>
        <v>61393252.569615185</v>
      </c>
      <c r="J1218" s="455">
        <f t="array" ref="J1218">IFERROR(INDEX('Retirement Calculator'!J:J,MATCH('Isaac 401k'!N1218,'Retirement Calculator'!A:A,0),0),0)</f>
        <v>0</v>
      </c>
      <c r="K1218" s="455">
        <f t="shared" ca="1" si="105"/>
        <v>255805.2190400633</v>
      </c>
      <c r="L1218" s="455">
        <f t="shared" ca="1" si="106"/>
        <v>61649057.788655251</v>
      </c>
      <c r="M1218" s="471">
        <f t="shared" si="109"/>
        <v>0.05</v>
      </c>
      <c r="N1218" s="475">
        <f t="shared" si="110"/>
        <v>88116</v>
      </c>
    </row>
    <row r="1219" spans="7:14" ht="11.25" customHeight="1" x14ac:dyDescent="0.3">
      <c r="G1219" s="470">
        <f t="shared" si="125"/>
        <v>101</v>
      </c>
      <c r="H1219" s="470">
        <v>1212</v>
      </c>
      <c r="I1219" s="455">
        <f t="shared" ca="1" si="108"/>
        <v>61649057.788655251</v>
      </c>
      <c r="J1219" s="455">
        <f t="array" ref="J1219">IFERROR(INDEX('Retirement Calculator'!J:J,MATCH('Isaac 401k'!N1219,'Retirement Calculator'!A:A,0),0),0)</f>
        <v>0</v>
      </c>
      <c r="K1219" s="455">
        <f t="shared" ca="1" si="105"/>
        <v>256871.07411939692</v>
      </c>
      <c r="L1219" s="455">
        <f t="shared" ca="1" si="106"/>
        <v>61905928.862774648</v>
      </c>
      <c r="M1219" s="471">
        <f t="shared" si="109"/>
        <v>0.05</v>
      </c>
      <c r="N1219" s="475">
        <f t="shared" si="110"/>
        <v>88146</v>
      </c>
    </row>
    <row r="1220" spans="7:14" ht="11.25" customHeight="1" x14ac:dyDescent="0.3">
      <c r="G1220" s="470"/>
      <c r="H1220" s="470">
        <v>1213</v>
      </c>
      <c r="I1220" s="455">
        <f t="shared" ca="1" si="108"/>
        <v>61905928.862774648</v>
      </c>
      <c r="J1220" s="455">
        <f t="array" ref="J1220">IFERROR(INDEX('Retirement Calculator'!J:J,MATCH('Isaac 401k'!N1220,'Retirement Calculator'!A:A,0),0),0)</f>
        <v>0</v>
      </c>
      <c r="K1220" s="455">
        <f t="shared" ca="1" si="105"/>
        <v>257941.37026156101</v>
      </c>
      <c r="L1220" s="455">
        <f t="shared" ca="1" si="106"/>
        <v>62163870.233036205</v>
      </c>
      <c r="M1220" s="471">
        <f t="shared" si="109"/>
        <v>0.05</v>
      </c>
      <c r="N1220" s="475">
        <f t="shared" si="110"/>
        <v>88177</v>
      </c>
    </row>
    <row r="1221" spans="7:14" ht="11.25" customHeight="1" x14ac:dyDescent="0.3">
      <c r="G1221" s="470"/>
      <c r="H1221" s="470">
        <v>1214</v>
      </c>
      <c r="I1221" s="455">
        <f t="shared" ca="1" si="108"/>
        <v>62163870.233036205</v>
      </c>
      <c r="J1221" s="455">
        <f t="array" ref="J1221">IFERROR(INDEX('Retirement Calculator'!J:J,MATCH('Isaac 401k'!N1221,'Retirement Calculator'!A:A,0),0),0)</f>
        <v>0</v>
      </c>
      <c r="K1221" s="455">
        <f t="shared" ca="1" si="105"/>
        <v>259016.1259709842</v>
      </c>
      <c r="L1221" s="455">
        <f t="shared" ca="1" si="106"/>
        <v>62422886.359007187</v>
      </c>
      <c r="M1221" s="471">
        <f t="shared" si="109"/>
        <v>0.05</v>
      </c>
      <c r="N1221" s="475">
        <f t="shared" si="110"/>
        <v>88207</v>
      </c>
    </row>
    <row r="1222" spans="7:14" ht="11.25" customHeight="1" x14ac:dyDescent="0.3">
      <c r="G1222" s="470"/>
      <c r="H1222" s="470">
        <v>1215</v>
      </c>
      <c r="I1222" s="455">
        <f t="shared" ca="1" si="108"/>
        <v>62422886.359007187</v>
      </c>
      <c r="J1222" s="455">
        <f t="array" ref="J1222">IFERROR(INDEX('Retirement Calculator'!J:J,MATCH('Isaac 401k'!N1222,'Retirement Calculator'!A:A,0),0),0)</f>
        <v>0</v>
      </c>
      <c r="K1222" s="455">
        <f t="shared" ca="1" si="105"/>
        <v>260095.35982919662</v>
      </c>
      <c r="L1222" s="455">
        <f t="shared" ca="1" si="106"/>
        <v>62682981.718836382</v>
      </c>
      <c r="M1222" s="471">
        <f t="shared" si="109"/>
        <v>0.05</v>
      </c>
      <c r="N1222" s="475">
        <f t="shared" si="110"/>
        <v>88238</v>
      </c>
    </row>
    <row r="1223" spans="7:14" ht="11.25" customHeight="1" x14ac:dyDescent="0.3">
      <c r="G1223" s="470"/>
      <c r="H1223" s="470">
        <v>1216</v>
      </c>
      <c r="I1223" s="455">
        <f t="shared" ca="1" si="108"/>
        <v>62682981.718836382</v>
      </c>
      <c r="J1223" s="455">
        <f t="array" ref="J1223">IFERROR(INDEX('Retirement Calculator'!J:J,MATCH('Isaac 401k'!N1223,'Retirement Calculator'!A:A,0),0),0)</f>
        <v>0</v>
      </c>
      <c r="K1223" s="455">
        <f t="shared" ca="1" si="105"/>
        <v>261179.09049515158</v>
      </c>
      <c r="L1223" s="455">
        <f t="shared" ca="1" si="106"/>
        <v>62944160.809331536</v>
      </c>
      <c r="M1223" s="471">
        <f t="shared" si="109"/>
        <v>0.05</v>
      </c>
      <c r="N1223" s="475">
        <f t="shared" si="110"/>
        <v>88269</v>
      </c>
    </row>
    <row r="1224" spans="7:14" ht="11.25" customHeight="1" x14ac:dyDescent="0.3">
      <c r="G1224" s="470"/>
      <c r="H1224" s="470">
        <v>1217</v>
      </c>
      <c r="I1224" s="455">
        <f t="shared" ca="1" si="108"/>
        <v>62944160.809331536</v>
      </c>
      <c r="J1224" s="455">
        <f t="array" ref="J1224">IFERROR(INDEX('Retirement Calculator'!J:J,MATCH('Isaac 401k'!N1224,'Retirement Calculator'!A:A,0),0),0)</f>
        <v>0</v>
      </c>
      <c r="K1224" s="455">
        <f t="shared" ca="1" si="105"/>
        <v>262267.33670554805</v>
      </c>
      <c r="L1224" s="455">
        <f t="shared" ca="1" si="106"/>
        <v>63206428.146037087</v>
      </c>
      <c r="M1224" s="471">
        <f t="shared" si="109"/>
        <v>0.05</v>
      </c>
      <c r="N1224" s="475">
        <f t="shared" si="110"/>
        <v>88299</v>
      </c>
    </row>
    <row r="1225" spans="7:14" ht="11.25" customHeight="1" x14ac:dyDescent="0.3">
      <c r="G1225" s="470"/>
      <c r="H1225" s="470">
        <v>1218</v>
      </c>
      <c r="I1225" s="455">
        <f t="shared" ca="1" si="108"/>
        <v>63206428.146037087</v>
      </c>
      <c r="J1225" s="455">
        <f t="array" ref="J1225">IFERROR(INDEX('Retirement Calculator'!J:J,MATCH('Isaac 401k'!N1225,'Retirement Calculator'!A:A,0),0),0)</f>
        <v>0</v>
      </c>
      <c r="K1225" s="455">
        <f t="shared" ca="1" si="105"/>
        <v>263360.11727515451</v>
      </c>
      <c r="L1225" s="455">
        <f t="shared" ca="1" si="106"/>
        <v>63469788.263312243</v>
      </c>
      <c r="M1225" s="471">
        <f t="shared" si="109"/>
        <v>0.05</v>
      </c>
      <c r="N1225" s="475">
        <f t="shared" si="110"/>
        <v>88330</v>
      </c>
    </row>
    <row r="1226" spans="7:14" ht="11.25" customHeight="1" x14ac:dyDescent="0.3">
      <c r="G1226" s="470"/>
      <c r="H1226" s="470">
        <v>1219</v>
      </c>
      <c r="I1226" s="455">
        <f t="shared" ca="1" si="108"/>
        <v>63469788.263312243</v>
      </c>
      <c r="J1226" s="455">
        <f t="array" ref="J1226">IFERROR(INDEX('Retirement Calculator'!J:J,MATCH('Isaac 401k'!N1226,'Retirement Calculator'!A:A,0),0),0)</f>
        <v>0</v>
      </c>
      <c r="K1226" s="455">
        <f t="shared" ca="1" si="105"/>
        <v>264457.45109713433</v>
      </c>
      <c r="L1226" s="455">
        <f t="shared" ca="1" si="106"/>
        <v>63734245.714409374</v>
      </c>
      <c r="M1226" s="471">
        <f t="shared" si="109"/>
        <v>0.05</v>
      </c>
      <c r="N1226" s="475">
        <f t="shared" si="110"/>
        <v>88360</v>
      </c>
    </row>
    <row r="1227" spans="7:14" ht="11.25" customHeight="1" x14ac:dyDescent="0.3">
      <c r="G1227" s="470"/>
      <c r="H1227" s="470">
        <v>1220</v>
      </c>
      <c r="I1227" s="455">
        <f t="shared" ca="1" si="108"/>
        <v>63734245.714409374</v>
      </c>
      <c r="J1227" s="455">
        <f t="array" ref="J1227">IFERROR(INDEX('Retirement Calculator'!J:J,MATCH('Isaac 401k'!N1227,'Retirement Calculator'!A:A,0),0),0)</f>
        <v>0</v>
      </c>
      <c r="K1227" s="455">
        <f t="shared" ca="1" si="105"/>
        <v>265559.35714337241</v>
      </c>
      <c r="L1227" s="455">
        <f t="shared" ca="1" si="106"/>
        <v>63999805.071552746</v>
      </c>
      <c r="M1227" s="471">
        <f t="shared" si="109"/>
        <v>0.05</v>
      </c>
      <c r="N1227" s="475">
        <f t="shared" si="110"/>
        <v>88391</v>
      </c>
    </row>
    <row r="1228" spans="7:14" ht="11.25" customHeight="1" x14ac:dyDescent="0.3">
      <c r="G1228" s="470"/>
      <c r="H1228" s="470">
        <v>1221</v>
      </c>
      <c r="I1228" s="455">
        <f t="shared" ca="1" si="108"/>
        <v>63999805.071552746</v>
      </c>
      <c r="J1228" s="455">
        <f t="array" ref="J1228">IFERROR(INDEX('Retirement Calculator'!J:J,MATCH('Isaac 401k'!N1228,'Retirement Calculator'!A:A,0),0),0)</f>
        <v>0</v>
      </c>
      <c r="K1228" s="455">
        <f t="shared" ca="1" si="105"/>
        <v>266665.85446480312</v>
      </c>
      <c r="L1228" s="455">
        <f t="shared" ca="1" si="106"/>
        <v>64266470.926017553</v>
      </c>
      <c r="M1228" s="471">
        <f t="shared" si="109"/>
        <v>0.05</v>
      </c>
      <c r="N1228" s="475">
        <f t="shared" si="110"/>
        <v>88422</v>
      </c>
    </row>
    <row r="1229" spans="7:14" ht="11.25" customHeight="1" x14ac:dyDescent="0.3">
      <c r="G1229" s="470"/>
      <c r="H1229" s="470">
        <v>1222</v>
      </c>
      <c r="I1229" s="455">
        <f t="shared" ca="1" si="108"/>
        <v>64266470.926017553</v>
      </c>
      <c r="J1229" s="455">
        <f t="array" ref="J1229">IFERROR(INDEX('Retirement Calculator'!J:J,MATCH('Isaac 401k'!N1229,'Retirement Calculator'!A:A,0),0),0)</f>
        <v>0</v>
      </c>
      <c r="K1229" s="455">
        <f t="shared" ca="1" si="105"/>
        <v>267776.96219173982</v>
      </c>
      <c r="L1229" s="455">
        <f t="shared" ca="1" si="106"/>
        <v>64534247.888209291</v>
      </c>
      <c r="M1229" s="471">
        <f t="shared" si="109"/>
        <v>0.05</v>
      </c>
      <c r="N1229" s="475">
        <f t="shared" si="110"/>
        <v>88450</v>
      </c>
    </row>
    <row r="1230" spans="7:14" ht="11.25" customHeight="1" x14ac:dyDescent="0.3">
      <c r="G1230" s="470"/>
      <c r="H1230" s="470">
        <v>1223</v>
      </c>
      <c r="I1230" s="455">
        <f t="shared" ca="1" si="108"/>
        <v>64534247.888209291</v>
      </c>
      <c r="J1230" s="455">
        <f t="array" ref="J1230">IFERROR(INDEX('Retirement Calculator'!J:J,MATCH('Isaac 401k'!N1230,'Retirement Calculator'!A:A,0),0),0)</f>
        <v>0</v>
      </c>
      <c r="K1230" s="455">
        <f t="shared" ca="1" si="105"/>
        <v>268892.69953420537</v>
      </c>
      <c r="L1230" s="455">
        <f t="shared" ca="1" si="106"/>
        <v>64803140.587743498</v>
      </c>
      <c r="M1230" s="471">
        <f t="shared" si="109"/>
        <v>0.05</v>
      </c>
      <c r="N1230" s="475">
        <f t="shared" si="110"/>
        <v>88481</v>
      </c>
    </row>
    <row r="1231" spans="7:14" ht="11.25" customHeight="1" x14ac:dyDescent="0.3">
      <c r="G1231" s="470"/>
      <c r="H1231" s="470">
        <v>1224</v>
      </c>
      <c r="I1231" s="455">
        <f t="shared" ca="1" si="108"/>
        <v>64803140.587743498</v>
      </c>
      <c r="J1231" s="455">
        <f t="array" ref="J1231">IFERROR(INDEX('Retirement Calculator'!J:J,MATCH('Isaac 401k'!N1231,'Retirement Calculator'!A:A,0),0),0)</f>
        <v>0</v>
      </c>
      <c r="K1231" s="455">
        <f t="shared" ca="1" si="105"/>
        <v>270013.08578226453</v>
      </c>
      <c r="L1231" s="455">
        <f t="shared" ca="1" si="106"/>
        <v>65073153.673525766</v>
      </c>
      <c r="M1231" s="471">
        <f t="shared" si="109"/>
        <v>0.05</v>
      </c>
      <c r="N1231" s="475">
        <f t="shared" si="110"/>
        <v>88511</v>
      </c>
    </row>
    <row r="1232" spans="7:14" ht="11.25" customHeight="1" x14ac:dyDescent="0.3">
      <c r="G1232" s="470"/>
      <c r="H1232" s="470">
        <v>1225</v>
      </c>
      <c r="I1232" s="455">
        <f t="shared" ca="1" si="108"/>
        <v>65073153.673525766</v>
      </c>
      <c r="J1232" s="455">
        <f t="array" ref="J1232">IFERROR(INDEX('Retirement Calculator'!J:J,MATCH('Isaac 401k'!N1232,'Retirement Calculator'!A:A,0),0),0)</f>
        <v>0</v>
      </c>
      <c r="K1232" s="455">
        <f t="shared" ca="1" si="105"/>
        <v>271138.14030635741</v>
      </c>
      <c r="L1232" s="455">
        <f t="shared" ca="1" si="106"/>
        <v>65344291.813832127</v>
      </c>
      <c r="M1232" s="471">
        <f t="shared" si="109"/>
        <v>0.05</v>
      </c>
      <c r="N1232" s="475">
        <f t="shared" si="110"/>
        <v>88542</v>
      </c>
    </row>
    <row r="1233" spans="7:14" ht="11.25" customHeight="1" x14ac:dyDescent="0.3">
      <c r="G1233" s="470"/>
      <c r="H1233" s="470">
        <v>1226</v>
      </c>
      <c r="I1233" s="455">
        <f t="shared" ca="1" si="108"/>
        <v>65344291.813832127</v>
      </c>
      <c r="J1233" s="455">
        <f t="array" ref="J1233">IFERROR(INDEX('Retirement Calculator'!J:J,MATCH('Isaac 401k'!N1233,'Retirement Calculator'!A:A,0),0),0)</f>
        <v>0</v>
      </c>
      <c r="K1233" s="455">
        <f t="shared" ca="1" si="105"/>
        <v>272267.88255763386</v>
      </c>
      <c r="L1233" s="455">
        <f t="shared" ca="1" si="106"/>
        <v>65616559.696389757</v>
      </c>
      <c r="M1233" s="471">
        <f t="shared" si="109"/>
        <v>0.05</v>
      </c>
      <c r="N1233" s="475">
        <f t="shared" si="110"/>
        <v>88572</v>
      </c>
    </row>
    <row r="1234" spans="7:14" ht="11.25" customHeight="1" x14ac:dyDescent="0.3">
      <c r="G1234" s="470"/>
      <c r="H1234" s="470">
        <v>1227</v>
      </c>
      <c r="I1234" s="455">
        <f t="shared" ca="1" si="108"/>
        <v>65616559.696389757</v>
      </c>
      <c r="J1234" s="455">
        <f t="array" ref="J1234">IFERROR(INDEX('Retirement Calculator'!J:J,MATCH('Isaac 401k'!N1234,'Retirement Calculator'!A:A,0),0),0)</f>
        <v>0</v>
      </c>
      <c r="K1234" s="455">
        <f t="shared" ca="1" si="105"/>
        <v>273402.33206829068</v>
      </c>
      <c r="L1234" s="455">
        <f t="shared" ca="1" si="106"/>
        <v>65889962.028458051</v>
      </c>
      <c r="M1234" s="471">
        <f t="shared" si="109"/>
        <v>0.05</v>
      </c>
      <c r="N1234" s="475">
        <f t="shared" si="110"/>
        <v>88603</v>
      </c>
    </row>
    <row r="1235" spans="7:14" ht="11.25" customHeight="1" x14ac:dyDescent="0.3">
      <c r="G1235" s="470"/>
      <c r="H1235" s="470">
        <v>1228</v>
      </c>
      <c r="I1235" s="455">
        <f t="shared" ca="1" si="108"/>
        <v>65889962.028458051</v>
      </c>
      <c r="J1235" s="455">
        <f t="array" ref="J1235">IFERROR(INDEX('Retirement Calculator'!J:J,MATCH('Isaac 401k'!N1235,'Retirement Calculator'!A:A,0),0),0)</f>
        <v>0</v>
      </c>
      <c r="K1235" s="455">
        <f t="shared" ca="1" si="105"/>
        <v>274541.50845190854</v>
      </c>
      <c r="L1235" s="455">
        <f t="shared" ca="1" si="106"/>
        <v>66164503.53690996</v>
      </c>
      <c r="M1235" s="471">
        <f t="shared" si="109"/>
        <v>0.05</v>
      </c>
      <c r="N1235" s="475">
        <f t="shared" si="110"/>
        <v>88634</v>
      </c>
    </row>
    <row r="1236" spans="7:14" ht="11.25" customHeight="1" x14ac:dyDescent="0.3">
      <c r="G1236" s="470"/>
      <c r="H1236" s="470">
        <v>1229</v>
      </c>
      <c r="I1236" s="455">
        <f t="shared" ca="1" si="108"/>
        <v>66164503.53690996</v>
      </c>
      <c r="J1236" s="455">
        <f t="array" ref="J1236">IFERROR(INDEX('Retirement Calculator'!J:J,MATCH('Isaac 401k'!N1236,'Retirement Calculator'!A:A,0),0),0)</f>
        <v>0</v>
      </c>
      <c r="K1236" s="455">
        <f t="shared" ca="1" si="105"/>
        <v>275685.43140379153</v>
      </c>
      <c r="L1236" s="455">
        <f t="shared" ca="1" si="106"/>
        <v>66440188.968313754</v>
      </c>
      <c r="M1236" s="471">
        <f t="shared" si="109"/>
        <v>0.05</v>
      </c>
      <c r="N1236" s="475">
        <f t="shared" si="110"/>
        <v>88664</v>
      </c>
    </row>
    <row r="1237" spans="7:14" ht="11.25" customHeight="1" x14ac:dyDescent="0.3">
      <c r="G1237" s="470"/>
      <c r="H1237" s="470">
        <v>1230</v>
      </c>
      <c r="I1237" s="455">
        <f t="shared" ca="1" si="108"/>
        <v>66440188.968313754</v>
      </c>
      <c r="J1237" s="455">
        <f t="array" ref="J1237">IFERROR(INDEX('Retirement Calculator'!J:J,MATCH('Isaac 401k'!N1237,'Retirement Calculator'!A:A,0),0),0)</f>
        <v>0</v>
      </c>
      <c r="K1237" s="455">
        <f t="shared" ca="1" si="105"/>
        <v>276834.12070130731</v>
      </c>
      <c r="L1237" s="455">
        <f t="shared" ca="1" si="106"/>
        <v>66717023.089015059</v>
      </c>
      <c r="M1237" s="471">
        <f t="shared" si="109"/>
        <v>0.05</v>
      </c>
      <c r="N1237" s="475">
        <f t="shared" si="110"/>
        <v>88695</v>
      </c>
    </row>
    <row r="1238" spans="7:14" ht="11.25" customHeight="1" x14ac:dyDescent="0.3">
      <c r="G1238" s="470"/>
      <c r="H1238" s="470">
        <v>1231</v>
      </c>
      <c r="I1238" s="455">
        <f t="shared" ca="1" si="108"/>
        <v>66717023.089015059</v>
      </c>
      <c r="J1238" s="455">
        <f t="array" ref="J1238">IFERROR(INDEX('Retirement Calculator'!J:J,MATCH('Isaac 401k'!N1238,'Retirement Calculator'!A:A,0),0),0)</f>
        <v>0</v>
      </c>
      <c r="K1238" s="455">
        <f t="shared" ca="1" si="105"/>
        <v>277987.5962042294</v>
      </c>
      <c r="L1238" s="455">
        <f t="shared" ca="1" si="106"/>
        <v>66995010.685219288</v>
      </c>
      <c r="M1238" s="471">
        <f t="shared" si="109"/>
        <v>0.05</v>
      </c>
      <c r="N1238" s="475">
        <f t="shared" si="110"/>
        <v>88725</v>
      </c>
    </row>
    <row r="1239" spans="7:14" ht="11.25" customHeight="1" x14ac:dyDescent="0.3">
      <c r="G1239" s="470"/>
      <c r="H1239" s="470">
        <v>1232</v>
      </c>
      <c r="I1239" s="455">
        <f t="shared" ca="1" si="108"/>
        <v>66995010.685219288</v>
      </c>
      <c r="J1239" s="455">
        <f t="array" ref="J1239">IFERROR(INDEX('Retirement Calculator'!J:J,MATCH('Isaac 401k'!N1239,'Retirement Calculator'!A:A,0),0),0)</f>
        <v>0</v>
      </c>
      <c r="K1239" s="455">
        <f t="shared" ca="1" si="105"/>
        <v>279145.87785508035</v>
      </c>
      <c r="L1239" s="455">
        <f t="shared" ca="1" si="106"/>
        <v>67274156.563074365</v>
      </c>
      <c r="M1239" s="471">
        <f t="shared" si="109"/>
        <v>0.05</v>
      </c>
      <c r="N1239" s="475">
        <f t="shared" si="110"/>
        <v>88756</v>
      </c>
    </row>
    <row r="1240" spans="7:14" ht="11.25" customHeight="1" x14ac:dyDescent="0.3">
      <c r="G1240" s="470"/>
      <c r="H1240" s="470">
        <v>1233</v>
      </c>
      <c r="I1240" s="455">
        <f t="shared" ca="1" si="108"/>
        <v>67274156.563074365</v>
      </c>
      <c r="J1240" s="455">
        <f t="array" ref="J1240">IFERROR(INDEX('Retirement Calculator'!J:J,MATCH('Isaac 401k'!N1240,'Retirement Calculator'!A:A,0),0),0)</f>
        <v>0</v>
      </c>
      <c r="K1240" s="455">
        <f t="shared" ca="1" si="105"/>
        <v>280308.98567947652</v>
      </c>
      <c r="L1240" s="455">
        <f t="shared" ca="1" si="106"/>
        <v>67554465.548753843</v>
      </c>
      <c r="M1240" s="471">
        <f t="shared" si="109"/>
        <v>0.05</v>
      </c>
      <c r="N1240" s="475">
        <f t="shared" si="110"/>
        <v>88787</v>
      </c>
    </row>
    <row r="1241" spans="7:14" ht="11.25" customHeight="1" x14ac:dyDescent="0.3">
      <c r="G1241" s="470"/>
      <c r="H1241" s="470">
        <v>1234</v>
      </c>
      <c r="I1241" s="455">
        <f t="shared" ca="1" si="108"/>
        <v>67554465.548753843</v>
      </c>
      <c r="J1241" s="455">
        <f t="array" ref="J1241">IFERROR(INDEX('Retirement Calculator'!J:J,MATCH('Isaac 401k'!N1241,'Retirement Calculator'!A:A,0),0),0)</f>
        <v>0</v>
      </c>
      <c r="K1241" s="455">
        <f t="shared" ca="1" si="105"/>
        <v>281476.93978647434</v>
      </c>
      <c r="L1241" s="455">
        <f t="shared" ca="1" si="106"/>
        <v>67835942.488540322</v>
      </c>
      <c r="M1241" s="471">
        <f t="shared" si="109"/>
        <v>0.05</v>
      </c>
      <c r="N1241" s="475">
        <f t="shared" si="110"/>
        <v>88815</v>
      </c>
    </row>
    <row r="1242" spans="7:14" ht="11.25" customHeight="1" x14ac:dyDescent="0.3">
      <c r="G1242" s="470"/>
      <c r="H1242" s="470">
        <v>1235</v>
      </c>
      <c r="I1242" s="455">
        <f t="shared" ca="1" si="108"/>
        <v>67835942.488540322</v>
      </c>
      <c r="J1242" s="455">
        <f t="array" ref="J1242">IFERROR(INDEX('Retirement Calculator'!J:J,MATCH('Isaac 401k'!N1242,'Retirement Calculator'!A:A,0),0),0)</f>
        <v>0</v>
      </c>
      <c r="K1242" s="455">
        <f t="shared" ca="1" si="105"/>
        <v>282649.76036891801</v>
      </c>
      <c r="L1242" s="455">
        <f t="shared" ca="1" si="106"/>
        <v>68118592.248909235</v>
      </c>
      <c r="M1242" s="471">
        <f t="shared" si="109"/>
        <v>0.05</v>
      </c>
      <c r="N1242" s="475">
        <f t="shared" si="110"/>
        <v>88846</v>
      </c>
    </row>
    <row r="1243" spans="7:14" ht="11.25" customHeight="1" x14ac:dyDescent="0.3">
      <c r="G1243" s="470"/>
      <c r="H1243" s="470">
        <v>1236</v>
      </c>
      <c r="I1243" s="455">
        <f t="shared" ca="1" si="108"/>
        <v>68118592.248909235</v>
      </c>
      <c r="J1243" s="455">
        <f t="array" ref="J1243">IFERROR(INDEX('Retirement Calculator'!J:J,MATCH('Isaac 401k'!N1243,'Retirement Calculator'!A:A,0),0),0)</f>
        <v>0</v>
      </c>
      <c r="K1243" s="455">
        <f t="shared" ca="1" si="105"/>
        <v>283827.46770378848</v>
      </c>
      <c r="L1243" s="455">
        <f t="shared" ca="1" si="106"/>
        <v>68402419.716613024</v>
      </c>
      <c r="M1243" s="471">
        <f t="shared" si="109"/>
        <v>0.05</v>
      </c>
      <c r="N1243" s="475">
        <f t="shared" si="110"/>
        <v>88876</v>
      </c>
    </row>
    <row r="1244" spans="7:14" ht="11.25" customHeight="1" x14ac:dyDescent="0.3">
      <c r="G1244" s="470"/>
      <c r="H1244" s="470">
        <v>1237</v>
      </c>
      <c r="I1244" s="455">
        <f t="shared" ca="1" si="108"/>
        <v>68402419.716613024</v>
      </c>
      <c r="J1244" s="455">
        <f t="array" ref="J1244">IFERROR(INDEX('Retirement Calculator'!J:J,MATCH('Isaac 401k'!N1244,'Retirement Calculator'!A:A,0),0),0)</f>
        <v>0</v>
      </c>
      <c r="K1244" s="455">
        <f t="shared" ca="1" si="105"/>
        <v>285010.08215255424</v>
      </c>
      <c r="L1244" s="455">
        <f t="shared" ca="1" si="106"/>
        <v>68687429.798765585</v>
      </c>
      <c r="M1244" s="471">
        <f t="shared" si="109"/>
        <v>0.05</v>
      </c>
      <c r="N1244" s="475">
        <f t="shared" si="110"/>
        <v>88907</v>
      </c>
    </row>
    <row r="1245" spans="7:14" ht="11.25" customHeight="1" x14ac:dyDescent="0.3">
      <c r="G1245" s="470"/>
      <c r="H1245" s="470">
        <v>1238</v>
      </c>
      <c r="I1245" s="455">
        <f t="shared" ca="1" si="108"/>
        <v>68687429.798765585</v>
      </c>
      <c r="J1245" s="455">
        <f t="array" ref="J1245">IFERROR(INDEX('Retirement Calculator'!J:J,MATCH('Isaac 401k'!N1245,'Retirement Calculator'!A:A,0),0),0)</f>
        <v>0</v>
      </c>
      <c r="K1245" s="455">
        <f t="shared" ca="1" si="105"/>
        <v>286197.62416152324</v>
      </c>
      <c r="L1245" s="455">
        <f t="shared" ca="1" si="106"/>
        <v>68973627.422927111</v>
      </c>
      <c r="M1245" s="471">
        <f t="shared" si="109"/>
        <v>0.05</v>
      </c>
      <c r="N1245" s="475">
        <f t="shared" si="110"/>
        <v>88937</v>
      </c>
    </row>
    <row r="1246" spans="7:14" ht="11.25" customHeight="1" x14ac:dyDescent="0.3">
      <c r="G1246" s="470"/>
      <c r="H1246" s="470">
        <v>1239</v>
      </c>
      <c r="I1246" s="455">
        <f t="shared" ca="1" si="108"/>
        <v>68973627.422927111</v>
      </c>
      <c r="J1246" s="455">
        <f t="array" ref="J1246">IFERROR(INDEX('Retirement Calculator'!J:J,MATCH('Isaac 401k'!N1246,'Retirement Calculator'!A:A,0),0),0)</f>
        <v>0</v>
      </c>
      <c r="K1246" s="455">
        <f t="shared" ca="1" si="105"/>
        <v>287390.11426219629</v>
      </c>
      <c r="L1246" s="455">
        <f t="shared" ca="1" si="106"/>
        <v>69261017.537189305</v>
      </c>
      <c r="M1246" s="471">
        <f t="shared" si="109"/>
        <v>0.05</v>
      </c>
      <c r="N1246" s="475">
        <f t="shared" si="110"/>
        <v>88968</v>
      </c>
    </row>
    <row r="1247" spans="7:14" ht="11.25" customHeight="1" x14ac:dyDescent="0.3">
      <c r="G1247" s="470"/>
      <c r="H1247" s="470">
        <v>1240</v>
      </c>
      <c r="I1247" s="455">
        <f t="shared" ca="1" si="108"/>
        <v>69261017.537189305</v>
      </c>
      <c r="J1247" s="455">
        <f t="array" ref="J1247">IFERROR(INDEX('Retirement Calculator'!J:J,MATCH('Isaac 401k'!N1247,'Retirement Calculator'!A:A,0),0),0)</f>
        <v>0</v>
      </c>
      <c r="K1247" s="455">
        <f t="shared" ca="1" si="105"/>
        <v>288587.57307162212</v>
      </c>
      <c r="L1247" s="455">
        <f t="shared" ca="1" si="106"/>
        <v>69549605.110260934</v>
      </c>
      <c r="M1247" s="471">
        <f t="shared" si="109"/>
        <v>0.05</v>
      </c>
      <c r="N1247" s="475">
        <f t="shared" si="110"/>
        <v>88999</v>
      </c>
    </row>
    <row r="1248" spans="7:14" ht="11.25" customHeight="1" x14ac:dyDescent="0.3">
      <c r="G1248" s="470"/>
      <c r="H1248" s="470">
        <v>1241</v>
      </c>
      <c r="I1248" s="455">
        <f t="shared" ca="1" si="108"/>
        <v>69549605.110260934</v>
      </c>
      <c r="J1248" s="455">
        <f t="array" ref="J1248">IFERROR(INDEX('Retirement Calculator'!J:J,MATCH('Isaac 401k'!N1248,'Retirement Calculator'!A:A,0),0),0)</f>
        <v>0</v>
      </c>
      <c r="K1248" s="455">
        <f t="shared" ca="1" si="105"/>
        <v>289790.02129275387</v>
      </c>
      <c r="L1248" s="455">
        <f t="shared" ca="1" si="106"/>
        <v>69839395.131553695</v>
      </c>
      <c r="M1248" s="471">
        <f t="shared" si="109"/>
        <v>0.05</v>
      </c>
      <c r="N1248" s="475">
        <f t="shared" si="110"/>
        <v>89029</v>
      </c>
    </row>
    <row r="1249" spans="7:14" ht="11.25" customHeight="1" x14ac:dyDescent="0.3">
      <c r="G1249" s="470"/>
      <c r="H1249" s="470">
        <v>1242</v>
      </c>
      <c r="I1249" s="455">
        <f t="shared" ca="1" si="108"/>
        <v>69839395.131553695</v>
      </c>
      <c r="J1249" s="455">
        <f t="array" ref="J1249">IFERROR(INDEX('Retirement Calculator'!J:J,MATCH('Isaac 401k'!N1249,'Retirement Calculator'!A:A,0),0),0)</f>
        <v>0</v>
      </c>
      <c r="K1249" s="455">
        <f t="shared" ca="1" si="105"/>
        <v>290997.47971480706</v>
      </c>
      <c r="L1249" s="455">
        <f t="shared" ca="1" si="106"/>
        <v>70130392.611268505</v>
      </c>
      <c r="M1249" s="471">
        <f t="shared" si="109"/>
        <v>0.05</v>
      </c>
      <c r="N1249" s="475">
        <f t="shared" si="110"/>
        <v>89060</v>
      </c>
    </row>
    <row r="1250" spans="7:14" ht="11.25" customHeight="1" x14ac:dyDescent="0.3">
      <c r="G1250" s="470"/>
      <c r="H1250" s="470">
        <v>1243</v>
      </c>
      <c r="I1250" s="455">
        <f t="shared" ca="1" si="108"/>
        <v>70130392.611268505</v>
      </c>
      <c r="J1250" s="455">
        <f t="array" ref="J1250">IFERROR(INDEX('Retirement Calculator'!J:J,MATCH('Isaac 401k'!N1250,'Retirement Calculator'!A:A,0),0),0)</f>
        <v>0</v>
      </c>
      <c r="K1250" s="455">
        <f t="shared" ca="1" si="105"/>
        <v>292209.96921361878</v>
      </c>
      <c r="L1250" s="455">
        <f t="shared" ca="1" si="106"/>
        <v>70422602.580482125</v>
      </c>
      <c r="M1250" s="471">
        <f t="shared" si="109"/>
        <v>0.05</v>
      </c>
      <c r="N1250" s="475">
        <f t="shared" si="110"/>
        <v>89090</v>
      </c>
    </row>
    <row r="1251" spans="7:14" ht="11.25" customHeight="1" x14ac:dyDescent="0.3">
      <c r="G1251" s="470"/>
      <c r="H1251" s="470">
        <v>1244</v>
      </c>
      <c r="I1251" s="455">
        <f t="shared" ca="1" si="108"/>
        <v>70422602.580482125</v>
      </c>
      <c r="J1251" s="455">
        <f t="array" ref="J1251">IFERROR(INDEX('Retirement Calculator'!J:J,MATCH('Isaac 401k'!N1251,'Retirement Calculator'!A:A,0),0),0)</f>
        <v>0</v>
      </c>
      <c r="K1251" s="455">
        <f t="shared" ca="1" si="105"/>
        <v>293427.51075200888</v>
      </c>
      <c r="L1251" s="455">
        <f t="shared" ca="1" si="106"/>
        <v>70716030.091234133</v>
      </c>
      <c r="M1251" s="471">
        <f t="shared" si="109"/>
        <v>0.05</v>
      </c>
      <c r="N1251" s="475">
        <f t="shared" si="110"/>
        <v>89121</v>
      </c>
    </row>
    <row r="1252" spans="7:14" ht="11.25" customHeight="1" x14ac:dyDescent="0.3">
      <c r="G1252" s="470"/>
      <c r="H1252" s="470">
        <v>1245</v>
      </c>
      <c r="I1252" s="455">
        <f t="shared" ca="1" si="108"/>
        <v>70716030.091234133</v>
      </c>
      <c r="J1252" s="455">
        <f t="array" ref="J1252">IFERROR(INDEX('Retirement Calculator'!J:J,MATCH('Isaac 401k'!N1252,'Retirement Calculator'!A:A,0),0),0)</f>
        <v>0</v>
      </c>
      <c r="K1252" s="455">
        <f t="shared" ca="1" si="105"/>
        <v>294650.12538014224</v>
      </c>
      <c r="L1252" s="455">
        <f t="shared" ca="1" si="106"/>
        <v>71010680.216614276</v>
      </c>
      <c r="M1252" s="471">
        <f t="shared" si="109"/>
        <v>0.05</v>
      </c>
      <c r="N1252" s="475">
        <f t="shared" si="110"/>
        <v>89152</v>
      </c>
    </row>
    <row r="1253" spans="7:14" ht="11.25" customHeight="1" x14ac:dyDescent="0.3">
      <c r="G1253" s="470"/>
      <c r="H1253" s="470">
        <v>1246</v>
      </c>
      <c r="I1253" s="455">
        <f t="shared" ca="1" si="108"/>
        <v>71010680.216614276</v>
      </c>
      <c r="J1253" s="455">
        <f t="array" ref="J1253">IFERROR(INDEX('Retirement Calculator'!J:J,MATCH('Isaac 401k'!N1253,'Retirement Calculator'!A:A,0),0),0)</f>
        <v>0</v>
      </c>
      <c r="K1253" s="455">
        <f t="shared" ca="1" si="105"/>
        <v>295877.83423589281</v>
      </c>
      <c r="L1253" s="455">
        <f t="shared" ca="1" si="106"/>
        <v>71306558.050850168</v>
      </c>
      <c r="M1253" s="471">
        <f t="shared" si="109"/>
        <v>0.05</v>
      </c>
      <c r="N1253" s="475">
        <f t="shared" si="110"/>
        <v>89181</v>
      </c>
    </row>
    <row r="1254" spans="7:14" ht="11.25" customHeight="1" x14ac:dyDescent="0.3">
      <c r="G1254" s="470"/>
      <c r="H1254" s="470">
        <v>1247</v>
      </c>
      <c r="I1254" s="455">
        <f t="shared" ca="1" si="108"/>
        <v>71306558.050850168</v>
      </c>
      <c r="J1254" s="455">
        <f t="array" ref="J1254">IFERROR(INDEX('Retirement Calculator'!J:J,MATCH('Isaac 401k'!N1254,'Retirement Calculator'!A:A,0),0),0)</f>
        <v>0</v>
      </c>
      <c r="K1254" s="455">
        <f t="shared" ca="1" si="105"/>
        <v>297110.65854520904</v>
      </c>
      <c r="L1254" s="455">
        <f t="shared" ca="1" si="106"/>
        <v>71603668.709395379</v>
      </c>
      <c r="M1254" s="471">
        <f t="shared" si="109"/>
        <v>0.05</v>
      </c>
      <c r="N1254" s="475">
        <f t="shared" si="110"/>
        <v>89212</v>
      </c>
    </row>
    <row r="1255" spans="7:14" ht="11.25" customHeight="1" x14ac:dyDescent="0.3">
      <c r="G1255" s="470"/>
      <c r="H1255" s="470">
        <v>1248</v>
      </c>
      <c r="I1255" s="455">
        <f t="shared" ca="1" si="108"/>
        <v>71603668.709395379</v>
      </c>
      <c r="J1255" s="455">
        <f t="array" ref="J1255">IFERROR(INDEX('Retirement Calculator'!J:J,MATCH('Isaac 401k'!N1255,'Retirement Calculator'!A:A,0),0),0)</f>
        <v>0</v>
      </c>
      <c r="K1255" s="455">
        <f t="shared" ca="1" si="105"/>
        <v>298348.61962248076</v>
      </c>
      <c r="L1255" s="455">
        <f t="shared" ca="1" si="106"/>
        <v>71902017.329017863</v>
      </c>
      <c r="M1255" s="471">
        <f t="shared" si="109"/>
        <v>0.05</v>
      </c>
      <c r="N1255" s="475">
        <f t="shared" si="110"/>
        <v>89242</v>
      </c>
    </row>
    <row r="1256" spans="7:14" ht="11.25" customHeight="1" x14ac:dyDescent="0.3">
      <c r="G1256" s="470"/>
      <c r="H1256" s="470">
        <v>1249</v>
      </c>
      <c r="I1256" s="455">
        <f t="shared" ca="1" si="108"/>
        <v>71902017.329017863</v>
      </c>
      <c r="J1256" s="455">
        <f t="array" ref="J1256">IFERROR(INDEX('Retirement Calculator'!J:J,MATCH('Isaac 401k'!N1256,'Retirement Calculator'!A:A,0),0),0)</f>
        <v>0</v>
      </c>
      <c r="K1256" s="455">
        <f t="shared" ca="1" si="105"/>
        <v>299591.73887090775</v>
      </c>
      <c r="L1256" s="455">
        <f t="shared" ca="1" si="106"/>
        <v>72201609.067888767</v>
      </c>
      <c r="M1256" s="471">
        <f t="shared" si="109"/>
        <v>0.05</v>
      </c>
      <c r="N1256" s="475">
        <f t="shared" si="110"/>
        <v>89273</v>
      </c>
    </row>
    <row r="1257" spans="7:14" ht="11.25" customHeight="1" x14ac:dyDescent="0.3">
      <c r="G1257" s="470"/>
      <c r="H1257" s="470">
        <v>1250</v>
      </c>
      <c r="I1257" s="455">
        <f t="shared" ca="1" si="108"/>
        <v>72201609.067888767</v>
      </c>
      <c r="J1257" s="455">
        <f t="array" ref="J1257">IFERROR(INDEX('Retirement Calculator'!J:J,MATCH('Isaac 401k'!N1257,'Retirement Calculator'!A:A,0),0),0)</f>
        <v>0</v>
      </c>
      <c r="K1257" s="455">
        <f t="shared" ca="1" si="105"/>
        <v>300840.03778286988</v>
      </c>
      <c r="L1257" s="455">
        <f t="shared" ca="1" si="106"/>
        <v>72502449.105671629</v>
      </c>
      <c r="M1257" s="471">
        <f t="shared" si="109"/>
        <v>0.05</v>
      </c>
      <c r="N1257" s="475">
        <f t="shared" si="110"/>
        <v>89303</v>
      </c>
    </row>
    <row r="1258" spans="7:14" ht="11.25" customHeight="1" x14ac:dyDescent="0.3">
      <c r="G1258" s="470"/>
      <c r="H1258" s="470">
        <v>1251</v>
      </c>
      <c r="I1258" s="455">
        <f t="shared" ca="1" si="108"/>
        <v>72502449.105671629</v>
      </c>
      <c r="J1258" s="455">
        <f t="array" ref="J1258">IFERROR(INDEX('Retirement Calculator'!J:J,MATCH('Isaac 401k'!N1258,'Retirement Calculator'!A:A,0),0),0)</f>
        <v>0</v>
      </c>
      <c r="K1258" s="455">
        <f t="shared" ca="1" si="105"/>
        <v>302093.53794029844</v>
      </c>
      <c r="L1258" s="455">
        <f t="shared" ca="1" si="106"/>
        <v>72804542.643611923</v>
      </c>
      <c r="M1258" s="471">
        <f t="shared" si="109"/>
        <v>0.05</v>
      </c>
      <c r="N1258" s="475">
        <f t="shared" si="110"/>
        <v>89334</v>
      </c>
    </row>
    <row r="1259" spans="7:14" ht="11.25" customHeight="1" x14ac:dyDescent="0.3">
      <c r="G1259" s="470"/>
      <c r="H1259" s="470">
        <v>1252</v>
      </c>
      <c r="I1259" s="455">
        <f t="shared" ca="1" si="108"/>
        <v>72804542.643611923</v>
      </c>
      <c r="J1259" s="455">
        <f t="array" ref="J1259">IFERROR(INDEX('Retirement Calculator'!J:J,MATCH('Isaac 401k'!N1259,'Retirement Calculator'!A:A,0),0),0)</f>
        <v>0</v>
      </c>
      <c r="K1259" s="455">
        <f t="shared" ca="1" si="105"/>
        <v>303352.26101504965</v>
      </c>
      <c r="L1259" s="455">
        <f t="shared" ca="1" si="106"/>
        <v>73107894.904626966</v>
      </c>
      <c r="M1259" s="471">
        <f t="shared" si="109"/>
        <v>0.05</v>
      </c>
      <c r="N1259" s="475">
        <f t="shared" si="110"/>
        <v>89365</v>
      </c>
    </row>
    <row r="1260" spans="7:14" ht="11.25" customHeight="1" x14ac:dyDescent="0.3">
      <c r="G1260" s="470"/>
      <c r="H1260" s="470">
        <v>1253</v>
      </c>
      <c r="I1260" s="455">
        <f t="shared" ca="1" si="108"/>
        <v>73107894.904626966</v>
      </c>
      <c r="J1260" s="455">
        <f t="array" ref="J1260">IFERROR(INDEX('Retirement Calculator'!J:J,MATCH('Isaac 401k'!N1260,'Retirement Calculator'!A:A,0),0),0)</f>
        <v>0</v>
      </c>
      <c r="K1260" s="455">
        <f t="shared" ca="1" si="105"/>
        <v>304616.22876927903</v>
      </c>
      <c r="L1260" s="455">
        <f t="shared" ca="1" si="106"/>
        <v>73412511.133396238</v>
      </c>
      <c r="M1260" s="471">
        <f t="shared" si="109"/>
        <v>0.05</v>
      </c>
      <c r="N1260" s="475">
        <f t="shared" si="110"/>
        <v>89395</v>
      </c>
    </row>
    <row r="1261" spans="7:14" ht="11.25" customHeight="1" x14ac:dyDescent="0.3">
      <c r="G1261" s="470"/>
      <c r="H1261" s="470">
        <v>1254</v>
      </c>
      <c r="I1261" s="455">
        <f t="shared" ca="1" si="108"/>
        <v>73412511.133396238</v>
      </c>
      <c r="J1261" s="455">
        <f t="array" ref="J1261">IFERROR(INDEX('Retirement Calculator'!J:J,MATCH('Isaac 401k'!N1261,'Retirement Calculator'!A:A,0),0),0)</f>
        <v>0</v>
      </c>
      <c r="K1261" s="455">
        <f t="shared" ca="1" si="105"/>
        <v>305885.46305581764</v>
      </c>
      <c r="L1261" s="455">
        <f t="shared" ca="1" si="106"/>
        <v>73718396.596452057</v>
      </c>
      <c r="M1261" s="471">
        <f t="shared" si="109"/>
        <v>0.05</v>
      </c>
      <c r="N1261" s="475">
        <f t="shared" si="110"/>
        <v>89426</v>
      </c>
    </row>
    <row r="1262" spans="7:14" ht="11.25" customHeight="1" x14ac:dyDescent="0.3">
      <c r="G1262" s="470"/>
      <c r="H1262" s="470">
        <v>1255</v>
      </c>
      <c r="I1262" s="455">
        <f t="shared" ca="1" si="108"/>
        <v>73718396.596452057</v>
      </c>
      <c r="J1262" s="455">
        <f t="array" ref="J1262">IFERROR(INDEX('Retirement Calculator'!J:J,MATCH('Isaac 401k'!N1262,'Retirement Calculator'!A:A,0),0),0)</f>
        <v>0</v>
      </c>
      <c r="K1262" s="455">
        <f t="shared" ca="1" si="105"/>
        <v>307159.98581855022</v>
      </c>
      <c r="L1262" s="455">
        <f t="shared" ca="1" si="106"/>
        <v>74025556.582270607</v>
      </c>
      <c r="M1262" s="471">
        <f t="shared" si="109"/>
        <v>0.05</v>
      </c>
      <c r="N1262" s="475">
        <f t="shared" si="110"/>
        <v>89456</v>
      </c>
    </row>
    <row r="1263" spans="7:14" ht="11.25" customHeight="1" x14ac:dyDescent="0.3">
      <c r="G1263" s="470"/>
      <c r="H1263" s="470">
        <v>1256</v>
      </c>
      <c r="I1263" s="455">
        <f t="shared" ca="1" si="108"/>
        <v>74025556.582270607</v>
      </c>
      <c r="J1263" s="455">
        <f t="array" ref="J1263">IFERROR(INDEX('Retirement Calculator'!J:J,MATCH('Isaac 401k'!N1263,'Retirement Calculator'!A:A,0),0),0)</f>
        <v>0</v>
      </c>
      <c r="K1263" s="455">
        <f t="shared" ca="1" si="105"/>
        <v>308439.81909279421</v>
      </c>
      <c r="L1263" s="455">
        <f t="shared" ca="1" si="106"/>
        <v>74333996.401363403</v>
      </c>
      <c r="M1263" s="471">
        <f t="shared" si="109"/>
        <v>0.05</v>
      </c>
      <c r="N1263" s="475">
        <f t="shared" si="110"/>
        <v>89487</v>
      </c>
    </row>
    <row r="1264" spans="7:14" ht="11.25" customHeight="1" x14ac:dyDescent="0.3">
      <c r="G1264" s="470"/>
      <c r="H1264" s="470">
        <v>1257</v>
      </c>
      <c r="I1264" s="455">
        <f t="shared" ca="1" si="108"/>
        <v>74333996.401363403</v>
      </c>
      <c r="J1264" s="455">
        <f t="array" ref="J1264">IFERROR(INDEX('Retirement Calculator'!J:J,MATCH('Isaac 401k'!N1264,'Retirement Calculator'!A:A,0),0),0)</f>
        <v>0</v>
      </c>
      <c r="K1264" s="455">
        <f t="shared" ca="1" si="105"/>
        <v>309724.98500568082</v>
      </c>
      <c r="L1264" s="455">
        <f t="shared" ca="1" si="106"/>
        <v>74643721.386369079</v>
      </c>
      <c r="M1264" s="471">
        <f t="shared" si="109"/>
        <v>0.05</v>
      </c>
      <c r="N1264" s="475">
        <f t="shared" si="110"/>
        <v>89518</v>
      </c>
    </row>
    <row r="1265" spans="7:14" ht="11.25" customHeight="1" x14ac:dyDescent="0.3">
      <c r="G1265" s="470"/>
      <c r="H1265" s="470">
        <v>1258</v>
      </c>
      <c r="I1265" s="455">
        <f t="shared" ca="1" si="108"/>
        <v>74643721.386369079</v>
      </c>
      <c r="J1265" s="455">
        <f t="array" ref="J1265">IFERROR(INDEX('Retirement Calculator'!J:J,MATCH('Isaac 401k'!N1265,'Retirement Calculator'!A:A,0),0),0)</f>
        <v>0</v>
      </c>
      <c r="K1265" s="455">
        <f t="shared" ca="1" si="105"/>
        <v>311015.50577653782</v>
      </c>
      <c r="L1265" s="455">
        <f t="shared" ca="1" si="106"/>
        <v>74954736.892145619</v>
      </c>
      <c r="M1265" s="471">
        <f t="shared" si="109"/>
        <v>0.05</v>
      </c>
      <c r="N1265" s="475">
        <f t="shared" si="110"/>
        <v>89546</v>
      </c>
    </row>
    <row r="1266" spans="7:14" ht="11.25" customHeight="1" x14ac:dyDescent="0.3">
      <c r="G1266" s="470"/>
      <c r="H1266" s="470">
        <v>1259</v>
      </c>
      <c r="I1266" s="455">
        <f t="shared" ca="1" si="108"/>
        <v>74954736.892145619</v>
      </c>
      <c r="J1266" s="455">
        <f t="array" ref="J1266">IFERROR(INDEX('Retirement Calculator'!J:J,MATCH('Isaac 401k'!N1266,'Retirement Calculator'!A:A,0),0),0)</f>
        <v>0</v>
      </c>
      <c r="K1266" s="455">
        <f t="shared" ca="1" si="105"/>
        <v>312311.40371727338</v>
      </c>
      <c r="L1266" s="455">
        <f t="shared" ca="1" si="106"/>
        <v>75267048.295862898</v>
      </c>
      <c r="M1266" s="471">
        <f t="shared" si="109"/>
        <v>0.05</v>
      </c>
      <c r="N1266" s="475">
        <f t="shared" si="110"/>
        <v>89577</v>
      </c>
    </row>
    <row r="1267" spans="7:14" ht="11.25" customHeight="1" x14ac:dyDescent="0.3">
      <c r="G1267" s="470"/>
      <c r="H1267" s="470">
        <v>1260</v>
      </c>
      <c r="I1267" s="455">
        <f t="shared" ca="1" si="108"/>
        <v>75267048.295862898</v>
      </c>
      <c r="J1267" s="455">
        <f t="array" ref="J1267">IFERROR(INDEX('Retirement Calculator'!J:J,MATCH('Isaac 401k'!N1267,'Retirement Calculator'!A:A,0),0),0)</f>
        <v>0</v>
      </c>
      <c r="K1267" s="455">
        <f t="shared" ca="1" si="105"/>
        <v>313612.70123276208</v>
      </c>
      <c r="L1267" s="455">
        <f t="shared" ca="1" si="106"/>
        <v>75580660.997095659</v>
      </c>
      <c r="M1267" s="471">
        <f t="shared" si="109"/>
        <v>0.05</v>
      </c>
      <c r="N1267" s="475">
        <f t="shared" si="110"/>
        <v>89607</v>
      </c>
    </row>
    <row r="1268" spans="7:14" ht="11.25" customHeight="1" x14ac:dyDescent="0.3">
      <c r="G1268" s="470"/>
      <c r="H1268" s="470">
        <v>1261</v>
      </c>
      <c r="I1268" s="455">
        <f t="shared" ca="1" si="108"/>
        <v>75580660.997095659</v>
      </c>
      <c r="J1268" s="455">
        <f t="array" ref="J1268">IFERROR(INDEX('Retirement Calculator'!J:J,MATCH('Isaac 401k'!N1268,'Retirement Calculator'!A:A,0),0),0)</f>
        <v>0</v>
      </c>
      <c r="K1268" s="455">
        <f t="shared" ca="1" si="105"/>
        <v>314919.42082123191</v>
      </c>
      <c r="L1268" s="455">
        <f t="shared" ca="1" si="106"/>
        <v>75895580.417916894</v>
      </c>
      <c r="M1268" s="471">
        <f t="shared" si="109"/>
        <v>0.05</v>
      </c>
      <c r="N1268" s="475">
        <f t="shared" si="110"/>
        <v>89638</v>
      </c>
    </row>
    <row r="1269" spans="7:14" ht="11.25" customHeight="1" x14ac:dyDescent="0.3">
      <c r="G1269" s="470"/>
      <c r="H1269" s="470">
        <v>1262</v>
      </c>
      <c r="I1269" s="455">
        <f t="shared" ca="1" si="108"/>
        <v>75895580.417916894</v>
      </c>
      <c r="J1269" s="455">
        <f t="array" ref="J1269">IFERROR(INDEX('Retirement Calculator'!J:J,MATCH('Isaac 401k'!N1269,'Retirement Calculator'!A:A,0),0),0)</f>
        <v>0</v>
      </c>
      <c r="K1269" s="455">
        <f t="shared" ca="1" si="105"/>
        <v>316231.58507465373</v>
      </c>
      <c r="L1269" s="455">
        <f t="shared" ca="1" si="106"/>
        <v>76211812.002991542</v>
      </c>
      <c r="M1269" s="471">
        <f t="shared" si="109"/>
        <v>0.05</v>
      </c>
      <c r="N1269" s="475">
        <f t="shared" si="110"/>
        <v>89668</v>
      </c>
    </row>
    <row r="1270" spans="7:14" ht="11.25" customHeight="1" x14ac:dyDescent="0.3">
      <c r="G1270" s="470"/>
      <c r="H1270" s="470">
        <v>1263</v>
      </c>
      <c r="I1270" s="455">
        <f t="shared" ca="1" si="108"/>
        <v>76211812.002991542</v>
      </c>
      <c r="J1270" s="455">
        <f t="array" ref="J1270">IFERROR(INDEX('Retirement Calculator'!J:J,MATCH('Isaac 401k'!N1270,'Retirement Calculator'!A:A,0),0),0)</f>
        <v>0</v>
      </c>
      <c r="K1270" s="455">
        <f t="shared" ca="1" si="105"/>
        <v>317549.21667913144</v>
      </c>
      <c r="L1270" s="455">
        <f t="shared" ca="1" si="106"/>
        <v>76529361.219670668</v>
      </c>
      <c r="M1270" s="471">
        <f t="shared" si="109"/>
        <v>0.05</v>
      </c>
      <c r="N1270" s="475">
        <f t="shared" si="110"/>
        <v>89699</v>
      </c>
    </row>
    <row r="1271" spans="7:14" ht="11.25" customHeight="1" x14ac:dyDescent="0.3">
      <c r="G1271" s="470"/>
      <c r="H1271" s="470">
        <v>1264</v>
      </c>
      <c r="I1271" s="455">
        <f t="shared" ca="1" si="108"/>
        <v>76529361.219670668</v>
      </c>
      <c r="J1271" s="455">
        <f t="array" ref="J1271">IFERROR(INDEX('Retirement Calculator'!J:J,MATCH('Isaac 401k'!N1271,'Retirement Calculator'!A:A,0),0),0)</f>
        <v>0</v>
      </c>
      <c r="K1271" s="455">
        <f t="shared" ca="1" si="105"/>
        <v>318872.33841529442</v>
      </c>
      <c r="L1271" s="455">
        <f t="shared" ca="1" si="106"/>
        <v>76848233.558085963</v>
      </c>
      <c r="M1271" s="471">
        <f t="shared" si="109"/>
        <v>0.05</v>
      </c>
      <c r="N1271" s="475">
        <f t="shared" si="110"/>
        <v>89730</v>
      </c>
    </row>
    <row r="1272" spans="7:14" ht="11.25" customHeight="1" x14ac:dyDescent="0.3">
      <c r="G1272" s="470"/>
      <c r="H1272" s="470">
        <v>1265</v>
      </c>
      <c r="I1272" s="455">
        <f t="shared" ca="1" si="108"/>
        <v>76848233.558085963</v>
      </c>
      <c r="J1272" s="455">
        <f t="array" ref="J1272">IFERROR(INDEX('Retirement Calculator'!J:J,MATCH('Isaac 401k'!N1272,'Retirement Calculator'!A:A,0),0),0)</f>
        <v>0</v>
      </c>
      <c r="K1272" s="455">
        <f t="shared" ca="1" si="105"/>
        <v>320200.97315869149</v>
      </c>
      <c r="L1272" s="455">
        <f t="shared" ca="1" si="106"/>
        <v>77168434.53124465</v>
      </c>
      <c r="M1272" s="471">
        <f t="shared" si="109"/>
        <v>0.05</v>
      </c>
      <c r="N1272" s="475">
        <f t="shared" si="110"/>
        <v>89760</v>
      </c>
    </row>
    <row r="1273" spans="7:14" ht="11.25" customHeight="1" x14ac:dyDescent="0.3">
      <c r="G1273" s="470"/>
      <c r="H1273" s="470">
        <v>1266</v>
      </c>
      <c r="I1273" s="455">
        <f t="shared" ca="1" si="108"/>
        <v>77168434.53124465</v>
      </c>
      <c r="J1273" s="455">
        <f t="array" ref="J1273">IFERROR(INDEX('Retirement Calculator'!J:J,MATCH('Isaac 401k'!N1273,'Retirement Calculator'!A:A,0),0),0)</f>
        <v>0</v>
      </c>
      <c r="K1273" s="455">
        <f t="shared" ca="1" si="105"/>
        <v>321535.14388018602</v>
      </c>
      <c r="L1273" s="455">
        <f t="shared" ca="1" si="106"/>
        <v>77489969.675124839</v>
      </c>
      <c r="M1273" s="471">
        <f t="shared" si="109"/>
        <v>0.05</v>
      </c>
      <c r="N1273" s="475">
        <f t="shared" si="110"/>
        <v>89791</v>
      </c>
    </row>
    <row r="1274" spans="7:14" ht="11.25" customHeight="1" x14ac:dyDescent="0.3">
      <c r="G1274" s="470"/>
      <c r="H1274" s="470">
        <v>1267</v>
      </c>
      <c r="I1274" s="455">
        <f t="shared" ca="1" si="108"/>
        <v>77489969.675124839</v>
      </c>
      <c r="J1274" s="455">
        <f t="array" ref="J1274">IFERROR(INDEX('Retirement Calculator'!J:J,MATCH('Isaac 401k'!N1274,'Retirement Calculator'!A:A,0),0),0)</f>
        <v>0</v>
      </c>
      <c r="K1274" s="455">
        <f t="shared" ca="1" si="105"/>
        <v>322874.87364635349</v>
      </c>
      <c r="L1274" s="455">
        <f t="shared" ca="1" si="106"/>
        <v>77812844.548771188</v>
      </c>
      <c r="M1274" s="471">
        <f t="shared" si="109"/>
        <v>0.05</v>
      </c>
      <c r="N1274" s="475">
        <f t="shared" si="110"/>
        <v>89821</v>
      </c>
    </row>
    <row r="1275" spans="7:14" ht="11.25" customHeight="1" x14ac:dyDescent="0.3">
      <c r="G1275" s="470"/>
      <c r="H1275" s="470">
        <v>1268</v>
      </c>
      <c r="I1275" s="455">
        <f t="shared" ca="1" si="108"/>
        <v>77812844.548771188</v>
      </c>
      <c r="J1275" s="455">
        <f t="array" ref="J1275">IFERROR(INDEX('Retirement Calculator'!J:J,MATCH('Isaac 401k'!N1275,'Retirement Calculator'!A:A,0),0),0)</f>
        <v>0</v>
      </c>
      <c r="K1275" s="455">
        <f t="shared" ca="1" si="105"/>
        <v>324220.18561987992</v>
      </c>
      <c r="L1275" s="455">
        <f t="shared" ca="1" si="106"/>
        <v>78137064.734391063</v>
      </c>
      <c r="M1275" s="471">
        <f t="shared" si="109"/>
        <v>0.05</v>
      </c>
      <c r="N1275" s="475">
        <f t="shared" si="110"/>
        <v>89852</v>
      </c>
    </row>
    <row r="1276" spans="7:14" ht="11.25" customHeight="1" x14ac:dyDescent="0.3">
      <c r="G1276" s="470"/>
      <c r="H1276" s="470">
        <v>1269</v>
      </c>
      <c r="I1276" s="455">
        <f t="shared" ca="1" si="108"/>
        <v>78137064.734391063</v>
      </c>
      <c r="J1276" s="455">
        <f t="array" ref="J1276">IFERROR(INDEX('Retirement Calculator'!J:J,MATCH('Isaac 401k'!N1276,'Retirement Calculator'!A:A,0),0),0)</f>
        <v>0</v>
      </c>
      <c r="K1276" s="455">
        <f t="shared" ca="1" si="105"/>
        <v>325571.10305996274</v>
      </c>
      <c r="L1276" s="455">
        <f t="shared" ca="1" si="106"/>
        <v>78462635.837451026</v>
      </c>
      <c r="M1276" s="471">
        <f t="shared" si="109"/>
        <v>0.05</v>
      </c>
      <c r="N1276" s="475">
        <f t="shared" si="110"/>
        <v>89883</v>
      </c>
    </row>
    <row r="1277" spans="7:14" ht="11.25" customHeight="1" x14ac:dyDescent="0.3">
      <c r="G1277" s="470"/>
      <c r="H1277" s="470">
        <v>1270</v>
      </c>
      <c r="I1277" s="455">
        <f t="shared" ca="1" si="108"/>
        <v>78462635.837451026</v>
      </c>
      <c r="J1277" s="455">
        <f t="array" ref="J1277">IFERROR(INDEX('Retirement Calculator'!J:J,MATCH('Isaac 401k'!N1277,'Retirement Calculator'!A:A,0),0),0)</f>
        <v>0</v>
      </c>
      <c r="K1277" s="455">
        <f t="shared" ca="1" si="105"/>
        <v>326927.64932271262</v>
      </c>
      <c r="L1277" s="455">
        <f t="shared" ca="1" si="106"/>
        <v>78789563.486773744</v>
      </c>
      <c r="M1277" s="471">
        <f t="shared" si="109"/>
        <v>0.05</v>
      </c>
      <c r="N1277" s="475">
        <f t="shared" si="110"/>
        <v>89911</v>
      </c>
    </row>
    <row r="1278" spans="7:14" ht="11.25" customHeight="1" x14ac:dyDescent="0.3">
      <c r="G1278" s="470"/>
      <c r="H1278" s="470">
        <v>1271</v>
      </c>
      <c r="I1278" s="455">
        <f t="shared" ca="1" si="108"/>
        <v>78789563.486773744</v>
      </c>
      <c r="J1278" s="455">
        <f t="array" ref="J1278">IFERROR(INDEX('Retirement Calculator'!J:J,MATCH('Isaac 401k'!N1278,'Retirement Calculator'!A:A,0),0),0)</f>
        <v>0</v>
      </c>
      <c r="K1278" s="455">
        <f t="shared" ca="1" si="105"/>
        <v>328289.84786155727</v>
      </c>
      <c r="L1278" s="455">
        <f t="shared" ca="1" si="106"/>
        <v>79117853.334635302</v>
      </c>
      <c r="M1278" s="471">
        <f t="shared" si="109"/>
        <v>0.05</v>
      </c>
      <c r="N1278" s="475">
        <f t="shared" si="110"/>
        <v>89942</v>
      </c>
    </row>
    <row r="1279" spans="7:14" ht="11.25" customHeight="1" x14ac:dyDescent="0.3">
      <c r="G1279" s="470"/>
      <c r="H1279" s="470">
        <v>1272</v>
      </c>
      <c r="I1279" s="455">
        <f t="shared" ca="1" si="108"/>
        <v>79117853.334635302</v>
      </c>
      <c r="J1279" s="455">
        <f t="array" ref="J1279">IFERROR(INDEX('Retirement Calculator'!J:J,MATCH('Isaac 401k'!N1279,'Retirement Calculator'!A:A,0),0),0)</f>
        <v>0</v>
      </c>
      <c r="K1279" s="455">
        <f t="shared" ca="1" si="105"/>
        <v>329657.72222764709</v>
      </c>
      <c r="L1279" s="455">
        <f t="shared" ca="1" si="106"/>
        <v>79447511.05686295</v>
      </c>
      <c r="M1279" s="471">
        <f t="shared" si="109"/>
        <v>0.05</v>
      </c>
      <c r="N1279" s="475">
        <f t="shared" si="110"/>
        <v>89972</v>
      </c>
    </row>
    <row r="1280" spans="7:14" ht="11.25" customHeight="1" x14ac:dyDescent="0.3">
      <c r="G1280" s="470"/>
      <c r="H1280" s="470">
        <v>1273</v>
      </c>
      <c r="I1280" s="455">
        <f t="shared" ca="1" si="108"/>
        <v>79447511.05686295</v>
      </c>
      <c r="J1280" s="455">
        <f t="array" ref="J1280">IFERROR(INDEX('Retirement Calculator'!J:J,MATCH('Isaac 401k'!N1280,'Retirement Calculator'!A:A,0),0),0)</f>
        <v>0</v>
      </c>
      <c r="K1280" s="455">
        <f t="shared" ca="1" si="105"/>
        <v>331031.29607026227</v>
      </c>
      <c r="L1280" s="455">
        <f t="shared" ca="1" si="106"/>
        <v>79778542.352933213</v>
      </c>
      <c r="M1280" s="471">
        <f t="shared" si="109"/>
        <v>0.05</v>
      </c>
      <c r="N1280" s="475">
        <f t="shared" si="110"/>
        <v>90003</v>
      </c>
    </row>
    <row r="1281" spans="7:14" ht="11.25" customHeight="1" x14ac:dyDescent="0.3">
      <c r="G1281" s="470"/>
      <c r="H1281" s="470">
        <v>1274</v>
      </c>
      <c r="I1281" s="455">
        <f t="shared" ca="1" si="108"/>
        <v>79778542.352933213</v>
      </c>
      <c r="J1281" s="455">
        <f t="array" ref="J1281">IFERROR(INDEX('Retirement Calculator'!J:J,MATCH('Isaac 401k'!N1281,'Retirement Calculator'!A:A,0),0),0)</f>
        <v>0</v>
      </c>
      <c r="K1281" s="455">
        <f t="shared" ca="1" si="105"/>
        <v>332410.5931372217</v>
      </c>
      <c r="L1281" s="455">
        <f t="shared" ca="1" si="106"/>
        <v>80110952.946070433</v>
      </c>
      <c r="M1281" s="471">
        <f t="shared" si="109"/>
        <v>0.05</v>
      </c>
      <c r="N1281" s="475">
        <f t="shared" si="110"/>
        <v>90033</v>
      </c>
    </row>
    <row r="1282" spans="7:14" ht="11.25" customHeight="1" x14ac:dyDescent="0.3">
      <c r="G1282" s="470"/>
      <c r="H1282" s="470">
        <v>1275</v>
      </c>
      <c r="I1282" s="455">
        <f t="shared" ca="1" si="108"/>
        <v>80110952.946070433</v>
      </c>
      <c r="J1282" s="455">
        <f t="array" ref="J1282">IFERROR(INDEX('Retirement Calculator'!J:J,MATCH('Isaac 401k'!N1282,'Retirement Calculator'!A:A,0),0),0)</f>
        <v>0</v>
      </c>
      <c r="K1282" s="455">
        <f t="shared" ca="1" si="105"/>
        <v>333795.63727529347</v>
      </c>
      <c r="L1282" s="455">
        <f t="shared" ca="1" si="106"/>
        <v>80444748.583345726</v>
      </c>
      <c r="M1282" s="471">
        <f t="shared" si="109"/>
        <v>0.05</v>
      </c>
      <c r="N1282" s="475">
        <f t="shared" si="110"/>
        <v>90064</v>
      </c>
    </row>
    <row r="1283" spans="7:14" ht="11.25" customHeight="1" x14ac:dyDescent="0.3">
      <c r="G1283" s="470"/>
      <c r="H1283" s="470">
        <v>1276</v>
      </c>
      <c r="I1283" s="455">
        <f t="shared" ca="1" si="108"/>
        <v>80444748.583345726</v>
      </c>
      <c r="J1283" s="455">
        <f t="array" ref="J1283">IFERROR(INDEX('Retirement Calculator'!J:J,MATCH('Isaac 401k'!N1283,'Retirement Calculator'!A:A,0),0),0)</f>
        <v>0</v>
      </c>
      <c r="K1283" s="455">
        <f t="shared" ref="K1283:K1537" ca="1" si="126">IPMT(M1283/12,1,12,-I1283+J1283,,0)</f>
        <v>335186.45243060717</v>
      </c>
      <c r="L1283" s="455">
        <f t="shared" ref="L1283:L1537" ca="1" si="127">I1283-J1283+K1283</f>
        <v>80779935.035776332</v>
      </c>
      <c r="M1283" s="471">
        <f t="shared" si="109"/>
        <v>0.05</v>
      </c>
      <c r="N1283" s="475">
        <f t="shared" si="110"/>
        <v>90095</v>
      </c>
    </row>
    <row r="1284" spans="7:14" ht="11.25" customHeight="1" x14ac:dyDescent="0.3">
      <c r="G1284" s="470"/>
      <c r="H1284" s="470">
        <v>1277</v>
      </c>
      <c r="I1284" s="455">
        <f t="shared" ref="I1284:I1538" ca="1" si="128">L1283</f>
        <v>80779935.035776332</v>
      </c>
      <c r="J1284" s="455">
        <f t="array" ref="J1284">IFERROR(INDEX('Retirement Calculator'!J:J,MATCH('Isaac 401k'!N1284,'Retirement Calculator'!A:A,0),0),0)</f>
        <v>0</v>
      </c>
      <c r="K1284" s="455">
        <f t="shared" ca="1" si="126"/>
        <v>336583.06264906807</v>
      </c>
      <c r="L1284" s="455">
        <f t="shared" ca="1" si="127"/>
        <v>81116518.098425403</v>
      </c>
      <c r="M1284" s="471">
        <f t="shared" ref="M1284:M1538" si="129">M1283</f>
        <v>0.05</v>
      </c>
      <c r="N1284" s="475">
        <f t="shared" ref="N1284:N1538" si="130">EDATE(N1283,1)</f>
        <v>90125</v>
      </c>
    </row>
    <row r="1285" spans="7:14" ht="11.25" customHeight="1" x14ac:dyDescent="0.3">
      <c r="G1285" s="470"/>
      <c r="H1285" s="470">
        <v>1278</v>
      </c>
      <c r="I1285" s="455">
        <f t="shared" ca="1" si="128"/>
        <v>81116518.098425403</v>
      </c>
      <c r="J1285" s="455">
        <f t="array" ref="J1285">IFERROR(INDEX('Retirement Calculator'!J:J,MATCH('Isaac 401k'!N1285,'Retirement Calculator'!A:A,0),0),0)</f>
        <v>0</v>
      </c>
      <c r="K1285" s="455">
        <f t="shared" ca="1" si="126"/>
        <v>337985.4920767725</v>
      </c>
      <c r="L1285" s="455">
        <f t="shared" ca="1" si="127"/>
        <v>81454503.590502173</v>
      </c>
      <c r="M1285" s="471">
        <f t="shared" si="129"/>
        <v>0.05</v>
      </c>
      <c r="N1285" s="475">
        <f t="shared" si="130"/>
        <v>90156</v>
      </c>
    </row>
    <row r="1286" spans="7:14" ht="11.25" customHeight="1" x14ac:dyDescent="0.3">
      <c r="G1286" s="470"/>
      <c r="H1286" s="470">
        <v>1279</v>
      </c>
      <c r="I1286" s="455">
        <f t="shared" ca="1" si="128"/>
        <v>81454503.590502173</v>
      </c>
      <c r="J1286" s="455">
        <f t="array" ref="J1286">IFERROR(INDEX('Retirement Calculator'!J:J,MATCH('Isaac 401k'!N1286,'Retirement Calculator'!A:A,0),0),0)</f>
        <v>0</v>
      </c>
      <c r="K1286" s="455">
        <f t="shared" ca="1" si="126"/>
        <v>339393.76496042573</v>
      </c>
      <c r="L1286" s="455">
        <f t="shared" ca="1" si="127"/>
        <v>81793897.355462596</v>
      </c>
      <c r="M1286" s="471">
        <f t="shared" si="129"/>
        <v>0.05</v>
      </c>
      <c r="N1286" s="475">
        <f t="shared" si="130"/>
        <v>90186</v>
      </c>
    </row>
    <row r="1287" spans="7:14" ht="11.25" customHeight="1" x14ac:dyDescent="0.3">
      <c r="G1287" s="470"/>
      <c r="H1287" s="470">
        <v>1280</v>
      </c>
      <c r="I1287" s="455">
        <f t="shared" ca="1" si="128"/>
        <v>81793897.355462596</v>
      </c>
      <c r="J1287" s="455">
        <f t="array" ref="J1287">IFERROR(INDEX('Retirement Calculator'!J:J,MATCH('Isaac 401k'!N1287,'Retirement Calculator'!A:A,0),0),0)</f>
        <v>0</v>
      </c>
      <c r="K1287" s="455">
        <f t="shared" ca="1" si="126"/>
        <v>340807.90564776084</v>
      </c>
      <c r="L1287" s="455">
        <f t="shared" ca="1" si="127"/>
        <v>82134705.26111035</v>
      </c>
      <c r="M1287" s="471">
        <f t="shared" si="129"/>
        <v>0.05</v>
      </c>
      <c r="N1287" s="475">
        <f t="shared" si="130"/>
        <v>90217</v>
      </c>
    </row>
    <row r="1288" spans="7:14" ht="11.25" customHeight="1" x14ac:dyDescent="0.3">
      <c r="G1288" s="470"/>
      <c r="H1288" s="470">
        <v>1281</v>
      </c>
      <c r="I1288" s="455">
        <f t="shared" ca="1" si="128"/>
        <v>82134705.26111035</v>
      </c>
      <c r="J1288" s="455">
        <f t="array" ref="J1288">IFERROR(INDEX('Retirement Calculator'!J:J,MATCH('Isaac 401k'!N1288,'Retirement Calculator'!A:A,0),0),0)</f>
        <v>0</v>
      </c>
      <c r="K1288" s="455">
        <f t="shared" ca="1" si="126"/>
        <v>342227.9385879598</v>
      </c>
      <c r="L1288" s="455">
        <f t="shared" ca="1" si="127"/>
        <v>82476933.199698314</v>
      </c>
      <c r="M1288" s="471">
        <f t="shared" si="129"/>
        <v>0.05</v>
      </c>
      <c r="N1288" s="475">
        <f t="shared" si="130"/>
        <v>90248</v>
      </c>
    </row>
    <row r="1289" spans="7:14" ht="11.25" customHeight="1" x14ac:dyDescent="0.3">
      <c r="G1289" s="470"/>
      <c r="H1289" s="470">
        <v>1282</v>
      </c>
      <c r="I1289" s="455">
        <f t="shared" ca="1" si="128"/>
        <v>82476933.199698314</v>
      </c>
      <c r="J1289" s="455">
        <f t="array" ref="J1289">IFERROR(INDEX('Retirement Calculator'!J:J,MATCH('Isaac 401k'!N1289,'Retirement Calculator'!A:A,0),0),0)</f>
        <v>0</v>
      </c>
      <c r="K1289" s="455">
        <f t="shared" ca="1" si="126"/>
        <v>343653.88833207631</v>
      </c>
      <c r="L1289" s="455">
        <f t="shared" ca="1" si="127"/>
        <v>82820587.088030383</v>
      </c>
      <c r="M1289" s="471">
        <f t="shared" si="129"/>
        <v>0.05</v>
      </c>
      <c r="N1289" s="475">
        <f t="shared" si="130"/>
        <v>90276</v>
      </c>
    </row>
    <row r="1290" spans="7:14" ht="11.25" customHeight="1" x14ac:dyDescent="0.3">
      <c r="G1290" s="470"/>
      <c r="H1290" s="470">
        <v>1283</v>
      </c>
      <c r="I1290" s="455">
        <f t="shared" ca="1" si="128"/>
        <v>82820587.088030383</v>
      </c>
      <c r="J1290" s="455">
        <f t="array" ref="J1290">IFERROR(INDEX('Retirement Calculator'!J:J,MATCH('Isaac 401k'!N1290,'Retirement Calculator'!A:A,0),0),0)</f>
        <v>0</v>
      </c>
      <c r="K1290" s="455">
        <f t="shared" ca="1" si="126"/>
        <v>345085.77953345992</v>
      </c>
      <c r="L1290" s="455">
        <f t="shared" ca="1" si="127"/>
        <v>83165672.867563844</v>
      </c>
      <c r="M1290" s="471">
        <f t="shared" si="129"/>
        <v>0.05</v>
      </c>
      <c r="N1290" s="475">
        <f t="shared" si="130"/>
        <v>90307</v>
      </c>
    </row>
    <row r="1291" spans="7:14" ht="11.25" customHeight="1" x14ac:dyDescent="0.3">
      <c r="G1291" s="470"/>
      <c r="H1291" s="470">
        <v>1284</v>
      </c>
      <c r="I1291" s="455">
        <f t="shared" ca="1" si="128"/>
        <v>83165672.867563844</v>
      </c>
      <c r="J1291" s="455">
        <f t="array" ref="J1291">IFERROR(INDEX('Retirement Calculator'!J:J,MATCH('Isaac 401k'!N1291,'Retirement Calculator'!A:A,0),0),0)</f>
        <v>0</v>
      </c>
      <c r="K1291" s="455">
        <f t="shared" ca="1" si="126"/>
        <v>346523.63694818266</v>
      </c>
      <c r="L1291" s="455">
        <f t="shared" ca="1" si="127"/>
        <v>83512196.504512027</v>
      </c>
      <c r="M1291" s="471">
        <f t="shared" si="129"/>
        <v>0.05</v>
      </c>
      <c r="N1291" s="475">
        <f t="shared" si="130"/>
        <v>90337</v>
      </c>
    </row>
    <row r="1292" spans="7:14" ht="11.25" customHeight="1" x14ac:dyDescent="0.3">
      <c r="G1292" s="470"/>
      <c r="H1292" s="470">
        <v>1285</v>
      </c>
      <c r="I1292" s="455">
        <f t="shared" ca="1" si="128"/>
        <v>83512196.504512027</v>
      </c>
      <c r="J1292" s="455">
        <f t="array" ref="J1292">IFERROR(INDEX('Retirement Calculator'!J:J,MATCH('Isaac 401k'!N1292,'Retirement Calculator'!A:A,0),0),0)</f>
        <v>0</v>
      </c>
      <c r="K1292" s="455">
        <f t="shared" ca="1" si="126"/>
        <v>347967.48543546675</v>
      </c>
      <c r="L1292" s="455">
        <f t="shared" ca="1" si="127"/>
        <v>83860163.989947498</v>
      </c>
      <c r="M1292" s="471">
        <f t="shared" si="129"/>
        <v>0.05</v>
      </c>
      <c r="N1292" s="475">
        <f t="shared" si="130"/>
        <v>90368</v>
      </c>
    </row>
    <row r="1293" spans="7:14" ht="11.25" customHeight="1" x14ac:dyDescent="0.3">
      <c r="G1293" s="470"/>
      <c r="H1293" s="470">
        <v>1286</v>
      </c>
      <c r="I1293" s="455">
        <f t="shared" ca="1" si="128"/>
        <v>83860163.989947498</v>
      </c>
      <c r="J1293" s="455">
        <f t="array" ref="J1293">IFERROR(INDEX('Retirement Calculator'!J:J,MATCH('Isaac 401k'!N1293,'Retirement Calculator'!A:A,0),0),0)</f>
        <v>0</v>
      </c>
      <c r="K1293" s="455">
        <f t="shared" ca="1" si="126"/>
        <v>349417.34995811456</v>
      </c>
      <c r="L1293" s="455">
        <f t="shared" ca="1" si="127"/>
        <v>84209581.33990562</v>
      </c>
      <c r="M1293" s="471">
        <f t="shared" si="129"/>
        <v>0.05</v>
      </c>
      <c r="N1293" s="475">
        <f t="shared" si="130"/>
        <v>90398</v>
      </c>
    </row>
    <row r="1294" spans="7:14" ht="11.25" customHeight="1" x14ac:dyDescent="0.3">
      <c r="G1294" s="470"/>
      <c r="H1294" s="470">
        <v>1287</v>
      </c>
      <c r="I1294" s="455">
        <f t="shared" ca="1" si="128"/>
        <v>84209581.33990562</v>
      </c>
      <c r="J1294" s="455">
        <f t="array" ref="J1294">IFERROR(INDEX('Retirement Calculator'!J:J,MATCH('Isaac 401k'!N1294,'Retirement Calculator'!A:A,0),0),0)</f>
        <v>0</v>
      </c>
      <c r="K1294" s="455">
        <f t="shared" ca="1" si="126"/>
        <v>350873.25558294007</v>
      </c>
      <c r="L1294" s="455">
        <f t="shared" ca="1" si="127"/>
        <v>84560454.595488563</v>
      </c>
      <c r="M1294" s="471">
        <f t="shared" si="129"/>
        <v>0.05</v>
      </c>
      <c r="N1294" s="475">
        <f t="shared" si="130"/>
        <v>90429</v>
      </c>
    </row>
    <row r="1295" spans="7:14" ht="11.25" customHeight="1" x14ac:dyDescent="0.3">
      <c r="G1295" s="470"/>
      <c r="H1295" s="470">
        <v>1288</v>
      </c>
      <c r="I1295" s="455">
        <f t="shared" ca="1" si="128"/>
        <v>84560454.595488563</v>
      </c>
      <c r="J1295" s="455">
        <f t="array" ref="J1295">IFERROR(INDEX('Retirement Calculator'!J:J,MATCH('Isaac 401k'!N1295,'Retirement Calculator'!A:A,0),0),0)</f>
        <v>0</v>
      </c>
      <c r="K1295" s="455">
        <f t="shared" ca="1" si="126"/>
        <v>352335.22748120234</v>
      </c>
      <c r="L1295" s="455">
        <f t="shared" ca="1" si="127"/>
        <v>84912789.822969764</v>
      </c>
      <c r="M1295" s="471">
        <f t="shared" si="129"/>
        <v>0.05</v>
      </c>
      <c r="N1295" s="475">
        <f t="shared" si="130"/>
        <v>90460</v>
      </c>
    </row>
    <row r="1296" spans="7:14" ht="11.25" customHeight="1" x14ac:dyDescent="0.3">
      <c r="G1296" s="470"/>
      <c r="H1296" s="470">
        <v>1289</v>
      </c>
      <c r="I1296" s="455">
        <f t="shared" ca="1" si="128"/>
        <v>84912789.822969764</v>
      </c>
      <c r="J1296" s="455">
        <f t="array" ref="J1296">IFERROR(INDEX('Retirement Calculator'!J:J,MATCH('Isaac 401k'!N1296,'Retirement Calculator'!A:A,0),0),0)</f>
        <v>0</v>
      </c>
      <c r="K1296" s="455">
        <f t="shared" ca="1" si="126"/>
        <v>353803.2909290407</v>
      </c>
      <c r="L1296" s="455">
        <f t="shared" ca="1" si="127"/>
        <v>85266593.113898799</v>
      </c>
      <c r="M1296" s="471">
        <f t="shared" si="129"/>
        <v>0.05</v>
      </c>
      <c r="N1296" s="475">
        <f t="shared" si="130"/>
        <v>90490</v>
      </c>
    </row>
    <row r="1297" spans="7:14" ht="11.25" customHeight="1" x14ac:dyDescent="0.3">
      <c r="G1297" s="470"/>
      <c r="H1297" s="470">
        <v>1290</v>
      </c>
      <c r="I1297" s="455">
        <f t="shared" ca="1" si="128"/>
        <v>85266593.113898799</v>
      </c>
      <c r="J1297" s="455">
        <f t="array" ref="J1297">IFERROR(INDEX('Retirement Calculator'!J:J,MATCH('Isaac 401k'!N1297,'Retirement Calculator'!A:A,0),0),0)</f>
        <v>0</v>
      </c>
      <c r="K1297" s="455">
        <f t="shared" ca="1" si="126"/>
        <v>355277.47130791168</v>
      </c>
      <c r="L1297" s="455">
        <f t="shared" ca="1" si="127"/>
        <v>85621870.585206717</v>
      </c>
      <c r="M1297" s="471">
        <f t="shared" si="129"/>
        <v>0.05</v>
      </c>
      <c r="N1297" s="475">
        <f t="shared" si="130"/>
        <v>90521</v>
      </c>
    </row>
    <row r="1298" spans="7:14" ht="11.25" customHeight="1" x14ac:dyDescent="0.3">
      <c r="G1298" s="470"/>
      <c r="H1298" s="470">
        <v>1291</v>
      </c>
      <c r="I1298" s="455">
        <f t="shared" ca="1" si="128"/>
        <v>85621870.585206717</v>
      </c>
      <c r="J1298" s="455">
        <f t="array" ref="J1298">IFERROR(INDEX('Retirement Calculator'!J:J,MATCH('Isaac 401k'!N1298,'Retirement Calculator'!A:A,0),0),0)</f>
        <v>0</v>
      </c>
      <c r="K1298" s="455">
        <f t="shared" ca="1" si="126"/>
        <v>356757.79410502798</v>
      </c>
      <c r="L1298" s="455">
        <f t="shared" ca="1" si="127"/>
        <v>85978628.37931174</v>
      </c>
      <c r="M1298" s="471">
        <f t="shared" si="129"/>
        <v>0.05</v>
      </c>
      <c r="N1298" s="475">
        <f t="shared" si="130"/>
        <v>90551</v>
      </c>
    </row>
    <row r="1299" spans="7:14" ht="11.25" customHeight="1" x14ac:dyDescent="0.3">
      <c r="G1299" s="470"/>
      <c r="H1299" s="470">
        <v>1292</v>
      </c>
      <c r="I1299" s="455">
        <f t="shared" ca="1" si="128"/>
        <v>85978628.37931174</v>
      </c>
      <c r="J1299" s="455">
        <f t="array" ref="J1299">IFERROR(INDEX('Retirement Calculator'!J:J,MATCH('Isaac 401k'!N1299,'Retirement Calculator'!A:A,0),0),0)</f>
        <v>0</v>
      </c>
      <c r="K1299" s="455">
        <f t="shared" ca="1" si="126"/>
        <v>358244.28491379891</v>
      </c>
      <c r="L1299" s="455">
        <f t="shared" ca="1" si="127"/>
        <v>86336872.664225534</v>
      </c>
      <c r="M1299" s="471">
        <f t="shared" si="129"/>
        <v>0.05</v>
      </c>
      <c r="N1299" s="475">
        <f t="shared" si="130"/>
        <v>90582</v>
      </c>
    </row>
    <row r="1300" spans="7:14" ht="11.25" customHeight="1" x14ac:dyDescent="0.3">
      <c r="G1300" s="470"/>
      <c r="H1300" s="470">
        <v>1293</v>
      </c>
      <c r="I1300" s="455">
        <f t="shared" ca="1" si="128"/>
        <v>86336872.664225534</v>
      </c>
      <c r="J1300" s="455">
        <f t="array" ref="J1300">IFERROR(INDEX('Retirement Calculator'!J:J,MATCH('Isaac 401k'!N1300,'Retirement Calculator'!A:A,0),0),0)</f>
        <v>0</v>
      </c>
      <c r="K1300" s="455">
        <f t="shared" ca="1" si="126"/>
        <v>359736.96943427308</v>
      </c>
      <c r="L1300" s="455">
        <f t="shared" ca="1" si="127"/>
        <v>86696609.63365981</v>
      </c>
      <c r="M1300" s="471">
        <f t="shared" si="129"/>
        <v>0.05</v>
      </c>
      <c r="N1300" s="475">
        <f t="shared" si="130"/>
        <v>90613</v>
      </c>
    </row>
    <row r="1301" spans="7:14" ht="11.25" customHeight="1" x14ac:dyDescent="0.3">
      <c r="G1301" s="470"/>
      <c r="H1301" s="470">
        <v>1294</v>
      </c>
      <c r="I1301" s="455">
        <f t="shared" ca="1" si="128"/>
        <v>86696609.63365981</v>
      </c>
      <c r="J1301" s="455">
        <f t="array" ref="J1301">IFERROR(INDEX('Retirement Calculator'!J:J,MATCH('Isaac 401k'!N1301,'Retirement Calculator'!A:A,0),0),0)</f>
        <v>0</v>
      </c>
      <c r="K1301" s="455">
        <f t="shared" ca="1" si="126"/>
        <v>361235.87347358256</v>
      </c>
      <c r="L1301" s="455">
        <f t="shared" ca="1" si="127"/>
        <v>87057845.507133394</v>
      </c>
      <c r="M1301" s="471">
        <f t="shared" si="129"/>
        <v>0.05</v>
      </c>
      <c r="N1301" s="475">
        <f t="shared" si="130"/>
        <v>90642</v>
      </c>
    </row>
    <row r="1302" spans="7:14" ht="11.25" customHeight="1" x14ac:dyDescent="0.3">
      <c r="G1302" s="470"/>
      <c r="H1302" s="470">
        <v>1295</v>
      </c>
      <c r="I1302" s="455">
        <f t="shared" ca="1" si="128"/>
        <v>87057845.507133394</v>
      </c>
      <c r="J1302" s="455">
        <f t="array" ref="J1302">IFERROR(INDEX('Retirement Calculator'!J:J,MATCH('Isaac 401k'!N1302,'Retirement Calculator'!A:A,0),0),0)</f>
        <v>0</v>
      </c>
      <c r="K1302" s="455">
        <f t="shared" ca="1" si="126"/>
        <v>362741.02294638916</v>
      </c>
      <c r="L1302" s="455">
        <f t="shared" ca="1" si="127"/>
        <v>87420586.530079782</v>
      </c>
      <c r="M1302" s="471">
        <f t="shared" si="129"/>
        <v>0.05</v>
      </c>
      <c r="N1302" s="475">
        <f t="shared" si="130"/>
        <v>90673</v>
      </c>
    </row>
    <row r="1303" spans="7:14" ht="11.25" customHeight="1" x14ac:dyDescent="0.3">
      <c r="G1303" s="470"/>
      <c r="H1303" s="470">
        <v>1296</v>
      </c>
      <c r="I1303" s="455">
        <f t="shared" ca="1" si="128"/>
        <v>87420586.530079782</v>
      </c>
      <c r="J1303" s="455">
        <f t="array" ref="J1303">IFERROR(INDEX('Retirement Calculator'!J:J,MATCH('Isaac 401k'!N1303,'Retirement Calculator'!A:A,0),0),0)</f>
        <v>0</v>
      </c>
      <c r="K1303" s="455">
        <f t="shared" ca="1" si="126"/>
        <v>364252.44387533242</v>
      </c>
      <c r="L1303" s="455">
        <f t="shared" ca="1" si="127"/>
        <v>87784838.97395511</v>
      </c>
      <c r="M1303" s="471">
        <f t="shared" si="129"/>
        <v>0.05</v>
      </c>
      <c r="N1303" s="475">
        <f t="shared" si="130"/>
        <v>90703</v>
      </c>
    </row>
    <row r="1304" spans="7:14" ht="11.25" customHeight="1" x14ac:dyDescent="0.3">
      <c r="G1304" s="470"/>
      <c r="H1304" s="470">
        <v>1297</v>
      </c>
      <c r="I1304" s="455">
        <f t="shared" ca="1" si="128"/>
        <v>87784838.97395511</v>
      </c>
      <c r="J1304" s="455">
        <f t="array" ref="J1304">IFERROR(INDEX('Retirement Calculator'!J:J,MATCH('Isaac 401k'!N1304,'Retirement Calculator'!A:A,0),0),0)</f>
        <v>0</v>
      </c>
      <c r="K1304" s="455">
        <f t="shared" ca="1" si="126"/>
        <v>365770.16239147959</v>
      </c>
      <c r="L1304" s="455">
        <f t="shared" ca="1" si="127"/>
        <v>88150609.136346593</v>
      </c>
      <c r="M1304" s="471">
        <f t="shared" si="129"/>
        <v>0.05</v>
      </c>
      <c r="N1304" s="475">
        <f t="shared" si="130"/>
        <v>90734</v>
      </c>
    </row>
    <row r="1305" spans="7:14" ht="11.25" customHeight="1" x14ac:dyDescent="0.3">
      <c r="G1305" s="470"/>
      <c r="H1305" s="470">
        <v>1298</v>
      </c>
      <c r="I1305" s="455">
        <f t="shared" ca="1" si="128"/>
        <v>88150609.136346593</v>
      </c>
      <c r="J1305" s="455">
        <f t="array" ref="J1305">IFERROR(INDEX('Retirement Calculator'!J:J,MATCH('Isaac 401k'!N1305,'Retirement Calculator'!A:A,0),0),0)</f>
        <v>0</v>
      </c>
      <c r="K1305" s="455">
        <f t="shared" ca="1" si="126"/>
        <v>367294.20473477745</v>
      </c>
      <c r="L1305" s="455">
        <f t="shared" ca="1" si="127"/>
        <v>88517903.341081366</v>
      </c>
      <c r="M1305" s="471">
        <f t="shared" si="129"/>
        <v>0.05</v>
      </c>
      <c r="N1305" s="475">
        <f t="shared" si="130"/>
        <v>90764</v>
      </c>
    </row>
    <row r="1306" spans="7:14" ht="11.25" customHeight="1" x14ac:dyDescent="0.3">
      <c r="G1306" s="470"/>
      <c r="H1306" s="470">
        <v>1299</v>
      </c>
      <c r="I1306" s="455">
        <f t="shared" ca="1" si="128"/>
        <v>88517903.341081366</v>
      </c>
      <c r="J1306" s="455">
        <f t="array" ref="J1306">IFERROR(INDEX('Retirement Calculator'!J:J,MATCH('Isaac 401k'!N1306,'Retirement Calculator'!A:A,0),0),0)</f>
        <v>0</v>
      </c>
      <c r="K1306" s="455">
        <f t="shared" ca="1" si="126"/>
        <v>368824.59725450567</v>
      </c>
      <c r="L1306" s="455">
        <f t="shared" ca="1" si="127"/>
        <v>88886727.938335866</v>
      </c>
      <c r="M1306" s="471">
        <f t="shared" si="129"/>
        <v>0.05</v>
      </c>
      <c r="N1306" s="475">
        <f t="shared" si="130"/>
        <v>90795</v>
      </c>
    </row>
    <row r="1307" spans="7:14" ht="11.25" customHeight="1" x14ac:dyDescent="0.3">
      <c r="G1307" s="470"/>
      <c r="H1307" s="470">
        <v>1300</v>
      </c>
      <c r="I1307" s="455">
        <f t="shared" ca="1" si="128"/>
        <v>88886727.938335866</v>
      </c>
      <c r="J1307" s="455">
        <f t="array" ref="J1307">IFERROR(INDEX('Retirement Calculator'!J:J,MATCH('Isaac 401k'!N1307,'Retirement Calculator'!A:A,0),0),0)</f>
        <v>0</v>
      </c>
      <c r="K1307" s="455">
        <f t="shared" ca="1" si="126"/>
        <v>370361.36640973279</v>
      </c>
      <c r="L1307" s="455">
        <f t="shared" ca="1" si="127"/>
        <v>89257089.3047456</v>
      </c>
      <c r="M1307" s="471">
        <f t="shared" si="129"/>
        <v>0.05</v>
      </c>
      <c r="N1307" s="475">
        <f t="shared" si="130"/>
        <v>90826</v>
      </c>
    </row>
    <row r="1308" spans="7:14" ht="11.25" customHeight="1" x14ac:dyDescent="0.3">
      <c r="G1308" s="470"/>
      <c r="H1308" s="470">
        <v>1301</v>
      </c>
      <c r="I1308" s="455">
        <f t="shared" ca="1" si="128"/>
        <v>89257089.3047456</v>
      </c>
      <c r="J1308" s="455">
        <f t="array" ref="J1308">IFERROR(INDEX('Retirement Calculator'!J:J,MATCH('Isaac 401k'!N1308,'Retirement Calculator'!A:A,0),0),0)</f>
        <v>0</v>
      </c>
      <c r="K1308" s="455">
        <f t="shared" ca="1" si="126"/>
        <v>371904.53876977332</v>
      </c>
      <c r="L1308" s="455">
        <f t="shared" ca="1" si="127"/>
        <v>89628993.843515366</v>
      </c>
      <c r="M1308" s="471">
        <f t="shared" si="129"/>
        <v>0.05</v>
      </c>
      <c r="N1308" s="475">
        <f t="shared" si="130"/>
        <v>90856</v>
      </c>
    </row>
    <row r="1309" spans="7:14" ht="11.25" customHeight="1" x14ac:dyDescent="0.3">
      <c r="G1309" s="470"/>
      <c r="H1309" s="470">
        <v>1302</v>
      </c>
      <c r="I1309" s="455">
        <f t="shared" ca="1" si="128"/>
        <v>89628993.843515366</v>
      </c>
      <c r="J1309" s="455">
        <f t="array" ref="J1309">IFERROR(INDEX('Retirement Calculator'!J:J,MATCH('Isaac 401k'!N1309,'Retirement Calculator'!A:A,0),0),0)</f>
        <v>0</v>
      </c>
      <c r="K1309" s="455">
        <f t="shared" ca="1" si="126"/>
        <v>373454.14101464738</v>
      </c>
      <c r="L1309" s="455">
        <f t="shared" ca="1" si="127"/>
        <v>90002447.984530017</v>
      </c>
      <c r="M1309" s="471">
        <f t="shared" si="129"/>
        <v>0.05</v>
      </c>
      <c r="N1309" s="475">
        <f t="shared" si="130"/>
        <v>90887</v>
      </c>
    </row>
    <row r="1310" spans="7:14" ht="11.25" customHeight="1" x14ac:dyDescent="0.3">
      <c r="G1310" s="470"/>
      <c r="H1310" s="470">
        <v>1303</v>
      </c>
      <c r="I1310" s="455">
        <f t="shared" ca="1" si="128"/>
        <v>90002447.984530017</v>
      </c>
      <c r="J1310" s="455">
        <f t="array" ref="J1310">IFERROR(INDEX('Retirement Calculator'!J:J,MATCH('Isaac 401k'!N1310,'Retirement Calculator'!A:A,0),0),0)</f>
        <v>0</v>
      </c>
      <c r="K1310" s="455">
        <f t="shared" ca="1" si="126"/>
        <v>375010.19993554172</v>
      </c>
      <c r="L1310" s="455">
        <f t="shared" ca="1" si="127"/>
        <v>90377458.184465557</v>
      </c>
      <c r="M1310" s="471">
        <f t="shared" si="129"/>
        <v>0.05</v>
      </c>
      <c r="N1310" s="475">
        <f t="shared" si="130"/>
        <v>90917</v>
      </c>
    </row>
    <row r="1311" spans="7:14" ht="11.25" customHeight="1" x14ac:dyDescent="0.3">
      <c r="G1311" s="470"/>
      <c r="H1311" s="470">
        <v>1304</v>
      </c>
      <c r="I1311" s="455">
        <f t="shared" ca="1" si="128"/>
        <v>90377458.184465557</v>
      </c>
      <c r="J1311" s="455">
        <f t="array" ref="J1311">IFERROR(INDEX('Retirement Calculator'!J:J,MATCH('Isaac 401k'!N1311,'Retirement Calculator'!A:A,0),0),0)</f>
        <v>0</v>
      </c>
      <c r="K1311" s="455">
        <f t="shared" ca="1" si="126"/>
        <v>376572.74243527313</v>
      </c>
      <c r="L1311" s="455">
        <f t="shared" ca="1" si="127"/>
        <v>90754030.926900834</v>
      </c>
      <c r="M1311" s="471">
        <f t="shared" si="129"/>
        <v>0.05</v>
      </c>
      <c r="N1311" s="475">
        <f t="shared" si="130"/>
        <v>90948</v>
      </c>
    </row>
    <row r="1312" spans="7:14" ht="11.25" customHeight="1" x14ac:dyDescent="0.3">
      <c r="G1312" s="470"/>
      <c r="H1312" s="470">
        <v>1305</v>
      </c>
      <c r="I1312" s="455">
        <f t="shared" ca="1" si="128"/>
        <v>90754030.926900834</v>
      </c>
      <c r="J1312" s="455">
        <f t="array" ref="J1312">IFERROR(INDEX('Retirement Calculator'!J:J,MATCH('Isaac 401k'!N1312,'Retirement Calculator'!A:A,0),0),0)</f>
        <v>0</v>
      </c>
      <c r="K1312" s="455">
        <f t="shared" ca="1" si="126"/>
        <v>378141.79552875349</v>
      </c>
      <c r="L1312" s="455">
        <f t="shared" ca="1" si="127"/>
        <v>91132172.722429588</v>
      </c>
      <c r="M1312" s="471">
        <f t="shared" si="129"/>
        <v>0.05</v>
      </c>
      <c r="N1312" s="475">
        <f t="shared" si="130"/>
        <v>90979</v>
      </c>
    </row>
    <row r="1313" spans="7:14" ht="11.25" customHeight="1" x14ac:dyDescent="0.3">
      <c r="G1313" s="470"/>
      <c r="H1313" s="470">
        <v>1306</v>
      </c>
      <c r="I1313" s="455">
        <f t="shared" ca="1" si="128"/>
        <v>91132172.722429588</v>
      </c>
      <c r="J1313" s="455">
        <f t="array" ref="J1313">IFERROR(INDEX('Retirement Calculator'!J:J,MATCH('Isaac 401k'!N1313,'Retirement Calculator'!A:A,0),0),0)</f>
        <v>0</v>
      </c>
      <c r="K1313" s="455">
        <f t="shared" ca="1" si="126"/>
        <v>379717.38634345663</v>
      </c>
      <c r="L1313" s="455">
        <f t="shared" ca="1" si="127"/>
        <v>91511890.108773038</v>
      </c>
      <c r="M1313" s="471">
        <f t="shared" si="129"/>
        <v>0.05</v>
      </c>
      <c r="N1313" s="475">
        <f t="shared" si="130"/>
        <v>91007</v>
      </c>
    </row>
    <row r="1314" spans="7:14" ht="11.25" customHeight="1" x14ac:dyDescent="0.3">
      <c r="G1314" s="470"/>
      <c r="H1314" s="470">
        <v>1307</v>
      </c>
      <c r="I1314" s="455">
        <f t="shared" ca="1" si="128"/>
        <v>91511890.108773038</v>
      </c>
      <c r="J1314" s="455">
        <f t="array" ref="J1314">IFERROR(INDEX('Retirement Calculator'!J:J,MATCH('Isaac 401k'!N1314,'Retirement Calculator'!A:A,0),0),0)</f>
        <v>0</v>
      </c>
      <c r="K1314" s="455">
        <f t="shared" ca="1" si="126"/>
        <v>381299.54211988766</v>
      </c>
      <c r="L1314" s="455">
        <f t="shared" ca="1" si="127"/>
        <v>91893189.650892928</v>
      </c>
      <c r="M1314" s="471">
        <f t="shared" si="129"/>
        <v>0.05</v>
      </c>
      <c r="N1314" s="475">
        <f t="shared" si="130"/>
        <v>91038</v>
      </c>
    </row>
    <row r="1315" spans="7:14" ht="11.25" customHeight="1" x14ac:dyDescent="0.3">
      <c r="G1315" s="470"/>
      <c r="H1315" s="470">
        <v>1308</v>
      </c>
      <c r="I1315" s="455">
        <f t="shared" ca="1" si="128"/>
        <v>91893189.650892928</v>
      </c>
      <c r="J1315" s="455">
        <f t="array" ref="J1315">IFERROR(INDEX('Retirement Calculator'!J:J,MATCH('Isaac 401k'!N1315,'Retirement Calculator'!A:A,0),0),0)</f>
        <v>0</v>
      </c>
      <c r="K1315" s="455">
        <f t="shared" ca="1" si="126"/>
        <v>382888.29021205386</v>
      </c>
      <c r="L1315" s="455">
        <f t="shared" ca="1" si="127"/>
        <v>92276077.941104978</v>
      </c>
      <c r="M1315" s="471">
        <f t="shared" si="129"/>
        <v>0.05</v>
      </c>
      <c r="N1315" s="475">
        <f t="shared" si="130"/>
        <v>91068</v>
      </c>
    </row>
    <row r="1316" spans="7:14" ht="11.25" customHeight="1" x14ac:dyDescent="0.3">
      <c r="G1316" s="470"/>
      <c r="H1316" s="470">
        <v>1309</v>
      </c>
      <c r="I1316" s="455">
        <f t="shared" ca="1" si="128"/>
        <v>92276077.941104978</v>
      </c>
      <c r="J1316" s="455">
        <f t="array" ref="J1316">IFERROR(INDEX('Retirement Calculator'!J:J,MATCH('Isaac 401k'!N1316,'Retirement Calculator'!A:A,0),0),0)</f>
        <v>0</v>
      </c>
      <c r="K1316" s="455">
        <f t="shared" ca="1" si="126"/>
        <v>384483.65808793739</v>
      </c>
      <c r="L1316" s="455">
        <f t="shared" ca="1" si="127"/>
        <v>92660561.599192917</v>
      </c>
      <c r="M1316" s="471">
        <f t="shared" si="129"/>
        <v>0.05</v>
      </c>
      <c r="N1316" s="475">
        <f t="shared" si="130"/>
        <v>91099</v>
      </c>
    </row>
    <row r="1317" spans="7:14" ht="11.25" customHeight="1" x14ac:dyDescent="0.3">
      <c r="G1317" s="470"/>
      <c r="H1317" s="470">
        <v>1310</v>
      </c>
      <c r="I1317" s="455">
        <f t="shared" ca="1" si="128"/>
        <v>92660561.599192917</v>
      </c>
      <c r="J1317" s="455">
        <f t="array" ref="J1317">IFERROR(INDEX('Retirement Calculator'!J:J,MATCH('Isaac 401k'!N1317,'Retirement Calculator'!A:A,0),0),0)</f>
        <v>0</v>
      </c>
      <c r="K1317" s="455">
        <f t="shared" ca="1" si="126"/>
        <v>386085.67332997051</v>
      </c>
      <c r="L1317" s="455">
        <f t="shared" ca="1" si="127"/>
        <v>93046647.272522882</v>
      </c>
      <c r="M1317" s="471">
        <f t="shared" si="129"/>
        <v>0.05</v>
      </c>
      <c r="N1317" s="475">
        <f t="shared" si="130"/>
        <v>91129</v>
      </c>
    </row>
    <row r="1318" spans="7:14" ht="11.25" customHeight="1" x14ac:dyDescent="0.3">
      <c r="G1318" s="470"/>
      <c r="H1318" s="470">
        <v>1311</v>
      </c>
      <c r="I1318" s="455">
        <f t="shared" ca="1" si="128"/>
        <v>93046647.272522882</v>
      </c>
      <c r="J1318" s="455">
        <f t="array" ref="J1318">IFERROR(INDEX('Retirement Calculator'!J:J,MATCH('Isaac 401k'!N1318,'Retirement Calculator'!A:A,0),0),0)</f>
        <v>0</v>
      </c>
      <c r="K1318" s="455">
        <f t="shared" ca="1" si="126"/>
        <v>387694.36363551201</v>
      </c>
      <c r="L1318" s="455">
        <f t="shared" ca="1" si="127"/>
        <v>93434341.636158392</v>
      </c>
      <c r="M1318" s="471">
        <f t="shared" si="129"/>
        <v>0.05</v>
      </c>
      <c r="N1318" s="475">
        <f t="shared" si="130"/>
        <v>91160</v>
      </c>
    </row>
    <row r="1319" spans="7:14" ht="11.25" customHeight="1" x14ac:dyDescent="0.3">
      <c r="G1319" s="470"/>
      <c r="H1319" s="470">
        <v>1312</v>
      </c>
      <c r="I1319" s="455">
        <f t="shared" ca="1" si="128"/>
        <v>93434341.636158392</v>
      </c>
      <c r="J1319" s="455">
        <f t="array" ref="J1319">IFERROR(INDEX('Retirement Calculator'!J:J,MATCH('Isaac 401k'!N1319,'Retirement Calculator'!A:A,0),0),0)</f>
        <v>0</v>
      </c>
      <c r="K1319" s="455">
        <f t="shared" ca="1" si="126"/>
        <v>389309.75681732665</v>
      </c>
      <c r="L1319" s="455">
        <f t="shared" ca="1" si="127"/>
        <v>93823651.392975718</v>
      </c>
      <c r="M1319" s="471">
        <f t="shared" si="129"/>
        <v>0.05</v>
      </c>
      <c r="N1319" s="475">
        <f t="shared" si="130"/>
        <v>91191</v>
      </c>
    </row>
    <row r="1320" spans="7:14" ht="11.25" customHeight="1" x14ac:dyDescent="0.3">
      <c r="G1320" s="470"/>
      <c r="H1320" s="470">
        <v>1313</v>
      </c>
      <c r="I1320" s="455">
        <f t="shared" ca="1" si="128"/>
        <v>93823651.392975718</v>
      </c>
      <c r="J1320" s="455">
        <f t="array" ref="J1320">IFERROR(INDEX('Retirement Calculator'!J:J,MATCH('Isaac 401k'!N1320,'Retirement Calculator'!A:A,0),0),0)</f>
        <v>0</v>
      </c>
      <c r="K1320" s="455">
        <f t="shared" ca="1" si="126"/>
        <v>390931.8808040655</v>
      </c>
      <c r="L1320" s="455">
        <f t="shared" ca="1" si="127"/>
        <v>94214583.27377978</v>
      </c>
      <c r="M1320" s="471">
        <f t="shared" si="129"/>
        <v>0.05</v>
      </c>
      <c r="N1320" s="475">
        <f t="shared" si="130"/>
        <v>91221</v>
      </c>
    </row>
    <row r="1321" spans="7:14" ht="11.25" customHeight="1" x14ac:dyDescent="0.3">
      <c r="G1321" s="470"/>
      <c r="H1321" s="470">
        <v>1314</v>
      </c>
      <c r="I1321" s="455">
        <f t="shared" ca="1" si="128"/>
        <v>94214583.27377978</v>
      </c>
      <c r="J1321" s="455">
        <f t="array" ref="J1321">IFERROR(INDEX('Retirement Calculator'!J:J,MATCH('Isaac 401k'!N1321,'Retirement Calculator'!A:A,0),0),0)</f>
        <v>0</v>
      </c>
      <c r="K1321" s="455">
        <f t="shared" ca="1" si="126"/>
        <v>392560.76364074909</v>
      </c>
      <c r="L1321" s="455">
        <f t="shared" ca="1" si="127"/>
        <v>94607144.037420526</v>
      </c>
      <c r="M1321" s="471">
        <f t="shared" si="129"/>
        <v>0.05</v>
      </c>
      <c r="N1321" s="475">
        <f t="shared" si="130"/>
        <v>91252</v>
      </c>
    </row>
    <row r="1322" spans="7:14" ht="11.25" customHeight="1" x14ac:dyDescent="0.3">
      <c r="G1322" s="470"/>
      <c r="H1322" s="470">
        <v>1315</v>
      </c>
      <c r="I1322" s="455">
        <f t="shared" ca="1" si="128"/>
        <v>94607144.037420526</v>
      </c>
      <c r="J1322" s="455">
        <f t="array" ref="J1322">IFERROR(INDEX('Retirement Calculator'!J:J,MATCH('Isaac 401k'!N1322,'Retirement Calculator'!A:A,0),0),0)</f>
        <v>0</v>
      </c>
      <c r="K1322" s="455">
        <f t="shared" ca="1" si="126"/>
        <v>394196.43348925217</v>
      </c>
      <c r="L1322" s="455">
        <f t="shared" ca="1" si="127"/>
        <v>95001340.470909774</v>
      </c>
      <c r="M1322" s="471">
        <f t="shared" si="129"/>
        <v>0.05</v>
      </c>
      <c r="N1322" s="475">
        <f t="shared" si="130"/>
        <v>91282</v>
      </c>
    </row>
    <row r="1323" spans="7:14" ht="11.25" customHeight="1" x14ac:dyDescent="0.3">
      <c r="G1323" s="470"/>
      <c r="H1323" s="470">
        <v>1316</v>
      </c>
      <c r="I1323" s="455">
        <f t="shared" ca="1" si="128"/>
        <v>95001340.470909774</v>
      </c>
      <c r="J1323" s="455">
        <f t="array" ref="J1323">IFERROR(INDEX('Retirement Calculator'!J:J,MATCH('Isaac 401k'!N1323,'Retirement Calculator'!A:A,0),0),0)</f>
        <v>0</v>
      </c>
      <c r="K1323" s="455">
        <f t="shared" ca="1" si="126"/>
        <v>395838.91862879071</v>
      </c>
      <c r="L1323" s="455">
        <f t="shared" ca="1" si="127"/>
        <v>95397179.389538571</v>
      </c>
      <c r="M1323" s="471">
        <f t="shared" si="129"/>
        <v>0.05</v>
      </c>
      <c r="N1323" s="475">
        <f t="shared" si="130"/>
        <v>91313</v>
      </c>
    </row>
    <row r="1324" spans="7:14" ht="11.25" customHeight="1" x14ac:dyDescent="0.3">
      <c r="G1324" s="470"/>
      <c r="H1324" s="470">
        <v>1317</v>
      </c>
      <c r="I1324" s="455">
        <f t="shared" ca="1" si="128"/>
        <v>95397179.389538571</v>
      </c>
      <c r="J1324" s="455">
        <f t="array" ref="J1324">IFERROR(INDEX('Retirement Calculator'!J:J,MATCH('Isaac 401k'!N1324,'Retirement Calculator'!A:A,0),0),0)</f>
        <v>0</v>
      </c>
      <c r="K1324" s="455">
        <f t="shared" ca="1" si="126"/>
        <v>397488.24745641073</v>
      </c>
      <c r="L1324" s="455">
        <f t="shared" ca="1" si="127"/>
        <v>95794667.636994988</v>
      </c>
      <c r="M1324" s="471">
        <f t="shared" si="129"/>
        <v>0.05</v>
      </c>
      <c r="N1324" s="475">
        <f t="shared" si="130"/>
        <v>91344</v>
      </c>
    </row>
    <row r="1325" spans="7:14" ht="11.25" customHeight="1" x14ac:dyDescent="0.3">
      <c r="G1325" s="470"/>
      <c r="H1325" s="470">
        <v>1318</v>
      </c>
      <c r="I1325" s="455">
        <f t="shared" ca="1" si="128"/>
        <v>95794667.636994988</v>
      </c>
      <c r="J1325" s="455">
        <f t="array" ref="J1325">IFERROR(INDEX('Retirement Calculator'!J:J,MATCH('Isaac 401k'!N1325,'Retirement Calculator'!A:A,0),0),0)</f>
        <v>0</v>
      </c>
      <c r="K1325" s="455">
        <f t="shared" ca="1" si="126"/>
        <v>399144.44848747912</v>
      </c>
      <c r="L1325" s="455">
        <f t="shared" ca="1" si="127"/>
        <v>96193812.085482463</v>
      </c>
      <c r="M1325" s="471">
        <f t="shared" si="129"/>
        <v>0.05</v>
      </c>
      <c r="N1325" s="475">
        <f t="shared" si="130"/>
        <v>91372</v>
      </c>
    </row>
    <row r="1326" spans="7:14" ht="11.25" customHeight="1" x14ac:dyDescent="0.3">
      <c r="G1326" s="470"/>
      <c r="H1326" s="470">
        <v>1319</v>
      </c>
      <c r="I1326" s="455">
        <f t="shared" ca="1" si="128"/>
        <v>96193812.085482463</v>
      </c>
      <c r="J1326" s="455">
        <f t="array" ref="J1326">IFERROR(INDEX('Retirement Calculator'!J:J,MATCH('Isaac 401k'!N1326,'Retirement Calculator'!A:A,0),0),0)</f>
        <v>0</v>
      </c>
      <c r="K1326" s="455">
        <f t="shared" ca="1" si="126"/>
        <v>400807.55035617691</v>
      </c>
      <c r="L1326" s="455">
        <f t="shared" ca="1" si="127"/>
        <v>96594619.635838643</v>
      </c>
      <c r="M1326" s="471">
        <f t="shared" si="129"/>
        <v>0.05</v>
      </c>
      <c r="N1326" s="475">
        <f t="shared" si="130"/>
        <v>91403</v>
      </c>
    </row>
    <row r="1327" spans="7:14" ht="11.25" customHeight="1" x14ac:dyDescent="0.3">
      <c r="G1327" s="470"/>
      <c r="H1327" s="470">
        <v>1320</v>
      </c>
      <c r="I1327" s="455">
        <f t="shared" ca="1" si="128"/>
        <v>96594619.635838643</v>
      </c>
      <c r="J1327" s="455">
        <f t="array" ref="J1327">IFERROR(INDEX('Retirement Calculator'!J:J,MATCH('Isaac 401k'!N1327,'Retirement Calculator'!A:A,0),0),0)</f>
        <v>0</v>
      </c>
      <c r="K1327" s="455">
        <f t="shared" ca="1" si="126"/>
        <v>402477.58181599434</v>
      </c>
      <c r="L1327" s="455">
        <f t="shared" ca="1" si="127"/>
        <v>96997097.217654631</v>
      </c>
      <c r="M1327" s="471">
        <f t="shared" si="129"/>
        <v>0.05</v>
      </c>
      <c r="N1327" s="475">
        <f t="shared" si="130"/>
        <v>91433</v>
      </c>
    </row>
    <row r="1328" spans="7:14" ht="11.25" customHeight="1" x14ac:dyDescent="0.3">
      <c r="G1328" s="470"/>
      <c r="H1328" s="470">
        <v>1321</v>
      </c>
      <c r="I1328" s="455">
        <f t="shared" ca="1" si="128"/>
        <v>96997097.217654631</v>
      </c>
      <c r="J1328" s="455">
        <f t="array" ref="J1328">IFERROR(INDEX('Retirement Calculator'!J:J,MATCH('Isaac 401k'!N1328,'Retirement Calculator'!A:A,0),0),0)</f>
        <v>0</v>
      </c>
      <c r="K1328" s="455">
        <f t="shared" ca="1" si="126"/>
        <v>404154.57174022764</v>
      </c>
      <c r="L1328" s="455">
        <f t="shared" ca="1" si="127"/>
        <v>97401251.789394855</v>
      </c>
      <c r="M1328" s="471">
        <f t="shared" si="129"/>
        <v>0.05</v>
      </c>
      <c r="N1328" s="475">
        <f t="shared" si="130"/>
        <v>91464</v>
      </c>
    </row>
    <row r="1329" spans="7:14" ht="11.25" customHeight="1" x14ac:dyDescent="0.3">
      <c r="G1329" s="470"/>
      <c r="H1329" s="470">
        <v>1322</v>
      </c>
      <c r="I1329" s="455">
        <f t="shared" ca="1" si="128"/>
        <v>97401251.789394855</v>
      </c>
      <c r="J1329" s="455">
        <f t="array" ref="J1329">IFERROR(INDEX('Retirement Calculator'!J:J,MATCH('Isaac 401k'!N1329,'Retirement Calculator'!A:A,0),0),0)</f>
        <v>0</v>
      </c>
      <c r="K1329" s="455">
        <f t="shared" ca="1" si="126"/>
        <v>405838.54912247858</v>
      </c>
      <c r="L1329" s="455">
        <f t="shared" ca="1" si="127"/>
        <v>97807090.338517338</v>
      </c>
      <c r="M1329" s="471">
        <f t="shared" si="129"/>
        <v>0.05</v>
      </c>
      <c r="N1329" s="475">
        <f t="shared" si="130"/>
        <v>91494</v>
      </c>
    </row>
    <row r="1330" spans="7:14" ht="11.25" customHeight="1" x14ac:dyDescent="0.3">
      <c r="G1330" s="470"/>
      <c r="H1330" s="470">
        <v>1323</v>
      </c>
      <c r="I1330" s="455">
        <f t="shared" ca="1" si="128"/>
        <v>97807090.338517338</v>
      </c>
      <c r="J1330" s="455">
        <f t="array" ref="J1330">IFERROR(INDEX('Retirement Calculator'!J:J,MATCH('Isaac 401k'!N1330,'Retirement Calculator'!A:A,0),0),0)</f>
        <v>0</v>
      </c>
      <c r="K1330" s="455">
        <f t="shared" ca="1" si="126"/>
        <v>407529.5430771556</v>
      </c>
      <c r="L1330" s="455">
        <f t="shared" ca="1" si="127"/>
        <v>98214619.881594494</v>
      </c>
      <c r="M1330" s="471">
        <f t="shared" si="129"/>
        <v>0.05</v>
      </c>
      <c r="N1330" s="475">
        <f t="shared" si="130"/>
        <v>91525</v>
      </c>
    </row>
    <row r="1331" spans="7:14" ht="11.25" customHeight="1" x14ac:dyDescent="0.3">
      <c r="G1331" s="470"/>
      <c r="H1331" s="470">
        <v>1324</v>
      </c>
      <c r="I1331" s="455">
        <f t="shared" ca="1" si="128"/>
        <v>98214619.881594494</v>
      </c>
      <c r="J1331" s="455">
        <f t="array" ref="J1331">IFERROR(INDEX('Retirement Calculator'!J:J,MATCH('Isaac 401k'!N1331,'Retirement Calculator'!A:A,0),0),0)</f>
        <v>0</v>
      </c>
      <c r="K1331" s="455">
        <f t="shared" ca="1" si="126"/>
        <v>409227.58283997705</v>
      </c>
      <c r="L1331" s="455">
        <f t="shared" ca="1" si="127"/>
        <v>98623847.464434475</v>
      </c>
      <c r="M1331" s="471">
        <f t="shared" si="129"/>
        <v>0.05</v>
      </c>
      <c r="N1331" s="475">
        <f t="shared" si="130"/>
        <v>91556</v>
      </c>
    </row>
    <row r="1332" spans="7:14" ht="11.25" customHeight="1" x14ac:dyDescent="0.3">
      <c r="G1332" s="470"/>
      <c r="H1332" s="470">
        <v>1325</v>
      </c>
      <c r="I1332" s="455">
        <f t="shared" ca="1" si="128"/>
        <v>98623847.464434475</v>
      </c>
      <c r="J1332" s="455">
        <f t="array" ref="J1332">IFERROR(INDEX('Retirement Calculator'!J:J,MATCH('Isaac 401k'!N1332,'Retirement Calculator'!A:A,0),0),0)</f>
        <v>0</v>
      </c>
      <c r="K1332" s="455">
        <f t="shared" ca="1" si="126"/>
        <v>410932.69776847697</v>
      </c>
      <c r="L1332" s="455">
        <f t="shared" ca="1" si="127"/>
        <v>99034780.162202954</v>
      </c>
      <c r="M1332" s="471">
        <f t="shared" si="129"/>
        <v>0.05</v>
      </c>
      <c r="N1332" s="475">
        <f t="shared" si="130"/>
        <v>91586</v>
      </c>
    </row>
    <row r="1333" spans="7:14" ht="11.25" customHeight="1" x14ac:dyDescent="0.3">
      <c r="G1333" s="470"/>
      <c r="H1333" s="470">
        <v>1326</v>
      </c>
      <c r="I1333" s="455">
        <f t="shared" ca="1" si="128"/>
        <v>99034780.162202954</v>
      </c>
      <c r="J1333" s="455">
        <f t="array" ref="J1333">IFERROR(INDEX('Retirement Calculator'!J:J,MATCH('Isaac 401k'!N1333,'Retirement Calculator'!A:A,0),0),0)</f>
        <v>0</v>
      </c>
      <c r="K1333" s="455">
        <f t="shared" ca="1" si="126"/>
        <v>412644.91734251229</v>
      </c>
      <c r="L1333" s="455">
        <f t="shared" ca="1" si="127"/>
        <v>99447425.079545468</v>
      </c>
      <c r="M1333" s="471">
        <f t="shared" si="129"/>
        <v>0.05</v>
      </c>
      <c r="N1333" s="475">
        <f t="shared" si="130"/>
        <v>91617</v>
      </c>
    </row>
    <row r="1334" spans="7:14" ht="11.25" customHeight="1" x14ac:dyDescent="0.3">
      <c r="G1334" s="470"/>
      <c r="H1334" s="470">
        <v>1327</v>
      </c>
      <c r="I1334" s="455">
        <f t="shared" ca="1" si="128"/>
        <v>99447425.079545468</v>
      </c>
      <c r="J1334" s="455">
        <f t="array" ref="J1334">IFERROR(INDEX('Retirement Calculator'!J:J,MATCH('Isaac 401k'!N1334,'Retirement Calculator'!A:A,0),0),0)</f>
        <v>0</v>
      </c>
      <c r="K1334" s="455">
        <f t="shared" ca="1" si="126"/>
        <v>414364.2711647728</v>
      </c>
      <c r="L1334" s="455">
        <f t="shared" ca="1" si="127"/>
        <v>99861789.350710243</v>
      </c>
      <c r="M1334" s="471">
        <f t="shared" si="129"/>
        <v>0.05</v>
      </c>
      <c r="N1334" s="475">
        <f t="shared" si="130"/>
        <v>91647</v>
      </c>
    </row>
    <row r="1335" spans="7:14" ht="11.25" customHeight="1" x14ac:dyDescent="0.3">
      <c r="G1335" s="470"/>
      <c r="H1335" s="470">
        <v>1328</v>
      </c>
      <c r="I1335" s="455">
        <f t="shared" ca="1" si="128"/>
        <v>99861789.350710243</v>
      </c>
      <c r="J1335" s="455">
        <f t="array" ref="J1335">IFERROR(INDEX('Retirement Calculator'!J:J,MATCH('Isaac 401k'!N1335,'Retirement Calculator'!A:A,0),0),0)</f>
        <v>0</v>
      </c>
      <c r="K1335" s="455">
        <f t="shared" ca="1" si="126"/>
        <v>416090.78896129265</v>
      </c>
      <c r="L1335" s="455">
        <f t="shared" ca="1" si="127"/>
        <v>100277880.13967153</v>
      </c>
      <c r="M1335" s="471">
        <f t="shared" si="129"/>
        <v>0.05</v>
      </c>
      <c r="N1335" s="475">
        <f t="shared" si="130"/>
        <v>91678</v>
      </c>
    </row>
    <row r="1336" spans="7:14" ht="11.25" customHeight="1" x14ac:dyDescent="0.3">
      <c r="G1336" s="470"/>
      <c r="H1336" s="470">
        <v>1329</v>
      </c>
      <c r="I1336" s="455">
        <f t="shared" ca="1" si="128"/>
        <v>100277880.13967153</v>
      </c>
      <c r="J1336" s="455">
        <f t="array" ref="J1336">IFERROR(INDEX('Retirement Calculator'!J:J,MATCH('Isaac 401k'!N1336,'Retirement Calculator'!A:A,0),0),0)</f>
        <v>0</v>
      </c>
      <c r="K1336" s="455">
        <f t="shared" ca="1" si="126"/>
        <v>417824.50058196473</v>
      </c>
      <c r="L1336" s="455">
        <f t="shared" ca="1" si="127"/>
        <v>100695704.6402535</v>
      </c>
      <c r="M1336" s="471">
        <f t="shared" si="129"/>
        <v>0.05</v>
      </c>
      <c r="N1336" s="475">
        <f t="shared" si="130"/>
        <v>91709</v>
      </c>
    </row>
    <row r="1337" spans="7:14" ht="11.25" customHeight="1" x14ac:dyDescent="0.3">
      <c r="G1337" s="470"/>
      <c r="H1337" s="470">
        <v>1330</v>
      </c>
      <c r="I1337" s="455">
        <f t="shared" ca="1" si="128"/>
        <v>100695704.6402535</v>
      </c>
      <c r="J1337" s="455">
        <f t="array" ref="J1337">IFERROR(INDEX('Retirement Calculator'!J:J,MATCH('Isaac 401k'!N1337,'Retirement Calculator'!A:A,0),0),0)</f>
        <v>0</v>
      </c>
      <c r="K1337" s="455">
        <f t="shared" ca="1" si="126"/>
        <v>419565.43600105622</v>
      </c>
      <c r="L1337" s="455">
        <f t="shared" ca="1" si="127"/>
        <v>101115270.07625456</v>
      </c>
      <c r="M1337" s="471">
        <f t="shared" si="129"/>
        <v>0.05</v>
      </c>
      <c r="N1337" s="475">
        <f t="shared" si="130"/>
        <v>91737</v>
      </c>
    </row>
    <row r="1338" spans="7:14" ht="11.25" customHeight="1" x14ac:dyDescent="0.3">
      <c r="G1338" s="470"/>
      <c r="H1338" s="470">
        <v>1331</v>
      </c>
      <c r="I1338" s="455">
        <f t="shared" ca="1" si="128"/>
        <v>101115270.07625456</v>
      </c>
      <c r="J1338" s="455">
        <f t="array" ref="J1338">IFERROR(INDEX('Retirement Calculator'!J:J,MATCH('Isaac 401k'!N1338,'Retirement Calculator'!A:A,0),0),0)</f>
        <v>0</v>
      </c>
      <c r="K1338" s="455">
        <f t="shared" ca="1" si="126"/>
        <v>421313.62531772733</v>
      </c>
      <c r="L1338" s="455">
        <f t="shared" ca="1" si="127"/>
        <v>101536583.70157228</v>
      </c>
      <c r="M1338" s="471">
        <f t="shared" si="129"/>
        <v>0.05</v>
      </c>
      <c r="N1338" s="475">
        <f t="shared" si="130"/>
        <v>91768</v>
      </c>
    </row>
    <row r="1339" spans="7:14" ht="11.25" customHeight="1" x14ac:dyDescent="0.3">
      <c r="G1339" s="470"/>
      <c r="H1339" s="470">
        <v>1332</v>
      </c>
      <c r="I1339" s="455">
        <f t="shared" ca="1" si="128"/>
        <v>101536583.70157228</v>
      </c>
      <c r="J1339" s="455">
        <f t="array" ref="J1339">IFERROR(INDEX('Retirement Calculator'!J:J,MATCH('Isaac 401k'!N1339,'Retirement Calculator'!A:A,0),0),0)</f>
        <v>0</v>
      </c>
      <c r="K1339" s="455">
        <f t="shared" ca="1" si="126"/>
        <v>423069.09875655116</v>
      </c>
      <c r="L1339" s="455">
        <f t="shared" ca="1" si="127"/>
        <v>101959652.80032884</v>
      </c>
      <c r="M1339" s="471">
        <f t="shared" si="129"/>
        <v>0.05</v>
      </c>
      <c r="N1339" s="475">
        <f t="shared" si="130"/>
        <v>91798</v>
      </c>
    </row>
    <row r="1340" spans="7:14" ht="11.25" customHeight="1" x14ac:dyDescent="0.3">
      <c r="G1340" s="470"/>
      <c r="H1340" s="470">
        <v>1333</v>
      </c>
      <c r="I1340" s="455">
        <f t="shared" ca="1" si="128"/>
        <v>101959652.80032884</v>
      </c>
      <c r="J1340" s="455">
        <f t="array" ref="J1340">IFERROR(INDEX('Retirement Calculator'!J:J,MATCH('Isaac 401k'!N1340,'Retirement Calculator'!A:A,0),0),0)</f>
        <v>0</v>
      </c>
      <c r="K1340" s="455">
        <f t="shared" ca="1" si="126"/>
        <v>424831.88666803681</v>
      </c>
      <c r="L1340" s="455">
        <f t="shared" ca="1" si="127"/>
        <v>102384484.68699688</v>
      </c>
      <c r="M1340" s="471">
        <f t="shared" si="129"/>
        <v>0.05</v>
      </c>
      <c r="N1340" s="475">
        <f t="shared" si="130"/>
        <v>91829</v>
      </c>
    </row>
    <row r="1341" spans="7:14" ht="11.25" customHeight="1" x14ac:dyDescent="0.3">
      <c r="G1341" s="470"/>
      <c r="H1341" s="470">
        <v>1334</v>
      </c>
      <c r="I1341" s="455">
        <f t="shared" ca="1" si="128"/>
        <v>102384484.68699688</v>
      </c>
      <c r="J1341" s="455">
        <f t="array" ref="J1341">IFERROR(INDEX('Retirement Calculator'!J:J,MATCH('Isaac 401k'!N1341,'Retirement Calculator'!A:A,0),0),0)</f>
        <v>0</v>
      </c>
      <c r="K1341" s="455">
        <f t="shared" ca="1" si="126"/>
        <v>426602.01952915365</v>
      </c>
      <c r="L1341" s="455">
        <f t="shared" ca="1" si="127"/>
        <v>102811086.70652603</v>
      </c>
      <c r="M1341" s="471">
        <f t="shared" si="129"/>
        <v>0.05</v>
      </c>
      <c r="N1341" s="475">
        <f t="shared" si="130"/>
        <v>91859</v>
      </c>
    </row>
    <row r="1342" spans="7:14" ht="11.25" customHeight="1" x14ac:dyDescent="0.3">
      <c r="G1342" s="470"/>
      <c r="H1342" s="470">
        <v>1335</v>
      </c>
      <c r="I1342" s="455">
        <f t="shared" ca="1" si="128"/>
        <v>102811086.70652603</v>
      </c>
      <c r="J1342" s="455">
        <f t="array" ref="J1342">IFERROR(INDEX('Retirement Calculator'!J:J,MATCH('Isaac 401k'!N1342,'Retirement Calculator'!A:A,0),0),0)</f>
        <v>0</v>
      </c>
      <c r="K1342" s="455">
        <f t="shared" ca="1" si="126"/>
        <v>428379.52794385841</v>
      </c>
      <c r="L1342" s="455">
        <f t="shared" ca="1" si="127"/>
        <v>103239466.23446989</v>
      </c>
      <c r="M1342" s="471">
        <f t="shared" si="129"/>
        <v>0.05</v>
      </c>
      <c r="N1342" s="475">
        <f t="shared" si="130"/>
        <v>91890</v>
      </c>
    </row>
    <row r="1343" spans="7:14" ht="11.25" customHeight="1" x14ac:dyDescent="0.3">
      <c r="G1343" s="470"/>
      <c r="H1343" s="470">
        <v>1336</v>
      </c>
      <c r="I1343" s="455">
        <f t="shared" ca="1" si="128"/>
        <v>103239466.23446989</v>
      </c>
      <c r="J1343" s="455">
        <f t="array" ref="J1343">IFERROR(INDEX('Retirement Calculator'!J:J,MATCH('Isaac 401k'!N1343,'Retirement Calculator'!A:A,0),0),0)</f>
        <v>0</v>
      </c>
      <c r="K1343" s="455">
        <f t="shared" ca="1" si="126"/>
        <v>430164.44264362456</v>
      </c>
      <c r="L1343" s="455">
        <f t="shared" ca="1" si="127"/>
        <v>103669630.67711352</v>
      </c>
      <c r="M1343" s="471">
        <f t="shared" si="129"/>
        <v>0.05</v>
      </c>
      <c r="N1343" s="475">
        <f t="shared" si="130"/>
        <v>91921</v>
      </c>
    </row>
    <row r="1344" spans="7:14" ht="11.25" customHeight="1" x14ac:dyDescent="0.3">
      <c r="G1344" s="470"/>
      <c r="H1344" s="470">
        <v>1337</v>
      </c>
      <c r="I1344" s="455">
        <f t="shared" ca="1" si="128"/>
        <v>103669630.67711352</v>
      </c>
      <c r="J1344" s="455">
        <f t="array" ref="J1344">IFERROR(INDEX('Retirement Calculator'!J:J,MATCH('Isaac 401k'!N1344,'Retirement Calculator'!A:A,0),0),0)</f>
        <v>0</v>
      </c>
      <c r="K1344" s="455">
        <f t="shared" ca="1" si="126"/>
        <v>431956.79448797298</v>
      </c>
      <c r="L1344" s="455">
        <f t="shared" ca="1" si="127"/>
        <v>104101587.47160149</v>
      </c>
      <c r="M1344" s="471">
        <f t="shared" si="129"/>
        <v>0.05</v>
      </c>
      <c r="N1344" s="475">
        <f t="shared" si="130"/>
        <v>91951</v>
      </c>
    </row>
    <row r="1345" spans="7:14" ht="11.25" customHeight="1" x14ac:dyDescent="0.3">
      <c r="G1345" s="470"/>
      <c r="H1345" s="470">
        <v>1338</v>
      </c>
      <c r="I1345" s="455">
        <f t="shared" ca="1" si="128"/>
        <v>104101587.47160149</v>
      </c>
      <c r="J1345" s="455">
        <f t="array" ref="J1345">IFERROR(INDEX('Retirement Calculator'!J:J,MATCH('Isaac 401k'!N1345,'Retirement Calculator'!A:A,0),0),0)</f>
        <v>0</v>
      </c>
      <c r="K1345" s="455">
        <f t="shared" ca="1" si="126"/>
        <v>433756.61446500616</v>
      </c>
      <c r="L1345" s="455">
        <f t="shared" ca="1" si="127"/>
        <v>104535344.0860665</v>
      </c>
      <c r="M1345" s="471">
        <f t="shared" si="129"/>
        <v>0.05</v>
      </c>
      <c r="N1345" s="475">
        <f t="shared" si="130"/>
        <v>91982</v>
      </c>
    </row>
    <row r="1346" spans="7:14" ht="11.25" customHeight="1" x14ac:dyDescent="0.3">
      <c r="G1346" s="470"/>
      <c r="H1346" s="470">
        <v>1339</v>
      </c>
      <c r="I1346" s="455">
        <f t="shared" ca="1" si="128"/>
        <v>104535344.0860665</v>
      </c>
      <c r="J1346" s="455">
        <f t="array" ref="J1346">IFERROR(INDEX('Retirement Calculator'!J:J,MATCH('Isaac 401k'!N1346,'Retirement Calculator'!A:A,0),0),0)</f>
        <v>0</v>
      </c>
      <c r="K1346" s="455">
        <f t="shared" ca="1" si="126"/>
        <v>435563.93369194376</v>
      </c>
      <c r="L1346" s="455">
        <f t="shared" ca="1" si="127"/>
        <v>104970908.01975845</v>
      </c>
      <c r="M1346" s="471">
        <f t="shared" si="129"/>
        <v>0.05</v>
      </c>
      <c r="N1346" s="475">
        <f t="shared" si="130"/>
        <v>92012</v>
      </c>
    </row>
    <row r="1347" spans="7:14" ht="11.25" customHeight="1" x14ac:dyDescent="0.3">
      <c r="G1347" s="470"/>
      <c r="H1347" s="470">
        <v>1340</v>
      </c>
      <c r="I1347" s="455">
        <f t="shared" ca="1" si="128"/>
        <v>104970908.01975845</v>
      </c>
      <c r="J1347" s="455">
        <f t="array" ref="J1347">IFERROR(INDEX('Retirement Calculator'!J:J,MATCH('Isaac 401k'!N1347,'Retirement Calculator'!A:A,0),0),0)</f>
        <v>0</v>
      </c>
      <c r="K1347" s="455">
        <f t="shared" ca="1" si="126"/>
        <v>437378.7834156602</v>
      </c>
      <c r="L1347" s="455">
        <f t="shared" ca="1" si="127"/>
        <v>105408286.80317411</v>
      </c>
      <c r="M1347" s="471">
        <f t="shared" si="129"/>
        <v>0.05</v>
      </c>
      <c r="N1347" s="475">
        <f t="shared" si="130"/>
        <v>92043</v>
      </c>
    </row>
    <row r="1348" spans="7:14" ht="11.25" customHeight="1" x14ac:dyDescent="0.3">
      <c r="G1348" s="470"/>
      <c r="H1348" s="470">
        <v>1341</v>
      </c>
      <c r="I1348" s="455">
        <f t="shared" ca="1" si="128"/>
        <v>105408286.80317411</v>
      </c>
      <c r="J1348" s="455">
        <f t="array" ref="J1348">IFERROR(INDEX('Retirement Calculator'!J:J,MATCH('Isaac 401k'!N1348,'Retirement Calculator'!A:A,0),0),0)</f>
        <v>0</v>
      </c>
      <c r="K1348" s="455">
        <f t="shared" ca="1" si="126"/>
        <v>439201.19501322549</v>
      </c>
      <c r="L1348" s="455">
        <f t="shared" ca="1" si="127"/>
        <v>105847487.99818733</v>
      </c>
      <c r="M1348" s="471">
        <f t="shared" si="129"/>
        <v>0.05</v>
      </c>
      <c r="N1348" s="475">
        <f t="shared" si="130"/>
        <v>92074</v>
      </c>
    </row>
    <row r="1349" spans="7:14" ht="11.25" customHeight="1" x14ac:dyDescent="0.3">
      <c r="G1349" s="470"/>
      <c r="H1349" s="470">
        <v>1342</v>
      </c>
      <c r="I1349" s="455">
        <f t="shared" ca="1" si="128"/>
        <v>105847487.99818733</v>
      </c>
      <c r="J1349" s="455">
        <f t="array" ref="J1349">IFERROR(INDEX('Retirement Calculator'!J:J,MATCH('Isaac 401k'!N1349,'Retirement Calculator'!A:A,0),0),0)</f>
        <v>0</v>
      </c>
      <c r="K1349" s="455">
        <f t="shared" ca="1" si="126"/>
        <v>441031.19999244722</v>
      </c>
      <c r="L1349" s="455">
        <f t="shared" ca="1" si="127"/>
        <v>106288519.19817978</v>
      </c>
      <c r="M1349" s="471">
        <f t="shared" si="129"/>
        <v>0.05</v>
      </c>
      <c r="N1349" s="475">
        <f t="shared" si="130"/>
        <v>92103</v>
      </c>
    </row>
    <row r="1350" spans="7:14" ht="11.25" customHeight="1" x14ac:dyDescent="0.3">
      <c r="G1350" s="470"/>
      <c r="H1350" s="470">
        <v>1343</v>
      </c>
      <c r="I1350" s="455">
        <f t="shared" ca="1" si="128"/>
        <v>106288519.19817978</v>
      </c>
      <c r="J1350" s="455">
        <f t="array" ref="J1350">IFERROR(INDEX('Retirement Calculator'!J:J,MATCH('Isaac 401k'!N1350,'Retirement Calculator'!A:A,0),0),0)</f>
        <v>0</v>
      </c>
      <c r="K1350" s="455">
        <f t="shared" ca="1" si="126"/>
        <v>442868.82999241573</v>
      </c>
      <c r="L1350" s="455">
        <f t="shared" ca="1" si="127"/>
        <v>106731388.02817219</v>
      </c>
      <c r="M1350" s="471">
        <f t="shared" si="129"/>
        <v>0.05</v>
      </c>
      <c r="N1350" s="475">
        <f t="shared" si="130"/>
        <v>92134</v>
      </c>
    </row>
    <row r="1351" spans="7:14" ht="11.25" customHeight="1" x14ac:dyDescent="0.3">
      <c r="G1351" s="470"/>
      <c r="H1351" s="470">
        <v>1344</v>
      </c>
      <c r="I1351" s="455">
        <f t="shared" ca="1" si="128"/>
        <v>106731388.02817219</v>
      </c>
      <c r="J1351" s="455">
        <f t="array" ref="J1351">IFERROR(INDEX('Retirement Calculator'!J:J,MATCH('Isaac 401k'!N1351,'Retirement Calculator'!A:A,0),0),0)</f>
        <v>0</v>
      </c>
      <c r="K1351" s="455">
        <f t="shared" ca="1" si="126"/>
        <v>444714.11678405083</v>
      </c>
      <c r="L1351" s="455">
        <f t="shared" ca="1" si="127"/>
        <v>107176102.14495625</v>
      </c>
      <c r="M1351" s="471">
        <f t="shared" si="129"/>
        <v>0.05</v>
      </c>
      <c r="N1351" s="475">
        <f t="shared" si="130"/>
        <v>92164</v>
      </c>
    </row>
    <row r="1352" spans="7:14" ht="11.25" customHeight="1" x14ac:dyDescent="0.3">
      <c r="G1352" s="470"/>
      <c r="H1352" s="470">
        <v>1345</v>
      </c>
      <c r="I1352" s="455">
        <f t="shared" ca="1" si="128"/>
        <v>107176102.14495625</v>
      </c>
      <c r="J1352" s="455">
        <f t="array" ref="J1352">IFERROR(INDEX('Retirement Calculator'!J:J,MATCH('Isaac 401k'!N1352,'Retirement Calculator'!A:A,0),0),0)</f>
        <v>0</v>
      </c>
      <c r="K1352" s="455">
        <f t="shared" ca="1" si="126"/>
        <v>446567.09227065108</v>
      </c>
      <c r="L1352" s="455">
        <f t="shared" ca="1" si="127"/>
        <v>107622669.2372269</v>
      </c>
      <c r="M1352" s="471">
        <f t="shared" si="129"/>
        <v>0.05</v>
      </c>
      <c r="N1352" s="475">
        <f t="shared" si="130"/>
        <v>92195</v>
      </c>
    </row>
    <row r="1353" spans="7:14" ht="11.25" customHeight="1" x14ac:dyDescent="0.3">
      <c r="G1353" s="470"/>
      <c r="H1353" s="470">
        <v>1346</v>
      </c>
      <c r="I1353" s="455">
        <f t="shared" ca="1" si="128"/>
        <v>107622669.2372269</v>
      </c>
      <c r="J1353" s="455">
        <f t="array" ref="J1353">IFERROR(INDEX('Retirement Calculator'!J:J,MATCH('Isaac 401k'!N1353,'Retirement Calculator'!A:A,0),0),0)</f>
        <v>0</v>
      </c>
      <c r="K1353" s="455">
        <f t="shared" ca="1" si="126"/>
        <v>448427.78848844534</v>
      </c>
      <c r="L1353" s="455">
        <f t="shared" ca="1" si="127"/>
        <v>108071097.02571535</v>
      </c>
      <c r="M1353" s="471">
        <f t="shared" si="129"/>
        <v>0.05</v>
      </c>
      <c r="N1353" s="475">
        <f t="shared" si="130"/>
        <v>92225</v>
      </c>
    </row>
    <row r="1354" spans="7:14" ht="11.25" customHeight="1" x14ac:dyDescent="0.3">
      <c r="G1354" s="470"/>
      <c r="H1354" s="470">
        <v>1347</v>
      </c>
      <c r="I1354" s="455">
        <f t="shared" ca="1" si="128"/>
        <v>108071097.02571535</v>
      </c>
      <c r="J1354" s="455">
        <f t="array" ref="J1354">IFERROR(INDEX('Retirement Calculator'!J:J,MATCH('Isaac 401k'!N1354,'Retirement Calculator'!A:A,0),0),0)</f>
        <v>0</v>
      </c>
      <c r="K1354" s="455">
        <f t="shared" ca="1" si="126"/>
        <v>450296.23760714737</v>
      </c>
      <c r="L1354" s="455">
        <f t="shared" ca="1" si="127"/>
        <v>108521393.2633225</v>
      </c>
      <c r="M1354" s="471">
        <f t="shared" si="129"/>
        <v>0.05</v>
      </c>
      <c r="N1354" s="475">
        <f t="shared" si="130"/>
        <v>92256</v>
      </c>
    </row>
    <row r="1355" spans="7:14" ht="11.25" customHeight="1" x14ac:dyDescent="0.3">
      <c r="G1355" s="470"/>
      <c r="H1355" s="470">
        <v>1348</v>
      </c>
      <c r="I1355" s="455">
        <f t="shared" ca="1" si="128"/>
        <v>108521393.2633225</v>
      </c>
      <c r="J1355" s="455">
        <f t="array" ref="J1355">IFERROR(INDEX('Retirement Calculator'!J:J,MATCH('Isaac 401k'!N1355,'Retirement Calculator'!A:A,0),0),0)</f>
        <v>0</v>
      </c>
      <c r="K1355" s="455">
        <f t="shared" ca="1" si="126"/>
        <v>452172.47193051042</v>
      </c>
      <c r="L1355" s="455">
        <f t="shared" ca="1" si="127"/>
        <v>108973565.73525301</v>
      </c>
      <c r="M1355" s="471">
        <f t="shared" si="129"/>
        <v>0.05</v>
      </c>
      <c r="N1355" s="475">
        <f t="shared" si="130"/>
        <v>92287</v>
      </c>
    </row>
    <row r="1356" spans="7:14" ht="11.25" customHeight="1" x14ac:dyDescent="0.3">
      <c r="G1356" s="470"/>
      <c r="H1356" s="470">
        <v>1349</v>
      </c>
      <c r="I1356" s="455">
        <f t="shared" ca="1" si="128"/>
        <v>108973565.73525301</v>
      </c>
      <c r="J1356" s="455">
        <f t="array" ref="J1356">IFERROR(INDEX('Retirement Calculator'!J:J,MATCH('Isaac 401k'!N1356,'Retirement Calculator'!A:A,0),0),0)</f>
        <v>0</v>
      </c>
      <c r="K1356" s="455">
        <f t="shared" ca="1" si="126"/>
        <v>454056.52389688749</v>
      </c>
      <c r="L1356" s="455">
        <f t="shared" ca="1" si="127"/>
        <v>109427622.25914989</v>
      </c>
      <c r="M1356" s="471">
        <f t="shared" si="129"/>
        <v>0.05</v>
      </c>
      <c r="N1356" s="475">
        <f t="shared" si="130"/>
        <v>92317</v>
      </c>
    </row>
    <row r="1357" spans="7:14" ht="11.25" customHeight="1" x14ac:dyDescent="0.3">
      <c r="G1357" s="470"/>
      <c r="H1357" s="470">
        <v>1350</v>
      </c>
      <c r="I1357" s="455">
        <f t="shared" ca="1" si="128"/>
        <v>109427622.25914989</v>
      </c>
      <c r="J1357" s="455">
        <f t="array" ref="J1357">IFERROR(INDEX('Retirement Calculator'!J:J,MATCH('Isaac 401k'!N1357,'Retirement Calculator'!A:A,0),0),0)</f>
        <v>0</v>
      </c>
      <c r="K1357" s="455">
        <f t="shared" ca="1" si="126"/>
        <v>455948.42607979121</v>
      </c>
      <c r="L1357" s="455">
        <f t="shared" ca="1" si="127"/>
        <v>109883570.68522969</v>
      </c>
      <c r="M1357" s="471">
        <f t="shared" si="129"/>
        <v>0.05</v>
      </c>
      <c r="N1357" s="475">
        <f t="shared" si="130"/>
        <v>92348</v>
      </c>
    </row>
    <row r="1358" spans="7:14" ht="11.25" customHeight="1" x14ac:dyDescent="0.3">
      <c r="G1358" s="470"/>
      <c r="H1358" s="470">
        <v>1351</v>
      </c>
      <c r="I1358" s="455">
        <f t="shared" ca="1" si="128"/>
        <v>109883570.68522969</v>
      </c>
      <c r="J1358" s="455">
        <f t="array" ref="J1358">IFERROR(INDEX('Retirement Calculator'!J:J,MATCH('Isaac 401k'!N1358,'Retirement Calculator'!A:A,0),0),0)</f>
        <v>0</v>
      </c>
      <c r="K1358" s="455">
        <f t="shared" ca="1" si="126"/>
        <v>457848.21118845709</v>
      </c>
      <c r="L1358" s="455">
        <f t="shared" ca="1" si="127"/>
        <v>110341418.89641814</v>
      </c>
      <c r="M1358" s="471">
        <f t="shared" si="129"/>
        <v>0.05</v>
      </c>
      <c r="N1358" s="475">
        <f t="shared" si="130"/>
        <v>92378</v>
      </c>
    </row>
    <row r="1359" spans="7:14" ht="11.25" customHeight="1" x14ac:dyDescent="0.3">
      <c r="G1359" s="470"/>
      <c r="H1359" s="470">
        <v>1352</v>
      </c>
      <c r="I1359" s="455">
        <f t="shared" ca="1" si="128"/>
        <v>110341418.89641814</v>
      </c>
      <c r="J1359" s="455">
        <f t="array" ref="J1359">IFERROR(INDEX('Retirement Calculator'!J:J,MATCH('Isaac 401k'!N1359,'Retirement Calculator'!A:A,0),0),0)</f>
        <v>0</v>
      </c>
      <c r="K1359" s="455">
        <f t="shared" ca="1" si="126"/>
        <v>459755.91206840886</v>
      </c>
      <c r="L1359" s="455">
        <f t="shared" ca="1" si="127"/>
        <v>110801174.80848655</v>
      </c>
      <c r="M1359" s="471">
        <f t="shared" si="129"/>
        <v>0.05</v>
      </c>
      <c r="N1359" s="475">
        <f t="shared" si="130"/>
        <v>92409</v>
      </c>
    </row>
    <row r="1360" spans="7:14" ht="11.25" customHeight="1" x14ac:dyDescent="0.3">
      <c r="G1360" s="470"/>
      <c r="H1360" s="470">
        <v>1353</v>
      </c>
      <c r="I1360" s="455">
        <f t="shared" ca="1" si="128"/>
        <v>110801174.80848655</v>
      </c>
      <c r="J1360" s="455">
        <f t="array" ref="J1360">IFERROR(INDEX('Retirement Calculator'!J:J,MATCH('Isaac 401k'!N1360,'Retirement Calculator'!A:A,0),0),0)</f>
        <v>0</v>
      </c>
      <c r="K1360" s="455">
        <f t="shared" ca="1" si="126"/>
        <v>461671.56170202728</v>
      </c>
      <c r="L1360" s="455">
        <f t="shared" ca="1" si="127"/>
        <v>111262846.37018858</v>
      </c>
      <c r="M1360" s="471">
        <f t="shared" si="129"/>
        <v>0.05</v>
      </c>
      <c r="N1360" s="475">
        <f t="shared" si="130"/>
        <v>92440</v>
      </c>
    </row>
    <row r="1361" spans="7:14" ht="11.25" customHeight="1" x14ac:dyDescent="0.3">
      <c r="G1361" s="470"/>
      <c r="H1361" s="470">
        <v>1354</v>
      </c>
      <c r="I1361" s="455">
        <f t="shared" ca="1" si="128"/>
        <v>111262846.37018858</v>
      </c>
      <c r="J1361" s="455">
        <f t="array" ref="J1361">IFERROR(INDEX('Retirement Calculator'!J:J,MATCH('Isaac 401k'!N1361,'Retirement Calculator'!A:A,0),0),0)</f>
        <v>0</v>
      </c>
      <c r="K1361" s="455">
        <f t="shared" ca="1" si="126"/>
        <v>463595.19320911908</v>
      </c>
      <c r="L1361" s="455">
        <f t="shared" ca="1" si="127"/>
        <v>111726441.56339769</v>
      </c>
      <c r="M1361" s="471">
        <f t="shared" si="129"/>
        <v>0.05</v>
      </c>
      <c r="N1361" s="475">
        <f t="shared" si="130"/>
        <v>92468</v>
      </c>
    </row>
    <row r="1362" spans="7:14" ht="11.25" customHeight="1" x14ac:dyDescent="0.3">
      <c r="G1362" s="470"/>
      <c r="H1362" s="470">
        <v>1355</v>
      </c>
      <c r="I1362" s="455">
        <f t="shared" ca="1" si="128"/>
        <v>111726441.56339769</v>
      </c>
      <c r="J1362" s="455">
        <f t="array" ref="J1362">IFERROR(INDEX('Retirement Calculator'!J:J,MATCH('Isaac 401k'!N1362,'Retirement Calculator'!A:A,0),0),0)</f>
        <v>0</v>
      </c>
      <c r="K1362" s="455">
        <f t="shared" ca="1" si="126"/>
        <v>465526.83984749037</v>
      </c>
      <c r="L1362" s="455">
        <f t="shared" ca="1" si="127"/>
        <v>112191968.40324518</v>
      </c>
      <c r="M1362" s="471">
        <f t="shared" si="129"/>
        <v>0.05</v>
      </c>
      <c r="N1362" s="475">
        <f t="shared" si="130"/>
        <v>92499</v>
      </c>
    </row>
    <row r="1363" spans="7:14" ht="11.25" customHeight="1" x14ac:dyDescent="0.3">
      <c r="G1363" s="470"/>
      <c r="H1363" s="470">
        <v>1356</v>
      </c>
      <c r="I1363" s="455">
        <f t="shared" ca="1" si="128"/>
        <v>112191968.40324518</v>
      </c>
      <c r="J1363" s="455">
        <f t="array" ref="J1363">IFERROR(INDEX('Retirement Calculator'!J:J,MATCH('Isaac 401k'!N1363,'Retirement Calculator'!A:A,0),0),0)</f>
        <v>0</v>
      </c>
      <c r="K1363" s="455">
        <f t="shared" ca="1" si="126"/>
        <v>467466.53501352156</v>
      </c>
      <c r="L1363" s="455">
        <f t="shared" ca="1" si="127"/>
        <v>112659434.93825871</v>
      </c>
      <c r="M1363" s="471">
        <f t="shared" si="129"/>
        <v>0.05</v>
      </c>
      <c r="N1363" s="475">
        <f t="shared" si="130"/>
        <v>92529</v>
      </c>
    </row>
    <row r="1364" spans="7:14" ht="11.25" customHeight="1" x14ac:dyDescent="0.3">
      <c r="G1364" s="470"/>
      <c r="H1364" s="470">
        <v>1357</v>
      </c>
      <c r="I1364" s="455">
        <f t="shared" ca="1" si="128"/>
        <v>112659434.93825871</v>
      </c>
      <c r="J1364" s="455">
        <f t="array" ref="J1364">IFERROR(INDEX('Retirement Calculator'!J:J,MATCH('Isaac 401k'!N1364,'Retirement Calculator'!A:A,0),0),0)</f>
        <v>0</v>
      </c>
      <c r="K1364" s="455">
        <f t="shared" ca="1" si="126"/>
        <v>469414.31224274461</v>
      </c>
      <c r="L1364" s="455">
        <f t="shared" ca="1" si="127"/>
        <v>113128849.25050145</v>
      </c>
      <c r="M1364" s="471">
        <f t="shared" si="129"/>
        <v>0.05</v>
      </c>
      <c r="N1364" s="475">
        <f t="shared" si="130"/>
        <v>92560</v>
      </c>
    </row>
    <row r="1365" spans="7:14" ht="11.25" customHeight="1" x14ac:dyDescent="0.3">
      <c r="G1365" s="470"/>
      <c r="H1365" s="470">
        <v>1358</v>
      </c>
      <c r="I1365" s="455">
        <f t="shared" ca="1" si="128"/>
        <v>113128849.25050145</v>
      </c>
      <c r="J1365" s="455">
        <f t="array" ref="J1365">IFERROR(INDEX('Retirement Calculator'!J:J,MATCH('Isaac 401k'!N1365,'Retirement Calculator'!A:A,0),0),0)</f>
        <v>0</v>
      </c>
      <c r="K1365" s="455">
        <f t="shared" ca="1" si="126"/>
        <v>471370.20521042269</v>
      </c>
      <c r="L1365" s="455">
        <f t="shared" ca="1" si="127"/>
        <v>113600219.45571187</v>
      </c>
      <c r="M1365" s="471">
        <f t="shared" si="129"/>
        <v>0.05</v>
      </c>
      <c r="N1365" s="475">
        <f t="shared" si="130"/>
        <v>92590</v>
      </c>
    </row>
    <row r="1366" spans="7:14" ht="11.25" customHeight="1" x14ac:dyDescent="0.3">
      <c r="G1366" s="470"/>
      <c r="H1366" s="470">
        <v>1359</v>
      </c>
      <c r="I1366" s="455">
        <f t="shared" ca="1" si="128"/>
        <v>113600219.45571187</v>
      </c>
      <c r="J1366" s="455">
        <f t="array" ref="J1366">IFERROR(INDEX('Retirement Calculator'!J:J,MATCH('Isaac 401k'!N1366,'Retirement Calculator'!A:A,0),0),0)</f>
        <v>0</v>
      </c>
      <c r="K1366" s="455">
        <f t="shared" ca="1" si="126"/>
        <v>473334.24773213279</v>
      </c>
      <c r="L1366" s="455">
        <f t="shared" ca="1" si="127"/>
        <v>114073553.703444</v>
      </c>
      <c r="M1366" s="471">
        <f t="shared" si="129"/>
        <v>0.05</v>
      </c>
      <c r="N1366" s="475">
        <f t="shared" si="130"/>
        <v>92621</v>
      </c>
    </row>
    <row r="1367" spans="7:14" ht="11.25" customHeight="1" x14ac:dyDescent="0.3">
      <c r="G1367" s="470"/>
      <c r="H1367" s="470">
        <v>1360</v>
      </c>
      <c r="I1367" s="455">
        <f t="shared" ca="1" si="128"/>
        <v>114073553.703444</v>
      </c>
      <c r="J1367" s="455">
        <f t="array" ref="J1367">IFERROR(INDEX('Retirement Calculator'!J:J,MATCH('Isaac 401k'!N1367,'Retirement Calculator'!A:A,0),0),0)</f>
        <v>0</v>
      </c>
      <c r="K1367" s="455">
        <f t="shared" ca="1" si="126"/>
        <v>475306.47376434994</v>
      </c>
      <c r="L1367" s="455">
        <f t="shared" ca="1" si="127"/>
        <v>114548860.17720835</v>
      </c>
      <c r="M1367" s="471">
        <f t="shared" si="129"/>
        <v>0.05</v>
      </c>
      <c r="N1367" s="475">
        <f t="shared" si="130"/>
        <v>92652</v>
      </c>
    </row>
    <row r="1368" spans="7:14" ht="11.25" customHeight="1" x14ac:dyDescent="0.3">
      <c r="G1368" s="470"/>
      <c r="H1368" s="470">
        <v>1361</v>
      </c>
      <c r="I1368" s="455">
        <f t="shared" ca="1" si="128"/>
        <v>114548860.17720835</v>
      </c>
      <c r="J1368" s="455">
        <f t="array" ref="J1368">IFERROR(INDEX('Retirement Calculator'!J:J,MATCH('Isaac 401k'!N1368,'Retirement Calculator'!A:A,0),0),0)</f>
        <v>0</v>
      </c>
      <c r="K1368" s="455">
        <f t="shared" ca="1" si="126"/>
        <v>477286.91740503471</v>
      </c>
      <c r="L1368" s="455">
        <f t="shared" ca="1" si="127"/>
        <v>115026147.09461339</v>
      </c>
      <c r="M1368" s="471">
        <f t="shared" si="129"/>
        <v>0.05</v>
      </c>
      <c r="N1368" s="475">
        <f t="shared" si="130"/>
        <v>92682</v>
      </c>
    </row>
    <row r="1369" spans="7:14" ht="11.25" customHeight="1" x14ac:dyDescent="0.3">
      <c r="G1369" s="470"/>
      <c r="H1369" s="470">
        <v>1362</v>
      </c>
      <c r="I1369" s="455">
        <f t="shared" ca="1" si="128"/>
        <v>115026147.09461339</v>
      </c>
      <c r="J1369" s="455">
        <f t="array" ref="J1369">IFERROR(INDEX('Retirement Calculator'!J:J,MATCH('Isaac 401k'!N1369,'Retirement Calculator'!A:A,0),0),0)</f>
        <v>0</v>
      </c>
      <c r="K1369" s="455">
        <f t="shared" ca="1" si="126"/>
        <v>479275.61289422237</v>
      </c>
      <c r="L1369" s="455">
        <f t="shared" ca="1" si="127"/>
        <v>115505422.70750761</v>
      </c>
      <c r="M1369" s="471">
        <f t="shared" si="129"/>
        <v>0.05</v>
      </c>
      <c r="N1369" s="475">
        <f t="shared" si="130"/>
        <v>92713</v>
      </c>
    </row>
    <row r="1370" spans="7:14" ht="11.25" customHeight="1" x14ac:dyDescent="0.3">
      <c r="G1370" s="470"/>
      <c r="H1370" s="470">
        <v>1363</v>
      </c>
      <c r="I1370" s="455">
        <f t="shared" ca="1" si="128"/>
        <v>115505422.70750761</v>
      </c>
      <c r="J1370" s="455">
        <f t="array" ref="J1370">IFERROR(INDEX('Retirement Calculator'!J:J,MATCH('Isaac 401k'!N1370,'Retirement Calculator'!A:A,0),0),0)</f>
        <v>0</v>
      </c>
      <c r="K1370" s="455">
        <f t="shared" ca="1" si="126"/>
        <v>481272.59461461502</v>
      </c>
      <c r="L1370" s="455">
        <f t="shared" ca="1" si="127"/>
        <v>115986695.30212222</v>
      </c>
      <c r="M1370" s="471">
        <f t="shared" si="129"/>
        <v>0.05</v>
      </c>
      <c r="N1370" s="475">
        <f t="shared" si="130"/>
        <v>92743</v>
      </c>
    </row>
    <row r="1371" spans="7:14" ht="11.25" customHeight="1" x14ac:dyDescent="0.3">
      <c r="G1371" s="470"/>
      <c r="H1371" s="470">
        <v>1364</v>
      </c>
      <c r="I1371" s="455">
        <f t="shared" ca="1" si="128"/>
        <v>115986695.30212222</v>
      </c>
      <c r="J1371" s="455">
        <f t="array" ref="J1371">IFERROR(INDEX('Retirement Calculator'!J:J,MATCH('Isaac 401k'!N1371,'Retirement Calculator'!A:A,0),0),0)</f>
        <v>0</v>
      </c>
      <c r="K1371" s="455">
        <f t="shared" ca="1" si="126"/>
        <v>483277.8970921759</v>
      </c>
      <c r="L1371" s="455">
        <f t="shared" ca="1" si="127"/>
        <v>116469973.1992144</v>
      </c>
      <c r="M1371" s="471">
        <f t="shared" si="129"/>
        <v>0.05</v>
      </c>
      <c r="N1371" s="475">
        <f t="shared" si="130"/>
        <v>92774</v>
      </c>
    </row>
    <row r="1372" spans="7:14" ht="11.25" customHeight="1" x14ac:dyDescent="0.3">
      <c r="G1372" s="470"/>
      <c r="H1372" s="470">
        <v>1365</v>
      </c>
      <c r="I1372" s="455">
        <f t="shared" ca="1" si="128"/>
        <v>116469973.1992144</v>
      </c>
      <c r="J1372" s="455">
        <f t="array" ref="J1372">IFERROR(INDEX('Retirement Calculator'!J:J,MATCH('Isaac 401k'!N1372,'Retirement Calculator'!A:A,0),0),0)</f>
        <v>0</v>
      </c>
      <c r="K1372" s="455">
        <f t="shared" ca="1" si="126"/>
        <v>485291.55499672674</v>
      </c>
      <c r="L1372" s="455">
        <f t="shared" ca="1" si="127"/>
        <v>116955264.75421113</v>
      </c>
      <c r="M1372" s="471">
        <f t="shared" si="129"/>
        <v>0.05</v>
      </c>
      <c r="N1372" s="475">
        <f t="shared" si="130"/>
        <v>92805</v>
      </c>
    </row>
    <row r="1373" spans="7:14" ht="11.25" customHeight="1" x14ac:dyDescent="0.3">
      <c r="G1373" s="470"/>
      <c r="H1373" s="470">
        <v>1366</v>
      </c>
      <c r="I1373" s="455">
        <f t="shared" ca="1" si="128"/>
        <v>116955264.75421113</v>
      </c>
      <c r="J1373" s="455">
        <f t="array" ref="J1373">IFERROR(INDEX('Retirement Calculator'!J:J,MATCH('Isaac 401k'!N1373,'Retirement Calculator'!A:A,0),0),0)</f>
        <v>0</v>
      </c>
      <c r="K1373" s="455">
        <f t="shared" ca="1" si="126"/>
        <v>487313.60314254637</v>
      </c>
      <c r="L1373" s="455">
        <f t="shared" ca="1" si="127"/>
        <v>117442578.35735367</v>
      </c>
      <c r="M1373" s="471">
        <f t="shared" si="129"/>
        <v>0.05</v>
      </c>
      <c r="N1373" s="475">
        <f t="shared" si="130"/>
        <v>92833</v>
      </c>
    </row>
    <row r="1374" spans="7:14" ht="11.25" customHeight="1" x14ac:dyDescent="0.3">
      <c r="G1374" s="470"/>
      <c r="H1374" s="470">
        <v>1367</v>
      </c>
      <c r="I1374" s="455">
        <f t="shared" ca="1" si="128"/>
        <v>117442578.35735367</v>
      </c>
      <c r="J1374" s="455">
        <f t="array" ref="J1374">IFERROR(INDEX('Retirement Calculator'!J:J,MATCH('Isaac 401k'!N1374,'Retirement Calculator'!A:A,0),0),0)</f>
        <v>0</v>
      </c>
      <c r="K1374" s="455">
        <f t="shared" ca="1" si="126"/>
        <v>489344.07648897363</v>
      </c>
      <c r="L1374" s="455">
        <f t="shared" ca="1" si="127"/>
        <v>117931922.43384264</v>
      </c>
      <c r="M1374" s="471">
        <f t="shared" si="129"/>
        <v>0.05</v>
      </c>
      <c r="N1374" s="475">
        <f t="shared" si="130"/>
        <v>92864</v>
      </c>
    </row>
    <row r="1375" spans="7:14" ht="11.25" customHeight="1" x14ac:dyDescent="0.3">
      <c r="G1375" s="470"/>
      <c r="H1375" s="470">
        <v>1368</v>
      </c>
      <c r="I1375" s="455">
        <f t="shared" ca="1" si="128"/>
        <v>117931922.43384264</v>
      </c>
      <c r="J1375" s="455">
        <f t="array" ref="J1375">IFERROR(INDEX('Retirement Calculator'!J:J,MATCH('Isaac 401k'!N1375,'Retirement Calculator'!A:A,0),0),0)</f>
        <v>0</v>
      </c>
      <c r="K1375" s="455">
        <f t="shared" ca="1" si="126"/>
        <v>491383.01014101104</v>
      </c>
      <c r="L1375" s="455">
        <f t="shared" ca="1" si="127"/>
        <v>118423305.44398366</v>
      </c>
      <c r="M1375" s="471">
        <f t="shared" si="129"/>
        <v>0.05</v>
      </c>
      <c r="N1375" s="475">
        <f t="shared" si="130"/>
        <v>92894</v>
      </c>
    </row>
    <row r="1376" spans="7:14" ht="11.25" customHeight="1" x14ac:dyDescent="0.3">
      <c r="G1376" s="470"/>
      <c r="H1376" s="470">
        <v>1369</v>
      </c>
      <c r="I1376" s="455">
        <f t="shared" ca="1" si="128"/>
        <v>118423305.44398366</v>
      </c>
      <c r="J1376" s="455">
        <f t="array" ref="J1376">IFERROR(INDEX('Retirement Calculator'!J:J,MATCH('Isaac 401k'!N1376,'Retirement Calculator'!A:A,0),0),0)</f>
        <v>0</v>
      </c>
      <c r="K1376" s="455">
        <f t="shared" ca="1" si="126"/>
        <v>493430.4393499319</v>
      </c>
      <c r="L1376" s="455">
        <f t="shared" ca="1" si="127"/>
        <v>118916735.88333359</v>
      </c>
      <c r="M1376" s="471">
        <f t="shared" si="129"/>
        <v>0.05</v>
      </c>
      <c r="N1376" s="475">
        <f t="shared" si="130"/>
        <v>92925</v>
      </c>
    </row>
    <row r="1377" spans="7:14" ht="11.25" customHeight="1" x14ac:dyDescent="0.3">
      <c r="G1377" s="470"/>
      <c r="H1377" s="470">
        <v>1370</v>
      </c>
      <c r="I1377" s="455">
        <f t="shared" ca="1" si="128"/>
        <v>118916735.88333359</v>
      </c>
      <c r="J1377" s="455">
        <f t="array" ref="J1377">IFERROR(INDEX('Retirement Calculator'!J:J,MATCH('Isaac 401k'!N1377,'Retirement Calculator'!A:A,0),0),0)</f>
        <v>0</v>
      </c>
      <c r="K1377" s="455">
        <f t="shared" ca="1" si="126"/>
        <v>495486.39951389004</v>
      </c>
      <c r="L1377" s="455">
        <f t="shared" ca="1" si="127"/>
        <v>119412222.28284748</v>
      </c>
      <c r="M1377" s="471">
        <f t="shared" si="129"/>
        <v>0.05</v>
      </c>
      <c r="N1377" s="475">
        <f t="shared" si="130"/>
        <v>92955</v>
      </c>
    </row>
    <row r="1378" spans="7:14" ht="11.25" customHeight="1" x14ac:dyDescent="0.3">
      <c r="G1378" s="470"/>
      <c r="H1378" s="470">
        <v>1371</v>
      </c>
      <c r="I1378" s="455">
        <f t="shared" ca="1" si="128"/>
        <v>119412222.28284748</v>
      </c>
      <c r="J1378" s="455">
        <f t="array" ref="J1378">IFERROR(INDEX('Retirement Calculator'!J:J,MATCH('Isaac 401k'!N1378,'Retirement Calculator'!A:A,0),0),0)</f>
        <v>0</v>
      </c>
      <c r="K1378" s="455">
        <f t="shared" ca="1" si="126"/>
        <v>497550.92617853108</v>
      </c>
      <c r="L1378" s="455">
        <f t="shared" ca="1" si="127"/>
        <v>119909773.20902601</v>
      </c>
      <c r="M1378" s="471">
        <f t="shared" si="129"/>
        <v>0.05</v>
      </c>
      <c r="N1378" s="475">
        <f t="shared" si="130"/>
        <v>92986</v>
      </c>
    </row>
    <row r="1379" spans="7:14" ht="11.25" customHeight="1" x14ac:dyDescent="0.3">
      <c r="G1379" s="470"/>
      <c r="H1379" s="470">
        <v>1372</v>
      </c>
      <c r="I1379" s="455">
        <f t="shared" ca="1" si="128"/>
        <v>119909773.20902601</v>
      </c>
      <c r="J1379" s="455">
        <f t="array" ref="J1379">IFERROR(INDEX('Retirement Calculator'!J:J,MATCH('Isaac 401k'!N1379,'Retirement Calculator'!A:A,0),0),0)</f>
        <v>0</v>
      </c>
      <c r="K1379" s="455">
        <f t="shared" ca="1" si="126"/>
        <v>499624.05503760843</v>
      </c>
      <c r="L1379" s="455">
        <f t="shared" ca="1" si="127"/>
        <v>120409397.26406361</v>
      </c>
      <c r="M1379" s="471">
        <f t="shared" si="129"/>
        <v>0.05</v>
      </c>
      <c r="N1379" s="475">
        <f t="shared" si="130"/>
        <v>93017</v>
      </c>
    </row>
    <row r="1380" spans="7:14" ht="11.25" customHeight="1" x14ac:dyDescent="0.3">
      <c r="G1380" s="470"/>
      <c r="H1380" s="470">
        <v>1373</v>
      </c>
      <c r="I1380" s="455">
        <f t="shared" ca="1" si="128"/>
        <v>120409397.26406361</v>
      </c>
      <c r="J1380" s="455">
        <f t="array" ref="J1380">IFERROR(INDEX('Retirement Calculator'!J:J,MATCH('Isaac 401k'!N1380,'Retirement Calculator'!A:A,0),0),0)</f>
        <v>0</v>
      </c>
      <c r="K1380" s="455">
        <f t="shared" ca="1" si="126"/>
        <v>501705.82193359837</v>
      </c>
      <c r="L1380" s="455">
        <f t="shared" ca="1" si="127"/>
        <v>120911103.08599721</v>
      </c>
      <c r="M1380" s="471">
        <f t="shared" si="129"/>
        <v>0.05</v>
      </c>
      <c r="N1380" s="475">
        <f t="shared" si="130"/>
        <v>93047</v>
      </c>
    </row>
    <row r="1381" spans="7:14" ht="11.25" customHeight="1" x14ac:dyDescent="0.3">
      <c r="G1381" s="470"/>
      <c r="H1381" s="470">
        <v>1374</v>
      </c>
      <c r="I1381" s="455">
        <f t="shared" ca="1" si="128"/>
        <v>120911103.08599721</v>
      </c>
      <c r="J1381" s="455">
        <f t="array" ref="J1381">IFERROR(INDEX('Retirement Calculator'!J:J,MATCH('Isaac 401k'!N1381,'Retirement Calculator'!A:A,0),0),0)</f>
        <v>0</v>
      </c>
      <c r="K1381" s="455">
        <f t="shared" ca="1" si="126"/>
        <v>503796.26285832172</v>
      </c>
      <c r="L1381" s="455">
        <f t="shared" ca="1" si="127"/>
        <v>121414899.34885553</v>
      </c>
      <c r="M1381" s="471">
        <f t="shared" si="129"/>
        <v>0.05</v>
      </c>
      <c r="N1381" s="475">
        <f t="shared" si="130"/>
        <v>93078</v>
      </c>
    </row>
    <row r="1382" spans="7:14" ht="11.25" customHeight="1" x14ac:dyDescent="0.3">
      <c r="G1382" s="470"/>
      <c r="H1382" s="470">
        <v>1375</v>
      </c>
      <c r="I1382" s="455">
        <f t="shared" ca="1" si="128"/>
        <v>121414899.34885553</v>
      </c>
      <c r="J1382" s="455">
        <f t="array" ref="J1382">IFERROR(INDEX('Retirement Calculator'!J:J,MATCH('Isaac 401k'!N1382,'Retirement Calculator'!A:A,0),0),0)</f>
        <v>0</v>
      </c>
      <c r="K1382" s="455">
        <f t="shared" ca="1" si="126"/>
        <v>505895.41395356465</v>
      </c>
      <c r="L1382" s="455">
        <f t="shared" ca="1" si="127"/>
        <v>121920794.76280908</v>
      </c>
      <c r="M1382" s="471">
        <f t="shared" si="129"/>
        <v>0.05</v>
      </c>
      <c r="N1382" s="475">
        <f t="shared" si="130"/>
        <v>93108</v>
      </c>
    </row>
    <row r="1383" spans="7:14" ht="11.25" customHeight="1" x14ac:dyDescent="0.3">
      <c r="G1383" s="470"/>
      <c r="H1383" s="470">
        <v>1376</v>
      </c>
      <c r="I1383" s="455">
        <f t="shared" ca="1" si="128"/>
        <v>121920794.76280908</v>
      </c>
      <c r="J1383" s="455">
        <f t="array" ref="J1383">IFERROR(INDEX('Retirement Calculator'!J:J,MATCH('Isaac 401k'!N1383,'Retirement Calculator'!A:A,0),0),0)</f>
        <v>0</v>
      </c>
      <c r="K1383" s="455">
        <f t="shared" ca="1" si="126"/>
        <v>508003.31151170452</v>
      </c>
      <c r="L1383" s="455">
        <f t="shared" ca="1" si="127"/>
        <v>122428798.07432079</v>
      </c>
      <c r="M1383" s="471">
        <f t="shared" si="129"/>
        <v>0.05</v>
      </c>
      <c r="N1383" s="475">
        <f t="shared" si="130"/>
        <v>93139</v>
      </c>
    </row>
    <row r="1384" spans="7:14" ht="11.25" customHeight="1" x14ac:dyDescent="0.3">
      <c r="G1384" s="470"/>
      <c r="H1384" s="470">
        <v>1377</v>
      </c>
      <c r="I1384" s="455">
        <f t="shared" ca="1" si="128"/>
        <v>122428798.07432079</v>
      </c>
      <c r="J1384" s="455">
        <f t="array" ref="J1384">IFERROR(INDEX('Retirement Calculator'!J:J,MATCH('Isaac 401k'!N1384,'Retirement Calculator'!A:A,0),0),0)</f>
        <v>0</v>
      </c>
      <c r="K1384" s="455">
        <f t="shared" ca="1" si="126"/>
        <v>510119.99197633663</v>
      </c>
      <c r="L1384" s="455">
        <f t="shared" ca="1" si="127"/>
        <v>122938918.06629713</v>
      </c>
      <c r="M1384" s="471">
        <f t="shared" si="129"/>
        <v>0.05</v>
      </c>
      <c r="N1384" s="475">
        <f t="shared" si="130"/>
        <v>93170</v>
      </c>
    </row>
    <row r="1385" spans="7:14" ht="11.25" customHeight="1" x14ac:dyDescent="0.3">
      <c r="G1385" s="470"/>
      <c r="H1385" s="470">
        <v>1378</v>
      </c>
      <c r="I1385" s="455">
        <f t="shared" ca="1" si="128"/>
        <v>122938918.06629713</v>
      </c>
      <c r="J1385" s="455">
        <f t="array" ref="J1385">IFERROR(INDEX('Retirement Calculator'!J:J,MATCH('Isaac 401k'!N1385,'Retirement Calculator'!A:A,0),0),0)</f>
        <v>0</v>
      </c>
      <c r="K1385" s="455">
        <f t="shared" ca="1" si="126"/>
        <v>512245.49194290471</v>
      </c>
      <c r="L1385" s="455">
        <f t="shared" ca="1" si="127"/>
        <v>123451163.55824003</v>
      </c>
      <c r="M1385" s="471">
        <f t="shared" si="129"/>
        <v>0.05</v>
      </c>
      <c r="N1385" s="475">
        <f t="shared" si="130"/>
        <v>93198</v>
      </c>
    </row>
    <row r="1386" spans="7:14" ht="11.25" customHeight="1" x14ac:dyDescent="0.3">
      <c r="G1386" s="470"/>
      <c r="H1386" s="470">
        <v>1379</v>
      </c>
      <c r="I1386" s="455">
        <f t="shared" ca="1" si="128"/>
        <v>123451163.55824003</v>
      </c>
      <c r="J1386" s="455">
        <f t="array" ref="J1386">IFERROR(INDEX('Retirement Calculator'!J:J,MATCH('Isaac 401k'!N1386,'Retirement Calculator'!A:A,0),0),0)</f>
        <v>0</v>
      </c>
      <c r="K1386" s="455">
        <f t="shared" ca="1" si="126"/>
        <v>514379.84815933346</v>
      </c>
      <c r="L1386" s="455">
        <f t="shared" ca="1" si="127"/>
        <v>123965543.40639935</v>
      </c>
      <c r="M1386" s="471">
        <f t="shared" si="129"/>
        <v>0.05</v>
      </c>
      <c r="N1386" s="475">
        <f t="shared" si="130"/>
        <v>93229</v>
      </c>
    </row>
    <row r="1387" spans="7:14" ht="11.25" customHeight="1" x14ac:dyDescent="0.3">
      <c r="G1387" s="470"/>
      <c r="H1387" s="470">
        <v>1380</v>
      </c>
      <c r="I1387" s="455">
        <f t="shared" ca="1" si="128"/>
        <v>123965543.40639935</v>
      </c>
      <c r="J1387" s="455">
        <f t="array" ref="J1387">IFERROR(INDEX('Retirement Calculator'!J:J,MATCH('Isaac 401k'!N1387,'Retirement Calculator'!A:A,0),0),0)</f>
        <v>0</v>
      </c>
      <c r="K1387" s="455">
        <f t="shared" ca="1" si="126"/>
        <v>516523.09752666391</v>
      </c>
      <c r="L1387" s="455">
        <f t="shared" ca="1" si="127"/>
        <v>124482066.50392602</v>
      </c>
      <c r="M1387" s="471">
        <f t="shared" si="129"/>
        <v>0.05</v>
      </c>
      <c r="N1387" s="475">
        <f t="shared" si="130"/>
        <v>93259</v>
      </c>
    </row>
    <row r="1388" spans="7:14" ht="11.25" customHeight="1" x14ac:dyDescent="0.3">
      <c r="G1388" s="470"/>
      <c r="H1388" s="470">
        <v>1381</v>
      </c>
      <c r="I1388" s="455">
        <f t="shared" ca="1" si="128"/>
        <v>124482066.50392602</v>
      </c>
      <c r="J1388" s="455">
        <f t="array" ref="J1388">IFERROR(INDEX('Retirement Calculator'!J:J,MATCH('Isaac 401k'!N1388,'Retirement Calculator'!A:A,0),0),0)</f>
        <v>0</v>
      </c>
      <c r="K1388" s="455">
        <f t="shared" ca="1" si="126"/>
        <v>518675.27709969168</v>
      </c>
      <c r="L1388" s="455">
        <f t="shared" ca="1" si="127"/>
        <v>125000741.78102572</v>
      </c>
      <c r="M1388" s="471">
        <f t="shared" si="129"/>
        <v>0.05</v>
      </c>
      <c r="N1388" s="475">
        <f t="shared" si="130"/>
        <v>93290</v>
      </c>
    </row>
    <row r="1389" spans="7:14" ht="11.25" customHeight="1" x14ac:dyDescent="0.3">
      <c r="G1389" s="470"/>
      <c r="H1389" s="470">
        <v>1382</v>
      </c>
      <c r="I1389" s="455">
        <f t="shared" ca="1" si="128"/>
        <v>125000741.78102572</v>
      </c>
      <c r="J1389" s="455">
        <f t="array" ref="J1389">IFERROR(INDEX('Retirement Calculator'!J:J,MATCH('Isaac 401k'!N1389,'Retirement Calculator'!A:A,0),0),0)</f>
        <v>0</v>
      </c>
      <c r="K1389" s="455">
        <f t="shared" ca="1" si="126"/>
        <v>520836.42408760724</v>
      </c>
      <c r="L1389" s="455">
        <f t="shared" ca="1" si="127"/>
        <v>125521578.20511334</v>
      </c>
      <c r="M1389" s="471">
        <f t="shared" si="129"/>
        <v>0.05</v>
      </c>
      <c r="N1389" s="475">
        <f t="shared" si="130"/>
        <v>93320</v>
      </c>
    </row>
    <row r="1390" spans="7:14" ht="11.25" customHeight="1" x14ac:dyDescent="0.3">
      <c r="G1390" s="470"/>
      <c r="H1390" s="470">
        <v>1383</v>
      </c>
      <c r="I1390" s="455">
        <f t="shared" ca="1" si="128"/>
        <v>125521578.20511334</v>
      </c>
      <c r="J1390" s="455">
        <f t="array" ref="J1390">IFERROR(INDEX('Retirement Calculator'!J:J,MATCH('Isaac 401k'!N1390,'Retirement Calculator'!A:A,0),0),0)</f>
        <v>0</v>
      </c>
      <c r="K1390" s="455">
        <f t="shared" ca="1" si="126"/>
        <v>523006.57585463888</v>
      </c>
      <c r="L1390" s="455">
        <f t="shared" ca="1" si="127"/>
        <v>126044584.78096798</v>
      </c>
      <c r="M1390" s="471">
        <f t="shared" si="129"/>
        <v>0.05</v>
      </c>
      <c r="N1390" s="475">
        <f t="shared" si="130"/>
        <v>93351</v>
      </c>
    </row>
    <row r="1391" spans="7:14" ht="11.25" customHeight="1" x14ac:dyDescent="0.3">
      <c r="G1391" s="470"/>
      <c r="H1391" s="470">
        <v>1384</v>
      </c>
      <c r="I1391" s="455">
        <f t="shared" ca="1" si="128"/>
        <v>126044584.78096798</v>
      </c>
      <c r="J1391" s="455">
        <f t="array" ref="J1391">IFERROR(INDEX('Retirement Calculator'!J:J,MATCH('Isaac 401k'!N1391,'Retirement Calculator'!A:A,0),0),0)</f>
        <v>0</v>
      </c>
      <c r="K1391" s="455">
        <f t="shared" ca="1" si="126"/>
        <v>525185.76992069988</v>
      </c>
      <c r="L1391" s="455">
        <f t="shared" ca="1" si="127"/>
        <v>126569770.55088869</v>
      </c>
      <c r="M1391" s="471">
        <f t="shared" si="129"/>
        <v>0.05</v>
      </c>
      <c r="N1391" s="475">
        <f t="shared" si="130"/>
        <v>93382</v>
      </c>
    </row>
    <row r="1392" spans="7:14" ht="11.25" customHeight="1" x14ac:dyDescent="0.3">
      <c r="G1392" s="470"/>
      <c r="H1392" s="470">
        <v>1385</v>
      </c>
      <c r="I1392" s="455">
        <f t="shared" ca="1" si="128"/>
        <v>126569770.55088869</v>
      </c>
      <c r="J1392" s="455">
        <f t="array" ref="J1392">IFERROR(INDEX('Retirement Calculator'!J:J,MATCH('Isaac 401k'!N1392,'Retirement Calculator'!A:A,0),0),0)</f>
        <v>0</v>
      </c>
      <c r="K1392" s="455">
        <f t="shared" ca="1" si="126"/>
        <v>527374.04396203626</v>
      </c>
      <c r="L1392" s="455">
        <f t="shared" ca="1" si="127"/>
        <v>127097144.59485072</v>
      </c>
      <c r="M1392" s="471">
        <f t="shared" si="129"/>
        <v>0.05</v>
      </c>
      <c r="N1392" s="475">
        <f t="shared" si="130"/>
        <v>93412</v>
      </c>
    </row>
    <row r="1393" spans="7:14" ht="11.25" customHeight="1" x14ac:dyDescent="0.3">
      <c r="G1393" s="470"/>
      <c r="H1393" s="470">
        <v>1386</v>
      </c>
      <c r="I1393" s="455">
        <f t="shared" ca="1" si="128"/>
        <v>127097144.59485072</v>
      </c>
      <c r="J1393" s="455">
        <f t="array" ref="J1393">IFERROR(INDEX('Retirement Calculator'!J:J,MATCH('Isaac 401k'!N1393,'Retirement Calculator'!A:A,0),0),0)</f>
        <v>0</v>
      </c>
      <c r="K1393" s="455">
        <f t="shared" ca="1" si="126"/>
        <v>529571.43581187795</v>
      </c>
      <c r="L1393" s="455">
        <f t="shared" ca="1" si="127"/>
        <v>127626716.0306626</v>
      </c>
      <c r="M1393" s="471">
        <f t="shared" si="129"/>
        <v>0.05</v>
      </c>
      <c r="N1393" s="475">
        <f t="shared" si="130"/>
        <v>93443</v>
      </c>
    </row>
    <row r="1394" spans="7:14" ht="11.25" customHeight="1" x14ac:dyDescent="0.3">
      <c r="G1394" s="470"/>
      <c r="H1394" s="470">
        <v>1387</v>
      </c>
      <c r="I1394" s="455">
        <f t="shared" ca="1" si="128"/>
        <v>127626716.0306626</v>
      </c>
      <c r="J1394" s="455">
        <f t="array" ref="J1394">IFERROR(INDEX('Retirement Calculator'!J:J,MATCH('Isaac 401k'!N1394,'Retirement Calculator'!A:A,0),0),0)</f>
        <v>0</v>
      </c>
      <c r="K1394" s="455">
        <f t="shared" ca="1" si="126"/>
        <v>531777.98346109409</v>
      </c>
      <c r="L1394" s="455">
        <f t="shared" ca="1" si="127"/>
        <v>128158494.01412369</v>
      </c>
      <c r="M1394" s="471">
        <f t="shared" si="129"/>
        <v>0.05</v>
      </c>
      <c r="N1394" s="475">
        <f t="shared" si="130"/>
        <v>93473</v>
      </c>
    </row>
    <row r="1395" spans="7:14" ht="11.25" customHeight="1" x14ac:dyDescent="0.3">
      <c r="G1395" s="470"/>
      <c r="H1395" s="470">
        <v>1388</v>
      </c>
      <c r="I1395" s="455">
        <f t="shared" ca="1" si="128"/>
        <v>128158494.01412369</v>
      </c>
      <c r="J1395" s="455">
        <f t="array" ref="J1395">IFERROR(INDEX('Retirement Calculator'!J:J,MATCH('Isaac 401k'!N1395,'Retirement Calculator'!A:A,0),0),0)</f>
        <v>0</v>
      </c>
      <c r="K1395" s="455">
        <f t="shared" ca="1" si="126"/>
        <v>533993.72505884874</v>
      </c>
      <c r="L1395" s="455">
        <f t="shared" ca="1" si="127"/>
        <v>128692487.73918255</v>
      </c>
      <c r="M1395" s="471">
        <f t="shared" si="129"/>
        <v>0.05</v>
      </c>
      <c r="N1395" s="475">
        <f t="shared" si="130"/>
        <v>93504</v>
      </c>
    </row>
    <row r="1396" spans="7:14" ht="11.25" customHeight="1" x14ac:dyDescent="0.3">
      <c r="G1396" s="470"/>
      <c r="H1396" s="470">
        <v>1389</v>
      </c>
      <c r="I1396" s="455">
        <f t="shared" ca="1" si="128"/>
        <v>128692487.73918255</v>
      </c>
      <c r="J1396" s="455">
        <f t="array" ref="J1396">IFERROR(INDEX('Retirement Calculator'!J:J,MATCH('Isaac 401k'!N1396,'Retirement Calculator'!A:A,0),0),0)</f>
        <v>0</v>
      </c>
      <c r="K1396" s="455">
        <f t="shared" ca="1" si="126"/>
        <v>536218.6989132606</v>
      </c>
      <c r="L1396" s="455">
        <f t="shared" ca="1" si="127"/>
        <v>129228706.43809581</v>
      </c>
      <c r="M1396" s="471">
        <f t="shared" si="129"/>
        <v>0.05</v>
      </c>
      <c r="N1396" s="475">
        <f t="shared" si="130"/>
        <v>93535</v>
      </c>
    </row>
    <row r="1397" spans="7:14" ht="11.25" customHeight="1" x14ac:dyDescent="0.3">
      <c r="G1397" s="470"/>
      <c r="H1397" s="470">
        <v>1390</v>
      </c>
      <c r="I1397" s="455">
        <f t="shared" ca="1" si="128"/>
        <v>129228706.43809581</v>
      </c>
      <c r="J1397" s="455">
        <f t="array" ref="J1397">IFERROR(INDEX('Retirement Calculator'!J:J,MATCH('Isaac 401k'!N1397,'Retirement Calculator'!A:A,0),0),0)</f>
        <v>0</v>
      </c>
      <c r="K1397" s="455">
        <f t="shared" ca="1" si="126"/>
        <v>538452.94349206588</v>
      </c>
      <c r="L1397" s="455">
        <f t="shared" ca="1" si="127"/>
        <v>129767159.38158788</v>
      </c>
      <c r="M1397" s="471">
        <f t="shared" si="129"/>
        <v>0.05</v>
      </c>
      <c r="N1397" s="475">
        <f t="shared" si="130"/>
        <v>93564</v>
      </c>
    </row>
    <row r="1398" spans="7:14" ht="11.25" customHeight="1" x14ac:dyDescent="0.3">
      <c r="G1398" s="470"/>
      <c r="H1398" s="470">
        <v>1391</v>
      </c>
      <c r="I1398" s="455">
        <f t="shared" ca="1" si="128"/>
        <v>129767159.38158788</v>
      </c>
      <c r="J1398" s="455">
        <f t="array" ref="J1398">IFERROR(INDEX('Retirement Calculator'!J:J,MATCH('Isaac 401k'!N1398,'Retirement Calculator'!A:A,0),0),0)</f>
        <v>0</v>
      </c>
      <c r="K1398" s="455">
        <f t="shared" ca="1" si="126"/>
        <v>540696.49742328282</v>
      </c>
      <c r="L1398" s="455">
        <f t="shared" ca="1" si="127"/>
        <v>130307855.87901115</v>
      </c>
      <c r="M1398" s="471">
        <f t="shared" si="129"/>
        <v>0.05</v>
      </c>
      <c r="N1398" s="475">
        <f t="shared" si="130"/>
        <v>93595</v>
      </c>
    </row>
    <row r="1399" spans="7:14" ht="11.25" customHeight="1" x14ac:dyDescent="0.3">
      <c r="G1399" s="470"/>
      <c r="H1399" s="470">
        <v>1392</v>
      </c>
      <c r="I1399" s="455">
        <f t="shared" ca="1" si="128"/>
        <v>130307855.87901115</v>
      </c>
      <c r="J1399" s="455">
        <f t="array" ref="J1399">IFERROR(INDEX('Retirement Calculator'!J:J,MATCH('Isaac 401k'!N1399,'Retirement Calculator'!A:A,0),0),0)</f>
        <v>0</v>
      </c>
      <c r="K1399" s="455">
        <f t="shared" ca="1" si="126"/>
        <v>542949.39949587977</v>
      </c>
      <c r="L1399" s="455">
        <f t="shared" ca="1" si="127"/>
        <v>130850805.27850704</v>
      </c>
      <c r="M1399" s="471">
        <f t="shared" si="129"/>
        <v>0.05</v>
      </c>
      <c r="N1399" s="475">
        <f t="shared" si="130"/>
        <v>93625</v>
      </c>
    </row>
    <row r="1400" spans="7:14" ht="11.25" customHeight="1" x14ac:dyDescent="0.3">
      <c r="G1400" s="470"/>
      <c r="H1400" s="470">
        <v>1393</v>
      </c>
      <c r="I1400" s="455">
        <f t="shared" ca="1" si="128"/>
        <v>130850805.27850704</v>
      </c>
      <c r="J1400" s="455">
        <f t="array" ref="J1400">IFERROR(INDEX('Retirement Calculator'!J:J,MATCH('Isaac 401k'!N1400,'Retirement Calculator'!A:A,0),0),0)</f>
        <v>0</v>
      </c>
      <c r="K1400" s="455">
        <f t="shared" ca="1" si="126"/>
        <v>545211.68866044597</v>
      </c>
      <c r="L1400" s="455">
        <f t="shared" ca="1" si="127"/>
        <v>131396016.96716748</v>
      </c>
      <c r="M1400" s="471">
        <f t="shared" si="129"/>
        <v>0.05</v>
      </c>
      <c r="N1400" s="475">
        <f t="shared" si="130"/>
        <v>93656</v>
      </c>
    </row>
    <row r="1401" spans="7:14" ht="11.25" customHeight="1" x14ac:dyDescent="0.3">
      <c r="G1401" s="470"/>
      <c r="H1401" s="470">
        <v>1394</v>
      </c>
      <c r="I1401" s="455">
        <f t="shared" ca="1" si="128"/>
        <v>131396016.96716748</v>
      </c>
      <c r="J1401" s="455">
        <f t="array" ref="J1401">IFERROR(INDEX('Retirement Calculator'!J:J,MATCH('Isaac 401k'!N1401,'Retirement Calculator'!A:A,0),0),0)</f>
        <v>0</v>
      </c>
      <c r="K1401" s="455">
        <f t="shared" ca="1" si="126"/>
        <v>547483.40402986459</v>
      </c>
      <c r="L1401" s="455">
        <f t="shared" ca="1" si="127"/>
        <v>131943500.37119734</v>
      </c>
      <c r="M1401" s="471">
        <f t="shared" si="129"/>
        <v>0.05</v>
      </c>
      <c r="N1401" s="475">
        <f t="shared" si="130"/>
        <v>93686</v>
      </c>
    </row>
    <row r="1402" spans="7:14" ht="11.25" customHeight="1" x14ac:dyDescent="0.3">
      <c r="G1402" s="470"/>
      <c r="H1402" s="470">
        <v>1395</v>
      </c>
      <c r="I1402" s="455">
        <f t="shared" ca="1" si="128"/>
        <v>131943500.37119734</v>
      </c>
      <c r="J1402" s="455">
        <f t="array" ref="J1402">IFERROR(INDEX('Retirement Calculator'!J:J,MATCH('Isaac 401k'!N1402,'Retirement Calculator'!A:A,0),0),0)</f>
        <v>0</v>
      </c>
      <c r="K1402" s="455">
        <f t="shared" ca="1" si="126"/>
        <v>549764.58487998904</v>
      </c>
      <c r="L1402" s="455">
        <f t="shared" ca="1" si="127"/>
        <v>132493264.95607734</v>
      </c>
      <c r="M1402" s="471">
        <f t="shared" si="129"/>
        <v>0.05</v>
      </c>
      <c r="N1402" s="475">
        <f t="shared" si="130"/>
        <v>93717</v>
      </c>
    </row>
    <row r="1403" spans="7:14" ht="11.25" customHeight="1" x14ac:dyDescent="0.3">
      <c r="G1403" s="470"/>
      <c r="H1403" s="470">
        <v>1396</v>
      </c>
      <c r="I1403" s="455">
        <f t="shared" ca="1" si="128"/>
        <v>132493264.95607734</v>
      </c>
      <c r="J1403" s="455">
        <f t="array" ref="J1403">IFERROR(INDEX('Retirement Calculator'!J:J,MATCH('Isaac 401k'!N1403,'Retirement Calculator'!A:A,0),0),0)</f>
        <v>0</v>
      </c>
      <c r="K1403" s="455">
        <f t="shared" ca="1" si="126"/>
        <v>552055.2706503222</v>
      </c>
      <c r="L1403" s="455">
        <f t="shared" ca="1" si="127"/>
        <v>133045320.22672766</v>
      </c>
      <c r="M1403" s="471">
        <f t="shared" si="129"/>
        <v>0.05</v>
      </c>
      <c r="N1403" s="475">
        <f t="shared" si="130"/>
        <v>93748</v>
      </c>
    </row>
    <row r="1404" spans="7:14" ht="11.25" customHeight="1" x14ac:dyDescent="0.3">
      <c r="G1404" s="470"/>
      <c r="H1404" s="470">
        <v>1397</v>
      </c>
      <c r="I1404" s="455">
        <f t="shared" ca="1" si="128"/>
        <v>133045320.22672766</v>
      </c>
      <c r="J1404" s="455">
        <f t="array" ref="J1404">IFERROR(INDEX('Retirement Calculator'!J:J,MATCH('Isaac 401k'!N1404,'Retirement Calculator'!A:A,0),0),0)</f>
        <v>0</v>
      </c>
      <c r="K1404" s="455">
        <f t="shared" ca="1" si="126"/>
        <v>554355.50094469858</v>
      </c>
      <c r="L1404" s="455">
        <f t="shared" ca="1" si="127"/>
        <v>133599675.72767237</v>
      </c>
      <c r="M1404" s="471">
        <f t="shared" si="129"/>
        <v>0.05</v>
      </c>
      <c r="N1404" s="475">
        <f t="shared" si="130"/>
        <v>93778</v>
      </c>
    </row>
    <row r="1405" spans="7:14" ht="11.25" customHeight="1" x14ac:dyDescent="0.3">
      <c r="G1405" s="470"/>
      <c r="H1405" s="470">
        <v>1398</v>
      </c>
      <c r="I1405" s="455">
        <f t="shared" ca="1" si="128"/>
        <v>133599675.72767237</v>
      </c>
      <c r="J1405" s="455">
        <f t="array" ref="J1405">IFERROR(INDEX('Retirement Calculator'!J:J,MATCH('Isaac 401k'!N1405,'Retirement Calculator'!A:A,0),0),0)</f>
        <v>0</v>
      </c>
      <c r="K1405" s="455">
        <f t="shared" ca="1" si="126"/>
        <v>556665.31553196814</v>
      </c>
      <c r="L1405" s="455">
        <f t="shared" ca="1" si="127"/>
        <v>134156341.04320434</v>
      </c>
      <c r="M1405" s="471">
        <f t="shared" si="129"/>
        <v>0.05</v>
      </c>
      <c r="N1405" s="475">
        <f t="shared" si="130"/>
        <v>93809</v>
      </c>
    </row>
    <row r="1406" spans="7:14" ht="11.25" customHeight="1" x14ac:dyDescent="0.3">
      <c r="G1406" s="470"/>
      <c r="H1406" s="470">
        <v>1399</v>
      </c>
      <c r="I1406" s="455">
        <f t="shared" ca="1" si="128"/>
        <v>134156341.04320434</v>
      </c>
      <c r="J1406" s="455">
        <f t="array" ref="J1406">IFERROR(INDEX('Retirement Calculator'!J:J,MATCH('Isaac 401k'!N1406,'Retirement Calculator'!A:A,0),0),0)</f>
        <v>0</v>
      </c>
      <c r="K1406" s="455">
        <f t="shared" ca="1" si="126"/>
        <v>558984.75434668467</v>
      </c>
      <c r="L1406" s="455">
        <f t="shared" ca="1" si="127"/>
        <v>134715325.79755104</v>
      </c>
      <c r="M1406" s="471">
        <f t="shared" si="129"/>
        <v>0.05</v>
      </c>
      <c r="N1406" s="475">
        <f t="shared" si="130"/>
        <v>93839</v>
      </c>
    </row>
    <row r="1407" spans="7:14" ht="11.25" customHeight="1" x14ac:dyDescent="0.3">
      <c r="G1407" s="470"/>
      <c r="H1407" s="470">
        <v>1400</v>
      </c>
      <c r="I1407" s="455">
        <f t="shared" ca="1" si="128"/>
        <v>134715325.79755104</v>
      </c>
      <c r="J1407" s="455">
        <f t="array" ref="J1407">IFERROR(INDEX('Retirement Calculator'!J:J,MATCH('Isaac 401k'!N1407,'Retirement Calculator'!A:A,0),0),0)</f>
        <v>0</v>
      </c>
      <c r="K1407" s="455">
        <f t="shared" ca="1" si="126"/>
        <v>561313.85748979601</v>
      </c>
      <c r="L1407" s="455">
        <f t="shared" ca="1" si="127"/>
        <v>135276639.65504083</v>
      </c>
      <c r="M1407" s="471">
        <f t="shared" si="129"/>
        <v>0.05</v>
      </c>
      <c r="N1407" s="475">
        <f t="shared" si="130"/>
        <v>93870</v>
      </c>
    </row>
    <row r="1408" spans="7:14" ht="11.25" customHeight="1" x14ac:dyDescent="0.3">
      <c r="G1408" s="470"/>
      <c r="H1408" s="470">
        <v>1401</v>
      </c>
      <c r="I1408" s="455">
        <f t="shared" ca="1" si="128"/>
        <v>135276639.65504083</v>
      </c>
      <c r="J1408" s="455">
        <f t="array" ref="J1408">IFERROR(INDEX('Retirement Calculator'!J:J,MATCH('Isaac 401k'!N1408,'Retirement Calculator'!A:A,0),0),0)</f>
        <v>0</v>
      </c>
      <c r="K1408" s="455">
        <f t="shared" ca="1" si="126"/>
        <v>563652.66522933682</v>
      </c>
      <c r="L1408" s="455">
        <f t="shared" ca="1" si="127"/>
        <v>135840292.32027018</v>
      </c>
      <c r="M1408" s="471">
        <f t="shared" si="129"/>
        <v>0.05</v>
      </c>
      <c r="N1408" s="475">
        <f t="shared" si="130"/>
        <v>93901</v>
      </c>
    </row>
    <row r="1409" spans="7:14" ht="11.25" customHeight="1" x14ac:dyDescent="0.3">
      <c r="G1409" s="470"/>
      <c r="H1409" s="470">
        <v>1402</v>
      </c>
      <c r="I1409" s="455">
        <f t="shared" ca="1" si="128"/>
        <v>135840292.32027018</v>
      </c>
      <c r="J1409" s="455">
        <f t="array" ref="J1409">IFERROR(INDEX('Retirement Calculator'!J:J,MATCH('Isaac 401k'!N1409,'Retirement Calculator'!A:A,0),0),0)</f>
        <v>0</v>
      </c>
      <c r="K1409" s="455">
        <f t="shared" ca="1" si="126"/>
        <v>566001.21800112573</v>
      </c>
      <c r="L1409" s="455">
        <f t="shared" ca="1" si="127"/>
        <v>136406293.53827131</v>
      </c>
      <c r="M1409" s="471">
        <f t="shared" si="129"/>
        <v>0.05</v>
      </c>
      <c r="N1409" s="475">
        <f t="shared" si="130"/>
        <v>93929</v>
      </c>
    </row>
    <row r="1410" spans="7:14" ht="11.25" customHeight="1" x14ac:dyDescent="0.3">
      <c r="G1410" s="470"/>
      <c r="H1410" s="470">
        <v>1403</v>
      </c>
      <c r="I1410" s="455">
        <f t="shared" ca="1" si="128"/>
        <v>136406293.53827131</v>
      </c>
      <c r="J1410" s="455">
        <f t="array" ref="J1410">IFERROR(INDEX('Retirement Calculator'!J:J,MATCH('Isaac 401k'!N1410,'Retirement Calculator'!A:A,0),0),0)</f>
        <v>0</v>
      </c>
      <c r="K1410" s="455">
        <f t="shared" ca="1" si="126"/>
        <v>568359.55640946375</v>
      </c>
      <c r="L1410" s="455">
        <f t="shared" ca="1" si="127"/>
        <v>136974653.09468079</v>
      </c>
      <c r="M1410" s="471">
        <f t="shared" si="129"/>
        <v>0.05</v>
      </c>
      <c r="N1410" s="475">
        <f t="shared" si="130"/>
        <v>93960</v>
      </c>
    </row>
    <row r="1411" spans="7:14" ht="11.25" customHeight="1" x14ac:dyDescent="0.3">
      <c r="G1411" s="470"/>
      <c r="H1411" s="470">
        <v>1404</v>
      </c>
      <c r="I1411" s="455">
        <f t="shared" ca="1" si="128"/>
        <v>136974653.09468079</v>
      </c>
      <c r="J1411" s="455">
        <f t="array" ref="J1411">IFERROR(INDEX('Retirement Calculator'!J:J,MATCH('Isaac 401k'!N1411,'Retirement Calculator'!A:A,0),0),0)</f>
        <v>0</v>
      </c>
      <c r="K1411" s="455">
        <f t="shared" ca="1" si="126"/>
        <v>570727.72122783656</v>
      </c>
      <c r="L1411" s="455">
        <f t="shared" ca="1" si="127"/>
        <v>137545380.81590861</v>
      </c>
      <c r="M1411" s="471">
        <f t="shared" si="129"/>
        <v>0.05</v>
      </c>
      <c r="N1411" s="475">
        <f t="shared" si="130"/>
        <v>93990</v>
      </c>
    </row>
    <row r="1412" spans="7:14" ht="11.25" customHeight="1" x14ac:dyDescent="0.3">
      <c r="G1412" s="470"/>
      <c r="H1412" s="470">
        <v>1405</v>
      </c>
      <c r="I1412" s="455">
        <f t="shared" ca="1" si="128"/>
        <v>137545380.81590861</v>
      </c>
      <c r="J1412" s="455">
        <f t="array" ref="J1412">IFERROR(INDEX('Retirement Calculator'!J:J,MATCH('Isaac 401k'!N1412,'Retirement Calculator'!A:A,0),0),0)</f>
        <v>0</v>
      </c>
      <c r="K1412" s="455">
        <f t="shared" ca="1" si="126"/>
        <v>573105.75339961925</v>
      </c>
      <c r="L1412" s="455">
        <f t="shared" ca="1" si="127"/>
        <v>138118486.56930822</v>
      </c>
      <c r="M1412" s="471">
        <f t="shared" si="129"/>
        <v>0.05</v>
      </c>
      <c r="N1412" s="475">
        <f t="shared" si="130"/>
        <v>94021</v>
      </c>
    </row>
    <row r="1413" spans="7:14" ht="11.25" customHeight="1" x14ac:dyDescent="0.3">
      <c r="G1413" s="470"/>
      <c r="H1413" s="470">
        <v>1406</v>
      </c>
      <c r="I1413" s="455">
        <f t="shared" ca="1" si="128"/>
        <v>138118486.56930822</v>
      </c>
      <c r="J1413" s="455">
        <f t="array" ref="J1413">IFERROR(INDEX('Retirement Calculator'!J:J,MATCH('Isaac 401k'!N1413,'Retirement Calculator'!A:A,0),0),0)</f>
        <v>0</v>
      </c>
      <c r="K1413" s="455">
        <f t="shared" ca="1" si="126"/>
        <v>575493.69403878425</v>
      </c>
      <c r="L1413" s="455">
        <f t="shared" ca="1" si="127"/>
        <v>138693980.263347</v>
      </c>
      <c r="M1413" s="471">
        <f t="shared" si="129"/>
        <v>0.05</v>
      </c>
      <c r="N1413" s="475">
        <f t="shared" si="130"/>
        <v>94051</v>
      </c>
    </row>
    <row r="1414" spans="7:14" ht="11.25" customHeight="1" x14ac:dyDescent="0.3">
      <c r="G1414" s="470"/>
      <c r="H1414" s="470">
        <v>1407</v>
      </c>
      <c r="I1414" s="455">
        <f t="shared" ca="1" si="128"/>
        <v>138693980.263347</v>
      </c>
      <c r="J1414" s="455">
        <f t="array" ref="J1414">IFERROR(INDEX('Retirement Calculator'!J:J,MATCH('Isaac 401k'!N1414,'Retirement Calculator'!A:A,0),0),0)</f>
        <v>0</v>
      </c>
      <c r="K1414" s="455">
        <f t="shared" ca="1" si="126"/>
        <v>577891.58443061251</v>
      </c>
      <c r="L1414" s="455">
        <f t="shared" ca="1" si="127"/>
        <v>139271871.84777761</v>
      </c>
      <c r="M1414" s="471">
        <f t="shared" si="129"/>
        <v>0.05</v>
      </c>
      <c r="N1414" s="475">
        <f t="shared" si="130"/>
        <v>94082</v>
      </c>
    </row>
    <row r="1415" spans="7:14" ht="11.25" customHeight="1" x14ac:dyDescent="0.3">
      <c r="G1415" s="470"/>
      <c r="H1415" s="470">
        <v>1408</v>
      </c>
      <c r="I1415" s="455">
        <f t="shared" ca="1" si="128"/>
        <v>139271871.84777761</v>
      </c>
      <c r="J1415" s="455">
        <f t="array" ref="J1415">IFERROR(INDEX('Retirement Calculator'!J:J,MATCH('Isaac 401k'!N1415,'Retirement Calculator'!A:A,0),0),0)</f>
        <v>0</v>
      </c>
      <c r="K1415" s="455">
        <f t="shared" ca="1" si="126"/>
        <v>580299.46603240666</v>
      </c>
      <c r="L1415" s="455">
        <f t="shared" ca="1" si="127"/>
        <v>139852171.31381002</v>
      </c>
      <c r="M1415" s="471">
        <f t="shared" si="129"/>
        <v>0.05</v>
      </c>
      <c r="N1415" s="475">
        <f t="shared" si="130"/>
        <v>94113</v>
      </c>
    </row>
    <row r="1416" spans="7:14" ht="11.25" customHeight="1" x14ac:dyDescent="0.3">
      <c r="G1416" s="470"/>
      <c r="H1416" s="470">
        <v>1409</v>
      </c>
      <c r="I1416" s="455">
        <f t="shared" ca="1" si="128"/>
        <v>139852171.31381002</v>
      </c>
      <c r="J1416" s="455">
        <f t="array" ref="J1416">IFERROR(INDEX('Retirement Calculator'!J:J,MATCH('Isaac 401k'!N1416,'Retirement Calculator'!A:A,0),0),0)</f>
        <v>0</v>
      </c>
      <c r="K1416" s="455">
        <f t="shared" ca="1" si="126"/>
        <v>582717.38047420839</v>
      </c>
      <c r="L1416" s="455">
        <f t="shared" ca="1" si="127"/>
        <v>140434888.69428423</v>
      </c>
      <c r="M1416" s="471">
        <f t="shared" si="129"/>
        <v>0.05</v>
      </c>
      <c r="N1416" s="475">
        <f t="shared" si="130"/>
        <v>94143</v>
      </c>
    </row>
    <row r="1417" spans="7:14" ht="11.25" customHeight="1" x14ac:dyDescent="0.3">
      <c r="G1417" s="470"/>
      <c r="H1417" s="470">
        <v>1410</v>
      </c>
      <c r="I1417" s="455">
        <f t="shared" ca="1" si="128"/>
        <v>140434888.69428423</v>
      </c>
      <c r="J1417" s="455">
        <f t="array" ref="J1417">IFERROR(INDEX('Retirement Calculator'!J:J,MATCH('Isaac 401k'!N1417,'Retirement Calculator'!A:A,0),0),0)</f>
        <v>0</v>
      </c>
      <c r="K1417" s="455">
        <f t="shared" ca="1" si="126"/>
        <v>585145.3695595176</v>
      </c>
      <c r="L1417" s="455">
        <f t="shared" ca="1" si="127"/>
        <v>141020034.06384376</v>
      </c>
      <c r="M1417" s="471">
        <f t="shared" si="129"/>
        <v>0.05</v>
      </c>
      <c r="N1417" s="475">
        <f t="shared" si="130"/>
        <v>94174</v>
      </c>
    </row>
    <row r="1418" spans="7:14" ht="11.25" customHeight="1" x14ac:dyDescent="0.3">
      <c r="G1418" s="470"/>
      <c r="H1418" s="470">
        <v>1411</v>
      </c>
      <c r="I1418" s="455">
        <f t="shared" ca="1" si="128"/>
        <v>141020034.06384376</v>
      </c>
      <c r="J1418" s="455">
        <f t="array" ref="J1418">IFERROR(INDEX('Retirement Calculator'!J:J,MATCH('Isaac 401k'!N1418,'Retirement Calculator'!A:A,0),0),0)</f>
        <v>0</v>
      </c>
      <c r="K1418" s="455">
        <f t="shared" ca="1" si="126"/>
        <v>587583.47526601562</v>
      </c>
      <c r="L1418" s="455">
        <f t="shared" ca="1" si="127"/>
        <v>141607617.53910977</v>
      </c>
      <c r="M1418" s="471">
        <f t="shared" si="129"/>
        <v>0.05</v>
      </c>
      <c r="N1418" s="475">
        <f t="shared" si="130"/>
        <v>94204</v>
      </c>
    </row>
    <row r="1419" spans="7:14" ht="11.25" customHeight="1" x14ac:dyDescent="0.3">
      <c r="G1419" s="470"/>
      <c r="H1419" s="470">
        <v>1412</v>
      </c>
      <c r="I1419" s="455">
        <f t="shared" ca="1" si="128"/>
        <v>141607617.53910977</v>
      </c>
      <c r="J1419" s="455">
        <f t="array" ref="J1419">IFERROR(INDEX('Retirement Calculator'!J:J,MATCH('Isaac 401k'!N1419,'Retirement Calculator'!A:A,0),0),0)</f>
        <v>0</v>
      </c>
      <c r="K1419" s="455">
        <f t="shared" ca="1" si="126"/>
        <v>590031.73974629072</v>
      </c>
      <c r="L1419" s="455">
        <f t="shared" ca="1" si="127"/>
        <v>142197649.27885607</v>
      </c>
      <c r="M1419" s="471">
        <f t="shared" si="129"/>
        <v>0.05</v>
      </c>
      <c r="N1419" s="475">
        <f t="shared" si="130"/>
        <v>94235</v>
      </c>
    </row>
    <row r="1420" spans="7:14" ht="11.25" customHeight="1" x14ac:dyDescent="0.3">
      <c r="G1420" s="470"/>
      <c r="H1420" s="470">
        <v>1413</v>
      </c>
      <c r="I1420" s="455">
        <f t="shared" ca="1" si="128"/>
        <v>142197649.27885607</v>
      </c>
      <c r="J1420" s="455">
        <f t="array" ref="J1420">IFERROR(INDEX('Retirement Calculator'!J:J,MATCH('Isaac 401k'!N1420,'Retirement Calculator'!A:A,0),0),0)</f>
        <v>0</v>
      </c>
      <c r="K1420" s="455">
        <f t="shared" ca="1" si="126"/>
        <v>592490.20532856695</v>
      </c>
      <c r="L1420" s="455">
        <f t="shared" ca="1" si="127"/>
        <v>142790139.48418462</v>
      </c>
      <c r="M1420" s="471">
        <f t="shared" si="129"/>
        <v>0.05</v>
      </c>
      <c r="N1420" s="475">
        <f t="shared" si="130"/>
        <v>94266</v>
      </c>
    </row>
    <row r="1421" spans="7:14" ht="11.25" customHeight="1" x14ac:dyDescent="0.3">
      <c r="G1421" s="470"/>
      <c r="H1421" s="470">
        <v>1414</v>
      </c>
      <c r="I1421" s="455">
        <f t="shared" ca="1" si="128"/>
        <v>142790139.48418462</v>
      </c>
      <c r="J1421" s="455">
        <f t="array" ref="J1421">IFERROR(INDEX('Retirement Calculator'!J:J,MATCH('Isaac 401k'!N1421,'Retirement Calculator'!A:A,0),0),0)</f>
        <v>0</v>
      </c>
      <c r="K1421" s="455">
        <f t="shared" ca="1" si="126"/>
        <v>594958.91451743594</v>
      </c>
      <c r="L1421" s="455">
        <f t="shared" ca="1" si="127"/>
        <v>143385098.39870206</v>
      </c>
      <c r="M1421" s="471">
        <f t="shared" si="129"/>
        <v>0.05</v>
      </c>
      <c r="N1421" s="475">
        <f t="shared" si="130"/>
        <v>94294</v>
      </c>
    </row>
    <row r="1422" spans="7:14" ht="11.25" customHeight="1" x14ac:dyDescent="0.3">
      <c r="G1422" s="470"/>
      <c r="H1422" s="470">
        <v>1415</v>
      </c>
      <c r="I1422" s="455">
        <f t="shared" ca="1" si="128"/>
        <v>143385098.39870206</v>
      </c>
      <c r="J1422" s="455">
        <f t="array" ref="J1422">IFERROR(INDEX('Retirement Calculator'!J:J,MATCH('Isaac 401k'!N1422,'Retirement Calculator'!A:A,0),0),0)</f>
        <v>0</v>
      </c>
      <c r="K1422" s="455">
        <f t="shared" ca="1" si="126"/>
        <v>597437.90999459184</v>
      </c>
      <c r="L1422" s="455">
        <f t="shared" ca="1" si="127"/>
        <v>143982536.30869666</v>
      </c>
      <c r="M1422" s="471">
        <f t="shared" si="129"/>
        <v>0.05</v>
      </c>
      <c r="N1422" s="475">
        <f t="shared" si="130"/>
        <v>94325</v>
      </c>
    </row>
    <row r="1423" spans="7:14" ht="11.25" customHeight="1" x14ac:dyDescent="0.3">
      <c r="G1423" s="470"/>
      <c r="H1423" s="470">
        <v>1416</v>
      </c>
      <c r="I1423" s="455">
        <f t="shared" ca="1" si="128"/>
        <v>143982536.30869666</v>
      </c>
      <c r="J1423" s="455">
        <f t="array" ref="J1423">IFERROR(INDEX('Retirement Calculator'!J:J,MATCH('Isaac 401k'!N1423,'Retirement Calculator'!A:A,0),0),0)</f>
        <v>0</v>
      </c>
      <c r="K1423" s="455">
        <f t="shared" ca="1" si="126"/>
        <v>599927.23461956938</v>
      </c>
      <c r="L1423" s="455">
        <f t="shared" ca="1" si="127"/>
        <v>144582463.54331622</v>
      </c>
      <c r="M1423" s="471">
        <f t="shared" si="129"/>
        <v>0.05</v>
      </c>
      <c r="N1423" s="475">
        <f t="shared" si="130"/>
        <v>94355</v>
      </c>
    </row>
    <row r="1424" spans="7:14" ht="11.25" customHeight="1" x14ac:dyDescent="0.3">
      <c r="G1424" s="470"/>
      <c r="H1424" s="470">
        <v>1417</v>
      </c>
      <c r="I1424" s="455">
        <f t="shared" ca="1" si="128"/>
        <v>144582463.54331622</v>
      </c>
      <c r="J1424" s="455">
        <f t="array" ref="J1424">IFERROR(INDEX('Retirement Calculator'!J:J,MATCH('Isaac 401k'!N1424,'Retirement Calculator'!A:A,0),0),0)</f>
        <v>0</v>
      </c>
      <c r="K1424" s="455">
        <f t="shared" ca="1" si="126"/>
        <v>602426.93143048417</v>
      </c>
      <c r="L1424" s="455">
        <f t="shared" ca="1" si="127"/>
        <v>145184890.4747467</v>
      </c>
      <c r="M1424" s="471">
        <f t="shared" si="129"/>
        <v>0.05</v>
      </c>
      <c r="N1424" s="475">
        <f t="shared" si="130"/>
        <v>94386</v>
      </c>
    </row>
    <row r="1425" spans="7:14" ht="11.25" customHeight="1" x14ac:dyDescent="0.3">
      <c r="G1425" s="470"/>
      <c r="H1425" s="470">
        <v>1418</v>
      </c>
      <c r="I1425" s="455">
        <f t="shared" ca="1" si="128"/>
        <v>145184890.4747467</v>
      </c>
      <c r="J1425" s="455">
        <f t="array" ref="J1425">IFERROR(INDEX('Retirement Calculator'!J:J,MATCH('Isaac 401k'!N1425,'Retirement Calculator'!A:A,0),0),0)</f>
        <v>0</v>
      </c>
      <c r="K1425" s="455">
        <f t="shared" ca="1" si="126"/>
        <v>604937.04364477796</v>
      </c>
      <c r="L1425" s="455">
        <f t="shared" ca="1" si="127"/>
        <v>145789827.51839149</v>
      </c>
      <c r="M1425" s="471">
        <f t="shared" si="129"/>
        <v>0.05</v>
      </c>
      <c r="N1425" s="475">
        <f t="shared" si="130"/>
        <v>94416</v>
      </c>
    </row>
    <row r="1426" spans="7:14" ht="11.25" customHeight="1" x14ac:dyDescent="0.3">
      <c r="G1426" s="470"/>
      <c r="H1426" s="470">
        <v>1419</v>
      </c>
      <c r="I1426" s="455">
        <f t="shared" ca="1" si="128"/>
        <v>145789827.51839149</v>
      </c>
      <c r="J1426" s="455">
        <f t="array" ref="J1426">IFERROR(INDEX('Retirement Calculator'!J:J,MATCH('Isaac 401k'!N1426,'Retirement Calculator'!A:A,0),0),0)</f>
        <v>0</v>
      </c>
      <c r="K1426" s="455">
        <f t="shared" ca="1" si="126"/>
        <v>607457.61465996457</v>
      </c>
      <c r="L1426" s="455">
        <f t="shared" ca="1" si="127"/>
        <v>146397285.13305146</v>
      </c>
      <c r="M1426" s="471">
        <f t="shared" si="129"/>
        <v>0.05</v>
      </c>
      <c r="N1426" s="475">
        <f t="shared" si="130"/>
        <v>94447</v>
      </c>
    </row>
    <row r="1427" spans="7:14" ht="11.25" customHeight="1" x14ac:dyDescent="0.3">
      <c r="G1427" s="470"/>
      <c r="H1427" s="470">
        <v>1420</v>
      </c>
      <c r="I1427" s="455">
        <f t="shared" ca="1" si="128"/>
        <v>146397285.13305146</v>
      </c>
      <c r="J1427" s="455">
        <f t="array" ref="J1427">IFERROR(INDEX('Retirement Calculator'!J:J,MATCH('Isaac 401k'!N1427,'Retirement Calculator'!A:A,0),0),0)</f>
        <v>0</v>
      </c>
      <c r="K1427" s="455">
        <f t="shared" ca="1" si="126"/>
        <v>609988.68805438105</v>
      </c>
      <c r="L1427" s="455">
        <f t="shared" ca="1" si="127"/>
        <v>147007273.82110584</v>
      </c>
      <c r="M1427" s="471">
        <f t="shared" si="129"/>
        <v>0.05</v>
      </c>
      <c r="N1427" s="475">
        <f t="shared" si="130"/>
        <v>94478</v>
      </c>
    </row>
    <row r="1428" spans="7:14" ht="11.25" customHeight="1" x14ac:dyDescent="0.3">
      <c r="G1428" s="470"/>
      <c r="H1428" s="470">
        <v>1421</v>
      </c>
      <c r="I1428" s="455">
        <f t="shared" ca="1" si="128"/>
        <v>147007273.82110584</v>
      </c>
      <c r="J1428" s="455">
        <f t="array" ref="J1428">IFERROR(INDEX('Retirement Calculator'!J:J,MATCH('Isaac 401k'!N1428,'Retirement Calculator'!A:A,0),0),0)</f>
        <v>0</v>
      </c>
      <c r="K1428" s="455">
        <f t="shared" ca="1" si="126"/>
        <v>612530.30758794094</v>
      </c>
      <c r="L1428" s="455">
        <f t="shared" ca="1" si="127"/>
        <v>147619804.12869379</v>
      </c>
      <c r="M1428" s="471">
        <f t="shared" si="129"/>
        <v>0.05</v>
      </c>
      <c r="N1428" s="475">
        <f t="shared" si="130"/>
        <v>94508</v>
      </c>
    </row>
    <row r="1429" spans="7:14" ht="11.25" customHeight="1" x14ac:dyDescent="0.3">
      <c r="G1429" s="470"/>
      <c r="H1429" s="470">
        <v>1422</v>
      </c>
      <c r="I1429" s="455">
        <f t="shared" ca="1" si="128"/>
        <v>147619804.12869379</v>
      </c>
      <c r="J1429" s="455">
        <f t="array" ref="J1429">IFERROR(INDEX('Retirement Calculator'!J:J,MATCH('Isaac 401k'!N1429,'Retirement Calculator'!A:A,0),0),0)</f>
        <v>0</v>
      </c>
      <c r="K1429" s="455">
        <f t="shared" ca="1" si="126"/>
        <v>615082.51720289083</v>
      </c>
      <c r="L1429" s="455">
        <f t="shared" ca="1" si="127"/>
        <v>148234886.64589667</v>
      </c>
      <c r="M1429" s="471">
        <f t="shared" si="129"/>
        <v>0.05</v>
      </c>
      <c r="N1429" s="475">
        <f t="shared" si="130"/>
        <v>94539</v>
      </c>
    </row>
    <row r="1430" spans="7:14" ht="11.25" customHeight="1" x14ac:dyDescent="0.3">
      <c r="G1430" s="470"/>
      <c r="H1430" s="470">
        <v>1423</v>
      </c>
      <c r="I1430" s="455">
        <f t="shared" ca="1" si="128"/>
        <v>148234886.64589667</v>
      </c>
      <c r="J1430" s="455">
        <f t="array" ref="J1430">IFERROR(INDEX('Retirement Calculator'!J:J,MATCH('Isaac 401k'!N1430,'Retirement Calculator'!A:A,0),0),0)</f>
        <v>0</v>
      </c>
      <c r="K1430" s="455">
        <f t="shared" ca="1" si="126"/>
        <v>617645.36102456949</v>
      </c>
      <c r="L1430" s="455">
        <f t="shared" ca="1" si="127"/>
        <v>148852532.00692123</v>
      </c>
      <c r="M1430" s="471">
        <f t="shared" si="129"/>
        <v>0.05</v>
      </c>
      <c r="N1430" s="475">
        <f t="shared" si="130"/>
        <v>94569</v>
      </c>
    </row>
    <row r="1431" spans="7:14" ht="11.25" customHeight="1" x14ac:dyDescent="0.3">
      <c r="G1431" s="470"/>
      <c r="H1431" s="470">
        <v>1424</v>
      </c>
      <c r="I1431" s="455">
        <f t="shared" ca="1" si="128"/>
        <v>148852532.00692123</v>
      </c>
      <c r="J1431" s="455">
        <f t="array" ref="J1431">IFERROR(INDEX('Retirement Calculator'!J:J,MATCH('Isaac 401k'!N1431,'Retirement Calculator'!A:A,0),0),0)</f>
        <v>0</v>
      </c>
      <c r="K1431" s="455">
        <f t="shared" ca="1" si="126"/>
        <v>620218.88336217182</v>
      </c>
      <c r="L1431" s="455">
        <f t="shared" ca="1" si="127"/>
        <v>149472750.89028341</v>
      </c>
      <c r="M1431" s="471">
        <f t="shared" si="129"/>
        <v>0.05</v>
      </c>
      <c r="N1431" s="475">
        <f t="shared" si="130"/>
        <v>94600</v>
      </c>
    </row>
    <row r="1432" spans="7:14" ht="11.25" customHeight="1" x14ac:dyDescent="0.3">
      <c r="G1432" s="470"/>
      <c r="H1432" s="470">
        <v>1425</v>
      </c>
      <c r="I1432" s="455">
        <f t="shared" ca="1" si="128"/>
        <v>149472750.89028341</v>
      </c>
      <c r="J1432" s="455">
        <f t="array" ref="J1432">IFERROR(INDEX('Retirement Calculator'!J:J,MATCH('Isaac 401k'!N1432,'Retirement Calculator'!A:A,0),0),0)</f>
        <v>0</v>
      </c>
      <c r="K1432" s="455">
        <f t="shared" ca="1" si="126"/>
        <v>622803.12870951416</v>
      </c>
      <c r="L1432" s="455">
        <f t="shared" ca="1" si="127"/>
        <v>150095554.01899293</v>
      </c>
      <c r="M1432" s="471">
        <f t="shared" si="129"/>
        <v>0.05</v>
      </c>
      <c r="N1432" s="475">
        <f t="shared" si="130"/>
        <v>94631</v>
      </c>
    </row>
    <row r="1433" spans="7:14" ht="11.25" customHeight="1" x14ac:dyDescent="0.3">
      <c r="G1433" s="470"/>
      <c r="H1433" s="470">
        <v>1426</v>
      </c>
      <c r="I1433" s="455">
        <f t="shared" ca="1" si="128"/>
        <v>150095554.01899293</v>
      </c>
      <c r="J1433" s="455">
        <f t="array" ref="J1433">IFERROR(INDEX('Retirement Calculator'!J:J,MATCH('Isaac 401k'!N1433,'Retirement Calculator'!A:A,0),0),0)</f>
        <v>0</v>
      </c>
      <c r="K1433" s="455">
        <f t="shared" ca="1" si="126"/>
        <v>625398.14174580388</v>
      </c>
      <c r="L1433" s="455">
        <f t="shared" ca="1" si="127"/>
        <v>150720952.16073874</v>
      </c>
      <c r="M1433" s="471">
        <f t="shared" si="129"/>
        <v>0.05</v>
      </c>
      <c r="N1433" s="475">
        <f t="shared" si="130"/>
        <v>94659</v>
      </c>
    </row>
    <row r="1434" spans="7:14" ht="11.25" customHeight="1" x14ac:dyDescent="0.3">
      <c r="G1434" s="470"/>
      <c r="H1434" s="470">
        <v>1427</v>
      </c>
      <c r="I1434" s="455">
        <f t="shared" ca="1" si="128"/>
        <v>150720952.16073874</v>
      </c>
      <c r="J1434" s="455">
        <f t="array" ref="J1434">IFERROR(INDEX('Retirement Calculator'!J:J,MATCH('Isaac 401k'!N1434,'Retirement Calculator'!A:A,0),0),0)</f>
        <v>0</v>
      </c>
      <c r="K1434" s="455">
        <f t="shared" ca="1" si="126"/>
        <v>628003.96733641136</v>
      </c>
      <c r="L1434" s="455">
        <f t="shared" ca="1" si="127"/>
        <v>151348956.12807515</v>
      </c>
      <c r="M1434" s="471">
        <f t="shared" si="129"/>
        <v>0.05</v>
      </c>
      <c r="N1434" s="475">
        <f t="shared" si="130"/>
        <v>94690</v>
      </c>
    </row>
    <row r="1435" spans="7:14" ht="11.25" customHeight="1" x14ac:dyDescent="0.3">
      <c r="G1435" s="470"/>
      <c r="H1435" s="470">
        <v>1428</v>
      </c>
      <c r="I1435" s="455">
        <f t="shared" ca="1" si="128"/>
        <v>151348956.12807515</v>
      </c>
      <c r="J1435" s="455">
        <f t="array" ref="J1435">IFERROR(INDEX('Retirement Calculator'!J:J,MATCH('Isaac 401k'!N1435,'Retirement Calculator'!A:A,0),0),0)</f>
        <v>0</v>
      </c>
      <c r="K1435" s="455">
        <f t="shared" ca="1" si="126"/>
        <v>630620.65053364646</v>
      </c>
      <c r="L1435" s="455">
        <f t="shared" ca="1" si="127"/>
        <v>151979576.7786088</v>
      </c>
      <c r="M1435" s="471">
        <f t="shared" si="129"/>
        <v>0.05</v>
      </c>
      <c r="N1435" s="475">
        <f t="shared" si="130"/>
        <v>94720</v>
      </c>
    </row>
    <row r="1436" spans="7:14" ht="11.25" customHeight="1" x14ac:dyDescent="0.3">
      <c r="G1436" s="470"/>
      <c r="H1436" s="470">
        <v>1429</v>
      </c>
      <c r="I1436" s="455">
        <f t="shared" ca="1" si="128"/>
        <v>151979576.7786088</v>
      </c>
      <c r="J1436" s="455">
        <f t="array" ref="J1436">IFERROR(INDEX('Retirement Calculator'!J:J,MATCH('Isaac 401k'!N1436,'Retirement Calculator'!A:A,0),0),0)</f>
        <v>0</v>
      </c>
      <c r="K1436" s="455">
        <f t="shared" ca="1" si="126"/>
        <v>633248.23657753668</v>
      </c>
      <c r="L1436" s="455">
        <f t="shared" ca="1" si="127"/>
        <v>152612825.01518634</v>
      </c>
      <c r="M1436" s="471">
        <f t="shared" si="129"/>
        <v>0.05</v>
      </c>
      <c r="N1436" s="475">
        <f t="shared" si="130"/>
        <v>94751</v>
      </c>
    </row>
    <row r="1437" spans="7:14" ht="11.25" customHeight="1" x14ac:dyDescent="0.3">
      <c r="G1437" s="470"/>
      <c r="H1437" s="470">
        <v>1430</v>
      </c>
      <c r="I1437" s="455">
        <f t="shared" ca="1" si="128"/>
        <v>152612825.01518634</v>
      </c>
      <c r="J1437" s="455">
        <f t="array" ref="J1437">IFERROR(INDEX('Retirement Calculator'!J:J,MATCH('Isaac 401k'!N1437,'Retirement Calculator'!A:A,0),0),0)</f>
        <v>0</v>
      </c>
      <c r="K1437" s="455">
        <f t="shared" ca="1" si="126"/>
        <v>635886.77089660976</v>
      </c>
      <c r="L1437" s="455">
        <f t="shared" ca="1" si="127"/>
        <v>153248711.78608295</v>
      </c>
      <c r="M1437" s="471">
        <f t="shared" si="129"/>
        <v>0.05</v>
      </c>
      <c r="N1437" s="475">
        <f t="shared" si="130"/>
        <v>94781</v>
      </c>
    </row>
    <row r="1438" spans="7:14" ht="11.25" customHeight="1" x14ac:dyDescent="0.3">
      <c r="G1438" s="470"/>
      <c r="H1438" s="470">
        <v>1431</v>
      </c>
      <c r="I1438" s="455">
        <f t="shared" ca="1" si="128"/>
        <v>153248711.78608295</v>
      </c>
      <c r="J1438" s="455">
        <f t="array" ref="J1438">IFERROR(INDEX('Retirement Calculator'!J:J,MATCH('Isaac 401k'!N1438,'Retirement Calculator'!A:A,0),0),0)</f>
        <v>0</v>
      </c>
      <c r="K1438" s="455">
        <f t="shared" ca="1" si="126"/>
        <v>638536.29910867894</v>
      </c>
      <c r="L1438" s="455">
        <f t="shared" ca="1" si="127"/>
        <v>153887248.08519164</v>
      </c>
      <c r="M1438" s="471">
        <f t="shared" si="129"/>
        <v>0.05</v>
      </c>
      <c r="N1438" s="475">
        <f t="shared" si="130"/>
        <v>94812</v>
      </c>
    </row>
    <row r="1439" spans="7:14" ht="11.25" customHeight="1" x14ac:dyDescent="0.3">
      <c r="G1439" s="470"/>
      <c r="H1439" s="470">
        <v>1432</v>
      </c>
      <c r="I1439" s="455">
        <f t="shared" ca="1" si="128"/>
        <v>153887248.08519164</v>
      </c>
      <c r="J1439" s="455">
        <f t="array" ref="J1439">IFERROR(INDEX('Retirement Calculator'!J:J,MATCH('Isaac 401k'!N1439,'Retirement Calculator'!A:A,0),0),0)</f>
        <v>0</v>
      </c>
      <c r="K1439" s="455">
        <f t="shared" ca="1" si="126"/>
        <v>641196.8670216318</v>
      </c>
      <c r="L1439" s="455">
        <f t="shared" ca="1" si="127"/>
        <v>154528444.95221326</v>
      </c>
      <c r="M1439" s="471">
        <f t="shared" si="129"/>
        <v>0.05</v>
      </c>
      <c r="N1439" s="475">
        <f t="shared" si="130"/>
        <v>94843</v>
      </c>
    </row>
    <row r="1440" spans="7:14" ht="11.25" customHeight="1" x14ac:dyDescent="0.3">
      <c r="G1440" s="470"/>
      <c r="H1440" s="470">
        <v>1433</v>
      </c>
      <c r="I1440" s="455">
        <f t="shared" ca="1" si="128"/>
        <v>154528444.95221326</v>
      </c>
      <c r="J1440" s="455">
        <f t="array" ref="J1440">IFERROR(INDEX('Retirement Calculator'!J:J,MATCH('Isaac 401k'!N1440,'Retirement Calculator'!A:A,0),0),0)</f>
        <v>0</v>
      </c>
      <c r="K1440" s="455">
        <f t="shared" ca="1" si="126"/>
        <v>643868.52063422184</v>
      </c>
      <c r="L1440" s="455">
        <f t="shared" ca="1" si="127"/>
        <v>155172313.47284749</v>
      </c>
      <c r="M1440" s="471">
        <f t="shared" si="129"/>
        <v>0.05</v>
      </c>
      <c r="N1440" s="475">
        <f t="shared" si="130"/>
        <v>94873</v>
      </c>
    </row>
    <row r="1441" spans="7:14" ht="11.25" customHeight="1" x14ac:dyDescent="0.3">
      <c r="G1441" s="470"/>
      <c r="H1441" s="470">
        <v>1434</v>
      </c>
      <c r="I1441" s="455">
        <f t="shared" ca="1" si="128"/>
        <v>155172313.47284749</v>
      </c>
      <c r="J1441" s="455">
        <f t="array" ref="J1441">IFERROR(INDEX('Retirement Calculator'!J:J,MATCH('Isaac 401k'!N1441,'Retirement Calculator'!A:A,0),0),0)</f>
        <v>0</v>
      </c>
      <c r="K1441" s="455">
        <f t="shared" ca="1" si="126"/>
        <v>646551.30613686459</v>
      </c>
      <c r="L1441" s="455">
        <f t="shared" ca="1" si="127"/>
        <v>155818864.77898437</v>
      </c>
      <c r="M1441" s="471">
        <f t="shared" si="129"/>
        <v>0.05</v>
      </c>
      <c r="N1441" s="475">
        <f t="shared" si="130"/>
        <v>94904</v>
      </c>
    </row>
    <row r="1442" spans="7:14" ht="11.25" customHeight="1" x14ac:dyDescent="0.3">
      <c r="G1442" s="470"/>
      <c r="H1442" s="470">
        <v>1435</v>
      </c>
      <c r="I1442" s="455">
        <f t="shared" ca="1" si="128"/>
        <v>155818864.77898437</v>
      </c>
      <c r="J1442" s="455">
        <f t="array" ref="J1442">IFERROR(INDEX('Retirement Calculator'!J:J,MATCH('Isaac 401k'!N1442,'Retirement Calculator'!A:A,0),0),0)</f>
        <v>0</v>
      </c>
      <c r="K1442" s="455">
        <f t="shared" ca="1" si="126"/>
        <v>649245.26991243486</v>
      </c>
      <c r="L1442" s="455">
        <f t="shared" ca="1" si="127"/>
        <v>156468110.04889679</v>
      </c>
      <c r="M1442" s="471">
        <f t="shared" si="129"/>
        <v>0.05</v>
      </c>
      <c r="N1442" s="475">
        <f t="shared" si="130"/>
        <v>94934</v>
      </c>
    </row>
    <row r="1443" spans="7:14" ht="11.25" customHeight="1" x14ac:dyDescent="0.3">
      <c r="G1443" s="470"/>
      <c r="H1443" s="470">
        <v>1436</v>
      </c>
      <c r="I1443" s="455">
        <f t="shared" ca="1" si="128"/>
        <v>156468110.04889679</v>
      </c>
      <c r="J1443" s="455">
        <f t="array" ref="J1443">IFERROR(INDEX('Retirement Calculator'!J:J,MATCH('Isaac 401k'!N1443,'Retirement Calculator'!A:A,0),0),0)</f>
        <v>0</v>
      </c>
      <c r="K1443" s="455">
        <f t="shared" ca="1" si="126"/>
        <v>651950.45853706996</v>
      </c>
      <c r="L1443" s="455">
        <f t="shared" ca="1" si="127"/>
        <v>157120060.50743386</v>
      </c>
      <c r="M1443" s="471">
        <f t="shared" si="129"/>
        <v>0.05</v>
      </c>
      <c r="N1443" s="475">
        <f t="shared" si="130"/>
        <v>94965</v>
      </c>
    </row>
    <row r="1444" spans="7:14" ht="11.25" customHeight="1" x14ac:dyDescent="0.3">
      <c r="G1444" s="470"/>
      <c r="H1444" s="470">
        <v>1437</v>
      </c>
      <c r="I1444" s="455">
        <f t="shared" ca="1" si="128"/>
        <v>157120060.50743386</v>
      </c>
      <c r="J1444" s="455">
        <f t="array" ref="J1444">IFERROR(INDEX('Retirement Calculator'!J:J,MATCH('Isaac 401k'!N1444,'Retirement Calculator'!A:A,0),0),0)</f>
        <v>0</v>
      </c>
      <c r="K1444" s="455">
        <f t="shared" ca="1" si="126"/>
        <v>654666.91878097446</v>
      </c>
      <c r="L1444" s="455">
        <f t="shared" ca="1" si="127"/>
        <v>157774727.42621484</v>
      </c>
      <c r="M1444" s="471">
        <f t="shared" si="129"/>
        <v>0.05</v>
      </c>
      <c r="N1444" s="475">
        <f t="shared" si="130"/>
        <v>94996</v>
      </c>
    </row>
    <row r="1445" spans="7:14" ht="11.25" customHeight="1" x14ac:dyDescent="0.3">
      <c r="G1445" s="470"/>
      <c r="H1445" s="470">
        <v>1438</v>
      </c>
      <c r="I1445" s="455">
        <f t="shared" ca="1" si="128"/>
        <v>157774727.42621484</v>
      </c>
      <c r="J1445" s="455">
        <f t="array" ref="J1445">IFERROR(INDEX('Retirement Calculator'!J:J,MATCH('Isaac 401k'!N1445,'Retirement Calculator'!A:A,0),0),0)</f>
        <v>0</v>
      </c>
      <c r="K1445" s="455">
        <f t="shared" ca="1" si="126"/>
        <v>657394.69760922855</v>
      </c>
      <c r="L1445" s="455">
        <f t="shared" ca="1" si="127"/>
        <v>158432122.12382406</v>
      </c>
      <c r="M1445" s="471">
        <f t="shared" si="129"/>
        <v>0.05</v>
      </c>
      <c r="N1445" s="475">
        <f t="shared" si="130"/>
        <v>95025</v>
      </c>
    </row>
    <row r="1446" spans="7:14" ht="11.25" customHeight="1" x14ac:dyDescent="0.3">
      <c r="G1446" s="470"/>
      <c r="H1446" s="470">
        <v>1439</v>
      </c>
      <c r="I1446" s="455">
        <f t="shared" ca="1" si="128"/>
        <v>158432122.12382406</v>
      </c>
      <c r="J1446" s="455">
        <f t="array" ref="J1446">IFERROR(INDEX('Retirement Calculator'!J:J,MATCH('Isaac 401k'!N1446,'Retirement Calculator'!A:A,0),0),0)</f>
        <v>0</v>
      </c>
      <c r="K1446" s="455">
        <f t="shared" ca="1" si="126"/>
        <v>660133.84218260029</v>
      </c>
      <c r="L1446" s="455">
        <f t="shared" ca="1" si="127"/>
        <v>159092255.96600667</v>
      </c>
      <c r="M1446" s="471">
        <f t="shared" si="129"/>
        <v>0.05</v>
      </c>
      <c r="N1446" s="475">
        <f t="shared" si="130"/>
        <v>95056</v>
      </c>
    </row>
    <row r="1447" spans="7:14" ht="11.25" customHeight="1" x14ac:dyDescent="0.3">
      <c r="G1447" s="470"/>
      <c r="H1447" s="470">
        <v>1440</v>
      </c>
      <c r="I1447" s="455">
        <f t="shared" ca="1" si="128"/>
        <v>159092255.96600667</v>
      </c>
      <c r="J1447" s="455">
        <f t="array" ref="J1447">IFERROR(INDEX('Retirement Calculator'!J:J,MATCH('Isaac 401k'!N1447,'Retirement Calculator'!A:A,0),0),0)</f>
        <v>0</v>
      </c>
      <c r="K1447" s="455">
        <f t="shared" ca="1" si="126"/>
        <v>662884.39985836111</v>
      </c>
      <c r="L1447" s="455">
        <f t="shared" ca="1" si="127"/>
        <v>159755140.36586502</v>
      </c>
      <c r="M1447" s="471">
        <f t="shared" si="129"/>
        <v>0.05</v>
      </c>
      <c r="N1447" s="475">
        <f t="shared" si="130"/>
        <v>95086</v>
      </c>
    </row>
    <row r="1448" spans="7:14" ht="11.25" customHeight="1" x14ac:dyDescent="0.3">
      <c r="G1448" s="470"/>
      <c r="H1448" s="470">
        <v>1441</v>
      </c>
      <c r="I1448" s="455">
        <f t="shared" ca="1" si="128"/>
        <v>159755140.36586502</v>
      </c>
      <c r="J1448" s="455">
        <f t="array" ref="J1448">IFERROR(INDEX('Retirement Calculator'!J:J,MATCH('Isaac 401k'!N1448,'Retirement Calculator'!A:A,0),0),0)</f>
        <v>0</v>
      </c>
      <c r="K1448" s="455">
        <f t="shared" ca="1" si="126"/>
        <v>665646.4181911042</v>
      </c>
      <c r="L1448" s="455">
        <f t="shared" ca="1" si="127"/>
        <v>160420786.78405613</v>
      </c>
      <c r="M1448" s="471">
        <f t="shared" si="129"/>
        <v>0.05</v>
      </c>
      <c r="N1448" s="475">
        <f t="shared" si="130"/>
        <v>95117</v>
      </c>
    </row>
    <row r="1449" spans="7:14" ht="11.25" customHeight="1" x14ac:dyDescent="0.3">
      <c r="G1449" s="470"/>
      <c r="H1449" s="470">
        <v>1442</v>
      </c>
      <c r="I1449" s="455">
        <f t="shared" ca="1" si="128"/>
        <v>160420786.78405613</v>
      </c>
      <c r="J1449" s="455">
        <f t="array" ref="J1449">IFERROR(INDEX('Retirement Calculator'!J:J,MATCH('Isaac 401k'!N1449,'Retirement Calculator'!A:A,0),0),0)</f>
        <v>0</v>
      </c>
      <c r="K1449" s="455">
        <f t="shared" ca="1" si="126"/>
        <v>668419.9449335672</v>
      </c>
      <c r="L1449" s="455">
        <f t="shared" ca="1" si="127"/>
        <v>161089206.72898969</v>
      </c>
      <c r="M1449" s="471">
        <f t="shared" si="129"/>
        <v>0.05</v>
      </c>
      <c r="N1449" s="475">
        <f t="shared" si="130"/>
        <v>95147</v>
      </c>
    </row>
    <row r="1450" spans="7:14" ht="11.25" customHeight="1" x14ac:dyDescent="0.3">
      <c r="G1450" s="470"/>
      <c r="H1450" s="470">
        <v>1443</v>
      </c>
      <c r="I1450" s="455">
        <f t="shared" ca="1" si="128"/>
        <v>161089206.72898969</v>
      </c>
      <c r="J1450" s="455">
        <f t="array" ref="J1450">IFERROR(INDEX('Retirement Calculator'!J:J,MATCH('Isaac 401k'!N1450,'Retirement Calculator'!A:A,0),0),0)</f>
        <v>0</v>
      </c>
      <c r="K1450" s="455">
        <f t="shared" ca="1" si="126"/>
        <v>671205.02803745703</v>
      </c>
      <c r="L1450" s="455">
        <f t="shared" ca="1" si="127"/>
        <v>161760411.75702715</v>
      </c>
      <c r="M1450" s="471">
        <f t="shared" si="129"/>
        <v>0.05</v>
      </c>
      <c r="N1450" s="475">
        <f t="shared" si="130"/>
        <v>95178</v>
      </c>
    </row>
    <row r="1451" spans="7:14" ht="11.25" customHeight="1" x14ac:dyDescent="0.3">
      <c r="G1451" s="470"/>
      <c r="H1451" s="470">
        <v>1444</v>
      </c>
      <c r="I1451" s="455">
        <f t="shared" ca="1" si="128"/>
        <v>161760411.75702715</v>
      </c>
      <c r="J1451" s="455">
        <f t="array" ref="J1451">IFERROR(INDEX('Retirement Calculator'!J:J,MATCH('Isaac 401k'!N1451,'Retirement Calculator'!A:A,0),0),0)</f>
        <v>0</v>
      </c>
      <c r="K1451" s="455">
        <f t="shared" ca="1" si="126"/>
        <v>674001.7156542798</v>
      </c>
      <c r="L1451" s="455">
        <f t="shared" ca="1" si="127"/>
        <v>162434413.47268143</v>
      </c>
      <c r="M1451" s="471">
        <f t="shared" si="129"/>
        <v>0.05</v>
      </c>
      <c r="N1451" s="475">
        <f t="shared" si="130"/>
        <v>95209</v>
      </c>
    </row>
    <row r="1452" spans="7:14" ht="11.25" customHeight="1" x14ac:dyDescent="0.3">
      <c r="G1452" s="470"/>
      <c r="H1452" s="470">
        <v>1445</v>
      </c>
      <c r="I1452" s="455">
        <f t="shared" ca="1" si="128"/>
        <v>162434413.47268143</v>
      </c>
      <c r="J1452" s="455">
        <f t="array" ref="J1452">IFERROR(INDEX('Retirement Calculator'!J:J,MATCH('Isaac 401k'!N1452,'Retirement Calculator'!A:A,0),0),0)</f>
        <v>0</v>
      </c>
      <c r="K1452" s="455">
        <f t="shared" ca="1" si="126"/>
        <v>676810.05613617261</v>
      </c>
      <c r="L1452" s="455">
        <f t="shared" ca="1" si="127"/>
        <v>163111223.52881759</v>
      </c>
      <c r="M1452" s="471">
        <f t="shared" si="129"/>
        <v>0.05</v>
      </c>
      <c r="N1452" s="475">
        <f t="shared" si="130"/>
        <v>95239</v>
      </c>
    </row>
    <row r="1453" spans="7:14" ht="11.25" customHeight="1" x14ac:dyDescent="0.3">
      <c r="G1453" s="470"/>
      <c r="H1453" s="470">
        <v>1446</v>
      </c>
      <c r="I1453" s="455">
        <f t="shared" ca="1" si="128"/>
        <v>163111223.52881759</v>
      </c>
      <c r="J1453" s="455">
        <f t="array" ref="J1453">IFERROR(INDEX('Retirement Calculator'!J:J,MATCH('Isaac 401k'!N1453,'Retirement Calculator'!A:A,0),0),0)</f>
        <v>0</v>
      </c>
      <c r="K1453" s="455">
        <f t="shared" ca="1" si="126"/>
        <v>679630.09803673998</v>
      </c>
      <c r="L1453" s="455">
        <f t="shared" ca="1" si="127"/>
        <v>163790853.62685433</v>
      </c>
      <c r="M1453" s="471">
        <f t="shared" si="129"/>
        <v>0.05</v>
      </c>
      <c r="N1453" s="475">
        <f t="shared" si="130"/>
        <v>95270</v>
      </c>
    </row>
    <row r="1454" spans="7:14" ht="11.25" customHeight="1" x14ac:dyDescent="0.3">
      <c r="G1454" s="470"/>
      <c r="H1454" s="470">
        <v>1447</v>
      </c>
      <c r="I1454" s="455">
        <f t="shared" ca="1" si="128"/>
        <v>163790853.62685433</v>
      </c>
      <c r="J1454" s="455">
        <f t="array" ref="J1454">IFERROR(INDEX('Retirement Calculator'!J:J,MATCH('Isaac 401k'!N1454,'Retirement Calculator'!A:A,0),0),0)</f>
        <v>0</v>
      </c>
      <c r="K1454" s="455">
        <f t="shared" ca="1" si="126"/>
        <v>682461.89011189307</v>
      </c>
      <c r="L1454" s="455">
        <f t="shared" ca="1" si="127"/>
        <v>164473315.51696622</v>
      </c>
      <c r="M1454" s="471">
        <f t="shared" si="129"/>
        <v>0.05</v>
      </c>
      <c r="N1454" s="475">
        <f t="shared" si="130"/>
        <v>95300</v>
      </c>
    </row>
    <row r="1455" spans="7:14" ht="11.25" customHeight="1" x14ac:dyDescent="0.3">
      <c r="G1455" s="470"/>
      <c r="H1455" s="470">
        <v>1448</v>
      </c>
      <c r="I1455" s="455">
        <f t="shared" ca="1" si="128"/>
        <v>164473315.51696622</v>
      </c>
      <c r="J1455" s="455">
        <f t="array" ref="J1455">IFERROR(INDEX('Retirement Calculator'!J:J,MATCH('Isaac 401k'!N1455,'Retirement Calculator'!A:A,0),0),0)</f>
        <v>0</v>
      </c>
      <c r="K1455" s="455">
        <f t="shared" ca="1" si="126"/>
        <v>685305.48132069258</v>
      </c>
      <c r="L1455" s="455">
        <f t="shared" ca="1" si="127"/>
        <v>165158620.9982869</v>
      </c>
      <c r="M1455" s="471">
        <f t="shared" si="129"/>
        <v>0.05</v>
      </c>
      <c r="N1455" s="475">
        <f t="shared" si="130"/>
        <v>95331</v>
      </c>
    </row>
    <row r="1456" spans="7:14" ht="11.25" customHeight="1" x14ac:dyDescent="0.3">
      <c r="G1456" s="470"/>
      <c r="H1456" s="470">
        <v>1449</v>
      </c>
      <c r="I1456" s="455">
        <f t="shared" ca="1" si="128"/>
        <v>165158620.9982869</v>
      </c>
      <c r="J1456" s="455">
        <f t="array" ref="J1456">IFERROR(INDEX('Retirement Calculator'!J:J,MATCH('Isaac 401k'!N1456,'Retirement Calculator'!A:A,0),0),0)</f>
        <v>0</v>
      </c>
      <c r="K1456" s="455">
        <f t="shared" ca="1" si="126"/>
        <v>688160.92082619539</v>
      </c>
      <c r="L1456" s="455">
        <f t="shared" ca="1" si="127"/>
        <v>165846781.9191131</v>
      </c>
      <c r="M1456" s="471">
        <f t="shared" si="129"/>
        <v>0.05</v>
      </c>
      <c r="N1456" s="475">
        <f t="shared" si="130"/>
        <v>95362</v>
      </c>
    </row>
    <row r="1457" spans="7:14" ht="11.25" customHeight="1" x14ac:dyDescent="0.3">
      <c r="G1457" s="470"/>
      <c r="H1457" s="470">
        <v>1450</v>
      </c>
      <c r="I1457" s="455">
        <f t="shared" ca="1" si="128"/>
        <v>165846781.9191131</v>
      </c>
      <c r="J1457" s="455">
        <f t="array" ref="J1457">IFERROR(INDEX('Retirement Calculator'!J:J,MATCH('Isaac 401k'!N1457,'Retirement Calculator'!A:A,0),0),0)</f>
        <v>0</v>
      </c>
      <c r="K1457" s="455">
        <f t="shared" ca="1" si="126"/>
        <v>691028.25799630454</v>
      </c>
      <c r="L1457" s="455">
        <f t="shared" ca="1" si="127"/>
        <v>166537810.17710939</v>
      </c>
      <c r="M1457" s="471">
        <f t="shared" si="129"/>
        <v>0.05</v>
      </c>
      <c r="N1457" s="475">
        <f t="shared" si="130"/>
        <v>95390</v>
      </c>
    </row>
    <row r="1458" spans="7:14" ht="11.25" customHeight="1" x14ac:dyDescent="0.3">
      <c r="G1458" s="470"/>
      <c r="H1458" s="470">
        <v>1451</v>
      </c>
      <c r="I1458" s="455">
        <f t="shared" ca="1" si="128"/>
        <v>166537810.17710939</v>
      </c>
      <c r="J1458" s="455">
        <f t="array" ref="J1458">IFERROR(INDEX('Retirement Calculator'!J:J,MATCH('Isaac 401k'!N1458,'Retirement Calculator'!A:A,0),0),0)</f>
        <v>0</v>
      </c>
      <c r="K1458" s="455">
        <f t="shared" ca="1" si="126"/>
        <v>693907.54240462242</v>
      </c>
      <c r="L1458" s="455">
        <f t="shared" ca="1" si="127"/>
        <v>167231717.71951401</v>
      </c>
      <c r="M1458" s="471">
        <f t="shared" si="129"/>
        <v>0.05</v>
      </c>
      <c r="N1458" s="475">
        <f t="shared" si="130"/>
        <v>95421</v>
      </c>
    </row>
    <row r="1459" spans="7:14" ht="11.25" customHeight="1" x14ac:dyDescent="0.3">
      <c r="G1459" s="470"/>
      <c r="H1459" s="470">
        <v>1452</v>
      </c>
      <c r="I1459" s="455">
        <f t="shared" ca="1" si="128"/>
        <v>167231717.71951401</v>
      </c>
      <c r="J1459" s="455">
        <f t="array" ref="J1459">IFERROR(INDEX('Retirement Calculator'!J:J,MATCH('Isaac 401k'!N1459,'Retirement Calculator'!A:A,0),0),0)</f>
        <v>0</v>
      </c>
      <c r="K1459" s="455">
        <f t="shared" ca="1" si="126"/>
        <v>696798.8238313084</v>
      </c>
      <c r="L1459" s="455">
        <f t="shared" ca="1" si="127"/>
        <v>167928516.54334533</v>
      </c>
      <c r="M1459" s="471">
        <f t="shared" si="129"/>
        <v>0.05</v>
      </c>
      <c r="N1459" s="475">
        <f t="shared" si="130"/>
        <v>95451</v>
      </c>
    </row>
    <row r="1460" spans="7:14" ht="11.25" customHeight="1" x14ac:dyDescent="0.3">
      <c r="G1460" s="470"/>
      <c r="H1460" s="470">
        <v>1453</v>
      </c>
      <c r="I1460" s="455">
        <f t="shared" ca="1" si="128"/>
        <v>167928516.54334533</v>
      </c>
      <c r="J1460" s="455">
        <f t="array" ref="J1460">IFERROR(INDEX('Retirement Calculator'!J:J,MATCH('Isaac 401k'!N1460,'Retirement Calculator'!A:A,0),0),0)</f>
        <v>0</v>
      </c>
      <c r="K1460" s="455">
        <f t="shared" ca="1" si="126"/>
        <v>699702.15226393891</v>
      </c>
      <c r="L1460" s="455">
        <f t="shared" ca="1" si="127"/>
        <v>168628218.69560927</v>
      </c>
      <c r="M1460" s="471">
        <f t="shared" si="129"/>
        <v>0.05</v>
      </c>
      <c r="N1460" s="475">
        <f t="shared" si="130"/>
        <v>95482</v>
      </c>
    </row>
    <row r="1461" spans="7:14" ht="11.25" customHeight="1" x14ac:dyDescent="0.3">
      <c r="G1461" s="470"/>
      <c r="H1461" s="470">
        <v>1454</v>
      </c>
      <c r="I1461" s="455">
        <f t="shared" ca="1" si="128"/>
        <v>168628218.69560927</v>
      </c>
      <c r="J1461" s="455">
        <f t="array" ref="J1461">IFERROR(INDEX('Retirement Calculator'!J:J,MATCH('Isaac 401k'!N1461,'Retirement Calculator'!A:A,0),0),0)</f>
        <v>0</v>
      </c>
      <c r="K1461" s="455">
        <f t="shared" ca="1" si="126"/>
        <v>702617.57789837196</v>
      </c>
      <c r="L1461" s="455">
        <f t="shared" ca="1" si="127"/>
        <v>169330836.27350765</v>
      </c>
      <c r="M1461" s="471">
        <f t="shared" si="129"/>
        <v>0.05</v>
      </c>
      <c r="N1461" s="475">
        <f t="shared" si="130"/>
        <v>95512</v>
      </c>
    </row>
    <row r="1462" spans="7:14" ht="11.25" customHeight="1" x14ac:dyDescent="0.3">
      <c r="G1462" s="470"/>
      <c r="H1462" s="470">
        <v>1455</v>
      </c>
      <c r="I1462" s="455">
        <f t="shared" ca="1" si="128"/>
        <v>169330836.27350765</v>
      </c>
      <c r="J1462" s="455">
        <f t="array" ref="J1462">IFERROR(INDEX('Retirement Calculator'!J:J,MATCH('Isaac 401k'!N1462,'Retirement Calculator'!A:A,0),0),0)</f>
        <v>0</v>
      </c>
      <c r="K1462" s="455">
        <f t="shared" ca="1" si="126"/>
        <v>705545.15113961522</v>
      </c>
      <c r="L1462" s="455">
        <f t="shared" ca="1" si="127"/>
        <v>170036381.42464727</v>
      </c>
      <c r="M1462" s="471">
        <f t="shared" si="129"/>
        <v>0.05</v>
      </c>
      <c r="N1462" s="475">
        <f t="shared" si="130"/>
        <v>95543</v>
      </c>
    </row>
    <row r="1463" spans="7:14" ht="11.25" customHeight="1" x14ac:dyDescent="0.3">
      <c r="G1463" s="470"/>
      <c r="H1463" s="470">
        <v>1456</v>
      </c>
      <c r="I1463" s="455">
        <f t="shared" ca="1" si="128"/>
        <v>170036381.42464727</v>
      </c>
      <c r="J1463" s="455">
        <f t="array" ref="J1463">IFERROR(INDEX('Retirement Calculator'!J:J,MATCH('Isaac 401k'!N1463,'Retirement Calculator'!A:A,0),0),0)</f>
        <v>0</v>
      </c>
      <c r="K1463" s="455">
        <f t="shared" ca="1" si="126"/>
        <v>708484.92260269693</v>
      </c>
      <c r="L1463" s="455">
        <f t="shared" ca="1" si="127"/>
        <v>170744866.34724995</v>
      </c>
      <c r="M1463" s="471">
        <f t="shared" si="129"/>
        <v>0.05</v>
      </c>
      <c r="N1463" s="475">
        <f t="shared" si="130"/>
        <v>95574</v>
      </c>
    </row>
    <row r="1464" spans="7:14" ht="11.25" customHeight="1" x14ac:dyDescent="0.3">
      <c r="G1464" s="470"/>
      <c r="H1464" s="470">
        <v>1457</v>
      </c>
      <c r="I1464" s="455">
        <f t="shared" ca="1" si="128"/>
        <v>170744866.34724995</v>
      </c>
      <c r="J1464" s="455">
        <f t="array" ref="J1464">IFERROR(INDEX('Retirement Calculator'!J:J,MATCH('Isaac 401k'!N1464,'Retirement Calculator'!A:A,0),0),0)</f>
        <v>0</v>
      </c>
      <c r="K1464" s="455">
        <f t="shared" ca="1" si="126"/>
        <v>711436.94311354146</v>
      </c>
      <c r="L1464" s="455">
        <f t="shared" ca="1" si="127"/>
        <v>171456303.29036349</v>
      </c>
      <c r="M1464" s="471">
        <f t="shared" si="129"/>
        <v>0.05</v>
      </c>
      <c r="N1464" s="475">
        <f t="shared" si="130"/>
        <v>95604</v>
      </c>
    </row>
    <row r="1465" spans="7:14" ht="11.25" customHeight="1" x14ac:dyDescent="0.3">
      <c r="G1465" s="470"/>
      <c r="H1465" s="470">
        <v>1458</v>
      </c>
      <c r="I1465" s="455">
        <f t="shared" ca="1" si="128"/>
        <v>171456303.29036349</v>
      </c>
      <c r="J1465" s="455">
        <f t="array" ref="J1465">IFERROR(INDEX('Retirement Calculator'!J:J,MATCH('Isaac 401k'!N1465,'Retirement Calculator'!A:A,0),0),0)</f>
        <v>0</v>
      </c>
      <c r="K1465" s="455">
        <f t="shared" ca="1" si="126"/>
        <v>714401.26370984782</v>
      </c>
      <c r="L1465" s="455">
        <f t="shared" ca="1" si="127"/>
        <v>172170704.55407333</v>
      </c>
      <c r="M1465" s="471">
        <f t="shared" si="129"/>
        <v>0.05</v>
      </c>
      <c r="N1465" s="475">
        <f t="shared" si="130"/>
        <v>95635</v>
      </c>
    </row>
    <row r="1466" spans="7:14" ht="11.25" customHeight="1" x14ac:dyDescent="0.3">
      <c r="G1466" s="470"/>
      <c r="H1466" s="470">
        <v>1459</v>
      </c>
      <c r="I1466" s="455">
        <f t="shared" ca="1" si="128"/>
        <v>172170704.55407333</v>
      </c>
      <c r="J1466" s="455">
        <f t="array" ref="J1466">IFERROR(INDEX('Retirement Calculator'!J:J,MATCH('Isaac 401k'!N1466,'Retirement Calculator'!A:A,0),0),0)</f>
        <v>0</v>
      </c>
      <c r="K1466" s="455">
        <f t="shared" ca="1" si="126"/>
        <v>717377.93564197223</v>
      </c>
      <c r="L1466" s="455">
        <f t="shared" ca="1" si="127"/>
        <v>172888082.48971531</v>
      </c>
      <c r="M1466" s="471">
        <f t="shared" si="129"/>
        <v>0.05</v>
      </c>
      <c r="N1466" s="475">
        <f t="shared" si="130"/>
        <v>95665</v>
      </c>
    </row>
    <row r="1467" spans="7:14" ht="11.25" customHeight="1" x14ac:dyDescent="0.3">
      <c r="G1467" s="470"/>
      <c r="H1467" s="470">
        <v>1460</v>
      </c>
      <c r="I1467" s="455">
        <f t="shared" ca="1" si="128"/>
        <v>172888082.48971531</v>
      </c>
      <c r="J1467" s="455">
        <f t="array" ref="J1467">IFERROR(INDEX('Retirement Calculator'!J:J,MATCH('Isaac 401k'!N1467,'Retirement Calculator'!A:A,0),0),0)</f>
        <v>0</v>
      </c>
      <c r="K1467" s="455">
        <f t="shared" ca="1" si="126"/>
        <v>720367.0103738138</v>
      </c>
      <c r="L1467" s="455">
        <f t="shared" ca="1" si="127"/>
        <v>173608449.50008911</v>
      </c>
      <c r="M1467" s="471">
        <f t="shared" si="129"/>
        <v>0.05</v>
      </c>
      <c r="N1467" s="475">
        <f t="shared" si="130"/>
        <v>95696</v>
      </c>
    </row>
    <row r="1468" spans="7:14" ht="11.25" customHeight="1" x14ac:dyDescent="0.3">
      <c r="G1468" s="470"/>
      <c r="H1468" s="470">
        <v>1461</v>
      </c>
      <c r="I1468" s="455">
        <f t="shared" ca="1" si="128"/>
        <v>173608449.50008911</v>
      </c>
      <c r="J1468" s="455">
        <f t="array" ref="J1468">IFERROR(INDEX('Retirement Calculator'!J:J,MATCH('Isaac 401k'!N1468,'Retirement Calculator'!A:A,0),0),0)</f>
        <v>0</v>
      </c>
      <c r="K1468" s="455">
        <f t="shared" ca="1" si="126"/>
        <v>723368.53958370467</v>
      </c>
      <c r="L1468" s="455">
        <f t="shared" ca="1" si="127"/>
        <v>174331818.03967282</v>
      </c>
      <c r="M1468" s="471">
        <f t="shared" si="129"/>
        <v>0.05</v>
      </c>
      <c r="N1468" s="475">
        <f t="shared" si="130"/>
        <v>95727</v>
      </c>
    </row>
    <row r="1469" spans="7:14" ht="11.25" customHeight="1" x14ac:dyDescent="0.3">
      <c r="G1469" s="470"/>
      <c r="H1469" s="470">
        <v>1462</v>
      </c>
      <c r="I1469" s="455">
        <f t="shared" ca="1" si="128"/>
        <v>174331818.03967282</v>
      </c>
      <c r="J1469" s="455">
        <f t="array" ref="J1469">IFERROR(INDEX('Retirement Calculator'!J:J,MATCH('Isaac 401k'!N1469,'Retirement Calculator'!A:A,0),0),0)</f>
        <v>0</v>
      </c>
      <c r="K1469" s="455">
        <f t="shared" ca="1" si="126"/>
        <v>726382.57516530342</v>
      </c>
      <c r="L1469" s="455">
        <f t="shared" ca="1" si="127"/>
        <v>175058200.61483812</v>
      </c>
      <c r="M1469" s="471">
        <f t="shared" si="129"/>
        <v>0.05</v>
      </c>
      <c r="N1469" s="475">
        <f t="shared" si="130"/>
        <v>95755</v>
      </c>
    </row>
    <row r="1470" spans="7:14" ht="11.25" customHeight="1" x14ac:dyDescent="0.3">
      <c r="G1470" s="470"/>
      <c r="H1470" s="470">
        <v>1463</v>
      </c>
      <c r="I1470" s="455">
        <f t="shared" ca="1" si="128"/>
        <v>175058200.61483812</v>
      </c>
      <c r="J1470" s="455">
        <f t="array" ref="J1470">IFERROR(INDEX('Retirement Calculator'!J:J,MATCH('Isaac 401k'!N1470,'Retirement Calculator'!A:A,0),0),0)</f>
        <v>0</v>
      </c>
      <c r="K1470" s="455">
        <f t="shared" ca="1" si="126"/>
        <v>729409.16922849219</v>
      </c>
      <c r="L1470" s="455">
        <f t="shared" ca="1" si="127"/>
        <v>175787609.78406662</v>
      </c>
      <c r="M1470" s="471">
        <f t="shared" si="129"/>
        <v>0.05</v>
      </c>
      <c r="N1470" s="475">
        <f t="shared" si="130"/>
        <v>95786</v>
      </c>
    </row>
    <row r="1471" spans="7:14" ht="11.25" customHeight="1" x14ac:dyDescent="0.3">
      <c r="G1471" s="470"/>
      <c r="H1471" s="470">
        <v>1464</v>
      </c>
      <c r="I1471" s="455">
        <f t="shared" ca="1" si="128"/>
        <v>175787609.78406662</v>
      </c>
      <c r="J1471" s="455">
        <f t="array" ref="J1471">IFERROR(INDEX('Retirement Calculator'!J:J,MATCH('Isaac 401k'!N1471,'Retirement Calculator'!A:A,0),0),0)</f>
        <v>0</v>
      </c>
      <c r="K1471" s="455">
        <f t="shared" ca="1" si="126"/>
        <v>732448.37410027755</v>
      </c>
      <c r="L1471" s="455">
        <f t="shared" ca="1" si="127"/>
        <v>176520058.15816689</v>
      </c>
      <c r="M1471" s="471">
        <f t="shared" si="129"/>
        <v>0.05</v>
      </c>
      <c r="N1471" s="475">
        <f t="shared" si="130"/>
        <v>95816</v>
      </c>
    </row>
    <row r="1472" spans="7:14" ht="11.25" customHeight="1" x14ac:dyDescent="0.3">
      <c r="G1472" s="470"/>
      <c r="H1472" s="470">
        <v>1465</v>
      </c>
      <c r="I1472" s="455">
        <f t="shared" ca="1" si="128"/>
        <v>176520058.15816689</v>
      </c>
      <c r="J1472" s="455">
        <f t="array" ref="J1472">IFERROR(INDEX('Retirement Calculator'!J:J,MATCH('Isaac 401k'!N1472,'Retirement Calculator'!A:A,0),0),0)</f>
        <v>0</v>
      </c>
      <c r="K1472" s="455">
        <f t="shared" ca="1" si="126"/>
        <v>735500.24232569535</v>
      </c>
      <c r="L1472" s="455">
        <f t="shared" ca="1" si="127"/>
        <v>177255558.40049258</v>
      </c>
      <c r="M1472" s="471">
        <f t="shared" si="129"/>
        <v>0.05</v>
      </c>
      <c r="N1472" s="475">
        <f t="shared" si="130"/>
        <v>95847</v>
      </c>
    </row>
    <row r="1473" spans="7:14" ht="11.25" customHeight="1" x14ac:dyDescent="0.3">
      <c r="G1473" s="470"/>
      <c r="H1473" s="470">
        <v>1466</v>
      </c>
      <c r="I1473" s="455">
        <f t="shared" ca="1" si="128"/>
        <v>177255558.40049258</v>
      </c>
      <c r="J1473" s="455">
        <f t="array" ref="J1473">IFERROR(INDEX('Retirement Calculator'!J:J,MATCH('Isaac 401k'!N1473,'Retirement Calculator'!A:A,0),0),0)</f>
        <v>0</v>
      </c>
      <c r="K1473" s="455">
        <f t="shared" ca="1" si="126"/>
        <v>738564.82666871906</v>
      </c>
      <c r="L1473" s="455">
        <f t="shared" ca="1" si="127"/>
        <v>177994123.22716129</v>
      </c>
      <c r="M1473" s="471">
        <f t="shared" si="129"/>
        <v>0.05</v>
      </c>
      <c r="N1473" s="475">
        <f t="shared" si="130"/>
        <v>95877</v>
      </c>
    </row>
    <row r="1474" spans="7:14" ht="11.25" customHeight="1" x14ac:dyDescent="0.3">
      <c r="G1474" s="470"/>
      <c r="H1474" s="470">
        <v>1467</v>
      </c>
      <c r="I1474" s="455">
        <f t="shared" ca="1" si="128"/>
        <v>177994123.22716129</v>
      </c>
      <c r="J1474" s="455">
        <f t="array" ref="J1474">IFERROR(INDEX('Retirement Calculator'!J:J,MATCH('Isaac 401k'!N1474,'Retirement Calculator'!A:A,0),0),0)</f>
        <v>0</v>
      </c>
      <c r="K1474" s="455">
        <f t="shared" ca="1" si="126"/>
        <v>741642.18011317204</v>
      </c>
      <c r="L1474" s="455">
        <f t="shared" ca="1" si="127"/>
        <v>178735765.40727445</v>
      </c>
      <c r="M1474" s="471">
        <f t="shared" si="129"/>
        <v>0.05</v>
      </c>
      <c r="N1474" s="475">
        <f t="shared" si="130"/>
        <v>95908</v>
      </c>
    </row>
    <row r="1475" spans="7:14" ht="11.25" customHeight="1" x14ac:dyDescent="0.3">
      <c r="G1475" s="470"/>
      <c r="H1475" s="470">
        <v>1468</v>
      </c>
      <c r="I1475" s="455">
        <f t="shared" ca="1" si="128"/>
        <v>178735765.40727445</v>
      </c>
      <c r="J1475" s="455">
        <f t="array" ref="J1475">IFERROR(INDEX('Retirement Calculator'!J:J,MATCH('Isaac 401k'!N1475,'Retirement Calculator'!A:A,0),0),0)</f>
        <v>0</v>
      </c>
      <c r="K1475" s="455">
        <f t="shared" ca="1" si="126"/>
        <v>744732.35586364358</v>
      </c>
      <c r="L1475" s="455">
        <f t="shared" ca="1" si="127"/>
        <v>179480497.76313809</v>
      </c>
      <c r="M1475" s="471">
        <f t="shared" si="129"/>
        <v>0.05</v>
      </c>
      <c r="N1475" s="475">
        <f t="shared" si="130"/>
        <v>95939</v>
      </c>
    </row>
    <row r="1476" spans="7:14" ht="11.25" customHeight="1" x14ac:dyDescent="0.3">
      <c r="G1476" s="470"/>
      <c r="H1476" s="470">
        <v>1469</v>
      </c>
      <c r="I1476" s="455">
        <f t="shared" ca="1" si="128"/>
        <v>179480497.76313809</v>
      </c>
      <c r="J1476" s="455">
        <f t="array" ref="J1476">IFERROR(INDEX('Retirement Calculator'!J:J,MATCH('Isaac 401k'!N1476,'Retirement Calculator'!A:A,0),0),0)</f>
        <v>0</v>
      </c>
      <c r="K1476" s="455">
        <f t="shared" ca="1" si="126"/>
        <v>747835.4073464087</v>
      </c>
      <c r="L1476" s="455">
        <f t="shared" ca="1" si="127"/>
        <v>180228333.17048448</v>
      </c>
      <c r="M1476" s="471">
        <f t="shared" si="129"/>
        <v>0.05</v>
      </c>
      <c r="N1476" s="475">
        <f t="shared" si="130"/>
        <v>95969</v>
      </c>
    </row>
    <row r="1477" spans="7:14" ht="11.25" customHeight="1" x14ac:dyDescent="0.3">
      <c r="G1477" s="470"/>
      <c r="H1477" s="470">
        <v>1470</v>
      </c>
      <c r="I1477" s="455">
        <f t="shared" ca="1" si="128"/>
        <v>180228333.17048448</v>
      </c>
      <c r="J1477" s="455">
        <f t="array" ref="J1477">IFERROR(INDEX('Retirement Calculator'!J:J,MATCH('Isaac 401k'!N1477,'Retirement Calculator'!A:A,0),0),0)</f>
        <v>0</v>
      </c>
      <c r="K1477" s="455">
        <f t="shared" ca="1" si="126"/>
        <v>750951.38821035204</v>
      </c>
      <c r="L1477" s="455">
        <f t="shared" ca="1" si="127"/>
        <v>180979284.55869484</v>
      </c>
      <c r="M1477" s="471">
        <f t="shared" si="129"/>
        <v>0.05</v>
      </c>
      <c r="N1477" s="475">
        <f t="shared" si="130"/>
        <v>96000</v>
      </c>
    </row>
    <row r="1478" spans="7:14" ht="11.25" customHeight="1" x14ac:dyDescent="0.3">
      <c r="G1478" s="470"/>
      <c r="H1478" s="470">
        <v>1471</v>
      </c>
      <c r="I1478" s="455">
        <f t="shared" ca="1" si="128"/>
        <v>180979284.55869484</v>
      </c>
      <c r="J1478" s="455">
        <f t="array" ref="J1478">IFERROR(INDEX('Retirement Calculator'!J:J,MATCH('Isaac 401k'!N1478,'Retirement Calculator'!A:A,0),0),0)</f>
        <v>0</v>
      </c>
      <c r="K1478" s="455">
        <f t="shared" ca="1" si="126"/>
        <v>754080.35232789512</v>
      </c>
      <c r="L1478" s="455">
        <f t="shared" ca="1" si="127"/>
        <v>181733364.91102272</v>
      </c>
      <c r="M1478" s="471">
        <f t="shared" si="129"/>
        <v>0.05</v>
      </c>
      <c r="N1478" s="475">
        <f t="shared" si="130"/>
        <v>96030</v>
      </c>
    </row>
    <row r="1479" spans="7:14" ht="11.25" customHeight="1" x14ac:dyDescent="0.3">
      <c r="G1479" s="470"/>
      <c r="H1479" s="470">
        <v>1472</v>
      </c>
      <c r="I1479" s="455">
        <f t="shared" ca="1" si="128"/>
        <v>181733364.91102272</v>
      </c>
      <c r="J1479" s="455">
        <f t="array" ref="J1479">IFERROR(INDEX('Retirement Calculator'!J:J,MATCH('Isaac 401k'!N1479,'Retirement Calculator'!A:A,0),0),0)</f>
        <v>0</v>
      </c>
      <c r="K1479" s="455">
        <f t="shared" ca="1" si="126"/>
        <v>757222.35379592795</v>
      </c>
      <c r="L1479" s="455">
        <f t="shared" ca="1" si="127"/>
        <v>182490587.26481864</v>
      </c>
      <c r="M1479" s="471">
        <f t="shared" si="129"/>
        <v>0.05</v>
      </c>
      <c r="N1479" s="475">
        <f t="shared" si="130"/>
        <v>96061</v>
      </c>
    </row>
    <row r="1480" spans="7:14" ht="11.25" customHeight="1" x14ac:dyDescent="0.3">
      <c r="G1480" s="470"/>
      <c r="H1480" s="470">
        <v>1473</v>
      </c>
      <c r="I1480" s="455">
        <f t="shared" ca="1" si="128"/>
        <v>182490587.26481864</v>
      </c>
      <c r="J1480" s="455">
        <f t="array" ref="J1480">IFERROR(INDEX('Retirement Calculator'!J:J,MATCH('Isaac 401k'!N1480,'Retirement Calculator'!A:A,0),0),0)</f>
        <v>0</v>
      </c>
      <c r="K1480" s="455">
        <f t="shared" ca="1" si="126"/>
        <v>760377.44693674427</v>
      </c>
      <c r="L1480" s="455">
        <f t="shared" ca="1" si="127"/>
        <v>183250964.71175539</v>
      </c>
      <c r="M1480" s="471">
        <f t="shared" si="129"/>
        <v>0.05</v>
      </c>
      <c r="N1480" s="475">
        <f t="shared" si="130"/>
        <v>96092</v>
      </c>
    </row>
    <row r="1481" spans="7:14" ht="11.25" customHeight="1" x14ac:dyDescent="0.3">
      <c r="G1481" s="470"/>
      <c r="H1481" s="470">
        <v>1474</v>
      </c>
      <c r="I1481" s="455">
        <f t="shared" ca="1" si="128"/>
        <v>183250964.71175539</v>
      </c>
      <c r="J1481" s="455">
        <f t="array" ref="J1481">IFERROR(INDEX('Retirement Calculator'!J:J,MATCH('Isaac 401k'!N1481,'Retirement Calculator'!A:A,0),0),0)</f>
        <v>0</v>
      </c>
      <c r="K1481" s="455">
        <f t="shared" ca="1" si="126"/>
        <v>763545.68629898084</v>
      </c>
      <c r="L1481" s="455">
        <f t="shared" ca="1" si="127"/>
        <v>184014510.39805436</v>
      </c>
      <c r="M1481" s="471">
        <f t="shared" si="129"/>
        <v>0.05</v>
      </c>
      <c r="N1481" s="475">
        <f t="shared" si="130"/>
        <v>96120</v>
      </c>
    </row>
    <row r="1482" spans="7:14" ht="11.25" customHeight="1" x14ac:dyDescent="0.3">
      <c r="G1482" s="470"/>
      <c r="H1482" s="470">
        <v>1475</v>
      </c>
      <c r="I1482" s="455">
        <f t="shared" ca="1" si="128"/>
        <v>184014510.39805436</v>
      </c>
      <c r="J1482" s="455">
        <f t="array" ref="J1482">IFERROR(INDEX('Retirement Calculator'!J:J,MATCH('Isaac 401k'!N1482,'Retirement Calculator'!A:A,0),0),0)</f>
        <v>0</v>
      </c>
      <c r="K1482" s="455">
        <f t="shared" ca="1" si="126"/>
        <v>766727.12665855978</v>
      </c>
      <c r="L1482" s="455">
        <f t="shared" ca="1" si="127"/>
        <v>184781237.52471292</v>
      </c>
      <c r="M1482" s="471">
        <f t="shared" si="129"/>
        <v>0.05</v>
      </c>
      <c r="N1482" s="475">
        <f t="shared" si="130"/>
        <v>96151</v>
      </c>
    </row>
    <row r="1483" spans="7:14" ht="11.25" customHeight="1" x14ac:dyDescent="0.3">
      <c r="G1483" s="470"/>
      <c r="H1483" s="470">
        <v>1476</v>
      </c>
      <c r="I1483" s="455">
        <f t="shared" ca="1" si="128"/>
        <v>184781237.52471292</v>
      </c>
      <c r="J1483" s="455">
        <f t="array" ref="J1483">IFERROR(INDEX('Retirement Calculator'!J:J,MATCH('Isaac 401k'!N1483,'Retirement Calculator'!A:A,0),0),0)</f>
        <v>0</v>
      </c>
      <c r="K1483" s="455">
        <f t="shared" ca="1" si="126"/>
        <v>769921.82301963714</v>
      </c>
      <c r="L1483" s="455">
        <f t="shared" ca="1" si="127"/>
        <v>185551159.34773254</v>
      </c>
      <c r="M1483" s="471">
        <f t="shared" si="129"/>
        <v>0.05</v>
      </c>
      <c r="N1483" s="475">
        <f t="shared" si="130"/>
        <v>96181</v>
      </c>
    </row>
    <row r="1484" spans="7:14" ht="11.25" customHeight="1" x14ac:dyDescent="0.3">
      <c r="G1484" s="470"/>
      <c r="H1484" s="470">
        <v>1477</v>
      </c>
      <c r="I1484" s="455">
        <f t="shared" ca="1" si="128"/>
        <v>185551159.34773254</v>
      </c>
      <c r="J1484" s="455">
        <f t="array" ref="J1484">IFERROR(INDEX('Retirement Calculator'!J:J,MATCH('Isaac 401k'!N1484,'Retirement Calculator'!A:A,0),0),0)</f>
        <v>0</v>
      </c>
      <c r="K1484" s="455">
        <f t="shared" ca="1" si="126"/>
        <v>773129.83061555226</v>
      </c>
      <c r="L1484" s="455">
        <f t="shared" ca="1" si="127"/>
        <v>186324289.17834809</v>
      </c>
      <c r="M1484" s="471">
        <f t="shared" si="129"/>
        <v>0.05</v>
      </c>
      <c r="N1484" s="475">
        <f t="shared" si="130"/>
        <v>96212</v>
      </c>
    </row>
    <row r="1485" spans="7:14" ht="11.25" customHeight="1" x14ac:dyDescent="0.3">
      <c r="G1485" s="470"/>
      <c r="H1485" s="470">
        <v>1478</v>
      </c>
      <c r="I1485" s="455">
        <f t="shared" ca="1" si="128"/>
        <v>186324289.17834809</v>
      </c>
      <c r="J1485" s="455">
        <f t="array" ref="J1485">IFERROR(INDEX('Retirement Calculator'!J:J,MATCH('Isaac 401k'!N1485,'Retirement Calculator'!A:A,0),0),0)</f>
        <v>0</v>
      </c>
      <c r="K1485" s="455">
        <f t="shared" ca="1" si="126"/>
        <v>776351.20490978367</v>
      </c>
      <c r="L1485" s="455">
        <f t="shared" ca="1" si="127"/>
        <v>187100640.38325787</v>
      </c>
      <c r="M1485" s="471">
        <f t="shared" si="129"/>
        <v>0.05</v>
      </c>
      <c r="N1485" s="475">
        <f t="shared" si="130"/>
        <v>96242</v>
      </c>
    </row>
    <row r="1486" spans="7:14" ht="11.25" customHeight="1" x14ac:dyDescent="0.3">
      <c r="G1486" s="470"/>
      <c r="H1486" s="470">
        <v>1479</v>
      </c>
      <c r="I1486" s="455">
        <f t="shared" ca="1" si="128"/>
        <v>187100640.38325787</v>
      </c>
      <c r="J1486" s="455">
        <f t="array" ref="J1486">IFERROR(INDEX('Retirement Calculator'!J:J,MATCH('Isaac 401k'!N1486,'Retirement Calculator'!A:A,0),0),0)</f>
        <v>0</v>
      </c>
      <c r="K1486" s="455">
        <f t="shared" ca="1" si="126"/>
        <v>779586.00159690774</v>
      </c>
      <c r="L1486" s="455">
        <f t="shared" ca="1" si="127"/>
        <v>187880226.38485476</v>
      </c>
      <c r="M1486" s="471">
        <f t="shared" si="129"/>
        <v>0.05</v>
      </c>
      <c r="N1486" s="475">
        <f t="shared" si="130"/>
        <v>96273</v>
      </c>
    </row>
    <row r="1487" spans="7:14" ht="11.25" customHeight="1" x14ac:dyDescent="0.3">
      <c r="G1487" s="470"/>
      <c r="H1487" s="470">
        <v>1480</v>
      </c>
      <c r="I1487" s="455">
        <f t="shared" ca="1" si="128"/>
        <v>187880226.38485476</v>
      </c>
      <c r="J1487" s="455">
        <f t="array" ref="J1487">IFERROR(INDEX('Retirement Calculator'!J:J,MATCH('Isaac 401k'!N1487,'Retirement Calculator'!A:A,0),0),0)</f>
        <v>0</v>
      </c>
      <c r="K1487" s="455">
        <f t="shared" ca="1" si="126"/>
        <v>782834.27660356148</v>
      </c>
      <c r="L1487" s="455">
        <f t="shared" ca="1" si="127"/>
        <v>188663060.66145831</v>
      </c>
      <c r="M1487" s="471">
        <f t="shared" si="129"/>
        <v>0.05</v>
      </c>
      <c r="N1487" s="475">
        <f t="shared" si="130"/>
        <v>96304</v>
      </c>
    </row>
    <row r="1488" spans="7:14" ht="11.25" customHeight="1" x14ac:dyDescent="0.3">
      <c r="G1488" s="470"/>
      <c r="H1488" s="470">
        <v>1481</v>
      </c>
      <c r="I1488" s="455">
        <f t="shared" ca="1" si="128"/>
        <v>188663060.66145831</v>
      </c>
      <c r="J1488" s="455">
        <f t="array" ref="J1488">IFERROR(INDEX('Retirement Calculator'!J:J,MATCH('Isaac 401k'!N1488,'Retirement Calculator'!A:A,0),0),0)</f>
        <v>0</v>
      </c>
      <c r="K1488" s="455">
        <f t="shared" ca="1" si="126"/>
        <v>786096.08608940965</v>
      </c>
      <c r="L1488" s="455">
        <f t="shared" ca="1" si="127"/>
        <v>189449156.74754772</v>
      </c>
      <c r="M1488" s="471">
        <f t="shared" si="129"/>
        <v>0.05</v>
      </c>
      <c r="N1488" s="475">
        <f t="shared" si="130"/>
        <v>96334</v>
      </c>
    </row>
    <row r="1489" spans="7:14" ht="11.25" customHeight="1" x14ac:dyDescent="0.3">
      <c r="G1489" s="470"/>
      <c r="H1489" s="470">
        <v>1482</v>
      </c>
      <c r="I1489" s="455">
        <f t="shared" ca="1" si="128"/>
        <v>189449156.74754772</v>
      </c>
      <c r="J1489" s="455">
        <f t="array" ref="J1489">IFERROR(INDEX('Retirement Calculator'!J:J,MATCH('Isaac 401k'!N1489,'Retirement Calculator'!A:A,0),0),0)</f>
        <v>0</v>
      </c>
      <c r="K1489" s="455">
        <f t="shared" ca="1" si="126"/>
        <v>789371.48644811544</v>
      </c>
      <c r="L1489" s="455">
        <f t="shared" ca="1" si="127"/>
        <v>190238528.23399583</v>
      </c>
      <c r="M1489" s="471">
        <f t="shared" si="129"/>
        <v>0.05</v>
      </c>
      <c r="N1489" s="475">
        <f t="shared" si="130"/>
        <v>96365</v>
      </c>
    </row>
    <row r="1490" spans="7:14" ht="11.25" customHeight="1" x14ac:dyDescent="0.3">
      <c r="G1490" s="470"/>
      <c r="H1490" s="470">
        <v>1483</v>
      </c>
      <c r="I1490" s="455">
        <f t="shared" ca="1" si="128"/>
        <v>190238528.23399583</v>
      </c>
      <c r="J1490" s="455">
        <f t="array" ref="J1490">IFERROR(INDEX('Retirement Calculator'!J:J,MATCH('Isaac 401k'!N1490,'Retirement Calculator'!A:A,0),0),0)</f>
        <v>0</v>
      </c>
      <c r="K1490" s="455">
        <f t="shared" ca="1" si="126"/>
        <v>792660.53430831595</v>
      </c>
      <c r="L1490" s="455">
        <f t="shared" ca="1" si="127"/>
        <v>191031188.76830414</v>
      </c>
      <c r="M1490" s="471">
        <f t="shared" si="129"/>
        <v>0.05</v>
      </c>
      <c r="N1490" s="475">
        <f t="shared" si="130"/>
        <v>96395</v>
      </c>
    </row>
    <row r="1491" spans="7:14" ht="11.25" customHeight="1" x14ac:dyDescent="0.3">
      <c r="G1491" s="470"/>
      <c r="H1491" s="470">
        <v>1484</v>
      </c>
      <c r="I1491" s="455">
        <f t="shared" ca="1" si="128"/>
        <v>191031188.76830414</v>
      </c>
      <c r="J1491" s="455">
        <f t="array" ref="J1491">IFERROR(INDEX('Retirement Calculator'!J:J,MATCH('Isaac 401k'!N1491,'Retirement Calculator'!A:A,0),0),0)</f>
        <v>0</v>
      </c>
      <c r="K1491" s="455">
        <f t="shared" ca="1" si="126"/>
        <v>795963.28653460054</v>
      </c>
      <c r="L1491" s="455">
        <f t="shared" ca="1" si="127"/>
        <v>191827152.05483875</v>
      </c>
      <c r="M1491" s="471">
        <f t="shared" si="129"/>
        <v>0.05</v>
      </c>
      <c r="N1491" s="475">
        <f t="shared" si="130"/>
        <v>96426</v>
      </c>
    </row>
    <row r="1492" spans="7:14" ht="11.25" customHeight="1" x14ac:dyDescent="0.3">
      <c r="G1492" s="470"/>
      <c r="H1492" s="470">
        <v>1485</v>
      </c>
      <c r="I1492" s="455">
        <f t="shared" ca="1" si="128"/>
        <v>191827152.05483875</v>
      </c>
      <c r="J1492" s="455">
        <f t="array" ref="J1492">IFERROR(INDEX('Retirement Calculator'!J:J,MATCH('Isaac 401k'!N1492,'Retirement Calculator'!A:A,0),0),0)</f>
        <v>0</v>
      </c>
      <c r="K1492" s="455">
        <f t="shared" ca="1" si="126"/>
        <v>799279.8002284948</v>
      </c>
      <c r="L1492" s="455">
        <f t="shared" ca="1" si="127"/>
        <v>192626431.85506725</v>
      </c>
      <c r="M1492" s="471">
        <f t="shared" si="129"/>
        <v>0.05</v>
      </c>
      <c r="N1492" s="475">
        <f t="shared" si="130"/>
        <v>96457</v>
      </c>
    </row>
    <row r="1493" spans="7:14" ht="11.25" customHeight="1" x14ac:dyDescent="0.3">
      <c r="G1493" s="470"/>
      <c r="H1493" s="470">
        <v>1486</v>
      </c>
      <c r="I1493" s="455">
        <f t="shared" ca="1" si="128"/>
        <v>192626431.85506725</v>
      </c>
      <c r="J1493" s="455">
        <f t="array" ref="J1493">IFERROR(INDEX('Retirement Calculator'!J:J,MATCH('Isaac 401k'!N1493,'Retirement Calculator'!A:A,0),0),0)</f>
        <v>0</v>
      </c>
      <c r="K1493" s="455">
        <f t="shared" ca="1" si="126"/>
        <v>802610.13272944686</v>
      </c>
      <c r="L1493" s="455">
        <f t="shared" ca="1" si="127"/>
        <v>193429041.98779669</v>
      </c>
      <c r="M1493" s="471">
        <f t="shared" si="129"/>
        <v>0.05</v>
      </c>
      <c r="N1493" s="475">
        <f t="shared" si="130"/>
        <v>96486</v>
      </c>
    </row>
    <row r="1494" spans="7:14" ht="11.25" customHeight="1" x14ac:dyDescent="0.3">
      <c r="G1494" s="470"/>
      <c r="H1494" s="470">
        <v>1487</v>
      </c>
      <c r="I1494" s="455">
        <f t="shared" ca="1" si="128"/>
        <v>193429041.98779669</v>
      </c>
      <c r="J1494" s="455">
        <f t="array" ref="J1494">IFERROR(INDEX('Retirement Calculator'!J:J,MATCH('Isaac 401k'!N1494,'Retirement Calculator'!A:A,0),0),0)</f>
        <v>0</v>
      </c>
      <c r="K1494" s="455">
        <f t="shared" ca="1" si="126"/>
        <v>805954.34161581961</v>
      </c>
      <c r="L1494" s="455">
        <f t="shared" ca="1" si="127"/>
        <v>194234996.32941252</v>
      </c>
      <c r="M1494" s="471">
        <f t="shared" si="129"/>
        <v>0.05</v>
      </c>
      <c r="N1494" s="475">
        <f t="shared" si="130"/>
        <v>96517</v>
      </c>
    </row>
    <row r="1495" spans="7:14" ht="11.25" customHeight="1" x14ac:dyDescent="0.3">
      <c r="G1495" s="470"/>
      <c r="H1495" s="470">
        <v>1488</v>
      </c>
      <c r="I1495" s="455">
        <f t="shared" ca="1" si="128"/>
        <v>194234996.32941252</v>
      </c>
      <c r="J1495" s="455">
        <f t="array" ref="J1495">IFERROR(INDEX('Retirement Calculator'!J:J,MATCH('Isaac 401k'!N1495,'Retirement Calculator'!A:A,0),0),0)</f>
        <v>0</v>
      </c>
      <c r="K1495" s="455">
        <f t="shared" ca="1" si="126"/>
        <v>809312.48470588552</v>
      </c>
      <c r="L1495" s="455">
        <f t="shared" ca="1" si="127"/>
        <v>195044308.81411842</v>
      </c>
      <c r="M1495" s="471">
        <f t="shared" si="129"/>
        <v>0.05</v>
      </c>
      <c r="N1495" s="475">
        <f t="shared" si="130"/>
        <v>96547</v>
      </c>
    </row>
    <row r="1496" spans="7:14" ht="11.25" customHeight="1" x14ac:dyDescent="0.3">
      <c r="G1496" s="470"/>
      <c r="H1496" s="470">
        <v>1489</v>
      </c>
      <c r="I1496" s="455">
        <f t="shared" ca="1" si="128"/>
        <v>195044308.81411842</v>
      </c>
      <c r="J1496" s="455">
        <f t="array" ref="J1496">IFERROR(INDEX('Retirement Calculator'!J:J,MATCH('Isaac 401k'!N1496,'Retirement Calculator'!A:A,0),0),0)</f>
        <v>0</v>
      </c>
      <c r="K1496" s="455">
        <f t="shared" ca="1" si="126"/>
        <v>812684.62005882675</v>
      </c>
      <c r="L1496" s="455">
        <f t="shared" ca="1" si="127"/>
        <v>195856993.43417725</v>
      </c>
      <c r="M1496" s="471">
        <f t="shared" si="129"/>
        <v>0.05</v>
      </c>
      <c r="N1496" s="475">
        <f t="shared" si="130"/>
        <v>96578</v>
      </c>
    </row>
    <row r="1497" spans="7:14" ht="11.25" customHeight="1" x14ac:dyDescent="0.3">
      <c r="G1497" s="470"/>
      <c r="H1497" s="470">
        <v>1490</v>
      </c>
      <c r="I1497" s="455">
        <f t="shared" ca="1" si="128"/>
        <v>195856993.43417725</v>
      </c>
      <c r="J1497" s="455">
        <f t="array" ref="J1497">IFERROR(INDEX('Retirement Calculator'!J:J,MATCH('Isaac 401k'!N1497,'Retirement Calculator'!A:A,0),0),0)</f>
        <v>0</v>
      </c>
      <c r="K1497" s="455">
        <f t="shared" ca="1" si="126"/>
        <v>816070.80597573856</v>
      </c>
      <c r="L1497" s="455">
        <f t="shared" ca="1" si="127"/>
        <v>196673064.24015298</v>
      </c>
      <c r="M1497" s="471">
        <f t="shared" si="129"/>
        <v>0.05</v>
      </c>
      <c r="N1497" s="475">
        <f t="shared" si="130"/>
        <v>96608</v>
      </c>
    </row>
    <row r="1498" spans="7:14" ht="11.25" customHeight="1" x14ac:dyDescent="0.3">
      <c r="G1498" s="470"/>
      <c r="H1498" s="470">
        <v>1491</v>
      </c>
      <c r="I1498" s="455">
        <f t="shared" ca="1" si="128"/>
        <v>196673064.24015298</v>
      </c>
      <c r="J1498" s="455">
        <f t="array" ref="J1498">IFERROR(INDEX('Retirement Calculator'!J:J,MATCH('Isaac 401k'!N1498,'Retirement Calculator'!A:A,0),0),0)</f>
        <v>0</v>
      </c>
      <c r="K1498" s="455">
        <f t="shared" ca="1" si="126"/>
        <v>819471.1010006374</v>
      </c>
      <c r="L1498" s="455">
        <f t="shared" ca="1" si="127"/>
        <v>197492535.34115362</v>
      </c>
      <c r="M1498" s="471">
        <f t="shared" si="129"/>
        <v>0.05</v>
      </c>
      <c r="N1498" s="475">
        <f t="shared" si="130"/>
        <v>96639</v>
      </c>
    </row>
    <row r="1499" spans="7:14" ht="11.25" customHeight="1" x14ac:dyDescent="0.3">
      <c r="G1499" s="470"/>
      <c r="H1499" s="470">
        <v>1492</v>
      </c>
      <c r="I1499" s="455">
        <f t="shared" ca="1" si="128"/>
        <v>197492535.34115362</v>
      </c>
      <c r="J1499" s="455">
        <f t="array" ref="J1499">IFERROR(INDEX('Retirement Calculator'!J:J,MATCH('Isaac 401k'!N1499,'Retirement Calculator'!A:A,0),0),0)</f>
        <v>0</v>
      </c>
      <c r="K1499" s="455">
        <f t="shared" ca="1" si="126"/>
        <v>822885.56392147345</v>
      </c>
      <c r="L1499" s="455">
        <f t="shared" ca="1" si="127"/>
        <v>198315420.9050751</v>
      </c>
      <c r="M1499" s="471">
        <f t="shared" si="129"/>
        <v>0.05</v>
      </c>
      <c r="N1499" s="475">
        <f t="shared" si="130"/>
        <v>96670</v>
      </c>
    </row>
    <row r="1500" spans="7:14" ht="11.25" customHeight="1" x14ac:dyDescent="0.3">
      <c r="G1500" s="470"/>
      <c r="H1500" s="470">
        <v>1493</v>
      </c>
      <c r="I1500" s="455">
        <f t="shared" ca="1" si="128"/>
        <v>198315420.9050751</v>
      </c>
      <c r="J1500" s="455">
        <f t="array" ref="J1500">IFERROR(INDEX('Retirement Calculator'!J:J,MATCH('Isaac 401k'!N1500,'Retirement Calculator'!A:A,0),0),0)</f>
        <v>0</v>
      </c>
      <c r="K1500" s="455">
        <f t="shared" ca="1" si="126"/>
        <v>826314.25377114629</v>
      </c>
      <c r="L1500" s="455">
        <f t="shared" ca="1" si="127"/>
        <v>199141735.15884626</v>
      </c>
      <c r="M1500" s="471">
        <f t="shared" si="129"/>
        <v>0.05</v>
      </c>
      <c r="N1500" s="475">
        <f t="shared" si="130"/>
        <v>96700</v>
      </c>
    </row>
    <row r="1501" spans="7:14" ht="11.25" customHeight="1" x14ac:dyDescent="0.3">
      <c r="G1501" s="470"/>
      <c r="H1501" s="470">
        <v>1494</v>
      </c>
      <c r="I1501" s="455">
        <f t="shared" ca="1" si="128"/>
        <v>199141735.15884626</v>
      </c>
      <c r="J1501" s="455">
        <f t="array" ref="J1501">IFERROR(INDEX('Retirement Calculator'!J:J,MATCH('Isaac 401k'!N1501,'Retirement Calculator'!A:A,0),0),0)</f>
        <v>0</v>
      </c>
      <c r="K1501" s="455">
        <f t="shared" ca="1" si="126"/>
        <v>829757.22982852603</v>
      </c>
      <c r="L1501" s="455">
        <f t="shared" ca="1" si="127"/>
        <v>199971492.3886748</v>
      </c>
      <c r="M1501" s="471">
        <f t="shared" si="129"/>
        <v>0.05</v>
      </c>
      <c r="N1501" s="475">
        <f t="shared" si="130"/>
        <v>96731</v>
      </c>
    </row>
    <row r="1502" spans="7:14" ht="11.25" customHeight="1" x14ac:dyDescent="0.3">
      <c r="G1502" s="470"/>
      <c r="H1502" s="470">
        <v>1495</v>
      </c>
      <c r="I1502" s="455">
        <f t="shared" ca="1" si="128"/>
        <v>199971492.3886748</v>
      </c>
      <c r="J1502" s="455">
        <f t="array" ref="J1502">IFERROR(INDEX('Retirement Calculator'!J:J,MATCH('Isaac 401k'!N1502,'Retirement Calculator'!A:A,0),0),0)</f>
        <v>0</v>
      </c>
      <c r="K1502" s="455">
        <f t="shared" ca="1" si="126"/>
        <v>833214.55161947827</v>
      </c>
      <c r="L1502" s="455">
        <f t="shared" ca="1" si="127"/>
        <v>200804706.94029427</v>
      </c>
      <c r="M1502" s="471">
        <f t="shared" si="129"/>
        <v>0.05</v>
      </c>
      <c r="N1502" s="475">
        <f t="shared" si="130"/>
        <v>96761</v>
      </c>
    </row>
    <row r="1503" spans="7:14" ht="11.25" customHeight="1" x14ac:dyDescent="0.3">
      <c r="G1503" s="470"/>
      <c r="H1503" s="470">
        <v>1496</v>
      </c>
      <c r="I1503" s="455">
        <f t="shared" ca="1" si="128"/>
        <v>200804706.94029427</v>
      </c>
      <c r="J1503" s="455">
        <f t="array" ref="J1503">IFERROR(INDEX('Retirement Calculator'!J:J,MATCH('Isaac 401k'!N1503,'Retirement Calculator'!A:A,0),0),0)</f>
        <v>0</v>
      </c>
      <c r="K1503" s="455">
        <f t="shared" ca="1" si="126"/>
        <v>836686.27891789272</v>
      </c>
      <c r="L1503" s="455">
        <f t="shared" ca="1" si="127"/>
        <v>201641393.21921214</v>
      </c>
      <c r="M1503" s="471">
        <f t="shared" si="129"/>
        <v>0.05</v>
      </c>
      <c r="N1503" s="475">
        <f t="shared" si="130"/>
        <v>96792</v>
      </c>
    </row>
    <row r="1504" spans="7:14" ht="11.25" customHeight="1" x14ac:dyDescent="0.3">
      <c r="G1504" s="470"/>
      <c r="H1504" s="470">
        <v>1497</v>
      </c>
      <c r="I1504" s="455">
        <f t="shared" ca="1" si="128"/>
        <v>201641393.21921214</v>
      </c>
      <c r="J1504" s="455">
        <f t="array" ref="J1504">IFERROR(INDEX('Retirement Calculator'!J:J,MATCH('Isaac 401k'!N1504,'Retirement Calculator'!A:A,0),0),0)</f>
        <v>0</v>
      </c>
      <c r="K1504" s="455">
        <f t="shared" ca="1" si="126"/>
        <v>840172.47174671723</v>
      </c>
      <c r="L1504" s="455">
        <f t="shared" ca="1" si="127"/>
        <v>202481565.69095886</v>
      </c>
      <c r="M1504" s="471">
        <f t="shared" si="129"/>
        <v>0.05</v>
      </c>
      <c r="N1504" s="475">
        <f t="shared" si="130"/>
        <v>96823</v>
      </c>
    </row>
    <row r="1505" spans="7:14" ht="11.25" customHeight="1" x14ac:dyDescent="0.3">
      <c r="G1505" s="470"/>
      <c r="H1505" s="470">
        <v>1498</v>
      </c>
      <c r="I1505" s="455">
        <f t="shared" ca="1" si="128"/>
        <v>202481565.69095886</v>
      </c>
      <c r="J1505" s="455">
        <f t="array" ref="J1505">IFERROR(INDEX('Retirement Calculator'!J:J,MATCH('Isaac 401k'!N1505,'Retirement Calculator'!A:A,0),0),0)</f>
        <v>0</v>
      </c>
      <c r="K1505" s="455">
        <f t="shared" ca="1" si="126"/>
        <v>843673.19037899526</v>
      </c>
      <c r="L1505" s="455">
        <f t="shared" ca="1" si="127"/>
        <v>203325238.88133785</v>
      </c>
      <c r="M1505" s="471">
        <f t="shared" si="129"/>
        <v>0.05</v>
      </c>
      <c r="N1505" s="475">
        <f t="shared" si="130"/>
        <v>96851</v>
      </c>
    </row>
    <row r="1506" spans="7:14" ht="11.25" customHeight="1" x14ac:dyDescent="0.3">
      <c r="G1506" s="470"/>
      <c r="H1506" s="470">
        <v>1499</v>
      </c>
      <c r="I1506" s="455">
        <f t="shared" ca="1" si="128"/>
        <v>203325238.88133785</v>
      </c>
      <c r="J1506" s="455">
        <f t="array" ref="J1506">IFERROR(INDEX('Retirement Calculator'!J:J,MATCH('Isaac 401k'!N1506,'Retirement Calculator'!A:A,0),0),0)</f>
        <v>0</v>
      </c>
      <c r="K1506" s="455">
        <f t="shared" ca="1" si="126"/>
        <v>847188.4953389077</v>
      </c>
      <c r="L1506" s="455">
        <f t="shared" ca="1" si="127"/>
        <v>204172427.37667677</v>
      </c>
      <c r="M1506" s="471">
        <f t="shared" si="129"/>
        <v>0.05</v>
      </c>
      <c r="N1506" s="475">
        <f t="shared" si="130"/>
        <v>96882</v>
      </c>
    </row>
    <row r="1507" spans="7:14" ht="11.25" customHeight="1" x14ac:dyDescent="0.3">
      <c r="G1507" s="470"/>
      <c r="H1507" s="470">
        <v>1500</v>
      </c>
      <c r="I1507" s="455">
        <f t="shared" ca="1" si="128"/>
        <v>204172427.37667677</v>
      </c>
      <c r="J1507" s="455">
        <f t="array" ref="J1507">IFERROR(INDEX('Retirement Calculator'!J:J,MATCH('Isaac 401k'!N1507,'Retirement Calculator'!A:A,0),0),0)</f>
        <v>0</v>
      </c>
      <c r="K1507" s="455">
        <f t="shared" ca="1" si="126"/>
        <v>850718.44740281987</v>
      </c>
      <c r="L1507" s="455">
        <f t="shared" ca="1" si="127"/>
        <v>205023145.82407957</v>
      </c>
      <c r="M1507" s="471">
        <f t="shared" si="129"/>
        <v>0.05</v>
      </c>
      <c r="N1507" s="475">
        <f t="shared" si="130"/>
        <v>96912</v>
      </c>
    </row>
    <row r="1508" spans="7:14" ht="11.25" customHeight="1" x14ac:dyDescent="0.3">
      <c r="G1508" s="470"/>
      <c r="H1508" s="470">
        <v>1501</v>
      </c>
      <c r="I1508" s="455">
        <f t="shared" ca="1" si="128"/>
        <v>205023145.82407957</v>
      </c>
      <c r="J1508" s="455">
        <f t="array" ref="J1508">IFERROR(INDEX('Retirement Calculator'!J:J,MATCH('Isaac 401k'!N1508,'Retirement Calculator'!A:A,0),0),0)</f>
        <v>0</v>
      </c>
      <c r="K1508" s="455">
        <f t="shared" ca="1" si="126"/>
        <v>854263.10760033154</v>
      </c>
      <c r="L1508" s="455">
        <f t="shared" ca="1" si="127"/>
        <v>205877408.9316799</v>
      </c>
      <c r="M1508" s="471">
        <f t="shared" si="129"/>
        <v>0.05</v>
      </c>
      <c r="N1508" s="475">
        <f t="shared" si="130"/>
        <v>96943</v>
      </c>
    </row>
    <row r="1509" spans="7:14" ht="11.25" customHeight="1" x14ac:dyDescent="0.3">
      <c r="G1509" s="470"/>
      <c r="H1509" s="470">
        <v>1502</v>
      </c>
      <c r="I1509" s="455">
        <f t="shared" ca="1" si="128"/>
        <v>205877408.9316799</v>
      </c>
      <c r="J1509" s="455">
        <f t="array" ref="J1509">IFERROR(INDEX('Retirement Calculator'!J:J,MATCH('Isaac 401k'!N1509,'Retirement Calculator'!A:A,0),0),0)</f>
        <v>0</v>
      </c>
      <c r="K1509" s="455">
        <f t="shared" ca="1" si="126"/>
        <v>857822.53721533297</v>
      </c>
      <c r="L1509" s="455">
        <f t="shared" ca="1" si="127"/>
        <v>206735231.46889523</v>
      </c>
      <c r="M1509" s="471">
        <f t="shared" si="129"/>
        <v>0.05</v>
      </c>
      <c r="N1509" s="475">
        <f t="shared" si="130"/>
        <v>96973</v>
      </c>
    </row>
    <row r="1510" spans="7:14" ht="11.25" customHeight="1" x14ac:dyDescent="0.3">
      <c r="G1510" s="470"/>
      <c r="H1510" s="470">
        <v>1503</v>
      </c>
      <c r="I1510" s="455">
        <f t="shared" ca="1" si="128"/>
        <v>206735231.46889523</v>
      </c>
      <c r="J1510" s="455">
        <f t="array" ref="J1510">IFERROR(INDEX('Retirement Calculator'!J:J,MATCH('Isaac 401k'!N1510,'Retirement Calculator'!A:A,0),0),0)</f>
        <v>0</v>
      </c>
      <c r="K1510" s="455">
        <f t="shared" ca="1" si="126"/>
        <v>861396.79778706341</v>
      </c>
      <c r="L1510" s="455">
        <f t="shared" ca="1" si="127"/>
        <v>207596628.2666823</v>
      </c>
      <c r="M1510" s="471">
        <f t="shared" si="129"/>
        <v>0.05</v>
      </c>
      <c r="N1510" s="475">
        <f t="shared" si="130"/>
        <v>97004</v>
      </c>
    </row>
    <row r="1511" spans="7:14" ht="11.25" customHeight="1" x14ac:dyDescent="0.3">
      <c r="G1511" s="470"/>
      <c r="H1511" s="470">
        <v>1504</v>
      </c>
      <c r="I1511" s="455">
        <f t="shared" ca="1" si="128"/>
        <v>207596628.2666823</v>
      </c>
      <c r="J1511" s="455">
        <f t="array" ref="J1511">IFERROR(INDEX('Retirement Calculator'!J:J,MATCH('Isaac 401k'!N1511,'Retirement Calculator'!A:A,0),0),0)</f>
        <v>0</v>
      </c>
      <c r="K1511" s="455">
        <f t="shared" ca="1" si="126"/>
        <v>864985.95111117617</v>
      </c>
      <c r="L1511" s="455">
        <f t="shared" ca="1" si="127"/>
        <v>208461614.21779346</v>
      </c>
      <c r="M1511" s="471">
        <f t="shared" si="129"/>
        <v>0.05</v>
      </c>
      <c r="N1511" s="475">
        <f t="shared" si="130"/>
        <v>97035</v>
      </c>
    </row>
    <row r="1512" spans="7:14" ht="11.25" customHeight="1" x14ac:dyDescent="0.3">
      <c r="G1512" s="470"/>
      <c r="H1512" s="470">
        <v>1505</v>
      </c>
      <c r="I1512" s="455">
        <f t="shared" ca="1" si="128"/>
        <v>208461614.21779346</v>
      </c>
      <c r="J1512" s="455">
        <f t="array" ref="J1512">IFERROR(INDEX('Retirement Calculator'!J:J,MATCH('Isaac 401k'!N1512,'Retirement Calculator'!A:A,0),0),0)</f>
        <v>0</v>
      </c>
      <c r="K1512" s="455">
        <f t="shared" ca="1" si="126"/>
        <v>868590.05924080603</v>
      </c>
      <c r="L1512" s="455">
        <f t="shared" ca="1" si="127"/>
        <v>209330204.27703428</v>
      </c>
      <c r="M1512" s="471">
        <f t="shared" si="129"/>
        <v>0.05</v>
      </c>
      <c r="N1512" s="475">
        <f t="shared" si="130"/>
        <v>97065</v>
      </c>
    </row>
    <row r="1513" spans="7:14" ht="11.25" customHeight="1" x14ac:dyDescent="0.3">
      <c r="G1513" s="470"/>
      <c r="H1513" s="470">
        <v>1506</v>
      </c>
      <c r="I1513" s="455">
        <f t="shared" ca="1" si="128"/>
        <v>209330204.27703428</v>
      </c>
      <c r="J1513" s="455">
        <f t="array" ref="J1513">IFERROR(INDEX('Retirement Calculator'!J:J,MATCH('Isaac 401k'!N1513,'Retirement Calculator'!A:A,0),0),0)</f>
        <v>0</v>
      </c>
      <c r="K1513" s="455">
        <f t="shared" ca="1" si="126"/>
        <v>872209.18448764272</v>
      </c>
      <c r="L1513" s="455">
        <f t="shared" ca="1" si="127"/>
        <v>210202413.46152192</v>
      </c>
      <c r="M1513" s="471">
        <f t="shared" si="129"/>
        <v>0.05</v>
      </c>
      <c r="N1513" s="475">
        <f t="shared" si="130"/>
        <v>97096</v>
      </c>
    </row>
    <row r="1514" spans="7:14" ht="11.25" customHeight="1" x14ac:dyDescent="0.3">
      <c r="G1514" s="470"/>
      <c r="H1514" s="470">
        <v>1507</v>
      </c>
      <c r="I1514" s="455">
        <f t="shared" ca="1" si="128"/>
        <v>210202413.46152192</v>
      </c>
      <c r="J1514" s="455">
        <f t="array" ref="J1514">IFERROR(INDEX('Retirement Calculator'!J:J,MATCH('Isaac 401k'!N1514,'Retirement Calculator'!A:A,0),0),0)</f>
        <v>0</v>
      </c>
      <c r="K1514" s="455">
        <f t="shared" ca="1" si="126"/>
        <v>875843.38942300808</v>
      </c>
      <c r="L1514" s="455">
        <f t="shared" ca="1" si="127"/>
        <v>211078256.85094494</v>
      </c>
      <c r="M1514" s="471">
        <f t="shared" si="129"/>
        <v>0.05</v>
      </c>
      <c r="N1514" s="475">
        <f t="shared" si="130"/>
        <v>97126</v>
      </c>
    </row>
    <row r="1515" spans="7:14" ht="11.25" customHeight="1" x14ac:dyDescent="0.3">
      <c r="G1515" s="470"/>
      <c r="H1515" s="470">
        <v>1508</v>
      </c>
      <c r="I1515" s="455">
        <f t="shared" ca="1" si="128"/>
        <v>211078256.85094494</v>
      </c>
      <c r="J1515" s="455">
        <f t="array" ref="J1515">IFERROR(INDEX('Retirement Calculator'!J:J,MATCH('Isaac 401k'!N1515,'Retirement Calculator'!A:A,0),0),0)</f>
        <v>0</v>
      </c>
      <c r="K1515" s="455">
        <f t="shared" ca="1" si="126"/>
        <v>879492.73687893723</v>
      </c>
      <c r="L1515" s="455">
        <f t="shared" ca="1" si="127"/>
        <v>211957749.58782387</v>
      </c>
      <c r="M1515" s="471">
        <f t="shared" si="129"/>
        <v>0.05</v>
      </c>
      <c r="N1515" s="475">
        <f t="shared" si="130"/>
        <v>97157</v>
      </c>
    </row>
    <row r="1516" spans="7:14" ht="11.25" customHeight="1" x14ac:dyDescent="0.3">
      <c r="G1516" s="470"/>
      <c r="H1516" s="470">
        <v>1509</v>
      </c>
      <c r="I1516" s="455">
        <f t="shared" ca="1" si="128"/>
        <v>211957749.58782387</v>
      </c>
      <c r="J1516" s="455">
        <f t="array" ref="J1516">IFERROR(INDEX('Retirement Calculator'!J:J,MATCH('Isaac 401k'!N1516,'Retirement Calculator'!A:A,0),0),0)</f>
        <v>0</v>
      </c>
      <c r="K1516" s="455">
        <f t="shared" ca="1" si="126"/>
        <v>883157.28994926612</v>
      </c>
      <c r="L1516" s="455">
        <f t="shared" ca="1" si="127"/>
        <v>212840906.87777314</v>
      </c>
      <c r="M1516" s="471">
        <f t="shared" si="129"/>
        <v>0.05</v>
      </c>
      <c r="N1516" s="475">
        <f t="shared" si="130"/>
        <v>97188</v>
      </c>
    </row>
    <row r="1517" spans="7:14" ht="11.25" customHeight="1" x14ac:dyDescent="0.3">
      <c r="G1517" s="470"/>
      <c r="H1517" s="470">
        <v>1510</v>
      </c>
      <c r="I1517" s="455">
        <f t="shared" ca="1" si="128"/>
        <v>212840906.87777314</v>
      </c>
      <c r="J1517" s="455">
        <f t="array" ref="J1517">IFERROR(INDEX('Retirement Calculator'!J:J,MATCH('Isaac 401k'!N1517,'Retirement Calculator'!A:A,0),0),0)</f>
        <v>0</v>
      </c>
      <c r="K1517" s="455">
        <f t="shared" ca="1" si="126"/>
        <v>886837.11199072143</v>
      </c>
      <c r="L1517" s="455">
        <f t="shared" ca="1" si="127"/>
        <v>213727743.98976386</v>
      </c>
      <c r="M1517" s="471">
        <f t="shared" si="129"/>
        <v>0.05</v>
      </c>
      <c r="N1517" s="475">
        <f t="shared" si="130"/>
        <v>97216</v>
      </c>
    </row>
    <row r="1518" spans="7:14" ht="11.25" customHeight="1" x14ac:dyDescent="0.3">
      <c r="G1518" s="470"/>
      <c r="H1518" s="470">
        <v>1511</v>
      </c>
      <c r="I1518" s="455">
        <f t="shared" ca="1" si="128"/>
        <v>213727743.98976386</v>
      </c>
      <c r="J1518" s="455">
        <f t="array" ref="J1518">IFERROR(INDEX('Retirement Calculator'!J:J,MATCH('Isaac 401k'!N1518,'Retirement Calculator'!A:A,0),0),0)</f>
        <v>0</v>
      </c>
      <c r="K1518" s="455">
        <f t="shared" ca="1" si="126"/>
        <v>890532.26662401611</v>
      </c>
      <c r="L1518" s="455">
        <f t="shared" ca="1" si="127"/>
        <v>214618276.25638786</v>
      </c>
      <c r="M1518" s="471">
        <f t="shared" si="129"/>
        <v>0.05</v>
      </c>
      <c r="N1518" s="475">
        <f t="shared" si="130"/>
        <v>97247</v>
      </c>
    </row>
    <row r="1519" spans="7:14" ht="11.25" customHeight="1" x14ac:dyDescent="0.3">
      <c r="G1519" s="470"/>
      <c r="H1519" s="470">
        <v>1512</v>
      </c>
      <c r="I1519" s="455">
        <f t="shared" ca="1" si="128"/>
        <v>214618276.25638786</v>
      </c>
      <c r="J1519" s="455">
        <f t="array" ref="J1519">IFERROR(INDEX('Retirement Calculator'!J:J,MATCH('Isaac 401k'!N1519,'Retirement Calculator'!A:A,0),0),0)</f>
        <v>0</v>
      </c>
      <c r="K1519" s="455">
        <f t="shared" ca="1" si="126"/>
        <v>894242.81773494941</v>
      </c>
      <c r="L1519" s="455">
        <f t="shared" ca="1" si="127"/>
        <v>215512519.07412282</v>
      </c>
      <c r="M1519" s="471">
        <f t="shared" si="129"/>
        <v>0.05</v>
      </c>
      <c r="N1519" s="475">
        <f t="shared" si="130"/>
        <v>97277</v>
      </c>
    </row>
    <row r="1520" spans="7:14" ht="11.25" customHeight="1" x14ac:dyDescent="0.3">
      <c r="G1520" s="470"/>
      <c r="H1520" s="470">
        <v>1513</v>
      </c>
      <c r="I1520" s="455">
        <f t="shared" ca="1" si="128"/>
        <v>215512519.07412282</v>
      </c>
      <c r="J1520" s="455">
        <f t="array" ref="J1520">IFERROR(INDEX('Retirement Calculator'!J:J,MATCH('Isaac 401k'!N1520,'Retirement Calculator'!A:A,0),0),0)</f>
        <v>0</v>
      </c>
      <c r="K1520" s="455">
        <f t="shared" ca="1" si="126"/>
        <v>897968.8294755118</v>
      </c>
      <c r="L1520" s="455">
        <f t="shared" ca="1" si="127"/>
        <v>216410487.90359834</v>
      </c>
      <c r="M1520" s="471">
        <f t="shared" si="129"/>
        <v>0.05</v>
      </c>
      <c r="N1520" s="475">
        <f t="shared" si="130"/>
        <v>97308</v>
      </c>
    </row>
    <row r="1521" spans="7:14" ht="11.25" customHeight="1" x14ac:dyDescent="0.3">
      <c r="G1521" s="470"/>
      <c r="H1521" s="470">
        <v>1514</v>
      </c>
      <c r="I1521" s="455">
        <f t="shared" ca="1" si="128"/>
        <v>216410487.90359834</v>
      </c>
      <c r="J1521" s="455">
        <f t="array" ref="J1521">IFERROR(INDEX('Retirement Calculator'!J:J,MATCH('Isaac 401k'!N1521,'Retirement Calculator'!A:A,0),0),0)</f>
        <v>0</v>
      </c>
      <c r="K1521" s="455">
        <f t="shared" ca="1" si="126"/>
        <v>901710.36626499309</v>
      </c>
      <c r="L1521" s="455">
        <f t="shared" ca="1" si="127"/>
        <v>217312198.26986334</v>
      </c>
      <c r="M1521" s="471">
        <f t="shared" si="129"/>
        <v>0.05</v>
      </c>
      <c r="N1521" s="475">
        <f t="shared" si="130"/>
        <v>97338</v>
      </c>
    </row>
    <row r="1522" spans="7:14" ht="11.25" customHeight="1" x14ac:dyDescent="0.3">
      <c r="G1522" s="470"/>
      <c r="H1522" s="470">
        <v>1515</v>
      </c>
      <c r="I1522" s="455">
        <f t="shared" ca="1" si="128"/>
        <v>217312198.26986334</v>
      </c>
      <c r="J1522" s="455">
        <f t="array" ref="J1522">IFERROR(INDEX('Retirement Calculator'!J:J,MATCH('Isaac 401k'!N1522,'Retirement Calculator'!A:A,0),0),0)</f>
        <v>0</v>
      </c>
      <c r="K1522" s="455">
        <f t="shared" ca="1" si="126"/>
        <v>905467.49279109726</v>
      </c>
      <c r="L1522" s="455">
        <f t="shared" ca="1" si="127"/>
        <v>218217665.76265442</v>
      </c>
      <c r="M1522" s="471">
        <f t="shared" si="129"/>
        <v>0.05</v>
      </c>
      <c r="N1522" s="475">
        <f t="shared" si="130"/>
        <v>97369</v>
      </c>
    </row>
    <row r="1523" spans="7:14" ht="11.25" customHeight="1" x14ac:dyDescent="0.3">
      <c r="G1523" s="470"/>
      <c r="H1523" s="470">
        <v>1516</v>
      </c>
      <c r="I1523" s="455">
        <f t="shared" ca="1" si="128"/>
        <v>218217665.76265442</v>
      </c>
      <c r="J1523" s="455">
        <f t="array" ref="J1523">IFERROR(INDEX('Retirement Calculator'!J:J,MATCH('Isaac 401k'!N1523,'Retirement Calculator'!A:A,0),0),0)</f>
        <v>0</v>
      </c>
      <c r="K1523" s="455">
        <f t="shared" ca="1" si="126"/>
        <v>909240.27401106025</v>
      </c>
      <c r="L1523" s="455">
        <f t="shared" ca="1" si="127"/>
        <v>219126906.03666547</v>
      </c>
      <c r="M1523" s="471">
        <f t="shared" si="129"/>
        <v>0.05</v>
      </c>
      <c r="N1523" s="475">
        <f t="shared" si="130"/>
        <v>97400</v>
      </c>
    </row>
    <row r="1524" spans="7:14" ht="11.25" customHeight="1" x14ac:dyDescent="0.3">
      <c r="G1524" s="470"/>
      <c r="H1524" s="470">
        <v>1517</v>
      </c>
      <c r="I1524" s="455">
        <f t="shared" ca="1" si="128"/>
        <v>219126906.03666547</v>
      </c>
      <c r="J1524" s="455">
        <f t="array" ref="J1524">IFERROR(INDEX('Retirement Calculator'!J:J,MATCH('Isaac 401k'!N1524,'Retirement Calculator'!A:A,0),0),0)</f>
        <v>0</v>
      </c>
      <c r="K1524" s="455">
        <f t="shared" ca="1" si="126"/>
        <v>913028.77515277278</v>
      </c>
      <c r="L1524" s="455">
        <f t="shared" ca="1" si="127"/>
        <v>220039934.81181824</v>
      </c>
      <c r="M1524" s="471">
        <f t="shared" si="129"/>
        <v>0.05</v>
      </c>
      <c r="N1524" s="475">
        <f t="shared" si="130"/>
        <v>97430</v>
      </c>
    </row>
    <row r="1525" spans="7:14" ht="11.25" customHeight="1" x14ac:dyDescent="0.3">
      <c r="G1525" s="470"/>
      <c r="H1525" s="470">
        <v>1518</v>
      </c>
      <c r="I1525" s="455">
        <f t="shared" ca="1" si="128"/>
        <v>220039934.81181824</v>
      </c>
      <c r="J1525" s="455">
        <f t="array" ref="J1525">IFERROR(INDEX('Retirement Calculator'!J:J,MATCH('Isaac 401k'!N1525,'Retirement Calculator'!A:A,0),0),0)</f>
        <v>0</v>
      </c>
      <c r="K1525" s="455">
        <f t="shared" ca="1" si="126"/>
        <v>916833.06171590928</v>
      </c>
      <c r="L1525" s="455">
        <f t="shared" ca="1" si="127"/>
        <v>220956767.87353414</v>
      </c>
      <c r="M1525" s="471">
        <f t="shared" si="129"/>
        <v>0.05</v>
      </c>
      <c r="N1525" s="475">
        <f t="shared" si="130"/>
        <v>97461</v>
      </c>
    </row>
    <row r="1526" spans="7:14" ht="11.25" customHeight="1" x14ac:dyDescent="0.3">
      <c r="G1526" s="470"/>
      <c r="H1526" s="470">
        <v>1519</v>
      </c>
      <c r="I1526" s="455">
        <f t="shared" ca="1" si="128"/>
        <v>220956767.87353414</v>
      </c>
      <c r="J1526" s="455">
        <f t="array" ref="J1526">IFERROR(INDEX('Retirement Calculator'!J:J,MATCH('Isaac 401k'!N1526,'Retirement Calculator'!A:A,0),0),0)</f>
        <v>0</v>
      </c>
      <c r="K1526" s="455">
        <f t="shared" ca="1" si="126"/>
        <v>920653.19947305892</v>
      </c>
      <c r="L1526" s="455">
        <f t="shared" ca="1" si="127"/>
        <v>221877421.0730072</v>
      </c>
      <c r="M1526" s="471">
        <f t="shared" si="129"/>
        <v>0.05</v>
      </c>
      <c r="N1526" s="475">
        <f t="shared" si="130"/>
        <v>97491</v>
      </c>
    </row>
    <row r="1527" spans="7:14" ht="11.25" customHeight="1" x14ac:dyDescent="0.3">
      <c r="G1527" s="470"/>
      <c r="H1527" s="470">
        <v>1520</v>
      </c>
      <c r="I1527" s="455">
        <f t="shared" ca="1" si="128"/>
        <v>221877421.0730072</v>
      </c>
      <c r="J1527" s="455">
        <f t="array" ref="J1527">IFERROR(INDEX('Retirement Calculator'!J:J,MATCH('Isaac 401k'!N1527,'Retirement Calculator'!A:A,0),0),0)</f>
        <v>0</v>
      </c>
      <c r="K1527" s="455">
        <f t="shared" ca="1" si="126"/>
        <v>924489.25447086338</v>
      </c>
      <c r="L1527" s="455">
        <f t="shared" ca="1" si="127"/>
        <v>222801910.32747805</v>
      </c>
      <c r="M1527" s="471">
        <f t="shared" si="129"/>
        <v>0.05</v>
      </c>
      <c r="N1527" s="475">
        <f t="shared" si="130"/>
        <v>97522</v>
      </c>
    </row>
    <row r="1528" spans="7:14" ht="11.25" customHeight="1" x14ac:dyDescent="0.3">
      <c r="G1528" s="470"/>
      <c r="H1528" s="470">
        <v>1521</v>
      </c>
      <c r="I1528" s="455">
        <f t="shared" ca="1" si="128"/>
        <v>222801910.32747805</v>
      </c>
      <c r="J1528" s="455">
        <f t="array" ref="J1528">IFERROR(INDEX('Retirement Calculator'!J:J,MATCH('Isaac 401k'!N1528,'Retirement Calculator'!A:A,0),0),0)</f>
        <v>0</v>
      </c>
      <c r="K1528" s="455">
        <f t="shared" ca="1" si="126"/>
        <v>928341.29303115851</v>
      </c>
      <c r="L1528" s="455">
        <f t="shared" ca="1" si="127"/>
        <v>223730251.62050921</v>
      </c>
      <c r="M1528" s="471">
        <f t="shared" si="129"/>
        <v>0.05</v>
      </c>
      <c r="N1528" s="475">
        <f t="shared" si="130"/>
        <v>97553</v>
      </c>
    </row>
    <row r="1529" spans="7:14" ht="11.25" customHeight="1" x14ac:dyDescent="0.3">
      <c r="G1529" s="470"/>
      <c r="H1529" s="470">
        <v>1522</v>
      </c>
      <c r="I1529" s="455">
        <f t="shared" ca="1" si="128"/>
        <v>223730251.62050921</v>
      </c>
      <c r="J1529" s="455">
        <f t="array" ref="J1529">IFERROR(INDEX('Retirement Calculator'!J:J,MATCH('Isaac 401k'!N1529,'Retirement Calculator'!A:A,0),0),0)</f>
        <v>0</v>
      </c>
      <c r="K1529" s="455">
        <f t="shared" ca="1" si="126"/>
        <v>932209.38175212173</v>
      </c>
      <c r="L1529" s="455">
        <f t="shared" ca="1" si="127"/>
        <v>224662461.00226134</v>
      </c>
      <c r="M1529" s="471">
        <f t="shared" si="129"/>
        <v>0.05</v>
      </c>
      <c r="N1529" s="475">
        <f t="shared" si="130"/>
        <v>97581</v>
      </c>
    </row>
    <row r="1530" spans="7:14" ht="11.25" customHeight="1" x14ac:dyDescent="0.3">
      <c r="G1530" s="470"/>
      <c r="H1530" s="470">
        <v>1523</v>
      </c>
      <c r="I1530" s="455">
        <f t="shared" ca="1" si="128"/>
        <v>224662461.00226134</v>
      </c>
      <c r="J1530" s="455">
        <f t="array" ref="J1530">IFERROR(INDEX('Retirement Calculator'!J:J,MATCH('Isaac 401k'!N1530,'Retirement Calculator'!A:A,0),0),0)</f>
        <v>0</v>
      </c>
      <c r="K1530" s="455">
        <f t="shared" ca="1" si="126"/>
        <v>936093.58750942221</v>
      </c>
      <c r="L1530" s="455">
        <f t="shared" ca="1" si="127"/>
        <v>225598554.58977076</v>
      </c>
      <c r="M1530" s="471">
        <f t="shared" si="129"/>
        <v>0.05</v>
      </c>
      <c r="N1530" s="475">
        <f t="shared" si="130"/>
        <v>97612</v>
      </c>
    </row>
    <row r="1531" spans="7:14" ht="11.25" customHeight="1" x14ac:dyDescent="0.3">
      <c r="G1531" s="470"/>
      <c r="H1531" s="470">
        <v>1524</v>
      </c>
      <c r="I1531" s="455">
        <f t="shared" ca="1" si="128"/>
        <v>225598554.58977076</v>
      </c>
      <c r="J1531" s="455">
        <f t="array" ref="J1531">IFERROR(INDEX('Retirement Calculator'!J:J,MATCH('Isaac 401k'!N1531,'Retirement Calculator'!A:A,0),0),0)</f>
        <v>0</v>
      </c>
      <c r="K1531" s="455">
        <f t="shared" ca="1" si="126"/>
        <v>939993.97745737818</v>
      </c>
      <c r="L1531" s="455">
        <f t="shared" ca="1" si="127"/>
        <v>226538548.56722814</v>
      </c>
      <c r="M1531" s="471">
        <f t="shared" si="129"/>
        <v>0.05</v>
      </c>
      <c r="N1531" s="475">
        <f t="shared" si="130"/>
        <v>97642</v>
      </c>
    </row>
    <row r="1532" spans="7:14" ht="11.25" customHeight="1" x14ac:dyDescent="0.3">
      <c r="G1532" s="470"/>
      <c r="H1532" s="470">
        <v>1525</v>
      </c>
      <c r="I1532" s="455">
        <f t="shared" ca="1" si="128"/>
        <v>226538548.56722814</v>
      </c>
      <c r="J1532" s="455">
        <f t="array" ref="J1532">IFERROR(INDEX('Retirement Calculator'!J:J,MATCH('Isaac 401k'!N1532,'Retirement Calculator'!A:A,0),0),0)</f>
        <v>0</v>
      </c>
      <c r="K1532" s="455">
        <f t="shared" ca="1" si="126"/>
        <v>943910.61903011717</v>
      </c>
      <c r="L1532" s="455">
        <f t="shared" ca="1" si="127"/>
        <v>227482459.18625826</v>
      </c>
      <c r="M1532" s="471">
        <f t="shared" si="129"/>
        <v>0.05</v>
      </c>
      <c r="N1532" s="475">
        <f t="shared" si="130"/>
        <v>97673</v>
      </c>
    </row>
    <row r="1533" spans="7:14" ht="11.25" customHeight="1" x14ac:dyDescent="0.3">
      <c r="G1533" s="470"/>
      <c r="H1533" s="470">
        <v>1526</v>
      </c>
      <c r="I1533" s="455">
        <f t="shared" ca="1" si="128"/>
        <v>227482459.18625826</v>
      </c>
      <c r="J1533" s="455">
        <f t="array" ref="J1533">IFERROR(INDEX('Retirement Calculator'!J:J,MATCH('Isaac 401k'!N1533,'Retirement Calculator'!A:A,0),0),0)</f>
        <v>0</v>
      </c>
      <c r="K1533" s="455">
        <f t="shared" ca="1" si="126"/>
        <v>947843.57994274271</v>
      </c>
      <c r="L1533" s="455">
        <f t="shared" ca="1" si="127"/>
        <v>228430302.76620099</v>
      </c>
      <c r="M1533" s="471">
        <f t="shared" si="129"/>
        <v>0.05</v>
      </c>
      <c r="N1533" s="475">
        <f t="shared" si="130"/>
        <v>97703</v>
      </c>
    </row>
    <row r="1534" spans="7:14" ht="11.25" customHeight="1" x14ac:dyDescent="0.3">
      <c r="G1534" s="470"/>
      <c r="H1534" s="470">
        <v>1527</v>
      </c>
      <c r="I1534" s="455">
        <f t="shared" ca="1" si="128"/>
        <v>228430302.76620099</v>
      </c>
      <c r="J1534" s="455">
        <f t="array" ref="J1534">IFERROR(INDEX('Retirement Calculator'!J:J,MATCH('Isaac 401k'!N1534,'Retirement Calculator'!A:A,0),0),0)</f>
        <v>0</v>
      </c>
      <c r="K1534" s="455">
        <f t="shared" ca="1" si="126"/>
        <v>951792.9281925041</v>
      </c>
      <c r="L1534" s="455">
        <f t="shared" ca="1" si="127"/>
        <v>229382095.69439349</v>
      </c>
      <c r="M1534" s="471">
        <f t="shared" si="129"/>
        <v>0.05</v>
      </c>
      <c r="N1534" s="475">
        <f t="shared" si="130"/>
        <v>97734</v>
      </c>
    </row>
    <row r="1535" spans="7:14" ht="11.25" customHeight="1" x14ac:dyDescent="0.3">
      <c r="G1535" s="470"/>
      <c r="H1535" s="470">
        <v>1528</v>
      </c>
      <c r="I1535" s="455">
        <f t="shared" ca="1" si="128"/>
        <v>229382095.69439349</v>
      </c>
      <c r="J1535" s="455">
        <f t="array" ref="J1535">IFERROR(INDEX('Retirement Calculator'!J:J,MATCH('Isaac 401k'!N1535,'Retirement Calculator'!A:A,0),0),0)</f>
        <v>0</v>
      </c>
      <c r="K1535" s="455">
        <f t="shared" ca="1" si="126"/>
        <v>955758.73205997283</v>
      </c>
      <c r="L1535" s="455">
        <f t="shared" ca="1" si="127"/>
        <v>230337854.42645347</v>
      </c>
      <c r="M1535" s="471">
        <f t="shared" si="129"/>
        <v>0.05</v>
      </c>
      <c r="N1535" s="475">
        <f t="shared" si="130"/>
        <v>97765</v>
      </c>
    </row>
    <row r="1536" spans="7:14" ht="11.25" customHeight="1" x14ac:dyDescent="0.3">
      <c r="G1536" s="470"/>
      <c r="H1536" s="470">
        <v>1529</v>
      </c>
      <c r="I1536" s="455">
        <f t="shared" ca="1" si="128"/>
        <v>230337854.42645347</v>
      </c>
      <c r="J1536" s="455">
        <f t="array" ref="J1536">IFERROR(INDEX('Retirement Calculator'!J:J,MATCH('Isaac 401k'!N1536,'Retirement Calculator'!A:A,0),0),0)</f>
        <v>0</v>
      </c>
      <c r="K1536" s="455">
        <f t="shared" ca="1" si="126"/>
        <v>959741.06011022278</v>
      </c>
      <c r="L1536" s="455">
        <f t="shared" ca="1" si="127"/>
        <v>231297595.48656368</v>
      </c>
      <c r="M1536" s="471">
        <f t="shared" si="129"/>
        <v>0.05</v>
      </c>
      <c r="N1536" s="475">
        <f t="shared" si="130"/>
        <v>97795</v>
      </c>
    </row>
    <row r="1537" spans="7:14" ht="11.25" customHeight="1" x14ac:dyDescent="0.3">
      <c r="G1537" s="470"/>
      <c r="H1537" s="470">
        <v>1530</v>
      </c>
      <c r="I1537" s="455">
        <f t="shared" ca="1" si="128"/>
        <v>231297595.48656368</v>
      </c>
      <c r="J1537" s="455">
        <f t="array" ref="J1537">IFERROR(INDEX('Retirement Calculator'!J:J,MATCH('Isaac 401k'!N1537,'Retirement Calculator'!A:A,0),0),0)</f>
        <v>0</v>
      </c>
      <c r="K1537" s="455">
        <f t="shared" ca="1" si="126"/>
        <v>963739.98119401548</v>
      </c>
      <c r="L1537" s="455">
        <f t="shared" ca="1" si="127"/>
        <v>232261335.4677577</v>
      </c>
      <c r="M1537" s="471">
        <f t="shared" si="129"/>
        <v>0.05</v>
      </c>
      <c r="N1537" s="475">
        <f t="shared" si="130"/>
        <v>97826</v>
      </c>
    </row>
    <row r="1538" spans="7:14" ht="11.25" customHeight="1" x14ac:dyDescent="0.3">
      <c r="G1538" s="470"/>
      <c r="H1538" s="470">
        <v>1531</v>
      </c>
      <c r="I1538" s="455">
        <f t="shared" ca="1" si="128"/>
        <v>232261335.4677577</v>
      </c>
      <c r="J1538" s="455">
        <f t="array" ref="J1538">IFERROR(INDEX('Retirement Calculator'!J:J,MATCH('Isaac 401k'!N1538,'Retirement Calculator'!A:A,0),0),0)</f>
        <v>0</v>
      </c>
      <c r="K1538" s="455">
        <f t="shared" ref="K1538:K1792" ca="1" si="131">IPMT(M1538/12,1,12,-I1538+J1538,,0)</f>
        <v>967755.56444899039</v>
      </c>
      <c r="L1538" s="455">
        <f t="shared" ref="L1538:L1792" ca="1" si="132">I1538-J1538+K1538</f>
        <v>233229091.03220668</v>
      </c>
      <c r="M1538" s="471">
        <f t="shared" si="129"/>
        <v>0.05</v>
      </c>
      <c r="N1538" s="475">
        <f t="shared" si="130"/>
        <v>97856</v>
      </c>
    </row>
    <row r="1539" spans="7:14" ht="11.25" customHeight="1" x14ac:dyDescent="0.3">
      <c r="G1539" s="470"/>
      <c r="H1539" s="470">
        <v>1532</v>
      </c>
      <c r="I1539" s="455">
        <f t="shared" ref="I1539:I1793" ca="1" si="133">L1538</f>
        <v>233229091.03220668</v>
      </c>
      <c r="J1539" s="455">
        <f t="array" ref="J1539">IFERROR(INDEX('Retirement Calculator'!J:J,MATCH('Isaac 401k'!N1539,'Retirement Calculator'!A:A,0),0),0)</f>
        <v>0</v>
      </c>
      <c r="K1539" s="455">
        <f t="shared" ca="1" si="131"/>
        <v>971787.87930086104</v>
      </c>
      <c r="L1539" s="455">
        <f t="shared" ca="1" si="132"/>
        <v>234200878.91150755</v>
      </c>
      <c r="M1539" s="471">
        <f t="shared" ref="M1539:M1793" si="134">M1538</f>
        <v>0.05</v>
      </c>
      <c r="N1539" s="475">
        <f t="shared" ref="N1539:N1793" si="135">EDATE(N1538,1)</f>
        <v>97887</v>
      </c>
    </row>
    <row r="1540" spans="7:14" ht="11.25" customHeight="1" x14ac:dyDescent="0.3">
      <c r="G1540" s="470"/>
      <c r="H1540" s="470">
        <v>1533</v>
      </c>
      <c r="I1540" s="455">
        <f t="shared" ca="1" si="133"/>
        <v>234200878.91150755</v>
      </c>
      <c r="J1540" s="455">
        <f t="array" ref="J1540">IFERROR(INDEX('Retirement Calculator'!J:J,MATCH('Isaac 401k'!N1540,'Retirement Calculator'!A:A,0),0),0)</f>
        <v>0</v>
      </c>
      <c r="K1540" s="455">
        <f t="shared" ca="1" si="131"/>
        <v>975836.99546461494</v>
      </c>
      <c r="L1540" s="455">
        <f t="shared" ca="1" si="132"/>
        <v>235176715.90697217</v>
      </c>
      <c r="M1540" s="471">
        <f t="shared" si="134"/>
        <v>0.05</v>
      </c>
      <c r="N1540" s="475">
        <f t="shared" si="135"/>
        <v>97918</v>
      </c>
    </row>
    <row r="1541" spans="7:14" ht="11.25" customHeight="1" x14ac:dyDescent="0.3">
      <c r="G1541" s="470"/>
      <c r="H1541" s="470">
        <v>1534</v>
      </c>
      <c r="I1541" s="455">
        <f t="shared" ca="1" si="133"/>
        <v>235176715.90697217</v>
      </c>
      <c r="J1541" s="455">
        <f t="array" ref="J1541">IFERROR(INDEX('Retirement Calculator'!J:J,MATCH('Isaac 401k'!N1541,'Retirement Calculator'!A:A,0),0),0)</f>
        <v>0</v>
      </c>
      <c r="K1541" s="455">
        <f t="shared" ca="1" si="131"/>
        <v>979902.98294571729</v>
      </c>
      <c r="L1541" s="455">
        <f t="shared" ca="1" si="132"/>
        <v>236156618.88991788</v>
      </c>
      <c r="M1541" s="471">
        <f t="shared" si="134"/>
        <v>0.05</v>
      </c>
      <c r="N1541" s="475">
        <f t="shared" si="135"/>
        <v>97947</v>
      </c>
    </row>
    <row r="1542" spans="7:14" ht="11.25" customHeight="1" x14ac:dyDescent="0.3">
      <c r="G1542" s="470"/>
      <c r="H1542" s="470">
        <v>1535</v>
      </c>
      <c r="I1542" s="455">
        <f t="shared" ca="1" si="133"/>
        <v>236156618.88991788</v>
      </c>
      <c r="J1542" s="455">
        <f t="array" ref="J1542">IFERROR(INDEX('Retirement Calculator'!J:J,MATCH('Isaac 401k'!N1542,'Retirement Calculator'!A:A,0),0),0)</f>
        <v>0</v>
      </c>
      <c r="K1542" s="455">
        <f t="shared" ca="1" si="131"/>
        <v>983985.91204132454</v>
      </c>
      <c r="L1542" s="455">
        <f t="shared" ca="1" si="132"/>
        <v>237140604.80195922</v>
      </c>
      <c r="M1542" s="471">
        <f t="shared" si="134"/>
        <v>0.05</v>
      </c>
      <c r="N1542" s="475">
        <f t="shared" si="135"/>
        <v>97978</v>
      </c>
    </row>
    <row r="1543" spans="7:14" ht="11.25" customHeight="1" x14ac:dyDescent="0.3">
      <c r="G1543" s="470"/>
      <c r="H1543" s="470">
        <v>1536</v>
      </c>
      <c r="I1543" s="455">
        <f t="shared" ca="1" si="133"/>
        <v>237140604.80195922</v>
      </c>
      <c r="J1543" s="455">
        <f t="array" ref="J1543">IFERROR(INDEX('Retirement Calculator'!J:J,MATCH('Isaac 401k'!N1543,'Retirement Calculator'!A:A,0),0),0)</f>
        <v>0</v>
      </c>
      <c r="K1543" s="455">
        <f t="shared" ca="1" si="131"/>
        <v>988085.85334149667</v>
      </c>
      <c r="L1543" s="455">
        <f t="shared" ca="1" si="132"/>
        <v>238128690.65530071</v>
      </c>
      <c r="M1543" s="471">
        <f t="shared" si="134"/>
        <v>0.05</v>
      </c>
      <c r="N1543" s="475">
        <f t="shared" si="135"/>
        <v>98008</v>
      </c>
    </row>
    <row r="1544" spans="7:14" ht="11.25" customHeight="1" x14ac:dyDescent="0.3">
      <c r="G1544" s="470"/>
      <c r="H1544" s="470">
        <v>1537</v>
      </c>
      <c r="I1544" s="455">
        <f t="shared" ca="1" si="133"/>
        <v>238128690.65530071</v>
      </c>
      <c r="J1544" s="455">
        <f t="array" ref="J1544">IFERROR(INDEX('Retirement Calculator'!J:J,MATCH('Isaac 401k'!N1544,'Retirement Calculator'!A:A,0),0),0)</f>
        <v>0</v>
      </c>
      <c r="K1544" s="455">
        <f t="shared" ca="1" si="131"/>
        <v>992202.87773041951</v>
      </c>
      <c r="L1544" s="455">
        <f t="shared" ca="1" si="132"/>
        <v>239120893.53303114</v>
      </c>
      <c r="M1544" s="471">
        <f t="shared" si="134"/>
        <v>0.05</v>
      </c>
      <c r="N1544" s="475">
        <f t="shared" si="135"/>
        <v>98039</v>
      </c>
    </row>
    <row r="1545" spans="7:14" ht="11.25" customHeight="1" x14ac:dyDescent="0.3">
      <c r="G1545" s="470"/>
      <c r="H1545" s="470">
        <v>1538</v>
      </c>
      <c r="I1545" s="455">
        <f t="shared" ca="1" si="133"/>
        <v>239120893.53303114</v>
      </c>
      <c r="J1545" s="455">
        <f t="array" ref="J1545">IFERROR(INDEX('Retirement Calculator'!J:J,MATCH('Isaac 401k'!N1545,'Retirement Calculator'!A:A,0),0),0)</f>
        <v>0</v>
      </c>
      <c r="K1545" s="455">
        <f t="shared" ca="1" si="131"/>
        <v>996337.05638762971</v>
      </c>
      <c r="L1545" s="455">
        <f t="shared" ca="1" si="132"/>
        <v>240117230.58941877</v>
      </c>
      <c r="M1545" s="471">
        <f t="shared" si="134"/>
        <v>0.05</v>
      </c>
      <c r="N1545" s="475">
        <f t="shared" si="135"/>
        <v>98069</v>
      </c>
    </row>
    <row r="1546" spans="7:14" ht="11.25" customHeight="1" x14ac:dyDescent="0.3">
      <c r="G1546" s="470"/>
      <c r="H1546" s="470">
        <v>1539</v>
      </c>
      <c r="I1546" s="455">
        <f t="shared" ca="1" si="133"/>
        <v>240117230.58941877</v>
      </c>
      <c r="J1546" s="455">
        <f t="array" ref="J1546">IFERROR(INDEX('Retirement Calculator'!J:J,MATCH('Isaac 401k'!N1546,'Retirement Calculator'!A:A,0),0),0)</f>
        <v>0</v>
      </c>
      <c r="K1546" s="455">
        <f t="shared" ca="1" si="131"/>
        <v>1000488.4607892449</v>
      </c>
      <c r="L1546" s="455">
        <f t="shared" ca="1" si="132"/>
        <v>241117719.050208</v>
      </c>
      <c r="M1546" s="471">
        <f t="shared" si="134"/>
        <v>0.05</v>
      </c>
      <c r="N1546" s="475">
        <f t="shared" si="135"/>
        <v>98100</v>
      </c>
    </row>
    <row r="1547" spans="7:14" ht="11.25" customHeight="1" x14ac:dyDescent="0.3">
      <c r="G1547" s="470"/>
      <c r="H1547" s="470">
        <v>1540</v>
      </c>
      <c r="I1547" s="455">
        <f t="shared" ca="1" si="133"/>
        <v>241117719.050208</v>
      </c>
      <c r="J1547" s="455">
        <f t="array" ref="J1547">IFERROR(INDEX('Retirement Calculator'!J:J,MATCH('Isaac 401k'!N1547,'Retirement Calculator'!A:A,0),0),0)</f>
        <v>0</v>
      </c>
      <c r="K1547" s="455">
        <f t="shared" ca="1" si="131"/>
        <v>1004657.1627091999</v>
      </c>
      <c r="L1547" s="455">
        <f t="shared" ca="1" si="132"/>
        <v>242122376.21291721</v>
      </c>
      <c r="M1547" s="471">
        <f t="shared" si="134"/>
        <v>0.05</v>
      </c>
      <c r="N1547" s="475">
        <f t="shared" si="135"/>
        <v>98131</v>
      </c>
    </row>
    <row r="1548" spans="7:14" ht="11.25" customHeight="1" x14ac:dyDescent="0.3">
      <c r="G1548" s="470"/>
      <c r="H1548" s="470">
        <v>1541</v>
      </c>
      <c r="I1548" s="455">
        <f t="shared" ca="1" si="133"/>
        <v>242122376.21291721</v>
      </c>
      <c r="J1548" s="455">
        <f t="array" ref="J1548">IFERROR(INDEX('Retirement Calculator'!J:J,MATCH('Isaac 401k'!N1548,'Retirement Calculator'!A:A,0),0),0)</f>
        <v>0</v>
      </c>
      <c r="K1548" s="455">
        <f t="shared" ca="1" si="131"/>
        <v>1008843.2342204885</v>
      </c>
      <c r="L1548" s="455">
        <f t="shared" ca="1" si="132"/>
        <v>243131219.44713768</v>
      </c>
      <c r="M1548" s="471">
        <f t="shared" si="134"/>
        <v>0.05</v>
      </c>
      <c r="N1548" s="475">
        <f t="shared" si="135"/>
        <v>98161</v>
      </c>
    </row>
    <row r="1549" spans="7:14" ht="11.25" customHeight="1" x14ac:dyDescent="0.3">
      <c r="G1549" s="470"/>
      <c r="H1549" s="470">
        <v>1542</v>
      </c>
      <c r="I1549" s="455">
        <f t="shared" ca="1" si="133"/>
        <v>243131219.44713768</v>
      </c>
      <c r="J1549" s="455">
        <f t="array" ref="J1549">IFERROR(INDEX('Retirement Calculator'!J:J,MATCH('Isaac 401k'!N1549,'Retirement Calculator'!A:A,0),0),0)</f>
        <v>0</v>
      </c>
      <c r="K1549" s="455">
        <f t="shared" ca="1" si="131"/>
        <v>1013046.7476964069</v>
      </c>
      <c r="L1549" s="455">
        <f t="shared" ca="1" si="132"/>
        <v>244144266.19483408</v>
      </c>
      <c r="M1549" s="471">
        <f t="shared" si="134"/>
        <v>0.05</v>
      </c>
      <c r="N1549" s="475">
        <f t="shared" si="135"/>
        <v>98192</v>
      </c>
    </row>
    <row r="1550" spans="7:14" ht="11.25" customHeight="1" x14ac:dyDescent="0.3">
      <c r="G1550" s="470"/>
      <c r="H1550" s="470">
        <v>1543</v>
      </c>
      <c r="I1550" s="455">
        <f t="shared" ca="1" si="133"/>
        <v>244144266.19483408</v>
      </c>
      <c r="J1550" s="455">
        <f t="array" ref="J1550">IFERROR(INDEX('Retirement Calculator'!J:J,MATCH('Isaac 401k'!N1550,'Retirement Calculator'!A:A,0),0),0)</f>
        <v>0</v>
      </c>
      <c r="K1550" s="455">
        <f t="shared" ca="1" si="131"/>
        <v>1017267.7758118085</v>
      </c>
      <c r="L1550" s="455">
        <f t="shared" ca="1" si="132"/>
        <v>245161533.9706459</v>
      </c>
      <c r="M1550" s="471">
        <f t="shared" si="134"/>
        <v>0.05</v>
      </c>
      <c r="N1550" s="475">
        <f t="shared" si="135"/>
        <v>98222</v>
      </c>
    </row>
    <row r="1551" spans="7:14" ht="11.25" customHeight="1" x14ac:dyDescent="0.3">
      <c r="G1551" s="470"/>
      <c r="H1551" s="470">
        <v>1544</v>
      </c>
      <c r="I1551" s="455">
        <f t="shared" ca="1" si="133"/>
        <v>245161533.9706459</v>
      </c>
      <c r="J1551" s="455">
        <f t="array" ref="J1551">IFERROR(INDEX('Retirement Calculator'!J:J,MATCH('Isaac 401k'!N1551,'Retirement Calculator'!A:A,0),0),0)</f>
        <v>0</v>
      </c>
      <c r="K1551" s="455">
        <f t="shared" ca="1" si="131"/>
        <v>1021506.391544358</v>
      </c>
      <c r="L1551" s="455">
        <f t="shared" ca="1" si="132"/>
        <v>246183040.36219028</v>
      </c>
      <c r="M1551" s="471">
        <f t="shared" si="134"/>
        <v>0.05</v>
      </c>
      <c r="N1551" s="475">
        <f t="shared" si="135"/>
        <v>98253</v>
      </c>
    </row>
    <row r="1552" spans="7:14" ht="11.25" customHeight="1" x14ac:dyDescent="0.3">
      <c r="G1552" s="470"/>
      <c r="H1552" s="470">
        <v>1545</v>
      </c>
      <c r="I1552" s="455">
        <f t="shared" ca="1" si="133"/>
        <v>246183040.36219028</v>
      </c>
      <c r="J1552" s="455">
        <f t="array" ref="J1552">IFERROR(INDEX('Retirement Calculator'!J:J,MATCH('Isaac 401k'!N1552,'Retirement Calculator'!A:A,0),0),0)</f>
        <v>0</v>
      </c>
      <c r="K1552" s="455">
        <f t="shared" ca="1" si="131"/>
        <v>1025762.6681757928</v>
      </c>
      <c r="L1552" s="455">
        <f t="shared" ca="1" si="132"/>
        <v>247208803.03036606</v>
      </c>
      <c r="M1552" s="471">
        <f t="shared" si="134"/>
        <v>0.05</v>
      </c>
      <c r="N1552" s="475">
        <f t="shared" si="135"/>
        <v>98284</v>
      </c>
    </row>
    <row r="1553" spans="7:14" ht="11.25" customHeight="1" x14ac:dyDescent="0.3">
      <c r="G1553" s="470"/>
      <c r="H1553" s="470">
        <v>1546</v>
      </c>
      <c r="I1553" s="455">
        <f t="shared" ca="1" si="133"/>
        <v>247208803.03036606</v>
      </c>
      <c r="J1553" s="455">
        <f t="array" ref="J1553">IFERROR(INDEX('Retirement Calculator'!J:J,MATCH('Isaac 401k'!N1553,'Retirement Calculator'!A:A,0),0),0)</f>
        <v>0</v>
      </c>
      <c r="K1553" s="455">
        <f t="shared" ca="1" si="131"/>
        <v>1030036.6792931919</v>
      </c>
      <c r="L1553" s="455">
        <f t="shared" ca="1" si="132"/>
        <v>248238839.70965925</v>
      </c>
      <c r="M1553" s="471">
        <f t="shared" si="134"/>
        <v>0.05</v>
      </c>
      <c r="N1553" s="475">
        <f t="shared" si="135"/>
        <v>98312</v>
      </c>
    </row>
    <row r="1554" spans="7:14" ht="11.25" customHeight="1" x14ac:dyDescent="0.3">
      <c r="G1554" s="470"/>
      <c r="H1554" s="470">
        <v>1547</v>
      </c>
      <c r="I1554" s="455">
        <f t="shared" ca="1" si="133"/>
        <v>248238839.70965925</v>
      </c>
      <c r="J1554" s="455">
        <f t="array" ref="J1554">IFERROR(INDEX('Retirement Calculator'!J:J,MATCH('Isaac 401k'!N1554,'Retirement Calculator'!A:A,0),0),0)</f>
        <v>0</v>
      </c>
      <c r="K1554" s="455">
        <f t="shared" ca="1" si="131"/>
        <v>1034328.4987902469</v>
      </c>
      <c r="L1554" s="455">
        <f t="shared" ca="1" si="132"/>
        <v>249273168.20844948</v>
      </c>
      <c r="M1554" s="471">
        <f t="shared" si="134"/>
        <v>0.05</v>
      </c>
      <c r="N1554" s="475">
        <f t="shared" si="135"/>
        <v>98343</v>
      </c>
    </row>
    <row r="1555" spans="7:14" ht="11.25" customHeight="1" x14ac:dyDescent="0.3">
      <c r="G1555" s="470"/>
      <c r="H1555" s="470">
        <v>1548</v>
      </c>
      <c r="I1555" s="455">
        <f t="shared" ca="1" si="133"/>
        <v>249273168.20844948</v>
      </c>
      <c r="J1555" s="455">
        <f t="array" ref="J1555">IFERROR(INDEX('Retirement Calculator'!J:J,MATCH('Isaac 401k'!N1555,'Retirement Calculator'!A:A,0),0),0)</f>
        <v>0</v>
      </c>
      <c r="K1555" s="455">
        <f t="shared" ca="1" si="131"/>
        <v>1038638.2008685395</v>
      </c>
      <c r="L1555" s="455">
        <f t="shared" ca="1" si="132"/>
        <v>250311806.40931803</v>
      </c>
      <c r="M1555" s="471">
        <f t="shared" si="134"/>
        <v>0.05</v>
      </c>
      <c r="N1555" s="475">
        <f t="shared" si="135"/>
        <v>98373</v>
      </c>
    </row>
    <row r="1556" spans="7:14" ht="11.25" customHeight="1" x14ac:dyDescent="0.3">
      <c r="G1556" s="470"/>
      <c r="H1556" s="470">
        <v>1549</v>
      </c>
      <c r="I1556" s="455">
        <f t="shared" ca="1" si="133"/>
        <v>250311806.40931803</v>
      </c>
      <c r="J1556" s="455">
        <f t="array" ref="J1556">IFERROR(INDEX('Retirement Calculator'!J:J,MATCH('Isaac 401k'!N1556,'Retirement Calculator'!A:A,0),0),0)</f>
        <v>0</v>
      </c>
      <c r="K1556" s="455">
        <f t="shared" ca="1" si="131"/>
        <v>1042965.860038825</v>
      </c>
      <c r="L1556" s="455">
        <f t="shared" ca="1" si="132"/>
        <v>251354772.26935685</v>
      </c>
      <c r="M1556" s="471">
        <f t="shared" si="134"/>
        <v>0.05</v>
      </c>
      <c r="N1556" s="475">
        <f t="shared" si="135"/>
        <v>98404</v>
      </c>
    </row>
    <row r="1557" spans="7:14" ht="11.25" customHeight="1" x14ac:dyDescent="0.3">
      <c r="G1557" s="470"/>
      <c r="H1557" s="470">
        <v>1550</v>
      </c>
      <c r="I1557" s="455">
        <f t="shared" ca="1" si="133"/>
        <v>251354772.26935685</v>
      </c>
      <c r="J1557" s="455">
        <f t="array" ref="J1557">IFERROR(INDEX('Retirement Calculator'!J:J,MATCH('Isaac 401k'!N1557,'Retirement Calculator'!A:A,0),0),0)</f>
        <v>0</v>
      </c>
      <c r="K1557" s="455">
        <f t="shared" ca="1" si="131"/>
        <v>1047311.5511223204</v>
      </c>
      <c r="L1557" s="455">
        <f t="shared" ca="1" si="132"/>
        <v>252402083.82047915</v>
      </c>
      <c r="M1557" s="471">
        <f t="shared" si="134"/>
        <v>0.05</v>
      </c>
      <c r="N1557" s="475">
        <f t="shared" si="135"/>
        <v>98434</v>
      </c>
    </row>
    <row r="1558" spans="7:14" ht="11.25" customHeight="1" x14ac:dyDescent="0.3">
      <c r="G1558" s="470"/>
      <c r="H1558" s="470">
        <v>1551</v>
      </c>
      <c r="I1558" s="455">
        <f t="shared" ca="1" si="133"/>
        <v>252402083.82047915</v>
      </c>
      <c r="J1558" s="455">
        <f t="array" ref="J1558">IFERROR(INDEX('Retirement Calculator'!J:J,MATCH('Isaac 401k'!N1558,'Retirement Calculator'!A:A,0),0),0)</f>
        <v>0</v>
      </c>
      <c r="K1558" s="455">
        <f t="shared" ca="1" si="131"/>
        <v>1051675.3492519965</v>
      </c>
      <c r="L1558" s="455">
        <f t="shared" ca="1" si="132"/>
        <v>253453759.16973114</v>
      </c>
      <c r="M1558" s="471">
        <f t="shared" si="134"/>
        <v>0.05</v>
      </c>
      <c r="N1558" s="475">
        <f t="shared" si="135"/>
        <v>98465</v>
      </c>
    </row>
    <row r="1559" spans="7:14" ht="11.25" customHeight="1" x14ac:dyDescent="0.3">
      <c r="G1559" s="470"/>
      <c r="H1559" s="470">
        <v>1552</v>
      </c>
      <c r="I1559" s="455">
        <f t="shared" ca="1" si="133"/>
        <v>253453759.16973114</v>
      </c>
      <c r="J1559" s="455">
        <f t="array" ref="J1559">IFERROR(INDEX('Retirement Calculator'!J:J,MATCH('Isaac 401k'!N1559,'Retirement Calculator'!A:A,0),0),0)</f>
        <v>0</v>
      </c>
      <c r="K1559" s="455">
        <f t="shared" ca="1" si="131"/>
        <v>1056057.3298738797</v>
      </c>
      <c r="L1559" s="455">
        <f t="shared" ca="1" si="132"/>
        <v>254509816.49960503</v>
      </c>
      <c r="M1559" s="471">
        <f t="shared" si="134"/>
        <v>0.05</v>
      </c>
      <c r="N1559" s="475">
        <f t="shared" si="135"/>
        <v>98496</v>
      </c>
    </row>
    <row r="1560" spans="7:14" ht="11.25" customHeight="1" x14ac:dyDescent="0.3">
      <c r="G1560" s="470"/>
      <c r="H1560" s="470">
        <v>1553</v>
      </c>
      <c r="I1560" s="455">
        <f t="shared" ca="1" si="133"/>
        <v>254509816.49960503</v>
      </c>
      <c r="J1560" s="455">
        <f t="array" ref="J1560">IFERROR(INDEX('Retirement Calculator'!J:J,MATCH('Isaac 401k'!N1560,'Retirement Calculator'!A:A,0),0),0)</f>
        <v>0</v>
      </c>
      <c r="K1560" s="455">
        <f t="shared" ca="1" si="131"/>
        <v>1060457.5687483542</v>
      </c>
      <c r="L1560" s="455">
        <f t="shared" ca="1" si="132"/>
        <v>255570274.06835338</v>
      </c>
      <c r="M1560" s="471">
        <f t="shared" si="134"/>
        <v>0.05</v>
      </c>
      <c r="N1560" s="475">
        <f t="shared" si="135"/>
        <v>98526</v>
      </c>
    </row>
    <row r="1561" spans="7:14" ht="11.25" customHeight="1" x14ac:dyDescent="0.3">
      <c r="G1561" s="470"/>
      <c r="H1561" s="470">
        <v>1554</v>
      </c>
      <c r="I1561" s="455">
        <f t="shared" ca="1" si="133"/>
        <v>255570274.06835338</v>
      </c>
      <c r="J1561" s="455">
        <f t="array" ref="J1561">IFERROR(INDEX('Retirement Calculator'!J:J,MATCH('Isaac 401k'!N1561,'Retirement Calculator'!A:A,0),0),0)</f>
        <v>0</v>
      </c>
      <c r="K1561" s="455">
        <f t="shared" ca="1" si="131"/>
        <v>1064876.1419514725</v>
      </c>
      <c r="L1561" s="455">
        <f t="shared" ca="1" si="132"/>
        <v>256635150.21030486</v>
      </c>
      <c r="M1561" s="471">
        <f t="shared" si="134"/>
        <v>0.05</v>
      </c>
      <c r="N1561" s="475">
        <f t="shared" si="135"/>
        <v>98557</v>
      </c>
    </row>
    <row r="1562" spans="7:14" ht="11.25" customHeight="1" x14ac:dyDescent="0.3">
      <c r="G1562" s="470"/>
      <c r="H1562" s="470">
        <v>1555</v>
      </c>
      <c r="I1562" s="455">
        <f t="shared" ca="1" si="133"/>
        <v>256635150.21030486</v>
      </c>
      <c r="J1562" s="455">
        <f t="array" ref="J1562">IFERROR(INDEX('Retirement Calculator'!J:J,MATCH('Isaac 401k'!N1562,'Retirement Calculator'!A:A,0),0),0)</f>
        <v>0</v>
      </c>
      <c r="K1562" s="455">
        <f t="shared" ca="1" si="131"/>
        <v>1069313.1258762702</v>
      </c>
      <c r="L1562" s="455">
        <f t="shared" ca="1" si="132"/>
        <v>257704463.33618113</v>
      </c>
      <c r="M1562" s="471">
        <f t="shared" si="134"/>
        <v>0.05</v>
      </c>
      <c r="N1562" s="475">
        <f t="shared" si="135"/>
        <v>98587</v>
      </c>
    </row>
    <row r="1563" spans="7:14" ht="11.25" customHeight="1" x14ac:dyDescent="0.3">
      <c r="G1563" s="470"/>
      <c r="H1563" s="470">
        <v>1556</v>
      </c>
      <c r="I1563" s="455">
        <f t="shared" ca="1" si="133"/>
        <v>257704463.33618113</v>
      </c>
      <c r="J1563" s="455">
        <f t="array" ref="J1563">IFERROR(INDEX('Retirement Calculator'!J:J,MATCH('Isaac 401k'!N1563,'Retirement Calculator'!A:A,0),0),0)</f>
        <v>0</v>
      </c>
      <c r="K1563" s="455">
        <f t="shared" ca="1" si="131"/>
        <v>1073768.597234088</v>
      </c>
      <c r="L1563" s="455">
        <f t="shared" ca="1" si="132"/>
        <v>258778231.93341523</v>
      </c>
      <c r="M1563" s="471">
        <f t="shared" si="134"/>
        <v>0.05</v>
      </c>
      <c r="N1563" s="475">
        <f t="shared" si="135"/>
        <v>98618</v>
      </c>
    </row>
    <row r="1564" spans="7:14" ht="11.25" customHeight="1" x14ac:dyDescent="0.3">
      <c r="G1564" s="470"/>
      <c r="H1564" s="470">
        <v>1557</v>
      </c>
      <c r="I1564" s="455">
        <f t="shared" ca="1" si="133"/>
        <v>258778231.93341523</v>
      </c>
      <c r="J1564" s="455">
        <f t="array" ref="J1564">IFERROR(INDEX('Retirement Calculator'!J:J,MATCH('Isaac 401k'!N1564,'Retirement Calculator'!A:A,0),0),0)</f>
        <v>0</v>
      </c>
      <c r="K1564" s="455">
        <f t="shared" ca="1" si="131"/>
        <v>1078242.633055897</v>
      </c>
      <c r="L1564" s="455">
        <f t="shared" ca="1" si="132"/>
        <v>259856474.56647113</v>
      </c>
      <c r="M1564" s="471">
        <f t="shared" si="134"/>
        <v>0.05</v>
      </c>
      <c r="N1564" s="475">
        <f t="shared" si="135"/>
        <v>98649</v>
      </c>
    </row>
    <row r="1565" spans="7:14" ht="11.25" customHeight="1" x14ac:dyDescent="0.3">
      <c r="G1565" s="470"/>
      <c r="H1565" s="470">
        <v>1558</v>
      </c>
      <c r="I1565" s="455">
        <f t="shared" ca="1" si="133"/>
        <v>259856474.56647113</v>
      </c>
      <c r="J1565" s="455">
        <f t="array" ref="J1565">IFERROR(INDEX('Retirement Calculator'!J:J,MATCH('Isaac 401k'!N1565,'Retirement Calculator'!A:A,0),0),0)</f>
        <v>0</v>
      </c>
      <c r="K1565" s="455">
        <f t="shared" ca="1" si="131"/>
        <v>1082735.3106936296</v>
      </c>
      <c r="L1565" s="455">
        <f t="shared" ca="1" si="132"/>
        <v>260939209.87716475</v>
      </c>
      <c r="M1565" s="471">
        <f t="shared" si="134"/>
        <v>0.05</v>
      </c>
      <c r="N1565" s="475">
        <f t="shared" si="135"/>
        <v>98677</v>
      </c>
    </row>
    <row r="1566" spans="7:14" ht="11.25" customHeight="1" x14ac:dyDescent="0.3">
      <c r="G1566" s="470"/>
      <c r="H1566" s="470">
        <v>1559</v>
      </c>
      <c r="I1566" s="455">
        <f t="shared" ca="1" si="133"/>
        <v>260939209.87716475</v>
      </c>
      <c r="J1566" s="455">
        <f t="array" ref="J1566">IFERROR(INDEX('Retirement Calculator'!J:J,MATCH('Isaac 401k'!N1566,'Retirement Calculator'!A:A,0),0),0)</f>
        <v>0</v>
      </c>
      <c r="K1566" s="455">
        <f t="shared" ca="1" si="131"/>
        <v>1087246.7078215196</v>
      </c>
      <c r="L1566" s="455">
        <f t="shared" ca="1" si="132"/>
        <v>262026456.58498627</v>
      </c>
      <c r="M1566" s="471">
        <f t="shared" si="134"/>
        <v>0.05</v>
      </c>
      <c r="N1566" s="475">
        <f t="shared" si="135"/>
        <v>98708</v>
      </c>
    </row>
    <row r="1567" spans="7:14" ht="11.25" customHeight="1" x14ac:dyDescent="0.3">
      <c r="G1567" s="470"/>
      <c r="H1567" s="470">
        <v>1560</v>
      </c>
      <c r="I1567" s="455">
        <f t="shared" ca="1" si="133"/>
        <v>262026456.58498627</v>
      </c>
      <c r="J1567" s="455">
        <f t="array" ref="J1567">IFERROR(INDEX('Retirement Calculator'!J:J,MATCH('Isaac 401k'!N1567,'Retirement Calculator'!A:A,0),0),0)</f>
        <v>0</v>
      </c>
      <c r="K1567" s="455">
        <f t="shared" ca="1" si="131"/>
        <v>1091776.9024374427</v>
      </c>
      <c r="L1567" s="455">
        <f t="shared" ca="1" si="132"/>
        <v>263118233.48742372</v>
      </c>
      <c r="M1567" s="471">
        <f t="shared" si="134"/>
        <v>0.05</v>
      </c>
      <c r="N1567" s="475">
        <f t="shared" si="135"/>
        <v>98738</v>
      </c>
    </row>
    <row r="1568" spans="7:14" ht="11.25" customHeight="1" x14ac:dyDescent="0.3">
      <c r="G1568" s="470"/>
      <c r="H1568" s="470">
        <v>1561</v>
      </c>
      <c r="I1568" s="455">
        <f t="shared" ca="1" si="133"/>
        <v>263118233.48742372</v>
      </c>
      <c r="J1568" s="455">
        <f t="array" ref="J1568">IFERROR(INDEX('Retirement Calculator'!J:J,MATCH('Isaac 401k'!N1568,'Retirement Calculator'!A:A,0),0),0)</f>
        <v>0</v>
      </c>
      <c r="K1568" s="455">
        <f t="shared" ca="1" si="131"/>
        <v>1096325.9728642656</v>
      </c>
      <c r="L1568" s="455">
        <f t="shared" ca="1" si="132"/>
        <v>264214559.46028799</v>
      </c>
      <c r="M1568" s="471">
        <f t="shared" si="134"/>
        <v>0.05</v>
      </c>
      <c r="N1568" s="475">
        <f t="shared" si="135"/>
        <v>98769</v>
      </c>
    </row>
    <row r="1569" spans="7:14" ht="11.25" customHeight="1" x14ac:dyDescent="0.3">
      <c r="G1569" s="470"/>
      <c r="H1569" s="470">
        <v>1562</v>
      </c>
      <c r="I1569" s="455">
        <f t="shared" ca="1" si="133"/>
        <v>264214559.46028799</v>
      </c>
      <c r="J1569" s="455">
        <f t="array" ref="J1569">IFERROR(INDEX('Retirement Calculator'!J:J,MATCH('Isaac 401k'!N1569,'Retirement Calculator'!A:A,0),0),0)</f>
        <v>0</v>
      </c>
      <c r="K1569" s="455">
        <f t="shared" ca="1" si="131"/>
        <v>1100893.9977512001</v>
      </c>
      <c r="L1569" s="455">
        <f t="shared" ca="1" si="132"/>
        <v>265315453.45803919</v>
      </c>
      <c r="M1569" s="471">
        <f t="shared" si="134"/>
        <v>0.05</v>
      </c>
      <c r="N1569" s="475">
        <f t="shared" si="135"/>
        <v>98799</v>
      </c>
    </row>
    <row r="1570" spans="7:14" ht="11.25" customHeight="1" x14ac:dyDescent="0.3">
      <c r="G1570" s="470"/>
      <c r="H1570" s="470">
        <v>1563</v>
      </c>
      <c r="I1570" s="455">
        <f t="shared" ca="1" si="133"/>
        <v>265315453.45803919</v>
      </c>
      <c r="J1570" s="455">
        <f t="array" ref="J1570">IFERROR(INDEX('Retirement Calculator'!J:J,MATCH('Isaac 401k'!N1570,'Retirement Calculator'!A:A,0),0),0)</f>
        <v>0</v>
      </c>
      <c r="K1570" s="455">
        <f t="shared" ca="1" si="131"/>
        <v>1105481.0560751632</v>
      </c>
      <c r="L1570" s="455">
        <f t="shared" ca="1" si="132"/>
        <v>266420934.51411435</v>
      </c>
      <c r="M1570" s="471">
        <f t="shared" si="134"/>
        <v>0.05</v>
      </c>
      <c r="N1570" s="475">
        <f t="shared" si="135"/>
        <v>98830</v>
      </c>
    </row>
    <row r="1571" spans="7:14" ht="11.25" customHeight="1" x14ac:dyDescent="0.3">
      <c r="G1571" s="470"/>
      <c r="H1571" s="470">
        <v>1564</v>
      </c>
      <c r="I1571" s="455">
        <f t="shared" ca="1" si="133"/>
        <v>266420934.51411435</v>
      </c>
      <c r="J1571" s="455">
        <f t="array" ref="J1571">IFERROR(INDEX('Retirement Calculator'!J:J,MATCH('Isaac 401k'!N1571,'Retirement Calculator'!A:A,0),0),0)</f>
        <v>0</v>
      </c>
      <c r="K1571" s="455">
        <f t="shared" ca="1" si="131"/>
        <v>1110087.2271421431</v>
      </c>
      <c r="L1571" s="455">
        <f t="shared" ca="1" si="132"/>
        <v>267531021.74125651</v>
      </c>
      <c r="M1571" s="471">
        <f t="shared" si="134"/>
        <v>0.05</v>
      </c>
      <c r="N1571" s="475">
        <f t="shared" si="135"/>
        <v>98861</v>
      </c>
    </row>
    <row r="1572" spans="7:14" ht="11.25" customHeight="1" x14ac:dyDescent="0.3">
      <c r="G1572" s="470"/>
      <c r="H1572" s="470">
        <v>1565</v>
      </c>
      <c r="I1572" s="455">
        <f t="shared" ca="1" si="133"/>
        <v>267531021.74125651</v>
      </c>
      <c r="J1572" s="455">
        <f t="array" ref="J1572">IFERROR(INDEX('Retirement Calculator'!J:J,MATCH('Isaac 401k'!N1572,'Retirement Calculator'!A:A,0),0),0)</f>
        <v>0</v>
      </c>
      <c r="K1572" s="455">
        <f t="shared" ca="1" si="131"/>
        <v>1114712.5905885687</v>
      </c>
      <c r="L1572" s="455">
        <f t="shared" ca="1" si="132"/>
        <v>268645734.33184505</v>
      </c>
      <c r="M1572" s="471">
        <f t="shared" si="134"/>
        <v>0.05</v>
      </c>
      <c r="N1572" s="475">
        <f t="shared" si="135"/>
        <v>98891</v>
      </c>
    </row>
    <row r="1573" spans="7:14" ht="11.25" customHeight="1" x14ac:dyDescent="0.3">
      <c r="G1573" s="470"/>
      <c r="H1573" s="470">
        <v>1566</v>
      </c>
      <c r="I1573" s="455">
        <f t="shared" ca="1" si="133"/>
        <v>268645734.33184505</v>
      </c>
      <c r="J1573" s="455">
        <f t="array" ref="J1573">IFERROR(INDEX('Retirement Calculator'!J:J,MATCH('Isaac 401k'!N1573,'Retirement Calculator'!A:A,0),0),0)</f>
        <v>0</v>
      </c>
      <c r="K1573" s="455">
        <f t="shared" ca="1" si="131"/>
        <v>1119357.2263826877</v>
      </c>
      <c r="L1573" s="455">
        <f t="shared" ca="1" si="132"/>
        <v>269765091.55822772</v>
      </c>
      <c r="M1573" s="471">
        <f t="shared" si="134"/>
        <v>0.05</v>
      </c>
      <c r="N1573" s="475">
        <f t="shared" si="135"/>
        <v>98922</v>
      </c>
    </row>
    <row r="1574" spans="7:14" ht="11.25" customHeight="1" x14ac:dyDescent="0.3">
      <c r="G1574" s="470"/>
      <c r="H1574" s="470">
        <v>1567</v>
      </c>
      <c r="I1574" s="455">
        <f t="shared" ca="1" si="133"/>
        <v>269765091.55822772</v>
      </c>
      <c r="J1574" s="455">
        <f t="array" ref="J1574">IFERROR(INDEX('Retirement Calculator'!J:J,MATCH('Isaac 401k'!N1574,'Retirement Calculator'!A:A,0),0),0)</f>
        <v>0</v>
      </c>
      <c r="K1574" s="455">
        <f t="shared" ca="1" si="131"/>
        <v>1124021.2148259487</v>
      </c>
      <c r="L1574" s="455">
        <f t="shared" ca="1" si="132"/>
        <v>270889112.77305365</v>
      </c>
      <c r="M1574" s="471">
        <f t="shared" si="134"/>
        <v>0.05</v>
      </c>
      <c r="N1574" s="475">
        <f t="shared" si="135"/>
        <v>98952</v>
      </c>
    </row>
    <row r="1575" spans="7:14" ht="11.25" customHeight="1" x14ac:dyDescent="0.3">
      <c r="G1575" s="470"/>
      <c r="H1575" s="470">
        <v>1568</v>
      </c>
      <c r="I1575" s="455">
        <f t="shared" ca="1" si="133"/>
        <v>270889112.77305365</v>
      </c>
      <c r="J1575" s="455">
        <f t="array" ref="J1575">IFERROR(INDEX('Retirement Calculator'!J:J,MATCH('Isaac 401k'!N1575,'Retirement Calculator'!A:A,0),0),0)</f>
        <v>0</v>
      </c>
      <c r="K1575" s="455">
        <f t="shared" ca="1" si="131"/>
        <v>1128704.6365543902</v>
      </c>
      <c r="L1575" s="455">
        <f t="shared" ca="1" si="132"/>
        <v>272017817.40960801</v>
      </c>
      <c r="M1575" s="471">
        <f t="shared" si="134"/>
        <v>0.05</v>
      </c>
      <c r="N1575" s="475">
        <f t="shared" si="135"/>
        <v>98983</v>
      </c>
    </row>
    <row r="1576" spans="7:14" ht="11.25" customHeight="1" x14ac:dyDescent="0.3">
      <c r="G1576" s="470"/>
      <c r="H1576" s="470">
        <v>1569</v>
      </c>
      <c r="I1576" s="455">
        <f t="shared" ca="1" si="133"/>
        <v>272017817.40960801</v>
      </c>
      <c r="J1576" s="455">
        <f t="array" ref="J1576">IFERROR(INDEX('Retirement Calculator'!J:J,MATCH('Isaac 401k'!N1576,'Retirement Calculator'!A:A,0),0),0)</f>
        <v>0</v>
      </c>
      <c r="K1576" s="455">
        <f t="shared" ca="1" si="131"/>
        <v>1133407.5725400334</v>
      </c>
      <c r="L1576" s="455">
        <f t="shared" ca="1" si="132"/>
        <v>273151224.98214805</v>
      </c>
      <c r="M1576" s="471">
        <f t="shared" si="134"/>
        <v>0.05</v>
      </c>
      <c r="N1576" s="475">
        <f t="shared" si="135"/>
        <v>99014</v>
      </c>
    </row>
    <row r="1577" spans="7:14" ht="11.25" customHeight="1" x14ac:dyDescent="0.3">
      <c r="G1577" s="470"/>
      <c r="H1577" s="470">
        <v>1570</v>
      </c>
      <c r="I1577" s="455">
        <f t="shared" ca="1" si="133"/>
        <v>273151224.98214805</v>
      </c>
      <c r="J1577" s="455">
        <f t="array" ref="J1577">IFERROR(INDEX('Retirement Calculator'!J:J,MATCH('Isaac 401k'!N1577,'Retirement Calculator'!A:A,0),0),0)</f>
        <v>0</v>
      </c>
      <c r="K1577" s="455">
        <f t="shared" ca="1" si="131"/>
        <v>1138130.1040922836</v>
      </c>
      <c r="L1577" s="455">
        <f t="shared" ca="1" si="132"/>
        <v>274289355.08624035</v>
      </c>
      <c r="M1577" s="471">
        <f t="shared" si="134"/>
        <v>0.05</v>
      </c>
      <c r="N1577" s="475">
        <f t="shared" si="135"/>
        <v>99042</v>
      </c>
    </row>
    <row r="1578" spans="7:14" ht="11.25" customHeight="1" x14ac:dyDescent="0.3">
      <c r="G1578" s="470"/>
      <c r="H1578" s="470">
        <v>1571</v>
      </c>
      <c r="I1578" s="455">
        <f t="shared" ca="1" si="133"/>
        <v>274289355.08624035</v>
      </c>
      <c r="J1578" s="455">
        <f t="array" ref="J1578">IFERROR(INDEX('Retirement Calculator'!J:J,MATCH('Isaac 401k'!N1578,'Retirement Calculator'!A:A,0),0),0)</f>
        <v>0</v>
      </c>
      <c r="K1578" s="455">
        <f t="shared" ca="1" si="131"/>
        <v>1142872.3128593348</v>
      </c>
      <c r="L1578" s="455">
        <f t="shared" ca="1" si="132"/>
        <v>275432227.39909971</v>
      </c>
      <c r="M1578" s="471">
        <f t="shared" si="134"/>
        <v>0.05</v>
      </c>
      <c r="N1578" s="475">
        <f t="shared" si="135"/>
        <v>99073</v>
      </c>
    </row>
    <row r="1579" spans="7:14" ht="11.25" customHeight="1" x14ac:dyDescent="0.3">
      <c r="G1579" s="470"/>
      <c r="H1579" s="470">
        <v>1572</v>
      </c>
      <c r="I1579" s="455">
        <f t="shared" ca="1" si="133"/>
        <v>275432227.39909971</v>
      </c>
      <c r="J1579" s="455">
        <f t="array" ref="J1579">IFERROR(INDEX('Retirement Calculator'!J:J,MATCH('Isaac 401k'!N1579,'Retirement Calculator'!A:A,0),0),0)</f>
        <v>0</v>
      </c>
      <c r="K1579" s="455">
        <f t="shared" ca="1" si="131"/>
        <v>1147634.2808295821</v>
      </c>
      <c r="L1579" s="455">
        <f t="shared" ca="1" si="132"/>
        <v>276579861.67992932</v>
      </c>
      <c r="M1579" s="471">
        <f t="shared" si="134"/>
        <v>0.05</v>
      </c>
      <c r="N1579" s="475">
        <f t="shared" si="135"/>
        <v>99103</v>
      </c>
    </row>
    <row r="1580" spans="7:14" ht="11.25" customHeight="1" x14ac:dyDescent="0.3">
      <c r="G1580" s="470"/>
      <c r="H1580" s="470">
        <v>1573</v>
      </c>
      <c r="I1580" s="455">
        <f t="shared" ca="1" si="133"/>
        <v>276579861.67992932</v>
      </c>
      <c r="J1580" s="455">
        <f t="array" ref="J1580">IFERROR(INDEX('Retirement Calculator'!J:J,MATCH('Isaac 401k'!N1580,'Retirement Calculator'!A:A,0),0),0)</f>
        <v>0</v>
      </c>
      <c r="K1580" s="455">
        <f t="shared" ca="1" si="131"/>
        <v>1152416.0903330387</v>
      </c>
      <c r="L1580" s="455">
        <f t="shared" ca="1" si="132"/>
        <v>277732277.77026236</v>
      </c>
      <c r="M1580" s="471">
        <f t="shared" si="134"/>
        <v>0.05</v>
      </c>
      <c r="N1580" s="475">
        <f t="shared" si="135"/>
        <v>99134</v>
      </c>
    </row>
    <row r="1581" spans="7:14" ht="11.25" customHeight="1" x14ac:dyDescent="0.3">
      <c r="G1581" s="470"/>
      <c r="H1581" s="470">
        <v>1574</v>
      </c>
      <c r="I1581" s="455">
        <f t="shared" ca="1" si="133"/>
        <v>277732277.77026236</v>
      </c>
      <c r="J1581" s="455">
        <f t="array" ref="J1581">IFERROR(INDEX('Retirement Calculator'!J:J,MATCH('Isaac 401k'!N1581,'Retirement Calculator'!A:A,0),0),0)</f>
        <v>0</v>
      </c>
      <c r="K1581" s="455">
        <f t="shared" ca="1" si="131"/>
        <v>1157217.8240427598</v>
      </c>
      <c r="L1581" s="455">
        <f t="shared" ca="1" si="132"/>
        <v>278889495.5943051</v>
      </c>
      <c r="M1581" s="471">
        <f t="shared" si="134"/>
        <v>0.05</v>
      </c>
      <c r="N1581" s="475">
        <f t="shared" si="135"/>
        <v>99164</v>
      </c>
    </row>
    <row r="1582" spans="7:14" ht="11.25" customHeight="1" x14ac:dyDescent="0.3">
      <c r="G1582" s="470"/>
      <c r="H1582" s="470">
        <v>1575</v>
      </c>
      <c r="I1582" s="455">
        <f t="shared" ca="1" si="133"/>
        <v>278889495.5943051</v>
      </c>
      <c r="J1582" s="455">
        <f t="array" ref="J1582">IFERROR(INDEX('Retirement Calculator'!J:J,MATCH('Isaac 401k'!N1582,'Retirement Calculator'!A:A,0),0),0)</f>
        <v>0</v>
      </c>
      <c r="K1582" s="455">
        <f t="shared" ca="1" si="131"/>
        <v>1162039.5649762712</v>
      </c>
      <c r="L1582" s="455">
        <f t="shared" ca="1" si="132"/>
        <v>280051535.15928137</v>
      </c>
      <c r="M1582" s="471">
        <f t="shared" si="134"/>
        <v>0.05</v>
      </c>
      <c r="N1582" s="475">
        <f t="shared" si="135"/>
        <v>99195</v>
      </c>
    </row>
    <row r="1583" spans="7:14" ht="11.25" customHeight="1" x14ac:dyDescent="0.3">
      <c r="G1583" s="470"/>
      <c r="H1583" s="470">
        <v>1576</v>
      </c>
      <c r="I1583" s="455">
        <f t="shared" ca="1" si="133"/>
        <v>280051535.15928137</v>
      </c>
      <c r="J1583" s="455">
        <f t="array" ref="J1583">IFERROR(INDEX('Retirement Calculator'!J:J,MATCH('Isaac 401k'!N1583,'Retirement Calculator'!A:A,0),0),0)</f>
        <v>0</v>
      </c>
      <c r="K1583" s="455">
        <f t="shared" ca="1" si="131"/>
        <v>1166881.3964970056</v>
      </c>
      <c r="L1583" s="455">
        <f t="shared" ca="1" si="132"/>
        <v>281218416.55577838</v>
      </c>
      <c r="M1583" s="471">
        <f t="shared" si="134"/>
        <v>0.05</v>
      </c>
      <c r="N1583" s="475">
        <f t="shared" si="135"/>
        <v>99226</v>
      </c>
    </row>
    <row r="1584" spans="7:14" ht="11.25" customHeight="1" x14ac:dyDescent="0.3">
      <c r="G1584" s="470"/>
      <c r="H1584" s="470">
        <v>1577</v>
      </c>
      <c r="I1584" s="455">
        <f t="shared" ca="1" si="133"/>
        <v>281218416.55577838</v>
      </c>
      <c r="J1584" s="455">
        <f t="array" ref="J1584">IFERROR(INDEX('Retirement Calculator'!J:J,MATCH('Isaac 401k'!N1584,'Retirement Calculator'!A:A,0),0),0)</f>
        <v>0</v>
      </c>
      <c r="K1584" s="455">
        <f t="shared" ca="1" si="131"/>
        <v>1171743.4023157433</v>
      </c>
      <c r="L1584" s="455">
        <f t="shared" ca="1" si="132"/>
        <v>282390159.95809412</v>
      </c>
      <c r="M1584" s="471">
        <f t="shared" si="134"/>
        <v>0.05</v>
      </c>
      <c r="N1584" s="475">
        <f t="shared" si="135"/>
        <v>99256</v>
      </c>
    </row>
    <row r="1585" spans="7:14" ht="11.25" customHeight="1" x14ac:dyDescent="0.3">
      <c r="G1585" s="470"/>
      <c r="H1585" s="470">
        <v>1578</v>
      </c>
      <c r="I1585" s="455">
        <f t="shared" ca="1" si="133"/>
        <v>282390159.95809412</v>
      </c>
      <c r="J1585" s="455">
        <f t="array" ref="J1585">IFERROR(INDEX('Retirement Calculator'!J:J,MATCH('Isaac 401k'!N1585,'Retirement Calculator'!A:A,0),0),0)</f>
        <v>0</v>
      </c>
      <c r="K1585" s="455">
        <f t="shared" ca="1" si="131"/>
        <v>1176625.6664920589</v>
      </c>
      <c r="L1585" s="455">
        <f t="shared" ca="1" si="132"/>
        <v>283566785.62458616</v>
      </c>
      <c r="M1585" s="471">
        <f t="shared" si="134"/>
        <v>0.05</v>
      </c>
      <c r="N1585" s="475">
        <f t="shared" si="135"/>
        <v>99287</v>
      </c>
    </row>
    <row r="1586" spans="7:14" ht="11.25" customHeight="1" x14ac:dyDescent="0.3">
      <c r="G1586" s="470"/>
      <c r="H1586" s="470">
        <v>1579</v>
      </c>
      <c r="I1586" s="455">
        <f t="shared" ca="1" si="133"/>
        <v>283566785.62458616</v>
      </c>
      <c r="J1586" s="455">
        <f t="array" ref="J1586">IFERROR(INDEX('Retirement Calculator'!J:J,MATCH('Isaac 401k'!N1586,'Retirement Calculator'!A:A,0),0),0)</f>
        <v>0</v>
      </c>
      <c r="K1586" s="455">
        <f t="shared" ca="1" si="131"/>
        <v>1181528.2734357757</v>
      </c>
      <c r="L1586" s="455">
        <f t="shared" ca="1" si="132"/>
        <v>284748313.89802194</v>
      </c>
      <c r="M1586" s="471">
        <f t="shared" si="134"/>
        <v>0.05</v>
      </c>
      <c r="N1586" s="475">
        <f t="shared" si="135"/>
        <v>99317</v>
      </c>
    </row>
    <row r="1587" spans="7:14" ht="11.25" customHeight="1" x14ac:dyDescent="0.3">
      <c r="G1587" s="470"/>
      <c r="H1587" s="470">
        <v>1580</v>
      </c>
      <c r="I1587" s="455">
        <f t="shared" ca="1" si="133"/>
        <v>284748313.89802194</v>
      </c>
      <c r="J1587" s="455">
        <f t="array" ref="J1587">IFERROR(INDEX('Retirement Calculator'!J:J,MATCH('Isaac 401k'!N1587,'Retirement Calculator'!A:A,0),0),0)</f>
        <v>0</v>
      </c>
      <c r="K1587" s="455">
        <f t="shared" ca="1" si="131"/>
        <v>1186451.3079084246</v>
      </c>
      <c r="L1587" s="455">
        <f t="shared" ca="1" si="132"/>
        <v>285934765.20593035</v>
      </c>
      <c r="M1587" s="471">
        <f t="shared" si="134"/>
        <v>0.05</v>
      </c>
      <c r="N1587" s="475">
        <f t="shared" si="135"/>
        <v>99348</v>
      </c>
    </row>
    <row r="1588" spans="7:14" ht="11.25" customHeight="1" x14ac:dyDescent="0.3">
      <c r="G1588" s="470"/>
      <c r="H1588" s="470">
        <v>1581</v>
      </c>
      <c r="I1588" s="455">
        <f t="shared" ca="1" si="133"/>
        <v>285934765.20593035</v>
      </c>
      <c r="J1588" s="455">
        <f t="array" ref="J1588">IFERROR(INDEX('Retirement Calculator'!J:J,MATCH('Isaac 401k'!N1588,'Retirement Calculator'!A:A,0),0),0)</f>
        <v>0</v>
      </c>
      <c r="K1588" s="455">
        <f t="shared" ca="1" si="131"/>
        <v>1191394.8550247098</v>
      </c>
      <c r="L1588" s="455">
        <f t="shared" ca="1" si="132"/>
        <v>287126160.06095505</v>
      </c>
      <c r="M1588" s="471">
        <f t="shared" si="134"/>
        <v>0.05</v>
      </c>
      <c r="N1588" s="475">
        <f t="shared" si="135"/>
        <v>99379</v>
      </c>
    </row>
    <row r="1589" spans="7:14" ht="11.25" customHeight="1" x14ac:dyDescent="0.3">
      <c r="G1589" s="470"/>
      <c r="H1589" s="470">
        <v>1582</v>
      </c>
      <c r="I1589" s="455">
        <f t="shared" ca="1" si="133"/>
        <v>287126160.06095505</v>
      </c>
      <c r="J1589" s="455">
        <f t="array" ref="J1589">IFERROR(INDEX('Retirement Calculator'!J:J,MATCH('Isaac 401k'!N1589,'Retirement Calculator'!A:A,0),0),0)</f>
        <v>0</v>
      </c>
      <c r="K1589" s="455">
        <f t="shared" ca="1" si="131"/>
        <v>1196359.0002539793</v>
      </c>
      <c r="L1589" s="455">
        <f t="shared" ca="1" si="132"/>
        <v>288322519.06120902</v>
      </c>
      <c r="M1589" s="471">
        <f t="shared" si="134"/>
        <v>0.05</v>
      </c>
      <c r="N1589" s="475">
        <f t="shared" si="135"/>
        <v>99408</v>
      </c>
    </row>
    <row r="1590" spans="7:14" ht="11.25" customHeight="1" x14ac:dyDescent="0.3">
      <c r="G1590" s="470"/>
      <c r="H1590" s="470">
        <v>1583</v>
      </c>
      <c r="I1590" s="455">
        <f t="shared" ca="1" si="133"/>
        <v>288322519.06120902</v>
      </c>
      <c r="J1590" s="455">
        <f t="array" ref="J1590">IFERROR(INDEX('Retirement Calculator'!J:J,MATCH('Isaac 401k'!N1590,'Retirement Calculator'!A:A,0),0),0)</f>
        <v>0</v>
      </c>
      <c r="K1590" s="455">
        <f t="shared" ca="1" si="131"/>
        <v>1201343.8294217042</v>
      </c>
      <c r="L1590" s="455">
        <f t="shared" ca="1" si="132"/>
        <v>289523862.89063072</v>
      </c>
      <c r="M1590" s="471">
        <f t="shared" si="134"/>
        <v>0.05</v>
      </c>
      <c r="N1590" s="475">
        <f t="shared" si="135"/>
        <v>99439</v>
      </c>
    </row>
    <row r="1591" spans="7:14" ht="11.25" customHeight="1" x14ac:dyDescent="0.3">
      <c r="G1591" s="470"/>
      <c r="H1591" s="470">
        <v>1584</v>
      </c>
      <c r="I1591" s="455">
        <f t="shared" ca="1" si="133"/>
        <v>289523862.89063072</v>
      </c>
      <c r="J1591" s="455">
        <f t="array" ref="J1591">IFERROR(INDEX('Retirement Calculator'!J:J,MATCH('Isaac 401k'!N1591,'Retirement Calculator'!A:A,0),0),0)</f>
        <v>0</v>
      </c>
      <c r="K1591" s="455">
        <f t="shared" ca="1" si="131"/>
        <v>1206349.4287109612</v>
      </c>
      <c r="L1591" s="455">
        <f t="shared" ca="1" si="132"/>
        <v>290730212.31934166</v>
      </c>
      <c r="M1591" s="471">
        <f t="shared" si="134"/>
        <v>0.05</v>
      </c>
      <c r="N1591" s="475">
        <f t="shared" si="135"/>
        <v>99469</v>
      </c>
    </row>
    <row r="1592" spans="7:14" ht="11.25" customHeight="1" x14ac:dyDescent="0.3">
      <c r="G1592" s="470"/>
      <c r="H1592" s="470">
        <v>1585</v>
      </c>
      <c r="I1592" s="455">
        <f t="shared" ca="1" si="133"/>
        <v>290730212.31934166</v>
      </c>
      <c r="J1592" s="455">
        <f t="array" ref="J1592">IFERROR(INDEX('Retirement Calculator'!J:J,MATCH('Isaac 401k'!N1592,'Retirement Calculator'!A:A,0),0),0)</f>
        <v>0</v>
      </c>
      <c r="K1592" s="455">
        <f t="shared" ca="1" si="131"/>
        <v>1211375.8846639236</v>
      </c>
      <c r="L1592" s="455">
        <f t="shared" ca="1" si="132"/>
        <v>291941588.2040056</v>
      </c>
      <c r="M1592" s="471">
        <f t="shared" si="134"/>
        <v>0.05</v>
      </c>
      <c r="N1592" s="475">
        <f t="shared" si="135"/>
        <v>99500</v>
      </c>
    </row>
    <row r="1593" spans="7:14" ht="11.25" customHeight="1" x14ac:dyDescent="0.3">
      <c r="G1593" s="470"/>
      <c r="H1593" s="470">
        <v>1586</v>
      </c>
      <c r="I1593" s="455">
        <f t="shared" ca="1" si="133"/>
        <v>291941588.2040056</v>
      </c>
      <c r="J1593" s="455">
        <f t="array" ref="J1593">IFERROR(INDEX('Retirement Calculator'!J:J,MATCH('Isaac 401k'!N1593,'Retirement Calculator'!A:A,0),0),0)</f>
        <v>0</v>
      </c>
      <c r="K1593" s="455">
        <f t="shared" ca="1" si="131"/>
        <v>1216423.2841833567</v>
      </c>
      <c r="L1593" s="455">
        <f t="shared" ca="1" si="132"/>
        <v>293158011.48818898</v>
      </c>
      <c r="M1593" s="471">
        <f t="shared" si="134"/>
        <v>0.05</v>
      </c>
      <c r="N1593" s="475">
        <f t="shared" si="135"/>
        <v>99530</v>
      </c>
    </row>
    <row r="1594" spans="7:14" ht="11.25" customHeight="1" x14ac:dyDescent="0.3">
      <c r="G1594" s="470"/>
      <c r="H1594" s="470">
        <v>1587</v>
      </c>
      <c r="I1594" s="455">
        <f t="shared" ca="1" si="133"/>
        <v>293158011.48818898</v>
      </c>
      <c r="J1594" s="455">
        <f t="array" ref="J1594">IFERROR(INDEX('Retirement Calculator'!J:J,MATCH('Isaac 401k'!N1594,'Retirement Calculator'!A:A,0),0),0)</f>
        <v>0</v>
      </c>
      <c r="K1594" s="455">
        <f t="shared" ca="1" si="131"/>
        <v>1221491.7145341206</v>
      </c>
      <c r="L1594" s="455">
        <f t="shared" ca="1" si="132"/>
        <v>294379503.20272309</v>
      </c>
      <c r="M1594" s="471">
        <f t="shared" si="134"/>
        <v>0.05</v>
      </c>
      <c r="N1594" s="475">
        <f t="shared" si="135"/>
        <v>99561</v>
      </c>
    </row>
    <row r="1595" spans="7:14" ht="11.25" customHeight="1" x14ac:dyDescent="0.3">
      <c r="G1595" s="470"/>
      <c r="H1595" s="470">
        <v>1588</v>
      </c>
      <c r="I1595" s="455">
        <f t="shared" ca="1" si="133"/>
        <v>294379503.20272309</v>
      </c>
      <c r="J1595" s="455">
        <f t="array" ref="J1595">IFERROR(INDEX('Retirement Calculator'!J:J,MATCH('Isaac 401k'!N1595,'Retirement Calculator'!A:A,0),0),0)</f>
        <v>0</v>
      </c>
      <c r="K1595" s="455">
        <f t="shared" ca="1" si="131"/>
        <v>1226581.2633446795</v>
      </c>
      <c r="L1595" s="455">
        <f t="shared" ca="1" si="132"/>
        <v>295606084.46606779</v>
      </c>
      <c r="M1595" s="471">
        <f t="shared" si="134"/>
        <v>0.05</v>
      </c>
      <c r="N1595" s="475">
        <f t="shared" si="135"/>
        <v>99592</v>
      </c>
    </row>
    <row r="1596" spans="7:14" ht="11.25" customHeight="1" x14ac:dyDescent="0.3">
      <c r="G1596" s="470"/>
      <c r="H1596" s="470">
        <v>1589</v>
      </c>
      <c r="I1596" s="455">
        <f t="shared" ca="1" si="133"/>
        <v>295606084.46606779</v>
      </c>
      <c r="J1596" s="455">
        <f t="array" ref="J1596">IFERROR(INDEX('Retirement Calculator'!J:J,MATCH('Isaac 401k'!N1596,'Retirement Calculator'!A:A,0),0),0)</f>
        <v>0</v>
      </c>
      <c r="K1596" s="455">
        <f t="shared" ca="1" si="131"/>
        <v>1231692.0186086157</v>
      </c>
      <c r="L1596" s="455">
        <f t="shared" ca="1" si="132"/>
        <v>296837776.48467642</v>
      </c>
      <c r="M1596" s="471">
        <f t="shared" si="134"/>
        <v>0.05</v>
      </c>
      <c r="N1596" s="475">
        <f t="shared" si="135"/>
        <v>99622</v>
      </c>
    </row>
    <row r="1597" spans="7:14" ht="11.25" customHeight="1" x14ac:dyDescent="0.3">
      <c r="G1597" s="470"/>
      <c r="H1597" s="470">
        <v>1590</v>
      </c>
      <c r="I1597" s="455">
        <f t="shared" ca="1" si="133"/>
        <v>296837776.48467642</v>
      </c>
      <c r="J1597" s="455">
        <f t="array" ref="J1597">IFERROR(INDEX('Retirement Calculator'!J:J,MATCH('Isaac 401k'!N1597,'Retirement Calculator'!A:A,0),0),0)</f>
        <v>0</v>
      </c>
      <c r="K1597" s="455">
        <f t="shared" ca="1" si="131"/>
        <v>1236824.0686861516</v>
      </c>
      <c r="L1597" s="455">
        <f t="shared" ca="1" si="132"/>
        <v>298074600.55336255</v>
      </c>
      <c r="M1597" s="471">
        <f t="shared" si="134"/>
        <v>0.05</v>
      </c>
      <c r="N1597" s="475">
        <f t="shared" si="135"/>
        <v>99653</v>
      </c>
    </row>
    <row r="1598" spans="7:14" ht="11.25" customHeight="1" x14ac:dyDescent="0.3">
      <c r="G1598" s="470"/>
      <c r="H1598" s="470">
        <v>1591</v>
      </c>
      <c r="I1598" s="455">
        <f t="shared" ca="1" si="133"/>
        <v>298074600.55336255</v>
      </c>
      <c r="J1598" s="455">
        <f t="array" ref="J1598">IFERROR(INDEX('Retirement Calculator'!J:J,MATCH('Isaac 401k'!N1598,'Retirement Calculator'!A:A,0),0),0)</f>
        <v>0</v>
      </c>
      <c r="K1598" s="455">
        <f t="shared" ca="1" si="131"/>
        <v>1241977.5023056772</v>
      </c>
      <c r="L1598" s="455">
        <f t="shared" ca="1" si="132"/>
        <v>299316578.05566823</v>
      </c>
      <c r="M1598" s="471">
        <f t="shared" si="134"/>
        <v>0.05</v>
      </c>
      <c r="N1598" s="475">
        <f t="shared" si="135"/>
        <v>99683</v>
      </c>
    </row>
    <row r="1599" spans="7:14" ht="11.25" customHeight="1" x14ac:dyDescent="0.3">
      <c r="G1599" s="470"/>
      <c r="H1599" s="470">
        <v>1592</v>
      </c>
      <c r="I1599" s="455">
        <f t="shared" ca="1" si="133"/>
        <v>299316578.05566823</v>
      </c>
      <c r="J1599" s="455">
        <f t="array" ref="J1599">IFERROR(INDEX('Retirement Calculator'!J:J,MATCH('Isaac 401k'!N1599,'Retirement Calculator'!A:A,0),0),0)</f>
        <v>0</v>
      </c>
      <c r="K1599" s="455">
        <f t="shared" ca="1" si="131"/>
        <v>1247152.4085652842</v>
      </c>
      <c r="L1599" s="455">
        <f t="shared" ca="1" si="132"/>
        <v>300563730.46423352</v>
      </c>
      <c r="M1599" s="471">
        <f t="shared" si="134"/>
        <v>0.05</v>
      </c>
      <c r="N1599" s="475">
        <f t="shared" si="135"/>
        <v>99714</v>
      </c>
    </row>
    <row r="1600" spans="7:14" ht="11.25" customHeight="1" x14ac:dyDescent="0.3">
      <c r="G1600" s="470"/>
      <c r="H1600" s="470">
        <v>1593</v>
      </c>
      <c r="I1600" s="455">
        <f t="shared" ca="1" si="133"/>
        <v>300563730.46423352</v>
      </c>
      <c r="J1600" s="455">
        <f t="array" ref="J1600">IFERROR(INDEX('Retirement Calculator'!J:J,MATCH('Isaac 401k'!N1600,'Retirement Calculator'!A:A,0),0),0)</f>
        <v>0</v>
      </c>
      <c r="K1600" s="455">
        <f t="shared" ca="1" si="131"/>
        <v>1252348.8769343062</v>
      </c>
      <c r="L1600" s="455">
        <f t="shared" ca="1" si="132"/>
        <v>301816079.34116781</v>
      </c>
      <c r="M1600" s="471">
        <f t="shared" si="134"/>
        <v>0.05</v>
      </c>
      <c r="N1600" s="475">
        <f t="shared" si="135"/>
        <v>99745</v>
      </c>
    </row>
    <row r="1601" spans="7:14" ht="11.25" customHeight="1" x14ac:dyDescent="0.3">
      <c r="G1601" s="470"/>
      <c r="H1601" s="470">
        <v>1594</v>
      </c>
      <c r="I1601" s="455">
        <f t="shared" ca="1" si="133"/>
        <v>301816079.34116781</v>
      </c>
      <c r="J1601" s="455">
        <f t="array" ref="J1601">IFERROR(INDEX('Retirement Calculator'!J:J,MATCH('Isaac 401k'!N1601,'Retirement Calculator'!A:A,0),0),0)</f>
        <v>0</v>
      </c>
      <c r="K1601" s="455">
        <f t="shared" ca="1" si="131"/>
        <v>1257566.9972548659</v>
      </c>
      <c r="L1601" s="455">
        <f t="shared" ca="1" si="132"/>
        <v>303073646.33842266</v>
      </c>
      <c r="M1601" s="471">
        <f t="shared" si="134"/>
        <v>0.05</v>
      </c>
      <c r="N1601" s="475">
        <f t="shared" si="135"/>
        <v>99773</v>
      </c>
    </row>
    <row r="1602" spans="7:14" ht="11.25" customHeight="1" x14ac:dyDescent="0.3">
      <c r="G1602" s="470"/>
      <c r="H1602" s="470">
        <v>1595</v>
      </c>
      <c r="I1602" s="455">
        <f t="shared" ca="1" si="133"/>
        <v>303073646.33842266</v>
      </c>
      <c r="J1602" s="455">
        <f t="array" ref="J1602">IFERROR(INDEX('Retirement Calculator'!J:J,MATCH('Isaac 401k'!N1602,'Retirement Calculator'!A:A,0),0),0)</f>
        <v>0</v>
      </c>
      <c r="K1602" s="455">
        <f t="shared" ca="1" si="131"/>
        <v>1262806.8597434277</v>
      </c>
      <c r="L1602" s="455">
        <f t="shared" ca="1" si="132"/>
        <v>304336453.19816607</v>
      </c>
      <c r="M1602" s="471">
        <f t="shared" si="134"/>
        <v>0.05</v>
      </c>
      <c r="N1602" s="475">
        <f t="shared" si="135"/>
        <v>99804</v>
      </c>
    </row>
    <row r="1603" spans="7:14" ht="11.25" customHeight="1" x14ac:dyDescent="0.3">
      <c r="G1603" s="470"/>
      <c r="H1603" s="470">
        <v>1596</v>
      </c>
      <c r="I1603" s="455">
        <f t="shared" ca="1" si="133"/>
        <v>304336453.19816607</v>
      </c>
      <c r="J1603" s="455">
        <f t="array" ref="J1603">IFERROR(INDEX('Retirement Calculator'!J:J,MATCH('Isaac 401k'!N1603,'Retirement Calculator'!A:A,0),0),0)</f>
        <v>0</v>
      </c>
      <c r="K1603" s="455">
        <f t="shared" ca="1" si="131"/>
        <v>1268068.5549923587</v>
      </c>
      <c r="L1603" s="455">
        <f t="shared" ca="1" si="132"/>
        <v>305604521.75315845</v>
      </c>
      <c r="M1603" s="471">
        <f t="shared" si="134"/>
        <v>0.05</v>
      </c>
      <c r="N1603" s="475">
        <f t="shared" si="135"/>
        <v>99834</v>
      </c>
    </row>
    <row r="1604" spans="7:14" ht="11.25" customHeight="1" x14ac:dyDescent="0.3">
      <c r="G1604" s="470"/>
      <c r="H1604" s="470">
        <v>1597</v>
      </c>
      <c r="I1604" s="455">
        <f t="shared" ca="1" si="133"/>
        <v>305604521.75315845</v>
      </c>
      <c r="J1604" s="455">
        <f t="array" ref="J1604">IFERROR(INDEX('Retirement Calculator'!J:J,MATCH('Isaac 401k'!N1604,'Retirement Calculator'!A:A,0),0),0)</f>
        <v>0</v>
      </c>
      <c r="K1604" s="455">
        <f t="shared" ca="1" si="131"/>
        <v>1273352.1739714935</v>
      </c>
      <c r="L1604" s="455">
        <f t="shared" ca="1" si="132"/>
        <v>306877873.92712992</v>
      </c>
      <c r="M1604" s="471">
        <f t="shared" si="134"/>
        <v>0.05</v>
      </c>
      <c r="N1604" s="475">
        <f t="shared" si="135"/>
        <v>99865</v>
      </c>
    </row>
    <row r="1605" spans="7:14" ht="11.25" customHeight="1" x14ac:dyDescent="0.3">
      <c r="G1605" s="470"/>
      <c r="H1605" s="470">
        <v>1598</v>
      </c>
      <c r="I1605" s="455">
        <f t="shared" ca="1" si="133"/>
        <v>306877873.92712992</v>
      </c>
      <c r="J1605" s="455">
        <f t="array" ref="J1605">IFERROR(INDEX('Retirement Calculator'!J:J,MATCH('Isaac 401k'!N1605,'Retirement Calculator'!A:A,0),0),0)</f>
        <v>0</v>
      </c>
      <c r="K1605" s="455">
        <f t="shared" ca="1" si="131"/>
        <v>1278657.808029708</v>
      </c>
      <c r="L1605" s="455">
        <f t="shared" ca="1" si="132"/>
        <v>308156531.73515964</v>
      </c>
      <c r="M1605" s="471">
        <f t="shared" si="134"/>
        <v>0.05</v>
      </c>
      <c r="N1605" s="475">
        <f t="shared" si="135"/>
        <v>99895</v>
      </c>
    </row>
    <row r="1606" spans="7:14" ht="11.25" customHeight="1" x14ac:dyDescent="0.3">
      <c r="G1606" s="470"/>
      <c r="H1606" s="470">
        <v>1599</v>
      </c>
      <c r="I1606" s="455">
        <f t="shared" ca="1" si="133"/>
        <v>308156531.73515964</v>
      </c>
      <c r="J1606" s="455">
        <f t="array" ref="J1606">IFERROR(INDEX('Retirement Calculator'!J:J,MATCH('Isaac 401k'!N1606,'Retirement Calculator'!A:A,0),0),0)</f>
        <v>0</v>
      </c>
      <c r="K1606" s="455">
        <f t="shared" ca="1" si="131"/>
        <v>1283985.5488964985</v>
      </c>
      <c r="L1606" s="455">
        <f t="shared" ca="1" si="132"/>
        <v>309440517.28405613</v>
      </c>
      <c r="M1606" s="471">
        <f t="shared" si="134"/>
        <v>0.05</v>
      </c>
      <c r="N1606" s="475">
        <f t="shared" si="135"/>
        <v>99926</v>
      </c>
    </row>
    <row r="1607" spans="7:14" ht="11.25" customHeight="1" x14ac:dyDescent="0.3">
      <c r="G1607" s="470"/>
      <c r="H1607" s="470">
        <v>1600</v>
      </c>
      <c r="I1607" s="455">
        <f t="shared" ca="1" si="133"/>
        <v>309440517.28405613</v>
      </c>
      <c r="J1607" s="455">
        <f t="array" ref="J1607">IFERROR(INDEX('Retirement Calculator'!J:J,MATCH('Isaac 401k'!N1607,'Retirement Calculator'!A:A,0),0),0)</f>
        <v>0</v>
      </c>
      <c r="K1607" s="455">
        <f t="shared" ca="1" si="131"/>
        <v>1289335.4886835671</v>
      </c>
      <c r="L1607" s="455">
        <f t="shared" ca="1" si="132"/>
        <v>310729852.77273971</v>
      </c>
      <c r="M1607" s="471">
        <f t="shared" si="134"/>
        <v>0.05</v>
      </c>
      <c r="N1607" s="475">
        <f t="shared" si="135"/>
        <v>99957</v>
      </c>
    </row>
    <row r="1608" spans="7:14" ht="11.25" customHeight="1" x14ac:dyDescent="0.3">
      <c r="G1608" s="470"/>
      <c r="H1608" s="470">
        <v>1601</v>
      </c>
      <c r="I1608" s="455">
        <f t="shared" ca="1" si="133"/>
        <v>310729852.77273971</v>
      </c>
      <c r="J1608" s="455">
        <f t="array" ref="J1608">IFERROR(INDEX('Retirement Calculator'!J:J,MATCH('Isaac 401k'!N1608,'Retirement Calculator'!A:A,0),0),0)</f>
        <v>0</v>
      </c>
      <c r="K1608" s="455">
        <f t="shared" ca="1" si="131"/>
        <v>1294707.7198864154</v>
      </c>
      <c r="L1608" s="455">
        <f t="shared" ca="1" si="132"/>
        <v>312024560.49262613</v>
      </c>
      <c r="M1608" s="471">
        <f t="shared" si="134"/>
        <v>0.05</v>
      </c>
      <c r="N1608" s="475">
        <f t="shared" si="135"/>
        <v>99987</v>
      </c>
    </row>
    <row r="1609" spans="7:14" ht="11.25" customHeight="1" x14ac:dyDescent="0.3">
      <c r="G1609" s="470"/>
      <c r="H1609" s="470">
        <v>1602</v>
      </c>
      <c r="I1609" s="455">
        <f t="shared" ca="1" si="133"/>
        <v>312024560.49262613</v>
      </c>
      <c r="J1609" s="455">
        <f t="array" ref="J1609">IFERROR(INDEX('Retirement Calculator'!J:J,MATCH('Isaac 401k'!N1609,'Retirement Calculator'!A:A,0),0),0)</f>
        <v>0</v>
      </c>
      <c r="K1609" s="455">
        <f t="shared" ca="1" si="131"/>
        <v>1300102.3353859421</v>
      </c>
      <c r="L1609" s="455">
        <f t="shared" ca="1" si="132"/>
        <v>313324662.82801205</v>
      </c>
      <c r="M1609" s="471">
        <f t="shared" si="134"/>
        <v>0.05</v>
      </c>
      <c r="N1609" s="475">
        <f t="shared" si="135"/>
        <v>100018</v>
      </c>
    </row>
    <row r="1610" spans="7:14" ht="11.25" customHeight="1" x14ac:dyDescent="0.3">
      <c r="G1610" s="470"/>
      <c r="H1610" s="470">
        <v>1603</v>
      </c>
      <c r="I1610" s="455">
        <f t="shared" ca="1" si="133"/>
        <v>313324662.82801205</v>
      </c>
      <c r="J1610" s="455">
        <f t="array" ref="J1610">IFERROR(INDEX('Retirement Calculator'!J:J,MATCH('Isaac 401k'!N1610,'Retirement Calculator'!A:A,0),0),0)</f>
        <v>0</v>
      </c>
      <c r="K1610" s="455">
        <f t="shared" ca="1" si="131"/>
        <v>1305519.4284500503</v>
      </c>
      <c r="L1610" s="455">
        <f t="shared" ca="1" si="132"/>
        <v>314630182.2564621</v>
      </c>
      <c r="M1610" s="471">
        <f t="shared" si="134"/>
        <v>0.05</v>
      </c>
      <c r="N1610" s="475">
        <f t="shared" si="135"/>
        <v>100048</v>
      </c>
    </row>
    <row r="1611" spans="7:14" ht="11.25" customHeight="1" x14ac:dyDescent="0.3">
      <c r="G1611" s="470"/>
      <c r="H1611" s="470">
        <v>1604</v>
      </c>
      <c r="I1611" s="455">
        <f t="shared" ca="1" si="133"/>
        <v>314630182.2564621</v>
      </c>
      <c r="J1611" s="455">
        <f t="array" ref="J1611">IFERROR(INDEX('Retirement Calculator'!J:J,MATCH('Isaac 401k'!N1611,'Retirement Calculator'!A:A,0),0),0)</f>
        <v>0</v>
      </c>
      <c r="K1611" s="455">
        <f t="shared" ca="1" si="131"/>
        <v>1310959.0927352586</v>
      </c>
      <c r="L1611" s="455">
        <f t="shared" ca="1" si="132"/>
        <v>315941141.34919733</v>
      </c>
      <c r="M1611" s="471">
        <f t="shared" si="134"/>
        <v>0.05</v>
      </c>
      <c r="N1611" s="475">
        <f t="shared" si="135"/>
        <v>100079</v>
      </c>
    </row>
    <row r="1612" spans="7:14" ht="11.25" customHeight="1" x14ac:dyDescent="0.3">
      <c r="G1612" s="470"/>
      <c r="H1612" s="470">
        <v>1605</v>
      </c>
      <c r="I1612" s="455">
        <f t="shared" ca="1" si="133"/>
        <v>315941141.34919733</v>
      </c>
      <c r="J1612" s="455">
        <f t="array" ref="J1612">IFERROR(INDEX('Retirement Calculator'!J:J,MATCH('Isaac 401k'!N1612,'Retirement Calculator'!A:A,0),0),0)</f>
        <v>0</v>
      </c>
      <c r="K1612" s="455">
        <f t="shared" ca="1" si="131"/>
        <v>1316421.4222883221</v>
      </c>
      <c r="L1612" s="455">
        <f t="shared" ca="1" si="132"/>
        <v>317257562.77148563</v>
      </c>
      <c r="M1612" s="471">
        <f t="shared" si="134"/>
        <v>0.05</v>
      </c>
      <c r="N1612" s="475">
        <f t="shared" si="135"/>
        <v>100110</v>
      </c>
    </row>
    <row r="1613" spans="7:14" ht="11.25" customHeight="1" x14ac:dyDescent="0.3">
      <c r="G1613" s="470"/>
      <c r="H1613" s="470">
        <v>1606</v>
      </c>
      <c r="I1613" s="455">
        <f t="shared" ca="1" si="133"/>
        <v>317257562.77148563</v>
      </c>
      <c r="J1613" s="455">
        <f t="array" ref="J1613">IFERROR(INDEX('Retirement Calculator'!J:J,MATCH('Isaac 401k'!N1613,'Retirement Calculator'!A:A,0),0),0)</f>
        <v>0</v>
      </c>
      <c r="K1613" s="455">
        <f t="shared" ca="1" si="131"/>
        <v>1321906.5115478567</v>
      </c>
      <c r="L1613" s="455">
        <f t="shared" ca="1" si="132"/>
        <v>318579469.28303349</v>
      </c>
      <c r="M1613" s="471">
        <f t="shared" si="134"/>
        <v>0.05</v>
      </c>
      <c r="N1613" s="475">
        <f t="shared" si="135"/>
        <v>100138</v>
      </c>
    </row>
    <row r="1614" spans="7:14" ht="11.25" customHeight="1" x14ac:dyDescent="0.3">
      <c r="G1614" s="470"/>
      <c r="H1614" s="470">
        <v>1607</v>
      </c>
      <c r="I1614" s="455">
        <f t="shared" ca="1" si="133"/>
        <v>318579469.28303349</v>
      </c>
      <c r="J1614" s="455">
        <f t="array" ref="J1614">IFERROR(INDEX('Retirement Calculator'!J:J,MATCH('Isaac 401k'!N1614,'Retirement Calculator'!A:A,0),0),0)</f>
        <v>0</v>
      </c>
      <c r="K1614" s="455">
        <f t="shared" ca="1" si="131"/>
        <v>1327414.4553459729</v>
      </c>
      <c r="L1614" s="455">
        <f t="shared" ca="1" si="132"/>
        <v>319906883.73837948</v>
      </c>
      <c r="M1614" s="471">
        <f t="shared" si="134"/>
        <v>0.05</v>
      </c>
      <c r="N1614" s="475">
        <f t="shared" si="135"/>
        <v>100169</v>
      </c>
    </row>
    <row r="1615" spans="7:14" ht="11.25" customHeight="1" x14ac:dyDescent="0.3">
      <c r="G1615" s="470"/>
      <c r="H1615" s="470">
        <v>1608</v>
      </c>
      <c r="I1615" s="455">
        <f t="shared" ca="1" si="133"/>
        <v>319906883.73837948</v>
      </c>
      <c r="J1615" s="455">
        <f t="array" ref="J1615">IFERROR(INDEX('Retirement Calculator'!J:J,MATCH('Isaac 401k'!N1615,'Retirement Calculator'!A:A,0),0),0)</f>
        <v>0</v>
      </c>
      <c r="K1615" s="455">
        <f t="shared" ca="1" si="131"/>
        <v>1332945.3489099145</v>
      </c>
      <c r="L1615" s="455">
        <f t="shared" ca="1" si="132"/>
        <v>321239829.08728939</v>
      </c>
      <c r="M1615" s="471">
        <f t="shared" si="134"/>
        <v>0.05</v>
      </c>
      <c r="N1615" s="475">
        <f t="shared" si="135"/>
        <v>100199</v>
      </c>
    </row>
    <row r="1616" spans="7:14" ht="11.25" customHeight="1" x14ac:dyDescent="0.3">
      <c r="G1616" s="470"/>
      <c r="H1616" s="470">
        <v>1609</v>
      </c>
      <c r="I1616" s="455">
        <f t="shared" ca="1" si="133"/>
        <v>321239829.08728939</v>
      </c>
      <c r="J1616" s="455">
        <f t="array" ref="J1616">IFERROR(INDEX('Retirement Calculator'!J:J,MATCH('Isaac 401k'!N1616,'Retirement Calculator'!A:A,0),0),0)</f>
        <v>0</v>
      </c>
      <c r="K1616" s="455">
        <f t="shared" ca="1" si="131"/>
        <v>1338499.2878637058</v>
      </c>
      <c r="L1616" s="455">
        <f t="shared" ca="1" si="132"/>
        <v>322578328.37515312</v>
      </c>
      <c r="M1616" s="471">
        <f t="shared" si="134"/>
        <v>0.05</v>
      </c>
      <c r="N1616" s="475">
        <f t="shared" si="135"/>
        <v>100230</v>
      </c>
    </row>
    <row r="1617" spans="7:14" ht="11.25" customHeight="1" x14ac:dyDescent="0.3">
      <c r="G1617" s="470"/>
      <c r="H1617" s="470">
        <v>1610</v>
      </c>
      <c r="I1617" s="455">
        <f t="shared" ca="1" si="133"/>
        <v>322578328.37515312</v>
      </c>
      <c r="J1617" s="455">
        <f t="array" ref="J1617">IFERROR(INDEX('Retirement Calculator'!J:J,MATCH('Isaac 401k'!N1617,'Retirement Calculator'!A:A,0),0),0)</f>
        <v>0</v>
      </c>
      <c r="K1617" s="455">
        <f t="shared" ca="1" si="131"/>
        <v>1344076.3682298046</v>
      </c>
      <c r="L1617" s="455">
        <f t="shared" ca="1" si="132"/>
        <v>323922404.74338293</v>
      </c>
      <c r="M1617" s="471">
        <f t="shared" si="134"/>
        <v>0.05</v>
      </c>
      <c r="N1617" s="475">
        <f t="shared" si="135"/>
        <v>100260</v>
      </c>
    </row>
    <row r="1618" spans="7:14" ht="11.25" customHeight="1" x14ac:dyDescent="0.3">
      <c r="G1618" s="470"/>
      <c r="H1618" s="470">
        <v>1611</v>
      </c>
      <c r="I1618" s="455">
        <f t="shared" ca="1" si="133"/>
        <v>323922404.74338293</v>
      </c>
      <c r="J1618" s="455">
        <f t="array" ref="J1618">IFERROR(INDEX('Retirement Calculator'!J:J,MATCH('Isaac 401k'!N1618,'Retirement Calculator'!A:A,0),0),0)</f>
        <v>0</v>
      </c>
      <c r="K1618" s="455">
        <f t="shared" ca="1" si="131"/>
        <v>1349676.6864307623</v>
      </c>
      <c r="L1618" s="455">
        <f t="shared" ca="1" si="132"/>
        <v>325272081.42981368</v>
      </c>
      <c r="M1618" s="471">
        <f t="shared" si="134"/>
        <v>0.05</v>
      </c>
      <c r="N1618" s="475">
        <f t="shared" si="135"/>
        <v>100291</v>
      </c>
    </row>
    <row r="1619" spans="7:14" ht="11.25" customHeight="1" x14ac:dyDescent="0.3">
      <c r="G1619" s="470"/>
      <c r="H1619" s="470">
        <v>1612</v>
      </c>
      <c r="I1619" s="455">
        <f t="shared" ca="1" si="133"/>
        <v>325272081.42981368</v>
      </c>
      <c r="J1619" s="455">
        <f t="array" ref="J1619">IFERROR(INDEX('Retirement Calculator'!J:J,MATCH('Isaac 401k'!N1619,'Retirement Calculator'!A:A,0),0),0)</f>
        <v>0</v>
      </c>
      <c r="K1619" s="455">
        <f t="shared" ca="1" si="131"/>
        <v>1355300.3392908904</v>
      </c>
      <c r="L1619" s="455">
        <f t="shared" ca="1" si="132"/>
        <v>326627381.7691046</v>
      </c>
      <c r="M1619" s="471">
        <f t="shared" si="134"/>
        <v>0.05</v>
      </c>
      <c r="N1619" s="475">
        <f t="shared" si="135"/>
        <v>100322</v>
      </c>
    </row>
    <row r="1620" spans="7:14" ht="11.25" customHeight="1" x14ac:dyDescent="0.3">
      <c r="G1620" s="470"/>
      <c r="H1620" s="470">
        <v>1613</v>
      </c>
      <c r="I1620" s="455">
        <f t="shared" ca="1" si="133"/>
        <v>326627381.7691046</v>
      </c>
      <c r="J1620" s="455">
        <f t="array" ref="J1620">IFERROR(INDEX('Retirement Calculator'!J:J,MATCH('Isaac 401k'!N1620,'Retirement Calculator'!A:A,0),0),0)</f>
        <v>0</v>
      </c>
      <c r="K1620" s="455">
        <f t="shared" ca="1" si="131"/>
        <v>1360947.4240379359</v>
      </c>
      <c r="L1620" s="455">
        <f t="shared" ca="1" si="132"/>
        <v>327988329.19314253</v>
      </c>
      <c r="M1620" s="471">
        <f t="shared" si="134"/>
        <v>0.05</v>
      </c>
      <c r="N1620" s="475">
        <f t="shared" si="135"/>
        <v>100352</v>
      </c>
    </row>
    <row r="1621" spans="7:14" ht="11.25" customHeight="1" x14ac:dyDescent="0.3">
      <c r="G1621" s="470"/>
      <c r="H1621" s="470">
        <v>1614</v>
      </c>
      <c r="I1621" s="455">
        <f t="shared" ca="1" si="133"/>
        <v>327988329.19314253</v>
      </c>
      <c r="J1621" s="455">
        <f t="array" ref="J1621">IFERROR(INDEX('Retirement Calculator'!J:J,MATCH('Isaac 401k'!N1621,'Retirement Calculator'!A:A,0),0),0)</f>
        <v>0</v>
      </c>
      <c r="K1621" s="455">
        <f t="shared" ca="1" si="131"/>
        <v>1366618.0383047606</v>
      </c>
      <c r="L1621" s="455">
        <f t="shared" ca="1" si="132"/>
        <v>329354947.23144728</v>
      </c>
      <c r="M1621" s="471">
        <f t="shared" si="134"/>
        <v>0.05</v>
      </c>
      <c r="N1621" s="475">
        <f t="shared" si="135"/>
        <v>100383</v>
      </c>
    </row>
    <row r="1622" spans="7:14" ht="11.25" customHeight="1" x14ac:dyDescent="0.3">
      <c r="G1622" s="470"/>
      <c r="H1622" s="470">
        <v>1615</v>
      </c>
      <c r="I1622" s="455">
        <f t="shared" ca="1" si="133"/>
        <v>329354947.23144728</v>
      </c>
      <c r="J1622" s="455">
        <f t="array" ref="J1622">IFERROR(INDEX('Retirement Calculator'!J:J,MATCH('Isaac 401k'!N1622,'Retirement Calculator'!A:A,0),0),0)</f>
        <v>0</v>
      </c>
      <c r="K1622" s="455">
        <f t="shared" ca="1" si="131"/>
        <v>1372312.2801310304</v>
      </c>
      <c r="L1622" s="455">
        <f t="shared" ca="1" si="132"/>
        <v>330727259.51157832</v>
      </c>
      <c r="M1622" s="471">
        <f t="shared" si="134"/>
        <v>0.05</v>
      </c>
      <c r="N1622" s="475">
        <f t="shared" si="135"/>
        <v>100413</v>
      </c>
    </row>
    <row r="1623" spans="7:14" ht="11.25" customHeight="1" x14ac:dyDescent="0.3">
      <c r="G1623" s="470"/>
      <c r="H1623" s="470">
        <v>1616</v>
      </c>
      <c r="I1623" s="455">
        <f t="shared" ca="1" si="133"/>
        <v>330727259.51157832</v>
      </c>
      <c r="J1623" s="455">
        <f t="array" ref="J1623">IFERROR(INDEX('Retirement Calculator'!J:J,MATCH('Isaac 401k'!N1623,'Retirement Calculator'!A:A,0),0),0)</f>
        <v>0</v>
      </c>
      <c r="K1623" s="455">
        <f t="shared" ca="1" si="131"/>
        <v>1378030.2479649098</v>
      </c>
      <c r="L1623" s="455">
        <f t="shared" ca="1" si="132"/>
        <v>332105289.75954324</v>
      </c>
      <c r="M1623" s="471">
        <f t="shared" si="134"/>
        <v>0.05</v>
      </c>
      <c r="N1623" s="475">
        <f t="shared" si="135"/>
        <v>100444</v>
      </c>
    </row>
    <row r="1624" spans="7:14" ht="11.25" customHeight="1" x14ac:dyDescent="0.3">
      <c r="G1624" s="470"/>
      <c r="H1624" s="470">
        <v>1617</v>
      </c>
      <c r="I1624" s="455">
        <f t="shared" ca="1" si="133"/>
        <v>332105289.75954324</v>
      </c>
      <c r="J1624" s="455">
        <f t="array" ref="J1624">IFERROR(INDEX('Retirement Calculator'!J:J,MATCH('Isaac 401k'!N1624,'Retirement Calculator'!A:A,0),0),0)</f>
        <v>0</v>
      </c>
      <c r="K1624" s="455">
        <f t="shared" ca="1" si="131"/>
        <v>1383772.0406647634</v>
      </c>
      <c r="L1624" s="455">
        <f t="shared" ca="1" si="132"/>
        <v>333489061.80020803</v>
      </c>
      <c r="M1624" s="471">
        <f t="shared" si="134"/>
        <v>0.05</v>
      </c>
      <c r="N1624" s="475">
        <f t="shared" si="135"/>
        <v>100475</v>
      </c>
    </row>
    <row r="1625" spans="7:14" ht="11.25" customHeight="1" x14ac:dyDescent="0.3">
      <c r="G1625" s="470"/>
      <c r="H1625" s="470">
        <v>1618</v>
      </c>
      <c r="I1625" s="455">
        <f t="shared" ca="1" si="133"/>
        <v>333489061.80020803</v>
      </c>
      <c r="J1625" s="455">
        <f t="array" ref="J1625">IFERROR(INDEX('Retirement Calculator'!J:J,MATCH('Isaac 401k'!N1625,'Retirement Calculator'!A:A,0),0),0)</f>
        <v>0</v>
      </c>
      <c r="K1625" s="455">
        <f t="shared" ca="1" si="131"/>
        <v>1389537.7575008669</v>
      </c>
      <c r="L1625" s="455">
        <f t="shared" ca="1" si="132"/>
        <v>334878599.55770892</v>
      </c>
      <c r="M1625" s="471">
        <f t="shared" si="134"/>
        <v>0.05</v>
      </c>
      <c r="N1625" s="475">
        <f t="shared" si="135"/>
        <v>100503</v>
      </c>
    </row>
    <row r="1626" spans="7:14" ht="11.25" customHeight="1" x14ac:dyDescent="0.3">
      <c r="G1626" s="470"/>
      <c r="H1626" s="470">
        <v>1619</v>
      </c>
      <c r="I1626" s="455">
        <f t="shared" ca="1" si="133"/>
        <v>334878599.55770892</v>
      </c>
      <c r="J1626" s="455">
        <f t="array" ref="J1626">IFERROR(INDEX('Retirement Calculator'!J:J,MATCH('Isaac 401k'!N1626,'Retirement Calculator'!A:A,0),0),0)</f>
        <v>0</v>
      </c>
      <c r="K1626" s="455">
        <f t="shared" ca="1" si="131"/>
        <v>1395327.4981571205</v>
      </c>
      <c r="L1626" s="455">
        <f t="shared" ca="1" si="132"/>
        <v>336273927.05586606</v>
      </c>
      <c r="M1626" s="471">
        <f t="shared" si="134"/>
        <v>0.05</v>
      </c>
      <c r="N1626" s="475">
        <f t="shared" si="135"/>
        <v>100534</v>
      </c>
    </row>
    <row r="1627" spans="7:14" ht="11.25" customHeight="1" x14ac:dyDescent="0.3">
      <c r="G1627" s="470"/>
      <c r="H1627" s="470">
        <v>1620</v>
      </c>
      <c r="I1627" s="455">
        <f t="shared" ca="1" si="133"/>
        <v>336273927.05586606</v>
      </c>
      <c r="J1627" s="455">
        <f t="array" ref="J1627">IFERROR(INDEX('Retirement Calculator'!J:J,MATCH('Isaac 401k'!N1627,'Retirement Calculator'!A:A,0),0),0)</f>
        <v>0</v>
      </c>
      <c r="K1627" s="455">
        <f t="shared" ca="1" si="131"/>
        <v>1401141.3627327753</v>
      </c>
      <c r="L1627" s="455">
        <f t="shared" ca="1" si="132"/>
        <v>337675068.41859883</v>
      </c>
      <c r="M1627" s="471">
        <f t="shared" si="134"/>
        <v>0.05</v>
      </c>
      <c r="N1627" s="475">
        <f t="shared" si="135"/>
        <v>100564</v>
      </c>
    </row>
    <row r="1628" spans="7:14" ht="11.25" customHeight="1" x14ac:dyDescent="0.3">
      <c r="G1628" s="470"/>
      <c r="H1628" s="470">
        <v>1621</v>
      </c>
      <c r="I1628" s="455">
        <f t="shared" ca="1" si="133"/>
        <v>337675068.41859883</v>
      </c>
      <c r="J1628" s="455">
        <f t="array" ref="J1628">IFERROR(INDEX('Retirement Calculator'!J:J,MATCH('Isaac 401k'!N1628,'Retirement Calculator'!A:A,0),0),0)</f>
        <v>0</v>
      </c>
      <c r="K1628" s="455">
        <f t="shared" ca="1" si="131"/>
        <v>1406979.4517441618</v>
      </c>
      <c r="L1628" s="455">
        <f t="shared" ca="1" si="132"/>
        <v>339082047.87034297</v>
      </c>
      <c r="M1628" s="471">
        <f t="shared" si="134"/>
        <v>0.05</v>
      </c>
      <c r="N1628" s="475">
        <f t="shared" si="135"/>
        <v>100595</v>
      </c>
    </row>
    <row r="1629" spans="7:14" ht="11.25" customHeight="1" x14ac:dyDescent="0.3">
      <c r="G1629" s="470"/>
      <c r="H1629" s="470">
        <v>1622</v>
      </c>
      <c r="I1629" s="455">
        <f t="shared" ca="1" si="133"/>
        <v>339082047.87034297</v>
      </c>
      <c r="J1629" s="455">
        <f t="array" ref="J1629">IFERROR(INDEX('Retirement Calculator'!J:J,MATCH('Isaac 401k'!N1629,'Retirement Calculator'!A:A,0),0),0)</f>
        <v>0</v>
      </c>
      <c r="K1629" s="455">
        <f t="shared" ca="1" si="131"/>
        <v>1412841.8661264291</v>
      </c>
      <c r="L1629" s="455">
        <f t="shared" ca="1" si="132"/>
        <v>340494889.73646939</v>
      </c>
      <c r="M1629" s="471">
        <f t="shared" si="134"/>
        <v>0.05</v>
      </c>
      <c r="N1629" s="475">
        <f t="shared" si="135"/>
        <v>100625</v>
      </c>
    </row>
    <row r="1630" spans="7:14" ht="11.25" customHeight="1" x14ac:dyDescent="0.3">
      <c r="G1630" s="470"/>
      <c r="H1630" s="470">
        <v>1623</v>
      </c>
      <c r="I1630" s="455">
        <f t="shared" ca="1" si="133"/>
        <v>340494889.73646939</v>
      </c>
      <c r="J1630" s="455">
        <f t="array" ref="J1630">IFERROR(INDEX('Retirement Calculator'!J:J,MATCH('Isaac 401k'!N1630,'Retirement Calculator'!A:A,0),0),0)</f>
        <v>0</v>
      </c>
      <c r="K1630" s="455">
        <f t="shared" ca="1" si="131"/>
        <v>1418728.707235289</v>
      </c>
      <c r="L1630" s="455">
        <f t="shared" ca="1" si="132"/>
        <v>341913618.44370466</v>
      </c>
      <c r="M1630" s="471">
        <f t="shared" si="134"/>
        <v>0.05</v>
      </c>
      <c r="N1630" s="475">
        <f t="shared" si="135"/>
        <v>100656</v>
      </c>
    </row>
    <row r="1631" spans="7:14" ht="11.25" customHeight="1" x14ac:dyDescent="0.3">
      <c r="G1631" s="470"/>
      <c r="H1631" s="470">
        <v>1624</v>
      </c>
      <c r="I1631" s="455">
        <f t="shared" ca="1" si="133"/>
        <v>341913618.44370466</v>
      </c>
      <c r="J1631" s="455">
        <f t="array" ref="J1631">IFERROR(INDEX('Retirement Calculator'!J:J,MATCH('Isaac 401k'!N1631,'Retirement Calculator'!A:A,0),0),0)</f>
        <v>0</v>
      </c>
      <c r="K1631" s="455">
        <f t="shared" ca="1" si="131"/>
        <v>1424640.0768487693</v>
      </c>
      <c r="L1631" s="455">
        <f t="shared" ca="1" si="132"/>
        <v>343338258.52055341</v>
      </c>
      <c r="M1631" s="471">
        <f t="shared" si="134"/>
        <v>0.05</v>
      </c>
      <c r="N1631" s="475">
        <f t="shared" si="135"/>
        <v>100687</v>
      </c>
    </row>
    <row r="1632" spans="7:14" ht="11.25" customHeight="1" x14ac:dyDescent="0.3">
      <c r="G1632" s="470"/>
      <c r="H1632" s="470">
        <v>1625</v>
      </c>
      <c r="I1632" s="455">
        <f t="shared" ca="1" si="133"/>
        <v>343338258.52055341</v>
      </c>
      <c r="J1632" s="455">
        <f t="array" ref="J1632">IFERROR(INDEX('Retirement Calculator'!J:J,MATCH('Isaac 401k'!N1632,'Retirement Calculator'!A:A,0),0),0)</f>
        <v>0</v>
      </c>
      <c r="K1632" s="455">
        <f t="shared" ca="1" si="131"/>
        <v>1430576.0771689725</v>
      </c>
      <c r="L1632" s="455">
        <f t="shared" ca="1" si="132"/>
        <v>344768834.59772241</v>
      </c>
      <c r="M1632" s="471">
        <f t="shared" si="134"/>
        <v>0.05</v>
      </c>
      <c r="N1632" s="475">
        <f t="shared" si="135"/>
        <v>100717</v>
      </c>
    </row>
    <row r="1633" spans="7:14" ht="11.25" customHeight="1" x14ac:dyDescent="0.3">
      <c r="G1633" s="470"/>
      <c r="H1633" s="470">
        <v>1626</v>
      </c>
      <c r="I1633" s="455">
        <f t="shared" ca="1" si="133"/>
        <v>344768834.59772241</v>
      </c>
      <c r="J1633" s="455">
        <f t="array" ref="J1633">IFERROR(INDEX('Retirement Calculator'!J:J,MATCH('Isaac 401k'!N1633,'Retirement Calculator'!A:A,0),0),0)</f>
        <v>0</v>
      </c>
      <c r="K1633" s="455">
        <f t="shared" ca="1" si="131"/>
        <v>1436536.8108238433</v>
      </c>
      <c r="L1633" s="455">
        <f t="shared" ca="1" si="132"/>
        <v>346205371.40854627</v>
      </c>
      <c r="M1633" s="471">
        <f t="shared" si="134"/>
        <v>0.05</v>
      </c>
      <c r="N1633" s="475">
        <f t="shared" si="135"/>
        <v>100748</v>
      </c>
    </row>
    <row r="1634" spans="7:14" ht="11.25" customHeight="1" x14ac:dyDescent="0.3">
      <c r="G1634" s="470"/>
      <c r="H1634" s="470">
        <v>1627</v>
      </c>
      <c r="I1634" s="455">
        <f t="shared" ca="1" si="133"/>
        <v>346205371.40854627</v>
      </c>
      <c r="J1634" s="455">
        <f t="array" ref="J1634">IFERROR(INDEX('Retirement Calculator'!J:J,MATCH('Isaac 401k'!N1634,'Retirement Calculator'!A:A,0),0),0)</f>
        <v>0</v>
      </c>
      <c r="K1634" s="455">
        <f t="shared" ca="1" si="131"/>
        <v>1442522.3808689427</v>
      </c>
      <c r="L1634" s="455">
        <f t="shared" ca="1" si="132"/>
        <v>347647893.78941524</v>
      </c>
      <c r="M1634" s="471">
        <f t="shared" si="134"/>
        <v>0.05</v>
      </c>
      <c r="N1634" s="475">
        <f t="shared" si="135"/>
        <v>100778</v>
      </c>
    </row>
    <row r="1635" spans="7:14" ht="11.25" customHeight="1" x14ac:dyDescent="0.3">
      <c r="G1635" s="470"/>
      <c r="H1635" s="470">
        <v>1628</v>
      </c>
      <c r="I1635" s="455">
        <f t="shared" ca="1" si="133"/>
        <v>347647893.78941524</v>
      </c>
      <c r="J1635" s="455">
        <f t="array" ref="J1635">IFERROR(INDEX('Retirement Calculator'!J:J,MATCH('Isaac 401k'!N1635,'Retirement Calculator'!A:A,0),0),0)</f>
        <v>0</v>
      </c>
      <c r="K1635" s="455">
        <f t="shared" ca="1" si="131"/>
        <v>1448532.8907892301</v>
      </c>
      <c r="L1635" s="455">
        <f t="shared" ca="1" si="132"/>
        <v>349096426.68020445</v>
      </c>
      <c r="M1635" s="471">
        <f t="shared" si="134"/>
        <v>0.05</v>
      </c>
      <c r="N1635" s="475">
        <f t="shared" si="135"/>
        <v>100809</v>
      </c>
    </row>
    <row r="1636" spans="7:14" ht="11.25" customHeight="1" x14ac:dyDescent="0.3">
      <c r="G1636" s="470"/>
      <c r="H1636" s="470">
        <v>1629</v>
      </c>
      <c r="I1636" s="455">
        <f t="shared" ca="1" si="133"/>
        <v>349096426.68020445</v>
      </c>
      <c r="J1636" s="455">
        <f t="array" ref="J1636">IFERROR(INDEX('Retirement Calculator'!J:J,MATCH('Isaac 401k'!N1636,'Retirement Calculator'!A:A,0),0),0)</f>
        <v>0</v>
      </c>
      <c r="K1636" s="455">
        <f t="shared" ca="1" si="131"/>
        <v>1454568.4445008519</v>
      </c>
      <c r="L1636" s="455">
        <f t="shared" ca="1" si="132"/>
        <v>350550995.12470531</v>
      </c>
      <c r="M1636" s="471">
        <f t="shared" si="134"/>
        <v>0.05</v>
      </c>
      <c r="N1636" s="475">
        <f t="shared" si="135"/>
        <v>100840</v>
      </c>
    </row>
    <row r="1637" spans="7:14" ht="11.25" customHeight="1" x14ac:dyDescent="0.3">
      <c r="G1637" s="470"/>
      <c r="H1637" s="470">
        <v>1630</v>
      </c>
      <c r="I1637" s="455">
        <f t="shared" ca="1" si="133"/>
        <v>350550995.12470531</v>
      </c>
      <c r="J1637" s="455">
        <f t="array" ref="J1637">IFERROR(INDEX('Retirement Calculator'!J:J,MATCH('Isaac 401k'!N1637,'Retirement Calculator'!A:A,0),0),0)</f>
        <v>0</v>
      </c>
      <c r="K1637" s="455">
        <f t="shared" ca="1" si="131"/>
        <v>1460629.1463529388</v>
      </c>
      <c r="L1637" s="455">
        <f t="shared" ca="1" si="132"/>
        <v>352011624.27105826</v>
      </c>
      <c r="M1637" s="471">
        <f t="shared" si="134"/>
        <v>0.05</v>
      </c>
      <c r="N1637" s="475">
        <f t="shared" si="135"/>
        <v>100869</v>
      </c>
    </row>
    <row r="1638" spans="7:14" ht="11.25" customHeight="1" x14ac:dyDescent="0.3">
      <c r="G1638" s="470"/>
      <c r="H1638" s="470">
        <v>1631</v>
      </c>
      <c r="I1638" s="455">
        <f t="shared" ca="1" si="133"/>
        <v>352011624.27105826</v>
      </c>
      <c r="J1638" s="455">
        <f t="array" ref="J1638">IFERROR(INDEX('Retirement Calculator'!J:J,MATCH('Isaac 401k'!N1638,'Retirement Calculator'!A:A,0),0),0)</f>
        <v>0</v>
      </c>
      <c r="K1638" s="455">
        <f t="shared" ca="1" si="131"/>
        <v>1466715.1011294094</v>
      </c>
      <c r="L1638" s="455">
        <f t="shared" ca="1" si="132"/>
        <v>353478339.37218767</v>
      </c>
      <c r="M1638" s="471">
        <f t="shared" si="134"/>
        <v>0.05</v>
      </c>
      <c r="N1638" s="475">
        <f t="shared" si="135"/>
        <v>100900</v>
      </c>
    </row>
    <row r="1639" spans="7:14" ht="11.25" customHeight="1" x14ac:dyDescent="0.3">
      <c r="G1639" s="470"/>
      <c r="H1639" s="470">
        <v>1632</v>
      </c>
      <c r="I1639" s="455">
        <f t="shared" ca="1" si="133"/>
        <v>353478339.37218767</v>
      </c>
      <c r="J1639" s="455">
        <f t="array" ref="J1639">IFERROR(INDEX('Retirement Calculator'!J:J,MATCH('Isaac 401k'!N1639,'Retirement Calculator'!A:A,0),0),0)</f>
        <v>0</v>
      </c>
      <c r="K1639" s="455">
        <f t="shared" ca="1" si="131"/>
        <v>1472826.4140507819</v>
      </c>
      <c r="L1639" s="455">
        <f t="shared" ca="1" si="132"/>
        <v>354951165.78623843</v>
      </c>
      <c r="M1639" s="471">
        <f t="shared" si="134"/>
        <v>0.05</v>
      </c>
      <c r="N1639" s="475">
        <f t="shared" si="135"/>
        <v>100930</v>
      </c>
    </row>
    <row r="1640" spans="7:14" ht="11.25" customHeight="1" x14ac:dyDescent="0.3">
      <c r="G1640" s="470"/>
      <c r="H1640" s="470">
        <v>1633</v>
      </c>
      <c r="I1640" s="455">
        <f t="shared" ca="1" si="133"/>
        <v>354951165.78623843</v>
      </c>
      <c r="J1640" s="455">
        <f t="array" ref="J1640">IFERROR(INDEX('Retirement Calculator'!J:J,MATCH('Isaac 401k'!N1640,'Retirement Calculator'!A:A,0),0),0)</f>
        <v>0</v>
      </c>
      <c r="K1640" s="455">
        <f t="shared" ca="1" si="131"/>
        <v>1478963.1907759935</v>
      </c>
      <c r="L1640" s="455">
        <f t="shared" ca="1" si="132"/>
        <v>356430128.97701442</v>
      </c>
      <c r="M1640" s="471">
        <f t="shared" si="134"/>
        <v>0.05</v>
      </c>
      <c r="N1640" s="475">
        <f t="shared" si="135"/>
        <v>100961</v>
      </c>
    </row>
    <row r="1641" spans="7:14" ht="11.25" customHeight="1" x14ac:dyDescent="0.3">
      <c r="G1641" s="470"/>
      <c r="H1641" s="470">
        <v>1634</v>
      </c>
      <c r="I1641" s="455">
        <f t="shared" ca="1" si="133"/>
        <v>356430128.97701442</v>
      </c>
      <c r="J1641" s="455">
        <f t="array" ref="J1641">IFERROR(INDEX('Retirement Calculator'!J:J,MATCH('Isaac 401k'!N1641,'Retirement Calculator'!A:A,0),0),0)</f>
        <v>0</v>
      </c>
      <c r="K1641" s="455">
        <f t="shared" ca="1" si="131"/>
        <v>1485125.5374042268</v>
      </c>
      <c r="L1641" s="455">
        <f t="shared" ca="1" si="132"/>
        <v>357915254.51441866</v>
      </c>
      <c r="M1641" s="471">
        <f t="shared" si="134"/>
        <v>0.05</v>
      </c>
      <c r="N1641" s="475">
        <f t="shared" si="135"/>
        <v>100991</v>
      </c>
    </row>
    <row r="1642" spans="7:14" ht="11.25" customHeight="1" x14ac:dyDescent="0.3">
      <c r="G1642" s="470"/>
      <c r="H1642" s="470">
        <v>1635</v>
      </c>
      <c r="I1642" s="455">
        <f t="shared" ca="1" si="133"/>
        <v>357915254.51441866</v>
      </c>
      <c r="J1642" s="455">
        <f t="array" ref="J1642">IFERROR(INDEX('Retirement Calculator'!J:J,MATCH('Isaac 401k'!N1642,'Retirement Calculator'!A:A,0),0),0)</f>
        <v>0</v>
      </c>
      <c r="K1642" s="455">
        <f t="shared" ca="1" si="131"/>
        <v>1491313.5604767443</v>
      </c>
      <c r="L1642" s="455">
        <f t="shared" ca="1" si="132"/>
        <v>359406568.07489538</v>
      </c>
      <c r="M1642" s="471">
        <f t="shared" si="134"/>
        <v>0.05</v>
      </c>
      <c r="N1642" s="475">
        <f t="shared" si="135"/>
        <v>101022</v>
      </c>
    </row>
    <row r="1643" spans="7:14" ht="11.25" customHeight="1" x14ac:dyDescent="0.3">
      <c r="G1643" s="470"/>
      <c r="H1643" s="470">
        <v>1636</v>
      </c>
      <c r="I1643" s="455">
        <f t="shared" ca="1" si="133"/>
        <v>359406568.07489538</v>
      </c>
      <c r="J1643" s="455">
        <f t="array" ref="J1643">IFERROR(INDEX('Retirement Calculator'!J:J,MATCH('Isaac 401k'!N1643,'Retirement Calculator'!A:A,0),0),0)</f>
        <v>0</v>
      </c>
      <c r="K1643" s="455">
        <f t="shared" ca="1" si="131"/>
        <v>1497527.3669787308</v>
      </c>
      <c r="L1643" s="455">
        <f t="shared" ca="1" si="132"/>
        <v>360904095.44187409</v>
      </c>
      <c r="M1643" s="471">
        <f t="shared" si="134"/>
        <v>0.05</v>
      </c>
      <c r="N1643" s="475">
        <f t="shared" si="135"/>
        <v>101053</v>
      </c>
    </row>
    <row r="1644" spans="7:14" ht="11.25" customHeight="1" x14ac:dyDescent="0.3">
      <c r="G1644" s="470"/>
      <c r="H1644" s="470">
        <v>1637</v>
      </c>
      <c r="I1644" s="455">
        <f t="shared" ca="1" si="133"/>
        <v>360904095.44187409</v>
      </c>
      <c r="J1644" s="455">
        <f t="array" ref="J1644">IFERROR(INDEX('Retirement Calculator'!J:J,MATCH('Isaac 401k'!N1644,'Retirement Calculator'!A:A,0),0),0)</f>
        <v>0</v>
      </c>
      <c r="K1644" s="455">
        <f t="shared" ca="1" si="131"/>
        <v>1503767.0643411421</v>
      </c>
      <c r="L1644" s="455">
        <f t="shared" ca="1" si="132"/>
        <v>362407862.50621521</v>
      </c>
      <c r="M1644" s="471">
        <f t="shared" si="134"/>
        <v>0.05</v>
      </c>
      <c r="N1644" s="475">
        <f t="shared" si="135"/>
        <v>101083</v>
      </c>
    </row>
    <row r="1645" spans="7:14" ht="11.25" customHeight="1" x14ac:dyDescent="0.3">
      <c r="G1645" s="470"/>
      <c r="H1645" s="470">
        <v>1638</v>
      </c>
      <c r="I1645" s="455">
        <f t="shared" ca="1" si="133"/>
        <v>362407862.50621521</v>
      </c>
      <c r="J1645" s="455">
        <f t="array" ref="J1645">IFERROR(INDEX('Retirement Calculator'!J:J,MATCH('Isaac 401k'!N1645,'Retirement Calculator'!A:A,0),0),0)</f>
        <v>0</v>
      </c>
      <c r="K1645" s="455">
        <f t="shared" ca="1" si="131"/>
        <v>1510032.7604425633</v>
      </c>
      <c r="L1645" s="455">
        <f t="shared" ca="1" si="132"/>
        <v>363917895.26665777</v>
      </c>
      <c r="M1645" s="471">
        <f t="shared" si="134"/>
        <v>0.05</v>
      </c>
      <c r="N1645" s="475">
        <f t="shared" si="135"/>
        <v>101114</v>
      </c>
    </row>
    <row r="1646" spans="7:14" ht="11.25" customHeight="1" x14ac:dyDescent="0.3">
      <c r="G1646" s="470"/>
      <c r="H1646" s="470">
        <v>1639</v>
      </c>
      <c r="I1646" s="455">
        <f t="shared" ca="1" si="133"/>
        <v>363917895.26665777</v>
      </c>
      <c r="J1646" s="455">
        <f t="array" ref="J1646">IFERROR(INDEX('Retirement Calculator'!J:J,MATCH('Isaac 401k'!N1646,'Retirement Calculator'!A:A,0),0),0)</f>
        <v>0</v>
      </c>
      <c r="K1646" s="455">
        <f t="shared" ca="1" si="131"/>
        <v>1516324.5636110741</v>
      </c>
      <c r="L1646" s="455">
        <f t="shared" ca="1" si="132"/>
        <v>365434219.83026886</v>
      </c>
      <c r="M1646" s="471">
        <f t="shared" si="134"/>
        <v>0.05</v>
      </c>
      <c r="N1646" s="475">
        <f t="shared" si="135"/>
        <v>101144</v>
      </c>
    </row>
    <row r="1647" spans="7:14" ht="11.25" customHeight="1" x14ac:dyDescent="0.3">
      <c r="G1647" s="470"/>
      <c r="H1647" s="470">
        <v>1640</v>
      </c>
      <c r="I1647" s="455">
        <f t="shared" ca="1" si="133"/>
        <v>365434219.83026886</v>
      </c>
      <c r="J1647" s="455">
        <f t="array" ref="J1647">IFERROR(INDEX('Retirement Calculator'!J:J,MATCH('Isaac 401k'!N1647,'Retirement Calculator'!A:A,0),0),0)</f>
        <v>0</v>
      </c>
      <c r="K1647" s="455">
        <f t="shared" ca="1" si="131"/>
        <v>1522642.5826261202</v>
      </c>
      <c r="L1647" s="455">
        <f t="shared" ca="1" si="132"/>
        <v>366956862.41289496</v>
      </c>
      <c r="M1647" s="471">
        <f t="shared" si="134"/>
        <v>0.05</v>
      </c>
      <c r="N1647" s="475">
        <f t="shared" si="135"/>
        <v>101175</v>
      </c>
    </row>
    <row r="1648" spans="7:14" ht="11.25" customHeight="1" x14ac:dyDescent="0.3">
      <c r="G1648" s="470"/>
      <c r="H1648" s="470">
        <v>1641</v>
      </c>
      <c r="I1648" s="455">
        <f t="shared" ca="1" si="133"/>
        <v>366956862.41289496</v>
      </c>
      <c r="J1648" s="455">
        <f t="array" ref="J1648">IFERROR(INDEX('Retirement Calculator'!J:J,MATCH('Isaac 401k'!N1648,'Retirement Calculator'!A:A,0),0),0)</f>
        <v>0</v>
      </c>
      <c r="K1648" s="455">
        <f t="shared" ca="1" si="131"/>
        <v>1528986.9267203957</v>
      </c>
      <c r="L1648" s="455">
        <f t="shared" ca="1" si="132"/>
        <v>368485849.33961535</v>
      </c>
      <c r="M1648" s="471">
        <f t="shared" si="134"/>
        <v>0.05</v>
      </c>
      <c r="N1648" s="475">
        <f t="shared" si="135"/>
        <v>101206</v>
      </c>
    </row>
    <row r="1649" spans="7:14" ht="11.25" customHeight="1" x14ac:dyDescent="0.3">
      <c r="G1649" s="470"/>
      <c r="H1649" s="470">
        <v>1642</v>
      </c>
      <c r="I1649" s="455">
        <f t="shared" ca="1" si="133"/>
        <v>368485849.33961535</v>
      </c>
      <c r="J1649" s="455">
        <f t="array" ref="J1649">IFERROR(INDEX('Retirement Calculator'!J:J,MATCH('Isaac 401k'!N1649,'Retirement Calculator'!A:A,0),0),0)</f>
        <v>0</v>
      </c>
      <c r="K1649" s="455">
        <f t="shared" ca="1" si="131"/>
        <v>1535357.7055817307</v>
      </c>
      <c r="L1649" s="455">
        <f t="shared" ca="1" si="132"/>
        <v>370021207.04519707</v>
      </c>
      <c r="M1649" s="471">
        <f t="shared" si="134"/>
        <v>0.05</v>
      </c>
      <c r="N1649" s="475">
        <f t="shared" si="135"/>
        <v>101234</v>
      </c>
    </row>
    <row r="1650" spans="7:14" ht="11.25" customHeight="1" x14ac:dyDescent="0.3">
      <c r="G1650" s="470"/>
      <c r="H1650" s="470">
        <v>1643</v>
      </c>
      <c r="I1650" s="455">
        <f t="shared" ca="1" si="133"/>
        <v>370021207.04519707</v>
      </c>
      <c r="J1650" s="455">
        <f t="array" ref="J1650">IFERROR(INDEX('Retirement Calculator'!J:J,MATCH('Isaac 401k'!N1650,'Retirement Calculator'!A:A,0),0),0)</f>
        <v>0</v>
      </c>
      <c r="K1650" s="455">
        <f t="shared" ca="1" si="131"/>
        <v>1541755.0293549877</v>
      </c>
      <c r="L1650" s="455">
        <f t="shared" ca="1" si="132"/>
        <v>371562962.07455206</v>
      </c>
      <c r="M1650" s="471">
        <f t="shared" si="134"/>
        <v>0.05</v>
      </c>
      <c r="N1650" s="475">
        <f t="shared" si="135"/>
        <v>101265</v>
      </c>
    </row>
    <row r="1651" spans="7:14" ht="11.25" customHeight="1" x14ac:dyDescent="0.3">
      <c r="G1651" s="470"/>
      <c r="H1651" s="470">
        <v>1644</v>
      </c>
      <c r="I1651" s="455">
        <f t="shared" ca="1" si="133"/>
        <v>371562962.07455206</v>
      </c>
      <c r="J1651" s="455">
        <f t="array" ref="J1651">IFERROR(INDEX('Retirement Calculator'!J:J,MATCH('Isaac 401k'!N1651,'Retirement Calculator'!A:A,0),0),0)</f>
        <v>0</v>
      </c>
      <c r="K1651" s="455">
        <f t="shared" ca="1" si="131"/>
        <v>1548179.0086439669</v>
      </c>
      <c r="L1651" s="455">
        <f t="shared" ca="1" si="132"/>
        <v>373111141.08319604</v>
      </c>
      <c r="M1651" s="471">
        <f t="shared" si="134"/>
        <v>0.05</v>
      </c>
      <c r="N1651" s="475">
        <f t="shared" si="135"/>
        <v>101295</v>
      </c>
    </row>
    <row r="1652" spans="7:14" ht="11.25" customHeight="1" x14ac:dyDescent="0.3">
      <c r="G1652" s="470"/>
      <c r="H1652" s="470">
        <v>1645</v>
      </c>
      <c r="I1652" s="455">
        <f t="shared" ca="1" si="133"/>
        <v>373111141.08319604</v>
      </c>
      <c r="J1652" s="455">
        <f t="array" ref="J1652">IFERROR(INDEX('Retirement Calculator'!J:J,MATCH('Isaac 401k'!N1652,'Retirement Calculator'!A:A,0),0),0)</f>
        <v>0</v>
      </c>
      <c r="K1652" s="455">
        <f t="shared" ca="1" si="131"/>
        <v>1554629.7545133168</v>
      </c>
      <c r="L1652" s="455">
        <f t="shared" ca="1" si="132"/>
        <v>374665770.83770937</v>
      </c>
      <c r="M1652" s="471">
        <f t="shared" si="134"/>
        <v>0.05</v>
      </c>
      <c r="N1652" s="475">
        <f t="shared" si="135"/>
        <v>101326</v>
      </c>
    </row>
    <row r="1653" spans="7:14" ht="11.25" customHeight="1" x14ac:dyDescent="0.3">
      <c r="G1653" s="470"/>
      <c r="H1653" s="470">
        <v>1646</v>
      </c>
      <c r="I1653" s="455">
        <f t="shared" ca="1" si="133"/>
        <v>374665770.83770937</v>
      </c>
      <c r="J1653" s="455">
        <f t="array" ref="J1653">IFERROR(INDEX('Retirement Calculator'!J:J,MATCH('Isaac 401k'!N1653,'Retirement Calculator'!A:A,0),0),0)</f>
        <v>0</v>
      </c>
      <c r="K1653" s="455">
        <f t="shared" ca="1" si="131"/>
        <v>1561107.3784904557</v>
      </c>
      <c r="L1653" s="455">
        <f t="shared" ca="1" si="132"/>
        <v>376226878.21619982</v>
      </c>
      <c r="M1653" s="471">
        <f t="shared" si="134"/>
        <v>0.05</v>
      </c>
      <c r="N1653" s="475">
        <f t="shared" si="135"/>
        <v>101356</v>
      </c>
    </row>
    <row r="1654" spans="7:14" ht="11.25" customHeight="1" x14ac:dyDescent="0.3">
      <c r="G1654" s="470"/>
      <c r="H1654" s="470">
        <v>1647</v>
      </c>
      <c r="I1654" s="455">
        <f t="shared" ca="1" si="133"/>
        <v>376226878.21619982</v>
      </c>
      <c r="J1654" s="455">
        <f t="array" ref="J1654">IFERROR(INDEX('Retirement Calculator'!J:J,MATCH('Isaac 401k'!N1654,'Retirement Calculator'!A:A,0),0),0)</f>
        <v>0</v>
      </c>
      <c r="K1654" s="455">
        <f t="shared" ca="1" si="131"/>
        <v>1567611.9925674992</v>
      </c>
      <c r="L1654" s="455">
        <f t="shared" ca="1" si="132"/>
        <v>377794490.20876729</v>
      </c>
      <c r="M1654" s="471">
        <f t="shared" si="134"/>
        <v>0.05</v>
      </c>
      <c r="N1654" s="475">
        <f t="shared" si="135"/>
        <v>101387</v>
      </c>
    </row>
    <row r="1655" spans="7:14" ht="11.25" customHeight="1" x14ac:dyDescent="0.3">
      <c r="G1655" s="470"/>
      <c r="H1655" s="470">
        <v>1648</v>
      </c>
      <c r="I1655" s="455">
        <f t="shared" ca="1" si="133"/>
        <v>377794490.20876729</v>
      </c>
      <c r="J1655" s="455">
        <f t="array" ref="J1655">IFERROR(INDEX('Retirement Calculator'!J:J,MATCH('Isaac 401k'!N1655,'Retirement Calculator'!A:A,0),0),0)</f>
        <v>0</v>
      </c>
      <c r="K1655" s="455">
        <f t="shared" ca="1" si="131"/>
        <v>1574143.7092031972</v>
      </c>
      <c r="L1655" s="455">
        <f t="shared" ca="1" si="132"/>
        <v>379368633.91797048</v>
      </c>
      <c r="M1655" s="471">
        <f t="shared" si="134"/>
        <v>0.05</v>
      </c>
      <c r="N1655" s="475">
        <f t="shared" si="135"/>
        <v>101418</v>
      </c>
    </row>
    <row r="1656" spans="7:14" ht="11.25" customHeight="1" x14ac:dyDescent="0.3">
      <c r="G1656" s="470"/>
      <c r="H1656" s="470">
        <v>1649</v>
      </c>
      <c r="I1656" s="455">
        <f t="shared" ca="1" si="133"/>
        <v>379368633.91797048</v>
      </c>
      <c r="J1656" s="455">
        <f t="array" ref="J1656">IFERROR(INDEX('Retirement Calculator'!J:J,MATCH('Isaac 401k'!N1656,'Retirement Calculator'!A:A,0),0),0)</f>
        <v>0</v>
      </c>
      <c r="K1656" s="455">
        <f t="shared" ca="1" si="131"/>
        <v>1580702.641324877</v>
      </c>
      <c r="L1656" s="455">
        <f t="shared" ca="1" si="132"/>
        <v>380949336.55929536</v>
      </c>
      <c r="M1656" s="471">
        <f t="shared" si="134"/>
        <v>0.05</v>
      </c>
      <c r="N1656" s="475">
        <f t="shared" si="135"/>
        <v>101448</v>
      </c>
    </row>
    <row r="1657" spans="7:14" ht="11.25" customHeight="1" x14ac:dyDescent="0.3">
      <c r="G1657" s="470"/>
      <c r="H1657" s="470">
        <v>1650</v>
      </c>
      <c r="I1657" s="455">
        <f t="shared" ca="1" si="133"/>
        <v>380949336.55929536</v>
      </c>
      <c r="J1657" s="455">
        <f t="array" ref="J1657">IFERROR(INDEX('Retirement Calculator'!J:J,MATCH('Isaac 401k'!N1657,'Retirement Calculator'!A:A,0),0),0)</f>
        <v>0</v>
      </c>
      <c r="K1657" s="455">
        <f t="shared" ca="1" si="131"/>
        <v>1587288.9023303974</v>
      </c>
      <c r="L1657" s="455">
        <f t="shared" ca="1" si="132"/>
        <v>382536625.46162575</v>
      </c>
      <c r="M1657" s="471">
        <f t="shared" si="134"/>
        <v>0.05</v>
      </c>
      <c r="N1657" s="475">
        <f t="shared" si="135"/>
        <v>101479</v>
      </c>
    </row>
    <row r="1658" spans="7:14" ht="11.25" customHeight="1" x14ac:dyDescent="0.3">
      <c r="G1658" s="470"/>
      <c r="H1658" s="470">
        <v>1651</v>
      </c>
      <c r="I1658" s="455">
        <f t="shared" ca="1" si="133"/>
        <v>382536625.46162575</v>
      </c>
      <c r="J1658" s="455">
        <f t="array" ref="J1658">IFERROR(INDEX('Retirement Calculator'!J:J,MATCH('Isaac 401k'!N1658,'Retirement Calculator'!A:A,0),0),0)</f>
        <v>0</v>
      </c>
      <c r="K1658" s="455">
        <f t="shared" ca="1" si="131"/>
        <v>1593902.6060901072</v>
      </c>
      <c r="L1658" s="455">
        <f t="shared" ca="1" si="132"/>
        <v>384130528.06771588</v>
      </c>
      <c r="M1658" s="471">
        <f t="shared" si="134"/>
        <v>0.05</v>
      </c>
      <c r="N1658" s="475">
        <f t="shared" si="135"/>
        <v>101509</v>
      </c>
    </row>
    <row r="1659" spans="7:14" ht="11.25" customHeight="1" x14ac:dyDescent="0.3">
      <c r="G1659" s="470"/>
      <c r="H1659" s="470">
        <v>1652</v>
      </c>
      <c r="I1659" s="455">
        <f t="shared" ca="1" si="133"/>
        <v>384130528.06771588</v>
      </c>
      <c r="J1659" s="455">
        <f t="array" ref="J1659">IFERROR(INDEX('Retirement Calculator'!J:J,MATCH('Isaac 401k'!N1659,'Retirement Calculator'!A:A,0),0),0)</f>
        <v>0</v>
      </c>
      <c r="K1659" s="455">
        <f t="shared" ca="1" si="131"/>
        <v>1600543.8669488162</v>
      </c>
      <c r="L1659" s="455">
        <f t="shared" ca="1" si="132"/>
        <v>385731071.93466473</v>
      </c>
      <c r="M1659" s="471">
        <f t="shared" si="134"/>
        <v>0.05</v>
      </c>
      <c r="N1659" s="475">
        <f t="shared" si="135"/>
        <v>101540</v>
      </c>
    </row>
    <row r="1660" spans="7:14" ht="11.25" customHeight="1" x14ac:dyDescent="0.3">
      <c r="G1660" s="470"/>
      <c r="H1660" s="470">
        <v>1653</v>
      </c>
      <c r="I1660" s="455">
        <f t="shared" ca="1" si="133"/>
        <v>385731071.93466473</v>
      </c>
      <c r="J1660" s="455">
        <f t="array" ref="J1660">IFERROR(INDEX('Retirement Calculator'!J:J,MATCH('Isaac 401k'!N1660,'Retirement Calculator'!A:A,0),0),0)</f>
        <v>0</v>
      </c>
      <c r="K1660" s="455">
        <f t="shared" ca="1" si="131"/>
        <v>1607212.7997277696</v>
      </c>
      <c r="L1660" s="455">
        <f t="shared" ca="1" si="132"/>
        <v>387338284.73439252</v>
      </c>
      <c r="M1660" s="471">
        <f t="shared" si="134"/>
        <v>0.05</v>
      </c>
      <c r="N1660" s="475">
        <f t="shared" si="135"/>
        <v>101571</v>
      </c>
    </row>
    <row r="1661" spans="7:14" ht="11.25" customHeight="1" x14ac:dyDescent="0.3">
      <c r="G1661" s="470"/>
      <c r="H1661" s="470">
        <v>1654</v>
      </c>
      <c r="I1661" s="455">
        <f t="shared" ca="1" si="133"/>
        <v>387338284.73439252</v>
      </c>
      <c r="J1661" s="455">
        <f t="array" ref="J1661">IFERROR(INDEX('Retirement Calculator'!J:J,MATCH('Isaac 401k'!N1661,'Retirement Calculator'!A:A,0),0),0)</f>
        <v>0</v>
      </c>
      <c r="K1661" s="455">
        <f t="shared" ca="1" si="131"/>
        <v>1613909.5197266354</v>
      </c>
      <c r="L1661" s="455">
        <f t="shared" ca="1" si="132"/>
        <v>388952194.25411916</v>
      </c>
      <c r="M1661" s="471">
        <f t="shared" si="134"/>
        <v>0.05</v>
      </c>
      <c r="N1661" s="475">
        <f t="shared" si="135"/>
        <v>101599</v>
      </c>
    </row>
    <row r="1662" spans="7:14" ht="11.25" customHeight="1" x14ac:dyDescent="0.3">
      <c r="G1662" s="470"/>
      <c r="H1662" s="470">
        <v>1655</v>
      </c>
      <c r="I1662" s="455">
        <f t="shared" ca="1" si="133"/>
        <v>388952194.25411916</v>
      </c>
      <c r="J1662" s="455">
        <f t="array" ref="J1662">IFERROR(INDEX('Retirement Calculator'!J:J,MATCH('Isaac 401k'!N1662,'Retirement Calculator'!A:A,0),0),0)</f>
        <v>0</v>
      </c>
      <c r="K1662" s="455">
        <f t="shared" ca="1" si="131"/>
        <v>1620634.1427254966</v>
      </c>
      <c r="L1662" s="455">
        <f t="shared" ca="1" si="132"/>
        <v>390572828.39684463</v>
      </c>
      <c r="M1662" s="471">
        <f t="shared" si="134"/>
        <v>0.05</v>
      </c>
      <c r="N1662" s="475">
        <f t="shared" si="135"/>
        <v>101630</v>
      </c>
    </row>
    <row r="1663" spans="7:14" ht="11.25" customHeight="1" x14ac:dyDescent="0.3">
      <c r="G1663" s="470"/>
      <c r="H1663" s="470">
        <v>1656</v>
      </c>
      <c r="I1663" s="455">
        <f t="shared" ca="1" si="133"/>
        <v>390572828.39684463</v>
      </c>
      <c r="J1663" s="455">
        <f t="array" ref="J1663">IFERROR(INDEX('Retirement Calculator'!J:J,MATCH('Isaac 401k'!N1663,'Retirement Calculator'!A:A,0),0),0)</f>
        <v>0</v>
      </c>
      <c r="K1663" s="455">
        <f t="shared" ca="1" si="131"/>
        <v>1627386.7849868527</v>
      </c>
      <c r="L1663" s="455">
        <f t="shared" ca="1" si="132"/>
        <v>392200215.18183148</v>
      </c>
      <c r="M1663" s="471">
        <f t="shared" si="134"/>
        <v>0.05</v>
      </c>
      <c r="N1663" s="475">
        <f t="shared" si="135"/>
        <v>101660</v>
      </c>
    </row>
    <row r="1664" spans="7:14" ht="11.25" customHeight="1" x14ac:dyDescent="0.3">
      <c r="G1664" s="470"/>
      <c r="H1664" s="470">
        <v>1657</v>
      </c>
      <c r="I1664" s="455">
        <f t="shared" ca="1" si="133"/>
        <v>392200215.18183148</v>
      </c>
      <c r="J1664" s="455">
        <f t="array" ref="J1664">IFERROR(INDEX('Retirement Calculator'!J:J,MATCH('Isaac 401k'!N1664,'Retirement Calculator'!A:A,0),0),0)</f>
        <v>0</v>
      </c>
      <c r="K1664" s="455">
        <f t="shared" ca="1" si="131"/>
        <v>1634167.5632576311</v>
      </c>
      <c r="L1664" s="455">
        <f t="shared" ca="1" si="132"/>
        <v>393834382.74508911</v>
      </c>
      <c r="M1664" s="471">
        <f t="shared" si="134"/>
        <v>0.05</v>
      </c>
      <c r="N1664" s="475">
        <f t="shared" si="135"/>
        <v>101691</v>
      </c>
    </row>
    <row r="1665" spans="7:14" ht="11.25" customHeight="1" x14ac:dyDescent="0.3">
      <c r="G1665" s="470"/>
      <c r="H1665" s="470">
        <v>1658</v>
      </c>
      <c r="I1665" s="455">
        <f t="shared" ca="1" si="133"/>
        <v>393834382.74508911</v>
      </c>
      <c r="J1665" s="455">
        <f t="array" ref="J1665">IFERROR(INDEX('Retirement Calculator'!J:J,MATCH('Isaac 401k'!N1665,'Retirement Calculator'!A:A,0),0),0)</f>
        <v>0</v>
      </c>
      <c r="K1665" s="455">
        <f t="shared" ca="1" si="131"/>
        <v>1640976.5947712045</v>
      </c>
      <c r="L1665" s="455">
        <f t="shared" ca="1" si="132"/>
        <v>395475359.33986032</v>
      </c>
      <c r="M1665" s="471">
        <f t="shared" si="134"/>
        <v>0.05</v>
      </c>
      <c r="N1665" s="475">
        <f t="shared" si="135"/>
        <v>101721</v>
      </c>
    </row>
    <row r="1666" spans="7:14" ht="11.25" customHeight="1" x14ac:dyDescent="0.3">
      <c r="G1666" s="470"/>
      <c r="H1666" s="470">
        <v>1659</v>
      </c>
      <c r="I1666" s="455">
        <f t="shared" ca="1" si="133"/>
        <v>395475359.33986032</v>
      </c>
      <c r="J1666" s="455">
        <f t="array" ref="J1666">IFERROR(INDEX('Retirement Calculator'!J:J,MATCH('Isaac 401k'!N1666,'Retirement Calculator'!A:A,0),0),0)</f>
        <v>0</v>
      </c>
      <c r="K1666" s="455">
        <f t="shared" ca="1" si="131"/>
        <v>1647813.9972494179</v>
      </c>
      <c r="L1666" s="455">
        <f t="shared" ca="1" si="132"/>
        <v>397123173.33710974</v>
      </c>
      <c r="M1666" s="471">
        <f t="shared" si="134"/>
        <v>0.05</v>
      </c>
      <c r="N1666" s="475">
        <f t="shared" si="135"/>
        <v>101752</v>
      </c>
    </row>
    <row r="1667" spans="7:14" ht="11.25" customHeight="1" x14ac:dyDescent="0.3">
      <c r="G1667" s="470"/>
      <c r="H1667" s="470">
        <v>1660</v>
      </c>
      <c r="I1667" s="455">
        <f t="shared" ca="1" si="133"/>
        <v>397123173.33710974</v>
      </c>
      <c r="J1667" s="455">
        <f t="array" ref="J1667">IFERROR(INDEX('Retirement Calculator'!J:J,MATCH('Isaac 401k'!N1667,'Retirement Calculator'!A:A,0),0),0)</f>
        <v>0</v>
      </c>
      <c r="K1667" s="455">
        <f t="shared" ca="1" si="131"/>
        <v>1654679.8889046239</v>
      </c>
      <c r="L1667" s="455">
        <f t="shared" ca="1" si="132"/>
        <v>398777853.22601438</v>
      </c>
      <c r="M1667" s="471">
        <f t="shared" si="134"/>
        <v>0.05</v>
      </c>
      <c r="N1667" s="475">
        <f t="shared" si="135"/>
        <v>101783</v>
      </c>
    </row>
    <row r="1668" spans="7:14" ht="11.25" customHeight="1" x14ac:dyDescent="0.3">
      <c r="G1668" s="470"/>
      <c r="H1668" s="470">
        <v>1661</v>
      </c>
      <c r="I1668" s="455">
        <f t="shared" ca="1" si="133"/>
        <v>398777853.22601438</v>
      </c>
      <c r="J1668" s="455">
        <f t="array" ref="J1668">IFERROR(INDEX('Retirement Calculator'!J:J,MATCH('Isaac 401k'!N1668,'Retirement Calculator'!A:A,0),0),0)</f>
        <v>0</v>
      </c>
      <c r="K1668" s="455">
        <f t="shared" ca="1" si="131"/>
        <v>1661574.3884417266</v>
      </c>
      <c r="L1668" s="455">
        <f t="shared" ca="1" si="132"/>
        <v>400439427.61445612</v>
      </c>
      <c r="M1668" s="471">
        <f t="shared" si="134"/>
        <v>0.05</v>
      </c>
      <c r="N1668" s="475">
        <f t="shared" si="135"/>
        <v>101813</v>
      </c>
    </row>
    <row r="1669" spans="7:14" ht="11.25" customHeight="1" x14ac:dyDescent="0.3">
      <c r="G1669" s="470"/>
      <c r="H1669" s="470">
        <v>1662</v>
      </c>
      <c r="I1669" s="455">
        <f t="shared" ca="1" si="133"/>
        <v>400439427.61445612</v>
      </c>
      <c r="J1669" s="455">
        <f t="array" ref="J1669">IFERROR(INDEX('Retirement Calculator'!J:J,MATCH('Isaac 401k'!N1669,'Retirement Calculator'!A:A,0),0),0)</f>
        <v>0</v>
      </c>
      <c r="K1669" s="455">
        <f t="shared" ca="1" si="131"/>
        <v>1668497.6150602337</v>
      </c>
      <c r="L1669" s="455">
        <f t="shared" ca="1" si="132"/>
        <v>402107925.22951633</v>
      </c>
      <c r="M1669" s="471">
        <f t="shared" si="134"/>
        <v>0.05</v>
      </c>
      <c r="N1669" s="475">
        <f t="shared" si="135"/>
        <v>101844</v>
      </c>
    </row>
    <row r="1670" spans="7:14" ht="11.25" customHeight="1" x14ac:dyDescent="0.3">
      <c r="G1670" s="470"/>
      <c r="H1670" s="470">
        <v>1663</v>
      </c>
      <c r="I1670" s="455">
        <f t="shared" ca="1" si="133"/>
        <v>402107925.22951633</v>
      </c>
      <c r="J1670" s="455">
        <f t="array" ref="J1670">IFERROR(INDEX('Retirement Calculator'!J:J,MATCH('Isaac 401k'!N1670,'Retirement Calculator'!A:A,0),0),0)</f>
        <v>0</v>
      </c>
      <c r="K1670" s="455">
        <f t="shared" ca="1" si="131"/>
        <v>1675449.6884563181</v>
      </c>
      <c r="L1670" s="455">
        <f t="shared" ca="1" si="132"/>
        <v>403783374.91797262</v>
      </c>
      <c r="M1670" s="471">
        <f t="shared" si="134"/>
        <v>0.05</v>
      </c>
      <c r="N1670" s="475">
        <f t="shared" si="135"/>
        <v>101874</v>
      </c>
    </row>
    <row r="1671" spans="7:14" ht="11.25" customHeight="1" x14ac:dyDescent="0.3">
      <c r="G1671" s="470"/>
      <c r="H1671" s="470">
        <v>1664</v>
      </c>
      <c r="I1671" s="455">
        <f t="shared" ca="1" si="133"/>
        <v>403783374.91797262</v>
      </c>
      <c r="J1671" s="455">
        <f t="array" ref="J1671">IFERROR(INDEX('Retirement Calculator'!J:J,MATCH('Isaac 401k'!N1671,'Retirement Calculator'!A:A,0),0),0)</f>
        <v>0</v>
      </c>
      <c r="K1671" s="455">
        <f t="shared" ca="1" si="131"/>
        <v>1682430.7288248858</v>
      </c>
      <c r="L1671" s="455">
        <f t="shared" ca="1" si="132"/>
        <v>405465805.64679754</v>
      </c>
      <c r="M1671" s="471">
        <f t="shared" si="134"/>
        <v>0.05</v>
      </c>
      <c r="N1671" s="475">
        <f t="shared" si="135"/>
        <v>101905</v>
      </c>
    </row>
    <row r="1672" spans="7:14" ht="11.25" customHeight="1" x14ac:dyDescent="0.3">
      <c r="G1672" s="470"/>
      <c r="H1672" s="470">
        <v>1665</v>
      </c>
      <c r="I1672" s="455">
        <f t="shared" ca="1" si="133"/>
        <v>405465805.64679754</v>
      </c>
      <c r="J1672" s="455">
        <f t="array" ref="J1672">IFERROR(INDEX('Retirement Calculator'!J:J,MATCH('Isaac 401k'!N1672,'Retirement Calculator'!A:A,0),0),0)</f>
        <v>0</v>
      </c>
      <c r="K1672" s="455">
        <f t="shared" ca="1" si="131"/>
        <v>1689440.8568616563</v>
      </c>
      <c r="L1672" s="455">
        <f t="shared" ca="1" si="132"/>
        <v>407155246.50365919</v>
      </c>
      <c r="M1672" s="471">
        <f t="shared" si="134"/>
        <v>0.05</v>
      </c>
      <c r="N1672" s="475">
        <f t="shared" si="135"/>
        <v>101936</v>
      </c>
    </row>
    <row r="1673" spans="7:14" ht="11.25" customHeight="1" x14ac:dyDescent="0.3">
      <c r="G1673" s="470"/>
      <c r="H1673" s="470">
        <v>1666</v>
      </c>
      <c r="I1673" s="455">
        <f t="shared" ca="1" si="133"/>
        <v>407155246.50365919</v>
      </c>
      <c r="J1673" s="455">
        <f t="array" ref="J1673">IFERROR(INDEX('Retirement Calculator'!J:J,MATCH('Isaac 401k'!N1673,'Retirement Calculator'!A:A,0),0),0)</f>
        <v>0</v>
      </c>
      <c r="K1673" s="455">
        <f t="shared" ca="1" si="131"/>
        <v>1696480.1937652465</v>
      </c>
      <c r="L1673" s="455">
        <f t="shared" ca="1" si="132"/>
        <v>408851726.69742441</v>
      </c>
      <c r="M1673" s="471">
        <f t="shared" si="134"/>
        <v>0.05</v>
      </c>
      <c r="N1673" s="475">
        <f t="shared" si="135"/>
        <v>101964</v>
      </c>
    </row>
    <row r="1674" spans="7:14" ht="11.25" customHeight="1" x14ac:dyDescent="0.3">
      <c r="G1674" s="470"/>
      <c r="H1674" s="470">
        <v>1667</v>
      </c>
      <c r="I1674" s="455">
        <f t="shared" ca="1" si="133"/>
        <v>408851726.69742441</v>
      </c>
      <c r="J1674" s="455">
        <f t="array" ref="J1674">IFERROR(INDEX('Retirement Calculator'!J:J,MATCH('Isaac 401k'!N1674,'Retirement Calculator'!A:A,0),0),0)</f>
        <v>0</v>
      </c>
      <c r="K1674" s="455">
        <f t="shared" ca="1" si="131"/>
        <v>1703548.8612392684</v>
      </c>
      <c r="L1674" s="455">
        <f t="shared" ca="1" si="132"/>
        <v>410555275.55866367</v>
      </c>
      <c r="M1674" s="471">
        <f t="shared" si="134"/>
        <v>0.05</v>
      </c>
      <c r="N1674" s="475">
        <f t="shared" si="135"/>
        <v>101995</v>
      </c>
    </row>
    <row r="1675" spans="7:14" ht="11.25" customHeight="1" x14ac:dyDescent="0.3">
      <c r="G1675" s="470"/>
      <c r="H1675" s="470">
        <v>1668</v>
      </c>
      <c r="I1675" s="455">
        <f t="shared" ca="1" si="133"/>
        <v>410555275.55866367</v>
      </c>
      <c r="J1675" s="455">
        <f t="array" ref="J1675">IFERROR(INDEX('Retirement Calculator'!J:J,MATCH('Isaac 401k'!N1675,'Retirement Calculator'!A:A,0),0),0)</f>
        <v>0</v>
      </c>
      <c r="K1675" s="455">
        <f t="shared" ca="1" si="131"/>
        <v>1710646.9814944318</v>
      </c>
      <c r="L1675" s="455">
        <f t="shared" ca="1" si="132"/>
        <v>412265922.54015809</v>
      </c>
      <c r="M1675" s="471">
        <f t="shared" si="134"/>
        <v>0.05</v>
      </c>
      <c r="N1675" s="475">
        <f t="shared" si="135"/>
        <v>102025</v>
      </c>
    </row>
    <row r="1676" spans="7:14" ht="11.25" customHeight="1" x14ac:dyDescent="0.3">
      <c r="G1676" s="470"/>
      <c r="H1676" s="470">
        <v>1669</v>
      </c>
      <c r="I1676" s="455">
        <f t="shared" ca="1" si="133"/>
        <v>412265922.54015809</v>
      </c>
      <c r="J1676" s="455">
        <f t="array" ref="J1676">IFERROR(INDEX('Retirement Calculator'!J:J,MATCH('Isaac 401k'!N1676,'Retirement Calculator'!A:A,0),0),0)</f>
        <v>0</v>
      </c>
      <c r="K1676" s="455">
        <f t="shared" ca="1" si="131"/>
        <v>1717774.6772506586</v>
      </c>
      <c r="L1676" s="455">
        <f t="shared" ca="1" si="132"/>
        <v>413983697.21740878</v>
      </c>
      <c r="M1676" s="471">
        <f t="shared" si="134"/>
        <v>0.05</v>
      </c>
      <c r="N1676" s="475">
        <f t="shared" si="135"/>
        <v>102056</v>
      </c>
    </row>
    <row r="1677" spans="7:14" ht="11.25" customHeight="1" x14ac:dyDescent="0.3">
      <c r="G1677" s="470"/>
      <c r="H1677" s="470">
        <v>1670</v>
      </c>
      <c r="I1677" s="455">
        <f t="shared" ca="1" si="133"/>
        <v>413983697.21740878</v>
      </c>
      <c r="J1677" s="455">
        <f t="array" ref="J1677">IFERROR(INDEX('Retirement Calculator'!J:J,MATCH('Isaac 401k'!N1677,'Retirement Calculator'!A:A,0),0),0)</f>
        <v>0</v>
      </c>
      <c r="K1677" s="455">
        <f t="shared" ca="1" si="131"/>
        <v>1724932.0717392033</v>
      </c>
      <c r="L1677" s="455">
        <f t="shared" ca="1" si="132"/>
        <v>415708629.28914797</v>
      </c>
      <c r="M1677" s="471">
        <f t="shared" si="134"/>
        <v>0.05</v>
      </c>
      <c r="N1677" s="475">
        <f t="shared" si="135"/>
        <v>102086</v>
      </c>
    </row>
    <row r="1678" spans="7:14" ht="11.25" customHeight="1" x14ac:dyDescent="0.3">
      <c r="G1678" s="470"/>
      <c r="H1678" s="470">
        <v>1671</v>
      </c>
      <c r="I1678" s="455">
        <f t="shared" ca="1" si="133"/>
        <v>415708629.28914797</v>
      </c>
      <c r="J1678" s="455">
        <f t="array" ref="J1678">IFERROR(INDEX('Retirement Calculator'!J:J,MATCH('Isaac 401k'!N1678,'Retirement Calculator'!A:A,0),0),0)</f>
        <v>0</v>
      </c>
      <c r="K1678" s="455">
        <f t="shared" ca="1" si="131"/>
        <v>1732119.2887047832</v>
      </c>
      <c r="L1678" s="455">
        <f t="shared" ca="1" si="132"/>
        <v>417440748.57785279</v>
      </c>
      <c r="M1678" s="471">
        <f t="shared" si="134"/>
        <v>0.05</v>
      </c>
      <c r="N1678" s="475">
        <f t="shared" si="135"/>
        <v>102117</v>
      </c>
    </row>
    <row r="1679" spans="7:14" ht="11.25" customHeight="1" x14ac:dyDescent="0.3">
      <c r="G1679" s="470"/>
      <c r="H1679" s="470">
        <v>1672</v>
      </c>
      <c r="I1679" s="455">
        <f t="shared" ca="1" si="133"/>
        <v>417440748.57785279</v>
      </c>
      <c r="J1679" s="455">
        <f t="array" ref="J1679">IFERROR(INDEX('Retirement Calculator'!J:J,MATCH('Isaac 401k'!N1679,'Retirement Calculator'!A:A,0),0),0)</f>
        <v>0</v>
      </c>
      <c r="K1679" s="455">
        <f t="shared" ca="1" si="131"/>
        <v>1739336.4524077198</v>
      </c>
      <c r="L1679" s="455">
        <f t="shared" ca="1" si="132"/>
        <v>419180085.0302605</v>
      </c>
      <c r="M1679" s="471">
        <f t="shared" si="134"/>
        <v>0.05</v>
      </c>
      <c r="N1679" s="475">
        <f t="shared" si="135"/>
        <v>102148</v>
      </c>
    </row>
    <row r="1680" spans="7:14" ht="11.25" customHeight="1" x14ac:dyDescent="0.3">
      <c r="G1680" s="470"/>
      <c r="H1680" s="470">
        <v>1673</v>
      </c>
      <c r="I1680" s="455">
        <f t="shared" ca="1" si="133"/>
        <v>419180085.0302605</v>
      </c>
      <c r="J1680" s="455">
        <f t="array" ref="J1680">IFERROR(INDEX('Retirement Calculator'!J:J,MATCH('Isaac 401k'!N1680,'Retirement Calculator'!A:A,0),0),0)</f>
        <v>0</v>
      </c>
      <c r="K1680" s="455">
        <f t="shared" ca="1" si="131"/>
        <v>1746583.6876260857</v>
      </c>
      <c r="L1680" s="455">
        <f t="shared" ca="1" si="132"/>
        <v>420926668.71788657</v>
      </c>
      <c r="M1680" s="471">
        <f t="shared" si="134"/>
        <v>0.05</v>
      </c>
      <c r="N1680" s="475">
        <f t="shared" si="135"/>
        <v>102178</v>
      </c>
    </row>
    <row r="1681" spans="7:14" ht="11.25" customHeight="1" x14ac:dyDescent="0.3">
      <c r="G1681" s="470"/>
      <c r="H1681" s="470">
        <v>1674</v>
      </c>
      <c r="I1681" s="455">
        <f t="shared" ca="1" si="133"/>
        <v>420926668.71788657</v>
      </c>
      <c r="J1681" s="455">
        <f t="array" ref="J1681">IFERROR(INDEX('Retirement Calculator'!J:J,MATCH('Isaac 401k'!N1681,'Retirement Calculator'!A:A,0),0),0)</f>
        <v>0</v>
      </c>
      <c r="K1681" s="455">
        <f t="shared" ca="1" si="131"/>
        <v>1753861.1196578606</v>
      </c>
      <c r="L1681" s="455">
        <f t="shared" ca="1" si="132"/>
        <v>422680529.83754444</v>
      </c>
      <c r="M1681" s="471">
        <f t="shared" si="134"/>
        <v>0.05</v>
      </c>
      <c r="N1681" s="475">
        <f t="shared" si="135"/>
        <v>102209</v>
      </c>
    </row>
    <row r="1682" spans="7:14" ht="11.25" customHeight="1" x14ac:dyDescent="0.3">
      <c r="G1682" s="470"/>
      <c r="H1682" s="470">
        <v>1675</v>
      </c>
      <c r="I1682" s="455">
        <f t="shared" ca="1" si="133"/>
        <v>422680529.83754444</v>
      </c>
      <c r="J1682" s="455">
        <f t="array" ref="J1682">IFERROR(INDEX('Retirement Calculator'!J:J,MATCH('Isaac 401k'!N1682,'Retirement Calculator'!A:A,0),0),0)</f>
        <v>0</v>
      </c>
      <c r="K1682" s="455">
        <f t="shared" ca="1" si="131"/>
        <v>1761168.8743231017</v>
      </c>
      <c r="L1682" s="455">
        <f t="shared" ca="1" si="132"/>
        <v>424441698.71186757</v>
      </c>
      <c r="M1682" s="471">
        <f t="shared" si="134"/>
        <v>0.05</v>
      </c>
      <c r="N1682" s="475">
        <f t="shared" si="135"/>
        <v>102239</v>
      </c>
    </row>
    <row r="1683" spans="7:14" ht="11.25" customHeight="1" x14ac:dyDescent="0.3">
      <c r="G1683" s="470"/>
      <c r="H1683" s="470">
        <v>1676</v>
      </c>
      <c r="I1683" s="455">
        <f t="shared" ca="1" si="133"/>
        <v>424441698.71186757</v>
      </c>
      <c r="J1683" s="455">
        <f t="array" ref="J1683">IFERROR(INDEX('Retirement Calculator'!J:J,MATCH('Isaac 401k'!N1683,'Retirement Calculator'!A:A,0),0),0)</f>
        <v>0</v>
      </c>
      <c r="K1683" s="455">
        <f t="shared" ca="1" si="131"/>
        <v>1768507.0779661145</v>
      </c>
      <c r="L1683" s="455">
        <f t="shared" ca="1" si="132"/>
        <v>426210205.78983366</v>
      </c>
      <c r="M1683" s="471">
        <f t="shared" si="134"/>
        <v>0.05</v>
      </c>
      <c r="N1683" s="475">
        <f t="shared" si="135"/>
        <v>102270</v>
      </c>
    </row>
    <row r="1684" spans="7:14" ht="11.25" customHeight="1" x14ac:dyDescent="0.3">
      <c r="G1684" s="470"/>
      <c r="H1684" s="470">
        <v>1677</v>
      </c>
      <c r="I1684" s="455">
        <f t="shared" ca="1" si="133"/>
        <v>426210205.78983366</v>
      </c>
      <c r="J1684" s="455">
        <f t="array" ref="J1684">IFERROR(INDEX('Retirement Calculator'!J:J,MATCH('Isaac 401k'!N1684,'Retirement Calculator'!A:A,0),0),0)</f>
        <v>0</v>
      </c>
      <c r="K1684" s="455">
        <f t="shared" ca="1" si="131"/>
        <v>1775875.8574576403</v>
      </c>
      <c r="L1684" s="455">
        <f t="shared" ca="1" si="132"/>
        <v>427986081.6472913</v>
      </c>
      <c r="M1684" s="471">
        <f t="shared" si="134"/>
        <v>0.05</v>
      </c>
      <c r="N1684" s="475">
        <f t="shared" si="135"/>
        <v>102301</v>
      </c>
    </row>
    <row r="1685" spans="7:14" ht="11.25" customHeight="1" x14ac:dyDescent="0.3">
      <c r="G1685" s="470"/>
      <c r="H1685" s="470">
        <v>1678</v>
      </c>
      <c r="I1685" s="455">
        <f t="shared" ca="1" si="133"/>
        <v>427986081.6472913</v>
      </c>
      <c r="J1685" s="455">
        <f t="array" ref="J1685">IFERROR(INDEX('Retirement Calculator'!J:J,MATCH('Isaac 401k'!N1685,'Retirement Calculator'!A:A,0),0),0)</f>
        <v>0</v>
      </c>
      <c r="K1685" s="455">
        <f t="shared" ca="1" si="131"/>
        <v>1783275.340197047</v>
      </c>
      <c r="L1685" s="455">
        <f t="shared" ca="1" si="132"/>
        <v>429769356.98748833</v>
      </c>
      <c r="M1685" s="471">
        <f t="shared" si="134"/>
        <v>0.05</v>
      </c>
      <c r="N1685" s="475">
        <f t="shared" si="135"/>
        <v>102330</v>
      </c>
    </row>
    <row r="1686" spans="7:14" ht="11.25" customHeight="1" x14ac:dyDescent="0.3">
      <c r="G1686" s="470"/>
      <c r="H1686" s="470">
        <v>1679</v>
      </c>
      <c r="I1686" s="455">
        <f t="shared" ca="1" si="133"/>
        <v>429769356.98748833</v>
      </c>
      <c r="J1686" s="455">
        <f t="array" ref="J1686">IFERROR(INDEX('Retirement Calculator'!J:J,MATCH('Isaac 401k'!N1686,'Retirement Calculator'!A:A,0),0),0)</f>
        <v>0</v>
      </c>
      <c r="K1686" s="455">
        <f t="shared" ca="1" si="131"/>
        <v>1790705.6541145348</v>
      </c>
      <c r="L1686" s="455">
        <f t="shared" ca="1" si="132"/>
        <v>431560062.64160287</v>
      </c>
      <c r="M1686" s="471">
        <f t="shared" si="134"/>
        <v>0.05</v>
      </c>
      <c r="N1686" s="475">
        <f t="shared" si="135"/>
        <v>102361</v>
      </c>
    </row>
    <row r="1687" spans="7:14" ht="11.25" customHeight="1" x14ac:dyDescent="0.3">
      <c r="G1687" s="470"/>
      <c r="H1687" s="470">
        <v>1680</v>
      </c>
      <c r="I1687" s="455">
        <f t="shared" ca="1" si="133"/>
        <v>431560062.64160287</v>
      </c>
      <c r="J1687" s="455">
        <f t="array" ref="J1687">IFERROR(INDEX('Retirement Calculator'!J:J,MATCH('Isaac 401k'!N1687,'Retirement Calculator'!A:A,0),0),0)</f>
        <v>0</v>
      </c>
      <c r="K1687" s="455">
        <f t="shared" ca="1" si="131"/>
        <v>1798166.927673345</v>
      </c>
      <c r="L1687" s="455">
        <f t="shared" ca="1" si="132"/>
        <v>433358229.56927621</v>
      </c>
      <c r="M1687" s="471">
        <f t="shared" si="134"/>
        <v>0.05</v>
      </c>
      <c r="N1687" s="475">
        <f t="shared" si="135"/>
        <v>102391</v>
      </c>
    </row>
    <row r="1688" spans="7:14" ht="11.25" customHeight="1" x14ac:dyDescent="0.3">
      <c r="G1688" s="470"/>
      <c r="H1688" s="470">
        <v>1681</v>
      </c>
      <c r="I1688" s="455">
        <f t="shared" ca="1" si="133"/>
        <v>433358229.56927621</v>
      </c>
      <c r="J1688" s="455">
        <f t="array" ref="J1688">IFERROR(INDEX('Retirement Calculator'!J:J,MATCH('Isaac 401k'!N1688,'Retirement Calculator'!A:A,0),0),0)</f>
        <v>0</v>
      </c>
      <c r="K1688" s="455">
        <f t="shared" ca="1" si="131"/>
        <v>1805659.2898719839</v>
      </c>
      <c r="L1688" s="455">
        <f t="shared" ca="1" si="132"/>
        <v>435163888.8591482</v>
      </c>
      <c r="M1688" s="471">
        <f t="shared" si="134"/>
        <v>0.05</v>
      </c>
      <c r="N1688" s="475">
        <f t="shared" si="135"/>
        <v>102422</v>
      </c>
    </row>
    <row r="1689" spans="7:14" ht="11.25" customHeight="1" x14ac:dyDescent="0.3">
      <c r="G1689" s="470"/>
      <c r="H1689" s="470">
        <v>1682</v>
      </c>
      <c r="I1689" s="455">
        <f t="shared" ca="1" si="133"/>
        <v>435163888.8591482</v>
      </c>
      <c r="J1689" s="455">
        <f t="array" ref="J1689">IFERROR(INDEX('Retirement Calculator'!J:J,MATCH('Isaac 401k'!N1689,'Retirement Calculator'!A:A,0),0),0)</f>
        <v>0</v>
      </c>
      <c r="K1689" s="455">
        <f t="shared" ca="1" si="131"/>
        <v>1813182.8702464509</v>
      </c>
      <c r="L1689" s="455">
        <f t="shared" ca="1" si="132"/>
        <v>436977071.72939467</v>
      </c>
      <c r="M1689" s="471">
        <f t="shared" si="134"/>
        <v>0.05</v>
      </c>
      <c r="N1689" s="475">
        <f t="shared" si="135"/>
        <v>102452</v>
      </c>
    </row>
    <row r="1690" spans="7:14" ht="11.25" customHeight="1" x14ac:dyDescent="0.3">
      <c r="G1690" s="470"/>
      <c r="H1690" s="470">
        <v>1683</v>
      </c>
      <c r="I1690" s="455">
        <f t="shared" ca="1" si="133"/>
        <v>436977071.72939467</v>
      </c>
      <c r="J1690" s="455">
        <f t="array" ref="J1690">IFERROR(INDEX('Retirement Calculator'!J:J,MATCH('Isaac 401k'!N1690,'Retirement Calculator'!A:A,0),0),0)</f>
        <v>0</v>
      </c>
      <c r="K1690" s="455">
        <f t="shared" ca="1" si="131"/>
        <v>1820737.7988724776</v>
      </c>
      <c r="L1690" s="455">
        <f t="shared" ca="1" si="132"/>
        <v>438797809.52826715</v>
      </c>
      <c r="M1690" s="471">
        <f t="shared" si="134"/>
        <v>0.05</v>
      </c>
      <c r="N1690" s="475">
        <f t="shared" si="135"/>
        <v>102483</v>
      </c>
    </row>
    <row r="1691" spans="7:14" ht="11.25" customHeight="1" x14ac:dyDescent="0.3">
      <c r="G1691" s="470"/>
      <c r="H1691" s="470">
        <v>1684</v>
      </c>
      <c r="I1691" s="455">
        <f t="shared" ca="1" si="133"/>
        <v>438797809.52826715</v>
      </c>
      <c r="J1691" s="455">
        <f t="array" ref="J1691">IFERROR(INDEX('Retirement Calculator'!J:J,MATCH('Isaac 401k'!N1691,'Retirement Calculator'!A:A,0),0),0)</f>
        <v>0</v>
      </c>
      <c r="K1691" s="455">
        <f t="shared" ca="1" si="131"/>
        <v>1828324.2063677798</v>
      </c>
      <c r="L1691" s="455">
        <f t="shared" ca="1" si="132"/>
        <v>440626133.73463494</v>
      </c>
      <c r="M1691" s="471">
        <f t="shared" si="134"/>
        <v>0.05</v>
      </c>
      <c r="N1691" s="475">
        <f t="shared" si="135"/>
        <v>102514</v>
      </c>
    </row>
    <row r="1692" spans="7:14" ht="11.25" customHeight="1" x14ac:dyDescent="0.3">
      <c r="G1692" s="470"/>
      <c r="H1692" s="470">
        <v>1685</v>
      </c>
      <c r="I1692" s="455">
        <f t="shared" ca="1" si="133"/>
        <v>440626133.73463494</v>
      </c>
      <c r="J1692" s="455">
        <f t="array" ref="J1692">IFERROR(INDEX('Retirement Calculator'!J:J,MATCH('Isaac 401k'!N1692,'Retirement Calculator'!A:A,0),0),0)</f>
        <v>0</v>
      </c>
      <c r="K1692" s="455">
        <f t="shared" ca="1" si="131"/>
        <v>1835942.2238943123</v>
      </c>
      <c r="L1692" s="455">
        <f t="shared" ca="1" si="132"/>
        <v>442462075.95852923</v>
      </c>
      <c r="M1692" s="471">
        <f t="shared" si="134"/>
        <v>0.05</v>
      </c>
      <c r="N1692" s="475">
        <f t="shared" si="135"/>
        <v>102544</v>
      </c>
    </row>
    <row r="1693" spans="7:14" ht="11.25" customHeight="1" x14ac:dyDescent="0.3">
      <c r="G1693" s="470"/>
      <c r="H1693" s="470">
        <v>1686</v>
      </c>
      <c r="I1693" s="455">
        <f t="shared" ca="1" si="133"/>
        <v>442462075.95852923</v>
      </c>
      <c r="J1693" s="455">
        <f t="array" ref="J1693">IFERROR(INDEX('Retirement Calculator'!J:J,MATCH('Isaac 401k'!N1693,'Retirement Calculator'!A:A,0),0),0)</f>
        <v>0</v>
      </c>
      <c r="K1693" s="455">
        <f t="shared" ca="1" si="131"/>
        <v>1843591.9831605384</v>
      </c>
      <c r="L1693" s="455">
        <f t="shared" ca="1" si="132"/>
        <v>444305667.94168979</v>
      </c>
      <c r="M1693" s="471">
        <f t="shared" si="134"/>
        <v>0.05</v>
      </c>
      <c r="N1693" s="475">
        <f t="shared" si="135"/>
        <v>102575</v>
      </c>
    </row>
    <row r="1694" spans="7:14" ht="11.25" customHeight="1" x14ac:dyDescent="0.3">
      <c r="G1694" s="470"/>
      <c r="H1694" s="470">
        <v>1687</v>
      </c>
      <c r="I1694" s="455">
        <f t="shared" ca="1" si="133"/>
        <v>444305667.94168979</v>
      </c>
      <c r="J1694" s="455">
        <f t="array" ref="J1694">IFERROR(INDEX('Retirement Calculator'!J:J,MATCH('Isaac 401k'!N1694,'Retirement Calculator'!A:A,0),0),0)</f>
        <v>0</v>
      </c>
      <c r="K1694" s="455">
        <f t="shared" ca="1" si="131"/>
        <v>1851273.6164237077</v>
      </c>
      <c r="L1694" s="455">
        <f t="shared" ca="1" si="132"/>
        <v>446156941.55811352</v>
      </c>
      <c r="M1694" s="471">
        <f t="shared" si="134"/>
        <v>0.05</v>
      </c>
      <c r="N1694" s="475">
        <f t="shared" si="135"/>
        <v>102605</v>
      </c>
    </row>
    <row r="1695" spans="7:14" ht="11.25" customHeight="1" x14ac:dyDescent="0.3">
      <c r="G1695" s="470"/>
      <c r="H1695" s="470">
        <v>1688</v>
      </c>
      <c r="I1695" s="455">
        <f t="shared" ca="1" si="133"/>
        <v>446156941.55811352</v>
      </c>
      <c r="J1695" s="455">
        <f t="array" ref="J1695">IFERROR(INDEX('Retirement Calculator'!J:J,MATCH('Isaac 401k'!N1695,'Retirement Calculator'!A:A,0),0),0)</f>
        <v>0</v>
      </c>
      <c r="K1695" s="455">
        <f t="shared" ca="1" si="131"/>
        <v>1858987.2564921395</v>
      </c>
      <c r="L1695" s="455">
        <f t="shared" ca="1" si="132"/>
        <v>448015928.81460565</v>
      </c>
      <c r="M1695" s="471">
        <f t="shared" si="134"/>
        <v>0.05</v>
      </c>
      <c r="N1695" s="475">
        <f t="shared" si="135"/>
        <v>102636</v>
      </c>
    </row>
    <row r="1696" spans="7:14" ht="11.25" customHeight="1" x14ac:dyDescent="0.3">
      <c r="G1696" s="470"/>
      <c r="H1696" s="470">
        <v>1689</v>
      </c>
      <c r="I1696" s="455">
        <f t="shared" ca="1" si="133"/>
        <v>448015928.81460565</v>
      </c>
      <c r="J1696" s="455">
        <f t="array" ref="J1696">IFERROR(INDEX('Retirement Calculator'!J:J,MATCH('Isaac 401k'!N1696,'Retirement Calculator'!A:A,0),0),0)</f>
        <v>0</v>
      </c>
      <c r="K1696" s="455">
        <f t="shared" ca="1" si="131"/>
        <v>1866733.0367275232</v>
      </c>
      <c r="L1696" s="455">
        <f t="shared" ca="1" si="132"/>
        <v>449882661.8513332</v>
      </c>
      <c r="M1696" s="471">
        <f t="shared" si="134"/>
        <v>0.05</v>
      </c>
      <c r="N1696" s="475">
        <f t="shared" si="135"/>
        <v>102667</v>
      </c>
    </row>
    <row r="1697" spans="7:14" ht="11.25" customHeight="1" x14ac:dyDescent="0.3">
      <c r="G1697" s="470"/>
      <c r="H1697" s="470">
        <v>1690</v>
      </c>
      <c r="I1697" s="455">
        <f t="shared" ca="1" si="133"/>
        <v>449882661.8513332</v>
      </c>
      <c r="J1697" s="455">
        <f t="array" ref="J1697">IFERROR(INDEX('Retirement Calculator'!J:J,MATCH('Isaac 401k'!N1697,'Retirement Calculator'!A:A,0),0),0)</f>
        <v>0</v>
      </c>
      <c r="K1697" s="455">
        <f t="shared" ca="1" si="131"/>
        <v>1874511.0910472213</v>
      </c>
      <c r="L1697" s="455">
        <f t="shared" ca="1" si="132"/>
        <v>451757172.94238043</v>
      </c>
      <c r="M1697" s="471">
        <f t="shared" si="134"/>
        <v>0.05</v>
      </c>
      <c r="N1697" s="475">
        <f t="shared" si="135"/>
        <v>102695</v>
      </c>
    </row>
    <row r="1698" spans="7:14" ht="11.25" customHeight="1" x14ac:dyDescent="0.3">
      <c r="G1698" s="470"/>
      <c r="H1698" s="470">
        <v>1691</v>
      </c>
      <c r="I1698" s="455">
        <f t="shared" ca="1" si="133"/>
        <v>451757172.94238043</v>
      </c>
      <c r="J1698" s="455">
        <f t="array" ref="J1698">IFERROR(INDEX('Retirement Calculator'!J:J,MATCH('Isaac 401k'!N1698,'Retirement Calculator'!A:A,0),0),0)</f>
        <v>0</v>
      </c>
      <c r="K1698" s="455">
        <f t="shared" ca="1" si="131"/>
        <v>1882321.553926585</v>
      </c>
      <c r="L1698" s="455">
        <f t="shared" ca="1" si="132"/>
        <v>453639494.49630702</v>
      </c>
      <c r="M1698" s="471">
        <f t="shared" si="134"/>
        <v>0.05</v>
      </c>
      <c r="N1698" s="475">
        <f t="shared" si="135"/>
        <v>102726</v>
      </c>
    </row>
    <row r="1699" spans="7:14" ht="11.25" customHeight="1" x14ac:dyDescent="0.3">
      <c r="G1699" s="470"/>
      <c r="H1699" s="470">
        <v>1692</v>
      </c>
      <c r="I1699" s="455">
        <f t="shared" ca="1" si="133"/>
        <v>453639494.49630702</v>
      </c>
      <c r="J1699" s="455">
        <f t="array" ref="J1699">IFERROR(INDEX('Retirement Calculator'!J:J,MATCH('Isaac 401k'!N1699,'Retirement Calculator'!A:A,0),0),0)</f>
        <v>0</v>
      </c>
      <c r="K1699" s="455">
        <f t="shared" ca="1" si="131"/>
        <v>1890164.5604012792</v>
      </c>
      <c r="L1699" s="455">
        <f t="shared" ca="1" si="132"/>
        <v>455529659.05670828</v>
      </c>
      <c r="M1699" s="471">
        <f t="shared" si="134"/>
        <v>0.05</v>
      </c>
      <c r="N1699" s="475">
        <f t="shared" si="135"/>
        <v>102756</v>
      </c>
    </row>
    <row r="1700" spans="7:14" ht="11.25" customHeight="1" x14ac:dyDescent="0.3">
      <c r="G1700" s="470"/>
      <c r="H1700" s="470">
        <v>1693</v>
      </c>
      <c r="I1700" s="455">
        <f t="shared" ca="1" si="133"/>
        <v>455529659.05670828</v>
      </c>
      <c r="J1700" s="455">
        <f t="array" ref="J1700">IFERROR(INDEX('Retirement Calculator'!J:J,MATCH('Isaac 401k'!N1700,'Retirement Calculator'!A:A,0),0),0)</f>
        <v>0</v>
      </c>
      <c r="K1700" s="455">
        <f t="shared" ca="1" si="131"/>
        <v>1898040.246069618</v>
      </c>
      <c r="L1700" s="455">
        <f t="shared" ca="1" si="132"/>
        <v>457427699.30277789</v>
      </c>
      <c r="M1700" s="471">
        <f t="shared" si="134"/>
        <v>0.05</v>
      </c>
      <c r="N1700" s="475">
        <f t="shared" si="135"/>
        <v>102787</v>
      </c>
    </row>
    <row r="1701" spans="7:14" ht="11.25" customHeight="1" x14ac:dyDescent="0.3">
      <c r="G1701" s="470"/>
      <c r="H1701" s="470">
        <v>1694</v>
      </c>
      <c r="I1701" s="455">
        <f t="shared" ca="1" si="133"/>
        <v>457427699.30277789</v>
      </c>
      <c r="J1701" s="455">
        <f t="array" ref="J1701">IFERROR(INDEX('Retirement Calculator'!J:J,MATCH('Isaac 401k'!N1701,'Retirement Calculator'!A:A,0),0),0)</f>
        <v>0</v>
      </c>
      <c r="K1701" s="455">
        <f t="shared" ca="1" si="131"/>
        <v>1905948.7470949076</v>
      </c>
      <c r="L1701" s="455">
        <f t="shared" ca="1" si="132"/>
        <v>459333648.04987282</v>
      </c>
      <c r="M1701" s="471">
        <f t="shared" si="134"/>
        <v>0.05</v>
      </c>
      <c r="N1701" s="475">
        <f t="shared" si="135"/>
        <v>102817</v>
      </c>
    </row>
    <row r="1702" spans="7:14" ht="11.25" customHeight="1" x14ac:dyDescent="0.3">
      <c r="G1702" s="470"/>
      <c r="H1702" s="470">
        <v>1695</v>
      </c>
      <c r="I1702" s="455">
        <f t="shared" ca="1" si="133"/>
        <v>459333648.04987282</v>
      </c>
      <c r="J1702" s="455">
        <f t="array" ref="J1702">IFERROR(INDEX('Retirement Calculator'!J:J,MATCH('Isaac 401k'!N1702,'Retirement Calculator'!A:A,0),0),0)</f>
        <v>0</v>
      </c>
      <c r="K1702" s="455">
        <f t="shared" ca="1" si="131"/>
        <v>1913890.2002078036</v>
      </c>
      <c r="L1702" s="455">
        <f t="shared" ca="1" si="132"/>
        <v>461247538.25008065</v>
      </c>
      <c r="M1702" s="471">
        <f t="shared" si="134"/>
        <v>0.05</v>
      </c>
      <c r="N1702" s="475">
        <f t="shared" si="135"/>
        <v>102848</v>
      </c>
    </row>
    <row r="1703" spans="7:14" ht="11.25" customHeight="1" x14ac:dyDescent="0.3">
      <c r="G1703" s="470"/>
      <c r="H1703" s="470">
        <v>1696</v>
      </c>
      <c r="I1703" s="455">
        <f t="shared" ca="1" si="133"/>
        <v>461247538.25008065</v>
      </c>
      <c r="J1703" s="455">
        <f t="array" ref="J1703">IFERROR(INDEX('Retirement Calculator'!J:J,MATCH('Isaac 401k'!N1703,'Retirement Calculator'!A:A,0),0),0)</f>
        <v>0</v>
      </c>
      <c r="K1703" s="455">
        <f t="shared" ca="1" si="131"/>
        <v>1921864.7427086693</v>
      </c>
      <c r="L1703" s="455">
        <f t="shared" ca="1" si="132"/>
        <v>463169402.99278933</v>
      </c>
      <c r="M1703" s="471">
        <f t="shared" si="134"/>
        <v>0.05</v>
      </c>
      <c r="N1703" s="475">
        <f t="shared" si="135"/>
        <v>102879</v>
      </c>
    </row>
    <row r="1704" spans="7:14" ht="11.25" customHeight="1" x14ac:dyDescent="0.3">
      <c r="G1704" s="470"/>
      <c r="H1704" s="470">
        <v>1697</v>
      </c>
      <c r="I1704" s="455">
        <f t="shared" ca="1" si="133"/>
        <v>463169402.99278933</v>
      </c>
      <c r="J1704" s="455">
        <f t="array" ref="J1704">IFERROR(INDEX('Retirement Calculator'!J:J,MATCH('Isaac 401k'!N1704,'Retirement Calculator'!A:A,0),0),0)</f>
        <v>0</v>
      </c>
      <c r="K1704" s="455">
        <f t="shared" ca="1" si="131"/>
        <v>1929872.5124699557</v>
      </c>
      <c r="L1704" s="455">
        <f t="shared" ca="1" si="132"/>
        <v>465099275.50525928</v>
      </c>
      <c r="M1704" s="471">
        <f t="shared" si="134"/>
        <v>0.05</v>
      </c>
      <c r="N1704" s="475">
        <f t="shared" si="135"/>
        <v>102909</v>
      </c>
    </row>
    <row r="1705" spans="7:14" ht="11.25" customHeight="1" x14ac:dyDescent="0.3">
      <c r="G1705" s="470"/>
      <c r="H1705" s="470">
        <v>1698</v>
      </c>
      <c r="I1705" s="455">
        <f t="shared" ca="1" si="133"/>
        <v>465099275.50525928</v>
      </c>
      <c r="J1705" s="455">
        <f t="array" ref="J1705">IFERROR(INDEX('Retirement Calculator'!J:J,MATCH('Isaac 401k'!N1705,'Retirement Calculator'!A:A,0),0),0)</f>
        <v>0</v>
      </c>
      <c r="K1705" s="455">
        <f t="shared" ca="1" si="131"/>
        <v>1937913.6479385805</v>
      </c>
      <c r="L1705" s="455">
        <f t="shared" ca="1" si="132"/>
        <v>467037189.15319788</v>
      </c>
      <c r="M1705" s="471">
        <f t="shared" si="134"/>
        <v>0.05</v>
      </c>
      <c r="N1705" s="475">
        <f t="shared" si="135"/>
        <v>102940</v>
      </c>
    </row>
    <row r="1706" spans="7:14" ht="11.25" customHeight="1" x14ac:dyDescent="0.3">
      <c r="G1706" s="470"/>
      <c r="H1706" s="470">
        <v>1699</v>
      </c>
      <c r="I1706" s="455">
        <f t="shared" ca="1" si="133"/>
        <v>467037189.15319788</v>
      </c>
      <c r="J1706" s="455">
        <f t="array" ref="J1706">IFERROR(INDEX('Retirement Calculator'!J:J,MATCH('Isaac 401k'!N1706,'Retirement Calculator'!A:A,0),0),0)</f>
        <v>0</v>
      </c>
      <c r="K1706" s="455">
        <f t="shared" ca="1" si="131"/>
        <v>1945988.2881383246</v>
      </c>
      <c r="L1706" s="455">
        <f t="shared" ca="1" si="132"/>
        <v>468983177.44133621</v>
      </c>
      <c r="M1706" s="471">
        <f t="shared" si="134"/>
        <v>0.05</v>
      </c>
      <c r="N1706" s="475">
        <f t="shared" si="135"/>
        <v>102970</v>
      </c>
    </row>
    <row r="1707" spans="7:14" ht="11.25" customHeight="1" x14ac:dyDescent="0.3">
      <c r="G1707" s="470"/>
      <c r="H1707" s="470">
        <v>1700</v>
      </c>
      <c r="I1707" s="455">
        <f t="shared" ca="1" si="133"/>
        <v>468983177.44133621</v>
      </c>
      <c r="J1707" s="455">
        <f t="array" ref="J1707">IFERROR(INDEX('Retirement Calculator'!J:J,MATCH('Isaac 401k'!N1707,'Retirement Calculator'!A:A,0),0),0)</f>
        <v>0</v>
      </c>
      <c r="K1707" s="455">
        <f t="shared" ca="1" si="131"/>
        <v>1954096.5726722341</v>
      </c>
      <c r="L1707" s="455">
        <f t="shared" ca="1" si="132"/>
        <v>470937274.01400846</v>
      </c>
      <c r="M1707" s="471">
        <f t="shared" si="134"/>
        <v>0.05</v>
      </c>
      <c r="N1707" s="475">
        <f t="shared" si="135"/>
        <v>103001</v>
      </c>
    </row>
    <row r="1708" spans="7:14" ht="11.25" customHeight="1" x14ac:dyDescent="0.3">
      <c r="G1708" s="470"/>
      <c r="H1708" s="470">
        <v>1701</v>
      </c>
      <c r="I1708" s="455">
        <f t="shared" ca="1" si="133"/>
        <v>470937274.01400846</v>
      </c>
      <c r="J1708" s="455">
        <f t="array" ref="J1708">IFERROR(INDEX('Retirement Calculator'!J:J,MATCH('Isaac 401k'!N1708,'Retirement Calculator'!A:A,0),0),0)</f>
        <v>0</v>
      </c>
      <c r="K1708" s="455">
        <f t="shared" ca="1" si="131"/>
        <v>1962238.6417250352</v>
      </c>
      <c r="L1708" s="455">
        <f t="shared" ca="1" si="132"/>
        <v>472899512.65573353</v>
      </c>
      <c r="M1708" s="471">
        <f t="shared" si="134"/>
        <v>0.05</v>
      </c>
      <c r="N1708" s="475">
        <f t="shared" si="135"/>
        <v>103032</v>
      </c>
    </row>
    <row r="1709" spans="7:14" ht="11.25" customHeight="1" x14ac:dyDescent="0.3">
      <c r="G1709" s="470"/>
      <c r="H1709" s="470">
        <v>1702</v>
      </c>
      <c r="I1709" s="455">
        <f t="shared" ca="1" si="133"/>
        <v>472899512.65573353</v>
      </c>
      <c r="J1709" s="455">
        <f t="array" ref="J1709">IFERROR(INDEX('Retirement Calculator'!J:J,MATCH('Isaac 401k'!N1709,'Retirement Calculator'!A:A,0),0),0)</f>
        <v>0</v>
      </c>
      <c r="K1709" s="455">
        <f t="shared" ca="1" si="131"/>
        <v>1970414.6360655564</v>
      </c>
      <c r="L1709" s="455">
        <f t="shared" ca="1" si="132"/>
        <v>474869927.29179907</v>
      </c>
      <c r="M1709" s="471">
        <f t="shared" si="134"/>
        <v>0.05</v>
      </c>
      <c r="N1709" s="475">
        <f t="shared" si="135"/>
        <v>103060</v>
      </c>
    </row>
    <row r="1710" spans="7:14" ht="11.25" customHeight="1" x14ac:dyDescent="0.3">
      <c r="G1710" s="470"/>
      <c r="H1710" s="470">
        <v>1703</v>
      </c>
      <c r="I1710" s="455">
        <f t="shared" ca="1" si="133"/>
        <v>474869927.29179907</v>
      </c>
      <c r="J1710" s="455">
        <f t="array" ref="J1710">IFERROR(INDEX('Retirement Calculator'!J:J,MATCH('Isaac 401k'!N1710,'Retirement Calculator'!A:A,0),0),0)</f>
        <v>0</v>
      </c>
      <c r="K1710" s="455">
        <f t="shared" ca="1" si="131"/>
        <v>1978624.6970491628</v>
      </c>
      <c r="L1710" s="455">
        <f t="shared" ca="1" si="132"/>
        <v>476848551.98884821</v>
      </c>
      <c r="M1710" s="471">
        <f t="shared" si="134"/>
        <v>0.05</v>
      </c>
      <c r="N1710" s="475">
        <f t="shared" si="135"/>
        <v>103091</v>
      </c>
    </row>
    <row r="1711" spans="7:14" ht="11.25" customHeight="1" x14ac:dyDescent="0.3">
      <c r="G1711" s="470"/>
      <c r="H1711" s="470">
        <v>1704</v>
      </c>
      <c r="I1711" s="455">
        <f t="shared" ca="1" si="133"/>
        <v>476848551.98884821</v>
      </c>
      <c r="J1711" s="455">
        <f t="array" ref="J1711">IFERROR(INDEX('Retirement Calculator'!J:J,MATCH('Isaac 401k'!N1711,'Retirement Calculator'!A:A,0),0),0)</f>
        <v>0</v>
      </c>
      <c r="K1711" s="455">
        <f t="shared" ca="1" si="131"/>
        <v>1986868.9666202008</v>
      </c>
      <c r="L1711" s="455">
        <f t="shared" ca="1" si="132"/>
        <v>478835420.95546842</v>
      </c>
      <c r="M1711" s="471">
        <f t="shared" si="134"/>
        <v>0.05</v>
      </c>
      <c r="N1711" s="475">
        <f t="shared" si="135"/>
        <v>103121</v>
      </c>
    </row>
    <row r="1712" spans="7:14" ht="11.25" customHeight="1" x14ac:dyDescent="0.3">
      <c r="G1712" s="470"/>
      <c r="H1712" s="470">
        <v>1705</v>
      </c>
      <c r="I1712" s="455">
        <f t="shared" ca="1" si="133"/>
        <v>478835420.95546842</v>
      </c>
      <c r="J1712" s="455">
        <f t="array" ref="J1712">IFERROR(INDEX('Retirement Calculator'!J:J,MATCH('Isaac 401k'!N1712,'Retirement Calculator'!A:A,0),0),0)</f>
        <v>0</v>
      </c>
      <c r="K1712" s="455">
        <f t="shared" ca="1" si="131"/>
        <v>1995147.5873144518</v>
      </c>
      <c r="L1712" s="455">
        <f t="shared" ca="1" si="132"/>
        <v>480830568.54278284</v>
      </c>
      <c r="M1712" s="471">
        <f t="shared" si="134"/>
        <v>0.05</v>
      </c>
      <c r="N1712" s="475">
        <f t="shared" si="135"/>
        <v>103152</v>
      </c>
    </row>
    <row r="1713" spans="7:14" ht="11.25" customHeight="1" x14ac:dyDescent="0.3">
      <c r="G1713" s="470"/>
      <c r="H1713" s="470">
        <v>1706</v>
      </c>
      <c r="I1713" s="455">
        <f t="shared" ca="1" si="133"/>
        <v>480830568.54278284</v>
      </c>
      <c r="J1713" s="455">
        <f t="array" ref="J1713">IFERROR(INDEX('Retirement Calculator'!J:J,MATCH('Isaac 401k'!N1713,'Retirement Calculator'!A:A,0),0),0)</f>
        <v>0</v>
      </c>
      <c r="K1713" s="455">
        <f t="shared" ca="1" si="131"/>
        <v>2003460.7022615951</v>
      </c>
      <c r="L1713" s="455">
        <f t="shared" ca="1" si="132"/>
        <v>482834029.24504441</v>
      </c>
      <c r="M1713" s="471">
        <f t="shared" si="134"/>
        <v>0.05</v>
      </c>
      <c r="N1713" s="475">
        <f t="shared" si="135"/>
        <v>103182</v>
      </c>
    </row>
    <row r="1714" spans="7:14" ht="11.25" customHeight="1" x14ac:dyDescent="0.3">
      <c r="G1714" s="470"/>
      <c r="H1714" s="470">
        <v>1707</v>
      </c>
      <c r="I1714" s="455">
        <f t="shared" ca="1" si="133"/>
        <v>482834029.24504441</v>
      </c>
      <c r="J1714" s="455">
        <f t="array" ref="J1714">IFERROR(INDEX('Retirement Calculator'!J:J,MATCH('Isaac 401k'!N1714,'Retirement Calculator'!A:A,0),0),0)</f>
        <v>0</v>
      </c>
      <c r="K1714" s="455">
        <f t="shared" ca="1" si="131"/>
        <v>2011808.4551876851</v>
      </c>
      <c r="L1714" s="455">
        <f t="shared" ca="1" si="132"/>
        <v>484845837.70023209</v>
      </c>
      <c r="M1714" s="471">
        <f t="shared" si="134"/>
        <v>0.05</v>
      </c>
      <c r="N1714" s="475">
        <f t="shared" si="135"/>
        <v>103213</v>
      </c>
    </row>
    <row r="1715" spans="7:14" ht="11.25" customHeight="1" x14ac:dyDescent="0.3">
      <c r="G1715" s="470"/>
      <c r="H1715" s="470">
        <v>1708</v>
      </c>
      <c r="I1715" s="455">
        <f t="shared" ca="1" si="133"/>
        <v>484845837.70023209</v>
      </c>
      <c r="J1715" s="455">
        <f t="array" ref="J1715">IFERROR(INDEX('Retirement Calculator'!J:J,MATCH('Isaac 401k'!N1715,'Retirement Calculator'!A:A,0),0),0)</f>
        <v>0</v>
      </c>
      <c r="K1715" s="455">
        <f t="shared" ca="1" si="131"/>
        <v>2020190.9904176334</v>
      </c>
      <c r="L1715" s="455">
        <f t="shared" ca="1" si="132"/>
        <v>486866028.69064975</v>
      </c>
      <c r="M1715" s="471">
        <f t="shared" si="134"/>
        <v>0.05</v>
      </c>
      <c r="N1715" s="475">
        <f t="shared" si="135"/>
        <v>103244</v>
      </c>
    </row>
    <row r="1716" spans="7:14" ht="11.25" customHeight="1" x14ac:dyDescent="0.3">
      <c r="G1716" s="470"/>
      <c r="H1716" s="470">
        <v>1709</v>
      </c>
      <c r="I1716" s="455">
        <f t="shared" ca="1" si="133"/>
        <v>486866028.69064975</v>
      </c>
      <c r="J1716" s="455">
        <f t="array" ref="J1716">IFERROR(INDEX('Retirement Calculator'!J:J,MATCH('Isaac 401k'!N1716,'Retirement Calculator'!A:A,0),0),0)</f>
        <v>0</v>
      </c>
      <c r="K1716" s="455">
        <f t="shared" ca="1" si="131"/>
        <v>2028608.4528777073</v>
      </c>
      <c r="L1716" s="455">
        <f t="shared" ca="1" si="132"/>
        <v>488894637.14352745</v>
      </c>
      <c r="M1716" s="471">
        <f t="shared" si="134"/>
        <v>0.05</v>
      </c>
      <c r="N1716" s="475">
        <f t="shared" si="135"/>
        <v>103274</v>
      </c>
    </row>
    <row r="1717" spans="7:14" ht="11.25" customHeight="1" x14ac:dyDescent="0.3">
      <c r="G1717" s="470"/>
      <c r="H1717" s="470">
        <v>1710</v>
      </c>
      <c r="I1717" s="455">
        <f t="shared" ca="1" si="133"/>
        <v>488894637.14352745</v>
      </c>
      <c r="J1717" s="455">
        <f t="array" ref="J1717">IFERROR(INDEX('Retirement Calculator'!J:J,MATCH('Isaac 401k'!N1717,'Retirement Calculator'!A:A,0),0),0)</f>
        <v>0</v>
      </c>
      <c r="K1717" s="455">
        <f t="shared" ca="1" si="131"/>
        <v>2037060.9880980311</v>
      </c>
      <c r="L1717" s="455">
        <f t="shared" ca="1" si="132"/>
        <v>490931698.13162547</v>
      </c>
      <c r="M1717" s="471">
        <f t="shared" si="134"/>
        <v>0.05</v>
      </c>
      <c r="N1717" s="475">
        <f t="shared" si="135"/>
        <v>103305</v>
      </c>
    </row>
    <row r="1718" spans="7:14" ht="11.25" customHeight="1" x14ac:dyDescent="0.3">
      <c r="G1718" s="470"/>
      <c r="H1718" s="470">
        <v>1711</v>
      </c>
      <c r="I1718" s="455">
        <f t="shared" ca="1" si="133"/>
        <v>490931698.13162547</v>
      </c>
      <c r="J1718" s="455">
        <f t="array" ref="J1718">IFERROR(INDEX('Retirement Calculator'!J:J,MATCH('Isaac 401k'!N1718,'Retirement Calculator'!A:A,0),0),0)</f>
        <v>0</v>
      </c>
      <c r="K1718" s="455">
        <f t="shared" ca="1" si="131"/>
        <v>2045548.742215106</v>
      </c>
      <c r="L1718" s="455">
        <f t="shared" ca="1" si="132"/>
        <v>492977246.87384057</v>
      </c>
      <c r="M1718" s="471">
        <f t="shared" si="134"/>
        <v>0.05</v>
      </c>
      <c r="N1718" s="475">
        <f t="shared" si="135"/>
        <v>103335</v>
      </c>
    </row>
    <row r="1719" spans="7:14" ht="11.25" customHeight="1" x14ac:dyDescent="0.3">
      <c r="G1719" s="470"/>
      <c r="H1719" s="470">
        <v>1712</v>
      </c>
      <c r="I1719" s="455">
        <f t="shared" ca="1" si="133"/>
        <v>492977246.87384057</v>
      </c>
      <c r="J1719" s="455">
        <f t="array" ref="J1719">IFERROR(INDEX('Retirement Calculator'!J:J,MATCH('Isaac 401k'!N1719,'Retirement Calculator'!A:A,0),0),0)</f>
        <v>0</v>
      </c>
      <c r="K1719" s="455">
        <f t="shared" ca="1" si="131"/>
        <v>2054071.8619743357</v>
      </c>
      <c r="L1719" s="455">
        <f t="shared" ca="1" si="132"/>
        <v>495031318.73581493</v>
      </c>
      <c r="M1719" s="471">
        <f t="shared" si="134"/>
        <v>0.05</v>
      </c>
      <c r="N1719" s="475">
        <f t="shared" si="135"/>
        <v>103366</v>
      </c>
    </row>
    <row r="1720" spans="7:14" ht="11.25" customHeight="1" x14ac:dyDescent="0.3">
      <c r="G1720" s="470"/>
      <c r="H1720" s="470">
        <v>1713</v>
      </c>
      <c r="I1720" s="455">
        <f t="shared" ca="1" si="133"/>
        <v>495031318.73581493</v>
      </c>
      <c r="J1720" s="455">
        <f t="array" ref="J1720">IFERROR(INDEX('Retirement Calculator'!J:J,MATCH('Isaac 401k'!N1720,'Retirement Calculator'!A:A,0),0),0)</f>
        <v>0</v>
      </c>
      <c r="K1720" s="455">
        <f t="shared" ca="1" si="131"/>
        <v>2062630.4947325625</v>
      </c>
      <c r="L1720" s="455">
        <f t="shared" ca="1" si="132"/>
        <v>497093949.23054749</v>
      </c>
      <c r="M1720" s="471">
        <f t="shared" si="134"/>
        <v>0.05</v>
      </c>
      <c r="N1720" s="475">
        <f t="shared" si="135"/>
        <v>103397</v>
      </c>
    </row>
    <row r="1721" spans="7:14" ht="11.25" customHeight="1" x14ac:dyDescent="0.3">
      <c r="G1721" s="470"/>
      <c r="H1721" s="470">
        <v>1714</v>
      </c>
      <c r="I1721" s="455">
        <f t="shared" ca="1" si="133"/>
        <v>497093949.23054749</v>
      </c>
      <c r="J1721" s="455">
        <f t="array" ref="J1721">IFERROR(INDEX('Retirement Calculator'!J:J,MATCH('Isaac 401k'!N1721,'Retirement Calculator'!A:A,0),0),0)</f>
        <v>0</v>
      </c>
      <c r="K1721" s="455">
        <f t="shared" ca="1" si="131"/>
        <v>2071224.7884606142</v>
      </c>
      <c r="L1721" s="455">
        <f t="shared" ca="1" si="132"/>
        <v>499165174.0190081</v>
      </c>
      <c r="M1721" s="471">
        <f t="shared" si="134"/>
        <v>0.05</v>
      </c>
      <c r="N1721" s="475">
        <f t="shared" si="135"/>
        <v>103425</v>
      </c>
    </row>
    <row r="1722" spans="7:14" ht="11.25" customHeight="1" x14ac:dyDescent="0.3">
      <c r="G1722" s="470"/>
      <c r="H1722" s="470">
        <v>1715</v>
      </c>
      <c r="I1722" s="455">
        <f t="shared" ca="1" si="133"/>
        <v>499165174.0190081</v>
      </c>
      <c r="J1722" s="455">
        <f t="array" ref="J1722">IFERROR(INDEX('Retirement Calculator'!J:J,MATCH('Isaac 401k'!N1722,'Retirement Calculator'!A:A,0),0),0)</f>
        <v>0</v>
      </c>
      <c r="K1722" s="455">
        <f t="shared" ca="1" si="131"/>
        <v>2079854.891745867</v>
      </c>
      <c r="L1722" s="455">
        <f t="shared" ca="1" si="132"/>
        <v>501245028.91075397</v>
      </c>
      <c r="M1722" s="471">
        <f t="shared" si="134"/>
        <v>0.05</v>
      </c>
      <c r="N1722" s="475">
        <f t="shared" si="135"/>
        <v>103456</v>
      </c>
    </row>
    <row r="1723" spans="7:14" ht="11.25" customHeight="1" x14ac:dyDescent="0.3">
      <c r="G1723" s="470"/>
      <c r="H1723" s="470">
        <v>1716</v>
      </c>
      <c r="I1723" s="455">
        <f t="shared" ca="1" si="133"/>
        <v>501245028.91075397</v>
      </c>
      <c r="J1723" s="455">
        <f t="array" ref="J1723">IFERROR(INDEX('Retirement Calculator'!J:J,MATCH('Isaac 401k'!N1723,'Retirement Calculator'!A:A,0),0),0)</f>
        <v>0</v>
      </c>
      <c r="K1723" s="455">
        <f t="shared" ca="1" si="131"/>
        <v>2088520.9537948081</v>
      </c>
      <c r="L1723" s="455">
        <f t="shared" ca="1" si="132"/>
        <v>503333549.8645488</v>
      </c>
      <c r="M1723" s="471">
        <f t="shared" si="134"/>
        <v>0.05</v>
      </c>
      <c r="N1723" s="475">
        <f t="shared" si="135"/>
        <v>103486</v>
      </c>
    </row>
    <row r="1724" spans="7:14" ht="11.25" customHeight="1" x14ac:dyDescent="0.3">
      <c r="G1724" s="470"/>
      <c r="H1724" s="470">
        <v>1717</v>
      </c>
      <c r="I1724" s="455">
        <f t="shared" ca="1" si="133"/>
        <v>503333549.8645488</v>
      </c>
      <c r="J1724" s="455">
        <f t="array" ref="J1724">IFERROR(INDEX('Retirement Calculator'!J:J,MATCH('Isaac 401k'!N1724,'Retirement Calculator'!A:A,0),0),0)</f>
        <v>0</v>
      </c>
      <c r="K1724" s="455">
        <f t="shared" ca="1" si="131"/>
        <v>2097223.1244356199</v>
      </c>
      <c r="L1724" s="455">
        <f t="shared" ca="1" si="132"/>
        <v>505430772.98898441</v>
      </c>
      <c r="M1724" s="471">
        <f t="shared" si="134"/>
        <v>0.05</v>
      </c>
      <c r="N1724" s="475">
        <f t="shared" si="135"/>
        <v>103517</v>
      </c>
    </row>
    <row r="1725" spans="7:14" ht="11.25" customHeight="1" x14ac:dyDescent="0.3">
      <c r="G1725" s="470"/>
      <c r="H1725" s="470">
        <v>1718</v>
      </c>
      <c r="I1725" s="455">
        <f t="shared" ca="1" si="133"/>
        <v>505430772.98898441</v>
      </c>
      <c r="J1725" s="455">
        <f t="array" ref="J1725">IFERROR(INDEX('Retirement Calculator'!J:J,MATCH('Isaac 401k'!N1725,'Retirement Calculator'!A:A,0),0),0)</f>
        <v>0</v>
      </c>
      <c r="K1725" s="455">
        <f t="shared" ca="1" si="131"/>
        <v>2105961.5541207679</v>
      </c>
      <c r="L1725" s="455">
        <f t="shared" ca="1" si="132"/>
        <v>507536734.54310519</v>
      </c>
      <c r="M1725" s="471">
        <f t="shared" si="134"/>
        <v>0.05</v>
      </c>
      <c r="N1725" s="475">
        <f t="shared" si="135"/>
        <v>103547</v>
      </c>
    </row>
    <row r="1726" spans="7:14" ht="11.25" customHeight="1" x14ac:dyDescent="0.3">
      <c r="G1726" s="470"/>
      <c r="H1726" s="470">
        <v>1719</v>
      </c>
      <c r="I1726" s="455">
        <f t="shared" ca="1" si="133"/>
        <v>507536734.54310519</v>
      </c>
      <c r="J1726" s="455">
        <f t="array" ref="J1726">IFERROR(INDEX('Retirement Calculator'!J:J,MATCH('Isaac 401k'!N1726,'Retirement Calculator'!A:A,0),0),0)</f>
        <v>0</v>
      </c>
      <c r="K1726" s="455">
        <f t="shared" ca="1" si="131"/>
        <v>2114736.3939296049</v>
      </c>
      <c r="L1726" s="455">
        <f t="shared" ca="1" si="132"/>
        <v>509651470.93703479</v>
      </c>
      <c r="M1726" s="471">
        <f t="shared" si="134"/>
        <v>0.05</v>
      </c>
      <c r="N1726" s="475">
        <f t="shared" si="135"/>
        <v>103578</v>
      </c>
    </row>
    <row r="1727" spans="7:14" ht="11.25" customHeight="1" x14ac:dyDescent="0.3">
      <c r="G1727" s="470"/>
      <c r="H1727" s="470">
        <v>1720</v>
      </c>
      <c r="I1727" s="455">
        <f t="shared" ca="1" si="133"/>
        <v>509651470.93703479</v>
      </c>
      <c r="J1727" s="455">
        <f t="array" ref="J1727">IFERROR(INDEX('Retirement Calculator'!J:J,MATCH('Isaac 401k'!N1727,'Retirement Calculator'!A:A,0),0),0)</f>
        <v>0</v>
      </c>
      <c r="K1727" s="455">
        <f t="shared" ca="1" si="131"/>
        <v>2123547.7955709784</v>
      </c>
      <c r="L1727" s="455">
        <f t="shared" ca="1" si="132"/>
        <v>511775018.73260576</v>
      </c>
      <c r="M1727" s="471">
        <f t="shared" si="134"/>
        <v>0.05</v>
      </c>
      <c r="N1727" s="475">
        <f t="shared" si="135"/>
        <v>103609</v>
      </c>
    </row>
    <row r="1728" spans="7:14" ht="11.25" customHeight="1" x14ac:dyDescent="0.3">
      <c r="G1728" s="470"/>
      <c r="H1728" s="470">
        <v>1721</v>
      </c>
      <c r="I1728" s="455">
        <f t="shared" ca="1" si="133"/>
        <v>511775018.73260576</v>
      </c>
      <c r="J1728" s="455">
        <f t="array" ref="J1728">IFERROR(INDEX('Retirement Calculator'!J:J,MATCH('Isaac 401k'!N1728,'Retirement Calculator'!A:A,0),0),0)</f>
        <v>0</v>
      </c>
      <c r="K1728" s="455">
        <f t="shared" ca="1" si="131"/>
        <v>2132395.911385857</v>
      </c>
      <c r="L1728" s="455">
        <f t="shared" ca="1" si="132"/>
        <v>513907414.64399159</v>
      </c>
      <c r="M1728" s="471">
        <f t="shared" si="134"/>
        <v>0.05</v>
      </c>
      <c r="N1728" s="475">
        <f t="shared" si="135"/>
        <v>103639</v>
      </c>
    </row>
    <row r="1729" spans="7:14" ht="11.25" customHeight="1" x14ac:dyDescent="0.3">
      <c r="G1729" s="470"/>
      <c r="H1729" s="470">
        <v>1722</v>
      </c>
      <c r="I1729" s="455">
        <f t="shared" ca="1" si="133"/>
        <v>513907414.64399159</v>
      </c>
      <c r="J1729" s="455">
        <f t="array" ref="J1729">IFERROR(INDEX('Retirement Calculator'!J:J,MATCH('Isaac 401k'!N1729,'Retirement Calculator'!A:A,0),0),0)</f>
        <v>0</v>
      </c>
      <c r="K1729" s="455">
        <f t="shared" ca="1" si="131"/>
        <v>2141280.8943499648</v>
      </c>
      <c r="L1729" s="455">
        <f t="shared" ca="1" si="132"/>
        <v>516048695.53834158</v>
      </c>
      <c r="M1729" s="471">
        <f t="shared" si="134"/>
        <v>0.05</v>
      </c>
      <c r="N1729" s="475">
        <f t="shared" si="135"/>
        <v>103670</v>
      </c>
    </row>
    <row r="1730" spans="7:14" ht="11.25" customHeight="1" x14ac:dyDescent="0.3">
      <c r="G1730" s="470"/>
      <c r="H1730" s="470">
        <v>1723</v>
      </c>
      <c r="I1730" s="455">
        <f t="shared" ca="1" si="133"/>
        <v>516048695.53834158</v>
      </c>
      <c r="J1730" s="455">
        <f t="array" ref="J1730">IFERROR(INDEX('Retirement Calculator'!J:J,MATCH('Isaac 401k'!N1730,'Retirement Calculator'!A:A,0),0),0)</f>
        <v>0</v>
      </c>
      <c r="K1730" s="455">
        <f t="shared" ca="1" si="131"/>
        <v>2150202.8980764234</v>
      </c>
      <c r="L1730" s="455">
        <f t="shared" ca="1" si="132"/>
        <v>518198898.436418</v>
      </c>
      <c r="M1730" s="471">
        <f t="shared" si="134"/>
        <v>0.05</v>
      </c>
      <c r="N1730" s="475">
        <f t="shared" si="135"/>
        <v>103700</v>
      </c>
    </row>
    <row r="1731" spans="7:14" ht="11.25" customHeight="1" x14ac:dyDescent="0.3">
      <c r="G1731" s="470"/>
      <c r="H1731" s="470">
        <v>1724</v>
      </c>
      <c r="I1731" s="455">
        <f t="shared" ca="1" si="133"/>
        <v>518198898.436418</v>
      </c>
      <c r="J1731" s="455">
        <f t="array" ref="J1731">IFERROR(INDEX('Retirement Calculator'!J:J,MATCH('Isaac 401k'!N1731,'Retirement Calculator'!A:A,0),0),0)</f>
        <v>0</v>
      </c>
      <c r="K1731" s="455">
        <f t="shared" ca="1" si="131"/>
        <v>2159162.0768184084</v>
      </c>
      <c r="L1731" s="455">
        <f t="shared" ca="1" si="132"/>
        <v>520358060.5132364</v>
      </c>
      <c r="M1731" s="471">
        <f t="shared" si="134"/>
        <v>0.05</v>
      </c>
      <c r="N1731" s="475">
        <f t="shared" si="135"/>
        <v>103731</v>
      </c>
    </row>
    <row r="1732" spans="7:14" ht="11.25" customHeight="1" x14ac:dyDescent="0.3">
      <c r="G1732" s="470"/>
      <c r="H1732" s="470">
        <v>1725</v>
      </c>
      <c r="I1732" s="455">
        <f t="shared" ca="1" si="133"/>
        <v>520358060.5132364</v>
      </c>
      <c r="J1732" s="455">
        <f t="array" ref="J1732">IFERROR(INDEX('Retirement Calculator'!J:J,MATCH('Isaac 401k'!N1732,'Retirement Calculator'!A:A,0),0),0)</f>
        <v>0</v>
      </c>
      <c r="K1732" s="455">
        <f t="shared" ca="1" si="131"/>
        <v>2168158.5854718182</v>
      </c>
      <c r="L1732" s="455">
        <f t="shared" ca="1" si="132"/>
        <v>522526219.09870821</v>
      </c>
      <c r="M1732" s="471">
        <f t="shared" si="134"/>
        <v>0.05</v>
      </c>
      <c r="N1732" s="475">
        <f t="shared" si="135"/>
        <v>103762</v>
      </c>
    </row>
    <row r="1733" spans="7:14" ht="11.25" customHeight="1" x14ac:dyDescent="0.3">
      <c r="G1733" s="470"/>
      <c r="H1733" s="470">
        <v>1726</v>
      </c>
      <c r="I1733" s="455">
        <f t="shared" ca="1" si="133"/>
        <v>522526219.09870821</v>
      </c>
      <c r="J1733" s="455">
        <f t="array" ref="J1733">IFERROR(INDEX('Retirement Calculator'!J:J,MATCH('Isaac 401k'!N1733,'Retirement Calculator'!A:A,0),0),0)</f>
        <v>0</v>
      </c>
      <c r="K1733" s="455">
        <f t="shared" ca="1" si="131"/>
        <v>2177192.5795779508</v>
      </c>
      <c r="L1733" s="455">
        <f t="shared" ca="1" si="132"/>
        <v>524703411.67828614</v>
      </c>
      <c r="M1733" s="471">
        <f t="shared" si="134"/>
        <v>0.05</v>
      </c>
      <c r="N1733" s="475">
        <f t="shared" si="135"/>
        <v>103791</v>
      </c>
    </row>
    <row r="1734" spans="7:14" ht="11.25" customHeight="1" x14ac:dyDescent="0.3">
      <c r="G1734" s="470"/>
      <c r="H1734" s="470">
        <v>1727</v>
      </c>
      <c r="I1734" s="455">
        <f t="shared" ca="1" si="133"/>
        <v>524703411.67828614</v>
      </c>
      <c r="J1734" s="455">
        <f t="array" ref="J1734">IFERROR(INDEX('Retirement Calculator'!J:J,MATCH('Isaac 401k'!N1734,'Retirement Calculator'!A:A,0),0),0)</f>
        <v>0</v>
      </c>
      <c r="K1734" s="455">
        <f t="shared" ca="1" si="131"/>
        <v>2186264.2153261923</v>
      </c>
      <c r="L1734" s="455">
        <f t="shared" ca="1" si="132"/>
        <v>526889675.89361233</v>
      </c>
      <c r="M1734" s="471">
        <f t="shared" si="134"/>
        <v>0.05</v>
      </c>
      <c r="N1734" s="475">
        <f t="shared" si="135"/>
        <v>103822</v>
      </c>
    </row>
    <row r="1735" spans="7:14" ht="11.25" customHeight="1" x14ac:dyDescent="0.3">
      <c r="G1735" s="470"/>
      <c r="H1735" s="470">
        <v>1728</v>
      </c>
      <c r="I1735" s="455">
        <f t="shared" ca="1" si="133"/>
        <v>526889675.89361233</v>
      </c>
      <c r="J1735" s="455">
        <f t="array" ref="J1735">IFERROR(INDEX('Retirement Calculator'!J:J,MATCH('Isaac 401k'!N1735,'Retirement Calculator'!A:A,0),0),0)</f>
        <v>0</v>
      </c>
      <c r="K1735" s="455">
        <f t="shared" ca="1" si="131"/>
        <v>2195373.6495567178</v>
      </c>
      <c r="L1735" s="455">
        <f t="shared" ca="1" si="132"/>
        <v>529085049.54316902</v>
      </c>
      <c r="M1735" s="471">
        <f t="shared" si="134"/>
        <v>0.05</v>
      </c>
      <c r="N1735" s="475">
        <f t="shared" si="135"/>
        <v>103852</v>
      </c>
    </row>
    <row r="1736" spans="7:14" ht="11.25" customHeight="1" x14ac:dyDescent="0.3">
      <c r="G1736" s="470"/>
      <c r="H1736" s="470">
        <v>1729</v>
      </c>
      <c r="I1736" s="455">
        <f t="shared" ca="1" si="133"/>
        <v>529085049.54316902</v>
      </c>
      <c r="J1736" s="455">
        <f t="array" ref="J1736">IFERROR(INDEX('Retirement Calculator'!J:J,MATCH('Isaac 401k'!N1736,'Retirement Calculator'!A:A,0),0),0)</f>
        <v>0</v>
      </c>
      <c r="K1736" s="455">
        <f t="shared" ca="1" si="131"/>
        <v>2204521.0397632043</v>
      </c>
      <c r="L1736" s="455">
        <f t="shared" ca="1" si="132"/>
        <v>531289570.58293223</v>
      </c>
      <c r="M1736" s="471">
        <f t="shared" si="134"/>
        <v>0.05</v>
      </c>
      <c r="N1736" s="475">
        <f t="shared" si="135"/>
        <v>103883</v>
      </c>
    </row>
    <row r="1737" spans="7:14" ht="11.25" customHeight="1" x14ac:dyDescent="0.3">
      <c r="G1737" s="470"/>
      <c r="H1737" s="470">
        <v>1730</v>
      </c>
      <c r="I1737" s="455">
        <f t="shared" ca="1" si="133"/>
        <v>531289570.58293223</v>
      </c>
      <c r="J1737" s="455">
        <f t="array" ref="J1737">IFERROR(INDEX('Retirement Calculator'!J:J,MATCH('Isaac 401k'!N1737,'Retirement Calculator'!A:A,0),0),0)</f>
        <v>0</v>
      </c>
      <c r="K1737" s="455">
        <f t="shared" ca="1" si="131"/>
        <v>2213706.5440955511</v>
      </c>
      <c r="L1737" s="455">
        <f t="shared" ca="1" si="132"/>
        <v>533503277.12702781</v>
      </c>
      <c r="M1737" s="471">
        <f t="shared" si="134"/>
        <v>0.05</v>
      </c>
      <c r="N1737" s="475">
        <f t="shared" si="135"/>
        <v>103913</v>
      </c>
    </row>
    <row r="1738" spans="7:14" ht="11.25" customHeight="1" x14ac:dyDescent="0.3">
      <c r="G1738" s="470"/>
      <c r="H1738" s="470">
        <v>1731</v>
      </c>
      <c r="I1738" s="455">
        <f t="shared" ca="1" si="133"/>
        <v>533503277.12702781</v>
      </c>
      <c r="J1738" s="455">
        <f t="array" ref="J1738">IFERROR(INDEX('Retirement Calculator'!J:J,MATCH('Isaac 401k'!N1738,'Retirement Calculator'!A:A,0),0),0)</f>
        <v>0</v>
      </c>
      <c r="K1738" s="455">
        <f t="shared" ca="1" si="131"/>
        <v>2222930.3213626156</v>
      </c>
      <c r="L1738" s="455">
        <f t="shared" ca="1" si="132"/>
        <v>535726207.44839042</v>
      </c>
      <c r="M1738" s="471">
        <f t="shared" si="134"/>
        <v>0.05</v>
      </c>
      <c r="N1738" s="475">
        <f t="shared" si="135"/>
        <v>103944</v>
      </c>
    </row>
    <row r="1739" spans="7:14" ht="11.25" customHeight="1" x14ac:dyDescent="0.3">
      <c r="G1739" s="470"/>
      <c r="H1739" s="470">
        <v>1732</v>
      </c>
      <c r="I1739" s="455">
        <f t="shared" ca="1" si="133"/>
        <v>535726207.44839042</v>
      </c>
      <c r="J1739" s="455">
        <f t="array" ref="J1739">IFERROR(INDEX('Retirement Calculator'!J:J,MATCH('Isaac 401k'!N1739,'Retirement Calculator'!A:A,0),0),0)</f>
        <v>0</v>
      </c>
      <c r="K1739" s="455">
        <f t="shared" ca="1" si="131"/>
        <v>2232192.5310349599</v>
      </c>
      <c r="L1739" s="455">
        <f t="shared" ca="1" si="132"/>
        <v>537958399.97942543</v>
      </c>
      <c r="M1739" s="471">
        <f t="shared" si="134"/>
        <v>0.05</v>
      </c>
      <c r="N1739" s="475">
        <f t="shared" si="135"/>
        <v>103975</v>
      </c>
    </row>
    <row r="1740" spans="7:14" ht="11.25" customHeight="1" x14ac:dyDescent="0.3">
      <c r="G1740" s="470"/>
      <c r="H1740" s="470">
        <v>1733</v>
      </c>
      <c r="I1740" s="455">
        <f t="shared" ca="1" si="133"/>
        <v>537958399.97942543</v>
      </c>
      <c r="J1740" s="455">
        <f t="array" ref="J1740">IFERROR(INDEX('Retirement Calculator'!J:J,MATCH('Isaac 401k'!N1740,'Retirement Calculator'!A:A,0),0),0)</f>
        <v>0</v>
      </c>
      <c r="K1740" s="455">
        <f t="shared" ca="1" si="131"/>
        <v>2241493.3332476057</v>
      </c>
      <c r="L1740" s="455">
        <f t="shared" ca="1" si="132"/>
        <v>540199893.31267309</v>
      </c>
      <c r="M1740" s="471">
        <f t="shared" si="134"/>
        <v>0.05</v>
      </c>
      <c r="N1740" s="475">
        <f t="shared" si="135"/>
        <v>104005</v>
      </c>
    </row>
    <row r="1741" spans="7:14" ht="11.25" customHeight="1" x14ac:dyDescent="0.3">
      <c r="G1741" s="470"/>
      <c r="H1741" s="470">
        <v>1734</v>
      </c>
      <c r="I1741" s="455">
        <f t="shared" ca="1" si="133"/>
        <v>540199893.31267309</v>
      </c>
      <c r="J1741" s="455">
        <f t="array" ref="J1741">IFERROR(INDEX('Retirement Calculator'!J:J,MATCH('Isaac 401k'!N1741,'Retirement Calculator'!A:A,0),0),0)</f>
        <v>0</v>
      </c>
      <c r="K1741" s="455">
        <f t="shared" ca="1" si="131"/>
        <v>2250832.8888028045</v>
      </c>
      <c r="L1741" s="455">
        <f t="shared" ca="1" si="132"/>
        <v>542450726.20147586</v>
      </c>
      <c r="M1741" s="471">
        <f t="shared" si="134"/>
        <v>0.05</v>
      </c>
      <c r="N1741" s="475">
        <f t="shared" si="135"/>
        <v>104036</v>
      </c>
    </row>
    <row r="1742" spans="7:14" ht="11.25" customHeight="1" x14ac:dyDescent="0.3">
      <c r="G1742" s="470"/>
      <c r="H1742" s="470">
        <v>1735</v>
      </c>
      <c r="I1742" s="455">
        <f t="shared" ca="1" si="133"/>
        <v>542450726.20147586</v>
      </c>
      <c r="J1742" s="455">
        <f t="array" ref="J1742">IFERROR(INDEX('Retirement Calculator'!J:J,MATCH('Isaac 401k'!N1742,'Retirement Calculator'!A:A,0),0),0)</f>
        <v>0</v>
      </c>
      <c r="K1742" s="455">
        <f t="shared" ca="1" si="131"/>
        <v>2260211.3591728159</v>
      </c>
      <c r="L1742" s="455">
        <f t="shared" ca="1" si="132"/>
        <v>544710937.56064868</v>
      </c>
      <c r="M1742" s="471">
        <f t="shared" si="134"/>
        <v>0.05</v>
      </c>
      <c r="N1742" s="475">
        <f t="shared" si="135"/>
        <v>104066</v>
      </c>
    </row>
    <row r="1743" spans="7:14" ht="11.25" customHeight="1" x14ac:dyDescent="0.3">
      <c r="G1743" s="470"/>
      <c r="H1743" s="470">
        <v>1736</v>
      </c>
      <c r="I1743" s="455">
        <f t="shared" ca="1" si="133"/>
        <v>544710937.56064868</v>
      </c>
      <c r="J1743" s="455">
        <f t="array" ref="J1743">IFERROR(INDEX('Retirement Calculator'!J:J,MATCH('Isaac 401k'!N1743,'Retirement Calculator'!A:A,0),0),0)</f>
        <v>0</v>
      </c>
      <c r="K1743" s="455">
        <f t="shared" ca="1" si="131"/>
        <v>2269628.9065027027</v>
      </c>
      <c r="L1743" s="455">
        <f t="shared" ca="1" si="132"/>
        <v>546980566.4671514</v>
      </c>
      <c r="M1743" s="471">
        <f t="shared" si="134"/>
        <v>0.05</v>
      </c>
      <c r="N1743" s="475">
        <f t="shared" si="135"/>
        <v>104097</v>
      </c>
    </row>
    <row r="1744" spans="7:14" ht="11.25" customHeight="1" x14ac:dyDescent="0.3">
      <c r="G1744" s="470"/>
      <c r="H1744" s="470">
        <v>1737</v>
      </c>
      <c r="I1744" s="455">
        <f t="shared" ca="1" si="133"/>
        <v>546980566.4671514</v>
      </c>
      <c r="J1744" s="455">
        <f t="array" ref="J1744">IFERROR(INDEX('Retirement Calculator'!J:J,MATCH('Isaac 401k'!N1744,'Retirement Calculator'!A:A,0),0),0)</f>
        <v>0</v>
      </c>
      <c r="K1744" s="455">
        <f t="shared" ca="1" si="131"/>
        <v>2279085.6936131306</v>
      </c>
      <c r="L1744" s="455">
        <f t="shared" ca="1" si="132"/>
        <v>549259652.16076458</v>
      </c>
      <c r="M1744" s="471">
        <f t="shared" si="134"/>
        <v>0.05</v>
      </c>
      <c r="N1744" s="475">
        <f t="shared" si="135"/>
        <v>104128</v>
      </c>
    </row>
    <row r="1745" spans="7:14" ht="11.25" customHeight="1" x14ac:dyDescent="0.3">
      <c r="G1745" s="470"/>
      <c r="H1745" s="470">
        <v>1738</v>
      </c>
      <c r="I1745" s="455">
        <f t="shared" ca="1" si="133"/>
        <v>549259652.16076458</v>
      </c>
      <c r="J1745" s="455">
        <f t="array" ref="J1745">IFERROR(INDEX('Retirement Calculator'!J:J,MATCH('Isaac 401k'!N1745,'Retirement Calculator'!A:A,0),0),0)</f>
        <v>0</v>
      </c>
      <c r="K1745" s="455">
        <f t="shared" ca="1" si="131"/>
        <v>2288581.8840031857</v>
      </c>
      <c r="L1745" s="455">
        <f t="shared" ca="1" si="132"/>
        <v>551548234.04476774</v>
      </c>
      <c r="M1745" s="471">
        <f t="shared" si="134"/>
        <v>0.05</v>
      </c>
      <c r="N1745" s="475">
        <f t="shared" si="135"/>
        <v>104156</v>
      </c>
    </row>
    <row r="1746" spans="7:14" ht="11.25" customHeight="1" x14ac:dyDescent="0.3">
      <c r="G1746" s="470"/>
      <c r="H1746" s="470">
        <v>1739</v>
      </c>
      <c r="I1746" s="455">
        <f t="shared" ca="1" si="133"/>
        <v>551548234.04476774</v>
      </c>
      <c r="J1746" s="455">
        <f t="array" ref="J1746">IFERROR(INDEX('Retirement Calculator'!J:J,MATCH('Isaac 401k'!N1746,'Retirement Calculator'!A:A,0),0),0)</f>
        <v>0</v>
      </c>
      <c r="K1746" s="455">
        <f t="shared" ca="1" si="131"/>
        <v>2298117.6418531989</v>
      </c>
      <c r="L1746" s="455">
        <f t="shared" ca="1" si="132"/>
        <v>553846351.68662095</v>
      </c>
      <c r="M1746" s="471">
        <f t="shared" si="134"/>
        <v>0.05</v>
      </c>
      <c r="N1746" s="475">
        <f t="shared" si="135"/>
        <v>104187</v>
      </c>
    </row>
    <row r="1747" spans="7:14" ht="11.25" customHeight="1" x14ac:dyDescent="0.3">
      <c r="G1747" s="470"/>
      <c r="H1747" s="470">
        <v>1740</v>
      </c>
      <c r="I1747" s="455">
        <f t="shared" ca="1" si="133"/>
        <v>553846351.68662095</v>
      </c>
      <c r="J1747" s="455">
        <f t="array" ref="J1747">IFERROR(INDEX('Retirement Calculator'!J:J,MATCH('Isaac 401k'!N1747,'Retirement Calculator'!A:A,0),0),0)</f>
        <v>0</v>
      </c>
      <c r="K1747" s="455">
        <f t="shared" ca="1" si="131"/>
        <v>2307693.1320275874</v>
      </c>
      <c r="L1747" s="455">
        <f t="shared" ca="1" si="132"/>
        <v>556154044.81864858</v>
      </c>
      <c r="M1747" s="471">
        <f t="shared" si="134"/>
        <v>0.05</v>
      </c>
      <c r="N1747" s="475">
        <f t="shared" si="135"/>
        <v>104217</v>
      </c>
    </row>
    <row r="1748" spans="7:14" ht="11.25" customHeight="1" x14ac:dyDescent="0.3">
      <c r="G1748" s="470"/>
      <c r="H1748" s="470">
        <v>1741</v>
      </c>
      <c r="I1748" s="455">
        <f t="shared" ca="1" si="133"/>
        <v>556154044.81864858</v>
      </c>
      <c r="J1748" s="455">
        <f t="array" ref="J1748">IFERROR(INDEX('Retirement Calculator'!J:J,MATCH('Isaac 401k'!N1748,'Retirement Calculator'!A:A,0),0),0)</f>
        <v>0</v>
      </c>
      <c r="K1748" s="455">
        <f t="shared" ca="1" si="131"/>
        <v>2317308.5200777026</v>
      </c>
      <c r="L1748" s="455">
        <f t="shared" ca="1" si="132"/>
        <v>558471353.33872628</v>
      </c>
      <c r="M1748" s="471">
        <f t="shared" si="134"/>
        <v>0.05</v>
      </c>
      <c r="N1748" s="475">
        <f t="shared" si="135"/>
        <v>104248</v>
      </c>
    </row>
    <row r="1749" spans="7:14" ht="11.25" customHeight="1" x14ac:dyDescent="0.3">
      <c r="G1749" s="470"/>
      <c r="H1749" s="470">
        <v>1742</v>
      </c>
      <c r="I1749" s="455">
        <f t="shared" ca="1" si="133"/>
        <v>558471353.33872628</v>
      </c>
      <c r="J1749" s="455">
        <f t="array" ref="J1749">IFERROR(INDEX('Retirement Calculator'!J:J,MATCH('Isaac 401k'!N1749,'Retirement Calculator'!A:A,0),0),0)</f>
        <v>0</v>
      </c>
      <c r="K1749" s="455">
        <f t="shared" ca="1" si="131"/>
        <v>2326963.972244693</v>
      </c>
      <c r="L1749" s="455">
        <f t="shared" ca="1" si="132"/>
        <v>560798317.31097102</v>
      </c>
      <c r="M1749" s="471">
        <f t="shared" si="134"/>
        <v>0.05</v>
      </c>
      <c r="N1749" s="475">
        <f t="shared" si="135"/>
        <v>104278</v>
      </c>
    </row>
    <row r="1750" spans="7:14" ht="11.25" customHeight="1" x14ac:dyDescent="0.3">
      <c r="G1750" s="470"/>
      <c r="H1750" s="470">
        <v>1743</v>
      </c>
      <c r="I1750" s="455">
        <f t="shared" ca="1" si="133"/>
        <v>560798317.31097102</v>
      </c>
      <c r="J1750" s="455">
        <f t="array" ref="J1750">IFERROR(INDEX('Retirement Calculator'!J:J,MATCH('Isaac 401k'!N1750,'Retirement Calculator'!A:A,0),0),0)</f>
        <v>0</v>
      </c>
      <c r="K1750" s="455">
        <f t="shared" ca="1" si="131"/>
        <v>2336659.6554623791</v>
      </c>
      <c r="L1750" s="455">
        <f t="shared" ca="1" si="132"/>
        <v>563134976.96643341</v>
      </c>
      <c r="M1750" s="471">
        <f t="shared" si="134"/>
        <v>0.05</v>
      </c>
      <c r="N1750" s="475">
        <f t="shared" si="135"/>
        <v>104309</v>
      </c>
    </row>
    <row r="1751" spans="7:14" ht="11.25" customHeight="1" x14ac:dyDescent="0.3">
      <c r="G1751" s="470"/>
      <c r="H1751" s="470">
        <v>1744</v>
      </c>
      <c r="I1751" s="455">
        <f t="shared" ca="1" si="133"/>
        <v>563134976.96643341</v>
      </c>
      <c r="J1751" s="455">
        <f t="array" ref="J1751">IFERROR(INDEX('Retirement Calculator'!J:J,MATCH('Isaac 401k'!N1751,'Retirement Calculator'!A:A,0),0),0)</f>
        <v>0</v>
      </c>
      <c r="K1751" s="455">
        <f t="shared" ca="1" si="131"/>
        <v>2346395.7373601394</v>
      </c>
      <c r="L1751" s="455">
        <f t="shared" ca="1" si="132"/>
        <v>565481372.70379353</v>
      </c>
      <c r="M1751" s="471">
        <f t="shared" si="134"/>
        <v>0.05</v>
      </c>
      <c r="N1751" s="475">
        <f t="shared" si="135"/>
        <v>104340</v>
      </c>
    </row>
    <row r="1752" spans="7:14" ht="11.25" customHeight="1" x14ac:dyDescent="0.3">
      <c r="G1752" s="470"/>
      <c r="H1752" s="470">
        <v>1745</v>
      </c>
      <c r="I1752" s="455">
        <f t="shared" ca="1" si="133"/>
        <v>565481372.70379353</v>
      </c>
      <c r="J1752" s="455">
        <f t="array" ref="J1752">IFERROR(INDEX('Retirement Calculator'!J:J,MATCH('Isaac 401k'!N1752,'Retirement Calculator'!A:A,0),0),0)</f>
        <v>0</v>
      </c>
      <c r="K1752" s="455">
        <f t="shared" ca="1" si="131"/>
        <v>2356172.3862658064</v>
      </c>
      <c r="L1752" s="455">
        <f t="shared" ca="1" si="132"/>
        <v>567837545.09005928</v>
      </c>
      <c r="M1752" s="471">
        <f t="shared" si="134"/>
        <v>0.05</v>
      </c>
      <c r="N1752" s="475">
        <f t="shared" si="135"/>
        <v>104370</v>
      </c>
    </row>
    <row r="1753" spans="7:14" ht="11.25" customHeight="1" x14ac:dyDescent="0.3">
      <c r="G1753" s="470"/>
      <c r="H1753" s="470">
        <v>1746</v>
      </c>
      <c r="I1753" s="455">
        <f t="shared" ca="1" si="133"/>
        <v>567837545.09005928</v>
      </c>
      <c r="J1753" s="455">
        <f t="array" ref="J1753">IFERROR(INDEX('Retirement Calculator'!J:J,MATCH('Isaac 401k'!N1753,'Retirement Calculator'!A:A,0),0),0)</f>
        <v>0</v>
      </c>
      <c r="K1753" s="455">
        <f t="shared" ca="1" si="131"/>
        <v>2365989.7712085801</v>
      </c>
      <c r="L1753" s="455">
        <f t="shared" ca="1" si="132"/>
        <v>570203534.86126781</v>
      </c>
      <c r="M1753" s="471">
        <f t="shared" si="134"/>
        <v>0.05</v>
      </c>
      <c r="N1753" s="475">
        <f t="shared" si="135"/>
        <v>104401</v>
      </c>
    </row>
    <row r="1754" spans="7:14" ht="11.25" customHeight="1" x14ac:dyDescent="0.3">
      <c r="G1754" s="470"/>
      <c r="H1754" s="470">
        <v>1747</v>
      </c>
      <c r="I1754" s="455">
        <f t="shared" ca="1" si="133"/>
        <v>570203534.86126781</v>
      </c>
      <c r="J1754" s="455">
        <f t="array" ref="J1754">IFERROR(INDEX('Retirement Calculator'!J:J,MATCH('Isaac 401k'!N1754,'Retirement Calculator'!A:A,0),0),0)</f>
        <v>0</v>
      </c>
      <c r="K1754" s="455">
        <f t="shared" ca="1" si="131"/>
        <v>2375848.061921949</v>
      </c>
      <c r="L1754" s="455">
        <f t="shared" ca="1" si="132"/>
        <v>572579382.92318976</v>
      </c>
      <c r="M1754" s="471">
        <f t="shared" si="134"/>
        <v>0.05</v>
      </c>
      <c r="N1754" s="475">
        <f t="shared" si="135"/>
        <v>104431</v>
      </c>
    </row>
    <row r="1755" spans="7:14" ht="11.25" customHeight="1" x14ac:dyDescent="0.3">
      <c r="G1755" s="470"/>
      <c r="H1755" s="470">
        <v>1748</v>
      </c>
      <c r="I1755" s="455">
        <f t="shared" ca="1" si="133"/>
        <v>572579382.92318976</v>
      </c>
      <c r="J1755" s="455">
        <f t="array" ref="J1755">IFERROR(INDEX('Retirement Calculator'!J:J,MATCH('Isaac 401k'!N1755,'Retirement Calculator'!A:A,0),0),0)</f>
        <v>0</v>
      </c>
      <c r="K1755" s="455">
        <f t="shared" ca="1" si="131"/>
        <v>2385747.4288466237</v>
      </c>
      <c r="L1755" s="455">
        <f t="shared" ca="1" si="132"/>
        <v>574965130.35203636</v>
      </c>
      <c r="M1755" s="471">
        <f t="shared" si="134"/>
        <v>0.05</v>
      </c>
      <c r="N1755" s="475">
        <f t="shared" si="135"/>
        <v>104462</v>
      </c>
    </row>
    <row r="1756" spans="7:14" ht="11.25" customHeight="1" x14ac:dyDescent="0.3">
      <c r="G1756" s="470"/>
      <c r="H1756" s="470">
        <v>1749</v>
      </c>
      <c r="I1756" s="455">
        <f t="shared" ca="1" si="133"/>
        <v>574965130.35203636</v>
      </c>
      <c r="J1756" s="455">
        <f t="array" ref="J1756">IFERROR(INDEX('Retirement Calculator'!J:J,MATCH('Isaac 401k'!N1756,'Retirement Calculator'!A:A,0),0),0)</f>
        <v>0</v>
      </c>
      <c r="K1756" s="455">
        <f t="shared" ca="1" si="131"/>
        <v>2395688.0431334847</v>
      </c>
      <c r="L1756" s="455">
        <f t="shared" ca="1" si="132"/>
        <v>577360818.39516985</v>
      </c>
      <c r="M1756" s="471">
        <f t="shared" si="134"/>
        <v>0.05</v>
      </c>
      <c r="N1756" s="475">
        <f t="shared" si="135"/>
        <v>104493</v>
      </c>
    </row>
    <row r="1757" spans="7:14" ht="11.25" customHeight="1" x14ac:dyDescent="0.3">
      <c r="G1757" s="470"/>
      <c r="H1757" s="470">
        <v>1750</v>
      </c>
      <c r="I1757" s="455">
        <f t="shared" ca="1" si="133"/>
        <v>577360818.39516985</v>
      </c>
      <c r="J1757" s="455">
        <f t="array" ref="J1757">IFERROR(INDEX('Retirement Calculator'!J:J,MATCH('Isaac 401k'!N1757,'Retirement Calculator'!A:A,0),0),0)</f>
        <v>0</v>
      </c>
      <c r="K1757" s="455">
        <f t="shared" ca="1" si="131"/>
        <v>2405670.0766465412</v>
      </c>
      <c r="L1757" s="455">
        <f t="shared" ca="1" si="132"/>
        <v>579766488.47181642</v>
      </c>
      <c r="M1757" s="471">
        <f t="shared" si="134"/>
        <v>0.05</v>
      </c>
      <c r="N1757" s="475">
        <f t="shared" si="135"/>
        <v>104521</v>
      </c>
    </row>
    <row r="1758" spans="7:14" ht="11.25" customHeight="1" x14ac:dyDescent="0.3">
      <c r="G1758" s="470"/>
      <c r="H1758" s="470">
        <v>1751</v>
      </c>
      <c r="I1758" s="455">
        <f t="shared" ca="1" si="133"/>
        <v>579766488.47181642</v>
      </c>
      <c r="J1758" s="455">
        <f t="array" ref="J1758">IFERROR(INDEX('Retirement Calculator'!J:J,MATCH('Isaac 401k'!N1758,'Retirement Calculator'!A:A,0),0),0)</f>
        <v>0</v>
      </c>
      <c r="K1758" s="455">
        <f t="shared" ca="1" si="131"/>
        <v>2415693.7019659015</v>
      </c>
      <c r="L1758" s="455">
        <f t="shared" ca="1" si="132"/>
        <v>582182182.17378235</v>
      </c>
      <c r="M1758" s="471">
        <f t="shared" si="134"/>
        <v>0.05</v>
      </c>
      <c r="N1758" s="475">
        <f t="shared" si="135"/>
        <v>104552</v>
      </c>
    </row>
    <row r="1759" spans="7:14" ht="11.25" customHeight="1" x14ac:dyDescent="0.3">
      <c r="G1759" s="470"/>
      <c r="H1759" s="470">
        <v>1752</v>
      </c>
      <c r="I1759" s="455">
        <f t="shared" ca="1" si="133"/>
        <v>582182182.17378235</v>
      </c>
      <c r="J1759" s="455">
        <f t="array" ref="J1759">IFERROR(INDEX('Retirement Calculator'!J:J,MATCH('Isaac 401k'!N1759,'Retirement Calculator'!A:A,0),0),0)</f>
        <v>0</v>
      </c>
      <c r="K1759" s="455">
        <f t="shared" ca="1" si="131"/>
        <v>2425759.0923907598</v>
      </c>
      <c r="L1759" s="455">
        <f t="shared" ca="1" si="132"/>
        <v>584607941.26617312</v>
      </c>
      <c r="M1759" s="471">
        <f t="shared" si="134"/>
        <v>0.05</v>
      </c>
      <c r="N1759" s="475">
        <f t="shared" si="135"/>
        <v>104582</v>
      </c>
    </row>
    <row r="1760" spans="7:14" ht="11.25" customHeight="1" x14ac:dyDescent="0.3">
      <c r="G1760" s="470"/>
      <c r="H1760" s="470">
        <v>1753</v>
      </c>
      <c r="I1760" s="455">
        <f t="shared" ca="1" si="133"/>
        <v>584607941.26617312</v>
      </c>
      <c r="J1760" s="455">
        <f t="array" ref="J1760">IFERROR(INDEX('Retirement Calculator'!J:J,MATCH('Isaac 401k'!N1760,'Retirement Calculator'!A:A,0),0),0)</f>
        <v>0</v>
      </c>
      <c r="K1760" s="455">
        <f t="shared" ca="1" si="131"/>
        <v>2435866.4219423882</v>
      </c>
      <c r="L1760" s="455">
        <f t="shared" ca="1" si="132"/>
        <v>587043807.68811548</v>
      </c>
      <c r="M1760" s="471">
        <f t="shared" si="134"/>
        <v>0.05</v>
      </c>
      <c r="N1760" s="475">
        <f t="shared" si="135"/>
        <v>104613</v>
      </c>
    </row>
    <row r="1761" spans="7:14" ht="11.25" customHeight="1" x14ac:dyDescent="0.3">
      <c r="G1761" s="470"/>
      <c r="H1761" s="470">
        <v>1754</v>
      </c>
      <c r="I1761" s="455">
        <f t="shared" ca="1" si="133"/>
        <v>587043807.68811548</v>
      </c>
      <c r="J1761" s="455">
        <f t="array" ref="J1761">IFERROR(INDEX('Retirement Calculator'!J:J,MATCH('Isaac 401k'!N1761,'Retirement Calculator'!A:A,0),0),0)</f>
        <v>0</v>
      </c>
      <c r="K1761" s="455">
        <f t="shared" ca="1" si="131"/>
        <v>2446015.8653671476</v>
      </c>
      <c r="L1761" s="455">
        <f t="shared" ca="1" si="132"/>
        <v>589489823.55348265</v>
      </c>
      <c r="M1761" s="471">
        <f t="shared" si="134"/>
        <v>0.05</v>
      </c>
      <c r="N1761" s="475">
        <f t="shared" si="135"/>
        <v>104643</v>
      </c>
    </row>
    <row r="1762" spans="7:14" ht="11.25" customHeight="1" x14ac:dyDescent="0.3">
      <c r="G1762" s="470"/>
      <c r="H1762" s="470">
        <v>1755</v>
      </c>
      <c r="I1762" s="455">
        <f t="shared" ca="1" si="133"/>
        <v>589489823.55348265</v>
      </c>
      <c r="J1762" s="455">
        <f t="array" ref="J1762">IFERROR(INDEX('Retirement Calculator'!J:J,MATCH('Isaac 401k'!N1762,'Retirement Calculator'!A:A,0),0),0)</f>
        <v>0</v>
      </c>
      <c r="K1762" s="455">
        <f t="shared" ca="1" si="131"/>
        <v>2456207.598139511</v>
      </c>
      <c r="L1762" s="455">
        <f t="shared" ca="1" si="132"/>
        <v>591946031.15162218</v>
      </c>
      <c r="M1762" s="471">
        <f t="shared" si="134"/>
        <v>0.05</v>
      </c>
      <c r="N1762" s="475">
        <f t="shared" si="135"/>
        <v>104674</v>
      </c>
    </row>
    <row r="1763" spans="7:14" ht="11.25" customHeight="1" x14ac:dyDescent="0.3">
      <c r="G1763" s="470"/>
      <c r="H1763" s="470">
        <v>1756</v>
      </c>
      <c r="I1763" s="455">
        <f t="shared" ca="1" si="133"/>
        <v>591946031.15162218</v>
      </c>
      <c r="J1763" s="455">
        <f t="array" ref="J1763">IFERROR(INDEX('Retirement Calculator'!J:J,MATCH('Isaac 401k'!N1763,'Retirement Calculator'!A:A,0),0),0)</f>
        <v>0</v>
      </c>
      <c r="K1763" s="455">
        <f t="shared" ca="1" si="131"/>
        <v>2466441.7964650923</v>
      </c>
      <c r="L1763" s="455">
        <f t="shared" ca="1" si="132"/>
        <v>594412472.94808722</v>
      </c>
      <c r="M1763" s="471">
        <f t="shared" si="134"/>
        <v>0.05</v>
      </c>
      <c r="N1763" s="475">
        <f t="shared" si="135"/>
        <v>104705</v>
      </c>
    </row>
    <row r="1764" spans="7:14" ht="11.25" customHeight="1" x14ac:dyDescent="0.3">
      <c r="G1764" s="470"/>
      <c r="H1764" s="470">
        <v>1757</v>
      </c>
      <c r="I1764" s="455">
        <f t="shared" ca="1" si="133"/>
        <v>594412472.94808722</v>
      </c>
      <c r="J1764" s="455">
        <f t="array" ref="J1764">IFERROR(INDEX('Retirement Calculator'!J:J,MATCH('Isaac 401k'!N1764,'Retirement Calculator'!A:A,0),0),0)</f>
        <v>0</v>
      </c>
      <c r="K1764" s="455">
        <f t="shared" ca="1" si="131"/>
        <v>2476718.6372836968</v>
      </c>
      <c r="L1764" s="455">
        <f t="shared" ca="1" si="132"/>
        <v>596889191.5853709</v>
      </c>
      <c r="M1764" s="471">
        <f t="shared" si="134"/>
        <v>0.05</v>
      </c>
      <c r="N1764" s="475">
        <f t="shared" si="135"/>
        <v>104735</v>
      </c>
    </row>
    <row r="1765" spans="7:14" ht="11.25" customHeight="1" x14ac:dyDescent="0.3">
      <c r="G1765" s="470"/>
      <c r="H1765" s="470">
        <v>1758</v>
      </c>
      <c r="I1765" s="455">
        <f t="shared" ca="1" si="133"/>
        <v>596889191.5853709</v>
      </c>
      <c r="J1765" s="455">
        <f t="array" ref="J1765">IFERROR(INDEX('Retirement Calculator'!J:J,MATCH('Isaac 401k'!N1765,'Retirement Calculator'!A:A,0),0),0)</f>
        <v>0</v>
      </c>
      <c r="K1765" s="455">
        <f t="shared" ca="1" si="131"/>
        <v>2487038.2982723787</v>
      </c>
      <c r="L1765" s="455">
        <f t="shared" ca="1" si="132"/>
        <v>599376229.88364327</v>
      </c>
      <c r="M1765" s="471">
        <f t="shared" si="134"/>
        <v>0.05</v>
      </c>
      <c r="N1765" s="475">
        <f t="shared" si="135"/>
        <v>104766</v>
      </c>
    </row>
    <row r="1766" spans="7:14" ht="11.25" customHeight="1" x14ac:dyDescent="0.3">
      <c r="G1766" s="470"/>
      <c r="H1766" s="470">
        <v>1759</v>
      </c>
      <c r="I1766" s="455">
        <f t="shared" ca="1" si="133"/>
        <v>599376229.88364327</v>
      </c>
      <c r="J1766" s="455">
        <f t="array" ref="J1766">IFERROR(INDEX('Retirement Calculator'!J:J,MATCH('Isaac 401k'!N1766,'Retirement Calculator'!A:A,0),0),0)</f>
        <v>0</v>
      </c>
      <c r="K1766" s="455">
        <f t="shared" ca="1" si="131"/>
        <v>2497400.9578485135</v>
      </c>
      <c r="L1766" s="455">
        <f t="shared" ca="1" si="132"/>
        <v>601873630.84149182</v>
      </c>
      <c r="M1766" s="471">
        <f t="shared" si="134"/>
        <v>0.05</v>
      </c>
      <c r="N1766" s="475">
        <f t="shared" si="135"/>
        <v>104796</v>
      </c>
    </row>
    <row r="1767" spans="7:14" ht="11.25" customHeight="1" x14ac:dyDescent="0.3">
      <c r="G1767" s="470"/>
      <c r="H1767" s="470">
        <v>1760</v>
      </c>
      <c r="I1767" s="455">
        <f t="shared" ca="1" si="133"/>
        <v>601873630.84149182</v>
      </c>
      <c r="J1767" s="455">
        <f t="array" ref="J1767">IFERROR(INDEX('Retirement Calculator'!J:J,MATCH('Isaac 401k'!N1767,'Retirement Calculator'!A:A,0),0),0)</f>
        <v>0</v>
      </c>
      <c r="K1767" s="455">
        <f t="shared" ca="1" si="131"/>
        <v>2507806.7951728827</v>
      </c>
      <c r="L1767" s="455">
        <f t="shared" ca="1" si="132"/>
        <v>604381437.63666475</v>
      </c>
      <c r="M1767" s="471">
        <f t="shared" si="134"/>
        <v>0.05</v>
      </c>
      <c r="N1767" s="475">
        <f t="shared" si="135"/>
        <v>104827</v>
      </c>
    </row>
    <row r="1768" spans="7:14" ht="11.25" customHeight="1" x14ac:dyDescent="0.3">
      <c r="G1768" s="470"/>
      <c r="H1768" s="470">
        <v>1761</v>
      </c>
      <c r="I1768" s="455">
        <f t="shared" ca="1" si="133"/>
        <v>604381437.63666475</v>
      </c>
      <c r="J1768" s="455">
        <f t="array" ref="J1768">IFERROR(INDEX('Retirement Calculator'!J:J,MATCH('Isaac 401k'!N1768,'Retirement Calculator'!A:A,0),0),0)</f>
        <v>0</v>
      </c>
      <c r="K1768" s="455">
        <f t="shared" ca="1" si="131"/>
        <v>2518255.9901527697</v>
      </c>
      <c r="L1768" s="455">
        <f t="shared" ca="1" si="132"/>
        <v>606899693.62681746</v>
      </c>
      <c r="M1768" s="471">
        <f t="shared" si="134"/>
        <v>0.05</v>
      </c>
      <c r="N1768" s="475">
        <f t="shared" si="135"/>
        <v>104858</v>
      </c>
    </row>
    <row r="1769" spans="7:14" ht="11.25" customHeight="1" x14ac:dyDescent="0.3">
      <c r="G1769" s="470"/>
      <c r="H1769" s="470">
        <v>1762</v>
      </c>
      <c r="I1769" s="455">
        <f t="shared" ca="1" si="133"/>
        <v>606899693.62681746</v>
      </c>
      <c r="J1769" s="455">
        <f t="array" ref="J1769">IFERROR(INDEX('Retirement Calculator'!J:J,MATCH('Isaac 401k'!N1769,'Retirement Calculator'!A:A,0),0),0)</f>
        <v>0</v>
      </c>
      <c r="K1769" s="455">
        <f t="shared" ca="1" si="131"/>
        <v>2528748.7234450728</v>
      </c>
      <c r="L1769" s="455">
        <f t="shared" ca="1" si="132"/>
        <v>609428442.35026252</v>
      </c>
      <c r="M1769" s="471">
        <f t="shared" si="134"/>
        <v>0.05</v>
      </c>
      <c r="N1769" s="475">
        <f t="shared" si="135"/>
        <v>104886</v>
      </c>
    </row>
    <row r="1770" spans="7:14" ht="11.25" customHeight="1" x14ac:dyDescent="0.3">
      <c r="G1770" s="470"/>
      <c r="H1770" s="470">
        <v>1763</v>
      </c>
      <c r="I1770" s="455">
        <f t="shared" ca="1" si="133"/>
        <v>609428442.35026252</v>
      </c>
      <c r="J1770" s="455">
        <f t="array" ref="J1770">IFERROR(INDEX('Retirement Calculator'!J:J,MATCH('Isaac 401k'!N1770,'Retirement Calculator'!A:A,0),0),0)</f>
        <v>0</v>
      </c>
      <c r="K1770" s="455">
        <f t="shared" ca="1" si="131"/>
        <v>2539285.176459427</v>
      </c>
      <c r="L1770" s="455">
        <f t="shared" ca="1" si="132"/>
        <v>611967727.52672195</v>
      </c>
      <c r="M1770" s="471">
        <f t="shared" si="134"/>
        <v>0.05</v>
      </c>
      <c r="N1770" s="475">
        <f t="shared" si="135"/>
        <v>104917</v>
      </c>
    </row>
    <row r="1771" spans="7:14" ht="11.25" customHeight="1" x14ac:dyDescent="0.3">
      <c r="G1771" s="470"/>
      <c r="H1771" s="470">
        <v>1764</v>
      </c>
      <c r="I1771" s="455">
        <f t="shared" ca="1" si="133"/>
        <v>611967727.52672195</v>
      </c>
      <c r="J1771" s="455">
        <f t="array" ref="J1771">IFERROR(INDEX('Retirement Calculator'!J:J,MATCH('Isaac 401k'!N1771,'Retirement Calculator'!A:A,0),0),0)</f>
        <v>0</v>
      </c>
      <c r="K1771" s="455">
        <f t="shared" ca="1" si="131"/>
        <v>2549865.5313613415</v>
      </c>
      <c r="L1771" s="455">
        <f t="shared" ca="1" si="132"/>
        <v>614517593.0580833</v>
      </c>
      <c r="M1771" s="471">
        <f t="shared" si="134"/>
        <v>0.05</v>
      </c>
      <c r="N1771" s="475">
        <f t="shared" si="135"/>
        <v>104947</v>
      </c>
    </row>
    <row r="1772" spans="7:14" ht="11.25" customHeight="1" x14ac:dyDescent="0.3">
      <c r="G1772" s="470"/>
      <c r="H1772" s="470">
        <v>1765</v>
      </c>
      <c r="I1772" s="455">
        <f t="shared" ca="1" si="133"/>
        <v>614517593.0580833</v>
      </c>
      <c r="J1772" s="455">
        <f t="array" ref="J1772">IFERROR(INDEX('Retirement Calculator'!J:J,MATCH('Isaac 401k'!N1772,'Retirement Calculator'!A:A,0),0),0)</f>
        <v>0</v>
      </c>
      <c r="K1772" s="455">
        <f t="shared" ca="1" si="131"/>
        <v>2560489.9710753472</v>
      </c>
      <c r="L1772" s="455">
        <f t="shared" ca="1" si="132"/>
        <v>617078083.02915859</v>
      </c>
      <c r="M1772" s="471">
        <f t="shared" si="134"/>
        <v>0.05</v>
      </c>
      <c r="N1772" s="475">
        <f t="shared" si="135"/>
        <v>104978</v>
      </c>
    </row>
    <row r="1773" spans="7:14" ht="11.25" customHeight="1" x14ac:dyDescent="0.3">
      <c r="G1773" s="470"/>
      <c r="H1773" s="470">
        <v>1766</v>
      </c>
      <c r="I1773" s="455">
        <f t="shared" ca="1" si="133"/>
        <v>617078083.02915859</v>
      </c>
      <c r="J1773" s="455">
        <f t="array" ref="J1773">IFERROR(INDEX('Retirement Calculator'!J:J,MATCH('Isaac 401k'!N1773,'Retirement Calculator'!A:A,0),0),0)</f>
        <v>0</v>
      </c>
      <c r="K1773" s="455">
        <f t="shared" ca="1" si="131"/>
        <v>2571158.679288161</v>
      </c>
      <c r="L1773" s="455">
        <f t="shared" ca="1" si="132"/>
        <v>619649241.70844674</v>
      </c>
      <c r="M1773" s="471">
        <f t="shared" si="134"/>
        <v>0.05</v>
      </c>
      <c r="N1773" s="475">
        <f t="shared" si="135"/>
        <v>105008</v>
      </c>
    </row>
    <row r="1774" spans="7:14" ht="11.25" customHeight="1" x14ac:dyDescent="0.3">
      <c r="G1774" s="470"/>
      <c r="H1774" s="470">
        <v>1767</v>
      </c>
      <c r="I1774" s="455">
        <f t="shared" ca="1" si="133"/>
        <v>619649241.70844674</v>
      </c>
      <c r="J1774" s="455">
        <f t="array" ref="J1774">IFERROR(INDEX('Retirement Calculator'!J:J,MATCH('Isaac 401k'!N1774,'Retirement Calculator'!A:A,0),0),0)</f>
        <v>0</v>
      </c>
      <c r="K1774" s="455">
        <f t="shared" ca="1" si="131"/>
        <v>2581871.8404518613</v>
      </c>
      <c r="L1774" s="455">
        <f t="shared" ca="1" si="132"/>
        <v>622231113.54889858</v>
      </c>
      <c r="M1774" s="471">
        <f t="shared" si="134"/>
        <v>0.05</v>
      </c>
      <c r="N1774" s="475">
        <f t="shared" si="135"/>
        <v>105039</v>
      </c>
    </row>
    <row r="1775" spans="7:14" ht="11.25" customHeight="1" x14ac:dyDescent="0.3">
      <c r="G1775" s="470"/>
      <c r="H1775" s="470">
        <v>1768</v>
      </c>
      <c r="I1775" s="455">
        <f t="shared" ca="1" si="133"/>
        <v>622231113.54889858</v>
      </c>
      <c r="J1775" s="455">
        <f t="array" ref="J1775">IFERROR(INDEX('Retirement Calculator'!J:J,MATCH('Isaac 401k'!N1775,'Retirement Calculator'!A:A,0),0),0)</f>
        <v>0</v>
      </c>
      <c r="K1775" s="455">
        <f t="shared" ca="1" si="131"/>
        <v>2592629.6397870774</v>
      </c>
      <c r="L1775" s="455">
        <f t="shared" ca="1" si="132"/>
        <v>624823743.18868566</v>
      </c>
      <c r="M1775" s="471">
        <f t="shared" si="134"/>
        <v>0.05</v>
      </c>
      <c r="N1775" s="475">
        <f t="shared" si="135"/>
        <v>105070</v>
      </c>
    </row>
    <row r="1776" spans="7:14" ht="11.25" customHeight="1" x14ac:dyDescent="0.3">
      <c r="G1776" s="470"/>
      <c r="H1776" s="470">
        <v>1769</v>
      </c>
      <c r="I1776" s="455">
        <f t="shared" ca="1" si="133"/>
        <v>624823743.18868566</v>
      </c>
      <c r="J1776" s="455">
        <f t="array" ref="J1776">IFERROR(INDEX('Retirement Calculator'!J:J,MATCH('Isaac 401k'!N1776,'Retirement Calculator'!A:A,0),0),0)</f>
        <v>0</v>
      </c>
      <c r="K1776" s="455">
        <f t="shared" ca="1" si="131"/>
        <v>2603432.2632861901</v>
      </c>
      <c r="L1776" s="455">
        <f t="shared" ca="1" si="132"/>
        <v>627427175.45197189</v>
      </c>
      <c r="M1776" s="471">
        <f t="shared" si="134"/>
        <v>0.05</v>
      </c>
      <c r="N1776" s="475">
        <f t="shared" si="135"/>
        <v>105100</v>
      </c>
    </row>
    <row r="1777" spans="7:14" ht="11.25" customHeight="1" x14ac:dyDescent="0.3">
      <c r="G1777" s="470"/>
      <c r="H1777" s="470">
        <v>1770</v>
      </c>
      <c r="I1777" s="455">
        <f t="shared" ca="1" si="133"/>
        <v>627427175.45197189</v>
      </c>
      <c r="J1777" s="455">
        <f t="array" ref="J1777">IFERROR(INDEX('Retirement Calculator'!J:J,MATCH('Isaac 401k'!N1777,'Retirement Calculator'!A:A,0),0),0)</f>
        <v>0</v>
      </c>
      <c r="K1777" s="455">
        <f t="shared" ca="1" si="131"/>
        <v>2614279.8977165497</v>
      </c>
      <c r="L1777" s="455">
        <f t="shared" ca="1" si="132"/>
        <v>630041455.34968841</v>
      </c>
      <c r="M1777" s="471">
        <f t="shared" si="134"/>
        <v>0.05</v>
      </c>
      <c r="N1777" s="475">
        <f t="shared" si="135"/>
        <v>105131</v>
      </c>
    </row>
    <row r="1778" spans="7:14" ht="11.25" customHeight="1" x14ac:dyDescent="0.3">
      <c r="G1778" s="470"/>
      <c r="H1778" s="470">
        <v>1771</v>
      </c>
      <c r="I1778" s="455">
        <f t="shared" ca="1" si="133"/>
        <v>630041455.34968841</v>
      </c>
      <c r="J1778" s="455">
        <f t="array" ref="J1778">IFERROR(INDEX('Retirement Calculator'!J:J,MATCH('Isaac 401k'!N1778,'Retirement Calculator'!A:A,0),0),0)</f>
        <v>0</v>
      </c>
      <c r="K1778" s="455">
        <f t="shared" ca="1" si="131"/>
        <v>2625172.7306237016</v>
      </c>
      <c r="L1778" s="455">
        <f t="shared" ca="1" si="132"/>
        <v>632666628.08031213</v>
      </c>
      <c r="M1778" s="471">
        <f t="shared" si="134"/>
        <v>0.05</v>
      </c>
      <c r="N1778" s="475">
        <f t="shared" si="135"/>
        <v>105161</v>
      </c>
    </row>
    <row r="1779" spans="7:14" ht="11.25" customHeight="1" x14ac:dyDescent="0.3">
      <c r="G1779" s="470"/>
      <c r="H1779" s="470">
        <v>1772</v>
      </c>
      <c r="I1779" s="455">
        <f t="shared" ca="1" si="133"/>
        <v>632666628.08031213</v>
      </c>
      <c r="J1779" s="455">
        <f t="array" ref="J1779">IFERROR(INDEX('Retirement Calculator'!J:J,MATCH('Isaac 401k'!N1779,'Retirement Calculator'!A:A,0),0),0)</f>
        <v>0</v>
      </c>
      <c r="K1779" s="455">
        <f t="shared" ca="1" si="131"/>
        <v>2636110.9503346337</v>
      </c>
      <c r="L1779" s="455">
        <f t="shared" ca="1" si="132"/>
        <v>635302739.0306468</v>
      </c>
      <c r="M1779" s="471">
        <f t="shared" si="134"/>
        <v>0.05</v>
      </c>
      <c r="N1779" s="475">
        <f t="shared" si="135"/>
        <v>105192</v>
      </c>
    </row>
    <row r="1780" spans="7:14" ht="11.25" customHeight="1" x14ac:dyDescent="0.3">
      <c r="G1780" s="470"/>
      <c r="H1780" s="470">
        <v>1773</v>
      </c>
      <c r="I1780" s="455">
        <f t="shared" ca="1" si="133"/>
        <v>635302739.0306468</v>
      </c>
      <c r="J1780" s="455">
        <f t="array" ref="J1780">IFERROR(INDEX('Retirement Calculator'!J:J,MATCH('Isaac 401k'!N1780,'Retirement Calculator'!A:A,0),0),0)</f>
        <v>0</v>
      </c>
      <c r="K1780" s="455">
        <f t="shared" ca="1" si="131"/>
        <v>2647094.7459610282</v>
      </c>
      <c r="L1780" s="455">
        <f t="shared" ca="1" si="132"/>
        <v>637949833.77660787</v>
      </c>
      <c r="M1780" s="471">
        <f t="shared" si="134"/>
        <v>0.05</v>
      </c>
      <c r="N1780" s="475">
        <f t="shared" si="135"/>
        <v>105223</v>
      </c>
    </row>
    <row r="1781" spans="7:14" ht="11.25" customHeight="1" x14ac:dyDescent="0.3">
      <c r="G1781" s="470"/>
      <c r="H1781" s="470">
        <v>1774</v>
      </c>
      <c r="I1781" s="455">
        <f t="shared" ca="1" si="133"/>
        <v>637949833.77660787</v>
      </c>
      <c r="J1781" s="455">
        <f t="array" ref="J1781">IFERROR(INDEX('Retirement Calculator'!J:J,MATCH('Isaac 401k'!N1781,'Retirement Calculator'!A:A,0),0),0)</f>
        <v>0</v>
      </c>
      <c r="K1781" s="455">
        <f t="shared" ca="1" si="131"/>
        <v>2658124.3074025325</v>
      </c>
      <c r="L1781" s="455">
        <f t="shared" ca="1" si="132"/>
        <v>640607958.08401036</v>
      </c>
      <c r="M1781" s="471">
        <f t="shared" si="134"/>
        <v>0.05</v>
      </c>
      <c r="N1781" s="475">
        <f t="shared" si="135"/>
        <v>105252</v>
      </c>
    </row>
    <row r="1782" spans="7:14" ht="11.25" customHeight="1" x14ac:dyDescent="0.3">
      <c r="G1782" s="470"/>
      <c r="H1782" s="470">
        <v>1775</v>
      </c>
      <c r="I1782" s="455">
        <f t="shared" ca="1" si="133"/>
        <v>640607958.08401036</v>
      </c>
      <c r="J1782" s="455">
        <f t="array" ref="J1782">IFERROR(INDEX('Retirement Calculator'!J:J,MATCH('Isaac 401k'!N1782,'Retirement Calculator'!A:A,0),0),0)</f>
        <v>0</v>
      </c>
      <c r="K1782" s="455">
        <f t="shared" ca="1" si="131"/>
        <v>2669199.8253500434</v>
      </c>
      <c r="L1782" s="455">
        <f t="shared" ca="1" si="132"/>
        <v>643277157.90936041</v>
      </c>
      <c r="M1782" s="471">
        <f t="shared" si="134"/>
        <v>0.05</v>
      </c>
      <c r="N1782" s="475">
        <f t="shared" si="135"/>
        <v>105283</v>
      </c>
    </row>
    <row r="1783" spans="7:14" ht="11.25" customHeight="1" x14ac:dyDescent="0.3">
      <c r="G1783" s="470"/>
      <c r="H1783" s="470">
        <v>1776</v>
      </c>
      <c r="I1783" s="455">
        <f t="shared" ca="1" si="133"/>
        <v>643277157.90936041</v>
      </c>
      <c r="J1783" s="455">
        <f t="array" ref="J1783">IFERROR(INDEX('Retirement Calculator'!J:J,MATCH('Isaac 401k'!N1783,'Retirement Calculator'!A:A,0),0),0)</f>
        <v>0</v>
      </c>
      <c r="K1783" s="455">
        <f t="shared" ca="1" si="131"/>
        <v>2680321.4912890019</v>
      </c>
      <c r="L1783" s="455">
        <f t="shared" ca="1" si="132"/>
        <v>645957479.40064943</v>
      </c>
      <c r="M1783" s="471">
        <f t="shared" si="134"/>
        <v>0.05</v>
      </c>
      <c r="N1783" s="475">
        <f t="shared" si="135"/>
        <v>105313</v>
      </c>
    </row>
    <row r="1784" spans="7:14" ht="11.25" customHeight="1" x14ac:dyDescent="0.3">
      <c r="G1784" s="470"/>
      <c r="H1784" s="470">
        <v>1777</v>
      </c>
      <c r="I1784" s="455">
        <f t="shared" ca="1" si="133"/>
        <v>645957479.40064943</v>
      </c>
      <c r="J1784" s="455">
        <f t="array" ref="J1784">IFERROR(INDEX('Retirement Calculator'!J:J,MATCH('Isaac 401k'!N1784,'Retirement Calculator'!A:A,0),0),0)</f>
        <v>0</v>
      </c>
      <c r="K1784" s="455">
        <f t="shared" ca="1" si="131"/>
        <v>2691489.497502706</v>
      </c>
      <c r="L1784" s="455">
        <f t="shared" ca="1" si="132"/>
        <v>648648968.89815211</v>
      </c>
      <c r="M1784" s="471">
        <f t="shared" si="134"/>
        <v>0.05</v>
      </c>
      <c r="N1784" s="475">
        <f t="shared" si="135"/>
        <v>105344</v>
      </c>
    </row>
    <row r="1785" spans="7:14" ht="11.25" customHeight="1" x14ac:dyDescent="0.3">
      <c r="G1785" s="470"/>
      <c r="H1785" s="470">
        <v>1778</v>
      </c>
      <c r="I1785" s="455">
        <f t="shared" ca="1" si="133"/>
        <v>648648968.89815211</v>
      </c>
      <c r="J1785" s="455">
        <f t="array" ref="J1785">IFERROR(INDEX('Retirement Calculator'!J:J,MATCH('Isaac 401k'!N1785,'Retirement Calculator'!A:A,0),0),0)</f>
        <v>0</v>
      </c>
      <c r="K1785" s="455">
        <f t="shared" ca="1" si="131"/>
        <v>2702704.0370756336</v>
      </c>
      <c r="L1785" s="455">
        <f t="shared" ca="1" si="132"/>
        <v>651351672.93522775</v>
      </c>
      <c r="M1785" s="471">
        <f t="shared" si="134"/>
        <v>0.05</v>
      </c>
      <c r="N1785" s="475">
        <f t="shared" si="135"/>
        <v>105374</v>
      </c>
    </row>
    <row r="1786" spans="7:14" ht="11.25" customHeight="1" x14ac:dyDescent="0.3">
      <c r="G1786" s="470"/>
      <c r="H1786" s="470">
        <v>1779</v>
      </c>
      <c r="I1786" s="455">
        <f t="shared" ca="1" si="133"/>
        <v>651351672.93522775</v>
      </c>
      <c r="J1786" s="455">
        <f t="array" ref="J1786">IFERROR(INDEX('Retirement Calculator'!J:J,MATCH('Isaac 401k'!N1786,'Retirement Calculator'!A:A,0),0),0)</f>
        <v>0</v>
      </c>
      <c r="K1786" s="455">
        <f t="shared" ca="1" si="131"/>
        <v>2713965.3038967825</v>
      </c>
      <c r="L1786" s="455">
        <f t="shared" ca="1" si="132"/>
        <v>654065638.23912454</v>
      </c>
      <c r="M1786" s="471">
        <f t="shared" si="134"/>
        <v>0.05</v>
      </c>
      <c r="N1786" s="475">
        <f t="shared" si="135"/>
        <v>105405</v>
      </c>
    </row>
    <row r="1787" spans="7:14" ht="11.25" customHeight="1" x14ac:dyDescent="0.3">
      <c r="G1787" s="470"/>
      <c r="H1787" s="470">
        <v>1780</v>
      </c>
      <c r="I1787" s="455">
        <f t="shared" ca="1" si="133"/>
        <v>654065638.23912454</v>
      </c>
      <c r="J1787" s="455">
        <f t="array" ref="J1787">IFERROR(INDEX('Retirement Calculator'!J:J,MATCH('Isaac 401k'!N1787,'Retirement Calculator'!A:A,0),0),0)</f>
        <v>0</v>
      </c>
      <c r="K1787" s="455">
        <f t="shared" ca="1" si="131"/>
        <v>2725273.4926630189</v>
      </c>
      <c r="L1787" s="455">
        <f t="shared" ca="1" si="132"/>
        <v>656790911.73178756</v>
      </c>
      <c r="M1787" s="471">
        <f t="shared" si="134"/>
        <v>0.05</v>
      </c>
      <c r="N1787" s="475">
        <f t="shared" si="135"/>
        <v>105436</v>
      </c>
    </row>
    <row r="1788" spans="7:14" ht="11.25" customHeight="1" x14ac:dyDescent="0.3">
      <c r="G1788" s="470"/>
      <c r="H1788" s="470">
        <v>1781</v>
      </c>
      <c r="I1788" s="455">
        <f t="shared" ca="1" si="133"/>
        <v>656790911.73178756</v>
      </c>
      <c r="J1788" s="455">
        <f t="array" ref="J1788">IFERROR(INDEX('Retirement Calculator'!J:J,MATCH('Isaac 401k'!N1788,'Retirement Calculator'!A:A,0),0),0)</f>
        <v>0</v>
      </c>
      <c r="K1788" s="455">
        <f t="shared" ca="1" si="131"/>
        <v>2736628.7988824481</v>
      </c>
      <c r="L1788" s="455">
        <f t="shared" ca="1" si="132"/>
        <v>659527540.53067005</v>
      </c>
      <c r="M1788" s="471">
        <f t="shared" si="134"/>
        <v>0.05</v>
      </c>
      <c r="N1788" s="475">
        <f t="shared" si="135"/>
        <v>105466</v>
      </c>
    </row>
    <row r="1789" spans="7:14" ht="11.25" customHeight="1" x14ac:dyDescent="0.3">
      <c r="G1789" s="470"/>
      <c r="H1789" s="470">
        <v>1782</v>
      </c>
      <c r="I1789" s="455">
        <f t="shared" ca="1" si="133"/>
        <v>659527540.53067005</v>
      </c>
      <c r="J1789" s="455">
        <f t="array" ref="J1789">IFERROR(INDEX('Retirement Calculator'!J:J,MATCH('Isaac 401k'!N1789,'Retirement Calculator'!A:A,0),0),0)</f>
        <v>0</v>
      </c>
      <c r="K1789" s="455">
        <f t="shared" ca="1" si="131"/>
        <v>2748031.4188777916</v>
      </c>
      <c r="L1789" s="455">
        <f t="shared" ca="1" si="132"/>
        <v>662275571.94954789</v>
      </c>
      <c r="M1789" s="471">
        <f t="shared" si="134"/>
        <v>0.05</v>
      </c>
      <c r="N1789" s="475">
        <f t="shared" si="135"/>
        <v>105497</v>
      </c>
    </row>
    <row r="1790" spans="7:14" ht="11.25" customHeight="1" x14ac:dyDescent="0.3">
      <c r="G1790" s="470"/>
      <c r="H1790" s="470">
        <v>1783</v>
      </c>
      <c r="I1790" s="455">
        <f t="shared" ca="1" si="133"/>
        <v>662275571.94954789</v>
      </c>
      <c r="J1790" s="455">
        <f t="array" ref="J1790">IFERROR(INDEX('Retirement Calculator'!J:J,MATCH('Isaac 401k'!N1790,'Retirement Calculator'!A:A,0),0),0)</f>
        <v>0</v>
      </c>
      <c r="K1790" s="455">
        <f t="shared" ca="1" si="131"/>
        <v>2759481.5497897826</v>
      </c>
      <c r="L1790" s="455">
        <f t="shared" ca="1" si="132"/>
        <v>665035053.49933767</v>
      </c>
      <c r="M1790" s="471">
        <f t="shared" si="134"/>
        <v>0.05</v>
      </c>
      <c r="N1790" s="475">
        <f t="shared" si="135"/>
        <v>105527</v>
      </c>
    </row>
    <row r="1791" spans="7:14" ht="11.25" customHeight="1" x14ac:dyDescent="0.3">
      <c r="G1791" s="470"/>
      <c r="H1791" s="470">
        <v>1784</v>
      </c>
      <c r="I1791" s="455">
        <f t="shared" ca="1" si="133"/>
        <v>665035053.49933767</v>
      </c>
      <c r="J1791" s="455">
        <f t="array" ref="J1791">IFERROR(INDEX('Retirement Calculator'!J:J,MATCH('Isaac 401k'!N1791,'Retirement Calculator'!A:A,0),0),0)</f>
        <v>0</v>
      </c>
      <c r="K1791" s="455">
        <f t="shared" ca="1" si="131"/>
        <v>2770979.3895805734</v>
      </c>
      <c r="L1791" s="455">
        <f t="shared" ca="1" si="132"/>
        <v>667806032.88891828</v>
      </c>
      <c r="M1791" s="471">
        <f t="shared" si="134"/>
        <v>0.05</v>
      </c>
      <c r="N1791" s="475">
        <f t="shared" si="135"/>
        <v>105558</v>
      </c>
    </row>
    <row r="1792" spans="7:14" ht="11.25" customHeight="1" x14ac:dyDescent="0.3">
      <c r="G1792" s="470"/>
      <c r="H1792" s="470">
        <v>1785</v>
      </c>
      <c r="I1792" s="455">
        <f t="shared" ca="1" si="133"/>
        <v>667806032.88891828</v>
      </c>
      <c r="J1792" s="455">
        <f t="array" ref="J1792">IFERROR(INDEX('Retirement Calculator'!J:J,MATCH('Isaac 401k'!N1792,'Retirement Calculator'!A:A,0),0),0)</f>
        <v>0</v>
      </c>
      <c r="K1792" s="455">
        <f t="shared" ca="1" si="131"/>
        <v>2782525.1370371594</v>
      </c>
      <c r="L1792" s="455">
        <f t="shared" ca="1" si="132"/>
        <v>670588558.02595544</v>
      </c>
      <c r="M1792" s="471">
        <f t="shared" si="134"/>
        <v>0.05</v>
      </c>
      <c r="N1792" s="475">
        <f t="shared" si="135"/>
        <v>105589</v>
      </c>
    </row>
    <row r="1793" spans="7:14" ht="11.25" customHeight="1" x14ac:dyDescent="0.3">
      <c r="G1793" s="470"/>
      <c r="H1793" s="470">
        <v>1786</v>
      </c>
      <c r="I1793" s="455">
        <f t="shared" ca="1" si="133"/>
        <v>670588558.02595544</v>
      </c>
      <c r="J1793" s="455">
        <f t="array" ref="J1793">IFERROR(INDEX('Retirement Calculator'!J:J,MATCH('Isaac 401k'!N1793,'Retirement Calculator'!A:A,0),0),0)</f>
        <v>0</v>
      </c>
      <c r="K1793" s="455">
        <f t="shared" ref="K1793:K2047" ca="1" si="136">IPMT(M1793/12,1,12,-I1793+J1793,,0)</f>
        <v>2794118.9917748142</v>
      </c>
      <c r="L1793" s="455">
        <f t="shared" ref="L1793:L2047" ca="1" si="137">I1793-J1793+K1793</f>
        <v>673382677.01773024</v>
      </c>
      <c r="M1793" s="471">
        <f t="shared" si="134"/>
        <v>0.05</v>
      </c>
      <c r="N1793" s="475">
        <f t="shared" si="135"/>
        <v>105617</v>
      </c>
    </row>
    <row r="1794" spans="7:14" ht="11.25" customHeight="1" x14ac:dyDescent="0.3">
      <c r="G1794" s="470"/>
      <c r="H1794" s="470">
        <v>1787</v>
      </c>
      <c r="I1794" s="455">
        <f t="shared" ref="I1794:I2048" ca="1" si="138">L1793</f>
        <v>673382677.01773024</v>
      </c>
      <c r="J1794" s="455">
        <f t="array" ref="J1794">IFERROR(INDEX('Retirement Calculator'!J:J,MATCH('Isaac 401k'!N1794,'Retirement Calculator'!A:A,0),0),0)</f>
        <v>0</v>
      </c>
      <c r="K1794" s="455">
        <f t="shared" ca="1" si="136"/>
        <v>2805761.1542405426</v>
      </c>
      <c r="L1794" s="455">
        <f t="shared" ca="1" si="137"/>
        <v>676188438.17197073</v>
      </c>
      <c r="M1794" s="471">
        <f t="shared" ref="M1794:M2048" si="139">M1793</f>
        <v>0.05</v>
      </c>
      <c r="N1794" s="475">
        <f t="shared" ref="N1794:N2048" si="140">EDATE(N1793,1)</f>
        <v>105648</v>
      </c>
    </row>
    <row r="1795" spans="7:14" ht="11.25" customHeight="1" x14ac:dyDescent="0.3">
      <c r="G1795" s="470"/>
      <c r="H1795" s="470">
        <v>1788</v>
      </c>
      <c r="I1795" s="455">
        <f t="shared" ca="1" si="138"/>
        <v>676188438.17197073</v>
      </c>
      <c r="J1795" s="455">
        <f t="array" ref="J1795">IFERROR(INDEX('Retirement Calculator'!J:J,MATCH('Isaac 401k'!N1795,'Retirement Calculator'!A:A,0),0),0)</f>
        <v>0</v>
      </c>
      <c r="K1795" s="455">
        <f t="shared" ca="1" si="136"/>
        <v>2817451.8257165449</v>
      </c>
      <c r="L1795" s="455">
        <f t="shared" ca="1" si="137"/>
        <v>679005889.99768722</v>
      </c>
      <c r="M1795" s="471">
        <f t="shared" si="139"/>
        <v>0.05</v>
      </c>
      <c r="N1795" s="475">
        <f t="shared" si="140"/>
        <v>105678</v>
      </c>
    </row>
    <row r="1796" spans="7:14" ht="11.25" customHeight="1" x14ac:dyDescent="0.3">
      <c r="G1796" s="470"/>
      <c r="H1796" s="470">
        <v>1789</v>
      </c>
      <c r="I1796" s="455">
        <f t="shared" ca="1" si="138"/>
        <v>679005889.99768722</v>
      </c>
      <c r="J1796" s="455">
        <f t="array" ref="J1796">IFERROR(INDEX('Retirement Calculator'!J:J,MATCH('Isaac 401k'!N1796,'Retirement Calculator'!A:A,0),0),0)</f>
        <v>0</v>
      </c>
      <c r="K1796" s="455">
        <f t="shared" ca="1" si="136"/>
        <v>2829191.2083236966</v>
      </c>
      <c r="L1796" s="455">
        <f t="shared" ca="1" si="137"/>
        <v>681835081.20601094</v>
      </c>
      <c r="M1796" s="471">
        <f t="shared" si="139"/>
        <v>0.05</v>
      </c>
      <c r="N1796" s="475">
        <f t="shared" si="140"/>
        <v>105709</v>
      </c>
    </row>
    <row r="1797" spans="7:14" ht="11.25" customHeight="1" x14ac:dyDescent="0.3">
      <c r="G1797" s="470"/>
      <c r="H1797" s="470">
        <v>1790</v>
      </c>
      <c r="I1797" s="455">
        <f t="shared" ca="1" si="138"/>
        <v>681835081.20601094</v>
      </c>
      <c r="J1797" s="455">
        <f t="array" ref="J1797">IFERROR(INDEX('Retirement Calculator'!J:J,MATCH('Isaac 401k'!N1797,'Retirement Calculator'!A:A,0),0),0)</f>
        <v>0</v>
      </c>
      <c r="K1797" s="455">
        <f t="shared" ca="1" si="136"/>
        <v>2840979.5050250455</v>
      </c>
      <c r="L1797" s="455">
        <f t="shared" ca="1" si="137"/>
        <v>684676060.71103597</v>
      </c>
      <c r="M1797" s="471">
        <f t="shared" si="139"/>
        <v>0.05</v>
      </c>
      <c r="N1797" s="475">
        <f t="shared" si="140"/>
        <v>105739</v>
      </c>
    </row>
    <row r="1798" spans="7:14" ht="11.25" customHeight="1" x14ac:dyDescent="0.3">
      <c r="G1798" s="470"/>
      <c r="H1798" s="470">
        <v>1791</v>
      </c>
      <c r="I1798" s="455">
        <f t="shared" ca="1" si="138"/>
        <v>684676060.71103597</v>
      </c>
      <c r="J1798" s="455">
        <f t="array" ref="J1798">IFERROR(INDEX('Retirement Calculator'!J:J,MATCH('Isaac 401k'!N1798,'Retirement Calculator'!A:A,0),0),0)</f>
        <v>0</v>
      </c>
      <c r="K1798" s="455">
        <f t="shared" ca="1" si="136"/>
        <v>2852816.9196293163</v>
      </c>
      <c r="L1798" s="455">
        <f t="shared" ca="1" si="137"/>
        <v>687528877.6306653</v>
      </c>
      <c r="M1798" s="471">
        <f t="shared" si="139"/>
        <v>0.05</v>
      </c>
      <c r="N1798" s="475">
        <f t="shared" si="140"/>
        <v>105770</v>
      </c>
    </row>
    <row r="1799" spans="7:14" ht="11.25" customHeight="1" x14ac:dyDescent="0.3">
      <c r="G1799" s="470"/>
      <c r="H1799" s="470">
        <v>1792</v>
      </c>
      <c r="I1799" s="455">
        <f t="shared" ca="1" si="138"/>
        <v>687528877.6306653</v>
      </c>
      <c r="J1799" s="455">
        <f t="array" ref="J1799">IFERROR(INDEX('Retirement Calculator'!J:J,MATCH('Isaac 401k'!N1799,'Retirement Calculator'!A:A,0),0),0)</f>
        <v>0</v>
      </c>
      <c r="K1799" s="455">
        <f t="shared" ca="1" si="136"/>
        <v>2864703.6567944386</v>
      </c>
      <c r="L1799" s="455">
        <f t="shared" ca="1" si="137"/>
        <v>690393581.28745973</v>
      </c>
      <c r="M1799" s="471">
        <f t="shared" si="139"/>
        <v>0.05</v>
      </c>
      <c r="N1799" s="475">
        <f t="shared" si="140"/>
        <v>105801</v>
      </c>
    </row>
    <row r="1800" spans="7:14" ht="11.25" customHeight="1" x14ac:dyDescent="0.3">
      <c r="G1800" s="470"/>
      <c r="H1800" s="470">
        <v>1793</v>
      </c>
      <c r="I1800" s="455">
        <f t="shared" ca="1" si="138"/>
        <v>690393581.28745973</v>
      </c>
      <c r="J1800" s="455">
        <f t="array" ref="J1800">IFERROR(INDEX('Retirement Calculator'!J:J,MATCH('Isaac 401k'!N1800,'Retirement Calculator'!A:A,0),0),0)</f>
        <v>0</v>
      </c>
      <c r="K1800" s="455">
        <f t="shared" ca="1" si="136"/>
        <v>2876639.9220310822</v>
      </c>
      <c r="L1800" s="455">
        <f t="shared" ca="1" si="137"/>
        <v>693270221.20949078</v>
      </c>
      <c r="M1800" s="471">
        <f t="shared" si="139"/>
        <v>0.05</v>
      </c>
      <c r="N1800" s="475">
        <f t="shared" si="140"/>
        <v>105831</v>
      </c>
    </row>
    <row r="1801" spans="7:14" ht="11.25" customHeight="1" x14ac:dyDescent="0.3">
      <c r="G1801" s="470"/>
      <c r="H1801" s="470">
        <v>1794</v>
      </c>
      <c r="I1801" s="455">
        <f t="shared" ca="1" si="138"/>
        <v>693270221.20949078</v>
      </c>
      <c r="J1801" s="455">
        <f t="array" ref="J1801">IFERROR(INDEX('Retirement Calculator'!J:J,MATCH('Isaac 401k'!N1801,'Retirement Calculator'!A:A,0),0),0)</f>
        <v>0</v>
      </c>
      <c r="K1801" s="455">
        <f t="shared" ca="1" si="136"/>
        <v>2888625.9217062118</v>
      </c>
      <c r="L1801" s="455">
        <f t="shared" ca="1" si="137"/>
        <v>696158847.13119698</v>
      </c>
      <c r="M1801" s="471">
        <f t="shared" si="139"/>
        <v>0.05</v>
      </c>
      <c r="N1801" s="475">
        <f t="shared" si="140"/>
        <v>105862</v>
      </c>
    </row>
    <row r="1802" spans="7:14" ht="11.25" customHeight="1" x14ac:dyDescent="0.3">
      <c r="G1802" s="470"/>
      <c r="H1802" s="470">
        <v>1795</v>
      </c>
      <c r="I1802" s="455">
        <f t="shared" ca="1" si="138"/>
        <v>696158847.13119698</v>
      </c>
      <c r="J1802" s="455">
        <f t="array" ref="J1802">IFERROR(INDEX('Retirement Calculator'!J:J,MATCH('Isaac 401k'!N1802,'Retirement Calculator'!A:A,0),0),0)</f>
        <v>0</v>
      </c>
      <c r="K1802" s="455">
        <f t="shared" ca="1" si="136"/>
        <v>2900661.863046654</v>
      </c>
      <c r="L1802" s="455">
        <f t="shared" ca="1" si="137"/>
        <v>699059508.99424362</v>
      </c>
      <c r="M1802" s="471">
        <f t="shared" si="139"/>
        <v>0.05</v>
      </c>
      <c r="N1802" s="475">
        <f t="shared" si="140"/>
        <v>105892</v>
      </c>
    </row>
    <row r="1803" spans="7:14" ht="11.25" customHeight="1" x14ac:dyDescent="0.3">
      <c r="G1803" s="470"/>
      <c r="H1803" s="470">
        <v>1796</v>
      </c>
      <c r="I1803" s="455">
        <f t="shared" ca="1" si="138"/>
        <v>699059508.99424362</v>
      </c>
      <c r="J1803" s="455">
        <f t="array" ref="J1803">IFERROR(INDEX('Retirement Calculator'!J:J,MATCH('Isaac 401k'!N1803,'Retirement Calculator'!A:A,0),0),0)</f>
        <v>0</v>
      </c>
      <c r="K1803" s="455">
        <f t="shared" ca="1" si="136"/>
        <v>2912747.9541426818</v>
      </c>
      <c r="L1803" s="455">
        <f t="shared" ca="1" si="137"/>
        <v>701972256.94838631</v>
      </c>
      <c r="M1803" s="471">
        <f t="shared" si="139"/>
        <v>0.05</v>
      </c>
      <c r="N1803" s="475">
        <f t="shared" si="140"/>
        <v>105923</v>
      </c>
    </row>
    <row r="1804" spans="7:14" ht="11.25" customHeight="1" x14ac:dyDescent="0.3">
      <c r="G1804" s="470"/>
      <c r="H1804" s="470">
        <v>1797</v>
      </c>
      <c r="I1804" s="455">
        <f t="shared" ca="1" si="138"/>
        <v>701972256.94838631</v>
      </c>
      <c r="J1804" s="455">
        <f t="array" ref="J1804">IFERROR(INDEX('Retirement Calculator'!J:J,MATCH('Isaac 401k'!N1804,'Retirement Calculator'!A:A,0),0),0)</f>
        <v>0</v>
      </c>
      <c r="K1804" s="455">
        <f t="shared" ca="1" si="136"/>
        <v>2924884.4039516095</v>
      </c>
      <c r="L1804" s="455">
        <f t="shared" ca="1" si="137"/>
        <v>704897141.35233796</v>
      </c>
      <c r="M1804" s="471">
        <f t="shared" si="139"/>
        <v>0.05</v>
      </c>
      <c r="N1804" s="475">
        <f t="shared" si="140"/>
        <v>105954</v>
      </c>
    </row>
    <row r="1805" spans="7:14" ht="11.25" customHeight="1" x14ac:dyDescent="0.3">
      <c r="G1805" s="470"/>
      <c r="H1805" s="470">
        <v>1798</v>
      </c>
      <c r="I1805" s="455">
        <f t="shared" ca="1" si="138"/>
        <v>704897141.35233796</v>
      </c>
      <c r="J1805" s="455">
        <f t="array" ref="J1805">IFERROR(INDEX('Retirement Calculator'!J:J,MATCH('Isaac 401k'!N1805,'Retirement Calculator'!A:A,0),0),0)</f>
        <v>0</v>
      </c>
      <c r="K1805" s="455">
        <f t="shared" ca="1" si="136"/>
        <v>2937071.4223014079</v>
      </c>
      <c r="L1805" s="455">
        <f t="shared" ca="1" si="137"/>
        <v>707834212.77463937</v>
      </c>
      <c r="M1805" s="471">
        <f t="shared" si="139"/>
        <v>0.05</v>
      </c>
      <c r="N1805" s="475">
        <f t="shared" si="140"/>
        <v>105982</v>
      </c>
    </row>
    <row r="1806" spans="7:14" ht="11.25" customHeight="1" x14ac:dyDescent="0.3">
      <c r="G1806" s="470"/>
      <c r="H1806" s="470">
        <v>1799</v>
      </c>
      <c r="I1806" s="455">
        <f t="shared" ca="1" si="138"/>
        <v>707834212.77463937</v>
      </c>
      <c r="J1806" s="455">
        <f t="array" ref="J1806">IFERROR(INDEX('Retirement Calculator'!J:J,MATCH('Isaac 401k'!N1806,'Retirement Calculator'!A:A,0),0),0)</f>
        <v>0</v>
      </c>
      <c r="K1806" s="455">
        <f t="shared" ca="1" si="136"/>
        <v>2949309.2198943305</v>
      </c>
      <c r="L1806" s="455">
        <f t="shared" ca="1" si="137"/>
        <v>710783521.99453366</v>
      </c>
      <c r="M1806" s="471">
        <f t="shared" si="139"/>
        <v>0.05</v>
      </c>
      <c r="N1806" s="475">
        <f t="shared" si="140"/>
        <v>106013</v>
      </c>
    </row>
    <row r="1807" spans="7:14" ht="11.25" customHeight="1" x14ac:dyDescent="0.3">
      <c r="G1807" s="470"/>
      <c r="H1807" s="470">
        <v>1800</v>
      </c>
      <c r="I1807" s="455">
        <f t="shared" ca="1" si="138"/>
        <v>710783521.99453366</v>
      </c>
      <c r="J1807" s="455">
        <f t="array" ref="J1807">IFERROR(INDEX('Retirement Calculator'!J:J,MATCH('Isaac 401k'!N1807,'Retirement Calculator'!A:A,0),0),0)</f>
        <v>0</v>
      </c>
      <c r="K1807" s="455">
        <f t="shared" ca="1" si="136"/>
        <v>2961598.0083105569</v>
      </c>
      <c r="L1807" s="455">
        <f t="shared" ca="1" si="137"/>
        <v>713745120.00284421</v>
      </c>
      <c r="M1807" s="471">
        <f t="shared" si="139"/>
        <v>0.05</v>
      </c>
      <c r="N1807" s="475">
        <f t="shared" si="140"/>
        <v>106043</v>
      </c>
    </row>
    <row r="1808" spans="7:14" ht="11.25" customHeight="1" x14ac:dyDescent="0.3">
      <c r="G1808" s="470"/>
      <c r="H1808" s="470">
        <v>1801</v>
      </c>
      <c r="I1808" s="455">
        <f t="shared" ca="1" si="138"/>
        <v>713745120.00284421</v>
      </c>
      <c r="J1808" s="455">
        <f t="array" ref="J1808">IFERROR(INDEX('Retirement Calculator'!J:J,MATCH('Isaac 401k'!N1808,'Retirement Calculator'!A:A,0),0),0)</f>
        <v>0</v>
      </c>
      <c r="K1808" s="455">
        <f t="shared" ca="1" si="136"/>
        <v>2973938.0000118511</v>
      </c>
      <c r="L1808" s="455">
        <f t="shared" ca="1" si="137"/>
        <v>716719058.00285602</v>
      </c>
      <c r="M1808" s="471">
        <f t="shared" si="139"/>
        <v>0.05</v>
      </c>
      <c r="N1808" s="475">
        <f t="shared" si="140"/>
        <v>106074</v>
      </c>
    </row>
    <row r="1809" spans="7:14" ht="11.25" customHeight="1" x14ac:dyDescent="0.3">
      <c r="G1809" s="470"/>
      <c r="H1809" s="470">
        <v>1802</v>
      </c>
      <c r="I1809" s="455">
        <f t="shared" ca="1" si="138"/>
        <v>716719058.00285602</v>
      </c>
      <c r="J1809" s="455">
        <f t="array" ref="J1809">IFERROR(INDEX('Retirement Calculator'!J:J,MATCH('Isaac 401k'!N1809,'Retirement Calculator'!A:A,0),0),0)</f>
        <v>0</v>
      </c>
      <c r="K1809" s="455">
        <f t="shared" ca="1" si="136"/>
        <v>2986329.4083452332</v>
      </c>
      <c r="L1809" s="455">
        <f t="shared" ca="1" si="137"/>
        <v>719705387.41120124</v>
      </c>
      <c r="M1809" s="471">
        <f t="shared" si="139"/>
        <v>0.05</v>
      </c>
      <c r="N1809" s="475">
        <f t="shared" si="140"/>
        <v>106104</v>
      </c>
    </row>
    <row r="1810" spans="7:14" ht="11.25" customHeight="1" x14ac:dyDescent="0.3">
      <c r="G1810" s="470"/>
      <c r="H1810" s="470">
        <v>1803</v>
      </c>
      <c r="I1810" s="455">
        <f t="shared" ca="1" si="138"/>
        <v>719705387.41120124</v>
      </c>
      <c r="J1810" s="455">
        <f t="array" ref="J1810">IFERROR(INDEX('Retirement Calculator'!J:J,MATCH('Isaac 401k'!N1810,'Retirement Calculator'!A:A,0),0),0)</f>
        <v>0</v>
      </c>
      <c r="K1810" s="455">
        <f t="shared" ca="1" si="136"/>
        <v>2998772.4475466716</v>
      </c>
      <c r="L1810" s="455">
        <f t="shared" ca="1" si="137"/>
        <v>722704159.85874796</v>
      </c>
      <c r="M1810" s="471">
        <f t="shared" si="139"/>
        <v>0.05</v>
      </c>
      <c r="N1810" s="475">
        <f t="shared" si="140"/>
        <v>106135</v>
      </c>
    </row>
    <row r="1811" spans="7:14" ht="11.25" customHeight="1" x14ac:dyDescent="0.3">
      <c r="G1811" s="470"/>
      <c r="H1811" s="470">
        <v>1804</v>
      </c>
      <c r="I1811" s="455">
        <f t="shared" ca="1" si="138"/>
        <v>722704159.85874796</v>
      </c>
      <c r="J1811" s="455">
        <f t="array" ref="J1811">IFERROR(INDEX('Retirement Calculator'!J:J,MATCH('Isaac 401k'!N1811,'Retirement Calculator'!A:A,0),0),0)</f>
        <v>0</v>
      </c>
      <c r="K1811" s="455">
        <f t="shared" ca="1" si="136"/>
        <v>3011267.3327447833</v>
      </c>
      <c r="L1811" s="455">
        <f t="shared" ca="1" si="137"/>
        <v>725715427.1914928</v>
      </c>
      <c r="M1811" s="471">
        <f t="shared" si="139"/>
        <v>0.05</v>
      </c>
      <c r="N1811" s="475">
        <f t="shared" si="140"/>
        <v>106166</v>
      </c>
    </row>
    <row r="1812" spans="7:14" ht="11.25" customHeight="1" x14ac:dyDescent="0.3">
      <c r="G1812" s="470"/>
      <c r="H1812" s="470">
        <v>1805</v>
      </c>
      <c r="I1812" s="455">
        <f t="shared" ca="1" si="138"/>
        <v>725715427.1914928</v>
      </c>
      <c r="J1812" s="455">
        <f t="array" ref="J1812">IFERROR(INDEX('Retirement Calculator'!J:J,MATCH('Isaac 401k'!N1812,'Retirement Calculator'!A:A,0),0),0)</f>
        <v>0</v>
      </c>
      <c r="K1812" s="455">
        <f t="shared" ca="1" si="136"/>
        <v>3023814.2799645532</v>
      </c>
      <c r="L1812" s="455">
        <f t="shared" ca="1" si="137"/>
        <v>728739241.47145736</v>
      </c>
      <c r="M1812" s="471">
        <f t="shared" si="139"/>
        <v>0.05</v>
      </c>
      <c r="N1812" s="475">
        <f t="shared" si="140"/>
        <v>106196</v>
      </c>
    </row>
    <row r="1813" spans="7:14" ht="11.25" customHeight="1" x14ac:dyDescent="0.3">
      <c r="G1813" s="470"/>
      <c r="H1813" s="470">
        <v>1806</v>
      </c>
      <c r="I1813" s="455">
        <f t="shared" ca="1" si="138"/>
        <v>728739241.47145736</v>
      </c>
      <c r="J1813" s="455">
        <f t="array" ref="J1813">IFERROR(INDEX('Retirement Calculator'!J:J,MATCH('Isaac 401k'!N1813,'Retirement Calculator'!A:A,0),0),0)</f>
        <v>0</v>
      </c>
      <c r="K1813" s="455">
        <f t="shared" ca="1" si="136"/>
        <v>3036413.5061310725</v>
      </c>
      <c r="L1813" s="455">
        <f t="shared" ca="1" si="137"/>
        <v>731775654.97758842</v>
      </c>
      <c r="M1813" s="471">
        <f t="shared" si="139"/>
        <v>0.05</v>
      </c>
      <c r="N1813" s="475">
        <f t="shared" si="140"/>
        <v>106227</v>
      </c>
    </row>
    <row r="1814" spans="7:14" ht="11.25" customHeight="1" x14ac:dyDescent="0.3">
      <c r="G1814" s="470"/>
      <c r="H1814" s="470">
        <v>1807</v>
      </c>
      <c r="I1814" s="455">
        <f t="shared" ca="1" si="138"/>
        <v>731775654.97758842</v>
      </c>
      <c r="J1814" s="455">
        <f t="array" ref="J1814">IFERROR(INDEX('Retirement Calculator'!J:J,MATCH('Isaac 401k'!N1814,'Retirement Calculator'!A:A,0),0),0)</f>
        <v>0</v>
      </c>
      <c r="K1814" s="455">
        <f t="shared" ca="1" si="136"/>
        <v>3049065.2290732851</v>
      </c>
      <c r="L1814" s="455">
        <f t="shared" ca="1" si="137"/>
        <v>734824720.2066617</v>
      </c>
      <c r="M1814" s="471">
        <f t="shared" si="139"/>
        <v>0.05</v>
      </c>
      <c r="N1814" s="475">
        <f t="shared" si="140"/>
        <v>106257</v>
      </c>
    </row>
    <row r="1815" spans="7:14" ht="11.25" customHeight="1" x14ac:dyDescent="0.3">
      <c r="G1815" s="470"/>
      <c r="H1815" s="470">
        <v>1808</v>
      </c>
      <c r="I1815" s="455">
        <f t="shared" ca="1" si="138"/>
        <v>734824720.2066617</v>
      </c>
      <c r="J1815" s="455">
        <f t="array" ref="J1815">IFERROR(INDEX('Retirement Calculator'!J:J,MATCH('Isaac 401k'!N1815,'Retirement Calculator'!A:A,0),0),0)</f>
        <v>0</v>
      </c>
      <c r="K1815" s="455">
        <f t="shared" ca="1" si="136"/>
        <v>3061769.6675277571</v>
      </c>
      <c r="L1815" s="455">
        <f t="shared" ca="1" si="137"/>
        <v>737886489.8741895</v>
      </c>
      <c r="M1815" s="471">
        <f t="shared" si="139"/>
        <v>0.05</v>
      </c>
      <c r="N1815" s="475">
        <f t="shared" si="140"/>
        <v>106288</v>
      </c>
    </row>
    <row r="1816" spans="7:14" ht="11.25" customHeight="1" x14ac:dyDescent="0.3">
      <c r="G1816" s="470"/>
      <c r="H1816" s="470">
        <v>1809</v>
      </c>
      <c r="I1816" s="455">
        <f t="shared" ca="1" si="138"/>
        <v>737886489.8741895</v>
      </c>
      <c r="J1816" s="455">
        <f t="array" ref="J1816">IFERROR(INDEX('Retirement Calculator'!J:J,MATCH('Isaac 401k'!N1816,'Retirement Calculator'!A:A,0),0),0)</f>
        <v>0</v>
      </c>
      <c r="K1816" s="455">
        <f t="shared" ca="1" si="136"/>
        <v>3074527.0411424562</v>
      </c>
      <c r="L1816" s="455">
        <f t="shared" ca="1" si="137"/>
        <v>740961016.91533196</v>
      </c>
      <c r="M1816" s="471">
        <f t="shared" si="139"/>
        <v>0.05</v>
      </c>
      <c r="N1816" s="475">
        <f t="shared" si="140"/>
        <v>106319</v>
      </c>
    </row>
    <row r="1817" spans="7:14" ht="11.25" customHeight="1" x14ac:dyDescent="0.3">
      <c r="G1817" s="470"/>
      <c r="H1817" s="470">
        <v>1810</v>
      </c>
      <c r="I1817" s="455">
        <f t="shared" ca="1" si="138"/>
        <v>740961016.91533196</v>
      </c>
      <c r="J1817" s="455">
        <f t="array" ref="J1817">IFERROR(INDEX('Retirement Calculator'!J:J,MATCH('Isaac 401k'!N1817,'Retirement Calculator'!A:A,0),0),0)</f>
        <v>0</v>
      </c>
      <c r="K1817" s="455">
        <f t="shared" ca="1" si="136"/>
        <v>3087337.5704805497</v>
      </c>
      <c r="L1817" s="455">
        <f t="shared" ca="1" si="137"/>
        <v>744048354.48581254</v>
      </c>
      <c r="M1817" s="471">
        <f t="shared" si="139"/>
        <v>0.05</v>
      </c>
      <c r="N1817" s="475">
        <f t="shared" si="140"/>
        <v>106347</v>
      </c>
    </row>
    <row r="1818" spans="7:14" ht="11.25" customHeight="1" x14ac:dyDescent="0.3">
      <c r="G1818" s="470"/>
      <c r="H1818" s="470">
        <v>1811</v>
      </c>
      <c r="I1818" s="455">
        <f t="shared" ca="1" si="138"/>
        <v>744048354.48581254</v>
      </c>
      <c r="J1818" s="455">
        <f t="array" ref="J1818">IFERROR(INDEX('Retirement Calculator'!J:J,MATCH('Isaac 401k'!N1818,'Retirement Calculator'!A:A,0),0),0)</f>
        <v>0</v>
      </c>
      <c r="K1818" s="455">
        <f t="shared" ca="1" si="136"/>
        <v>3100201.477024219</v>
      </c>
      <c r="L1818" s="455">
        <f t="shared" ca="1" si="137"/>
        <v>747148555.96283674</v>
      </c>
      <c r="M1818" s="471">
        <f t="shared" si="139"/>
        <v>0.05</v>
      </c>
      <c r="N1818" s="475">
        <f t="shared" si="140"/>
        <v>106378</v>
      </c>
    </row>
    <row r="1819" spans="7:14" ht="11.25" customHeight="1" x14ac:dyDescent="0.3">
      <c r="G1819" s="470"/>
      <c r="H1819" s="470">
        <v>1812</v>
      </c>
      <c r="I1819" s="455">
        <f t="shared" ca="1" si="138"/>
        <v>747148555.96283674</v>
      </c>
      <c r="J1819" s="455">
        <f t="array" ref="J1819">IFERROR(INDEX('Retirement Calculator'!J:J,MATCH('Isaac 401k'!N1819,'Retirement Calculator'!A:A,0),0),0)</f>
        <v>0</v>
      </c>
      <c r="K1819" s="455">
        <f t="shared" ca="1" si="136"/>
        <v>3113118.9831784866</v>
      </c>
      <c r="L1819" s="455">
        <f t="shared" ca="1" si="137"/>
        <v>750261674.94601524</v>
      </c>
      <c r="M1819" s="471">
        <f t="shared" si="139"/>
        <v>0.05</v>
      </c>
      <c r="N1819" s="475">
        <f t="shared" si="140"/>
        <v>106408</v>
      </c>
    </row>
    <row r="1820" spans="7:14" ht="11.25" customHeight="1" x14ac:dyDescent="0.3">
      <c r="G1820" s="470"/>
      <c r="H1820" s="470">
        <v>1813</v>
      </c>
      <c r="I1820" s="455">
        <f t="shared" ca="1" si="138"/>
        <v>750261674.94601524</v>
      </c>
      <c r="J1820" s="455">
        <f t="array" ref="J1820">IFERROR(INDEX('Retirement Calculator'!J:J,MATCH('Isaac 401k'!N1820,'Retirement Calculator'!A:A,0),0),0)</f>
        <v>0</v>
      </c>
      <c r="K1820" s="455">
        <f t="shared" ca="1" si="136"/>
        <v>3126090.3122750632</v>
      </c>
      <c r="L1820" s="455">
        <f t="shared" ca="1" si="137"/>
        <v>753387765.25829029</v>
      </c>
      <c r="M1820" s="471">
        <f t="shared" si="139"/>
        <v>0.05</v>
      </c>
      <c r="N1820" s="475">
        <f t="shared" si="140"/>
        <v>106439</v>
      </c>
    </row>
    <row r="1821" spans="7:14" ht="11.25" customHeight="1" x14ac:dyDescent="0.3">
      <c r="G1821" s="470"/>
      <c r="H1821" s="470">
        <v>1814</v>
      </c>
      <c r="I1821" s="455">
        <f t="shared" ca="1" si="138"/>
        <v>753387765.25829029</v>
      </c>
      <c r="J1821" s="455">
        <f t="array" ref="J1821">IFERROR(INDEX('Retirement Calculator'!J:J,MATCH('Isaac 401k'!N1821,'Retirement Calculator'!A:A,0),0),0)</f>
        <v>0</v>
      </c>
      <c r="K1821" s="455">
        <f t="shared" ca="1" si="136"/>
        <v>3139115.6885762094</v>
      </c>
      <c r="L1821" s="455">
        <f t="shared" ca="1" si="137"/>
        <v>756526880.94686651</v>
      </c>
      <c r="M1821" s="471">
        <f t="shared" si="139"/>
        <v>0.05</v>
      </c>
      <c r="N1821" s="475">
        <f t="shared" si="140"/>
        <v>106469</v>
      </c>
    </row>
    <row r="1822" spans="7:14" ht="11.25" customHeight="1" x14ac:dyDescent="0.3">
      <c r="G1822" s="470"/>
      <c r="H1822" s="470">
        <v>1815</v>
      </c>
      <c r="I1822" s="455">
        <f t="shared" ca="1" si="138"/>
        <v>756526880.94686651</v>
      </c>
      <c r="J1822" s="455">
        <f t="array" ref="J1822">IFERROR(INDEX('Retirement Calculator'!J:J,MATCH('Isaac 401k'!N1822,'Retirement Calculator'!A:A,0),0),0)</f>
        <v>0</v>
      </c>
      <c r="K1822" s="455">
        <f t="shared" ca="1" si="136"/>
        <v>3152195.3372786106</v>
      </c>
      <c r="L1822" s="455">
        <f t="shared" ca="1" si="137"/>
        <v>759679076.28414512</v>
      </c>
      <c r="M1822" s="471">
        <f t="shared" si="139"/>
        <v>0.05</v>
      </c>
      <c r="N1822" s="475">
        <f t="shared" si="140"/>
        <v>106500</v>
      </c>
    </row>
    <row r="1823" spans="7:14" ht="11.25" customHeight="1" x14ac:dyDescent="0.3">
      <c r="G1823" s="470"/>
      <c r="H1823" s="470">
        <v>1816</v>
      </c>
      <c r="I1823" s="455">
        <f t="shared" ca="1" si="138"/>
        <v>759679076.28414512</v>
      </c>
      <c r="J1823" s="455">
        <f t="array" ref="J1823">IFERROR(INDEX('Retirement Calculator'!J:J,MATCH('Isaac 401k'!N1823,'Retirement Calculator'!A:A,0),0),0)</f>
        <v>0</v>
      </c>
      <c r="K1823" s="455">
        <f t="shared" ca="1" si="136"/>
        <v>3165329.4845172712</v>
      </c>
      <c r="L1823" s="455">
        <f t="shared" ca="1" si="137"/>
        <v>762844405.76866233</v>
      </c>
      <c r="M1823" s="471">
        <f t="shared" si="139"/>
        <v>0.05</v>
      </c>
      <c r="N1823" s="475">
        <f t="shared" si="140"/>
        <v>106531</v>
      </c>
    </row>
    <row r="1824" spans="7:14" ht="11.25" customHeight="1" x14ac:dyDescent="0.3">
      <c r="G1824" s="470"/>
      <c r="H1824" s="470">
        <v>1817</v>
      </c>
      <c r="I1824" s="455">
        <f t="shared" ca="1" si="138"/>
        <v>762844405.76866233</v>
      </c>
      <c r="J1824" s="455">
        <f t="array" ref="J1824">IFERROR(INDEX('Retirement Calculator'!J:J,MATCH('Isaac 401k'!N1824,'Retirement Calculator'!A:A,0),0),0)</f>
        <v>0</v>
      </c>
      <c r="K1824" s="455">
        <f t="shared" ca="1" si="136"/>
        <v>3178518.3573694262</v>
      </c>
      <c r="L1824" s="455">
        <f t="shared" ca="1" si="137"/>
        <v>766022924.12603176</v>
      </c>
      <c r="M1824" s="471">
        <f t="shared" si="139"/>
        <v>0.05</v>
      </c>
      <c r="N1824" s="475">
        <f t="shared" si="140"/>
        <v>106561</v>
      </c>
    </row>
    <row r="1825" spans="7:14" ht="11.25" customHeight="1" x14ac:dyDescent="0.3">
      <c r="G1825" s="470"/>
      <c r="H1825" s="470">
        <v>1818</v>
      </c>
      <c r="I1825" s="455">
        <f t="shared" ca="1" si="138"/>
        <v>766022924.12603176</v>
      </c>
      <c r="J1825" s="455">
        <f t="array" ref="J1825">IFERROR(INDEX('Retirement Calculator'!J:J,MATCH('Isaac 401k'!N1825,'Retirement Calculator'!A:A,0),0),0)</f>
        <v>0</v>
      </c>
      <c r="K1825" s="455">
        <f t="shared" ca="1" si="136"/>
        <v>3191762.1838584654</v>
      </c>
      <c r="L1825" s="455">
        <f t="shared" ca="1" si="137"/>
        <v>769214686.30989027</v>
      </c>
      <c r="M1825" s="471">
        <f t="shared" si="139"/>
        <v>0.05</v>
      </c>
      <c r="N1825" s="475">
        <f t="shared" si="140"/>
        <v>106592</v>
      </c>
    </row>
    <row r="1826" spans="7:14" ht="11.25" customHeight="1" x14ac:dyDescent="0.3">
      <c r="G1826" s="470"/>
      <c r="H1826" s="470">
        <v>1819</v>
      </c>
      <c r="I1826" s="455">
        <f t="shared" ca="1" si="138"/>
        <v>769214686.30989027</v>
      </c>
      <c r="J1826" s="455">
        <f t="array" ref="J1826">IFERROR(INDEX('Retirement Calculator'!J:J,MATCH('Isaac 401k'!N1826,'Retirement Calculator'!A:A,0),0),0)</f>
        <v>0</v>
      </c>
      <c r="K1826" s="455">
        <f t="shared" ca="1" si="136"/>
        <v>3205061.1929578763</v>
      </c>
      <c r="L1826" s="455">
        <f t="shared" ca="1" si="137"/>
        <v>772419747.50284815</v>
      </c>
      <c r="M1826" s="471">
        <f t="shared" si="139"/>
        <v>0.05</v>
      </c>
      <c r="N1826" s="475">
        <f t="shared" si="140"/>
        <v>106622</v>
      </c>
    </row>
    <row r="1827" spans="7:14" ht="11.25" customHeight="1" x14ac:dyDescent="0.3">
      <c r="G1827" s="470"/>
      <c r="H1827" s="470">
        <v>1820</v>
      </c>
      <c r="I1827" s="455">
        <f t="shared" ca="1" si="138"/>
        <v>772419747.50284815</v>
      </c>
      <c r="J1827" s="455">
        <f t="array" ref="J1827">IFERROR(INDEX('Retirement Calculator'!J:J,MATCH('Isaac 401k'!N1827,'Retirement Calculator'!A:A,0),0),0)</f>
        <v>0</v>
      </c>
      <c r="K1827" s="455">
        <f t="shared" ca="1" si="136"/>
        <v>3218415.6145952004</v>
      </c>
      <c r="L1827" s="455">
        <f t="shared" ca="1" si="137"/>
        <v>775638163.11744332</v>
      </c>
      <c r="M1827" s="471">
        <f t="shared" si="139"/>
        <v>0.05</v>
      </c>
      <c r="N1827" s="475">
        <f t="shared" si="140"/>
        <v>106653</v>
      </c>
    </row>
    <row r="1828" spans="7:14" ht="11.25" customHeight="1" x14ac:dyDescent="0.3">
      <c r="G1828" s="470"/>
      <c r="H1828" s="470">
        <v>1821</v>
      </c>
      <c r="I1828" s="455">
        <f t="shared" ca="1" si="138"/>
        <v>775638163.11744332</v>
      </c>
      <c r="J1828" s="455">
        <f t="array" ref="J1828">IFERROR(INDEX('Retirement Calculator'!J:J,MATCH('Isaac 401k'!N1828,'Retirement Calculator'!A:A,0),0),0)</f>
        <v>0</v>
      </c>
      <c r="K1828" s="455">
        <f t="shared" ca="1" si="136"/>
        <v>3231825.6796560138</v>
      </c>
      <c r="L1828" s="455">
        <f t="shared" ca="1" si="137"/>
        <v>778869988.79709935</v>
      </c>
      <c r="M1828" s="471">
        <f t="shared" si="139"/>
        <v>0.05</v>
      </c>
      <c r="N1828" s="475">
        <f t="shared" si="140"/>
        <v>106684</v>
      </c>
    </row>
    <row r="1829" spans="7:14" ht="11.25" customHeight="1" x14ac:dyDescent="0.3">
      <c r="G1829" s="470"/>
      <c r="H1829" s="470">
        <v>1822</v>
      </c>
      <c r="I1829" s="455">
        <f t="shared" ca="1" si="138"/>
        <v>778869988.79709935</v>
      </c>
      <c r="J1829" s="455">
        <f t="array" ref="J1829">IFERROR(INDEX('Retirement Calculator'!J:J,MATCH('Isaac 401k'!N1829,'Retirement Calculator'!A:A,0),0),0)</f>
        <v>0</v>
      </c>
      <c r="K1829" s="455">
        <f t="shared" ca="1" si="136"/>
        <v>3245291.6199879139</v>
      </c>
      <c r="L1829" s="455">
        <f t="shared" ca="1" si="137"/>
        <v>782115280.41708732</v>
      </c>
      <c r="M1829" s="471">
        <f t="shared" si="139"/>
        <v>0.05</v>
      </c>
      <c r="N1829" s="475">
        <f t="shared" si="140"/>
        <v>106713</v>
      </c>
    </row>
    <row r="1830" spans="7:14" ht="11.25" customHeight="1" x14ac:dyDescent="0.3">
      <c r="G1830" s="470"/>
      <c r="H1830" s="470">
        <v>1823</v>
      </c>
      <c r="I1830" s="455">
        <f t="shared" ca="1" si="138"/>
        <v>782115280.41708732</v>
      </c>
      <c r="J1830" s="455">
        <f t="array" ref="J1830">IFERROR(INDEX('Retirement Calculator'!J:J,MATCH('Isaac 401k'!N1830,'Retirement Calculator'!A:A,0),0),0)</f>
        <v>0</v>
      </c>
      <c r="K1830" s="455">
        <f t="shared" ca="1" si="136"/>
        <v>3258813.6684045303</v>
      </c>
      <c r="L1830" s="455">
        <f t="shared" ca="1" si="137"/>
        <v>785374094.0854919</v>
      </c>
      <c r="M1830" s="471">
        <f t="shared" si="139"/>
        <v>0.05</v>
      </c>
      <c r="N1830" s="475">
        <f t="shared" si="140"/>
        <v>106744</v>
      </c>
    </row>
    <row r="1831" spans="7:14" ht="11.25" customHeight="1" x14ac:dyDescent="0.3">
      <c r="G1831" s="470"/>
      <c r="H1831" s="470">
        <v>1824</v>
      </c>
      <c r="I1831" s="455">
        <f t="shared" ca="1" si="138"/>
        <v>785374094.0854919</v>
      </c>
      <c r="J1831" s="455">
        <f t="array" ref="J1831">IFERROR(INDEX('Retirement Calculator'!J:J,MATCH('Isaac 401k'!N1831,'Retirement Calculator'!A:A,0),0),0)</f>
        <v>0</v>
      </c>
      <c r="K1831" s="455">
        <f t="shared" ca="1" si="136"/>
        <v>3272392.0586895496</v>
      </c>
      <c r="L1831" s="455">
        <f t="shared" ca="1" si="137"/>
        <v>788646486.14418149</v>
      </c>
      <c r="M1831" s="471">
        <f t="shared" si="139"/>
        <v>0.05</v>
      </c>
      <c r="N1831" s="475">
        <f t="shared" si="140"/>
        <v>106774</v>
      </c>
    </row>
    <row r="1832" spans="7:14" ht="11.25" customHeight="1" x14ac:dyDescent="0.3">
      <c r="G1832" s="470"/>
      <c r="H1832" s="470">
        <v>1825</v>
      </c>
      <c r="I1832" s="455">
        <f t="shared" ca="1" si="138"/>
        <v>788646486.14418149</v>
      </c>
      <c r="J1832" s="455">
        <f t="array" ref="J1832">IFERROR(INDEX('Retirement Calculator'!J:J,MATCH('Isaac 401k'!N1832,'Retirement Calculator'!A:A,0),0),0)</f>
        <v>0</v>
      </c>
      <c r="K1832" s="455">
        <f t="shared" ca="1" si="136"/>
        <v>3286027.0256007561</v>
      </c>
      <c r="L1832" s="455">
        <f t="shared" ca="1" si="137"/>
        <v>791932513.16978228</v>
      </c>
      <c r="M1832" s="471">
        <f t="shared" si="139"/>
        <v>0.05</v>
      </c>
      <c r="N1832" s="475">
        <f t="shared" si="140"/>
        <v>106805</v>
      </c>
    </row>
    <row r="1833" spans="7:14" ht="11.25" customHeight="1" x14ac:dyDescent="0.3">
      <c r="G1833" s="470"/>
      <c r="H1833" s="470">
        <v>1826</v>
      </c>
      <c r="I1833" s="455">
        <f t="shared" ca="1" si="138"/>
        <v>791932513.16978228</v>
      </c>
      <c r="J1833" s="455">
        <f t="array" ref="J1833">IFERROR(INDEX('Retirement Calculator'!J:J,MATCH('Isaac 401k'!N1833,'Retirement Calculator'!A:A,0),0),0)</f>
        <v>0</v>
      </c>
      <c r="K1833" s="455">
        <f t="shared" ca="1" si="136"/>
        <v>3299718.8048740928</v>
      </c>
      <c r="L1833" s="455">
        <f t="shared" ca="1" si="137"/>
        <v>795232231.97465634</v>
      </c>
      <c r="M1833" s="471">
        <f t="shared" si="139"/>
        <v>0.05</v>
      </c>
      <c r="N1833" s="475">
        <f t="shared" si="140"/>
        <v>106835</v>
      </c>
    </row>
    <row r="1834" spans="7:14" ht="11.25" customHeight="1" x14ac:dyDescent="0.3">
      <c r="G1834" s="470"/>
      <c r="H1834" s="470">
        <v>1827</v>
      </c>
      <c r="I1834" s="455">
        <f t="shared" ca="1" si="138"/>
        <v>795232231.97465634</v>
      </c>
      <c r="J1834" s="455">
        <f t="array" ref="J1834">IFERROR(INDEX('Retirement Calculator'!J:J,MATCH('Isaac 401k'!N1834,'Retirement Calculator'!A:A,0),0),0)</f>
        <v>0</v>
      </c>
      <c r="K1834" s="455">
        <f t="shared" ca="1" si="136"/>
        <v>3313467.6332277348</v>
      </c>
      <c r="L1834" s="455">
        <f t="shared" ca="1" si="137"/>
        <v>798545699.60788405</v>
      </c>
      <c r="M1834" s="471">
        <f t="shared" si="139"/>
        <v>0.05</v>
      </c>
      <c r="N1834" s="475">
        <f t="shared" si="140"/>
        <v>106866</v>
      </c>
    </row>
    <row r="1835" spans="7:14" ht="11.25" customHeight="1" x14ac:dyDescent="0.3">
      <c r="G1835" s="470"/>
      <c r="H1835" s="470">
        <v>1828</v>
      </c>
      <c r="I1835" s="455">
        <f t="shared" ca="1" si="138"/>
        <v>798545699.60788405</v>
      </c>
      <c r="J1835" s="455">
        <f t="array" ref="J1835">IFERROR(INDEX('Retirement Calculator'!J:J,MATCH('Isaac 401k'!N1835,'Retirement Calculator'!A:A,0),0),0)</f>
        <v>0</v>
      </c>
      <c r="K1835" s="455">
        <f t="shared" ca="1" si="136"/>
        <v>3327273.7483661836</v>
      </c>
      <c r="L1835" s="455">
        <f t="shared" ca="1" si="137"/>
        <v>801872973.35625029</v>
      </c>
      <c r="M1835" s="471">
        <f t="shared" si="139"/>
        <v>0.05</v>
      </c>
      <c r="N1835" s="475">
        <f t="shared" si="140"/>
        <v>106897</v>
      </c>
    </row>
    <row r="1836" spans="7:14" ht="11.25" customHeight="1" x14ac:dyDescent="0.3">
      <c r="G1836" s="470"/>
      <c r="H1836" s="470">
        <v>1829</v>
      </c>
      <c r="I1836" s="455">
        <f t="shared" ca="1" si="138"/>
        <v>801872973.35625029</v>
      </c>
      <c r="J1836" s="455">
        <f t="array" ref="J1836">IFERROR(INDEX('Retirement Calculator'!J:J,MATCH('Isaac 401k'!N1836,'Retirement Calculator'!A:A,0),0),0)</f>
        <v>0</v>
      </c>
      <c r="K1836" s="455">
        <f t="shared" ca="1" si="136"/>
        <v>3341137.3889843761</v>
      </c>
      <c r="L1836" s="455">
        <f t="shared" ca="1" si="137"/>
        <v>805214110.74523461</v>
      </c>
      <c r="M1836" s="471">
        <f t="shared" si="139"/>
        <v>0.05</v>
      </c>
      <c r="N1836" s="475">
        <f t="shared" si="140"/>
        <v>106927</v>
      </c>
    </row>
    <row r="1837" spans="7:14" ht="11.25" customHeight="1" x14ac:dyDescent="0.3">
      <c r="G1837" s="470"/>
      <c r="H1837" s="470">
        <v>1830</v>
      </c>
      <c r="I1837" s="455">
        <f t="shared" ca="1" si="138"/>
        <v>805214110.74523461</v>
      </c>
      <c r="J1837" s="455">
        <f t="array" ref="J1837">IFERROR(INDEX('Retirement Calculator'!J:J,MATCH('Isaac 401k'!N1837,'Retirement Calculator'!A:A,0),0),0)</f>
        <v>0</v>
      </c>
      <c r="K1837" s="455">
        <f t="shared" ca="1" si="136"/>
        <v>3355058.794771811</v>
      </c>
      <c r="L1837" s="455">
        <f t="shared" ca="1" si="137"/>
        <v>808569169.5400064</v>
      </c>
      <c r="M1837" s="471">
        <f t="shared" si="139"/>
        <v>0.05</v>
      </c>
      <c r="N1837" s="475">
        <f t="shared" si="140"/>
        <v>106958</v>
      </c>
    </row>
    <row r="1838" spans="7:14" ht="11.25" customHeight="1" x14ac:dyDescent="0.3">
      <c r="G1838" s="470"/>
      <c r="H1838" s="470">
        <v>1831</v>
      </c>
      <c r="I1838" s="455">
        <f t="shared" ca="1" si="138"/>
        <v>808569169.5400064</v>
      </c>
      <c r="J1838" s="455">
        <f t="array" ref="J1838">IFERROR(INDEX('Retirement Calculator'!J:J,MATCH('Isaac 401k'!N1838,'Retirement Calculator'!A:A,0),0),0)</f>
        <v>0</v>
      </c>
      <c r="K1838" s="455">
        <f t="shared" ca="1" si="136"/>
        <v>3369038.2064166931</v>
      </c>
      <c r="L1838" s="455">
        <f t="shared" ca="1" si="137"/>
        <v>811938207.74642313</v>
      </c>
      <c r="M1838" s="471">
        <f t="shared" si="139"/>
        <v>0.05</v>
      </c>
      <c r="N1838" s="475">
        <f t="shared" si="140"/>
        <v>106988</v>
      </c>
    </row>
    <row r="1839" spans="7:14" ht="11.25" customHeight="1" x14ac:dyDescent="0.3">
      <c r="G1839" s="470"/>
      <c r="H1839" s="470">
        <v>1832</v>
      </c>
      <c r="I1839" s="455">
        <f t="shared" ca="1" si="138"/>
        <v>811938207.74642313</v>
      </c>
      <c r="J1839" s="455">
        <f t="array" ref="J1839">IFERROR(INDEX('Retirement Calculator'!J:J,MATCH('Isaac 401k'!N1839,'Retirement Calculator'!A:A,0),0),0)</f>
        <v>0</v>
      </c>
      <c r="K1839" s="455">
        <f t="shared" ca="1" si="136"/>
        <v>3383075.8656100961</v>
      </c>
      <c r="L1839" s="455">
        <f t="shared" ca="1" si="137"/>
        <v>815321283.61203325</v>
      </c>
      <c r="M1839" s="471">
        <f t="shared" si="139"/>
        <v>0.05</v>
      </c>
      <c r="N1839" s="475">
        <f t="shared" si="140"/>
        <v>107019</v>
      </c>
    </row>
    <row r="1840" spans="7:14" ht="11.25" customHeight="1" x14ac:dyDescent="0.3">
      <c r="G1840" s="470"/>
      <c r="H1840" s="470">
        <v>1833</v>
      </c>
      <c r="I1840" s="455">
        <f t="shared" ca="1" si="138"/>
        <v>815321283.61203325</v>
      </c>
      <c r="J1840" s="455">
        <f t="array" ref="J1840">IFERROR(INDEX('Retirement Calculator'!J:J,MATCH('Isaac 401k'!N1840,'Retirement Calculator'!A:A,0),0),0)</f>
        <v>0</v>
      </c>
      <c r="K1840" s="455">
        <f t="shared" ca="1" si="136"/>
        <v>3397172.0150501383</v>
      </c>
      <c r="L1840" s="455">
        <f t="shared" ca="1" si="137"/>
        <v>818718455.62708342</v>
      </c>
      <c r="M1840" s="471">
        <f t="shared" si="139"/>
        <v>0.05</v>
      </c>
      <c r="N1840" s="475">
        <f t="shared" si="140"/>
        <v>107050</v>
      </c>
    </row>
    <row r="1841" spans="7:14" ht="11.25" customHeight="1" x14ac:dyDescent="0.3">
      <c r="G1841" s="470"/>
      <c r="H1841" s="470">
        <v>1834</v>
      </c>
      <c r="I1841" s="455">
        <f t="shared" ca="1" si="138"/>
        <v>818718455.62708342</v>
      </c>
      <c r="J1841" s="455">
        <f t="array" ref="J1841">IFERROR(INDEX('Retirement Calculator'!J:J,MATCH('Isaac 401k'!N1841,'Retirement Calculator'!A:A,0),0),0)</f>
        <v>0</v>
      </c>
      <c r="K1841" s="455">
        <f t="shared" ca="1" si="136"/>
        <v>3411326.8984461809</v>
      </c>
      <c r="L1841" s="455">
        <f t="shared" ca="1" si="137"/>
        <v>822129782.52552962</v>
      </c>
      <c r="M1841" s="471">
        <f t="shared" si="139"/>
        <v>0.05</v>
      </c>
      <c r="N1841" s="475">
        <f t="shared" si="140"/>
        <v>107078</v>
      </c>
    </row>
    <row r="1842" spans="7:14" ht="11.25" customHeight="1" x14ac:dyDescent="0.3">
      <c r="G1842" s="470"/>
      <c r="H1842" s="470">
        <v>1835</v>
      </c>
      <c r="I1842" s="455">
        <f t="shared" ca="1" si="138"/>
        <v>822129782.52552962</v>
      </c>
      <c r="J1842" s="455">
        <f t="array" ref="J1842">IFERROR(INDEX('Retirement Calculator'!J:J,MATCH('Isaac 401k'!N1842,'Retirement Calculator'!A:A,0),0),0)</f>
        <v>0</v>
      </c>
      <c r="K1842" s="455">
        <f t="shared" ca="1" si="136"/>
        <v>3425540.7605230398</v>
      </c>
      <c r="L1842" s="455">
        <f t="shared" ca="1" si="137"/>
        <v>825555323.2860527</v>
      </c>
      <c r="M1842" s="471">
        <f t="shared" si="139"/>
        <v>0.05</v>
      </c>
      <c r="N1842" s="475">
        <f t="shared" si="140"/>
        <v>107109</v>
      </c>
    </row>
    <row r="1843" spans="7:14" ht="11.25" customHeight="1" x14ac:dyDescent="0.3">
      <c r="G1843" s="470"/>
      <c r="H1843" s="470">
        <v>1836</v>
      </c>
      <c r="I1843" s="455">
        <f t="shared" ca="1" si="138"/>
        <v>825555323.2860527</v>
      </c>
      <c r="J1843" s="455">
        <f t="array" ref="J1843">IFERROR(INDEX('Retirement Calculator'!J:J,MATCH('Isaac 401k'!N1843,'Retirement Calculator'!A:A,0),0),0)</f>
        <v>0</v>
      </c>
      <c r="K1843" s="455">
        <f t="shared" ca="1" si="136"/>
        <v>3439813.8470252194</v>
      </c>
      <c r="L1843" s="455">
        <f t="shared" ca="1" si="137"/>
        <v>828995137.13307798</v>
      </c>
      <c r="M1843" s="471">
        <f t="shared" si="139"/>
        <v>0.05</v>
      </c>
      <c r="N1843" s="475">
        <f t="shared" si="140"/>
        <v>107139</v>
      </c>
    </row>
    <row r="1844" spans="7:14" ht="11.25" customHeight="1" x14ac:dyDescent="0.3">
      <c r="G1844" s="470"/>
      <c r="H1844" s="470">
        <v>1837</v>
      </c>
      <c r="I1844" s="455">
        <f t="shared" ca="1" si="138"/>
        <v>828995137.13307798</v>
      </c>
      <c r="J1844" s="455">
        <f t="array" ref="J1844">IFERROR(INDEX('Retirement Calculator'!J:J,MATCH('Isaac 401k'!N1844,'Retirement Calculator'!A:A,0),0),0)</f>
        <v>0</v>
      </c>
      <c r="K1844" s="455">
        <f t="shared" ca="1" si="136"/>
        <v>3454146.4047211581</v>
      </c>
      <c r="L1844" s="455">
        <f t="shared" ca="1" si="137"/>
        <v>832449283.53779912</v>
      </c>
      <c r="M1844" s="471">
        <f t="shared" si="139"/>
        <v>0.05</v>
      </c>
      <c r="N1844" s="475">
        <f t="shared" si="140"/>
        <v>107170</v>
      </c>
    </row>
    <row r="1845" spans="7:14" ht="11.25" customHeight="1" x14ac:dyDescent="0.3">
      <c r="G1845" s="470"/>
      <c r="H1845" s="470">
        <v>1838</v>
      </c>
      <c r="I1845" s="455">
        <f t="shared" ca="1" si="138"/>
        <v>832449283.53779912</v>
      </c>
      <c r="J1845" s="455">
        <f t="array" ref="J1845">IFERROR(INDEX('Retirement Calculator'!J:J,MATCH('Isaac 401k'!N1845,'Retirement Calculator'!A:A,0),0),0)</f>
        <v>0</v>
      </c>
      <c r="K1845" s="455">
        <f t="shared" ca="1" si="136"/>
        <v>3468538.6814074963</v>
      </c>
      <c r="L1845" s="455">
        <f t="shared" ca="1" si="137"/>
        <v>835917822.21920657</v>
      </c>
      <c r="M1845" s="471">
        <f t="shared" si="139"/>
        <v>0.05</v>
      </c>
      <c r="N1845" s="475">
        <f t="shared" si="140"/>
        <v>107200</v>
      </c>
    </row>
    <row r="1846" spans="7:14" ht="11.25" customHeight="1" x14ac:dyDescent="0.3">
      <c r="G1846" s="470"/>
      <c r="H1846" s="470">
        <v>1839</v>
      </c>
      <c r="I1846" s="455">
        <f t="shared" ca="1" si="138"/>
        <v>835917822.21920657</v>
      </c>
      <c r="J1846" s="455">
        <f t="array" ref="J1846">IFERROR(INDEX('Retirement Calculator'!J:J,MATCH('Isaac 401k'!N1846,'Retirement Calculator'!A:A,0),0),0)</f>
        <v>0</v>
      </c>
      <c r="K1846" s="455">
        <f t="shared" ca="1" si="136"/>
        <v>3482990.9259133604</v>
      </c>
      <c r="L1846" s="455">
        <f t="shared" ca="1" si="137"/>
        <v>839400813.14511991</v>
      </c>
      <c r="M1846" s="471">
        <f t="shared" si="139"/>
        <v>0.05</v>
      </c>
      <c r="N1846" s="475">
        <f t="shared" si="140"/>
        <v>107231</v>
      </c>
    </row>
    <row r="1847" spans="7:14" ht="11.25" customHeight="1" x14ac:dyDescent="0.3">
      <c r="G1847" s="470"/>
      <c r="H1847" s="470">
        <v>1840</v>
      </c>
      <c r="I1847" s="455">
        <f t="shared" ca="1" si="138"/>
        <v>839400813.14511991</v>
      </c>
      <c r="J1847" s="455">
        <f t="array" ref="J1847">IFERROR(INDEX('Retirement Calculator'!J:J,MATCH('Isaac 401k'!N1847,'Retirement Calculator'!A:A,0),0),0)</f>
        <v>0</v>
      </c>
      <c r="K1847" s="455">
        <f t="shared" ca="1" si="136"/>
        <v>3497503.388104666</v>
      </c>
      <c r="L1847" s="455">
        <f t="shared" ca="1" si="137"/>
        <v>842898316.53322458</v>
      </c>
      <c r="M1847" s="471">
        <f t="shared" si="139"/>
        <v>0.05</v>
      </c>
      <c r="N1847" s="475">
        <f t="shared" si="140"/>
        <v>107262</v>
      </c>
    </row>
    <row r="1848" spans="7:14" ht="11.25" customHeight="1" x14ac:dyDescent="0.3">
      <c r="G1848" s="470"/>
      <c r="H1848" s="470">
        <v>1841</v>
      </c>
      <c r="I1848" s="455">
        <f t="shared" ca="1" si="138"/>
        <v>842898316.53322458</v>
      </c>
      <c r="J1848" s="455">
        <f t="array" ref="J1848">IFERROR(INDEX('Retirement Calculator'!J:J,MATCH('Isaac 401k'!N1848,'Retirement Calculator'!A:A,0),0),0)</f>
        <v>0</v>
      </c>
      <c r="K1848" s="455">
        <f t="shared" ca="1" si="136"/>
        <v>3512076.3188884356</v>
      </c>
      <c r="L1848" s="455">
        <f t="shared" ca="1" si="137"/>
        <v>846410392.85211301</v>
      </c>
      <c r="M1848" s="471">
        <f t="shared" si="139"/>
        <v>0.05</v>
      </c>
      <c r="N1848" s="475">
        <f t="shared" si="140"/>
        <v>107292</v>
      </c>
    </row>
    <row r="1849" spans="7:14" ht="11.25" customHeight="1" x14ac:dyDescent="0.3">
      <c r="G1849" s="470"/>
      <c r="H1849" s="470">
        <v>1842</v>
      </c>
      <c r="I1849" s="455">
        <f t="shared" ca="1" si="138"/>
        <v>846410392.85211301</v>
      </c>
      <c r="J1849" s="455">
        <f t="array" ref="J1849">IFERROR(INDEX('Retirement Calculator'!J:J,MATCH('Isaac 401k'!N1849,'Retirement Calculator'!A:A,0),0),0)</f>
        <v>0</v>
      </c>
      <c r="K1849" s="455">
        <f t="shared" ca="1" si="136"/>
        <v>3526709.9702171376</v>
      </c>
      <c r="L1849" s="455">
        <f t="shared" ca="1" si="137"/>
        <v>849937102.82233012</v>
      </c>
      <c r="M1849" s="471">
        <f t="shared" si="139"/>
        <v>0.05</v>
      </c>
      <c r="N1849" s="475">
        <f t="shared" si="140"/>
        <v>107323</v>
      </c>
    </row>
    <row r="1850" spans="7:14" ht="11.25" customHeight="1" x14ac:dyDescent="0.3">
      <c r="G1850" s="470"/>
      <c r="H1850" s="470">
        <v>1843</v>
      </c>
      <c r="I1850" s="455">
        <f t="shared" ca="1" si="138"/>
        <v>849937102.82233012</v>
      </c>
      <c r="J1850" s="455">
        <f t="array" ref="J1850">IFERROR(INDEX('Retirement Calculator'!J:J,MATCH('Isaac 401k'!N1850,'Retirement Calculator'!A:A,0),0),0)</f>
        <v>0</v>
      </c>
      <c r="K1850" s="455">
        <f t="shared" ca="1" si="136"/>
        <v>3541404.5950930421</v>
      </c>
      <c r="L1850" s="455">
        <f t="shared" ca="1" si="137"/>
        <v>853478507.41742313</v>
      </c>
      <c r="M1850" s="471">
        <f t="shared" si="139"/>
        <v>0.05</v>
      </c>
      <c r="N1850" s="475">
        <f t="shared" si="140"/>
        <v>107353</v>
      </c>
    </row>
    <row r="1851" spans="7:14" ht="11.25" customHeight="1" x14ac:dyDescent="0.3">
      <c r="G1851" s="470"/>
      <c r="H1851" s="470">
        <v>1844</v>
      </c>
      <c r="I1851" s="455">
        <f t="shared" ca="1" si="138"/>
        <v>853478507.41742313</v>
      </c>
      <c r="J1851" s="455">
        <f t="array" ref="J1851">IFERROR(INDEX('Retirement Calculator'!J:J,MATCH('Isaac 401k'!N1851,'Retirement Calculator'!A:A,0),0),0)</f>
        <v>0</v>
      </c>
      <c r="K1851" s="455">
        <f t="shared" ca="1" si="136"/>
        <v>3556160.4475725964</v>
      </c>
      <c r="L1851" s="455">
        <f t="shared" ca="1" si="137"/>
        <v>857034667.86499572</v>
      </c>
      <c r="M1851" s="471">
        <f t="shared" si="139"/>
        <v>0.05</v>
      </c>
      <c r="N1851" s="475">
        <f t="shared" si="140"/>
        <v>107384</v>
      </c>
    </row>
    <row r="1852" spans="7:14" ht="11.25" customHeight="1" x14ac:dyDescent="0.3">
      <c r="G1852" s="470"/>
      <c r="H1852" s="470">
        <v>1845</v>
      </c>
      <c r="I1852" s="455">
        <f t="shared" ca="1" si="138"/>
        <v>857034667.86499572</v>
      </c>
      <c r="J1852" s="455">
        <f t="array" ref="J1852">IFERROR(INDEX('Retirement Calculator'!J:J,MATCH('Isaac 401k'!N1852,'Retirement Calculator'!A:A,0),0),0)</f>
        <v>0</v>
      </c>
      <c r="K1852" s="455">
        <f t="shared" ca="1" si="136"/>
        <v>3570977.7827708148</v>
      </c>
      <c r="L1852" s="455">
        <f t="shared" ca="1" si="137"/>
        <v>860605645.64776659</v>
      </c>
      <c r="M1852" s="471">
        <f t="shared" si="139"/>
        <v>0.05</v>
      </c>
      <c r="N1852" s="475">
        <f t="shared" si="140"/>
        <v>107415</v>
      </c>
    </row>
    <row r="1853" spans="7:14" ht="11.25" customHeight="1" x14ac:dyDescent="0.3">
      <c r="G1853" s="470"/>
      <c r="H1853" s="470">
        <v>1846</v>
      </c>
      <c r="I1853" s="455">
        <f t="shared" ca="1" si="138"/>
        <v>860605645.64776659</v>
      </c>
      <c r="J1853" s="455">
        <f t="array" ref="J1853">IFERROR(INDEX('Retirement Calculator'!J:J,MATCH('Isaac 401k'!N1853,'Retirement Calculator'!A:A,0),0),0)</f>
        <v>0</v>
      </c>
      <c r="K1853" s="455">
        <f t="shared" ca="1" si="136"/>
        <v>3585856.8568656943</v>
      </c>
      <c r="L1853" s="455">
        <f t="shared" ca="1" si="137"/>
        <v>864191502.50463223</v>
      </c>
      <c r="M1853" s="471">
        <f t="shared" si="139"/>
        <v>0.05</v>
      </c>
      <c r="N1853" s="475">
        <f t="shared" si="140"/>
        <v>107443</v>
      </c>
    </row>
    <row r="1854" spans="7:14" ht="11.25" customHeight="1" x14ac:dyDescent="0.3">
      <c r="G1854" s="470"/>
      <c r="H1854" s="470">
        <v>1847</v>
      </c>
      <c r="I1854" s="455">
        <f t="shared" ca="1" si="138"/>
        <v>864191502.50463223</v>
      </c>
      <c r="J1854" s="455">
        <f t="array" ref="J1854">IFERROR(INDEX('Retirement Calculator'!J:J,MATCH('Isaac 401k'!N1854,'Retirement Calculator'!A:A,0),0),0)</f>
        <v>0</v>
      </c>
      <c r="K1854" s="455">
        <f t="shared" ca="1" si="136"/>
        <v>3600797.9271026338</v>
      </c>
      <c r="L1854" s="455">
        <f t="shared" ca="1" si="137"/>
        <v>867792300.43173492</v>
      </c>
      <c r="M1854" s="471">
        <f t="shared" si="139"/>
        <v>0.05</v>
      </c>
      <c r="N1854" s="475">
        <f t="shared" si="140"/>
        <v>107474</v>
      </c>
    </row>
    <row r="1855" spans="7:14" ht="11.25" customHeight="1" x14ac:dyDescent="0.3">
      <c r="G1855" s="470"/>
      <c r="H1855" s="470">
        <v>1848</v>
      </c>
      <c r="I1855" s="455">
        <f t="shared" ca="1" si="138"/>
        <v>867792300.43173492</v>
      </c>
      <c r="J1855" s="455">
        <f t="array" ref="J1855">IFERROR(INDEX('Retirement Calculator'!J:J,MATCH('Isaac 401k'!N1855,'Retirement Calculator'!A:A,0),0),0)</f>
        <v>0</v>
      </c>
      <c r="K1855" s="455">
        <f t="shared" ca="1" si="136"/>
        <v>3615801.2517988957</v>
      </c>
      <c r="L1855" s="455">
        <f t="shared" ca="1" si="137"/>
        <v>871408101.68353379</v>
      </c>
      <c r="M1855" s="471">
        <f t="shared" si="139"/>
        <v>0.05</v>
      </c>
      <c r="N1855" s="475">
        <f t="shared" si="140"/>
        <v>107504</v>
      </c>
    </row>
    <row r="1856" spans="7:14" ht="11.25" customHeight="1" x14ac:dyDescent="0.3">
      <c r="G1856" s="470"/>
      <c r="H1856" s="470">
        <v>1849</v>
      </c>
      <c r="I1856" s="455">
        <f t="shared" ca="1" si="138"/>
        <v>871408101.68353379</v>
      </c>
      <c r="J1856" s="455">
        <f t="array" ref="J1856">IFERROR(INDEX('Retirement Calculator'!J:J,MATCH('Isaac 401k'!N1856,'Retirement Calculator'!A:A,0),0),0)</f>
        <v>0</v>
      </c>
      <c r="K1856" s="455">
        <f t="shared" ca="1" si="136"/>
        <v>3630867.0903480574</v>
      </c>
      <c r="L1856" s="455">
        <f t="shared" ca="1" si="137"/>
        <v>875038968.77388179</v>
      </c>
      <c r="M1856" s="471">
        <f t="shared" si="139"/>
        <v>0.05</v>
      </c>
      <c r="N1856" s="475">
        <f t="shared" si="140"/>
        <v>107535</v>
      </c>
    </row>
    <row r="1857" spans="7:14" ht="11.25" customHeight="1" x14ac:dyDescent="0.3">
      <c r="G1857" s="470"/>
      <c r="H1857" s="470">
        <v>1850</v>
      </c>
      <c r="I1857" s="455">
        <f t="shared" ca="1" si="138"/>
        <v>875038968.77388179</v>
      </c>
      <c r="J1857" s="455">
        <f t="array" ref="J1857">IFERROR(INDEX('Retirement Calculator'!J:J,MATCH('Isaac 401k'!N1857,'Retirement Calculator'!A:A,0),0),0)</f>
        <v>0</v>
      </c>
      <c r="K1857" s="455">
        <f t="shared" ca="1" si="136"/>
        <v>3645995.7032245076</v>
      </c>
      <c r="L1857" s="455">
        <f t="shared" ca="1" si="137"/>
        <v>878684964.47710633</v>
      </c>
      <c r="M1857" s="471">
        <f t="shared" si="139"/>
        <v>0.05</v>
      </c>
      <c r="N1857" s="475">
        <f t="shared" si="140"/>
        <v>107565</v>
      </c>
    </row>
    <row r="1858" spans="7:14" ht="11.25" customHeight="1" x14ac:dyDescent="0.3">
      <c r="G1858" s="470"/>
      <c r="H1858" s="470">
        <v>1851</v>
      </c>
      <c r="I1858" s="455">
        <f t="shared" ca="1" si="138"/>
        <v>878684964.47710633</v>
      </c>
      <c r="J1858" s="455">
        <f t="array" ref="J1858">IFERROR(INDEX('Retirement Calculator'!J:J,MATCH('Isaac 401k'!N1858,'Retirement Calculator'!A:A,0),0),0)</f>
        <v>0</v>
      </c>
      <c r="K1858" s="455">
        <f t="shared" ca="1" si="136"/>
        <v>3661187.3519879435</v>
      </c>
      <c r="L1858" s="455">
        <f t="shared" ca="1" si="137"/>
        <v>882346151.82909429</v>
      </c>
      <c r="M1858" s="471">
        <f t="shared" si="139"/>
        <v>0.05</v>
      </c>
      <c r="N1858" s="475">
        <f t="shared" si="140"/>
        <v>107596</v>
      </c>
    </row>
    <row r="1859" spans="7:14" ht="11.25" customHeight="1" x14ac:dyDescent="0.3">
      <c r="G1859" s="470"/>
      <c r="H1859" s="470">
        <v>1852</v>
      </c>
      <c r="I1859" s="455">
        <f t="shared" ca="1" si="138"/>
        <v>882346151.82909429</v>
      </c>
      <c r="J1859" s="455">
        <f t="array" ref="J1859">IFERROR(INDEX('Retirement Calculator'!J:J,MATCH('Isaac 401k'!N1859,'Retirement Calculator'!A:A,0),0),0)</f>
        <v>0</v>
      </c>
      <c r="K1859" s="455">
        <f t="shared" ca="1" si="136"/>
        <v>3676442.2992878929</v>
      </c>
      <c r="L1859" s="455">
        <f t="shared" ca="1" si="137"/>
        <v>886022594.12838221</v>
      </c>
      <c r="M1859" s="471">
        <f t="shared" si="139"/>
        <v>0.05</v>
      </c>
      <c r="N1859" s="475">
        <f t="shared" si="140"/>
        <v>107627</v>
      </c>
    </row>
    <row r="1860" spans="7:14" ht="11.25" customHeight="1" x14ac:dyDescent="0.3">
      <c r="G1860" s="470"/>
      <c r="H1860" s="470">
        <v>1853</v>
      </c>
      <c r="I1860" s="455">
        <f t="shared" ca="1" si="138"/>
        <v>886022594.12838221</v>
      </c>
      <c r="J1860" s="455">
        <f t="array" ref="J1860">IFERROR(INDEX('Retirement Calculator'!J:J,MATCH('Isaac 401k'!N1860,'Retirement Calculator'!A:A,0),0),0)</f>
        <v>0</v>
      </c>
      <c r="K1860" s="455">
        <f t="shared" ca="1" si="136"/>
        <v>3691760.8088682592</v>
      </c>
      <c r="L1860" s="455">
        <f t="shared" ca="1" si="137"/>
        <v>889714354.93725049</v>
      </c>
      <c r="M1860" s="471">
        <f t="shared" si="139"/>
        <v>0.05</v>
      </c>
      <c r="N1860" s="475">
        <f t="shared" si="140"/>
        <v>107657</v>
      </c>
    </row>
    <row r="1861" spans="7:14" ht="11.25" customHeight="1" x14ac:dyDescent="0.3">
      <c r="G1861" s="470"/>
      <c r="H1861" s="470">
        <v>1854</v>
      </c>
      <c r="I1861" s="455">
        <f t="shared" ca="1" si="138"/>
        <v>889714354.93725049</v>
      </c>
      <c r="J1861" s="455">
        <f t="array" ref="J1861">IFERROR(INDEX('Retirement Calculator'!J:J,MATCH('Isaac 401k'!N1861,'Retirement Calculator'!A:A,0),0),0)</f>
        <v>0</v>
      </c>
      <c r="K1861" s="455">
        <f t="shared" ca="1" si="136"/>
        <v>3707143.1455718777</v>
      </c>
      <c r="L1861" s="455">
        <f t="shared" ca="1" si="137"/>
        <v>893421498.08282232</v>
      </c>
      <c r="M1861" s="471">
        <f t="shared" si="139"/>
        <v>0.05</v>
      </c>
      <c r="N1861" s="475">
        <f t="shared" si="140"/>
        <v>107688</v>
      </c>
    </row>
    <row r="1862" spans="7:14" ht="11.25" customHeight="1" x14ac:dyDescent="0.3">
      <c r="G1862" s="470"/>
      <c r="H1862" s="470">
        <v>1855</v>
      </c>
      <c r="I1862" s="455">
        <f t="shared" ca="1" si="138"/>
        <v>893421498.08282232</v>
      </c>
      <c r="J1862" s="455">
        <f t="array" ref="J1862">IFERROR(INDEX('Retirement Calculator'!J:J,MATCH('Isaac 401k'!N1862,'Retirement Calculator'!A:A,0),0),0)</f>
        <v>0</v>
      </c>
      <c r="K1862" s="455">
        <f t="shared" ca="1" si="136"/>
        <v>3722589.5753450929</v>
      </c>
      <c r="L1862" s="455">
        <f t="shared" ca="1" si="137"/>
        <v>897144087.65816736</v>
      </c>
      <c r="M1862" s="471">
        <f t="shared" si="139"/>
        <v>0.05</v>
      </c>
      <c r="N1862" s="475">
        <f t="shared" si="140"/>
        <v>107718</v>
      </c>
    </row>
    <row r="1863" spans="7:14" ht="11.25" customHeight="1" x14ac:dyDescent="0.3">
      <c r="G1863" s="470"/>
      <c r="H1863" s="470">
        <v>1856</v>
      </c>
      <c r="I1863" s="455">
        <f t="shared" ca="1" si="138"/>
        <v>897144087.65816736</v>
      </c>
      <c r="J1863" s="455">
        <f t="array" ref="J1863">IFERROR(INDEX('Retirement Calculator'!J:J,MATCH('Isaac 401k'!N1863,'Retirement Calculator'!A:A,0),0),0)</f>
        <v>0</v>
      </c>
      <c r="K1863" s="455">
        <f t="shared" ca="1" si="136"/>
        <v>3738100.3652423639</v>
      </c>
      <c r="L1863" s="455">
        <f t="shared" ca="1" si="137"/>
        <v>900882188.02340972</v>
      </c>
      <c r="M1863" s="471">
        <f t="shared" si="139"/>
        <v>0.05</v>
      </c>
      <c r="N1863" s="475">
        <f t="shared" si="140"/>
        <v>107749</v>
      </c>
    </row>
    <row r="1864" spans="7:14" ht="11.25" customHeight="1" x14ac:dyDescent="0.3">
      <c r="G1864" s="470"/>
      <c r="H1864" s="470">
        <v>1857</v>
      </c>
      <c r="I1864" s="455">
        <f t="shared" ca="1" si="138"/>
        <v>900882188.02340972</v>
      </c>
      <c r="J1864" s="455">
        <f t="array" ref="J1864">IFERROR(INDEX('Retirement Calculator'!J:J,MATCH('Isaac 401k'!N1864,'Retirement Calculator'!A:A,0),0),0)</f>
        <v>0</v>
      </c>
      <c r="K1864" s="455">
        <f t="shared" ca="1" si="136"/>
        <v>3753675.7834308739</v>
      </c>
      <c r="L1864" s="455">
        <f t="shared" ca="1" si="137"/>
        <v>904635863.80684054</v>
      </c>
      <c r="M1864" s="471">
        <f t="shared" si="139"/>
        <v>0.05</v>
      </c>
      <c r="N1864" s="475">
        <f t="shared" si="140"/>
        <v>107780</v>
      </c>
    </row>
    <row r="1865" spans="7:14" ht="11.25" customHeight="1" x14ac:dyDescent="0.3">
      <c r="G1865" s="470"/>
      <c r="H1865" s="470">
        <v>1858</v>
      </c>
      <c r="I1865" s="455">
        <f t="shared" ca="1" si="138"/>
        <v>904635863.80684054</v>
      </c>
      <c r="J1865" s="455">
        <f t="array" ref="J1865">IFERROR(INDEX('Retirement Calculator'!J:J,MATCH('Isaac 401k'!N1865,'Retirement Calculator'!A:A,0),0),0)</f>
        <v>0</v>
      </c>
      <c r="K1865" s="455">
        <f t="shared" ca="1" si="136"/>
        <v>3769316.0991951688</v>
      </c>
      <c r="L1865" s="455">
        <f t="shared" ca="1" si="137"/>
        <v>908405179.90603566</v>
      </c>
      <c r="M1865" s="471">
        <f t="shared" si="139"/>
        <v>0.05</v>
      </c>
      <c r="N1865" s="475">
        <f t="shared" si="140"/>
        <v>107808</v>
      </c>
    </row>
    <row r="1866" spans="7:14" ht="11.25" customHeight="1" x14ac:dyDescent="0.3">
      <c r="G1866" s="470"/>
      <c r="H1866" s="470">
        <v>1859</v>
      </c>
      <c r="I1866" s="455">
        <f t="shared" ca="1" si="138"/>
        <v>908405179.90603566</v>
      </c>
      <c r="J1866" s="455">
        <f t="array" ref="J1866">IFERROR(INDEX('Retirement Calculator'!J:J,MATCH('Isaac 401k'!N1866,'Retirement Calculator'!A:A,0),0),0)</f>
        <v>0</v>
      </c>
      <c r="K1866" s="455">
        <f t="shared" ca="1" si="136"/>
        <v>3785021.5829418157</v>
      </c>
      <c r="L1866" s="455">
        <f t="shared" ca="1" si="137"/>
        <v>912190201.48897743</v>
      </c>
      <c r="M1866" s="471">
        <f t="shared" si="139"/>
        <v>0.05</v>
      </c>
      <c r="N1866" s="475">
        <f t="shared" si="140"/>
        <v>107839</v>
      </c>
    </row>
    <row r="1867" spans="7:14" ht="11.25" customHeight="1" x14ac:dyDescent="0.3">
      <c r="G1867" s="470"/>
      <c r="H1867" s="470">
        <v>1860</v>
      </c>
      <c r="I1867" s="455">
        <f t="shared" ca="1" si="138"/>
        <v>912190201.48897743</v>
      </c>
      <c r="J1867" s="455">
        <f t="array" ref="J1867">IFERROR(INDEX('Retirement Calculator'!J:J,MATCH('Isaac 401k'!N1867,'Retirement Calculator'!A:A,0),0),0)</f>
        <v>0</v>
      </c>
      <c r="K1867" s="455">
        <f t="shared" ca="1" si="136"/>
        <v>3800792.5062040724</v>
      </c>
      <c r="L1867" s="455">
        <f t="shared" ca="1" si="137"/>
        <v>915990993.99518156</v>
      </c>
      <c r="M1867" s="471">
        <f t="shared" si="139"/>
        <v>0.05</v>
      </c>
      <c r="N1867" s="475">
        <f t="shared" si="140"/>
        <v>107869</v>
      </c>
    </row>
    <row r="1868" spans="7:14" ht="11.25" customHeight="1" x14ac:dyDescent="0.3">
      <c r="G1868" s="470"/>
      <c r="H1868" s="470">
        <v>1861</v>
      </c>
      <c r="I1868" s="455">
        <f t="shared" ca="1" si="138"/>
        <v>915990993.99518156</v>
      </c>
      <c r="J1868" s="455">
        <f t="array" ref="J1868">IFERROR(INDEX('Retirement Calculator'!J:J,MATCH('Isaac 401k'!N1868,'Retirement Calculator'!A:A,0),0),0)</f>
        <v>0</v>
      </c>
      <c r="K1868" s="455">
        <f t="shared" ca="1" si="136"/>
        <v>3816629.1416465896</v>
      </c>
      <c r="L1868" s="455">
        <f t="shared" ca="1" si="137"/>
        <v>919807623.13682818</v>
      </c>
      <c r="M1868" s="471">
        <f t="shared" si="139"/>
        <v>0.05</v>
      </c>
      <c r="N1868" s="475">
        <f t="shared" si="140"/>
        <v>107900</v>
      </c>
    </row>
    <row r="1869" spans="7:14" ht="11.25" customHeight="1" x14ac:dyDescent="0.3">
      <c r="G1869" s="470"/>
      <c r="H1869" s="470">
        <v>1862</v>
      </c>
      <c r="I1869" s="455">
        <f t="shared" ca="1" si="138"/>
        <v>919807623.13682818</v>
      </c>
      <c r="J1869" s="455">
        <f t="array" ref="J1869">IFERROR(INDEX('Retirement Calculator'!J:J,MATCH('Isaac 401k'!N1869,'Retirement Calculator'!A:A,0),0),0)</f>
        <v>0</v>
      </c>
      <c r="K1869" s="455">
        <f t="shared" ca="1" si="136"/>
        <v>3832531.7630701168</v>
      </c>
      <c r="L1869" s="455">
        <f t="shared" ca="1" si="137"/>
        <v>923640154.89989829</v>
      </c>
      <c r="M1869" s="471">
        <f t="shared" si="139"/>
        <v>0.05</v>
      </c>
      <c r="N1869" s="475">
        <f t="shared" si="140"/>
        <v>107930</v>
      </c>
    </row>
    <row r="1870" spans="7:14" ht="11.25" customHeight="1" x14ac:dyDescent="0.3">
      <c r="G1870" s="470"/>
      <c r="H1870" s="470">
        <v>1863</v>
      </c>
      <c r="I1870" s="455">
        <f t="shared" ca="1" si="138"/>
        <v>923640154.89989829</v>
      </c>
      <c r="J1870" s="455">
        <f t="array" ref="J1870">IFERROR(INDEX('Retirement Calculator'!J:J,MATCH('Isaac 401k'!N1870,'Retirement Calculator'!A:A,0),0),0)</f>
        <v>0</v>
      </c>
      <c r="K1870" s="455">
        <f t="shared" ca="1" si="136"/>
        <v>3848500.645416243</v>
      </c>
      <c r="L1870" s="455">
        <f t="shared" ca="1" si="137"/>
        <v>927488655.54531455</v>
      </c>
      <c r="M1870" s="471">
        <f t="shared" si="139"/>
        <v>0.05</v>
      </c>
      <c r="N1870" s="475">
        <f t="shared" si="140"/>
        <v>107961</v>
      </c>
    </row>
    <row r="1871" spans="7:14" ht="11.25" customHeight="1" x14ac:dyDescent="0.3">
      <c r="G1871" s="470"/>
      <c r="H1871" s="470">
        <v>1864</v>
      </c>
      <c r="I1871" s="455">
        <f t="shared" ca="1" si="138"/>
        <v>927488655.54531455</v>
      </c>
      <c r="J1871" s="455">
        <f t="array" ref="J1871">IFERROR(INDEX('Retirement Calculator'!J:J,MATCH('Isaac 401k'!N1871,'Retirement Calculator'!A:A,0),0),0)</f>
        <v>0</v>
      </c>
      <c r="K1871" s="455">
        <f t="shared" ca="1" si="136"/>
        <v>3864536.0647721435</v>
      </c>
      <c r="L1871" s="455">
        <f t="shared" ca="1" si="137"/>
        <v>931353191.61008668</v>
      </c>
      <c r="M1871" s="471">
        <f t="shared" si="139"/>
        <v>0.05</v>
      </c>
      <c r="N1871" s="475">
        <f t="shared" si="140"/>
        <v>107992</v>
      </c>
    </row>
    <row r="1872" spans="7:14" ht="11.25" customHeight="1" x14ac:dyDescent="0.3">
      <c r="G1872" s="470"/>
      <c r="H1872" s="470">
        <v>1865</v>
      </c>
      <c r="I1872" s="455">
        <f t="shared" ca="1" si="138"/>
        <v>931353191.61008668</v>
      </c>
      <c r="J1872" s="455">
        <f t="array" ref="J1872">IFERROR(INDEX('Retirement Calculator'!J:J,MATCH('Isaac 401k'!N1872,'Retirement Calculator'!A:A,0),0),0)</f>
        <v>0</v>
      </c>
      <c r="K1872" s="455">
        <f t="shared" ca="1" si="136"/>
        <v>3880638.2983753611</v>
      </c>
      <c r="L1872" s="455">
        <f t="shared" ca="1" si="137"/>
        <v>935233829.90846205</v>
      </c>
      <c r="M1872" s="471">
        <f t="shared" si="139"/>
        <v>0.05</v>
      </c>
      <c r="N1872" s="475">
        <f t="shared" si="140"/>
        <v>108022</v>
      </c>
    </row>
    <row r="1873" spans="7:14" ht="11.25" customHeight="1" x14ac:dyDescent="0.3">
      <c r="G1873" s="470"/>
      <c r="H1873" s="470">
        <v>1866</v>
      </c>
      <c r="I1873" s="455">
        <f t="shared" ca="1" si="138"/>
        <v>935233829.90846205</v>
      </c>
      <c r="J1873" s="455">
        <f t="array" ref="J1873">IFERROR(INDEX('Retirement Calculator'!J:J,MATCH('Isaac 401k'!N1873,'Retirement Calculator'!A:A,0),0),0)</f>
        <v>0</v>
      </c>
      <c r="K1873" s="455">
        <f t="shared" ca="1" si="136"/>
        <v>3896807.6246185922</v>
      </c>
      <c r="L1873" s="455">
        <f t="shared" ca="1" si="137"/>
        <v>939130637.5330807</v>
      </c>
      <c r="M1873" s="471">
        <f t="shared" si="139"/>
        <v>0.05</v>
      </c>
      <c r="N1873" s="475">
        <f t="shared" si="140"/>
        <v>108053</v>
      </c>
    </row>
    <row r="1874" spans="7:14" ht="11.25" customHeight="1" x14ac:dyDescent="0.3">
      <c r="G1874" s="470"/>
      <c r="H1874" s="470">
        <v>1867</v>
      </c>
      <c r="I1874" s="455">
        <f t="shared" ca="1" si="138"/>
        <v>939130637.5330807</v>
      </c>
      <c r="J1874" s="455">
        <f t="array" ref="J1874">IFERROR(INDEX('Retirement Calculator'!J:J,MATCH('Isaac 401k'!N1874,'Retirement Calculator'!A:A,0),0),0)</f>
        <v>0</v>
      </c>
      <c r="K1874" s="455">
        <f t="shared" ca="1" si="136"/>
        <v>3913044.3230545027</v>
      </c>
      <c r="L1874" s="455">
        <f t="shared" ca="1" si="137"/>
        <v>943043681.85613525</v>
      </c>
      <c r="M1874" s="471">
        <f t="shared" si="139"/>
        <v>0.05</v>
      </c>
      <c r="N1874" s="475">
        <f t="shared" si="140"/>
        <v>108083</v>
      </c>
    </row>
    <row r="1875" spans="7:14" ht="11.25" customHeight="1" x14ac:dyDescent="0.3">
      <c r="G1875" s="470"/>
      <c r="H1875" s="470">
        <v>1868</v>
      </c>
      <c r="I1875" s="455">
        <f t="shared" ca="1" si="138"/>
        <v>943043681.85613525</v>
      </c>
      <c r="J1875" s="455">
        <f t="array" ref="J1875">IFERROR(INDEX('Retirement Calculator'!J:J,MATCH('Isaac 401k'!N1875,'Retirement Calculator'!A:A,0),0),0)</f>
        <v>0</v>
      </c>
      <c r="K1875" s="455">
        <f t="shared" ca="1" si="136"/>
        <v>3929348.6744005634</v>
      </c>
      <c r="L1875" s="455">
        <f t="shared" ca="1" si="137"/>
        <v>946973030.53053582</v>
      </c>
      <c r="M1875" s="471">
        <f t="shared" si="139"/>
        <v>0.05</v>
      </c>
      <c r="N1875" s="475">
        <f t="shared" si="140"/>
        <v>108114</v>
      </c>
    </row>
    <row r="1876" spans="7:14" ht="11.25" customHeight="1" x14ac:dyDescent="0.3">
      <c r="G1876" s="470"/>
      <c r="H1876" s="470">
        <v>1869</v>
      </c>
      <c r="I1876" s="455">
        <f t="shared" ca="1" si="138"/>
        <v>946973030.53053582</v>
      </c>
      <c r="J1876" s="455">
        <f t="array" ref="J1876">IFERROR(INDEX('Retirement Calculator'!J:J,MATCH('Isaac 401k'!N1876,'Retirement Calculator'!A:A,0),0),0)</f>
        <v>0</v>
      </c>
      <c r="K1876" s="455">
        <f t="shared" ca="1" si="136"/>
        <v>3945720.9605438993</v>
      </c>
      <c r="L1876" s="455">
        <f t="shared" ca="1" si="137"/>
        <v>950918751.49107969</v>
      </c>
      <c r="M1876" s="471">
        <f t="shared" si="139"/>
        <v>0.05</v>
      </c>
      <c r="N1876" s="475">
        <f t="shared" si="140"/>
        <v>108145</v>
      </c>
    </row>
    <row r="1877" spans="7:14" ht="11.25" customHeight="1" x14ac:dyDescent="0.3">
      <c r="G1877" s="470"/>
      <c r="H1877" s="470">
        <v>1870</v>
      </c>
      <c r="I1877" s="455">
        <f t="shared" ca="1" si="138"/>
        <v>950918751.49107969</v>
      </c>
      <c r="J1877" s="455">
        <f t="array" ref="J1877">IFERROR(INDEX('Retirement Calculator'!J:J,MATCH('Isaac 401k'!N1877,'Retirement Calculator'!A:A,0),0),0)</f>
        <v>0</v>
      </c>
      <c r="K1877" s="455">
        <f t="shared" ca="1" si="136"/>
        <v>3962161.4645461654</v>
      </c>
      <c r="L1877" s="455">
        <f t="shared" ca="1" si="137"/>
        <v>954880912.95562589</v>
      </c>
      <c r="M1877" s="471">
        <f t="shared" si="139"/>
        <v>0.05</v>
      </c>
      <c r="N1877" s="475">
        <f t="shared" si="140"/>
        <v>108174</v>
      </c>
    </row>
    <row r="1878" spans="7:14" ht="11.25" customHeight="1" x14ac:dyDescent="0.3">
      <c r="G1878" s="470"/>
      <c r="H1878" s="470">
        <v>1871</v>
      </c>
      <c r="I1878" s="455">
        <f t="shared" ca="1" si="138"/>
        <v>954880912.95562589</v>
      </c>
      <c r="J1878" s="455">
        <f t="array" ref="J1878">IFERROR(INDEX('Retirement Calculator'!J:J,MATCH('Isaac 401k'!N1878,'Retirement Calculator'!A:A,0),0),0)</f>
        <v>0</v>
      </c>
      <c r="K1878" s="455">
        <f t="shared" ca="1" si="136"/>
        <v>3978670.470648441</v>
      </c>
      <c r="L1878" s="455">
        <f t="shared" ca="1" si="137"/>
        <v>958859583.4262743</v>
      </c>
      <c r="M1878" s="471">
        <f t="shared" si="139"/>
        <v>0.05</v>
      </c>
      <c r="N1878" s="475">
        <f t="shared" si="140"/>
        <v>108205</v>
      </c>
    </row>
    <row r="1879" spans="7:14" ht="11.25" customHeight="1" x14ac:dyDescent="0.3">
      <c r="G1879" s="470"/>
      <c r="H1879" s="470">
        <v>1872</v>
      </c>
      <c r="I1879" s="455">
        <f t="shared" ca="1" si="138"/>
        <v>958859583.4262743</v>
      </c>
      <c r="J1879" s="455">
        <f t="array" ref="J1879">IFERROR(INDEX('Retirement Calculator'!J:J,MATCH('Isaac 401k'!N1879,'Retirement Calculator'!A:A,0),0),0)</f>
        <v>0</v>
      </c>
      <c r="K1879" s="455">
        <f t="shared" ca="1" si="136"/>
        <v>3995248.2642761432</v>
      </c>
      <c r="L1879" s="455">
        <f t="shared" ca="1" si="137"/>
        <v>962854831.69055045</v>
      </c>
      <c r="M1879" s="471">
        <f t="shared" si="139"/>
        <v>0.05</v>
      </c>
      <c r="N1879" s="475">
        <f t="shared" si="140"/>
        <v>108235</v>
      </c>
    </row>
    <row r="1880" spans="7:14" ht="11.25" customHeight="1" x14ac:dyDescent="0.3">
      <c r="G1880" s="470"/>
      <c r="H1880" s="470">
        <v>1873</v>
      </c>
      <c r="I1880" s="455">
        <f t="shared" ca="1" si="138"/>
        <v>962854831.69055045</v>
      </c>
      <c r="J1880" s="455">
        <f t="array" ref="J1880">IFERROR(INDEX('Retirement Calculator'!J:J,MATCH('Isaac 401k'!N1880,'Retirement Calculator'!A:A,0),0),0)</f>
        <v>0</v>
      </c>
      <c r="K1880" s="455">
        <f t="shared" ca="1" si="136"/>
        <v>4011895.13204396</v>
      </c>
      <c r="L1880" s="455">
        <f t="shared" ca="1" si="137"/>
        <v>966866726.8225944</v>
      </c>
      <c r="M1880" s="471">
        <f t="shared" si="139"/>
        <v>0.05</v>
      </c>
      <c r="N1880" s="475">
        <f t="shared" si="140"/>
        <v>108266</v>
      </c>
    </row>
    <row r="1881" spans="7:14" ht="11.25" customHeight="1" x14ac:dyDescent="0.3">
      <c r="G1881" s="470"/>
      <c r="H1881" s="470">
        <v>1874</v>
      </c>
      <c r="I1881" s="455">
        <f t="shared" ca="1" si="138"/>
        <v>966866726.8225944</v>
      </c>
      <c r="J1881" s="455">
        <f t="array" ref="J1881">IFERROR(INDEX('Retirement Calculator'!J:J,MATCH('Isaac 401k'!N1881,'Retirement Calculator'!A:A,0),0),0)</f>
        <v>0</v>
      </c>
      <c r="K1881" s="455">
        <f t="shared" ca="1" si="136"/>
        <v>4028611.36176081</v>
      </c>
      <c r="L1881" s="455">
        <f t="shared" ca="1" si="137"/>
        <v>970895338.18435526</v>
      </c>
      <c r="M1881" s="471">
        <f t="shared" si="139"/>
        <v>0.05</v>
      </c>
      <c r="N1881" s="475">
        <f t="shared" si="140"/>
        <v>108296</v>
      </c>
    </row>
    <row r="1882" spans="7:14" ht="11.25" customHeight="1" x14ac:dyDescent="0.3">
      <c r="G1882" s="470"/>
      <c r="H1882" s="470">
        <v>1875</v>
      </c>
      <c r="I1882" s="455">
        <f t="shared" ca="1" si="138"/>
        <v>970895338.18435526</v>
      </c>
      <c r="J1882" s="455">
        <f t="array" ref="J1882">IFERROR(INDEX('Retirement Calculator'!J:J,MATCH('Isaac 401k'!N1882,'Retirement Calculator'!A:A,0),0),0)</f>
        <v>0</v>
      </c>
      <c r="K1882" s="455">
        <f t="shared" ca="1" si="136"/>
        <v>4045397.2424348132</v>
      </c>
      <c r="L1882" s="455">
        <f t="shared" ca="1" si="137"/>
        <v>974940735.42679012</v>
      </c>
      <c r="M1882" s="471">
        <f t="shared" si="139"/>
        <v>0.05</v>
      </c>
      <c r="N1882" s="475">
        <f t="shared" si="140"/>
        <v>108327</v>
      </c>
    </row>
    <row r="1883" spans="7:14" ht="11.25" customHeight="1" x14ac:dyDescent="0.3">
      <c r="G1883" s="470"/>
      <c r="H1883" s="470">
        <v>1876</v>
      </c>
      <c r="I1883" s="455">
        <f t="shared" ca="1" si="138"/>
        <v>974940735.42679012</v>
      </c>
      <c r="J1883" s="455">
        <f t="array" ref="J1883">IFERROR(INDEX('Retirement Calculator'!J:J,MATCH('Isaac 401k'!N1883,'Retirement Calculator'!A:A,0),0),0)</f>
        <v>0</v>
      </c>
      <c r="K1883" s="455">
        <f t="shared" ca="1" si="136"/>
        <v>4062253.064278292</v>
      </c>
      <c r="L1883" s="455">
        <f t="shared" ca="1" si="137"/>
        <v>979002988.49106836</v>
      </c>
      <c r="M1883" s="471">
        <f t="shared" si="139"/>
        <v>0.05</v>
      </c>
      <c r="N1883" s="475">
        <f t="shared" si="140"/>
        <v>108358</v>
      </c>
    </row>
    <row r="1884" spans="7:14" ht="11.25" customHeight="1" x14ac:dyDescent="0.3">
      <c r="G1884" s="470"/>
      <c r="H1884" s="470">
        <v>1877</v>
      </c>
      <c r="I1884" s="455">
        <f t="shared" ca="1" si="138"/>
        <v>979002988.49106836</v>
      </c>
      <c r="J1884" s="455">
        <f t="array" ref="J1884">IFERROR(INDEX('Retirement Calculator'!J:J,MATCH('Isaac 401k'!N1884,'Retirement Calculator'!A:A,0),0),0)</f>
        <v>0</v>
      </c>
      <c r="K1884" s="455">
        <f t="shared" ca="1" si="136"/>
        <v>4079179.1187127843</v>
      </c>
      <c r="L1884" s="455">
        <f t="shared" ca="1" si="137"/>
        <v>983082167.60978115</v>
      </c>
      <c r="M1884" s="471">
        <f t="shared" si="139"/>
        <v>0.05</v>
      </c>
      <c r="N1884" s="475">
        <f t="shared" si="140"/>
        <v>108388</v>
      </c>
    </row>
    <row r="1885" spans="7:14" ht="11.25" customHeight="1" x14ac:dyDescent="0.3">
      <c r="G1885" s="470"/>
      <c r="H1885" s="470">
        <v>1878</v>
      </c>
      <c r="I1885" s="455">
        <f t="shared" ca="1" si="138"/>
        <v>983082167.60978115</v>
      </c>
      <c r="J1885" s="455">
        <f t="array" ref="J1885">IFERROR(INDEX('Retirement Calculator'!J:J,MATCH('Isaac 401k'!N1885,'Retirement Calculator'!A:A,0),0),0)</f>
        <v>0</v>
      </c>
      <c r="K1885" s="455">
        <f t="shared" ca="1" si="136"/>
        <v>4096175.6983740879</v>
      </c>
      <c r="L1885" s="455">
        <f t="shared" ca="1" si="137"/>
        <v>987178343.30815518</v>
      </c>
      <c r="M1885" s="471">
        <f t="shared" si="139"/>
        <v>0.05</v>
      </c>
      <c r="N1885" s="475">
        <f t="shared" si="140"/>
        <v>108419</v>
      </c>
    </row>
    <row r="1886" spans="7:14" ht="11.25" customHeight="1" x14ac:dyDescent="0.3">
      <c r="G1886" s="470"/>
      <c r="H1886" s="470">
        <v>1879</v>
      </c>
      <c r="I1886" s="455">
        <f t="shared" ca="1" si="138"/>
        <v>987178343.30815518</v>
      </c>
      <c r="J1886" s="455">
        <f t="array" ref="J1886">IFERROR(INDEX('Retirement Calculator'!J:J,MATCH('Isaac 401k'!N1886,'Retirement Calculator'!A:A,0),0),0)</f>
        <v>0</v>
      </c>
      <c r="K1886" s="455">
        <f t="shared" ca="1" si="136"/>
        <v>4113243.0971173132</v>
      </c>
      <c r="L1886" s="455">
        <f t="shared" ca="1" si="137"/>
        <v>991291586.40527248</v>
      </c>
      <c r="M1886" s="471">
        <f t="shared" si="139"/>
        <v>0.05</v>
      </c>
      <c r="N1886" s="475">
        <f t="shared" si="140"/>
        <v>108449</v>
      </c>
    </row>
    <row r="1887" spans="7:14" ht="11.25" customHeight="1" x14ac:dyDescent="0.3">
      <c r="G1887" s="470"/>
      <c r="H1887" s="470">
        <v>1880</v>
      </c>
      <c r="I1887" s="455">
        <f t="shared" ca="1" si="138"/>
        <v>991291586.40527248</v>
      </c>
      <c r="J1887" s="455">
        <f t="array" ref="J1887">IFERROR(INDEX('Retirement Calculator'!J:J,MATCH('Isaac 401k'!N1887,'Retirement Calculator'!A:A,0),0),0)</f>
        <v>0</v>
      </c>
      <c r="K1887" s="455">
        <f t="shared" ca="1" si="136"/>
        <v>4130381.6100219688</v>
      </c>
      <c r="L1887" s="455">
        <f t="shared" ca="1" si="137"/>
        <v>995421968.01529443</v>
      </c>
      <c r="M1887" s="471">
        <f t="shared" si="139"/>
        <v>0.05</v>
      </c>
      <c r="N1887" s="475">
        <f t="shared" si="140"/>
        <v>108480</v>
      </c>
    </row>
    <row r="1888" spans="7:14" ht="11.25" customHeight="1" x14ac:dyDescent="0.3">
      <c r="G1888" s="470"/>
      <c r="H1888" s="470">
        <v>1881</v>
      </c>
      <c r="I1888" s="455">
        <f t="shared" ca="1" si="138"/>
        <v>995421968.01529443</v>
      </c>
      <c r="J1888" s="455">
        <f t="array" ref="J1888">IFERROR(INDEX('Retirement Calculator'!J:J,MATCH('Isaac 401k'!N1888,'Retirement Calculator'!A:A,0),0),0)</f>
        <v>0</v>
      </c>
      <c r="K1888" s="455">
        <f t="shared" ca="1" si="136"/>
        <v>4147591.5333970599</v>
      </c>
      <c r="L1888" s="455">
        <f t="shared" ca="1" si="137"/>
        <v>999569559.54869151</v>
      </c>
      <c r="M1888" s="471">
        <f t="shared" si="139"/>
        <v>0.05</v>
      </c>
      <c r="N1888" s="475">
        <f t="shared" si="140"/>
        <v>108511</v>
      </c>
    </row>
    <row r="1889" spans="7:14" ht="11.25" customHeight="1" x14ac:dyDescent="0.3">
      <c r="G1889" s="470"/>
      <c r="H1889" s="470">
        <v>1882</v>
      </c>
      <c r="I1889" s="455">
        <f t="shared" ca="1" si="138"/>
        <v>999569559.54869151</v>
      </c>
      <c r="J1889" s="455">
        <f t="array" ref="J1889">IFERROR(INDEX('Retirement Calculator'!J:J,MATCH('Isaac 401k'!N1889,'Retirement Calculator'!A:A,0),0),0)</f>
        <v>0</v>
      </c>
      <c r="K1889" s="455">
        <f t="shared" ca="1" si="136"/>
        <v>4164873.1647862145</v>
      </c>
      <c r="L1889" s="455">
        <f t="shared" ca="1" si="137"/>
        <v>1003734432.7134777</v>
      </c>
      <c r="M1889" s="471">
        <f t="shared" si="139"/>
        <v>0.05</v>
      </c>
      <c r="N1889" s="475">
        <f t="shared" si="140"/>
        <v>108539</v>
      </c>
    </row>
    <row r="1890" spans="7:14" ht="11.25" customHeight="1" x14ac:dyDescent="0.3">
      <c r="G1890" s="470"/>
      <c r="H1890" s="470">
        <v>1883</v>
      </c>
      <c r="I1890" s="455">
        <f t="shared" ca="1" si="138"/>
        <v>1003734432.7134777</v>
      </c>
      <c r="J1890" s="455">
        <f t="array" ref="J1890">IFERROR(INDEX('Retirement Calculator'!J:J,MATCH('Isaac 401k'!N1890,'Retirement Calculator'!A:A,0),0),0)</f>
        <v>0</v>
      </c>
      <c r="K1890" s="455">
        <f t="shared" ca="1" si="136"/>
        <v>4182226.8029728238</v>
      </c>
      <c r="L1890" s="455">
        <f t="shared" ca="1" si="137"/>
        <v>1007916659.5164505</v>
      </c>
      <c r="M1890" s="471">
        <f t="shared" si="139"/>
        <v>0.05</v>
      </c>
      <c r="N1890" s="475">
        <f t="shared" si="140"/>
        <v>108570</v>
      </c>
    </row>
    <row r="1891" spans="7:14" ht="11.25" customHeight="1" x14ac:dyDescent="0.3">
      <c r="G1891" s="470"/>
      <c r="H1891" s="470">
        <v>1884</v>
      </c>
      <c r="I1891" s="455">
        <f t="shared" ca="1" si="138"/>
        <v>1007916659.5164505</v>
      </c>
      <c r="J1891" s="455">
        <f t="array" ref="J1891">IFERROR(INDEX('Retirement Calculator'!J:J,MATCH('Isaac 401k'!N1891,'Retirement Calculator'!A:A,0),0),0)</f>
        <v>0</v>
      </c>
      <c r="K1891" s="455">
        <f t="shared" ca="1" si="136"/>
        <v>4199652.7479852103</v>
      </c>
      <c r="L1891" s="455">
        <f t="shared" ca="1" si="137"/>
        <v>1012116312.2644358</v>
      </c>
      <c r="M1891" s="471">
        <f t="shared" si="139"/>
        <v>0.05</v>
      </c>
      <c r="N1891" s="475">
        <f t="shared" si="140"/>
        <v>108600</v>
      </c>
    </row>
    <row r="1892" spans="7:14" ht="11.25" customHeight="1" x14ac:dyDescent="0.3">
      <c r="G1892" s="470"/>
      <c r="H1892" s="470">
        <v>1885</v>
      </c>
      <c r="I1892" s="455">
        <f t="shared" ca="1" si="138"/>
        <v>1012116312.2644358</v>
      </c>
      <c r="J1892" s="455">
        <f t="array" ref="J1892">IFERROR(INDEX('Retirement Calculator'!J:J,MATCH('Isaac 401k'!N1892,'Retirement Calculator'!A:A,0),0),0)</f>
        <v>0</v>
      </c>
      <c r="K1892" s="455">
        <f t="shared" ca="1" si="136"/>
        <v>4217151.3011018159</v>
      </c>
      <c r="L1892" s="455">
        <f t="shared" ca="1" si="137"/>
        <v>1016333463.5655376</v>
      </c>
      <c r="M1892" s="471">
        <f t="shared" si="139"/>
        <v>0.05</v>
      </c>
      <c r="N1892" s="475">
        <f t="shared" si="140"/>
        <v>108631</v>
      </c>
    </row>
    <row r="1893" spans="7:14" ht="11.25" customHeight="1" x14ac:dyDescent="0.3">
      <c r="G1893" s="470"/>
      <c r="H1893" s="470">
        <v>1886</v>
      </c>
      <c r="I1893" s="455">
        <f t="shared" ca="1" si="138"/>
        <v>1016333463.5655376</v>
      </c>
      <c r="J1893" s="455">
        <f t="array" ref="J1893">IFERROR(INDEX('Retirement Calculator'!J:J,MATCH('Isaac 401k'!N1893,'Retirement Calculator'!A:A,0),0),0)</f>
        <v>0</v>
      </c>
      <c r="K1893" s="455">
        <f t="shared" ca="1" si="136"/>
        <v>4234722.7648564065</v>
      </c>
      <c r="L1893" s="455">
        <f t="shared" ca="1" si="137"/>
        <v>1020568186.330394</v>
      </c>
      <c r="M1893" s="471">
        <f t="shared" si="139"/>
        <v>0.05</v>
      </c>
      <c r="N1893" s="475">
        <f t="shared" si="140"/>
        <v>108661</v>
      </c>
    </row>
    <row r="1894" spans="7:14" ht="11.25" customHeight="1" x14ac:dyDescent="0.3">
      <c r="G1894" s="470"/>
      <c r="H1894" s="470">
        <v>1887</v>
      </c>
      <c r="I1894" s="455">
        <f t="shared" ca="1" si="138"/>
        <v>1020568186.330394</v>
      </c>
      <c r="J1894" s="455">
        <f t="array" ref="J1894">IFERROR(INDEX('Retirement Calculator'!J:J,MATCH('Isaac 401k'!N1894,'Retirement Calculator'!A:A,0),0),0)</f>
        <v>0</v>
      </c>
      <c r="K1894" s="455">
        <f t="shared" ca="1" si="136"/>
        <v>4252367.4430433083</v>
      </c>
      <c r="L1894" s="455">
        <f t="shared" ca="1" si="137"/>
        <v>1024820553.7734374</v>
      </c>
      <c r="M1894" s="471">
        <f t="shared" si="139"/>
        <v>0.05</v>
      </c>
      <c r="N1894" s="475">
        <f t="shared" si="140"/>
        <v>108692</v>
      </c>
    </row>
    <row r="1895" spans="7:14" ht="11.25" customHeight="1" x14ac:dyDescent="0.3">
      <c r="G1895" s="470"/>
      <c r="H1895" s="470">
        <v>1888</v>
      </c>
      <c r="I1895" s="455">
        <f t="shared" ca="1" si="138"/>
        <v>1024820553.7734374</v>
      </c>
      <c r="J1895" s="455">
        <f t="array" ref="J1895">IFERROR(INDEX('Retirement Calculator'!J:J,MATCH('Isaac 401k'!N1895,'Retirement Calculator'!A:A,0),0),0)</f>
        <v>0</v>
      </c>
      <c r="K1895" s="455">
        <f t="shared" ca="1" si="136"/>
        <v>4270085.6407226566</v>
      </c>
      <c r="L1895" s="455">
        <f t="shared" ca="1" si="137"/>
        <v>1029090639.41416</v>
      </c>
      <c r="M1895" s="471">
        <f t="shared" si="139"/>
        <v>0.05</v>
      </c>
      <c r="N1895" s="475">
        <f t="shared" si="140"/>
        <v>108723</v>
      </c>
    </row>
    <row r="1896" spans="7:14" ht="11.25" customHeight="1" x14ac:dyDescent="0.3">
      <c r="G1896" s="470"/>
      <c r="H1896" s="470">
        <v>1889</v>
      </c>
      <c r="I1896" s="455">
        <f t="shared" ca="1" si="138"/>
        <v>1029090639.41416</v>
      </c>
      <c r="J1896" s="455">
        <f t="array" ref="J1896">IFERROR(INDEX('Retirement Calculator'!J:J,MATCH('Isaac 401k'!N1896,'Retirement Calculator'!A:A,0),0),0)</f>
        <v>0</v>
      </c>
      <c r="K1896" s="455">
        <f t="shared" ca="1" si="136"/>
        <v>4287877.6642256668</v>
      </c>
      <c r="L1896" s="455">
        <f t="shared" ca="1" si="137"/>
        <v>1033378517.0783857</v>
      </c>
      <c r="M1896" s="471">
        <f t="shared" si="139"/>
        <v>0.05</v>
      </c>
      <c r="N1896" s="475">
        <f t="shared" si="140"/>
        <v>108753</v>
      </c>
    </row>
    <row r="1897" spans="7:14" ht="11.25" customHeight="1" x14ac:dyDescent="0.3">
      <c r="G1897" s="470"/>
      <c r="H1897" s="470">
        <v>1890</v>
      </c>
      <c r="I1897" s="455">
        <f t="shared" ca="1" si="138"/>
        <v>1033378517.0783857</v>
      </c>
      <c r="J1897" s="455">
        <f t="array" ref="J1897">IFERROR(INDEX('Retirement Calculator'!J:J,MATCH('Isaac 401k'!N1897,'Retirement Calculator'!A:A,0),0),0)</f>
        <v>0</v>
      </c>
      <c r="K1897" s="455">
        <f t="shared" ca="1" si="136"/>
        <v>4305743.8211599402</v>
      </c>
      <c r="L1897" s="455">
        <f t="shared" ca="1" si="137"/>
        <v>1037684260.8995457</v>
      </c>
      <c r="M1897" s="471">
        <f t="shared" si="139"/>
        <v>0.05</v>
      </c>
      <c r="N1897" s="475">
        <f t="shared" si="140"/>
        <v>108784</v>
      </c>
    </row>
    <row r="1898" spans="7:14" ht="11.25" customHeight="1" x14ac:dyDescent="0.3">
      <c r="G1898" s="470"/>
      <c r="H1898" s="470">
        <v>1891</v>
      </c>
      <c r="I1898" s="455">
        <f t="shared" ca="1" si="138"/>
        <v>1037684260.8995457</v>
      </c>
      <c r="J1898" s="455">
        <f t="array" ref="J1898">IFERROR(INDEX('Retirement Calculator'!J:J,MATCH('Isaac 401k'!N1898,'Retirement Calculator'!A:A,0),0),0)</f>
        <v>0</v>
      </c>
      <c r="K1898" s="455">
        <f t="shared" ca="1" si="136"/>
        <v>4323684.4204147737</v>
      </c>
      <c r="L1898" s="455">
        <f t="shared" ca="1" si="137"/>
        <v>1042007945.3199605</v>
      </c>
      <c r="M1898" s="471">
        <f t="shared" si="139"/>
        <v>0.05</v>
      </c>
      <c r="N1898" s="475">
        <f t="shared" si="140"/>
        <v>108814</v>
      </c>
    </row>
    <row r="1899" spans="7:14" ht="11.25" customHeight="1" x14ac:dyDescent="0.3">
      <c r="G1899" s="470"/>
      <c r="H1899" s="470">
        <v>1892</v>
      </c>
      <c r="I1899" s="455">
        <f t="shared" ca="1" si="138"/>
        <v>1042007945.3199605</v>
      </c>
      <c r="J1899" s="455">
        <f t="array" ref="J1899">IFERROR(INDEX('Retirement Calculator'!J:J,MATCH('Isaac 401k'!N1899,'Retirement Calculator'!A:A,0),0),0)</f>
        <v>0</v>
      </c>
      <c r="K1899" s="455">
        <f t="shared" ca="1" si="136"/>
        <v>4341699.7721665017</v>
      </c>
      <c r="L1899" s="455">
        <f t="shared" ca="1" si="137"/>
        <v>1046349645.092127</v>
      </c>
      <c r="M1899" s="471">
        <f t="shared" si="139"/>
        <v>0.05</v>
      </c>
      <c r="N1899" s="475">
        <f t="shared" si="140"/>
        <v>108845</v>
      </c>
    </row>
    <row r="1900" spans="7:14" ht="11.25" customHeight="1" x14ac:dyDescent="0.3">
      <c r="G1900" s="470"/>
      <c r="H1900" s="470">
        <v>1893</v>
      </c>
      <c r="I1900" s="455">
        <f t="shared" ca="1" si="138"/>
        <v>1046349645.092127</v>
      </c>
      <c r="J1900" s="455">
        <f t="array" ref="J1900">IFERROR(INDEX('Retirement Calculator'!J:J,MATCH('Isaac 401k'!N1900,'Retirement Calculator'!A:A,0),0),0)</f>
        <v>0</v>
      </c>
      <c r="K1900" s="455">
        <f t="shared" ca="1" si="136"/>
        <v>4359790.1878838632</v>
      </c>
      <c r="L1900" s="455">
        <f t="shared" ca="1" si="137"/>
        <v>1050709435.2800108</v>
      </c>
      <c r="M1900" s="471">
        <f t="shared" si="139"/>
        <v>0.05</v>
      </c>
      <c r="N1900" s="475">
        <f t="shared" si="140"/>
        <v>108876</v>
      </c>
    </row>
    <row r="1901" spans="7:14" ht="11.25" customHeight="1" x14ac:dyDescent="0.3">
      <c r="G1901" s="470"/>
      <c r="H1901" s="470">
        <v>1894</v>
      </c>
      <c r="I1901" s="455">
        <f t="shared" ca="1" si="138"/>
        <v>1050709435.2800108</v>
      </c>
      <c r="J1901" s="455">
        <f t="array" ref="J1901">IFERROR(INDEX('Retirement Calculator'!J:J,MATCH('Isaac 401k'!N1901,'Retirement Calculator'!A:A,0),0),0)</f>
        <v>0</v>
      </c>
      <c r="K1901" s="455">
        <f t="shared" ca="1" si="136"/>
        <v>4377955.9803333785</v>
      </c>
      <c r="L1901" s="455">
        <f t="shared" ca="1" si="137"/>
        <v>1055087391.2603441</v>
      </c>
      <c r="M1901" s="471">
        <f t="shared" si="139"/>
        <v>0.05</v>
      </c>
      <c r="N1901" s="475">
        <f t="shared" si="140"/>
        <v>108904</v>
      </c>
    </row>
    <row r="1902" spans="7:14" ht="11.25" customHeight="1" x14ac:dyDescent="0.3">
      <c r="G1902" s="470"/>
      <c r="H1902" s="470">
        <v>1895</v>
      </c>
      <c r="I1902" s="455">
        <f t="shared" ca="1" si="138"/>
        <v>1055087391.2603441</v>
      </c>
      <c r="J1902" s="455">
        <f t="array" ref="J1902">IFERROR(INDEX('Retirement Calculator'!J:J,MATCH('Isaac 401k'!N1902,'Retirement Calculator'!A:A,0),0),0)</f>
        <v>0</v>
      </c>
      <c r="K1902" s="455">
        <f t="shared" ca="1" si="136"/>
        <v>4396197.4635847677</v>
      </c>
      <c r="L1902" s="455">
        <f t="shared" ca="1" si="137"/>
        <v>1059483588.7239289</v>
      </c>
      <c r="M1902" s="471">
        <f t="shared" si="139"/>
        <v>0.05</v>
      </c>
      <c r="N1902" s="475">
        <f t="shared" si="140"/>
        <v>108935</v>
      </c>
    </row>
    <row r="1903" spans="7:14" ht="11.25" customHeight="1" x14ac:dyDescent="0.3">
      <c r="G1903" s="470"/>
      <c r="H1903" s="470">
        <v>1896</v>
      </c>
      <c r="I1903" s="455">
        <f t="shared" ca="1" si="138"/>
        <v>1059483588.7239289</v>
      </c>
      <c r="J1903" s="455">
        <f t="array" ref="J1903">IFERROR(INDEX('Retirement Calculator'!J:J,MATCH('Isaac 401k'!N1903,'Retirement Calculator'!A:A,0),0),0)</f>
        <v>0</v>
      </c>
      <c r="K1903" s="455">
        <f t="shared" ca="1" si="136"/>
        <v>4414514.9530163705</v>
      </c>
      <c r="L1903" s="455">
        <f t="shared" ca="1" si="137"/>
        <v>1063898103.6769453</v>
      </c>
      <c r="M1903" s="471">
        <f t="shared" si="139"/>
        <v>0.05</v>
      </c>
      <c r="N1903" s="475">
        <f t="shared" si="140"/>
        <v>108965</v>
      </c>
    </row>
    <row r="1904" spans="7:14" ht="11.25" customHeight="1" x14ac:dyDescent="0.3">
      <c r="G1904" s="470"/>
      <c r="H1904" s="470">
        <v>1897</v>
      </c>
      <c r="I1904" s="455">
        <f t="shared" ca="1" si="138"/>
        <v>1063898103.6769453</v>
      </c>
      <c r="J1904" s="455">
        <f t="array" ref="J1904">IFERROR(INDEX('Retirement Calculator'!J:J,MATCH('Isaac 401k'!N1904,'Retirement Calculator'!A:A,0),0),0)</f>
        <v>0</v>
      </c>
      <c r="K1904" s="455">
        <f t="shared" ca="1" si="136"/>
        <v>4432908.7653206056</v>
      </c>
      <c r="L1904" s="455">
        <f t="shared" ca="1" si="137"/>
        <v>1068331012.442266</v>
      </c>
      <c r="M1904" s="471">
        <f t="shared" si="139"/>
        <v>0.05</v>
      </c>
      <c r="N1904" s="475">
        <f t="shared" si="140"/>
        <v>108996</v>
      </c>
    </row>
    <row r="1905" spans="7:14" ht="11.25" customHeight="1" x14ac:dyDescent="0.3">
      <c r="G1905" s="470"/>
      <c r="H1905" s="470">
        <v>1898</v>
      </c>
      <c r="I1905" s="455">
        <f t="shared" ca="1" si="138"/>
        <v>1068331012.442266</v>
      </c>
      <c r="J1905" s="455">
        <f t="array" ref="J1905">IFERROR(INDEX('Retirement Calculator'!J:J,MATCH('Isaac 401k'!N1905,'Retirement Calculator'!A:A,0),0),0)</f>
        <v>0</v>
      </c>
      <c r="K1905" s="455">
        <f t="shared" ca="1" si="136"/>
        <v>4451379.2185094422</v>
      </c>
      <c r="L1905" s="455">
        <f t="shared" ca="1" si="137"/>
        <v>1072782391.6607754</v>
      </c>
      <c r="M1905" s="471">
        <f t="shared" si="139"/>
        <v>0.05</v>
      </c>
      <c r="N1905" s="475">
        <f t="shared" si="140"/>
        <v>109026</v>
      </c>
    </row>
    <row r="1906" spans="7:14" ht="11.25" customHeight="1" x14ac:dyDescent="0.3">
      <c r="G1906" s="470"/>
      <c r="H1906" s="470">
        <v>1899</v>
      </c>
      <c r="I1906" s="455">
        <f t="shared" ca="1" si="138"/>
        <v>1072782391.6607754</v>
      </c>
      <c r="J1906" s="455">
        <f t="array" ref="J1906">IFERROR(INDEX('Retirement Calculator'!J:J,MATCH('Isaac 401k'!N1906,'Retirement Calculator'!A:A,0),0),0)</f>
        <v>0</v>
      </c>
      <c r="K1906" s="455">
        <f t="shared" ca="1" si="136"/>
        <v>4469926.6319198972</v>
      </c>
      <c r="L1906" s="455">
        <f t="shared" ca="1" si="137"/>
        <v>1077252318.2926953</v>
      </c>
      <c r="M1906" s="471">
        <f t="shared" si="139"/>
        <v>0.05</v>
      </c>
      <c r="N1906" s="475">
        <f t="shared" si="140"/>
        <v>109057</v>
      </c>
    </row>
    <row r="1907" spans="7:14" ht="11.25" customHeight="1" x14ac:dyDescent="0.3">
      <c r="G1907" s="470"/>
      <c r="H1907" s="470">
        <v>1900</v>
      </c>
      <c r="I1907" s="455">
        <f t="shared" ca="1" si="138"/>
        <v>1077252318.2926953</v>
      </c>
      <c r="J1907" s="455">
        <f t="array" ref="J1907">IFERROR(INDEX('Retirement Calculator'!J:J,MATCH('Isaac 401k'!N1907,'Retirement Calculator'!A:A,0),0),0)</f>
        <v>0</v>
      </c>
      <c r="K1907" s="455">
        <f t="shared" ca="1" si="136"/>
        <v>4488551.3262195634</v>
      </c>
      <c r="L1907" s="455">
        <f t="shared" ca="1" si="137"/>
        <v>1081740869.6189148</v>
      </c>
      <c r="M1907" s="471">
        <f t="shared" si="139"/>
        <v>0.05</v>
      </c>
      <c r="N1907" s="475">
        <f t="shared" si="140"/>
        <v>109088</v>
      </c>
    </row>
    <row r="1908" spans="7:14" ht="11.25" customHeight="1" x14ac:dyDescent="0.3">
      <c r="G1908" s="470"/>
      <c r="H1908" s="470">
        <v>1901</v>
      </c>
      <c r="I1908" s="455">
        <f t="shared" ca="1" si="138"/>
        <v>1081740869.6189148</v>
      </c>
      <c r="J1908" s="455">
        <f t="array" ref="J1908">IFERROR(INDEX('Retirement Calculator'!J:J,MATCH('Isaac 401k'!N1908,'Retirement Calculator'!A:A,0),0),0)</f>
        <v>0</v>
      </c>
      <c r="K1908" s="455">
        <f t="shared" ca="1" si="136"/>
        <v>4507253.6234121453</v>
      </c>
      <c r="L1908" s="455">
        <f t="shared" ca="1" si="137"/>
        <v>1086248123.242327</v>
      </c>
      <c r="M1908" s="471">
        <f t="shared" si="139"/>
        <v>0.05</v>
      </c>
      <c r="N1908" s="475">
        <f t="shared" si="140"/>
        <v>109118</v>
      </c>
    </row>
    <row r="1909" spans="7:14" ht="11.25" customHeight="1" x14ac:dyDescent="0.3">
      <c r="G1909" s="470"/>
      <c r="H1909" s="470">
        <v>1902</v>
      </c>
      <c r="I1909" s="455">
        <f t="shared" ca="1" si="138"/>
        <v>1086248123.242327</v>
      </c>
      <c r="J1909" s="455">
        <f t="array" ref="J1909">IFERROR(INDEX('Retirement Calculator'!J:J,MATCH('Isaac 401k'!N1909,'Retirement Calculator'!A:A,0),0),0)</f>
        <v>0</v>
      </c>
      <c r="K1909" s="455">
        <f t="shared" ca="1" si="136"/>
        <v>4526033.8468430294</v>
      </c>
      <c r="L1909" s="455">
        <f t="shared" ca="1" si="137"/>
        <v>1090774157.08917</v>
      </c>
      <c r="M1909" s="471">
        <f t="shared" si="139"/>
        <v>0.05</v>
      </c>
      <c r="N1909" s="475">
        <f t="shared" si="140"/>
        <v>109149</v>
      </c>
    </row>
    <row r="1910" spans="7:14" ht="11.25" customHeight="1" x14ac:dyDescent="0.3">
      <c r="G1910" s="470"/>
      <c r="H1910" s="470">
        <v>1903</v>
      </c>
      <c r="I1910" s="455">
        <f t="shared" ca="1" si="138"/>
        <v>1090774157.08917</v>
      </c>
      <c r="J1910" s="455">
        <f t="array" ref="J1910">IFERROR(INDEX('Retirement Calculator'!J:J,MATCH('Isaac 401k'!N1910,'Retirement Calculator'!A:A,0),0),0)</f>
        <v>0</v>
      </c>
      <c r="K1910" s="455">
        <f t="shared" ca="1" si="136"/>
        <v>4544892.3212048747</v>
      </c>
      <c r="L1910" s="455">
        <f t="shared" ca="1" si="137"/>
        <v>1095319049.4103749</v>
      </c>
      <c r="M1910" s="471">
        <f t="shared" si="139"/>
        <v>0.05</v>
      </c>
      <c r="N1910" s="475">
        <f t="shared" si="140"/>
        <v>109179</v>
      </c>
    </row>
    <row r="1911" spans="7:14" ht="11.25" customHeight="1" x14ac:dyDescent="0.3">
      <c r="G1911" s="470"/>
      <c r="H1911" s="470">
        <v>1904</v>
      </c>
      <c r="I1911" s="455">
        <f t="shared" ca="1" si="138"/>
        <v>1095319049.4103749</v>
      </c>
      <c r="J1911" s="455">
        <f t="array" ref="J1911">IFERROR(INDEX('Retirement Calculator'!J:J,MATCH('Isaac 401k'!N1911,'Retirement Calculator'!A:A,0),0),0)</f>
        <v>0</v>
      </c>
      <c r="K1911" s="455">
        <f t="shared" ca="1" si="136"/>
        <v>4563829.3725432288</v>
      </c>
      <c r="L1911" s="455">
        <f t="shared" ca="1" si="137"/>
        <v>1099882878.7829182</v>
      </c>
      <c r="M1911" s="471">
        <f t="shared" si="139"/>
        <v>0.05</v>
      </c>
      <c r="N1911" s="475">
        <f t="shared" si="140"/>
        <v>109210</v>
      </c>
    </row>
    <row r="1912" spans="7:14" ht="11.25" customHeight="1" x14ac:dyDescent="0.3">
      <c r="G1912" s="470"/>
      <c r="H1912" s="470">
        <v>1905</v>
      </c>
      <c r="I1912" s="455">
        <f t="shared" ca="1" si="138"/>
        <v>1099882878.7829182</v>
      </c>
      <c r="J1912" s="455">
        <f t="array" ref="J1912">IFERROR(INDEX('Retirement Calculator'!J:J,MATCH('Isaac 401k'!N1912,'Retirement Calculator'!A:A,0),0),0)</f>
        <v>0</v>
      </c>
      <c r="K1912" s="455">
        <f t="shared" ca="1" si="136"/>
        <v>4582845.3282621596</v>
      </c>
      <c r="L1912" s="455">
        <f t="shared" ca="1" si="137"/>
        <v>1104465724.1111803</v>
      </c>
      <c r="M1912" s="471">
        <f t="shared" si="139"/>
        <v>0.05</v>
      </c>
      <c r="N1912" s="475">
        <f t="shared" si="140"/>
        <v>109241</v>
      </c>
    </row>
    <row r="1913" spans="7:14" ht="11.25" customHeight="1" x14ac:dyDescent="0.3">
      <c r="G1913" s="470"/>
      <c r="H1913" s="470">
        <v>1906</v>
      </c>
      <c r="I1913" s="455">
        <f t="shared" ca="1" si="138"/>
        <v>1104465724.1111803</v>
      </c>
      <c r="J1913" s="455">
        <f t="array" ref="J1913">IFERROR(INDEX('Retirement Calculator'!J:J,MATCH('Isaac 401k'!N1913,'Retirement Calculator'!A:A,0),0),0)</f>
        <v>0</v>
      </c>
      <c r="K1913" s="455">
        <f t="shared" ca="1" si="136"/>
        <v>4601940.5171299176</v>
      </c>
      <c r="L1913" s="455">
        <f t="shared" ca="1" si="137"/>
        <v>1109067664.6283102</v>
      </c>
      <c r="M1913" s="471">
        <f t="shared" si="139"/>
        <v>0.05</v>
      </c>
      <c r="N1913" s="475">
        <f t="shared" si="140"/>
        <v>109269</v>
      </c>
    </row>
    <row r="1914" spans="7:14" ht="11.25" customHeight="1" x14ac:dyDescent="0.3">
      <c r="G1914" s="470"/>
      <c r="H1914" s="470">
        <v>1907</v>
      </c>
      <c r="I1914" s="455">
        <f t="shared" ca="1" si="138"/>
        <v>1109067664.6283102</v>
      </c>
      <c r="J1914" s="455">
        <f t="array" ref="J1914">IFERROR(INDEX('Retirement Calculator'!J:J,MATCH('Isaac 401k'!N1914,'Retirement Calculator'!A:A,0),0),0)</f>
        <v>0</v>
      </c>
      <c r="K1914" s="455">
        <f t="shared" ca="1" si="136"/>
        <v>4621115.2692846255</v>
      </c>
      <c r="L1914" s="455">
        <f t="shared" ca="1" si="137"/>
        <v>1113688779.8975949</v>
      </c>
      <c r="M1914" s="471">
        <f t="shared" si="139"/>
        <v>0.05</v>
      </c>
      <c r="N1914" s="475">
        <f t="shared" si="140"/>
        <v>109300</v>
      </c>
    </row>
    <row r="1915" spans="7:14" ht="11.25" customHeight="1" x14ac:dyDescent="0.3">
      <c r="G1915" s="470"/>
      <c r="H1915" s="470">
        <v>1908</v>
      </c>
      <c r="I1915" s="455">
        <f t="shared" ca="1" si="138"/>
        <v>1113688779.8975949</v>
      </c>
      <c r="J1915" s="455">
        <f t="array" ref="J1915">IFERROR(INDEX('Retirement Calculator'!J:J,MATCH('Isaac 401k'!N1915,'Retirement Calculator'!A:A,0),0),0)</f>
        <v>0</v>
      </c>
      <c r="K1915" s="455">
        <f t="shared" ca="1" si="136"/>
        <v>4640369.9162399787</v>
      </c>
      <c r="L1915" s="455">
        <f t="shared" ca="1" si="137"/>
        <v>1118329149.8138349</v>
      </c>
      <c r="M1915" s="471">
        <f t="shared" si="139"/>
        <v>0.05</v>
      </c>
      <c r="N1915" s="475">
        <f t="shared" si="140"/>
        <v>109330</v>
      </c>
    </row>
    <row r="1916" spans="7:14" ht="11.25" customHeight="1" x14ac:dyDescent="0.3">
      <c r="G1916" s="470"/>
      <c r="H1916" s="470">
        <v>1909</v>
      </c>
      <c r="I1916" s="455">
        <f t="shared" ca="1" si="138"/>
        <v>1118329149.8138349</v>
      </c>
      <c r="J1916" s="455">
        <f t="array" ref="J1916">IFERROR(INDEX('Retirement Calculator'!J:J,MATCH('Isaac 401k'!N1916,'Retirement Calculator'!A:A,0),0),0)</f>
        <v>0</v>
      </c>
      <c r="K1916" s="455">
        <f t="shared" ca="1" si="136"/>
        <v>4659704.7908909786</v>
      </c>
      <c r="L1916" s="455">
        <f t="shared" ca="1" si="137"/>
        <v>1122988854.6047258</v>
      </c>
      <c r="M1916" s="471">
        <f t="shared" si="139"/>
        <v>0.05</v>
      </c>
      <c r="N1916" s="475">
        <f t="shared" si="140"/>
        <v>109361</v>
      </c>
    </row>
    <row r="1917" spans="7:14" ht="11.25" customHeight="1" x14ac:dyDescent="0.3">
      <c r="G1917" s="470"/>
      <c r="H1917" s="470">
        <v>1910</v>
      </c>
      <c r="I1917" s="455">
        <f t="shared" ca="1" si="138"/>
        <v>1122988854.6047258</v>
      </c>
      <c r="J1917" s="455">
        <f t="array" ref="J1917">IFERROR(INDEX('Retirement Calculator'!J:J,MATCH('Isaac 401k'!N1917,'Retirement Calculator'!A:A,0),0),0)</f>
        <v>0</v>
      </c>
      <c r="K1917" s="455">
        <f t="shared" ca="1" si="136"/>
        <v>4679120.227519691</v>
      </c>
      <c r="L1917" s="455">
        <f t="shared" ca="1" si="137"/>
        <v>1127667974.8322456</v>
      </c>
      <c r="M1917" s="471">
        <f t="shared" si="139"/>
        <v>0.05</v>
      </c>
      <c r="N1917" s="475">
        <f t="shared" si="140"/>
        <v>109391</v>
      </c>
    </row>
    <row r="1918" spans="7:14" ht="11.25" customHeight="1" x14ac:dyDescent="0.3">
      <c r="G1918" s="470"/>
      <c r="H1918" s="470">
        <v>1911</v>
      </c>
      <c r="I1918" s="455">
        <f t="shared" ca="1" si="138"/>
        <v>1127667974.8322456</v>
      </c>
      <c r="J1918" s="455">
        <f t="array" ref="J1918">IFERROR(INDEX('Retirement Calculator'!J:J,MATCH('Isaac 401k'!N1918,'Retirement Calculator'!A:A,0),0),0)</f>
        <v>0</v>
      </c>
      <c r="K1918" s="455">
        <f t="shared" ca="1" si="136"/>
        <v>4698616.5618010228</v>
      </c>
      <c r="L1918" s="455">
        <f t="shared" ca="1" si="137"/>
        <v>1132366591.3940465</v>
      </c>
      <c r="M1918" s="471">
        <f t="shared" si="139"/>
        <v>0.05</v>
      </c>
      <c r="N1918" s="475">
        <f t="shared" si="140"/>
        <v>109422</v>
      </c>
    </row>
    <row r="1919" spans="7:14" ht="11.25" customHeight="1" x14ac:dyDescent="0.3">
      <c r="G1919" s="470"/>
      <c r="H1919" s="470">
        <v>1912</v>
      </c>
      <c r="I1919" s="455">
        <f t="shared" ca="1" si="138"/>
        <v>1132366591.3940465</v>
      </c>
      <c r="J1919" s="455">
        <f t="array" ref="J1919">IFERROR(INDEX('Retirement Calculator'!J:J,MATCH('Isaac 401k'!N1919,'Retirement Calculator'!A:A,0),0),0)</f>
        <v>0</v>
      </c>
      <c r="K1919" s="455">
        <f t="shared" ca="1" si="136"/>
        <v>4718194.1308085276</v>
      </c>
      <c r="L1919" s="455">
        <f t="shared" ca="1" si="137"/>
        <v>1137084785.5248551</v>
      </c>
      <c r="M1919" s="471">
        <f t="shared" si="139"/>
        <v>0.05</v>
      </c>
      <c r="N1919" s="475">
        <f t="shared" si="140"/>
        <v>109453</v>
      </c>
    </row>
    <row r="1920" spans="7:14" ht="11.25" customHeight="1" x14ac:dyDescent="0.3">
      <c r="G1920" s="470"/>
      <c r="H1920" s="470">
        <v>1913</v>
      </c>
      <c r="I1920" s="455">
        <f t="shared" ca="1" si="138"/>
        <v>1137084785.5248551</v>
      </c>
      <c r="J1920" s="455">
        <f t="array" ref="J1920">IFERROR(INDEX('Retirement Calculator'!J:J,MATCH('Isaac 401k'!N1920,'Retirement Calculator'!A:A,0),0),0)</f>
        <v>0</v>
      </c>
      <c r="K1920" s="455">
        <f t="shared" ca="1" si="136"/>
        <v>4737853.2730202293</v>
      </c>
      <c r="L1920" s="455">
        <f t="shared" ca="1" si="137"/>
        <v>1141822638.7978754</v>
      </c>
      <c r="M1920" s="471">
        <f t="shared" si="139"/>
        <v>0.05</v>
      </c>
      <c r="N1920" s="475">
        <f t="shared" si="140"/>
        <v>109483</v>
      </c>
    </row>
    <row r="1921" spans="7:14" ht="11.25" customHeight="1" x14ac:dyDescent="0.3">
      <c r="G1921" s="470"/>
      <c r="H1921" s="470">
        <v>1914</v>
      </c>
      <c r="I1921" s="455">
        <f t="shared" ca="1" si="138"/>
        <v>1141822638.7978754</v>
      </c>
      <c r="J1921" s="455">
        <f t="array" ref="J1921">IFERROR(INDEX('Retirement Calculator'!J:J,MATCH('Isaac 401k'!N1921,'Retirement Calculator'!A:A,0),0),0)</f>
        <v>0</v>
      </c>
      <c r="K1921" s="455">
        <f t="shared" ca="1" si="136"/>
        <v>4757594.3283244809</v>
      </c>
      <c r="L1921" s="455">
        <f t="shared" ca="1" si="137"/>
        <v>1146580233.1262</v>
      </c>
      <c r="M1921" s="471">
        <f t="shared" si="139"/>
        <v>0.05</v>
      </c>
      <c r="N1921" s="475">
        <f t="shared" si="140"/>
        <v>109514</v>
      </c>
    </row>
    <row r="1922" spans="7:14" ht="11.25" customHeight="1" x14ac:dyDescent="0.3">
      <c r="G1922" s="470"/>
      <c r="H1922" s="470">
        <v>1915</v>
      </c>
      <c r="I1922" s="455">
        <f t="shared" ca="1" si="138"/>
        <v>1146580233.1262</v>
      </c>
      <c r="J1922" s="455">
        <f t="array" ref="J1922">IFERROR(INDEX('Retirement Calculator'!J:J,MATCH('Isaac 401k'!N1922,'Retirement Calculator'!A:A,0),0),0)</f>
        <v>0</v>
      </c>
      <c r="K1922" s="455">
        <f t="shared" ca="1" si="136"/>
        <v>4777417.6380258333</v>
      </c>
      <c r="L1922" s="455">
        <f t="shared" ca="1" si="137"/>
        <v>1151357650.7642257</v>
      </c>
      <c r="M1922" s="471">
        <f t="shared" si="139"/>
        <v>0.05</v>
      </c>
      <c r="N1922" s="475">
        <f t="shared" si="140"/>
        <v>109544</v>
      </c>
    </row>
    <row r="1923" spans="7:14" ht="11.25" customHeight="1" x14ac:dyDescent="0.3">
      <c r="G1923" s="470"/>
      <c r="H1923" s="470">
        <v>1916</v>
      </c>
      <c r="I1923" s="455">
        <f t="shared" ca="1" si="138"/>
        <v>1151357650.7642257</v>
      </c>
      <c r="J1923" s="455">
        <f t="array" ref="J1923">IFERROR(INDEX('Retirement Calculator'!J:J,MATCH('Isaac 401k'!N1923,'Retirement Calculator'!A:A,0),0),0)</f>
        <v>0</v>
      </c>
      <c r="K1923" s="455">
        <f t="shared" ca="1" si="136"/>
        <v>4797323.5448509408</v>
      </c>
      <c r="L1923" s="455">
        <f t="shared" ca="1" si="137"/>
        <v>1156154974.3090765</v>
      </c>
      <c r="M1923" s="471">
        <f t="shared" si="139"/>
        <v>0.05</v>
      </c>
      <c r="N1923" s="475">
        <f t="shared" si="140"/>
        <v>109575</v>
      </c>
    </row>
    <row r="1924" spans="7:14" ht="11.25" customHeight="1" x14ac:dyDescent="0.3">
      <c r="G1924" s="470"/>
      <c r="H1924" s="470">
        <v>1917</v>
      </c>
      <c r="I1924" s="455">
        <f t="shared" ca="1" si="138"/>
        <v>1156154974.3090765</v>
      </c>
      <c r="J1924" s="455">
        <f t="array" ref="J1924">IFERROR(INDEX('Retirement Calculator'!J:J,MATCH('Isaac 401k'!N1924,'Retirement Calculator'!A:A,0),0),0)</f>
        <v>0</v>
      </c>
      <c r="K1924" s="455">
        <f t="shared" ca="1" si="136"/>
        <v>4817312.3929544855</v>
      </c>
      <c r="L1924" s="455">
        <f t="shared" ca="1" si="137"/>
        <v>1160972286.7020311</v>
      </c>
      <c r="M1924" s="471">
        <f t="shared" si="139"/>
        <v>0.05</v>
      </c>
      <c r="N1924" s="475">
        <f t="shared" si="140"/>
        <v>109606</v>
      </c>
    </row>
    <row r="1925" spans="7:14" ht="11.25" customHeight="1" x14ac:dyDescent="0.3">
      <c r="G1925" s="470"/>
      <c r="H1925" s="470">
        <v>1918</v>
      </c>
      <c r="I1925" s="455">
        <f t="shared" ca="1" si="138"/>
        <v>1160972286.7020311</v>
      </c>
      <c r="J1925" s="455">
        <f t="array" ref="J1925">IFERROR(INDEX('Retirement Calculator'!J:J,MATCH('Isaac 401k'!N1925,'Retirement Calculator'!A:A,0),0),0)</f>
        <v>0</v>
      </c>
      <c r="K1925" s="455">
        <f t="shared" ca="1" si="136"/>
        <v>4837384.52792513</v>
      </c>
      <c r="L1925" s="455">
        <f t="shared" ca="1" si="137"/>
        <v>1165809671.2299562</v>
      </c>
      <c r="M1925" s="471">
        <f t="shared" si="139"/>
        <v>0.05</v>
      </c>
      <c r="N1925" s="475">
        <f t="shared" si="140"/>
        <v>109634</v>
      </c>
    </row>
    <row r="1926" spans="7:14" ht="11.25" customHeight="1" x14ac:dyDescent="0.3">
      <c r="G1926" s="470"/>
      <c r="H1926" s="470">
        <v>1919</v>
      </c>
      <c r="I1926" s="455">
        <f t="shared" ca="1" si="138"/>
        <v>1165809671.2299562</v>
      </c>
      <c r="J1926" s="455">
        <f t="array" ref="J1926">IFERROR(INDEX('Retirement Calculator'!J:J,MATCH('Isaac 401k'!N1926,'Retirement Calculator'!A:A,0),0),0)</f>
        <v>0</v>
      </c>
      <c r="K1926" s="455">
        <f t="shared" ca="1" si="136"/>
        <v>4857540.2967914836</v>
      </c>
      <c r="L1926" s="455">
        <f t="shared" ca="1" si="137"/>
        <v>1170667211.5267477</v>
      </c>
      <c r="M1926" s="471">
        <f t="shared" si="139"/>
        <v>0.05</v>
      </c>
      <c r="N1926" s="475">
        <f t="shared" si="140"/>
        <v>109665</v>
      </c>
    </row>
    <row r="1927" spans="7:14" ht="11.25" customHeight="1" x14ac:dyDescent="0.3">
      <c r="G1927" s="470"/>
      <c r="H1927" s="470">
        <v>1920</v>
      </c>
      <c r="I1927" s="455">
        <f t="shared" ca="1" si="138"/>
        <v>1170667211.5267477</v>
      </c>
      <c r="J1927" s="455">
        <f t="array" ref="J1927">IFERROR(INDEX('Retirement Calculator'!J:J,MATCH('Isaac 401k'!N1927,'Retirement Calculator'!A:A,0),0),0)</f>
        <v>0</v>
      </c>
      <c r="K1927" s="455">
        <f t="shared" ca="1" si="136"/>
        <v>4877780.0480281152</v>
      </c>
      <c r="L1927" s="455">
        <f t="shared" ca="1" si="137"/>
        <v>1175544991.5747759</v>
      </c>
      <c r="M1927" s="471">
        <f t="shared" si="139"/>
        <v>0.05</v>
      </c>
      <c r="N1927" s="475">
        <f t="shared" si="140"/>
        <v>109695</v>
      </c>
    </row>
    <row r="1928" spans="7:14" ht="11.25" customHeight="1" x14ac:dyDescent="0.3">
      <c r="G1928" s="470"/>
      <c r="H1928" s="470">
        <v>1921</v>
      </c>
      <c r="I1928" s="455">
        <f t="shared" ca="1" si="138"/>
        <v>1175544991.5747759</v>
      </c>
      <c r="J1928" s="455">
        <f t="array" ref="J1928">IFERROR(INDEX('Retirement Calculator'!J:J,MATCH('Isaac 401k'!N1928,'Retirement Calculator'!A:A,0),0),0)</f>
        <v>0</v>
      </c>
      <c r="K1928" s="455">
        <f t="shared" ca="1" si="136"/>
        <v>4898104.1315615661</v>
      </c>
      <c r="L1928" s="455">
        <f t="shared" ca="1" si="137"/>
        <v>1180443095.7063375</v>
      </c>
      <c r="M1928" s="471">
        <f t="shared" si="139"/>
        <v>0.05</v>
      </c>
      <c r="N1928" s="475">
        <f t="shared" si="140"/>
        <v>109726</v>
      </c>
    </row>
    <row r="1929" spans="7:14" ht="11.25" customHeight="1" x14ac:dyDescent="0.3">
      <c r="G1929" s="470"/>
      <c r="H1929" s="470">
        <v>1922</v>
      </c>
      <c r="I1929" s="455">
        <f t="shared" ca="1" si="138"/>
        <v>1180443095.7063375</v>
      </c>
      <c r="J1929" s="455">
        <f t="array" ref="J1929">IFERROR(INDEX('Retirement Calculator'!J:J,MATCH('Isaac 401k'!N1929,'Retirement Calculator'!A:A,0),0),0)</f>
        <v>0</v>
      </c>
      <c r="K1929" s="455">
        <f t="shared" ca="1" si="136"/>
        <v>4918512.8987764064</v>
      </c>
      <c r="L1929" s="455">
        <f t="shared" ca="1" si="137"/>
        <v>1185361608.6051137</v>
      </c>
      <c r="M1929" s="471">
        <f t="shared" si="139"/>
        <v>0.05</v>
      </c>
      <c r="N1929" s="475">
        <f t="shared" si="140"/>
        <v>109756</v>
      </c>
    </row>
    <row r="1930" spans="7:14" ht="11.25" customHeight="1" x14ac:dyDescent="0.3">
      <c r="G1930" s="470"/>
      <c r="H1930" s="470">
        <v>1923</v>
      </c>
      <c r="I1930" s="455">
        <f t="shared" ca="1" si="138"/>
        <v>1185361608.6051137</v>
      </c>
      <c r="J1930" s="455">
        <f t="array" ref="J1930">IFERROR(INDEX('Retirement Calculator'!J:J,MATCH('Isaac 401k'!N1930,'Retirement Calculator'!A:A,0),0),0)</f>
        <v>0</v>
      </c>
      <c r="K1930" s="455">
        <f t="shared" ca="1" si="136"/>
        <v>4939006.7025213074</v>
      </c>
      <c r="L1930" s="455">
        <f t="shared" ca="1" si="137"/>
        <v>1190300615.3076351</v>
      </c>
      <c r="M1930" s="471">
        <f t="shared" si="139"/>
        <v>0.05</v>
      </c>
      <c r="N1930" s="475">
        <f t="shared" si="140"/>
        <v>109787</v>
      </c>
    </row>
    <row r="1931" spans="7:14" ht="11.25" customHeight="1" x14ac:dyDescent="0.3">
      <c r="G1931" s="470"/>
      <c r="H1931" s="470">
        <v>1924</v>
      </c>
      <c r="I1931" s="455">
        <f t="shared" ca="1" si="138"/>
        <v>1190300615.3076351</v>
      </c>
      <c r="J1931" s="455">
        <f t="array" ref="J1931">IFERROR(INDEX('Retirement Calculator'!J:J,MATCH('Isaac 401k'!N1931,'Retirement Calculator'!A:A,0),0),0)</f>
        <v>0</v>
      </c>
      <c r="K1931" s="455">
        <f t="shared" ca="1" si="136"/>
        <v>4959585.8971151458</v>
      </c>
      <c r="L1931" s="455">
        <f t="shared" ca="1" si="137"/>
        <v>1195260201.2047503</v>
      </c>
      <c r="M1931" s="471">
        <f t="shared" si="139"/>
        <v>0.05</v>
      </c>
      <c r="N1931" s="475">
        <f t="shared" si="140"/>
        <v>109818</v>
      </c>
    </row>
    <row r="1932" spans="7:14" ht="11.25" customHeight="1" x14ac:dyDescent="0.3">
      <c r="G1932" s="470"/>
      <c r="H1932" s="470">
        <v>1925</v>
      </c>
      <c r="I1932" s="455">
        <f t="shared" ca="1" si="138"/>
        <v>1195260201.2047503</v>
      </c>
      <c r="J1932" s="455">
        <f t="array" ref="J1932">IFERROR(INDEX('Retirement Calculator'!J:J,MATCH('Isaac 401k'!N1932,'Retirement Calculator'!A:A,0),0),0)</f>
        <v>0</v>
      </c>
      <c r="K1932" s="455">
        <f t="shared" ca="1" si="136"/>
        <v>4980250.8383531263</v>
      </c>
      <c r="L1932" s="455">
        <f t="shared" ca="1" si="137"/>
        <v>1200240452.0431035</v>
      </c>
      <c r="M1932" s="471">
        <f t="shared" si="139"/>
        <v>0.05</v>
      </c>
      <c r="N1932" s="475">
        <f t="shared" si="140"/>
        <v>109848</v>
      </c>
    </row>
    <row r="1933" spans="7:14" ht="11.25" customHeight="1" x14ac:dyDescent="0.3">
      <c r="G1933" s="470"/>
      <c r="H1933" s="470">
        <v>1926</v>
      </c>
      <c r="I1933" s="455">
        <f t="shared" ca="1" si="138"/>
        <v>1200240452.0431035</v>
      </c>
      <c r="J1933" s="455">
        <f t="array" ref="J1933">IFERROR(INDEX('Retirement Calculator'!J:J,MATCH('Isaac 401k'!N1933,'Retirement Calculator'!A:A,0),0),0)</f>
        <v>0</v>
      </c>
      <c r="K1933" s="455">
        <f t="shared" ca="1" si="136"/>
        <v>5001001.8835129309</v>
      </c>
      <c r="L1933" s="455">
        <f t="shared" ca="1" si="137"/>
        <v>1205241453.9266164</v>
      </c>
      <c r="M1933" s="471">
        <f t="shared" si="139"/>
        <v>0.05</v>
      </c>
      <c r="N1933" s="475">
        <f t="shared" si="140"/>
        <v>109879</v>
      </c>
    </row>
    <row r="1934" spans="7:14" ht="11.25" customHeight="1" x14ac:dyDescent="0.3">
      <c r="G1934" s="470"/>
      <c r="H1934" s="470">
        <v>1927</v>
      </c>
      <c r="I1934" s="455">
        <f t="shared" ca="1" si="138"/>
        <v>1205241453.9266164</v>
      </c>
      <c r="J1934" s="455">
        <f t="array" ref="J1934">IFERROR(INDEX('Retirement Calculator'!J:J,MATCH('Isaac 401k'!N1934,'Retirement Calculator'!A:A,0),0),0)</f>
        <v>0</v>
      </c>
      <c r="K1934" s="455">
        <f t="shared" ca="1" si="136"/>
        <v>5021839.3913609013</v>
      </c>
      <c r="L1934" s="455">
        <f t="shared" ca="1" si="137"/>
        <v>1210263293.3179774</v>
      </c>
      <c r="M1934" s="471">
        <f t="shared" si="139"/>
        <v>0.05</v>
      </c>
      <c r="N1934" s="475">
        <f t="shared" si="140"/>
        <v>109909</v>
      </c>
    </row>
    <row r="1935" spans="7:14" ht="11.25" customHeight="1" x14ac:dyDescent="0.3">
      <c r="G1935" s="470"/>
      <c r="H1935" s="470">
        <v>1928</v>
      </c>
      <c r="I1935" s="455">
        <f t="shared" ca="1" si="138"/>
        <v>1210263293.3179774</v>
      </c>
      <c r="J1935" s="455">
        <f t="array" ref="J1935">IFERROR(INDEX('Retirement Calculator'!J:J,MATCH('Isaac 401k'!N1935,'Retirement Calculator'!A:A,0),0),0)</f>
        <v>0</v>
      </c>
      <c r="K1935" s="455">
        <f t="shared" ca="1" si="136"/>
        <v>5042763.7221582392</v>
      </c>
      <c r="L1935" s="455">
        <f t="shared" ca="1" si="137"/>
        <v>1215306057.0401356</v>
      </c>
      <c r="M1935" s="471">
        <f t="shared" si="139"/>
        <v>0.05</v>
      </c>
      <c r="N1935" s="475">
        <f t="shared" si="140"/>
        <v>109940</v>
      </c>
    </row>
    <row r="1936" spans="7:14" ht="11.25" customHeight="1" x14ac:dyDescent="0.3">
      <c r="G1936" s="470"/>
      <c r="H1936" s="470">
        <v>1929</v>
      </c>
      <c r="I1936" s="455">
        <f t="shared" ca="1" si="138"/>
        <v>1215306057.0401356</v>
      </c>
      <c r="J1936" s="455">
        <f t="array" ref="J1936">IFERROR(INDEX('Retirement Calculator'!J:J,MATCH('Isaac 401k'!N1936,'Retirement Calculator'!A:A,0),0),0)</f>
        <v>0</v>
      </c>
      <c r="K1936" s="455">
        <f t="shared" ca="1" si="136"/>
        <v>5063775.2376672318</v>
      </c>
      <c r="L1936" s="455">
        <f t="shared" ca="1" si="137"/>
        <v>1220369832.2778029</v>
      </c>
      <c r="M1936" s="471">
        <f t="shared" si="139"/>
        <v>0.05</v>
      </c>
      <c r="N1936" s="475">
        <f t="shared" si="140"/>
        <v>109971</v>
      </c>
    </row>
    <row r="1937" spans="7:14" ht="11.25" customHeight="1" x14ac:dyDescent="0.3">
      <c r="G1937" s="470"/>
      <c r="H1937" s="470">
        <v>1930</v>
      </c>
      <c r="I1937" s="455">
        <f t="shared" ca="1" si="138"/>
        <v>1220369832.2778029</v>
      </c>
      <c r="J1937" s="455">
        <f t="array" ref="J1937">IFERROR(INDEX('Retirement Calculator'!J:J,MATCH('Isaac 401k'!N1937,'Retirement Calculator'!A:A,0),0),0)</f>
        <v>0</v>
      </c>
      <c r="K1937" s="455">
        <f t="shared" ca="1" si="136"/>
        <v>5084874.3011575118</v>
      </c>
      <c r="L1937" s="455">
        <f t="shared" ca="1" si="137"/>
        <v>1225454706.5789604</v>
      </c>
      <c r="M1937" s="471">
        <f t="shared" si="139"/>
        <v>0.05</v>
      </c>
      <c r="N1937" s="475">
        <f t="shared" si="140"/>
        <v>109999</v>
      </c>
    </row>
    <row r="1938" spans="7:14" ht="11.25" customHeight="1" x14ac:dyDescent="0.3">
      <c r="G1938" s="470"/>
      <c r="H1938" s="470">
        <v>1931</v>
      </c>
      <c r="I1938" s="455">
        <f t="shared" ca="1" si="138"/>
        <v>1225454706.5789604</v>
      </c>
      <c r="J1938" s="455">
        <f t="array" ref="J1938">IFERROR(INDEX('Retirement Calculator'!J:J,MATCH('Isaac 401k'!N1938,'Retirement Calculator'!A:A,0),0),0)</f>
        <v>0</v>
      </c>
      <c r="K1938" s="455">
        <f t="shared" ca="1" si="136"/>
        <v>5106061.2774123354</v>
      </c>
      <c r="L1938" s="455">
        <f t="shared" ca="1" si="137"/>
        <v>1230560767.8563728</v>
      </c>
      <c r="M1938" s="471">
        <f t="shared" si="139"/>
        <v>0.05</v>
      </c>
      <c r="N1938" s="475">
        <f t="shared" si="140"/>
        <v>110030</v>
      </c>
    </row>
    <row r="1939" spans="7:14" ht="11.25" customHeight="1" x14ac:dyDescent="0.3">
      <c r="G1939" s="470"/>
      <c r="H1939" s="470">
        <v>1932</v>
      </c>
      <c r="I1939" s="455">
        <f t="shared" ca="1" si="138"/>
        <v>1230560767.8563728</v>
      </c>
      <c r="J1939" s="455">
        <f t="array" ref="J1939">IFERROR(INDEX('Retirement Calculator'!J:J,MATCH('Isaac 401k'!N1939,'Retirement Calculator'!A:A,0),0),0)</f>
        <v>0</v>
      </c>
      <c r="K1939" s="455">
        <f t="shared" ca="1" si="136"/>
        <v>5127336.5327348867</v>
      </c>
      <c r="L1939" s="455">
        <f t="shared" ca="1" si="137"/>
        <v>1235688104.3891077</v>
      </c>
      <c r="M1939" s="471">
        <f t="shared" si="139"/>
        <v>0.05</v>
      </c>
      <c r="N1939" s="475">
        <f t="shared" si="140"/>
        <v>110060</v>
      </c>
    </row>
    <row r="1940" spans="7:14" ht="11.25" customHeight="1" x14ac:dyDescent="0.3">
      <c r="G1940" s="470"/>
      <c r="H1940" s="470">
        <v>1933</v>
      </c>
      <c r="I1940" s="455">
        <f t="shared" ca="1" si="138"/>
        <v>1235688104.3891077</v>
      </c>
      <c r="J1940" s="455">
        <f t="array" ref="J1940">IFERROR(INDEX('Retirement Calculator'!J:J,MATCH('Isaac 401k'!N1940,'Retirement Calculator'!A:A,0),0),0)</f>
        <v>0</v>
      </c>
      <c r="K1940" s="455">
        <f t="shared" ca="1" si="136"/>
        <v>5148700.4349546153</v>
      </c>
      <c r="L1940" s="455">
        <f t="shared" ca="1" si="137"/>
        <v>1240836804.8240623</v>
      </c>
      <c r="M1940" s="471">
        <f t="shared" si="139"/>
        <v>0.05</v>
      </c>
      <c r="N1940" s="475">
        <f t="shared" si="140"/>
        <v>110091</v>
      </c>
    </row>
    <row r="1941" spans="7:14" ht="11.25" customHeight="1" x14ac:dyDescent="0.3">
      <c r="G1941" s="470"/>
      <c r="H1941" s="470">
        <v>1934</v>
      </c>
      <c r="I1941" s="455">
        <f t="shared" ca="1" si="138"/>
        <v>1240836804.8240623</v>
      </c>
      <c r="J1941" s="455">
        <f t="array" ref="J1941">IFERROR(INDEX('Retirement Calculator'!J:J,MATCH('Isaac 401k'!N1941,'Retirement Calculator'!A:A,0),0),0)</f>
        <v>0</v>
      </c>
      <c r="K1941" s="455">
        <f t="shared" ca="1" si="136"/>
        <v>5170153.3534335932</v>
      </c>
      <c r="L1941" s="455">
        <f t="shared" ca="1" si="137"/>
        <v>1246006958.177496</v>
      </c>
      <c r="M1941" s="471">
        <f t="shared" si="139"/>
        <v>0.05</v>
      </c>
      <c r="N1941" s="475">
        <f t="shared" si="140"/>
        <v>110121</v>
      </c>
    </row>
    <row r="1942" spans="7:14" ht="11.25" customHeight="1" x14ac:dyDescent="0.3">
      <c r="G1942" s="470"/>
      <c r="H1942" s="470">
        <v>1935</v>
      </c>
      <c r="I1942" s="455">
        <f t="shared" ca="1" si="138"/>
        <v>1246006958.177496</v>
      </c>
      <c r="J1942" s="455">
        <f t="array" ref="J1942">IFERROR(INDEX('Retirement Calculator'!J:J,MATCH('Isaac 401k'!N1942,'Retirement Calculator'!A:A,0),0),0)</f>
        <v>0</v>
      </c>
      <c r="K1942" s="455">
        <f t="shared" ca="1" si="136"/>
        <v>5191695.6590729002</v>
      </c>
      <c r="L1942" s="455">
        <f t="shared" ca="1" si="137"/>
        <v>1251198653.8365688</v>
      </c>
      <c r="M1942" s="471">
        <f t="shared" si="139"/>
        <v>0.05</v>
      </c>
      <c r="N1942" s="475">
        <f t="shared" si="140"/>
        <v>110152</v>
      </c>
    </row>
    <row r="1943" spans="7:14" ht="11.25" customHeight="1" x14ac:dyDescent="0.3">
      <c r="G1943" s="470"/>
      <c r="H1943" s="470">
        <v>1936</v>
      </c>
      <c r="I1943" s="455">
        <f t="shared" ca="1" si="138"/>
        <v>1251198653.8365688</v>
      </c>
      <c r="J1943" s="455">
        <f t="array" ref="J1943">IFERROR(INDEX('Retirement Calculator'!J:J,MATCH('Isaac 401k'!N1943,'Retirement Calculator'!A:A,0),0),0)</f>
        <v>0</v>
      </c>
      <c r="K1943" s="455">
        <f t="shared" ca="1" si="136"/>
        <v>5213327.7243190371</v>
      </c>
      <c r="L1943" s="455">
        <f t="shared" ca="1" si="137"/>
        <v>1256411981.5608878</v>
      </c>
      <c r="M1943" s="471">
        <f t="shared" si="139"/>
        <v>0.05</v>
      </c>
      <c r="N1943" s="475">
        <f t="shared" si="140"/>
        <v>110183</v>
      </c>
    </row>
    <row r="1944" spans="7:14" ht="11.25" customHeight="1" x14ac:dyDescent="0.3">
      <c r="G1944" s="470"/>
      <c r="H1944" s="470">
        <v>1937</v>
      </c>
      <c r="I1944" s="455">
        <f t="shared" ca="1" si="138"/>
        <v>1256411981.5608878</v>
      </c>
      <c r="J1944" s="455">
        <f t="array" ref="J1944">IFERROR(INDEX('Retirement Calculator'!J:J,MATCH('Isaac 401k'!N1944,'Retirement Calculator'!A:A,0),0),0)</f>
        <v>0</v>
      </c>
      <c r="K1944" s="455">
        <f t="shared" ca="1" si="136"/>
        <v>5235049.9231703654</v>
      </c>
      <c r="L1944" s="455">
        <f t="shared" ca="1" si="137"/>
        <v>1261647031.4840581</v>
      </c>
      <c r="M1944" s="471">
        <f t="shared" si="139"/>
        <v>0.05</v>
      </c>
      <c r="N1944" s="475">
        <f t="shared" si="140"/>
        <v>110213</v>
      </c>
    </row>
    <row r="1945" spans="7:14" ht="11.25" customHeight="1" x14ac:dyDescent="0.3">
      <c r="G1945" s="470"/>
      <c r="H1945" s="470">
        <v>1938</v>
      </c>
      <c r="I1945" s="455">
        <f t="shared" ca="1" si="138"/>
        <v>1261647031.4840581</v>
      </c>
      <c r="J1945" s="455">
        <f t="array" ref="J1945">IFERROR(INDEX('Retirement Calculator'!J:J,MATCH('Isaac 401k'!N1945,'Retirement Calculator'!A:A,0),0),0)</f>
        <v>0</v>
      </c>
      <c r="K1945" s="455">
        <f t="shared" ca="1" si="136"/>
        <v>5256862.6311835758</v>
      </c>
      <c r="L1945" s="455">
        <f t="shared" ca="1" si="137"/>
        <v>1266903894.1152418</v>
      </c>
      <c r="M1945" s="471">
        <f t="shared" si="139"/>
        <v>0.05</v>
      </c>
      <c r="N1945" s="475">
        <f t="shared" si="140"/>
        <v>110244</v>
      </c>
    </row>
    <row r="1946" spans="7:14" ht="11.25" customHeight="1" x14ac:dyDescent="0.3">
      <c r="G1946" s="470"/>
      <c r="H1946" s="470">
        <v>1939</v>
      </c>
      <c r="I1946" s="455">
        <f t="shared" ca="1" si="138"/>
        <v>1266903894.1152418</v>
      </c>
      <c r="J1946" s="455">
        <f t="array" ref="J1946">IFERROR(INDEX('Retirement Calculator'!J:J,MATCH('Isaac 401k'!N1946,'Retirement Calculator'!A:A,0),0),0)</f>
        <v>0</v>
      </c>
      <c r="K1946" s="455">
        <f t="shared" ca="1" si="136"/>
        <v>5278766.2254801737</v>
      </c>
      <c r="L1946" s="455">
        <f t="shared" ca="1" si="137"/>
        <v>1272182660.3407218</v>
      </c>
      <c r="M1946" s="471">
        <f t="shared" si="139"/>
        <v>0.05</v>
      </c>
      <c r="N1946" s="475">
        <f t="shared" si="140"/>
        <v>110274</v>
      </c>
    </row>
    <row r="1947" spans="7:14" ht="11.25" customHeight="1" x14ac:dyDescent="0.3">
      <c r="G1947" s="470"/>
      <c r="H1947" s="470">
        <v>1940</v>
      </c>
      <c r="I1947" s="455">
        <f t="shared" ca="1" si="138"/>
        <v>1272182660.3407218</v>
      </c>
      <c r="J1947" s="455">
        <f t="array" ref="J1947">IFERROR(INDEX('Retirement Calculator'!J:J,MATCH('Isaac 401k'!N1947,'Retirement Calculator'!A:A,0),0),0)</f>
        <v>0</v>
      </c>
      <c r="K1947" s="455">
        <f t="shared" ca="1" si="136"/>
        <v>5300761.0847530076</v>
      </c>
      <c r="L1947" s="455">
        <f t="shared" ca="1" si="137"/>
        <v>1277483421.4254749</v>
      </c>
      <c r="M1947" s="471">
        <f t="shared" si="139"/>
        <v>0.05</v>
      </c>
      <c r="N1947" s="475">
        <f t="shared" si="140"/>
        <v>110305</v>
      </c>
    </row>
    <row r="1948" spans="7:14" ht="11.25" customHeight="1" x14ac:dyDescent="0.3">
      <c r="G1948" s="470"/>
      <c r="H1948" s="470">
        <v>1941</v>
      </c>
      <c r="I1948" s="455">
        <f t="shared" ca="1" si="138"/>
        <v>1277483421.4254749</v>
      </c>
      <c r="J1948" s="455">
        <f t="array" ref="J1948">IFERROR(INDEX('Retirement Calculator'!J:J,MATCH('Isaac 401k'!N1948,'Retirement Calculator'!A:A,0),0),0)</f>
        <v>0</v>
      </c>
      <c r="K1948" s="455">
        <f t="shared" ca="1" si="136"/>
        <v>5322847.589272812</v>
      </c>
      <c r="L1948" s="455">
        <f t="shared" ca="1" si="137"/>
        <v>1282806269.0147476</v>
      </c>
      <c r="M1948" s="471">
        <f t="shared" si="139"/>
        <v>0.05</v>
      </c>
      <c r="N1948" s="475">
        <f t="shared" si="140"/>
        <v>110336</v>
      </c>
    </row>
    <row r="1949" spans="7:14" ht="11.25" customHeight="1" x14ac:dyDescent="0.3">
      <c r="G1949" s="470"/>
      <c r="H1949" s="470">
        <v>1942</v>
      </c>
      <c r="I1949" s="455">
        <f t="shared" ca="1" si="138"/>
        <v>1282806269.0147476</v>
      </c>
      <c r="J1949" s="455">
        <f t="array" ref="J1949">IFERROR(INDEX('Retirement Calculator'!J:J,MATCH('Isaac 401k'!N1949,'Retirement Calculator'!A:A,0),0),0)</f>
        <v>0</v>
      </c>
      <c r="K1949" s="455">
        <f t="shared" ca="1" si="136"/>
        <v>5345026.1208947813</v>
      </c>
      <c r="L1949" s="455">
        <f t="shared" ca="1" si="137"/>
        <v>1288151295.1356423</v>
      </c>
      <c r="M1949" s="471">
        <f t="shared" si="139"/>
        <v>0.05</v>
      </c>
      <c r="N1949" s="475">
        <f t="shared" si="140"/>
        <v>110364</v>
      </c>
    </row>
    <row r="1950" spans="7:14" ht="11.25" customHeight="1" x14ac:dyDescent="0.3">
      <c r="G1950" s="470"/>
      <c r="H1950" s="470">
        <v>1943</v>
      </c>
      <c r="I1950" s="455">
        <f t="shared" ca="1" si="138"/>
        <v>1288151295.1356423</v>
      </c>
      <c r="J1950" s="455">
        <f t="array" ref="J1950">IFERROR(INDEX('Retirement Calculator'!J:J,MATCH('Isaac 401k'!N1950,'Retirement Calculator'!A:A,0),0),0)</f>
        <v>0</v>
      </c>
      <c r="K1950" s="455">
        <f t="shared" ca="1" si="136"/>
        <v>5367297.0630651759</v>
      </c>
      <c r="L1950" s="455">
        <f t="shared" ca="1" si="137"/>
        <v>1293518592.1987076</v>
      </c>
      <c r="M1950" s="471">
        <f t="shared" si="139"/>
        <v>0.05</v>
      </c>
      <c r="N1950" s="475">
        <f t="shared" si="140"/>
        <v>110395</v>
      </c>
    </row>
    <row r="1951" spans="7:14" ht="11.25" customHeight="1" x14ac:dyDescent="0.3">
      <c r="G1951" s="470"/>
      <c r="H1951" s="470">
        <v>1944</v>
      </c>
      <c r="I1951" s="455">
        <f t="shared" ca="1" si="138"/>
        <v>1293518592.1987076</v>
      </c>
      <c r="J1951" s="455">
        <f t="array" ref="J1951">IFERROR(INDEX('Retirement Calculator'!J:J,MATCH('Isaac 401k'!N1951,'Retirement Calculator'!A:A,0),0),0)</f>
        <v>0</v>
      </c>
      <c r="K1951" s="455">
        <f t="shared" ca="1" si="136"/>
        <v>5389660.8008279484</v>
      </c>
      <c r="L1951" s="455">
        <f t="shared" ca="1" si="137"/>
        <v>1298908252.9995356</v>
      </c>
      <c r="M1951" s="471">
        <f t="shared" si="139"/>
        <v>0.05</v>
      </c>
      <c r="N1951" s="475">
        <f t="shared" si="140"/>
        <v>110425</v>
      </c>
    </row>
    <row r="1952" spans="7:14" ht="11.25" customHeight="1" x14ac:dyDescent="0.3">
      <c r="G1952" s="470"/>
      <c r="H1952" s="470">
        <v>1945</v>
      </c>
      <c r="I1952" s="455">
        <f t="shared" ca="1" si="138"/>
        <v>1298908252.9995356</v>
      </c>
      <c r="J1952" s="455">
        <f t="array" ref="J1952">IFERROR(INDEX('Retirement Calculator'!J:J,MATCH('Isaac 401k'!N1952,'Retirement Calculator'!A:A,0),0),0)</f>
        <v>0</v>
      </c>
      <c r="K1952" s="455">
        <f t="shared" ca="1" si="136"/>
        <v>5412117.7208313979</v>
      </c>
      <c r="L1952" s="455">
        <f t="shared" ca="1" si="137"/>
        <v>1304320370.720367</v>
      </c>
      <c r="M1952" s="471">
        <f t="shared" si="139"/>
        <v>0.05</v>
      </c>
      <c r="N1952" s="475">
        <f t="shared" si="140"/>
        <v>110456</v>
      </c>
    </row>
    <row r="1953" spans="7:14" ht="11.25" customHeight="1" x14ac:dyDescent="0.3">
      <c r="G1953" s="470"/>
      <c r="H1953" s="470">
        <v>1946</v>
      </c>
      <c r="I1953" s="455">
        <f t="shared" ca="1" si="138"/>
        <v>1304320370.720367</v>
      </c>
      <c r="J1953" s="455">
        <f t="array" ref="J1953">IFERROR(INDEX('Retirement Calculator'!J:J,MATCH('Isaac 401k'!N1953,'Retirement Calculator'!A:A,0),0),0)</f>
        <v>0</v>
      </c>
      <c r="K1953" s="455">
        <f t="shared" ca="1" si="136"/>
        <v>5434668.2113348618</v>
      </c>
      <c r="L1953" s="455">
        <f t="shared" ca="1" si="137"/>
        <v>1309755038.9317019</v>
      </c>
      <c r="M1953" s="471">
        <f t="shared" si="139"/>
        <v>0.05</v>
      </c>
      <c r="N1953" s="475">
        <f t="shared" si="140"/>
        <v>110486</v>
      </c>
    </row>
    <row r="1954" spans="7:14" ht="11.25" customHeight="1" x14ac:dyDescent="0.3">
      <c r="G1954" s="470"/>
      <c r="H1954" s="470">
        <v>1947</v>
      </c>
      <c r="I1954" s="455">
        <f t="shared" ca="1" si="138"/>
        <v>1309755038.9317019</v>
      </c>
      <c r="J1954" s="455">
        <f t="array" ref="J1954">IFERROR(INDEX('Retirement Calculator'!J:J,MATCH('Isaac 401k'!N1954,'Retirement Calculator'!A:A,0),0),0)</f>
        <v>0</v>
      </c>
      <c r="K1954" s="455">
        <f t="shared" ca="1" si="136"/>
        <v>5457312.6622154247</v>
      </c>
      <c r="L1954" s="455">
        <f t="shared" ca="1" si="137"/>
        <v>1315212351.5939174</v>
      </c>
      <c r="M1954" s="471">
        <f t="shared" si="139"/>
        <v>0.05</v>
      </c>
      <c r="N1954" s="475">
        <f t="shared" si="140"/>
        <v>110517</v>
      </c>
    </row>
    <row r="1955" spans="7:14" ht="11.25" customHeight="1" x14ac:dyDescent="0.3">
      <c r="G1955" s="470"/>
      <c r="H1955" s="470">
        <v>1948</v>
      </c>
      <c r="I1955" s="455">
        <f t="shared" ca="1" si="138"/>
        <v>1315212351.5939174</v>
      </c>
      <c r="J1955" s="455">
        <f t="array" ref="J1955">IFERROR(INDEX('Retirement Calculator'!J:J,MATCH('Isaac 401k'!N1955,'Retirement Calculator'!A:A,0),0),0)</f>
        <v>0</v>
      </c>
      <c r="K1955" s="455">
        <f t="shared" ca="1" si="136"/>
        <v>5480051.4649746558</v>
      </c>
      <c r="L1955" s="455">
        <f t="shared" ca="1" si="137"/>
        <v>1320692403.058892</v>
      </c>
      <c r="M1955" s="471">
        <f t="shared" si="139"/>
        <v>0.05</v>
      </c>
      <c r="N1955" s="475">
        <f t="shared" si="140"/>
        <v>110548</v>
      </c>
    </row>
    <row r="1956" spans="7:14" ht="11.25" customHeight="1" x14ac:dyDescent="0.3">
      <c r="G1956" s="470"/>
      <c r="H1956" s="470">
        <v>1949</v>
      </c>
      <c r="I1956" s="455">
        <f t="shared" ca="1" si="138"/>
        <v>1320692403.058892</v>
      </c>
      <c r="J1956" s="455">
        <f t="array" ref="J1956">IFERROR(INDEX('Retirement Calculator'!J:J,MATCH('Isaac 401k'!N1956,'Retirement Calculator'!A:A,0),0),0)</f>
        <v>0</v>
      </c>
      <c r="K1956" s="455">
        <f t="shared" ca="1" si="136"/>
        <v>5502885.0127453832</v>
      </c>
      <c r="L1956" s="455">
        <f t="shared" ca="1" si="137"/>
        <v>1326195288.0716374</v>
      </c>
      <c r="M1956" s="471">
        <f t="shared" si="139"/>
        <v>0.05</v>
      </c>
      <c r="N1956" s="475">
        <f t="shared" si="140"/>
        <v>110578</v>
      </c>
    </row>
    <row r="1957" spans="7:14" ht="11.25" customHeight="1" x14ac:dyDescent="0.3">
      <c r="G1957" s="470"/>
      <c r="H1957" s="470">
        <v>1950</v>
      </c>
      <c r="I1957" s="455">
        <f t="shared" ca="1" si="138"/>
        <v>1326195288.0716374</v>
      </c>
      <c r="J1957" s="455">
        <f t="array" ref="J1957">IFERROR(INDEX('Retirement Calculator'!J:J,MATCH('Isaac 401k'!N1957,'Retirement Calculator'!A:A,0),0),0)</f>
        <v>0</v>
      </c>
      <c r="K1957" s="455">
        <f t="shared" ca="1" si="136"/>
        <v>5525813.7002984891</v>
      </c>
      <c r="L1957" s="455">
        <f t="shared" ca="1" si="137"/>
        <v>1331721101.7719359</v>
      </c>
      <c r="M1957" s="471">
        <f t="shared" si="139"/>
        <v>0.05</v>
      </c>
      <c r="N1957" s="475">
        <f t="shared" si="140"/>
        <v>110609</v>
      </c>
    </row>
    <row r="1958" spans="7:14" ht="11.25" customHeight="1" x14ac:dyDescent="0.3">
      <c r="G1958" s="470"/>
      <c r="H1958" s="470">
        <v>1951</v>
      </c>
      <c r="I1958" s="455">
        <f t="shared" ca="1" si="138"/>
        <v>1331721101.7719359</v>
      </c>
      <c r="J1958" s="455">
        <f t="array" ref="J1958">IFERROR(INDEX('Retirement Calculator'!J:J,MATCH('Isaac 401k'!N1958,'Retirement Calculator'!A:A,0),0),0)</f>
        <v>0</v>
      </c>
      <c r="K1958" s="455">
        <f t="shared" ca="1" si="136"/>
        <v>5548837.9240497332</v>
      </c>
      <c r="L1958" s="455">
        <f t="shared" ca="1" si="137"/>
        <v>1337269939.6959856</v>
      </c>
      <c r="M1958" s="471">
        <f t="shared" si="139"/>
        <v>0.05</v>
      </c>
      <c r="N1958" s="475">
        <f t="shared" si="140"/>
        <v>110639</v>
      </c>
    </row>
    <row r="1959" spans="7:14" ht="11.25" customHeight="1" x14ac:dyDescent="0.3">
      <c r="G1959" s="470"/>
      <c r="H1959" s="470">
        <v>1952</v>
      </c>
      <c r="I1959" s="455">
        <f t="shared" ca="1" si="138"/>
        <v>1337269939.6959856</v>
      </c>
      <c r="J1959" s="455">
        <f t="array" ref="J1959">IFERROR(INDEX('Retirement Calculator'!J:J,MATCH('Isaac 401k'!N1959,'Retirement Calculator'!A:A,0),0),0)</f>
        <v>0</v>
      </c>
      <c r="K1959" s="455">
        <f t="shared" ca="1" si="136"/>
        <v>5571958.0820666067</v>
      </c>
      <c r="L1959" s="455">
        <f t="shared" ca="1" si="137"/>
        <v>1342841897.7780521</v>
      </c>
      <c r="M1959" s="471">
        <f t="shared" si="139"/>
        <v>0.05</v>
      </c>
      <c r="N1959" s="475">
        <f t="shared" si="140"/>
        <v>110670</v>
      </c>
    </row>
    <row r="1960" spans="7:14" ht="11.25" customHeight="1" x14ac:dyDescent="0.3">
      <c r="G1960" s="470"/>
      <c r="H1960" s="470">
        <v>1953</v>
      </c>
      <c r="I1960" s="455">
        <f t="shared" ca="1" si="138"/>
        <v>1342841897.7780521</v>
      </c>
      <c r="J1960" s="455">
        <f t="array" ref="J1960">IFERROR(INDEX('Retirement Calculator'!J:J,MATCH('Isaac 401k'!N1960,'Retirement Calculator'!A:A,0),0),0)</f>
        <v>0</v>
      </c>
      <c r="K1960" s="455">
        <f t="shared" ca="1" si="136"/>
        <v>5595174.5740752174</v>
      </c>
      <c r="L1960" s="455">
        <f t="shared" ca="1" si="137"/>
        <v>1348437072.3521273</v>
      </c>
      <c r="M1960" s="471">
        <f t="shared" si="139"/>
        <v>0.05</v>
      </c>
      <c r="N1960" s="475">
        <f t="shared" si="140"/>
        <v>110701</v>
      </c>
    </row>
    <row r="1961" spans="7:14" ht="11.25" customHeight="1" x14ac:dyDescent="0.3">
      <c r="G1961" s="470"/>
      <c r="H1961" s="470">
        <v>1954</v>
      </c>
      <c r="I1961" s="455">
        <f t="shared" ca="1" si="138"/>
        <v>1348437072.3521273</v>
      </c>
      <c r="J1961" s="455">
        <f t="array" ref="J1961">IFERROR(INDEX('Retirement Calculator'!J:J,MATCH('Isaac 401k'!N1961,'Retirement Calculator'!A:A,0),0),0)</f>
        <v>0</v>
      </c>
      <c r="K1961" s="455">
        <f t="shared" ca="1" si="136"/>
        <v>5618487.801467197</v>
      </c>
      <c r="L1961" s="455">
        <f t="shared" ca="1" si="137"/>
        <v>1354055560.1535945</v>
      </c>
      <c r="M1961" s="471">
        <f t="shared" si="139"/>
        <v>0.05</v>
      </c>
      <c r="N1961" s="475">
        <f t="shared" si="140"/>
        <v>110729</v>
      </c>
    </row>
    <row r="1962" spans="7:14" ht="11.25" customHeight="1" x14ac:dyDescent="0.3">
      <c r="G1962" s="470"/>
      <c r="H1962" s="470">
        <v>1955</v>
      </c>
      <c r="I1962" s="455">
        <f t="shared" ca="1" si="138"/>
        <v>1354055560.1535945</v>
      </c>
      <c r="J1962" s="455">
        <f t="array" ref="J1962">IFERROR(INDEX('Retirement Calculator'!J:J,MATCH('Isaac 401k'!N1962,'Retirement Calculator'!A:A,0),0),0)</f>
        <v>0</v>
      </c>
      <c r="K1962" s="455">
        <f t="shared" ca="1" si="136"/>
        <v>5641898.1673066439</v>
      </c>
      <c r="L1962" s="455">
        <f t="shared" ca="1" si="137"/>
        <v>1359697458.3209012</v>
      </c>
      <c r="M1962" s="471">
        <f t="shared" si="139"/>
        <v>0.05</v>
      </c>
      <c r="N1962" s="475">
        <f t="shared" si="140"/>
        <v>110760</v>
      </c>
    </row>
    <row r="1963" spans="7:14" ht="11.25" customHeight="1" x14ac:dyDescent="0.3">
      <c r="G1963" s="470"/>
      <c r="H1963" s="470">
        <v>1956</v>
      </c>
      <c r="I1963" s="455">
        <f t="shared" ca="1" si="138"/>
        <v>1359697458.3209012</v>
      </c>
      <c r="J1963" s="455">
        <f t="array" ref="J1963">IFERROR(INDEX('Retirement Calculator'!J:J,MATCH('Isaac 401k'!N1963,'Retirement Calculator'!A:A,0),0),0)</f>
        <v>0</v>
      </c>
      <c r="K1963" s="455">
        <f t="shared" ca="1" si="136"/>
        <v>5665406.0763370879</v>
      </c>
      <c r="L1963" s="455">
        <f t="shared" ca="1" si="137"/>
        <v>1365362864.3972383</v>
      </c>
      <c r="M1963" s="471">
        <f t="shared" si="139"/>
        <v>0.05</v>
      </c>
      <c r="N1963" s="475">
        <f t="shared" si="140"/>
        <v>110790</v>
      </c>
    </row>
    <row r="1964" spans="7:14" ht="11.25" customHeight="1" x14ac:dyDescent="0.3">
      <c r="G1964" s="470"/>
      <c r="H1964" s="470">
        <v>1957</v>
      </c>
      <c r="I1964" s="455">
        <f t="shared" ca="1" si="138"/>
        <v>1365362864.3972383</v>
      </c>
      <c r="J1964" s="455">
        <f t="array" ref="J1964">IFERROR(INDEX('Retirement Calculator'!J:J,MATCH('Isaac 401k'!N1964,'Retirement Calculator'!A:A,0),0),0)</f>
        <v>0</v>
      </c>
      <c r="K1964" s="455">
        <f t="shared" ca="1" si="136"/>
        <v>5689011.9349884931</v>
      </c>
      <c r="L1964" s="455">
        <f t="shared" ca="1" si="137"/>
        <v>1371051876.3322268</v>
      </c>
      <c r="M1964" s="471">
        <f t="shared" si="139"/>
        <v>0.05</v>
      </c>
      <c r="N1964" s="475">
        <f t="shared" si="140"/>
        <v>110821</v>
      </c>
    </row>
    <row r="1965" spans="7:14" ht="11.25" customHeight="1" x14ac:dyDescent="0.3">
      <c r="G1965" s="470"/>
      <c r="H1965" s="470">
        <v>1958</v>
      </c>
      <c r="I1965" s="455">
        <f t="shared" ca="1" si="138"/>
        <v>1371051876.3322268</v>
      </c>
      <c r="J1965" s="455">
        <f t="array" ref="J1965">IFERROR(INDEX('Retirement Calculator'!J:J,MATCH('Isaac 401k'!N1965,'Retirement Calculator'!A:A,0),0),0)</f>
        <v>0</v>
      </c>
      <c r="K1965" s="455">
        <f t="shared" ca="1" si="136"/>
        <v>5712716.1513842782</v>
      </c>
      <c r="L1965" s="455">
        <f t="shared" ca="1" si="137"/>
        <v>1376764592.4836111</v>
      </c>
      <c r="M1965" s="471">
        <f t="shared" si="139"/>
        <v>0.05</v>
      </c>
      <c r="N1965" s="475">
        <f t="shared" si="140"/>
        <v>110851</v>
      </c>
    </row>
    <row r="1966" spans="7:14" ht="11.25" customHeight="1" x14ac:dyDescent="0.3">
      <c r="G1966" s="470"/>
      <c r="H1966" s="470">
        <v>1959</v>
      </c>
      <c r="I1966" s="455">
        <f t="shared" ca="1" si="138"/>
        <v>1376764592.4836111</v>
      </c>
      <c r="J1966" s="455">
        <f t="array" ref="J1966">IFERROR(INDEX('Retirement Calculator'!J:J,MATCH('Isaac 401k'!N1966,'Retirement Calculator'!A:A,0),0),0)</f>
        <v>0</v>
      </c>
      <c r="K1966" s="455">
        <f t="shared" ca="1" si="136"/>
        <v>5736519.1353483796</v>
      </c>
      <c r="L1966" s="455">
        <f t="shared" ca="1" si="137"/>
        <v>1382501111.6189594</v>
      </c>
      <c r="M1966" s="471">
        <f t="shared" si="139"/>
        <v>0.05</v>
      </c>
      <c r="N1966" s="475">
        <f t="shared" si="140"/>
        <v>110882</v>
      </c>
    </row>
    <row r="1967" spans="7:14" ht="11.25" customHeight="1" x14ac:dyDescent="0.3">
      <c r="G1967" s="470"/>
      <c r="H1967" s="470">
        <v>1960</v>
      </c>
      <c r="I1967" s="455">
        <f t="shared" ca="1" si="138"/>
        <v>1382501111.6189594</v>
      </c>
      <c r="J1967" s="455">
        <f t="array" ref="J1967">IFERROR(INDEX('Retirement Calculator'!J:J,MATCH('Isaac 401k'!N1967,'Retirement Calculator'!A:A,0),0),0)</f>
        <v>0</v>
      </c>
      <c r="K1967" s="455">
        <f t="shared" ca="1" si="136"/>
        <v>5760421.2984123304</v>
      </c>
      <c r="L1967" s="455">
        <f t="shared" ca="1" si="137"/>
        <v>1388261532.9173717</v>
      </c>
      <c r="M1967" s="471">
        <f t="shared" si="139"/>
        <v>0.05</v>
      </c>
      <c r="N1967" s="475">
        <f t="shared" si="140"/>
        <v>110913</v>
      </c>
    </row>
    <row r="1968" spans="7:14" ht="11.25" customHeight="1" x14ac:dyDescent="0.3">
      <c r="G1968" s="470"/>
      <c r="H1968" s="470">
        <v>1961</v>
      </c>
      <c r="I1968" s="455">
        <f t="shared" ca="1" si="138"/>
        <v>1388261532.9173717</v>
      </c>
      <c r="J1968" s="455">
        <f t="array" ref="J1968">IFERROR(INDEX('Retirement Calculator'!J:J,MATCH('Isaac 401k'!N1968,'Retirement Calculator'!A:A,0),0),0)</f>
        <v>0</v>
      </c>
      <c r="K1968" s="455">
        <f t="shared" ca="1" si="136"/>
        <v>5784423.0538223824</v>
      </c>
      <c r="L1968" s="455">
        <f t="shared" ca="1" si="137"/>
        <v>1394045955.971194</v>
      </c>
      <c r="M1968" s="471">
        <f t="shared" si="139"/>
        <v>0.05</v>
      </c>
      <c r="N1968" s="475">
        <f t="shared" si="140"/>
        <v>110943</v>
      </c>
    </row>
    <row r="1969" spans="7:14" ht="11.25" customHeight="1" x14ac:dyDescent="0.3">
      <c r="G1969" s="470"/>
      <c r="H1969" s="470">
        <v>1962</v>
      </c>
      <c r="I1969" s="455">
        <f t="shared" ca="1" si="138"/>
        <v>1394045955.971194</v>
      </c>
      <c r="J1969" s="455">
        <f t="array" ref="J1969">IFERROR(INDEX('Retirement Calculator'!J:J,MATCH('Isaac 401k'!N1969,'Retirement Calculator'!A:A,0),0),0)</f>
        <v>0</v>
      </c>
      <c r="K1969" s="455">
        <f t="shared" ca="1" si="136"/>
        <v>5808524.8165466413</v>
      </c>
      <c r="L1969" s="455">
        <f t="shared" ca="1" si="137"/>
        <v>1399854480.7877407</v>
      </c>
      <c r="M1969" s="471">
        <f t="shared" si="139"/>
        <v>0.05</v>
      </c>
      <c r="N1969" s="475">
        <f t="shared" si="140"/>
        <v>110974</v>
      </c>
    </row>
    <row r="1970" spans="7:14" ht="11.25" customHeight="1" x14ac:dyDescent="0.3">
      <c r="G1970" s="470"/>
      <c r="H1970" s="470">
        <v>1963</v>
      </c>
      <c r="I1970" s="455">
        <f t="shared" ca="1" si="138"/>
        <v>1399854480.7877407</v>
      </c>
      <c r="J1970" s="455">
        <f t="array" ref="J1970">IFERROR(INDEX('Retirement Calculator'!J:J,MATCH('Isaac 401k'!N1970,'Retirement Calculator'!A:A,0),0),0)</f>
        <v>0</v>
      </c>
      <c r="K1970" s="455">
        <f t="shared" ca="1" si="136"/>
        <v>5832727.0032822527</v>
      </c>
      <c r="L1970" s="455">
        <f t="shared" ca="1" si="137"/>
        <v>1405687207.791023</v>
      </c>
      <c r="M1970" s="471">
        <f t="shared" si="139"/>
        <v>0.05</v>
      </c>
      <c r="N1970" s="475">
        <f t="shared" si="140"/>
        <v>111004</v>
      </c>
    </row>
    <row r="1971" spans="7:14" ht="11.25" customHeight="1" x14ac:dyDescent="0.3">
      <c r="G1971" s="470"/>
      <c r="H1971" s="470">
        <v>1964</v>
      </c>
      <c r="I1971" s="455">
        <f t="shared" ca="1" si="138"/>
        <v>1405687207.791023</v>
      </c>
      <c r="J1971" s="455">
        <f t="array" ref="J1971">IFERROR(INDEX('Retirement Calculator'!J:J,MATCH('Isaac 401k'!N1971,'Retirement Calculator'!A:A,0),0),0)</f>
        <v>0</v>
      </c>
      <c r="K1971" s="455">
        <f t="shared" ca="1" si="136"/>
        <v>5857030.032462596</v>
      </c>
      <c r="L1971" s="455">
        <f t="shared" ca="1" si="137"/>
        <v>1411544237.8234856</v>
      </c>
      <c r="M1971" s="471">
        <f t="shared" si="139"/>
        <v>0.05</v>
      </c>
      <c r="N1971" s="475">
        <f t="shared" si="140"/>
        <v>111035</v>
      </c>
    </row>
    <row r="1972" spans="7:14" ht="11.25" customHeight="1" x14ac:dyDescent="0.3">
      <c r="G1972" s="470"/>
      <c r="H1972" s="470">
        <v>1965</v>
      </c>
      <c r="I1972" s="455">
        <f t="shared" ca="1" si="138"/>
        <v>1411544237.8234856</v>
      </c>
      <c r="J1972" s="455">
        <f t="array" ref="J1972">IFERROR(INDEX('Retirement Calculator'!J:J,MATCH('Isaac 401k'!N1972,'Retirement Calculator'!A:A,0),0),0)</f>
        <v>0</v>
      </c>
      <c r="K1972" s="455">
        <f t="shared" ca="1" si="136"/>
        <v>5881434.3242645236</v>
      </c>
      <c r="L1972" s="455">
        <f t="shared" ca="1" si="137"/>
        <v>1417425672.1477501</v>
      </c>
      <c r="M1972" s="471">
        <f t="shared" si="139"/>
        <v>0.05</v>
      </c>
      <c r="N1972" s="475">
        <f t="shared" si="140"/>
        <v>111066</v>
      </c>
    </row>
    <row r="1973" spans="7:14" ht="11.25" customHeight="1" x14ac:dyDescent="0.3">
      <c r="G1973" s="470"/>
      <c r="H1973" s="470">
        <v>1966</v>
      </c>
      <c r="I1973" s="455">
        <f t="shared" ca="1" si="138"/>
        <v>1417425672.1477501</v>
      </c>
      <c r="J1973" s="455">
        <f t="array" ref="J1973">IFERROR(INDEX('Retirement Calculator'!J:J,MATCH('Isaac 401k'!N1973,'Retirement Calculator'!A:A,0),0),0)</f>
        <v>0</v>
      </c>
      <c r="K1973" s="455">
        <f t="shared" ca="1" si="136"/>
        <v>5905940.3006156255</v>
      </c>
      <c r="L1973" s="455">
        <f t="shared" ca="1" si="137"/>
        <v>1423331612.4483657</v>
      </c>
      <c r="M1973" s="471">
        <f t="shared" si="139"/>
        <v>0.05</v>
      </c>
      <c r="N1973" s="475">
        <f t="shared" si="140"/>
        <v>111095</v>
      </c>
    </row>
    <row r="1974" spans="7:14" ht="11.25" customHeight="1" x14ac:dyDescent="0.3">
      <c r="G1974" s="470"/>
      <c r="H1974" s="470">
        <v>1967</v>
      </c>
      <c r="I1974" s="455">
        <f t="shared" ca="1" si="138"/>
        <v>1423331612.4483657</v>
      </c>
      <c r="J1974" s="455">
        <f t="array" ref="J1974">IFERROR(INDEX('Retirement Calculator'!J:J,MATCH('Isaac 401k'!N1974,'Retirement Calculator'!A:A,0),0),0)</f>
        <v>0</v>
      </c>
      <c r="K1974" s="455">
        <f t="shared" ca="1" si="136"/>
        <v>5930548.385201524</v>
      </c>
      <c r="L1974" s="455">
        <f t="shared" ca="1" si="137"/>
        <v>1429262160.8335671</v>
      </c>
      <c r="M1974" s="471">
        <f t="shared" si="139"/>
        <v>0.05</v>
      </c>
      <c r="N1974" s="475">
        <f t="shared" si="140"/>
        <v>111126</v>
      </c>
    </row>
    <row r="1975" spans="7:14" ht="11.25" customHeight="1" x14ac:dyDescent="0.3">
      <c r="G1975" s="470"/>
      <c r="H1975" s="470">
        <v>1968</v>
      </c>
      <c r="I1975" s="455">
        <f t="shared" ca="1" si="138"/>
        <v>1429262160.8335671</v>
      </c>
      <c r="J1975" s="455">
        <f t="array" ref="J1975">IFERROR(INDEX('Retirement Calculator'!J:J,MATCH('Isaac 401k'!N1975,'Retirement Calculator'!A:A,0),0),0)</f>
        <v>0</v>
      </c>
      <c r="K1975" s="455">
        <f t="shared" ca="1" si="136"/>
        <v>5955259.0034731962</v>
      </c>
      <c r="L1975" s="455">
        <f t="shared" ca="1" si="137"/>
        <v>1435217419.8370404</v>
      </c>
      <c r="M1975" s="471">
        <f t="shared" si="139"/>
        <v>0.05</v>
      </c>
      <c r="N1975" s="475">
        <f t="shared" si="140"/>
        <v>111156</v>
      </c>
    </row>
    <row r="1976" spans="7:14" ht="11.25" customHeight="1" x14ac:dyDescent="0.3">
      <c r="G1976" s="470"/>
      <c r="H1976" s="470">
        <v>1969</v>
      </c>
      <c r="I1976" s="455">
        <f t="shared" ca="1" si="138"/>
        <v>1435217419.8370404</v>
      </c>
      <c r="J1976" s="455">
        <f t="array" ref="J1976">IFERROR(INDEX('Retirement Calculator'!J:J,MATCH('Isaac 401k'!N1976,'Retirement Calculator'!A:A,0),0),0)</f>
        <v>0</v>
      </c>
      <c r="K1976" s="455">
        <f t="shared" ca="1" si="136"/>
        <v>5980072.5826543346</v>
      </c>
      <c r="L1976" s="455">
        <f t="shared" ca="1" si="137"/>
        <v>1441197492.4196947</v>
      </c>
      <c r="M1976" s="471">
        <f t="shared" si="139"/>
        <v>0.05</v>
      </c>
      <c r="N1976" s="475">
        <f t="shared" si="140"/>
        <v>111187</v>
      </c>
    </row>
    <row r="1977" spans="7:14" ht="11.25" customHeight="1" x14ac:dyDescent="0.3">
      <c r="G1977" s="470"/>
      <c r="H1977" s="470">
        <v>1970</v>
      </c>
      <c r="I1977" s="455">
        <f t="shared" ca="1" si="138"/>
        <v>1441197492.4196947</v>
      </c>
      <c r="J1977" s="455">
        <f t="array" ref="J1977">IFERROR(INDEX('Retirement Calculator'!J:J,MATCH('Isaac 401k'!N1977,'Retirement Calculator'!A:A,0),0),0)</f>
        <v>0</v>
      </c>
      <c r="K1977" s="455">
        <f t="shared" ca="1" si="136"/>
        <v>6004989.5517487274</v>
      </c>
      <c r="L1977" s="455">
        <f t="shared" ca="1" si="137"/>
        <v>1447202481.9714434</v>
      </c>
      <c r="M1977" s="471">
        <f t="shared" si="139"/>
        <v>0.05</v>
      </c>
      <c r="N1977" s="475">
        <f t="shared" si="140"/>
        <v>111217</v>
      </c>
    </row>
    <row r="1978" spans="7:14" ht="11.25" customHeight="1" x14ac:dyDescent="0.3">
      <c r="G1978" s="470"/>
      <c r="H1978" s="470">
        <v>1971</v>
      </c>
      <c r="I1978" s="455">
        <f t="shared" ca="1" si="138"/>
        <v>1447202481.9714434</v>
      </c>
      <c r="J1978" s="455">
        <f t="array" ref="J1978">IFERROR(INDEX('Retirement Calculator'!J:J,MATCH('Isaac 401k'!N1978,'Retirement Calculator'!A:A,0),0),0)</f>
        <v>0</v>
      </c>
      <c r="K1978" s="455">
        <f t="shared" ca="1" si="136"/>
        <v>6030010.341547681</v>
      </c>
      <c r="L1978" s="455">
        <f t="shared" ca="1" si="137"/>
        <v>1453232492.3129911</v>
      </c>
      <c r="M1978" s="471">
        <f t="shared" si="139"/>
        <v>0.05</v>
      </c>
      <c r="N1978" s="475">
        <f t="shared" si="140"/>
        <v>111248</v>
      </c>
    </row>
    <row r="1979" spans="7:14" ht="11.25" customHeight="1" x14ac:dyDescent="0.3">
      <c r="G1979" s="470"/>
      <c r="H1979" s="470">
        <v>1972</v>
      </c>
      <c r="I1979" s="455">
        <f t="shared" ca="1" si="138"/>
        <v>1453232492.3129911</v>
      </c>
      <c r="J1979" s="455">
        <f t="array" ref="J1979">IFERROR(INDEX('Retirement Calculator'!J:J,MATCH('Isaac 401k'!N1979,'Retirement Calculator'!A:A,0),0),0)</f>
        <v>0</v>
      </c>
      <c r="K1979" s="455">
        <f t="shared" ca="1" si="136"/>
        <v>6055135.3846374629</v>
      </c>
      <c r="L1979" s="455">
        <f t="shared" ca="1" si="137"/>
        <v>1459287627.6976285</v>
      </c>
      <c r="M1979" s="471">
        <f t="shared" si="139"/>
        <v>0.05</v>
      </c>
      <c r="N1979" s="475">
        <f t="shared" si="140"/>
        <v>111279</v>
      </c>
    </row>
    <row r="1980" spans="7:14" ht="11.25" customHeight="1" x14ac:dyDescent="0.3">
      <c r="G1980" s="470"/>
      <c r="H1980" s="470">
        <v>1973</v>
      </c>
      <c r="I1980" s="455">
        <f t="shared" ca="1" si="138"/>
        <v>1459287627.6976285</v>
      </c>
      <c r="J1980" s="455">
        <f t="array" ref="J1980">IFERROR(INDEX('Retirement Calculator'!J:J,MATCH('Isaac 401k'!N1980,'Retirement Calculator'!A:A,0),0),0)</f>
        <v>0</v>
      </c>
      <c r="K1980" s="455">
        <f t="shared" ca="1" si="136"/>
        <v>6080365.1154067852</v>
      </c>
      <c r="L1980" s="455">
        <f t="shared" ca="1" si="137"/>
        <v>1465367992.8130352</v>
      </c>
      <c r="M1980" s="471">
        <f t="shared" si="139"/>
        <v>0.05</v>
      </c>
      <c r="N1980" s="475">
        <f t="shared" si="140"/>
        <v>111309</v>
      </c>
    </row>
    <row r="1981" spans="7:14" ht="11.25" customHeight="1" x14ac:dyDescent="0.3">
      <c r="G1981" s="470"/>
      <c r="H1981" s="470">
        <v>1974</v>
      </c>
      <c r="I1981" s="455">
        <f t="shared" ca="1" si="138"/>
        <v>1465367992.8130352</v>
      </c>
      <c r="J1981" s="455">
        <f t="array" ref="J1981">IFERROR(INDEX('Retirement Calculator'!J:J,MATCH('Isaac 401k'!N1981,'Retirement Calculator'!A:A,0),0),0)</f>
        <v>0</v>
      </c>
      <c r="K1981" s="455">
        <f t="shared" ca="1" si="136"/>
        <v>6105699.9700543135</v>
      </c>
      <c r="L1981" s="455">
        <f t="shared" ca="1" si="137"/>
        <v>1471473692.7830896</v>
      </c>
      <c r="M1981" s="471">
        <f t="shared" si="139"/>
        <v>0.05</v>
      </c>
      <c r="N1981" s="475">
        <f t="shared" si="140"/>
        <v>111340</v>
      </c>
    </row>
    <row r="1982" spans="7:14" ht="11.25" customHeight="1" x14ac:dyDescent="0.3">
      <c r="G1982" s="470"/>
      <c r="H1982" s="470">
        <v>1975</v>
      </c>
      <c r="I1982" s="455">
        <f t="shared" ca="1" si="138"/>
        <v>1471473692.7830896</v>
      </c>
      <c r="J1982" s="455">
        <f t="array" ref="J1982">IFERROR(INDEX('Retirement Calculator'!J:J,MATCH('Isaac 401k'!N1982,'Retirement Calculator'!A:A,0),0),0)</f>
        <v>0</v>
      </c>
      <c r="K1982" s="455">
        <f t="shared" ca="1" si="136"/>
        <v>6131140.3865962066</v>
      </c>
      <c r="L1982" s="455">
        <f t="shared" ca="1" si="137"/>
        <v>1477604833.1696858</v>
      </c>
      <c r="M1982" s="471">
        <f t="shared" si="139"/>
        <v>0.05</v>
      </c>
      <c r="N1982" s="475">
        <f t="shared" si="140"/>
        <v>111370</v>
      </c>
    </row>
    <row r="1983" spans="7:14" ht="11.25" customHeight="1" x14ac:dyDescent="0.3">
      <c r="G1983" s="470"/>
      <c r="H1983" s="470">
        <v>1976</v>
      </c>
      <c r="I1983" s="455">
        <f t="shared" ca="1" si="138"/>
        <v>1477604833.1696858</v>
      </c>
      <c r="J1983" s="455">
        <f t="array" ref="J1983">IFERROR(INDEX('Retirement Calculator'!J:J,MATCH('Isaac 401k'!N1983,'Retirement Calculator'!A:A,0),0),0)</f>
        <v>0</v>
      </c>
      <c r="K1983" s="455">
        <f t="shared" ca="1" si="136"/>
        <v>6156686.8048736909</v>
      </c>
      <c r="L1983" s="455">
        <f t="shared" ca="1" si="137"/>
        <v>1483761519.9745595</v>
      </c>
      <c r="M1983" s="471">
        <f t="shared" si="139"/>
        <v>0.05</v>
      </c>
      <c r="N1983" s="475">
        <f t="shared" si="140"/>
        <v>111401</v>
      </c>
    </row>
    <row r="1984" spans="7:14" ht="11.25" customHeight="1" x14ac:dyDescent="0.3">
      <c r="G1984" s="470"/>
      <c r="H1984" s="470">
        <v>1977</v>
      </c>
      <c r="I1984" s="455">
        <f t="shared" ca="1" si="138"/>
        <v>1483761519.9745595</v>
      </c>
      <c r="J1984" s="455">
        <f t="array" ref="J1984">IFERROR(INDEX('Retirement Calculator'!J:J,MATCH('Isaac 401k'!N1984,'Retirement Calculator'!A:A,0),0),0)</f>
        <v>0</v>
      </c>
      <c r="K1984" s="455">
        <f t="shared" ca="1" si="136"/>
        <v>6182339.6665606648</v>
      </c>
      <c r="L1984" s="455">
        <f t="shared" ca="1" si="137"/>
        <v>1489943859.6411202</v>
      </c>
      <c r="M1984" s="471">
        <f t="shared" si="139"/>
        <v>0.05</v>
      </c>
      <c r="N1984" s="475">
        <f t="shared" si="140"/>
        <v>111432</v>
      </c>
    </row>
    <row r="1985" spans="7:14" ht="11.25" customHeight="1" x14ac:dyDescent="0.3">
      <c r="G1985" s="470"/>
      <c r="H1985" s="470">
        <v>1978</v>
      </c>
      <c r="I1985" s="455">
        <f t="shared" ca="1" si="138"/>
        <v>1489943859.6411202</v>
      </c>
      <c r="J1985" s="455">
        <f t="array" ref="J1985">IFERROR(INDEX('Retirement Calculator'!J:J,MATCH('Isaac 401k'!N1985,'Retirement Calculator'!A:A,0),0),0)</f>
        <v>0</v>
      </c>
      <c r="K1985" s="455">
        <f t="shared" ca="1" si="136"/>
        <v>6208099.4151713345</v>
      </c>
      <c r="L1985" s="455">
        <f t="shared" ca="1" si="137"/>
        <v>1496151959.0562916</v>
      </c>
      <c r="M1985" s="471">
        <f t="shared" si="139"/>
        <v>0.05</v>
      </c>
      <c r="N1985" s="475">
        <f t="shared" si="140"/>
        <v>111460</v>
      </c>
    </row>
    <row r="1986" spans="7:14" ht="11.25" customHeight="1" x14ac:dyDescent="0.3">
      <c r="G1986" s="470"/>
      <c r="H1986" s="470">
        <v>1979</v>
      </c>
      <c r="I1986" s="455">
        <f t="shared" ca="1" si="138"/>
        <v>1496151959.0562916</v>
      </c>
      <c r="J1986" s="455">
        <f t="array" ref="J1986">IFERROR(INDEX('Retirement Calculator'!J:J,MATCH('Isaac 401k'!N1986,'Retirement Calculator'!A:A,0),0),0)</f>
        <v>0</v>
      </c>
      <c r="K1986" s="455">
        <f t="shared" ca="1" si="136"/>
        <v>6233966.4960678816</v>
      </c>
      <c r="L1986" s="455">
        <f t="shared" ca="1" si="137"/>
        <v>1502385925.5523596</v>
      </c>
      <c r="M1986" s="471">
        <f t="shared" si="139"/>
        <v>0.05</v>
      </c>
      <c r="N1986" s="475">
        <f t="shared" si="140"/>
        <v>111491</v>
      </c>
    </row>
    <row r="1987" spans="7:14" ht="11.25" customHeight="1" x14ac:dyDescent="0.3">
      <c r="G1987" s="470"/>
      <c r="H1987" s="470">
        <v>1980</v>
      </c>
      <c r="I1987" s="455">
        <f t="shared" ca="1" si="138"/>
        <v>1502385925.5523596</v>
      </c>
      <c r="J1987" s="455">
        <f t="array" ref="J1987">IFERROR(INDEX('Retirement Calculator'!J:J,MATCH('Isaac 401k'!N1987,'Retirement Calculator'!A:A,0),0),0)</f>
        <v>0</v>
      </c>
      <c r="K1987" s="455">
        <f t="shared" ca="1" si="136"/>
        <v>6259941.3564681653</v>
      </c>
      <c r="L1987" s="455">
        <f t="shared" ca="1" si="137"/>
        <v>1508645866.9088278</v>
      </c>
      <c r="M1987" s="471">
        <f t="shared" si="139"/>
        <v>0.05</v>
      </c>
      <c r="N1987" s="475">
        <f t="shared" si="140"/>
        <v>111521</v>
      </c>
    </row>
    <row r="1988" spans="7:14" ht="11.25" customHeight="1" x14ac:dyDescent="0.3">
      <c r="G1988" s="470"/>
      <c r="H1988" s="470">
        <v>1981</v>
      </c>
      <c r="I1988" s="455">
        <f t="shared" ca="1" si="138"/>
        <v>1508645866.9088278</v>
      </c>
      <c r="J1988" s="455">
        <f t="array" ref="J1988">IFERROR(INDEX('Retirement Calculator'!J:J,MATCH('Isaac 401k'!N1988,'Retirement Calculator'!A:A,0),0),0)</f>
        <v>0</v>
      </c>
      <c r="K1988" s="455">
        <f t="shared" ca="1" si="136"/>
        <v>6286024.4454534492</v>
      </c>
      <c r="L1988" s="455">
        <f t="shared" ca="1" si="137"/>
        <v>1514931891.3542812</v>
      </c>
      <c r="M1988" s="471">
        <f t="shared" si="139"/>
        <v>0.05</v>
      </c>
      <c r="N1988" s="475">
        <f t="shared" si="140"/>
        <v>111552</v>
      </c>
    </row>
    <row r="1989" spans="7:14" ht="11.25" customHeight="1" x14ac:dyDescent="0.3">
      <c r="G1989" s="470"/>
      <c r="H1989" s="470">
        <v>1982</v>
      </c>
      <c r="I1989" s="455">
        <f t="shared" ca="1" si="138"/>
        <v>1514931891.3542812</v>
      </c>
      <c r="J1989" s="455">
        <f t="array" ref="J1989">IFERROR(INDEX('Retirement Calculator'!J:J,MATCH('Isaac 401k'!N1989,'Retirement Calculator'!A:A,0),0),0)</f>
        <v>0</v>
      </c>
      <c r="K1989" s="455">
        <f t="shared" ca="1" si="136"/>
        <v>6312216.2139761718</v>
      </c>
      <c r="L1989" s="455">
        <f t="shared" ca="1" si="137"/>
        <v>1521244107.5682573</v>
      </c>
      <c r="M1989" s="471">
        <f t="shared" si="139"/>
        <v>0.05</v>
      </c>
      <c r="N1989" s="475">
        <f t="shared" si="140"/>
        <v>111582</v>
      </c>
    </row>
    <row r="1990" spans="7:14" ht="11.25" customHeight="1" x14ac:dyDescent="0.3">
      <c r="G1990" s="470"/>
      <c r="H1990" s="470">
        <v>1983</v>
      </c>
      <c r="I1990" s="455">
        <f t="shared" ca="1" si="138"/>
        <v>1521244107.5682573</v>
      </c>
      <c r="J1990" s="455">
        <f t="array" ref="J1990">IFERROR(INDEX('Retirement Calculator'!J:J,MATCH('Isaac 401k'!N1990,'Retirement Calculator'!A:A,0),0),0)</f>
        <v>0</v>
      </c>
      <c r="K1990" s="455">
        <f t="shared" ca="1" si="136"/>
        <v>6338517.1148677384</v>
      </c>
      <c r="L1990" s="455">
        <f t="shared" ca="1" si="137"/>
        <v>1527582624.683125</v>
      </c>
      <c r="M1990" s="471">
        <f t="shared" si="139"/>
        <v>0.05</v>
      </c>
      <c r="N1990" s="475">
        <f t="shared" si="140"/>
        <v>111613</v>
      </c>
    </row>
    <row r="1991" spans="7:14" ht="11.25" customHeight="1" x14ac:dyDescent="0.3">
      <c r="G1991" s="470"/>
      <c r="H1991" s="470">
        <v>1984</v>
      </c>
      <c r="I1991" s="455">
        <f t="shared" ca="1" si="138"/>
        <v>1527582624.683125</v>
      </c>
      <c r="J1991" s="455">
        <f t="array" ref="J1991">IFERROR(INDEX('Retirement Calculator'!J:J,MATCH('Isaac 401k'!N1991,'Retirement Calculator'!A:A,0),0),0)</f>
        <v>0</v>
      </c>
      <c r="K1991" s="455">
        <f t="shared" ca="1" si="136"/>
        <v>6364927.6028463542</v>
      </c>
      <c r="L1991" s="455">
        <f t="shared" ca="1" si="137"/>
        <v>1533947552.2859714</v>
      </c>
      <c r="M1991" s="471">
        <f t="shared" si="139"/>
        <v>0.05</v>
      </c>
      <c r="N1991" s="475">
        <f t="shared" si="140"/>
        <v>111644</v>
      </c>
    </row>
    <row r="1992" spans="7:14" ht="11.25" customHeight="1" x14ac:dyDescent="0.3">
      <c r="G1992" s="470"/>
      <c r="H1992" s="470">
        <v>1985</v>
      </c>
      <c r="I1992" s="455">
        <f t="shared" ca="1" si="138"/>
        <v>1533947552.2859714</v>
      </c>
      <c r="J1992" s="455">
        <f t="array" ref="J1992">IFERROR(INDEX('Retirement Calculator'!J:J,MATCH('Isaac 401k'!N1992,'Retirement Calculator'!A:A,0),0),0)</f>
        <v>0</v>
      </c>
      <c r="K1992" s="455">
        <f t="shared" ca="1" si="136"/>
        <v>6391448.1345248809</v>
      </c>
      <c r="L1992" s="455">
        <f t="shared" ca="1" si="137"/>
        <v>1540339000.4204962</v>
      </c>
      <c r="M1992" s="471">
        <f t="shared" si="139"/>
        <v>0.05</v>
      </c>
      <c r="N1992" s="475">
        <f t="shared" si="140"/>
        <v>111674</v>
      </c>
    </row>
    <row r="1993" spans="7:14" ht="11.25" customHeight="1" x14ac:dyDescent="0.3">
      <c r="G1993" s="470"/>
      <c r="H1993" s="470">
        <v>1986</v>
      </c>
      <c r="I1993" s="455">
        <f t="shared" ca="1" si="138"/>
        <v>1540339000.4204962</v>
      </c>
      <c r="J1993" s="455">
        <f t="array" ref="J1993">IFERROR(INDEX('Retirement Calculator'!J:J,MATCH('Isaac 401k'!N1993,'Retirement Calculator'!A:A,0),0),0)</f>
        <v>0</v>
      </c>
      <c r="K1993" s="455">
        <f t="shared" ca="1" si="136"/>
        <v>6418079.1684187343</v>
      </c>
      <c r="L1993" s="455">
        <f t="shared" ca="1" si="137"/>
        <v>1546757079.5889149</v>
      </c>
      <c r="M1993" s="471">
        <f t="shared" si="139"/>
        <v>0.05</v>
      </c>
      <c r="N1993" s="475">
        <f t="shared" si="140"/>
        <v>111705</v>
      </c>
    </row>
    <row r="1994" spans="7:14" ht="11.25" customHeight="1" x14ac:dyDescent="0.3">
      <c r="G1994" s="470"/>
      <c r="H1994" s="470">
        <v>1987</v>
      </c>
      <c r="I1994" s="455">
        <f t="shared" ca="1" si="138"/>
        <v>1546757079.5889149</v>
      </c>
      <c r="J1994" s="455">
        <f t="array" ref="J1994">IFERROR(INDEX('Retirement Calculator'!J:J,MATCH('Isaac 401k'!N1994,'Retirement Calculator'!A:A,0),0),0)</f>
        <v>0</v>
      </c>
      <c r="K1994" s="455">
        <f t="shared" ca="1" si="136"/>
        <v>6444821.164953812</v>
      </c>
      <c r="L1994" s="455">
        <f t="shared" ca="1" si="137"/>
        <v>1553201900.7538686</v>
      </c>
      <c r="M1994" s="471">
        <f t="shared" si="139"/>
        <v>0.05</v>
      </c>
      <c r="N1994" s="475">
        <f t="shared" si="140"/>
        <v>111735</v>
      </c>
    </row>
    <row r="1995" spans="7:14" ht="11.25" customHeight="1" x14ac:dyDescent="0.3">
      <c r="G1995" s="470"/>
      <c r="H1995" s="470">
        <v>1988</v>
      </c>
      <c r="I1995" s="455">
        <f t="shared" ca="1" si="138"/>
        <v>1553201900.7538686</v>
      </c>
      <c r="J1995" s="455">
        <f t="array" ref="J1995">IFERROR(INDEX('Retirement Calculator'!J:J,MATCH('Isaac 401k'!N1995,'Retirement Calculator'!A:A,0),0),0)</f>
        <v>0</v>
      </c>
      <c r="K1995" s="455">
        <f t="shared" ca="1" si="136"/>
        <v>6471674.5864744522</v>
      </c>
      <c r="L1995" s="455">
        <f t="shared" ca="1" si="137"/>
        <v>1559673575.340343</v>
      </c>
      <c r="M1995" s="471">
        <f t="shared" si="139"/>
        <v>0.05</v>
      </c>
      <c r="N1995" s="475">
        <f t="shared" si="140"/>
        <v>111766</v>
      </c>
    </row>
    <row r="1996" spans="7:14" ht="11.25" customHeight="1" x14ac:dyDescent="0.3">
      <c r="G1996" s="470"/>
      <c r="H1996" s="470">
        <v>1989</v>
      </c>
      <c r="I1996" s="455">
        <f t="shared" ca="1" si="138"/>
        <v>1559673575.340343</v>
      </c>
      <c r="J1996" s="455">
        <f t="array" ref="J1996">IFERROR(INDEX('Retirement Calculator'!J:J,MATCH('Isaac 401k'!N1996,'Retirement Calculator'!A:A,0),0),0)</f>
        <v>0</v>
      </c>
      <c r="K1996" s="455">
        <f t="shared" ca="1" si="136"/>
        <v>6498639.897251429</v>
      </c>
      <c r="L1996" s="455">
        <f t="shared" ca="1" si="137"/>
        <v>1566172215.2375944</v>
      </c>
      <c r="M1996" s="471">
        <f t="shared" si="139"/>
        <v>0.05</v>
      </c>
      <c r="N1996" s="475">
        <f t="shared" si="140"/>
        <v>111797</v>
      </c>
    </row>
    <row r="1997" spans="7:14" ht="11.25" customHeight="1" x14ac:dyDescent="0.3">
      <c r="G1997" s="470"/>
      <c r="H1997" s="470">
        <v>1990</v>
      </c>
      <c r="I1997" s="455">
        <f t="shared" ca="1" si="138"/>
        <v>1566172215.2375944</v>
      </c>
      <c r="J1997" s="455">
        <f t="array" ref="J1997">IFERROR(INDEX('Retirement Calculator'!J:J,MATCH('Isaac 401k'!N1997,'Retirement Calculator'!A:A,0),0),0)</f>
        <v>0</v>
      </c>
      <c r="K1997" s="455">
        <f t="shared" ca="1" si="136"/>
        <v>6525717.5634899763</v>
      </c>
      <c r="L1997" s="455">
        <f t="shared" ca="1" si="137"/>
        <v>1572697932.8010843</v>
      </c>
      <c r="M1997" s="471">
        <f t="shared" si="139"/>
        <v>0.05</v>
      </c>
      <c r="N1997" s="475">
        <f t="shared" si="140"/>
        <v>111825</v>
      </c>
    </row>
    <row r="1998" spans="7:14" ht="11.25" customHeight="1" x14ac:dyDescent="0.3">
      <c r="G1998" s="470"/>
      <c r="H1998" s="470">
        <v>1991</v>
      </c>
      <c r="I1998" s="455">
        <f t="shared" ca="1" si="138"/>
        <v>1572697932.8010843</v>
      </c>
      <c r="J1998" s="455">
        <f t="array" ref="J1998">IFERROR(INDEX('Retirement Calculator'!J:J,MATCH('Isaac 401k'!N1998,'Retirement Calculator'!A:A,0),0),0)</f>
        <v>0</v>
      </c>
      <c r="K1998" s="455">
        <f t="shared" ca="1" si="136"/>
        <v>6552908.0533378515</v>
      </c>
      <c r="L1998" s="455">
        <f t="shared" ca="1" si="137"/>
        <v>1579250840.8544221</v>
      </c>
      <c r="M1998" s="471">
        <f t="shared" si="139"/>
        <v>0.05</v>
      </c>
      <c r="N1998" s="475">
        <f t="shared" si="140"/>
        <v>111856</v>
      </c>
    </row>
    <row r="1999" spans="7:14" ht="11.25" customHeight="1" x14ac:dyDescent="0.3">
      <c r="G1999" s="470"/>
      <c r="H1999" s="470">
        <v>1992</v>
      </c>
      <c r="I1999" s="455">
        <f t="shared" ca="1" si="138"/>
        <v>1579250840.8544221</v>
      </c>
      <c r="J1999" s="455">
        <f t="array" ref="J1999">IFERROR(INDEX('Retirement Calculator'!J:J,MATCH('Isaac 401k'!N1999,'Retirement Calculator'!A:A,0),0),0)</f>
        <v>0</v>
      </c>
      <c r="K1999" s="455">
        <f t="shared" ca="1" si="136"/>
        <v>6580211.8368934253</v>
      </c>
      <c r="L1999" s="455">
        <f t="shared" ca="1" si="137"/>
        <v>1585831052.6913154</v>
      </c>
      <c r="M1999" s="471">
        <f t="shared" si="139"/>
        <v>0.05</v>
      </c>
      <c r="N1999" s="475">
        <f t="shared" si="140"/>
        <v>111886</v>
      </c>
    </row>
    <row r="2000" spans="7:14" ht="11.25" customHeight="1" x14ac:dyDescent="0.3">
      <c r="G2000" s="470"/>
      <c r="H2000" s="470">
        <v>1993</v>
      </c>
      <c r="I2000" s="455">
        <f t="shared" ca="1" si="138"/>
        <v>1585831052.6913154</v>
      </c>
      <c r="J2000" s="455">
        <f t="array" ref="J2000">IFERROR(INDEX('Retirement Calculator'!J:J,MATCH('Isaac 401k'!N2000,'Retirement Calculator'!A:A,0),0),0)</f>
        <v>0</v>
      </c>
      <c r="K2000" s="455">
        <f t="shared" ca="1" si="136"/>
        <v>6607629.3862138139</v>
      </c>
      <c r="L2000" s="455">
        <f t="shared" ca="1" si="137"/>
        <v>1592438682.0775292</v>
      </c>
      <c r="M2000" s="471">
        <f t="shared" si="139"/>
        <v>0.05</v>
      </c>
      <c r="N2000" s="475">
        <f t="shared" si="140"/>
        <v>111917</v>
      </c>
    </row>
    <row r="2001" spans="7:14" ht="11.25" customHeight="1" x14ac:dyDescent="0.3">
      <c r="G2001" s="470"/>
      <c r="H2001" s="470">
        <v>1994</v>
      </c>
      <c r="I2001" s="455">
        <f t="shared" ca="1" si="138"/>
        <v>1592438682.0775292</v>
      </c>
      <c r="J2001" s="455">
        <f t="array" ref="J2001">IFERROR(INDEX('Retirement Calculator'!J:J,MATCH('Isaac 401k'!N2001,'Retirement Calculator'!A:A,0),0),0)</f>
        <v>0</v>
      </c>
      <c r="K2001" s="455">
        <f t="shared" ca="1" si="136"/>
        <v>6635161.1753230384</v>
      </c>
      <c r="L2001" s="455">
        <f t="shared" ca="1" si="137"/>
        <v>1599073843.2528522</v>
      </c>
      <c r="M2001" s="471">
        <f t="shared" si="139"/>
        <v>0.05</v>
      </c>
      <c r="N2001" s="475">
        <f t="shared" si="140"/>
        <v>111947</v>
      </c>
    </row>
    <row r="2002" spans="7:14" ht="11.25" customHeight="1" x14ac:dyDescent="0.3">
      <c r="G2002" s="470"/>
      <c r="H2002" s="470">
        <v>1995</v>
      </c>
      <c r="I2002" s="455">
        <f t="shared" ca="1" si="138"/>
        <v>1599073843.2528522</v>
      </c>
      <c r="J2002" s="455">
        <f t="array" ref="J2002">IFERROR(INDEX('Retirement Calculator'!J:J,MATCH('Isaac 401k'!N2002,'Retirement Calculator'!A:A,0),0),0)</f>
        <v>0</v>
      </c>
      <c r="K2002" s="455">
        <f t="shared" ca="1" si="136"/>
        <v>6662807.6802202174</v>
      </c>
      <c r="L2002" s="455">
        <f t="shared" ca="1" si="137"/>
        <v>1605736650.9330723</v>
      </c>
      <c r="M2002" s="471">
        <f t="shared" si="139"/>
        <v>0.05</v>
      </c>
      <c r="N2002" s="475">
        <f t="shared" si="140"/>
        <v>111978</v>
      </c>
    </row>
    <row r="2003" spans="7:14" ht="11.25" customHeight="1" x14ac:dyDescent="0.3">
      <c r="G2003" s="470"/>
      <c r="H2003" s="470">
        <v>1996</v>
      </c>
      <c r="I2003" s="455">
        <f t="shared" ca="1" si="138"/>
        <v>1605736650.9330723</v>
      </c>
      <c r="J2003" s="455">
        <f t="array" ref="J2003">IFERROR(INDEX('Retirement Calculator'!J:J,MATCH('Isaac 401k'!N2003,'Retirement Calculator'!A:A,0),0),0)</f>
        <v>0</v>
      </c>
      <c r="K2003" s="455">
        <f t="shared" ca="1" si="136"/>
        <v>6690569.3788878014</v>
      </c>
      <c r="L2003" s="455">
        <f t="shared" ca="1" si="137"/>
        <v>1612427220.3119602</v>
      </c>
      <c r="M2003" s="471">
        <f t="shared" si="139"/>
        <v>0.05</v>
      </c>
      <c r="N2003" s="475">
        <f t="shared" si="140"/>
        <v>112009</v>
      </c>
    </row>
    <row r="2004" spans="7:14" ht="11.25" customHeight="1" x14ac:dyDescent="0.3">
      <c r="G2004" s="470"/>
      <c r="H2004" s="470">
        <v>1997</v>
      </c>
      <c r="I2004" s="455">
        <f t="shared" ca="1" si="138"/>
        <v>1612427220.3119602</v>
      </c>
      <c r="J2004" s="455">
        <f t="array" ref="J2004">IFERROR(INDEX('Retirement Calculator'!J:J,MATCH('Isaac 401k'!N2004,'Retirement Calculator'!A:A,0),0),0)</f>
        <v>0</v>
      </c>
      <c r="K2004" s="455">
        <f t="shared" ca="1" si="136"/>
        <v>6718446.7512998339</v>
      </c>
      <c r="L2004" s="455">
        <f t="shared" ca="1" si="137"/>
        <v>1619145667.0632601</v>
      </c>
      <c r="M2004" s="471">
        <f t="shared" si="139"/>
        <v>0.05</v>
      </c>
      <c r="N2004" s="475">
        <f t="shared" si="140"/>
        <v>112039</v>
      </c>
    </row>
    <row r="2005" spans="7:14" ht="11.25" customHeight="1" x14ac:dyDescent="0.3">
      <c r="G2005" s="470"/>
      <c r="H2005" s="470">
        <v>1998</v>
      </c>
      <c r="I2005" s="455">
        <f t="shared" ca="1" si="138"/>
        <v>1619145667.0632601</v>
      </c>
      <c r="J2005" s="455">
        <f t="array" ref="J2005">IFERROR(INDEX('Retirement Calculator'!J:J,MATCH('Isaac 401k'!N2005,'Retirement Calculator'!A:A,0),0),0)</f>
        <v>0</v>
      </c>
      <c r="K2005" s="455">
        <f t="shared" ca="1" si="136"/>
        <v>6746440.2794302506</v>
      </c>
      <c r="L2005" s="455">
        <f t="shared" ca="1" si="137"/>
        <v>1625892107.3426902</v>
      </c>
      <c r="M2005" s="471">
        <f t="shared" si="139"/>
        <v>0.05</v>
      </c>
      <c r="N2005" s="475">
        <f t="shared" si="140"/>
        <v>112070</v>
      </c>
    </row>
    <row r="2006" spans="7:14" ht="11.25" customHeight="1" x14ac:dyDescent="0.3">
      <c r="G2006" s="470"/>
      <c r="H2006" s="470">
        <v>1999</v>
      </c>
      <c r="I2006" s="455">
        <f t="shared" ca="1" si="138"/>
        <v>1625892107.3426902</v>
      </c>
      <c r="J2006" s="455">
        <f t="array" ref="J2006">IFERROR(INDEX('Retirement Calculator'!J:J,MATCH('Isaac 401k'!N2006,'Retirement Calculator'!A:A,0),0),0)</f>
        <v>0</v>
      </c>
      <c r="K2006" s="455">
        <f t="shared" ca="1" si="136"/>
        <v>6774550.4472612096</v>
      </c>
      <c r="L2006" s="455">
        <f t="shared" ca="1" si="137"/>
        <v>1632666657.7899513</v>
      </c>
      <c r="M2006" s="471">
        <f t="shared" si="139"/>
        <v>0.05</v>
      </c>
      <c r="N2006" s="475">
        <f t="shared" si="140"/>
        <v>112100</v>
      </c>
    </row>
    <row r="2007" spans="7:14" ht="11.25" customHeight="1" x14ac:dyDescent="0.3">
      <c r="G2007" s="470"/>
      <c r="H2007" s="470">
        <v>2000</v>
      </c>
      <c r="I2007" s="455">
        <f t="shared" ca="1" si="138"/>
        <v>1632666657.7899513</v>
      </c>
      <c r="J2007" s="455">
        <f t="array" ref="J2007">IFERROR(INDEX('Retirement Calculator'!J:J,MATCH('Isaac 401k'!N2007,'Retirement Calculator'!A:A,0),0),0)</f>
        <v>0</v>
      </c>
      <c r="K2007" s="455">
        <f t="shared" ca="1" si="136"/>
        <v>6802777.7407914633</v>
      </c>
      <c r="L2007" s="455">
        <f t="shared" ca="1" si="137"/>
        <v>1639469435.5307429</v>
      </c>
      <c r="M2007" s="471">
        <f t="shared" si="139"/>
        <v>0.05</v>
      </c>
      <c r="N2007" s="475">
        <f t="shared" si="140"/>
        <v>112131</v>
      </c>
    </row>
    <row r="2008" spans="7:14" ht="11.25" customHeight="1" x14ac:dyDescent="0.3">
      <c r="G2008" s="470"/>
      <c r="H2008" s="470">
        <v>2001</v>
      </c>
      <c r="I2008" s="455">
        <f t="shared" ca="1" si="138"/>
        <v>1639469435.5307429</v>
      </c>
      <c r="J2008" s="455">
        <f t="array" ref="J2008">IFERROR(INDEX('Retirement Calculator'!J:J,MATCH('Isaac 401k'!N2008,'Retirement Calculator'!A:A,0),0),0)</f>
        <v>0</v>
      </c>
      <c r="K2008" s="455">
        <f t="shared" ca="1" si="136"/>
        <v>6831122.6480447622</v>
      </c>
      <c r="L2008" s="455">
        <f t="shared" ca="1" si="137"/>
        <v>1646300558.1787877</v>
      </c>
      <c r="M2008" s="471">
        <f t="shared" si="139"/>
        <v>0.05</v>
      </c>
      <c r="N2008" s="475">
        <f t="shared" si="140"/>
        <v>112162</v>
      </c>
    </row>
    <row r="2009" spans="7:14" ht="11.25" customHeight="1" x14ac:dyDescent="0.3">
      <c r="G2009" s="470"/>
      <c r="H2009" s="470">
        <v>2002</v>
      </c>
      <c r="I2009" s="455">
        <f t="shared" ca="1" si="138"/>
        <v>1646300558.1787877</v>
      </c>
      <c r="J2009" s="455">
        <f t="array" ref="J2009">IFERROR(INDEX('Retirement Calculator'!J:J,MATCH('Isaac 401k'!N2009,'Retirement Calculator'!A:A,0),0),0)</f>
        <v>0</v>
      </c>
      <c r="K2009" s="455">
        <f t="shared" ca="1" si="136"/>
        <v>6859585.6590782823</v>
      </c>
      <c r="L2009" s="455">
        <f t="shared" ca="1" si="137"/>
        <v>1653160143.8378661</v>
      </c>
      <c r="M2009" s="471">
        <f t="shared" si="139"/>
        <v>0.05</v>
      </c>
      <c r="N2009" s="475">
        <f t="shared" si="140"/>
        <v>112190</v>
      </c>
    </row>
    <row r="2010" spans="7:14" ht="11.25" customHeight="1" x14ac:dyDescent="0.3">
      <c r="G2010" s="470"/>
      <c r="H2010" s="470">
        <v>2003</v>
      </c>
      <c r="I2010" s="455">
        <f t="shared" ca="1" si="138"/>
        <v>1653160143.8378661</v>
      </c>
      <c r="J2010" s="455">
        <f t="array" ref="J2010">IFERROR(INDEX('Retirement Calculator'!J:J,MATCH('Isaac 401k'!N2010,'Retirement Calculator'!A:A,0),0),0)</f>
        <v>0</v>
      </c>
      <c r="K2010" s="455">
        <f t="shared" ca="1" si="136"/>
        <v>6888167.2659911085</v>
      </c>
      <c r="L2010" s="455">
        <f t="shared" ca="1" si="137"/>
        <v>1660048311.1038573</v>
      </c>
      <c r="M2010" s="471">
        <f t="shared" si="139"/>
        <v>0.05</v>
      </c>
      <c r="N2010" s="475">
        <f t="shared" si="140"/>
        <v>112221</v>
      </c>
    </row>
    <row r="2011" spans="7:14" ht="11.25" customHeight="1" x14ac:dyDescent="0.3">
      <c r="G2011" s="470"/>
      <c r="H2011" s="470">
        <v>2004</v>
      </c>
      <c r="I2011" s="455">
        <f t="shared" ca="1" si="138"/>
        <v>1660048311.1038573</v>
      </c>
      <c r="J2011" s="455">
        <f t="array" ref="J2011">IFERROR(INDEX('Retirement Calculator'!J:J,MATCH('Isaac 401k'!N2011,'Retirement Calculator'!A:A,0),0),0)</f>
        <v>0</v>
      </c>
      <c r="K2011" s="455">
        <f t="shared" ca="1" si="136"/>
        <v>6916867.9629327385</v>
      </c>
      <c r="L2011" s="455">
        <f t="shared" ca="1" si="137"/>
        <v>1666965179.0667901</v>
      </c>
      <c r="M2011" s="471">
        <f t="shared" si="139"/>
        <v>0.05</v>
      </c>
      <c r="N2011" s="475">
        <f t="shared" si="140"/>
        <v>112251</v>
      </c>
    </row>
    <row r="2012" spans="7:14" ht="11.25" customHeight="1" x14ac:dyDescent="0.3">
      <c r="G2012" s="470"/>
      <c r="H2012" s="470">
        <v>2005</v>
      </c>
      <c r="I2012" s="455">
        <f t="shared" ca="1" si="138"/>
        <v>1666965179.0667901</v>
      </c>
      <c r="J2012" s="455">
        <f t="array" ref="J2012">IFERROR(INDEX('Retirement Calculator'!J:J,MATCH('Isaac 401k'!N2012,'Retirement Calculator'!A:A,0),0),0)</f>
        <v>0</v>
      </c>
      <c r="K2012" s="455">
        <f t="shared" ca="1" si="136"/>
        <v>6945688.2461116249</v>
      </c>
      <c r="L2012" s="455">
        <f t="shared" ca="1" si="137"/>
        <v>1673910867.3129017</v>
      </c>
      <c r="M2012" s="471">
        <f t="shared" si="139"/>
        <v>0.05</v>
      </c>
      <c r="N2012" s="475">
        <f t="shared" si="140"/>
        <v>112282</v>
      </c>
    </row>
    <row r="2013" spans="7:14" ht="11.25" customHeight="1" x14ac:dyDescent="0.3">
      <c r="G2013" s="470"/>
      <c r="H2013" s="470">
        <v>2006</v>
      </c>
      <c r="I2013" s="455">
        <f t="shared" ca="1" si="138"/>
        <v>1673910867.3129017</v>
      </c>
      <c r="J2013" s="455">
        <f t="array" ref="J2013">IFERROR(INDEX('Retirement Calculator'!J:J,MATCH('Isaac 401k'!N2013,'Retirement Calculator'!A:A,0),0),0)</f>
        <v>0</v>
      </c>
      <c r="K2013" s="455">
        <f t="shared" ca="1" si="136"/>
        <v>6974628.6138037574</v>
      </c>
      <c r="L2013" s="455">
        <f t="shared" ca="1" si="137"/>
        <v>1680885495.9267056</v>
      </c>
      <c r="M2013" s="471">
        <f t="shared" si="139"/>
        <v>0.05</v>
      </c>
      <c r="N2013" s="475">
        <f t="shared" si="140"/>
        <v>112312</v>
      </c>
    </row>
    <row r="2014" spans="7:14" ht="11.25" customHeight="1" x14ac:dyDescent="0.3">
      <c r="G2014" s="470"/>
      <c r="H2014" s="470">
        <v>2007</v>
      </c>
      <c r="I2014" s="455">
        <f t="shared" ca="1" si="138"/>
        <v>1680885495.9267056</v>
      </c>
      <c r="J2014" s="455">
        <f t="array" ref="J2014">IFERROR(INDEX('Retirement Calculator'!J:J,MATCH('Isaac 401k'!N2014,'Retirement Calculator'!A:A,0),0),0)</f>
        <v>0</v>
      </c>
      <c r="K2014" s="455">
        <f t="shared" ca="1" si="136"/>
        <v>7003689.5663612718</v>
      </c>
      <c r="L2014" s="455">
        <f t="shared" ca="1" si="137"/>
        <v>1687889185.4930668</v>
      </c>
      <c r="M2014" s="471">
        <f t="shared" si="139"/>
        <v>0.05</v>
      </c>
      <c r="N2014" s="475">
        <f t="shared" si="140"/>
        <v>112343</v>
      </c>
    </row>
    <row r="2015" spans="7:14" ht="11.25" customHeight="1" x14ac:dyDescent="0.3">
      <c r="G2015" s="470"/>
      <c r="H2015" s="470">
        <v>2008</v>
      </c>
      <c r="I2015" s="455">
        <f t="shared" ca="1" si="138"/>
        <v>1687889185.4930668</v>
      </c>
      <c r="J2015" s="455">
        <f t="array" ref="J2015">IFERROR(INDEX('Retirement Calculator'!J:J,MATCH('Isaac 401k'!N2015,'Retirement Calculator'!A:A,0),0),0)</f>
        <v>0</v>
      </c>
      <c r="K2015" s="455">
        <f t="shared" ca="1" si="136"/>
        <v>7032871.6062211124</v>
      </c>
      <c r="L2015" s="455">
        <f t="shared" ca="1" si="137"/>
        <v>1694922057.099288</v>
      </c>
      <c r="M2015" s="471">
        <f t="shared" si="139"/>
        <v>0.05</v>
      </c>
      <c r="N2015" s="475">
        <f t="shared" si="140"/>
        <v>112374</v>
      </c>
    </row>
    <row r="2016" spans="7:14" ht="11.25" customHeight="1" x14ac:dyDescent="0.3">
      <c r="G2016" s="470"/>
      <c r="H2016" s="470">
        <v>2009</v>
      </c>
      <c r="I2016" s="455">
        <f t="shared" ca="1" si="138"/>
        <v>1694922057.099288</v>
      </c>
      <c r="J2016" s="455">
        <f t="array" ref="J2016">IFERROR(INDEX('Retirement Calculator'!J:J,MATCH('Isaac 401k'!N2016,'Retirement Calculator'!A:A,0),0),0)</f>
        <v>0</v>
      </c>
      <c r="K2016" s="455">
        <f t="shared" ca="1" si="136"/>
        <v>7062175.2379136998</v>
      </c>
      <c r="L2016" s="455">
        <f t="shared" ca="1" si="137"/>
        <v>1701984232.3372016</v>
      </c>
      <c r="M2016" s="471">
        <f t="shared" si="139"/>
        <v>0.05</v>
      </c>
      <c r="N2016" s="475">
        <f t="shared" si="140"/>
        <v>112404</v>
      </c>
    </row>
    <row r="2017" spans="7:14" ht="11.25" customHeight="1" x14ac:dyDescent="0.3">
      <c r="G2017" s="470"/>
      <c r="H2017" s="470">
        <v>2010</v>
      </c>
      <c r="I2017" s="455">
        <f t="shared" ca="1" si="138"/>
        <v>1701984232.3372016</v>
      </c>
      <c r="J2017" s="455">
        <f t="array" ref="J2017">IFERROR(INDEX('Retirement Calculator'!J:J,MATCH('Isaac 401k'!N2017,'Retirement Calculator'!A:A,0),0),0)</f>
        <v>0</v>
      </c>
      <c r="K2017" s="455">
        <f t="shared" ca="1" si="136"/>
        <v>7091600.968071674</v>
      </c>
      <c r="L2017" s="455">
        <f t="shared" ca="1" si="137"/>
        <v>1709075833.3052733</v>
      </c>
      <c r="M2017" s="471">
        <f t="shared" si="139"/>
        <v>0.05</v>
      </c>
      <c r="N2017" s="475">
        <f t="shared" si="140"/>
        <v>112435</v>
      </c>
    </row>
    <row r="2018" spans="7:14" ht="11.25" customHeight="1" x14ac:dyDescent="0.3">
      <c r="G2018" s="470"/>
      <c r="H2018" s="470">
        <v>2011</v>
      </c>
      <c r="I2018" s="455">
        <f t="shared" ca="1" si="138"/>
        <v>1709075833.3052733</v>
      </c>
      <c r="J2018" s="455">
        <f t="array" ref="J2018">IFERROR(INDEX('Retirement Calculator'!J:J,MATCH('Isaac 401k'!N2018,'Retirement Calculator'!A:A,0),0),0)</f>
        <v>0</v>
      </c>
      <c r="K2018" s="455">
        <f t="shared" ca="1" si="136"/>
        <v>7121149.3054386396</v>
      </c>
      <c r="L2018" s="455">
        <f t="shared" ca="1" si="137"/>
        <v>1716196982.6107121</v>
      </c>
      <c r="M2018" s="471">
        <f t="shared" si="139"/>
        <v>0.05</v>
      </c>
      <c r="N2018" s="475">
        <f t="shared" si="140"/>
        <v>112465</v>
      </c>
    </row>
    <row r="2019" spans="7:14" ht="11.25" customHeight="1" x14ac:dyDescent="0.3">
      <c r="G2019" s="470"/>
      <c r="H2019" s="470">
        <v>2012</v>
      </c>
      <c r="I2019" s="455">
        <f t="shared" ca="1" si="138"/>
        <v>1716196982.6107121</v>
      </c>
      <c r="J2019" s="455">
        <f t="array" ref="J2019">IFERROR(INDEX('Retirement Calculator'!J:J,MATCH('Isaac 401k'!N2019,'Retirement Calculator'!A:A,0),0),0)</f>
        <v>0</v>
      </c>
      <c r="K2019" s="455">
        <f t="shared" ca="1" si="136"/>
        <v>7150820.7608779669</v>
      </c>
      <c r="L2019" s="455">
        <f t="shared" ca="1" si="137"/>
        <v>1723347803.3715901</v>
      </c>
      <c r="M2019" s="471">
        <f t="shared" si="139"/>
        <v>0.05</v>
      </c>
      <c r="N2019" s="475">
        <f t="shared" si="140"/>
        <v>112496</v>
      </c>
    </row>
    <row r="2020" spans="7:14" ht="11.25" customHeight="1" x14ac:dyDescent="0.3">
      <c r="G2020" s="470"/>
      <c r="H2020" s="470">
        <v>2013</v>
      </c>
      <c r="I2020" s="455">
        <f t="shared" ca="1" si="138"/>
        <v>1723347803.3715901</v>
      </c>
      <c r="J2020" s="455">
        <f t="array" ref="J2020">IFERROR(INDEX('Retirement Calculator'!J:J,MATCH('Isaac 401k'!N2020,'Retirement Calculator'!A:A,0),0),0)</f>
        <v>0</v>
      </c>
      <c r="K2020" s="455">
        <f t="shared" ca="1" si="136"/>
        <v>7180615.8473816253</v>
      </c>
      <c r="L2020" s="455">
        <f t="shared" ca="1" si="137"/>
        <v>1730528419.2189717</v>
      </c>
      <c r="M2020" s="471">
        <f t="shared" si="139"/>
        <v>0.05</v>
      </c>
      <c r="N2020" s="475">
        <f t="shared" si="140"/>
        <v>112527</v>
      </c>
    </row>
    <row r="2021" spans="7:14" ht="11.25" customHeight="1" x14ac:dyDescent="0.3">
      <c r="G2021" s="470"/>
      <c r="H2021" s="470">
        <v>2014</v>
      </c>
      <c r="I2021" s="455">
        <f t="shared" ca="1" si="138"/>
        <v>1730528419.2189717</v>
      </c>
      <c r="J2021" s="455">
        <f t="array" ref="J2021">IFERROR(INDEX('Retirement Calculator'!J:J,MATCH('Isaac 401k'!N2021,'Retirement Calculator'!A:A,0),0),0)</f>
        <v>0</v>
      </c>
      <c r="K2021" s="455">
        <f t="shared" ca="1" si="136"/>
        <v>7210535.0800790489</v>
      </c>
      <c r="L2021" s="455">
        <f t="shared" ca="1" si="137"/>
        <v>1737738954.2990508</v>
      </c>
      <c r="M2021" s="471">
        <f t="shared" si="139"/>
        <v>0.05</v>
      </c>
      <c r="N2021" s="475">
        <f t="shared" si="140"/>
        <v>112556</v>
      </c>
    </row>
    <row r="2022" spans="7:14" ht="11.25" customHeight="1" x14ac:dyDescent="0.3">
      <c r="G2022" s="470"/>
      <c r="H2022" s="470">
        <v>2015</v>
      </c>
      <c r="I2022" s="455">
        <f t="shared" ca="1" si="138"/>
        <v>1737738954.2990508</v>
      </c>
      <c r="J2022" s="455">
        <f t="array" ref="J2022">IFERROR(INDEX('Retirement Calculator'!J:J,MATCH('Isaac 401k'!N2022,'Retirement Calculator'!A:A,0),0),0)</f>
        <v>0</v>
      </c>
      <c r="K2022" s="455">
        <f t="shared" ca="1" si="136"/>
        <v>7240578.976246045</v>
      </c>
      <c r="L2022" s="455">
        <f t="shared" ca="1" si="137"/>
        <v>1744979533.2752969</v>
      </c>
      <c r="M2022" s="471">
        <f t="shared" si="139"/>
        <v>0.05</v>
      </c>
      <c r="N2022" s="475">
        <f t="shared" si="140"/>
        <v>112587</v>
      </c>
    </row>
    <row r="2023" spans="7:14" ht="11.25" customHeight="1" x14ac:dyDescent="0.3">
      <c r="G2023" s="470"/>
      <c r="H2023" s="470">
        <v>2016</v>
      </c>
      <c r="I2023" s="455">
        <f t="shared" ca="1" si="138"/>
        <v>1744979533.2752969</v>
      </c>
      <c r="J2023" s="455">
        <f t="array" ref="J2023">IFERROR(INDEX('Retirement Calculator'!J:J,MATCH('Isaac 401k'!N2023,'Retirement Calculator'!A:A,0),0),0)</f>
        <v>0</v>
      </c>
      <c r="K2023" s="455">
        <f t="shared" ca="1" si="136"/>
        <v>7270748.0553137381</v>
      </c>
      <c r="L2023" s="455">
        <f t="shared" ca="1" si="137"/>
        <v>1752250281.3306108</v>
      </c>
      <c r="M2023" s="471">
        <f t="shared" si="139"/>
        <v>0.05</v>
      </c>
      <c r="N2023" s="475">
        <f t="shared" si="140"/>
        <v>112617</v>
      </c>
    </row>
    <row r="2024" spans="7:14" ht="11.25" customHeight="1" x14ac:dyDescent="0.3">
      <c r="G2024" s="470"/>
      <c r="H2024" s="470">
        <v>2017</v>
      </c>
      <c r="I2024" s="455">
        <f t="shared" ca="1" si="138"/>
        <v>1752250281.3306108</v>
      </c>
      <c r="J2024" s="455">
        <f t="array" ref="J2024">IFERROR(INDEX('Retirement Calculator'!J:J,MATCH('Isaac 401k'!N2024,'Retirement Calculator'!A:A,0),0),0)</f>
        <v>0</v>
      </c>
      <c r="K2024" s="455">
        <f t="shared" ca="1" si="136"/>
        <v>7301042.8388775447</v>
      </c>
      <c r="L2024" s="455">
        <f t="shared" ca="1" si="137"/>
        <v>1759551324.1694882</v>
      </c>
      <c r="M2024" s="471">
        <f t="shared" si="139"/>
        <v>0.05</v>
      </c>
      <c r="N2024" s="475">
        <f t="shared" si="140"/>
        <v>112648</v>
      </c>
    </row>
    <row r="2025" spans="7:14" ht="11.25" customHeight="1" x14ac:dyDescent="0.3">
      <c r="G2025" s="470"/>
      <c r="H2025" s="470">
        <v>2018</v>
      </c>
      <c r="I2025" s="455">
        <f t="shared" ca="1" si="138"/>
        <v>1759551324.1694882</v>
      </c>
      <c r="J2025" s="455">
        <f t="array" ref="J2025">IFERROR(INDEX('Retirement Calculator'!J:J,MATCH('Isaac 401k'!N2025,'Retirement Calculator'!A:A,0),0),0)</f>
        <v>0</v>
      </c>
      <c r="K2025" s="455">
        <f t="shared" ca="1" si="136"/>
        <v>7331463.850706201</v>
      </c>
      <c r="L2025" s="455">
        <f t="shared" ca="1" si="137"/>
        <v>1766882788.0201943</v>
      </c>
      <c r="M2025" s="471">
        <f t="shared" si="139"/>
        <v>0.05</v>
      </c>
      <c r="N2025" s="475">
        <f t="shared" si="140"/>
        <v>112678</v>
      </c>
    </row>
    <row r="2026" spans="7:14" ht="11.25" customHeight="1" x14ac:dyDescent="0.3">
      <c r="G2026" s="470"/>
      <c r="H2026" s="470">
        <v>2019</v>
      </c>
      <c r="I2026" s="455">
        <f t="shared" ca="1" si="138"/>
        <v>1766882788.0201943</v>
      </c>
      <c r="J2026" s="455">
        <f t="array" ref="J2026">IFERROR(INDEX('Retirement Calculator'!J:J,MATCH('Isaac 401k'!N2026,'Retirement Calculator'!A:A,0),0),0)</f>
        <v>0</v>
      </c>
      <c r="K2026" s="455">
        <f t="shared" ca="1" si="136"/>
        <v>7362011.6167508094</v>
      </c>
      <c r="L2026" s="455">
        <f t="shared" ca="1" si="137"/>
        <v>1774244799.636945</v>
      </c>
      <c r="M2026" s="471">
        <f t="shared" si="139"/>
        <v>0.05</v>
      </c>
      <c r="N2026" s="475">
        <f t="shared" si="140"/>
        <v>112709</v>
      </c>
    </row>
    <row r="2027" spans="7:14" ht="11.25" customHeight="1" x14ac:dyDescent="0.3">
      <c r="G2027" s="470"/>
      <c r="H2027" s="470">
        <v>2020</v>
      </c>
      <c r="I2027" s="455">
        <f t="shared" ca="1" si="138"/>
        <v>1774244799.636945</v>
      </c>
      <c r="J2027" s="455">
        <f t="array" ref="J2027">IFERROR(INDEX('Retirement Calculator'!J:J,MATCH('Isaac 401k'!N2027,'Retirement Calculator'!A:A,0),0),0)</f>
        <v>0</v>
      </c>
      <c r="K2027" s="455">
        <f t="shared" ca="1" si="136"/>
        <v>7392686.6651539383</v>
      </c>
      <c r="L2027" s="455">
        <f t="shared" ca="1" si="137"/>
        <v>1781637486.302099</v>
      </c>
      <c r="M2027" s="471">
        <f t="shared" si="139"/>
        <v>0.05</v>
      </c>
      <c r="N2027" s="475">
        <f t="shared" si="140"/>
        <v>112740</v>
      </c>
    </row>
    <row r="2028" spans="7:14" ht="11.25" customHeight="1" x14ac:dyDescent="0.3">
      <c r="G2028" s="470"/>
      <c r="H2028" s="470">
        <v>2021</v>
      </c>
      <c r="I2028" s="455">
        <f t="shared" ca="1" si="138"/>
        <v>1781637486.302099</v>
      </c>
      <c r="J2028" s="455">
        <f t="array" ref="J2028">IFERROR(INDEX('Retirement Calculator'!J:J,MATCH('Isaac 401k'!N2028,'Retirement Calculator'!A:A,0),0),0)</f>
        <v>0</v>
      </c>
      <c r="K2028" s="455">
        <f t="shared" ca="1" si="136"/>
        <v>7423489.5262587452</v>
      </c>
      <c r="L2028" s="455">
        <f t="shared" ca="1" si="137"/>
        <v>1789060975.8283577</v>
      </c>
      <c r="M2028" s="471">
        <f t="shared" si="139"/>
        <v>0.05</v>
      </c>
      <c r="N2028" s="475">
        <f t="shared" si="140"/>
        <v>112770</v>
      </c>
    </row>
    <row r="2029" spans="7:14" ht="11.25" customHeight="1" x14ac:dyDescent="0.3">
      <c r="G2029" s="470"/>
      <c r="H2029" s="470">
        <v>2022</v>
      </c>
      <c r="I2029" s="455">
        <f t="shared" ca="1" si="138"/>
        <v>1789060975.8283577</v>
      </c>
      <c r="J2029" s="455">
        <f t="array" ref="J2029">IFERROR(INDEX('Retirement Calculator'!J:J,MATCH('Isaac 401k'!N2029,'Retirement Calculator'!A:A,0),0),0)</f>
        <v>0</v>
      </c>
      <c r="K2029" s="455">
        <f t="shared" ca="1" si="136"/>
        <v>7454420.7326181559</v>
      </c>
      <c r="L2029" s="455">
        <f t="shared" ca="1" si="137"/>
        <v>1796515396.5609758</v>
      </c>
      <c r="M2029" s="471">
        <f t="shared" si="139"/>
        <v>0.05</v>
      </c>
      <c r="N2029" s="475">
        <f t="shared" si="140"/>
        <v>112801</v>
      </c>
    </row>
    <row r="2030" spans="7:14" ht="11.25" customHeight="1" x14ac:dyDescent="0.3">
      <c r="G2030" s="470"/>
      <c r="H2030" s="470">
        <v>2023</v>
      </c>
      <c r="I2030" s="455">
        <f t="shared" ca="1" si="138"/>
        <v>1796515396.5609758</v>
      </c>
      <c r="J2030" s="455">
        <f t="array" ref="J2030">IFERROR(INDEX('Retirement Calculator'!J:J,MATCH('Isaac 401k'!N2030,'Retirement Calculator'!A:A,0),0),0)</f>
        <v>0</v>
      </c>
      <c r="K2030" s="455">
        <f t="shared" ca="1" si="136"/>
        <v>7485480.8190040654</v>
      </c>
      <c r="L2030" s="455">
        <f t="shared" ca="1" si="137"/>
        <v>1804000877.3799798</v>
      </c>
      <c r="M2030" s="471">
        <f t="shared" si="139"/>
        <v>0.05</v>
      </c>
      <c r="N2030" s="475">
        <f t="shared" si="140"/>
        <v>112831</v>
      </c>
    </row>
    <row r="2031" spans="7:14" ht="11.25" customHeight="1" x14ac:dyDescent="0.3">
      <c r="G2031" s="470"/>
      <c r="H2031" s="470">
        <v>2024</v>
      </c>
      <c r="I2031" s="455">
        <f t="shared" ca="1" si="138"/>
        <v>1804000877.3799798</v>
      </c>
      <c r="J2031" s="455">
        <f t="array" ref="J2031">IFERROR(INDEX('Retirement Calculator'!J:J,MATCH('Isaac 401k'!N2031,'Retirement Calculator'!A:A,0),0),0)</f>
        <v>0</v>
      </c>
      <c r="K2031" s="455">
        <f t="shared" ca="1" si="136"/>
        <v>7516670.3224165821</v>
      </c>
      <c r="L2031" s="455">
        <f t="shared" ca="1" si="137"/>
        <v>1811517547.7023964</v>
      </c>
      <c r="M2031" s="471">
        <f t="shared" si="139"/>
        <v>0.05</v>
      </c>
      <c r="N2031" s="475">
        <f t="shared" si="140"/>
        <v>112862</v>
      </c>
    </row>
    <row r="2032" spans="7:14" ht="11.25" customHeight="1" x14ac:dyDescent="0.3">
      <c r="G2032" s="470"/>
      <c r="H2032" s="470">
        <v>2025</v>
      </c>
      <c r="I2032" s="455">
        <f t="shared" ca="1" si="138"/>
        <v>1811517547.7023964</v>
      </c>
      <c r="J2032" s="455">
        <f t="array" ref="J2032">IFERROR(INDEX('Retirement Calculator'!J:J,MATCH('Isaac 401k'!N2032,'Retirement Calculator'!A:A,0),0),0)</f>
        <v>0</v>
      </c>
      <c r="K2032" s="455">
        <f t="shared" ca="1" si="136"/>
        <v>7547989.7820933182</v>
      </c>
      <c r="L2032" s="455">
        <f t="shared" ca="1" si="137"/>
        <v>1819065537.4844897</v>
      </c>
      <c r="M2032" s="471">
        <f t="shared" si="139"/>
        <v>0.05</v>
      </c>
      <c r="N2032" s="475">
        <f t="shared" si="140"/>
        <v>112893</v>
      </c>
    </row>
    <row r="2033" spans="7:14" ht="11.25" customHeight="1" x14ac:dyDescent="0.3">
      <c r="G2033" s="470"/>
      <c r="H2033" s="470">
        <v>2026</v>
      </c>
      <c r="I2033" s="455">
        <f t="shared" ca="1" si="138"/>
        <v>1819065537.4844897</v>
      </c>
      <c r="J2033" s="455">
        <f t="array" ref="J2033">IFERROR(INDEX('Retirement Calculator'!J:J,MATCH('Isaac 401k'!N2033,'Retirement Calculator'!A:A,0),0),0)</f>
        <v>0</v>
      </c>
      <c r="K2033" s="455">
        <f t="shared" ca="1" si="136"/>
        <v>7579439.7395187067</v>
      </c>
      <c r="L2033" s="455">
        <f t="shared" ca="1" si="137"/>
        <v>1826644977.2240083</v>
      </c>
      <c r="M2033" s="471">
        <f t="shared" si="139"/>
        <v>0.05</v>
      </c>
      <c r="N2033" s="475">
        <f t="shared" si="140"/>
        <v>112921</v>
      </c>
    </row>
    <row r="2034" spans="7:14" ht="11.25" customHeight="1" x14ac:dyDescent="0.3">
      <c r="G2034" s="470"/>
      <c r="H2034" s="470">
        <v>2027</v>
      </c>
      <c r="I2034" s="455">
        <f t="shared" ca="1" si="138"/>
        <v>1826644977.2240083</v>
      </c>
      <c r="J2034" s="455">
        <f t="array" ref="J2034">IFERROR(INDEX('Retirement Calculator'!J:J,MATCH('Isaac 401k'!N2034,'Retirement Calculator'!A:A,0),0),0)</f>
        <v>0</v>
      </c>
      <c r="K2034" s="455">
        <f t="shared" ca="1" si="136"/>
        <v>7611020.7384333676</v>
      </c>
      <c r="L2034" s="455">
        <f t="shared" ca="1" si="137"/>
        <v>1834255997.9624417</v>
      </c>
      <c r="M2034" s="471">
        <f t="shared" si="139"/>
        <v>0.05</v>
      </c>
      <c r="N2034" s="475">
        <f t="shared" si="140"/>
        <v>112952</v>
      </c>
    </row>
    <row r="2035" spans="7:14" ht="11.25" customHeight="1" x14ac:dyDescent="0.3">
      <c r="G2035" s="470"/>
      <c r="H2035" s="470">
        <v>2028</v>
      </c>
      <c r="I2035" s="455">
        <f t="shared" ca="1" si="138"/>
        <v>1834255997.9624417</v>
      </c>
      <c r="J2035" s="455">
        <f t="array" ref="J2035">IFERROR(INDEX('Retirement Calculator'!J:J,MATCH('Isaac 401k'!N2035,'Retirement Calculator'!A:A,0),0),0)</f>
        <v>0</v>
      </c>
      <c r="K2035" s="455">
        <f t="shared" ca="1" si="136"/>
        <v>7642733.3248435082</v>
      </c>
      <c r="L2035" s="455">
        <f t="shared" ca="1" si="137"/>
        <v>1841898731.2872851</v>
      </c>
      <c r="M2035" s="471">
        <f t="shared" si="139"/>
        <v>0.05</v>
      </c>
      <c r="N2035" s="475">
        <f t="shared" si="140"/>
        <v>112982</v>
      </c>
    </row>
    <row r="2036" spans="7:14" ht="11.25" customHeight="1" x14ac:dyDescent="0.3">
      <c r="G2036" s="470"/>
      <c r="H2036" s="470">
        <v>2029</v>
      </c>
      <c r="I2036" s="455">
        <f t="shared" ca="1" si="138"/>
        <v>1841898731.2872851</v>
      </c>
      <c r="J2036" s="455">
        <f t="array" ref="J2036">IFERROR(INDEX('Retirement Calculator'!J:J,MATCH('Isaac 401k'!N2036,'Retirement Calculator'!A:A,0),0),0)</f>
        <v>0</v>
      </c>
      <c r="K2036" s="455">
        <f t="shared" ca="1" si="136"/>
        <v>7674578.047030353</v>
      </c>
      <c r="L2036" s="455">
        <f t="shared" ca="1" si="137"/>
        <v>1849573309.3343155</v>
      </c>
      <c r="M2036" s="471">
        <f t="shared" si="139"/>
        <v>0.05</v>
      </c>
      <c r="N2036" s="475">
        <f t="shared" si="140"/>
        <v>113013</v>
      </c>
    </row>
    <row r="2037" spans="7:14" ht="11.25" customHeight="1" x14ac:dyDescent="0.3">
      <c r="G2037" s="470"/>
      <c r="H2037" s="470">
        <v>2030</v>
      </c>
      <c r="I2037" s="455">
        <f t="shared" ca="1" si="138"/>
        <v>1849573309.3343155</v>
      </c>
      <c r="J2037" s="455">
        <f t="array" ref="J2037">IFERROR(INDEX('Retirement Calculator'!J:J,MATCH('Isaac 401k'!N2037,'Retirement Calculator'!A:A,0),0),0)</f>
        <v>0</v>
      </c>
      <c r="K2037" s="455">
        <f t="shared" ca="1" si="136"/>
        <v>7706555.4555596467</v>
      </c>
      <c r="L2037" s="455">
        <f t="shared" ca="1" si="137"/>
        <v>1857279864.7898753</v>
      </c>
      <c r="M2037" s="471">
        <f t="shared" si="139"/>
        <v>0.05</v>
      </c>
      <c r="N2037" s="475">
        <f t="shared" si="140"/>
        <v>113043</v>
      </c>
    </row>
    <row r="2038" spans="7:14" ht="11.25" customHeight="1" x14ac:dyDescent="0.3">
      <c r="G2038" s="470"/>
      <c r="H2038" s="470">
        <v>2031</v>
      </c>
      <c r="I2038" s="455">
        <f t="shared" ca="1" si="138"/>
        <v>1857279864.7898753</v>
      </c>
      <c r="J2038" s="455">
        <f t="array" ref="J2038">IFERROR(INDEX('Retirement Calculator'!J:J,MATCH('Isaac 401k'!N2038,'Retirement Calculator'!A:A,0),0),0)</f>
        <v>0</v>
      </c>
      <c r="K2038" s="455">
        <f t="shared" ca="1" si="136"/>
        <v>7738666.1032911465</v>
      </c>
      <c r="L2038" s="455">
        <f t="shared" ca="1" si="137"/>
        <v>1865018530.8931663</v>
      </c>
      <c r="M2038" s="471">
        <f t="shared" si="139"/>
        <v>0.05</v>
      </c>
      <c r="N2038" s="475">
        <f t="shared" si="140"/>
        <v>113074</v>
      </c>
    </row>
    <row r="2039" spans="7:14" ht="11.25" customHeight="1" x14ac:dyDescent="0.3">
      <c r="G2039" s="470"/>
      <c r="H2039" s="470">
        <v>2032</v>
      </c>
      <c r="I2039" s="455">
        <f t="shared" ca="1" si="138"/>
        <v>1865018530.8931663</v>
      </c>
      <c r="J2039" s="455">
        <f t="array" ref="J2039">IFERROR(INDEX('Retirement Calculator'!J:J,MATCH('Isaac 401k'!N2039,'Retirement Calculator'!A:A,0),0),0)</f>
        <v>0</v>
      </c>
      <c r="K2039" s="455">
        <f t="shared" ca="1" si="136"/>
        <v>7770910.5453881929</v>
      </c>
      <c r="L2039" s="455">
        <f t="shared" ca="1" si="137"/>
        <v>1872789441.4385545</v>
      </c>
      <c r="M2039" s="471">
        <f t="shared" si="139"/>
        <v>0.05</v>
      </c>
      <c r="N2039" s="475">
        <f t="shared" si="140"/>
        <v>113105</v>
      </c>
    </row>
    <row r="2040" spans="7:14" ht="11.25" customHeight="1" x14ac:dyDescent="0.3">
      <c r="G2040" s="470"/>
      <c r="H2040" s="470">
        <v>2033</v>
      </c>
      <c r="I2040" s="455">
        <f t="shared" ca="1" si="138"/>
        <v>1872789441.4385545</v>
      </c>
      <c r="J2040" s="455">
        <f t="array" ref="J2040">IFERROR(INDEX('Retirement Calculator'!J:J,MATCH('Isaac 401k'!N2040,'Retirement Calculator'!A:A,0),0),0)</f>
        <v>0</v>
      </c>
      <c r="K2040" s="455">
        <f t="shared" ca="1" si="136"/>
        <v>7803289.3393273102</v>
      </c>
      <c r="L2040" s="455">
        <f t="shared" ca="1" si="137"/>
        <v>1880592730.7778819</v>
      </c>
      <c r="M2040" s="471">
        <f t="shared" si="139"/>
        <v>0.05</v>
      </c>
      <c r="N2040" s="475">
        <f t="shared" si="140"/>
        <v>113135</v>
      </c>
    </row>
    <row r="2041" spans="7:14" ht="11.25" customHeight="1" x14ac:dyDescent="0.3">
      <c r="G2041" s="470"/>
      <c r="H2041" s="470">
        <v>2034</v>
      </c>
      <c r="I2041" s="455">
        <f t="shared" ca="1" si="138"/>
        <v>1880592730.7778819</v>
      </c>
      <c r="J2041" s="455">
        <f t="array" ref="J2041">IFERROR(INDEX('Retirement Calculator'!J:J,MATCH('Isaac 401k'!N2041,'Retirement Calculator'!A:A,0),0),0)</f>
        <v>0</v>
      </c>
      <c r="K2041" s="455">
        <f t="shared" ca="1" si="136"/>
        <v>7835803.04490784</v>
      </c>
      <c r="L2041" s="455">
        <f t="shared" ca="1" si="137"/>
        <v>1888428533.8227897</v>
      </c>
      <c r="M2041" s="471">
        <f t="shared" si="139"/>
        <v>0.05</v>
      </c>
      <c r="N2041" s="475">
        <f t="shared" si="140"/>
        <v>113166</v>
      </c>
    </row>
    <row r="2042" spans="7:14" ht="11.25" customHeight="1" x14ac:dyDescent="0.3">
      <c r="G2042" s="470"/>
      <c r="H2042" s="470">
        <v>2035</v>
      </c>
      <c r="I2042" s="455">
        <f t="shared" ca="1" si="138"/>
        <v>1888428533.8227897</v>
      </c>
      <c r="J2042" s="455">
        <f t="array" ref="J2042">IFERROR(INDEX('Retirement Calculator'!J:J,MATCH('Isaac 401k'!N2042,'Retirement Calculator'!A:A,0),0),0)</f>
        <v>0</v>
      </c>
      <c r="K2042" s="455">
        <f t="shared" ca="1" si="136"/>
        <v>7868452.2242616229</v>
      </c>
      <c r="L2042" s="455">
        <f t="shared" ca="1" si="137"/>
        <v>1896296986.0470512</v>
      </c>
      <c r="M2042" s="471">
        <f t="shared" si="139"/>
        <v>0.05</v>
      </c>
      <c r="N2042" s="475">
        <f t="shared" si="140"/>
        <v>113196</v>
      </c>
    </row>
    <row r="2043" spans="7:14" ht="11.25" customHeight="1" x14ac:dyDescent="0.3">
      <c r="G2043" s="470"/>
      <c r="H2043" s="470">
        <v>2036</v>
      </c>
      <c r="I2043" s="455">
        <f t="shared" ca="1" si="138"/>
        <v>1896296986.0470512</v>
      </c>
      <c r="J2043" s="455">
        <f t="array" ref="J2043">IFERROR(INDEX('Retirement Calculator'!J:J,MATCH('Isaac 401k'!N2043,'Retirement Calculator'!A:A,0),0),0)</f>
        <v>0</v>
      </c>
      <c r="K2043" s="455">
        <f t="shared" ca="1" si="136"/>
        <v>7901237.4418627126</v>
      </c>
      <c r="L2043" s="455">
        <f t="shared" ca="1" si="137"/>
        <v>1904198223.488914</v>
      </c>
      <c r="M2043" s="471">
        <f t="shared" si="139"/>
        <v>0.05</v>
      </c>
      <c r="N2043" s="475">
        <f t="shared" si="140"/>
        <v>113227</v>
      </c>
    </row>
    <row r="2044" spans="7:14" ht="11.25" customHeight="1" x14ac:dyDescent="0.3">
      <c r="G2044" s="470"/>
      <c r="H2044" s="470">
        <v>2037</v>
      </c>
      <c r="I2044" s="455">
        <f t="shared" ca="1" si="138"/>
        <v>1904198223.488914</v>
      </c>
      <c r="J2044" s="455">
        <f t="array" ref="J2044">IFERROR(INDEX('Retirement Calculator'!J:J,MATCH('Isaac 401k'!N2044,'Retirement Calculator'!A:A,0),0),0)</f>
        <v>0</v>
      </c>
      <c r="K2044" s="455">
        <f t="shared" ca="1" si="136"/>
        <v>7934159.2645371417</v>
      </c>
      <c r="L2044" s="455">
        <f t="shared" ca="1" si="137"/>
        <v>1912132382.7534511</v>
      </c>
      <c r="M2044" s="471">
        <f t="shared" si="139"/>
        <v>0.05</v>
      </c>
      <c r="N2044" s="475">
        <f t="shared" si="140"/>
        <v>113258</v>
      </c>
    </row>
    <row r="2045" spans="7:14" ht="11.25" customHeight="1" x14ac:dyDescent="0.3">
      <c r="G2045" s="470"/>
      <c r="H2045" s="470">
        <v>2038</v>
      </c>
      <c r="I2045" s="455">
        <f t="shared" ca="1" si="138"/>
        <v>1912132382.7534511</v>
      </c>
      <c r="J2045" s="455">
        <f t="array" ref="J2045">IFERROR(INDEX('Retirement Calculator'!J:J,MATCH('Isaac 401k'!N2045,'Retirement Calculator'!A:A,0),0),0)</f>
        <v>0</v>
      </c>
      <c r="K2045" s="455">
        <f t="shared" ca="1" si="136"/>
        <v>7967218.2614727123</v>
      </c>
      <c r="L2045" s="455">
        <f t="shared" ca="1" si="137"/>
        <v>1920099601.0149238</v>
      </c>
      <c r="M2045" s="471">
        <f t="shared" si="139"/>
        <v>0.05</v>
      </c>
      <c r="N2045" s="475">
        <f t="shared" si="140"/>
        <v>113286</v>
      </c>
    </row>
    <row r="2046" spans="7:14" ht="11.25" customHeight="1" x14ac:dyDescent="0.3">
      <c r="G2046" s="470"/>
      <c r="H2046" s="470">
        <v>2039</v>
      </c>
      <c r="I2046" s="455">
        <f t="shared" ca="1" si="138"/>
        <v>1920099601.0149238</v>
      </c>
      <c r="J2046" s="455">
        <f t="array" ref="J2046">IFERROR(INDEX('Retirement Calculator'!J:J,MATCH('Isaac 401k'!N2046,'Retirement Calculator'!A:A,0),0),0)</f>
        <v>0</v>
      </c>
      <c r="K2046" s="455">
        <f t="shared" ca="1" si="136"/>
        <v>8000415.004228849</v>
      </c>
      <c r="L2046" s="455">
        <f t="shared" ca="1" si="137"/>
        <v>1928100016.0191526</v>
      </c>
      <c r="M2046" s="471">
        <f t="shared" si="139"/>
        <v>0.05</v>
      </c>
      <c r="N2046" s="475">
        <f t="shared" si="140"/>
        <v>113317</v>
      </c>
    </row>
    <row r="2047" spans="7:14" ht="11.25" customHeight="1" x14ac:dyDescent="0.3">
      <c r="G2047" s="470"/>
      <c r="H2047" s="470">
        <v>2040</v>
      </c>
      <c r="I2047" s="455">
        <f t="shared" ca="1" si="138"/>
        <v>1928100016.0191526</v>
      </c>
      <c r="J2047" s="455">
        <f t="array" ref="J2047">IFERROR(INDEX('Retirement Calculator'!J:J,MATCH('Isaac 401k'!N2047,'Retirement Calculator'!A:A,0),0),0)</f>
        <v>0</v>
      </c>
      <c r="K2047" s="455">
        <f t="shared" ca="1" si="136"/>
        <v>8033750.0667464696</v>
      </c>
      <c r="L2047" s="455">
        <f t="shared" ca="1" si="137"/>
        <v>1936133766.0858991</v>
      </c>
      <c r="M2047" s="471">
        <f t="shared" si="139"/>
        <v>0.05</v>
      </c>
      <c r="N2047" s="475">
        <f t="shared" si="140"/>
        <v>113347</v>
      </c>
    </row>
    <row r="2048" spans="7:14" ht="11.25" customHeight="1" x14ac:dyDescent="0.3">
      <c r="G2048" s="470"/>
      <c r="H2048" s="470">
        <v>2041</v>
      </c>
      <c r="I2048" s="455">
        <f t="shared" ca="1" si="138"/>
        <v>1936133766.0858991</v>
      </c>
      <c r="J2048" s="455">
        <f t="array" ref="J2048">IFERROR(INDEX('Retirement Calculator'!J:J,MATCH('Isaac 401k'!N2048,'Retirement Calculator'!A:A,0),0),0)</f>
        <v>0</v>
      </c>
      <c r="K2048" s="455">
        <f t="shared" ref="K2048:K2302" ca="1" si="141">IPMT(M2048/12,1,12,-I2048+J2048,,0)</f>
        <v>8067224.0253579123</v>
      </c>
      <c r="L2048" s="455">
        <f t="shared" ref="L2048:L2302" ca="1" si="142">I2048-J2048+K2048</f>
        <v>1944200990.1112571</v>
      </c>
      <c r="M2048" s="471">
        <f t="shared" si="139"/>
        <v>0.05</v>
      </c>
      <c r="N2048" s="475">
        <f t="shared" si="140"/>
        <v>113378</v>
      </c>
    </row>
    <row r="2049" spans="7:14" ht="11.25" customHeight="1" x14ac:dyDescent="0.3">
      <c r="G2049" s="470"/>
      <c r="H2049" s="470">
        <v>2042</v>
      </c>
      <c r="I2049" s="455">
        <f t="shared" ref="I2049:I2303" ca="1" si="143">L2048</f>
        <v>1944200990.1112571</v>
      </c>
      <c r="J2049" s="455">
        <f t="array" ref="J2049">IFERROR(INDEX('Retirement Calculator'!J:J,MATCH('Isaac 401k'!N2049,'Retirement Calculator'!A:A,0),0),0)</f>
        <v>0</v>
      </c>
      <c r="K2049" s="455">
        <f t="shared" ca="1" si="141"/>
        <v>8100837.4587969044</v>
      </c>
      <c r="L2049" s="455">
        <f t="shared" ca="1" si="142"/>
        <v>1952301827.5700541</v>
      </c>
      <c r="M2049" s="471">
        <f t="shared" ref="M2049:M2303" si="144">M2048</f>
        <v>0.05</v>
      </c>
      <c r="N2049" s="475">
        <f t="shared" ref="N2049:N2303" si="145">EDATE(N2048,1)</f>
        <v>113408</v>
      </c>
    </row>
    <row r="2050" spans="7:14" ht="11.25" customHeight="1" x14ac:dyDescent="0.3">
      <c r="G2050" s="470"/>
      <c r="H2050" s="470">
        <v>2043</v>
      </c>
      <c r="I2050" s="455">
        <f t="shared" ca="1" si="143"/>
        <v>1952301827.5700541</v>
      </c>
      <c r="J2050" s="455">
        <f t="array" ref="J2050">IFERROR(INDEX('Retirement Calculator'!J:J,MATCH('Isaac 401k'!N2050,'Retirement Calculator'!A:A,0),0),0)</f>
        <v>0</v>
      </c>
      <c r="K2050" s="455">
        <f t="shared" ca="1" si="141"/>
        <v>8134590.9482085584</v>
      </c>
      <c r="L2050" s="455">
        <f t="shared" ca="1" si="142"/>
        <v>1960436418.5182626</v>
      </c>
      <c r="M2050" s="471">
        <f t="shared" si="144"/>
        <v>0.05</v>
      </c>
      <c r="N2050" s="475">
        <f t="shared" si="145"/>
        <v>113439</v>
      </c>
    </row>
    <row r="2051" spans="7:14" ht="11.25" customHeight="1" x14ac:dyDescent="0.3">
      <c r="G2051" s="470"/>
      <c r="H2051" s="470">
        <v>2044</v>
      </c>
      <c r="I2051" s="455">
        <f t="shared" ca="1" si="143"/>
        <v>1960436418.5182626</v>
      </c>
      <c r="J2051" s="455">
        <f t="array" ref="J2051">IFERROR(INDEX('Retirement Calculator'!J:J,MATCH('Isaac 401k'!N2051,'Retirement Calculator'!A:A,0),0),0)</f>
        <v>0</v>
      </c>
      <c r="K2051" s="455">
        <f t="shared" ca="1" si="141"/>
        <v>8168485.0771594271</v>
      </c>
      <c r="L2051" s="455">
        <f t="shared" ca="1" si="142"/>
        <v>1968604903.595422</v>
      </c>
      <c r="M2051" s="471">
        <f t="shared" si="144"/>
        <v>0.05</v>
      </c>
      <c r="N2051" s="475">
        <f t="shared" si="145"/>
        <v>113470</v>
      </c>
    </row>
    <row r="2052" spans="7:14" ht="11.25" customHeight="1" x14ac:dyDescent="0.3">
      <c r="G2052" s="470"/>
      <c r="H2052" s="470">
        <v>2045</v>
      </c>
      <c r="I2052" s="455">
        <f t="shared" ca="1" si="143"/>
        <v>1968604903.595422</v>
      </c>
      <c r="J2052" s="455">
        <f t="array" ref="J2052">IFERROR(INDEX('Retirement Calculator'!J:J,MATCH('Isaac 401k'!N2052,'Retirement Calculator'!A:A,0),0),0)</f>
        <v>0</v>
      </c>
      <c r="K2052" s="455">
        <f t="shared" ca="1" si="141"/>
        <v>8202520.4316475913</v>
      </c>
      <c r="L2052" s="455">
        <f t="shared" ca="1" si="142"/>
        <v>1976807424.0270696</v>
      </c>
      <c r="M2052" s="471">
        <f t="shared" si="144"/>
        <v>0.05</v>
      </c>
      <c r="N2052" s="475">
        <f t="shared" si="145"/>
        <v>113500</v>
      </c>
    </row>
    <row r="2053" spans="7:14" ht="11.25" customHeight="1" x14ac:dyDescent="0.3">
      <c r="G2053" s="470"/>
      <c r="H2053" s="470">
        <v>2046</v>
      </c>
      <c r="I2053" s="455">
        <f t="shared" ca="1" si="143"/>
        <v>1976807424.0270696</v>
      </c>
      <c r="J2053" s="455">
        <f t="array" ref="J2053">IFERROR(INDEX('Retirement Calculator'!J:J,MATCH('Isaac 401k'!N2053,'Retirement Calculator'!A:A,0),0),0)</f>
        <v>0</v>
      </c>
      <c r="K2053" s="455">
        <f t="shared" ca="1" si="141"/>
        <v>8236697.6001127884</v>
      </c>
      <c r="L2053" s="455">
        <f t="shared" ca="1" si="142"/>
        <v>1985044121.6271822</v>
      </c>
      <c r="M2053" s="471">
        <f t="shared" si="144"/>
        <v>0.05</v>
      </c>
      <c r="N2053" s="475">
        <f t="shared" si="145"/>
        <v>113531</v>
      </c>
    </row>
    <row r="2054" spans="7:14" ht="11.25" customHeight="1" x14ac:dyDescent="0.3">
      <c r="G2054" s="470"/>
      <c r="H2054" s="470">
        <v>2047</v>
      </c>
      <c r="I2054" s="455">
        <f t="shared" ca="1" si="143"/>
        <v>1985044121.6271822</v>
      </c>
      <c r="J2054" s="455">
        <f t="array" ref="J2054">IFERROR(INDEX('Retirement Calculator'!J:J,MATCH('Isaac 401k'!N2054,'Retirement Calculator'!A:A,0),0),0)</f>
        <v>0</v>
      </c>
      <c r="K2054" s="455">
        <f t="shared" ca="1" si="141"/>
        <v>8271017.1734465929</v>
      </c>
      <c r="L2054" s="455">
        <f t="shared" ca="1" si="142"/>
        <v>1993315138.8006289</v>
      </c>
      <c r="M2054" s="471">
        <f t="shared" si="144"/>
        <v>0.05</v>
      </c>
      <c r="N2054" s="475">
        <f t="shared" si="145"/>
        <v>113561</v>
      </c>
    </row>
    <row r="2055" spans="7:14" ht="11.25" customHeight="1" x14ac:dyDescent="0.3">
      <c r="G2055" s="470"/>
      <c r="H2055" s="470">
        <v>2048</v>
      </c>
      <c r="I2055" s="455">
        <f t="shared" ca="1" si="143"/>
        <v>1993315138.8006289</v>
      </c>
      <c r="J2055" s="455">
        <f t="array" ref="J2055">IFERROR(INDEX('Retirement Calculator'!J:J,MATCH('Isaac 401k'!N2055,'Retirement Calculator'!A:A,0),0),0)</f>
        <v>0</v>
      </c>
      <c r="K2055" s="455">
        <f t="shared" ca="1" si="141"/>
        <v>8305479.7450026209</v>
      </c>
      <c r="L2055" s="455">
        <f t="shared" ca="1" si="142"/>
        <v>2001620618.5456314</v>
      </c>
      <c r="M2055" s="471">
        <f t="shared" si="144"/>
        <v>0.05</v>
      </c>
      <c r="N2055" s="475">
        <f t="shared" si="145"/>
        <v>113592</v>
      </c>
    </row>
    <row r="2056" spans="7:14" ht="11.25" customHeight="1" x14ac:dyDescent="0.3">
      <c r="G2056" s="470"/>
      <c r="H2056" s="470">
        <v>2049</v>
      </c>
      <c r="I2056" s="455">
        <f t="shared" ca="1" si="143"/>
        <v>2001620618.5456314</v>
      </c>
      <c r="J2056" s="455">
        <f t="array" ref="J2056">IFERROR(INDEX('Retirement Calculator'!J:J,MATCH('Isaac 401k'!N2056,'Retirement Calculator'!A:A,0),0),0)</f>
        <v>0</v>
      </c>
      <c r="K2056" s="455">
        <f t="shared" ca="1" si="141"/>
        <v>8340085.9106067978</v>
      </c>
      <c r="L2056" s="455">
        <f t="shared" ca="1" si="142"/>
        <v>2009960704.4562383</v>
      </c>
      <c r="M2056" s="471">
        <f t="shared" si="144"/>
        <v>0.05</v>
      </c>
      <c r="N2056" s="475">
        <f t="shared" si="145"/>
        <v>113623</v>
      </c>
    </row>
    <row r="2057" spans="7:14" ht="11.25" customHeight="1" x14ac:dyDescent="0.3">
      <c r="G2057" s="470"/>
      <c r="H2057" s="470">
        <v>2050</v>
      </c>
      <c r="I2057" s="455">
        <f t="shared" ca="1" si="143"/>
        <v>2009960704.4562383</v>
      </c>
      <c r="J2057" s="455">
        <f t="array" ref="J2057">IFERROR(INDEX('Retirement Calculator'!J:J,MATCH('Isaac 401k'!N2057,'Retirement Calculator'!A:A,0),0),0)</f>
        <v>0</v>
      </c>
      <c r="K2057" s="455">
        <f t="shared" ca="1" si="141"/>
        <v>8374836.268567659</v>
      </c>
      <c r="L2057" s="455">
        <f t="shared" ca="1" si="142"/>
        <v>2018335540.7248058</v>
      </c>
      <c r="M2057" s="471">
        <f t="shared" si="144"/>
        <v>0.05</v>
      </c>
      <c r="N2057" s="475">
        <f t="shared" si="145"/>
        <v>113651</v>
      </c>
    </row>
    <row r="2058" spans="7:14" ht="11.25" customHeight="1" x14ac:dyDescent="0.3">
      <c r="G2058" s="470"/>
      <c r="H2058" s="470">
        <v>2051</v>
      </c>
      <c r="I2058" s="455">
        <f t="shared" ca="1" si="143"/>
        <v>2018335540.7248058</v>
      </c>
      <c r="J2058" s="455">
        <f t="array" ref="J2058">IFERROR(INDEX('Retirement Calculator'!J:J,MATCH('Isaac 401k'!N2058,'Retirement Calculator'!A:A,0),0),0)</f>
        <v>0</v>
      </c>
      <c r="K2058" s="455">
        <f t="shared" ca="1" si="141"/>
        <v>8409731.4196866918</v>
      </c>
      <c r="L2058" s="455">
        <f t="shared" ca="1" si="142"/>
        <v>2026745272.1444926</v>
      </c>
      <c r="M2058" s="471">
        <f t="shared" si="144"/>
        <v>0.05</v>
      </c>
      <c r="N2058" s="475">
        <f t="shared" si="145"/>
        <v>113682</v>
      </c>
    </row>
    <row r="2059" spans="7:14" ht="11.25" customHeight="1" x14ac:dyDescent="0.3">
      <c r="G2059" s="470"/>
      <c r="H2059" s="470">
        <v>2052</v>
      </c>
      <c r="I2059" s="455">
        <f t="shared" ca="1" si="143"/>
        <v>2026745272.1444926</v>
      </c>
      <c r="J2059" s="455">
        <f t="array" ref="J2059">IFERROR(INDEX('Retirement Calculator'!J:J,MATCH('Isaac 401k'!N2059,'Retirement Calculator'!A:A,0),0),0)</f>
        <v>0</v>
      </c>
      <c r="K2059" s="455">
        <f t="shared" ca="1" si="141"/>
        <v>8444771.9672687184</v>
      </c>
      <c r="L2059" s="455">
        <f t="shared" ca="1" si="142"/>
        <v>2035190044.1117613</v>
      </c>
      <c r="M2059" s="471">
        <f t="shared" si="144"/>
        <v>0.05</v>
      </c>
      <c r="N2059" s="475">
        <f t="shared" si="145"/>
        <v>113712</v>
      </c>
    </row>
    <row r="2060" spans="7:14" ht="11.25" customHeight="1" x14ac:dyDescent="0.3">
      <c r="G2060" s="470"/>
      <c r="H2060" s="470">
        <v>2053</v>
      </c>
      <c r="I2060" s="455">
        <f t="shared" ca="1" si="143"/>
        <v>2035190044.1117613</v>
      </c>
      <c r="J2060" s="455">
        <f t="array" ref="J2060">IFERROR(INDEX('Retirement Calculator'!J:J,MATCH('Isaac 401k'!N2060,'Retirement Calculator'!A:A,0),0),0)</f>
        <v>0</v>
      </c>
      <c r="K2060" s="455">
        <f t="shared" ca="1" si="141"/>
        <v>8479958.5171323381</v>
      </c>
      <c r="L2060" s="455">
        <f t="shared" ca="1" si="142"/>
        <v>2043670002.6288936</v>
      </c>
      <c r="M2060" s="471">
        <f t="shared" si="144"/>
        <v>0.05</v>
      </c>
      <c r="N2060" s="475">
        <f t="shared" si="145"/>
        <v>113743</v>
      </c>
    </row>
    <row r="2061" spans="7:14" ht="11.25" customHeight="1" x14ac:dyDescent="0.3">
      <c r="G2061" s="470"/>
      <c r="H2061" s="470">
        <v>2054</v>
      </c>
      <c r="I2061" s="455">
        <f t="shared" ca="1" si="143"/>
        <v>2043670002.6288936</v>
      </c>
      <c r="J2061" s="455">
        <f t="array" ref="J2061">IFERROR(INDEX('Retirement Calculator'!J:J,MATCH('Isaac 401k'!N2061,'Retirement Calculator'!A:A,0),0),0)</f>
        <v>0</v>
      </c>
      <c r="K2061" s="455">
        <f t="shared" ca="1" si="141"/>
        <v>8515291.6776203904</v>
      </c>
      <c r="L2061" s="455">
        <f t="shared" ca="1" si="142"/>
        <v>2052185294.306514</v>
      </c>
      <c r="M2061" s="471">
        <f t="shared" si="144"/>
        <v>0.05</v>
      </c>
      <c r="N2061" s="475">
        <f t="shared" si="145"/>
        <v>113773</v>
      </c>
    </row>
    <row r="2062" spans="7:14" ht="11.25" customHeight="1" x14ac:dyDescent="0.3">
      <c r="G2062" s="470"/>
      <c r="H2062" s="470">
        <v>2055</v>
      </c>
      <c r="I2062" s="455">
        <f t="shared" ca="1" si="143"/>
        <v>2052185294.306514</v>
      </c>
      <c r="J2062" s="455">
        <f t="array" ref="J2062">IFERROR(INDEX('Retirement Calculator'!J:J,MATCH('Isaac 401k'!N2062,'Retirement Calculator'!A:A,0),0),0)</f>
        <v>0</v>
      </c>
      <c r="K2062" s="455">
        <f t="shared" ca="1" si="141"/>
        <v>8550772.0596104749</v>
      </c>
      <c r="L2062" s="455">
        <f t="shared" ca="1" si="142"/>
        <v>2060736066.3661244</v>
      </c>
      <c r="M2062" s="471">
        <f t="shared" si="144"/>
        <v>0.05</v>
      </c>
      <c r="N2062" s="475">
        <f t="shared" si="145"/>
        <v>113804</v>
      </c>
    </row>
    <row r="2063" spans="7:14" ht="11.25" customHeight="1" x14ac:dyDescent="0.3">
      <c r="G2063" s="470"/>
      <c r="H2063" s="470">
        <v>2056</v>
      </c>
      <c r="I2063" s="455">
        <f t="shared" ca="1" si="143"/>
        <v>2060736066.3661244</v>
      </c>
      <c r="J2063" s="455">
        <f t="array" ref="J2063">IFERROR(INDEX('Retirement Calculator'!J:J,MATCH('Isaac 401k'!N2063,'Retirement Calculator'!A:A,0),0),0)</f>
        <v>0</v>
      </c>
      <c r="K2063" s="455">
        <f t="shared" ca="1" si="141"/>
        <v>8586400.2765255179</v>
      </c>
      <c r="L2063" s="455">
        <f t="shared" ca="1" si="142"/>
        <v>2069322466.6426499</v>
      </c>
      <c r="M2063" s="471">
        <f t="shared" si="144"/>
        <v>0.05</v>
      </c>
      <c r="N2063" s="475">
        <f t="shared" si="145"/>
        <v>113835</v>
      </c>
    </row>
    <row r="2064" spans="7:14" ht="11.25" customHeight="1" x14ac:dyDescent="0.3">
      <c r="G2064" s="470"/>
      <c r="H2064" s="470">
        <v>2057</v>
      </c>
      <c r="I2064" s="455">
        <f t="shared" ca="1" si="143"/>
        <v>2069322466.6426499</v>
      </c>
      <c r="J2064" s="455">
        <f t="array" ref="J2064">IFERROR(INDEX('Retirement Calculator'!J:J,MATCH('Isaac 401k'!N2064,'Retirement Calculator'!A:A,0),0),0)</f>
        <v>0</v>
      </c>
      <c r="K2064" s="455">
        <f t="shared" ca="1" si="141"/>
        <v>8622176.9443443753</v>
      </c>
      <c r="L2064" s="455">
        <f t="shared" ca="1" si="142"/>
        <v>2077944643.5869942</v>
      </c>
      <c r="M2064" s="471">
        <f t="shared" si="144"/>
        <v>0.05</v>
      </c>
      <c r="N2064" s="475">
        <f t="shared" si="145"/>
        <v>113865</v>
      </c>
    </row>
    <row r="2065" spans="7:14" ht="11.25" customHeight="1" x14ac:dyDescent="0.3">
      <c r="G2065" s="470"/>
      <c r="H2065" s="470">
        <v>2058</v>
      </c>
      <c r="I2065" s="455">
        <f t="shared" ca="1" si="143"/>
        <v>2077944643.5869942</v>
      </c>
      <c r="J2065" s="455">
        <f t="array" ref="J2065">IFERROR(INDEX('Retirement Calculator'!J:J,MATCH('Isaac 401k'!N2065,'Retirement Calculator'!A:A,0),0),0)</f>
        <v>0</v>
      </c>
      <c r="K2065" s="455">
        <f t="shared" ca="1" si="141"/>
        <v>8658102.6816124748</v>
      </c>
      <c r="L2065" s="455">
        <f t="shared" ca="1" si="142"/>
        <v>2086602746.2686067</v>
      </c>
      <c r="M2065" s="471">
        <f t="shared" si="144"/>
        <v>0.05</v>
      </c>
      <c r="N2065" s="475">
        <f t="shared" si="145"/>
        <v>113896</v>
      </c>
    </row>
    <row r="2066" spans="7:14" ht="11.25" customHeight="1" x14ac:dyDescent="0.3">
      <c r="G2066" s="470"/>
      <c r="H2066" s="470">
        <v>2059</v>
      </c>
      <c r="I2066" s="455">
        <f t="shared" ca="1" si="143"/>
        <v>2086602746.2686067</v>
      </c>
      <c r="J2066" s="455">
        <f t="array" ref="J2066">IFERROR(INDEX('Retirement Calculator'!J:J,MATCH('Isaac 401k'!N2066,'Retirement Calculator'!A:A,0),0),0)</f>
        <v>0</v>
      </c>
      <c r="K2066" s="455">
        <f t="shared" ca="1" si="141"/>
        <v>8694178.109452527</v>
      </c>
      <c r="L2066" s="455">
        <f t="shared" ca="1" si="142"/>
        <v>2095296924.3780591</v>
      </c>
      <c r="M2066" s="471">
        <f t="shared" si="144"/>
        <v>0.05</v>
      </c>
      <c r="N2066" s="475">
        <f t="shared" si="145"/>
        <v>113926</v>
      </c>
    </row>
    <row r="2067" spans="7:14" ht="11.25" customHeight="1" x14ac:dyDescent="0.3">
      <c r="G2067" s="470"/>
      <c r="H2067" s="470">
        <v>2060</v>
      </c>
      <c r="I2067" s="455">
        <f t="shared" ca="1" si="143"/>
        <v>2095296924.3780591</v>
      </c>
      <c r="J2067" s="455">
        <f t="array" ref="J2067">IFERROR(INDEX('Retirement Calculator'!J:J,MATCH('Isaac 401k'!N2067,'Retirement Calculator'!A:A,0),0),0)</f>
        <v>0</v>
      </c>
      <c r="K2067" s="455">
        <f t="shared" ca="1" si="141"/>
        <v>8730403.8515752479</v>
      </c>
      <c r="L2067" s="455">
        <f t="shared" ca="1" si="142"/>
        <v>2104027328.2296343</v>
      </c>
      <c r="M2067" s="471">
        <f t="shared" si="144"/>
        <v>0.05</v>
      </c>
      <c r="N2067" s="475">
        <f t="shared" si="145"/>
        <v>113957</v>
      </c>
    </row>
    <row r="2068" spans="7:14" ht="11.25" customHeight="1" x14ac:dyDescent="0.3">
      <c r="G2068" s="470"/>
      <c r="H2068" s="470">
        <v>2061</v>
      </c>
      <c r="I2068" s="455">
        <f t="shared" ca="1" si="143"/>
        <v>2104027328.2296343</v>
      </c>
      <c r="J2068" s="455">
        <f t="array" ref="J2068">IFERROR(INDEX('Retirement Calculator'!J:J,MATCH('Isaac 401k'!N2068,'Retirement Calculator'!A:A,0),0),0)</f>
        <v>0</v>
      </c>
      <c r="K2068" s="455">
        <f t="shared" ca="1" si="141"/>
        <v>8766780.5342901424</v>
      </c>
      <c r="L2068" s="455">
        <f t="shared" ca="1" si="142"/>
        <v>2112794108.7639244</v>
      </c>
      <c r="M2068" s="471">
        <f t="shared" si="144"/>
        <v>0.05</v>
      </c>
      <c r="N2068" s="475">
        <f t="shared" si="145"/>
        <v>113988</v>
      </c>
    </row>
    <row r="2069" spans="7:14" ht="11.25" customHeight="1" x14ac:dyDescent="0.3">
      <c r="G2069" s="470"/>
      <c r="H2069" s="470">
        <v>2062</v>
      </c>
      <c r="I2069" s="455">
        <f t="shared" ca="1" si="143"/>
        <v>2112794108.7639244</v>
      </c>
      <c r="J2069" s="455">
        <f t="array" ref="J2069">IFERROR(INDEX('Retirement Calculator'!J:J,MATCH('Isaac 401k'!N2069,'Retirement Calculator'!A:A,0),0),0)</f>
        <v>0</v>
      </c>
      <c r="K2069" s="455">
        <f t="shared" ca="1" si="141"/>
        <v>8803308.7865163516</v>
      </c>
      <c r="L2069" s="455">
        <f t="shared" ca="1" si="142"/>
        <v>2121597417.5504408</v>
      </c>
      <c r="M2069" s="471">
        <f t="shared" si="144"/>
        <v>0.05</v>
      </c>
      <c r="N2069" s="475">
        <f t="shared" si="145"/>
        <v>114017</v>
      </c>
    </row>
    <row r="2070" spans="7:14" ht="11.25" customHeight="1" x14ac:dyDescent="0.3">
      <c r="G2070" s="470"/>
      <c r="H2070" s="470">
        <v>2063</v>
      </c>
      <c r="I2070" s="455">
        <f t="shared" ca="1" si="143"/>
        <v>2121597417.5504408</v>
      </c>
      <c r="J2070" s="455">
        <f t="array" ref="J2070">IFERROR(INDEX('Retirement Calculator'!J:J,MATCH('Isaac 401k'!N2070,'Retirement Calculator'!A:A,0),0),0)</f>
        <v>0</v>
      </c>
      <c r="K2070" s="455">
        <f t="shared" ca="1" si="141"/>
        <v>8839989.2397935037</v>
      </c>
      <c r="L2070" s="455">
        <f t="shared" ca="1" si="142"/>
        <v>2130437406.7902343</v>
      </c>
      <c r="M2070" s="471">
        <f t="shared" si="144"/>
        <v>0.05</v>
      </c>
      <c r="N2070" s="475">
        <f t="shared" si="145"/>
        <v>114048</v>
      </c>
    </row>
    <row r="2071" spans="7:14" ht="11.25" customHeight="1" x14ac:dyDescent="0.3">
      <c r="G2071" s="470"/>
      <c r="H2071" s="470">
        <v>2064</v>
      </c>
      <c r="I2071" s="455">
        <f t="shared" ca="1" si="143"/>
        <v>2130437406.7902343</v>
      </c>
      <c r="J2071" s="455">
        <f t="array" ref="J2071">IFERROR(INDEX('Retirement Calculator'!J:J,MATCH('Isaac 401k'!N2071,'Retirement Calculator'!A:A,0),0),0)</f>
        <v>0</v>
      </c>
      <c r="K2071" s="455">
        <f t="shared" ca="1" si="141"/>
        <v>8876822.528292641</v>
      </c>
      <c r="L2071" s="455">
        <f t="shared" ca="1" si="142"/>
        <v>2139314229.318527</v>
      </c>
      <c r="M2071" s="471">
        <f t="shared" si="144"/>
        <v>0.05</v>
      </c>
      <c r="N2071" s="475">
        <f t="shared" si="145"/>
        <v>114078</v>
      </c>
    </row>
    <row r="2072" spans="7:14" ht="11.25" customHeight="1" x14ac:dyDescent="0.3">
      <c r="G2072" s="470"/>
      <c r="H2072" s="470">
        <v>2065</v>
      </c>
      <c r="I2072" s="455">
        <f t="shared" ca="1" si="143"/>
        <v>2139314229.318527</v>
      </c>
      <c r="J2072" s="455">
        <f t="array" ref="J2072">IFERROR(INDEX('Retirement Calculator'!J:J,MATCH('Isaac 401k'!N2072,'Retirement Calculator'!A:A,0),0),0)</f>
        <v>0</v>
      </c>
      <c r="K2072" s="455">
        <f t="shared" ca="1" si="141"/>
        <v>8913809.2888271958</v>
      </c>
      <c r="L2072" s="455">
        <f t="shared" ca="1" si="142"/>
        <v>2148228038.6073542</v>
      </c>
      <c r="M2072" s="471">
        <f t="shared" si="144"/>
        <v>0.05</v>
      </c>
      <c r="N2072" s="475">
        <f t="shared" si="145"/>
        <v>114109</v>
      </c>
    </row>
    <row r="2073" spans="7:14" ht="11.25" customHeight="1" x14ac:dyDescent="0.3">
      <c r="G2073" s="470"/>
      <c r="H2073" s="470">
        <v>2066</v>
      </c>
      <c r="I2073" s="455">
        <f t="shared" ca="1" si="143"/>
        <v>2148228038.6073542</v>
      </c>
      <c r="J2073" s="455">
        <f t="array" ref="J2073">IFERROR(INDEX('Retirement Calculator'!J:J,MATCH('Isaac 401k'!N2073,'Retirement Calculator'!A:A,0),0),0)</f>
        <v>0</v>
      </c>
      <c r="K2073" s="455">
        <f t="shared" ca="1" si="141"/>
        <v>8950950.1608639751</v>
      </c>
      <c r="L2073" s="455">
        <f t="shared" ca="1" si="142"/>
        <v>2157178988.768218</v>
      </c>
      <c r="M2073" s="471">
        <f t="shared" si="144"/>
        <v>0.05</v>
      </c>
      <c r="N2073" s="475">
        <f t="shared" si="145"/>
        <v>114139</v>
      </c>
    </row>
    <row r="2074" spans="7:14" ht="11.25" customHeight="1" x14ac:dyDescent="0.3">
      <c r="G2074" s="470"/>
      <c r="H2074" s="470">
        <v>2067</v>
      </c>
      <c r="I2074" s="455">
        <f t="shared" ca="1" si="143"/>
        <v>2157178988.768218</v>
      </c>
      <c r="J2074" s="455">
        <f t="array" ref="J2074">IFERROR(INDEX('Retirement Calculator'!J:J,MATCH('Isaac 401k'!N2074,'Retirement Calculator'!A:A,0),0),0)</f>
        <v>0</v>
      </c>
      <c r="K2074" s="455">
        <f t="shared" ca="1" si="141"/>
        <v>8988245.7865342423</v>
      </c>
      <c r="L2074" s="455">
        <f t="shared" ca="1" si="142"/>
        <v>2166167234.5547523</v>
      </c>
      <c r="M2074" s="471">
        <f t="shared" si="144"/>
        <v>0.05</v>
      </c>
      <c r="N2074" s="475">
        <f t="shared" si="145"/>
        <v>114170</v>
      </c>
    </row>
    <row r="2075" spans="7:14" ht="11.25" customHeight="1" x14ac:dyDescent="0.3">
      <c r="G2075" s="470"/>
      <c r="H2075" s="470">
        <v>2068</v>
      </c>
      <c r="I2075" s="455">
        <f t="shared" ca="1" si="143"/>
        <v>2166167234.5547523</v>
      </c>
      <c r="J2075" s="455">
        <f t="array" ref="J2075">IFERROR(INDEX('Retirement Calculator'!J:J,MATCH('Isaac 401k'!N2075,'Retirement Calculator'!A:A,0),0),0)</f>
        <v>0</v>
      </c>
      <c r="K2075" s="455">
        <f t="shared" ca="1" si="141"/>
        <v>9025696.8106448017</v>
      </c>
      <c r="L2075" s="455">
        <f t="shared" ca="1" si="142"/>
        <v>2175192931.365397</v>
      </c>
      <c r="M2075" s="471">
        <f t="shared" si="144"/>
        <v>0.05</v>
      </c>
      <c r="N2075" s="475">
        <f t="shared" si="145"/>
        <v>114201</v>
      </c>
    </row>
    <row r="2076" spans="7:14" ht="11.25" customHeight="1" x14ac:dyDescent="0.3">
      <c r="G2076" s="470"/>
      <c r="H2076" s="470">
        <v>2069</v>
      </c>
      <c r="I2076" s="455">
        <f t="shared" ca="1" si="143"/>
        <v>2175192931.365397</v>
      </c>
      <c r="J2076" s="455">
        <f t="array" ref="J2076">IFERROR(INDEX('Retirement Calculator'!J:J,MATCH('Isaac 401k'!N2076,'Retirement Calculator'!A:A,0),0),0)</f>
        <v>0</v>
      </c>
      <c r="K2076" s="455">
        <f t="shared" ca="1" si="141"/>
        <v>9063303.8806891534</v>
      </c>
      <c r="L2076" s="455">
        <f t="shared" ca="1" si="142"/>
        <v>2184256235.2460861</v>
      </c>
      <c r="M2076" s="471">
        <f t="shared" si="144"/>
        <v>0.05</v>
      </c>
      <c r="N2076" s="475">
        <f t="shared" si="145"/>
        <v>114231</v>
      </c>
    </row>
    <row r="2077" spans="7:14" ht="11.25" customHeight="1" x14ac:dyDescent="0.3">
      <c r="G2077" s="470"/>
      <c r="H2077" s="470">
        <v>2070</v>
      </c>
      <c r="I2077" s="455">
        <f t="shared" ca="1" si="143"/>
        <v>2184256235.2460861</v>
      </c>
      <c r="J2077" s="455">
        <f t="array" ref="J2077">IFERROR(INDEX('Retirement Calculator'!J:J,MATCH('Isaac 401k'!N2077,'Retirement Calculator'!A:A,0),0),0)</f>
        <v>0</v>
      </c>
      <c r="K2077" s="455">
        <f t="shared" ca="1" si="141"/>
        <v>9101067.6468586922</v>
      </c>
      <c r="L2077" s="455">
        <f t="shared" ca="1" si="142"/>
        <v>2193357302.8929448</v>
      </c>
      <c r="M2077" s="471">
        <f t="shared" si="144"/>
        <v>0.05</v>
      </c>
      <c r="N2077" s="475">
        <f t="shared" si="145"/>
        <v>114262</v>
      </c>
    </row>
    <row r="2078" spans="7:14" ht="11.25" customHeight="1" x14ac:dyDescent="0.3">
      <c r="G2078" s="470"/>
      <c r="H2078" s="470">
        <v>2071</v>
      </c>
      <c r="I2078" s="455">
        <f t="shared" ca="1" si="143"/>
        <v>2193357302.8929448</v>
      </c>
      <c r="J2078" s="455">
        <f t="array" ref="J2078">IFERROR(INDEX('Retirement Calculator'!J:J,MATCH('Isaac 401k'!N2078,'Retirement Calculator'!A:A,0),0),0)</f>
        <v>0</v>
      </c>
      <c r="K2078" s="455">
        <f t="shared" ca="1" si="141"/>
        <v>9138988.7620539367</v>
      </c>
      <c r="L2078" s="455">
        <f t="shared" ca="1" si="142"/>
        <v>2202496291.6549988</v>
      </c>
      <c r="M2078" s="471">
        <f t="shared" si="144"/>
        <v>0.05</v>
      </c>
      <c r="N2078" s="475">
        <f t="shared" si="145"/>
        <v>114292</v>
      </c>
    </row>
    <row r="2079" spans="7:14" ht="11.25" customHeight="1" x14ac:dyDescent="0.3">
      <c r="G2079" s="470"/>
      <c r="H2079" s="470">
        <v>2072</v>
      </c>
      <c r="I2079" s="455">
        <f t="shared" ca="1" si="143"/>
        <v>2202496291.6549988</v>
      </c>
      <c r="J2079" s="455">
        <f t="array" ref="J2079">IFERROR(INDEX('Retirement Calculator'!J:J,MATCH('Isaac 401k'!N2079,'Retirement Calculator'!A:A,0),0),0)</f>
        <v>0</v>
      </c>
      <c r="K2079" s="455">
        <f t="shared" ca="1" si="141"/>
        <v>9177067.881895829</v>
      </c>
      <c r="L2079" s="455">
        <f t="shared" ca="1" si="142"/>
        <v>2211673359.5368948</v>
      </c>
      <c r="M2079" s="471">
        <f t="shared" si="144"/>
        <v>0.05</v>
      </c>
      <c r="N2079" s="475">
        <f t="shared" si="145"/>
        <v>114323</v>
      </c>
    </row>
    <row r="2080" spans="7:14" ht="11.25" customHeight="1" x14ac:dyDescent="0.3">
      <c r="G2080" s="470"/>
      <c r="H2080" s="470">
        <v>2073</v>
      </c>
      <c r="I2080" s="455">
        <f t="shared" ca="1" si="143"/>
        <v>2211673359.5368948</v>
      </c>
      <c r="J2080" s="455">
        <f t="array" ref="J2080">IFERROR(INDEX('Retirement Calculator'!J:J,MATCH('Isaac 401k'!N2080,'Retirement Calculator'!A:A,0),0),0)</f>
        <v>0</v>
      </c>
      <c r="K2080" s="455">
        <f t="shared" ca="1" si="141"/>
        <v>9215305.6647370607</v>
      </c>
      <c r="L2080" s="455">
        <f t="shared" ca="1" si="142"/>
        <v>2220888665.201632</v>
      </c>
      <c r="M2080" s="471">
        <f t="shared" si="144"/>
        <v>0.05</v>
      </c>
      <c r="N2080" s="475">
        <f t="shared" si="145"/>
        <v>114354</v>
      </c>
    </row>
    <row r="2081" spans="7:14" ht="11.25" customHeight="1" x14ac:dyDescent="0.3">
      <c r="G2081" s="470"/>
      <c r="H2081" s="470">
        <v>2074</v>
      </c>
      <c r="I2081" s="455">
        <f t="shared" ca="1" si="143"/>
        <v>2220888665.201632</v>
      </c>
      <c r="J2081" s="455">
        <f t="array" ref="J2081">IFERROR(INDEX('Retirement Calculator'!J:J,MATCH('Isaac 401k'!N2081,'Retirement Calculator'!A:A,0),0),0)</f>
        <v>0</v>
      </c>
      <c r="K2081" s="455">
        <f t="shared" ca="1" si="141"/>
        <v>9253702.771673467</v>
      </c>
      <c r="L2081" s="455">
        <f t="shared" ca="1" si="142"/>
        <v>2230142367.9733057</v>
      </c>
      <c r="M2081" s="471">
        <f t="shared" si="144"/>
        <v>0.05</v>
      </c>
      <c r="N2081" s="475">
        <f t="shared" si="145"/>
        <v>114382</v>
      </c>
    </row>
    <row r="2082" spans="7:14" ht="11.25" customHeight="1" x14ac:dyDescent="0.3">
      <c r="G2082" s="470"/>
      <c r="H2082" s="470">
        <v>2075</v>
      </c>
      <c r="I2082" s="455">
        <f t="shared" ca="1" si="143"/>
        <v>2230142367.9733057</v>
      </c>
      <c r="J2082" s="455">
        <f t="array" ref="J2082">IFERROR(INDEX('Retirement Calculator'!J:J,MATCH('Isaac 401k'!N2082,'Retirement Calculator'!A:A,0),0),0)</f>
        <v>0</v>
      </c>
      <c r="K2082" s="455">
        <f t="shared" ca="1" si="141"/>
        <v>9292259.8665554412</v>
      </c>
      <c r="L2082" s="455">
        <f t="shared" ca="1" si="142"/>
        <v>2239434627.8398609</v>
      </c>
      <c r="M2082" s="471">
        <f t="shared" si="144"/>
        <v>0.05</v>
      </c>
      <c r="N2082" s="475">
        <f t="shared" si="145"/>
        <v>114413</v>
      </c>
    </row>
    <row r="2083" spans="7:14" ht="11.25" customHeight="1" x14ac:dyDescent="0.3">
      <c r="G2083" s="470"/>
      <c r="H2083" s="470">
        <v>2076</v>
      </c>
      <c r="I2083" s="455">
        <f t="shared" ca="1" si="143"/>
        <v>2239434627.8398609</v>
      </c>
      <c r="J2083" s="455">
        <f t="array" ref="J2083">IFERROR(INDEX('Retirement Calculator'!J:J,MATCH('Isaac 401k'!N2083,'Retirement Calculator'!A:A,0),0),0)</f>
        <v>0</v>
      </c>
      <c r="K2083" s="455">
        <f t="shared" ca="1" si="141"/>
        <v>9330977.6159994211</v>
      </c>
      <c r="L2083" s="455">
        <f t="shared" ca="1" si="142"/>
        <v>2248765605.4558601</v>
      </c>
      <c r="M2083" s="471">
        <f t="shared" si="144"/>
        <v>0.05</v>
      </c>
      <c r="N2083" s="475">
        <f t="shared" si="145"/>
        <v>114443</v>
      </c>
    </row>
    <row r="2084" spans="7:14" ht="11.25" customHeight="1" x14ac:dyDescent="0.3">
      <c r="G2084" s="470"/>
      <c r="H2084" s="470">
        <v>2077</v>
      </c>
      <c r="I2084" s="455">
        <f t="shared" ca="1" si="143"/>
        <v>2248765605.4558601</v>
      </c>
      <c r="J2084" s="455">
        <f t="array" ref="J2084">IFERROR(INDEX('Retirement Calculator'!J:J,MATCH('Isaac 401k'!N2084,'Retirement Calculator'!A:A,0),0),0)</f>
        <v>0</v>
      </c>
      <c r="K2084" s="455">
        <f t="shared" ca="1" si="141"/>
        <v>9369856.6893994175</v>
      </c>
      <c r="L2084" s="455">
        <f t="shared" ca="1" si="142"/>
        <v>2258135462.1452594</v>
      </c>
      <c r="M2084" s="471">
        <f t="shared" si="144"/>
        <v>0.05</v>
      </c>
      <c r="N2084" s="475">
        <f t="shared" si="145"/>
        <v>114474</v>
      </c>
    </row>
    <row r="2085" spans="7:14" ht="11.25" customHeight="1" x14ac:dyDescent="0.3">
      <c r="G2085" s="470"/>
      <c r="H2085" s="470">
        <v>2078</v>
      </c>
      <c r="I2085" s="455">
        <f t="shared" ca="1" si="143"/>
        <v>2258135462.1452594</v>
      </c>
      <c r="J2085" s="455">
        <f t="array" ref="J2085">IFERROR(INDEX('Retirement Calculator'!J:J,MATCH('Isaac 401k'!N2085,'Retirement Calculator'!A:A,0),0),0)</f>
        <v>0</v>
      </c>
      <c r="K2085" s="455">
        <f t="shared" ca="1" si="141"/>
        <v>9408897.7589385808</v>
      </c>
      <c r="L2085" s="455">
        <f t="shared" ca="1" si="142"/>
        <v>2267544359.9041982</v>
      </c>
      <c r="M2085" s="471">
        <f t="shared" si="144"/>
        <v>0.05</v>
      </c>
      <c r="N2085" s="475">
        <f t="shared" si="145"/>
        <v>114504</v>
      </c>
    </row>
    <row r="2086" spans="7:14" ht="11.25" customHeight="1" x14ac:dyDescent="0.3">
      <c r="G2086" s="470"/>
      <c r="H2086" s="470">
        <v>2079</v>
      </c>
      <c r="I2086" s="455">
        <f t="shared" ca="1" si="143"/>
        <v>2267544359.9041982</v>
      </c>
      <c r="J2086" s="455">
        <f t="array" ref="J2086">IFERROR(INDEX('Retirement Calculator'!J:J,MATCH('Isaac 401k'!N2086,'Retirement Calculator'!A:A,0),0),0)</f>
        <v>0</v>
      </c>
      <c r="K2086" s="455">
        <f t="shared" ca="1" si="141"/>
        <v>9448101.4996008258</v>
      </c>
      <c r="L2086" s="455">
        <f t="shared" ca="1" si="142"/>
        <v>2276992461.4037991</v>
      </c>
      <c r="M2086" s="471">
        <f t="shared" si="144"/>
        <v>0.05</v>
      </c>
      <c r="N2086" s="475">
        <f t="shared" si="145"/>
        <v>114535</v>
      </c>
    </row>
    <row r="2087" spans="7:14" ht="11.25" customHeight="1" x14ac:dyDescent="0.3">
      <c r="G2087" s="470"/>
      <c r="H2087" s="470">
        <v>2080</v>
      </c>
      <c r="I2087" s="455">
        <f t="shared" ca="1" si="143"/>
        <v>2276992461.4037991</v>
      </c>
      <c r="J2087" s="455">
        <f t="array" ref="J2087">IFERROR(INDEX('Retirement Calculator'!J:J,MATCH('Isaac 401k'!N2087,'Retirement Calculator'!A:A,0),0),0)</f>
        <v>0</v>
      </c>
      <c r="K2087" s="455">
        <f t="shared" ca="1" si="141"/>
        <v>9487468.5891824961</v>
      </c>
      <c r="L2087" s="455">
        <f t="shared" ca="1" si="142"/>
        <v>2286479929.9929814</v>
      </c>
      <c r="M2087" s="471">
        <f t="shared" si="144"/>
        <v>0.05</v>
      </c>
      <c r="N2087" s="475">
        <f t="shared" si="145"/>
        <v>114566</v>
      </c>
    </row>
    <row r="2088" spans="7:14" ht="11.25" customHeight="1" x14ac:dyDescent="0.3">
      <c r="G2088" s="470"/>
      <c r="H2088" s="470">
        <v>2081</v>
      </c>
      <c r="I2088" s="455">
        <f t="shared" ca="1" si="143"/>
        <v>2286479929.9929814</v>
      </c>
      <c r="J2088" s="455">
        <f t="array" ref="J2088">IFERROR(INDEX('Retirement Calculator'!J:J,MATCH('Isaac 401k'!N2088,'Retirement Calculator'!A:A,0),0),0)</f>
        <v>0</v>
      </c>
      <c r="K2088" s="455">
        <f t="shared" ca="1" si="141"/>
        <v>9526999.7083040886</v>
      </c>
      <c r="L2088" s="455">
        <f t="shared" ca="1" si="142"/>
        <v>2296006929.7012854</v>
      </c>
      <c r="M2088" s="471">
        <f t="shared" si="144"/>
        <v>0.05</v>
      </c>
      <c r="N2088" s="475">
        <f t="shared" si="145"/>
        <v>114596</v>
      </c>
    </row>
    <row r="2089" spans="7:14" ht="11.25" customHeight="1" x14ac:dyDescent="0.3">
      <c r="G2089" s="470"/>
      <c r="H2089" s="470">
        <v>2082</v>
      </c>
      <c r="I2089" s="455">
        <f t="shared" ca="1" si="143"/>
        <v>2296006929.7012854</v>
      </c>
      <c r="J2089" s="455">
        <f t="array" ref="J2089">IFERROR(INDEX('Retirement Calculator'!J:J,MATCH('Isaac 401k'!N2089,'Retirement Calculator'!A:A,0),0),0)</f>
        <v>0</v>
      </c>
      <c r="K2089" s="455">
        <f t="shared" ca="1" si="141"/>
        <v>9566695.5404220223</v>
      </c>
      <c r="L2089" s="455">
        <f t="shared" ca="1" si="142"/>
        <v>2305573625.2417073</v>
      </c>
      <c r="M2089" s="471">
        <f t="shared" si="144"/>
        <v>0.05</v>
      </c>
      <c r="N2089" s="475">
        <f t="shared" si="145"/>
        <v>114627</v>
      </c>
    </row>
    <row r="2090" spans="7:14" ht="11.25" customHeight="1" x14ac:dyDescent="0.3">
      <c r="G2090" s="470"/>
      <c r="H2090" s="470">
        <v>2083</v>
      </c>
      <c r="I2090" s="455">
        <f t="shared" ca="1" si="143"/>
        <v>2305573625.2417073</v>
      </c>
      <c r="J2090" s="455">
        <f t="array" ref="J2090">IFERROR(INDEX('Retirement Calculator'!J:J,MATCH('Isaac 401k'!N2090,'Retirement Calculator'!A:A,0),0),0)</f>
        <v>0</v>
      </c>
      <c r="K2090" s="455">
        <f t="shared" ca="1" si="141"/>
        <v>9606556.7718404476</v>
      </c>
      <c r="L2090" s="455">
        <f t="shared" ca="1" si="142"/>
        <v>2315180182.0135479</v>
      </c>
      <c r="M2090" s="471">
        <f t="shared" si="144"/>
        <v>0.05</v>
      </c>
      <c r="N2090" s="475">
        <f t="shared" si="145"/>
        <v>114657</v>
      </c>
    </row>
    <row r="2091" spans="7:14" ht="11.25" customHeight="1" x14ac:dyDescent="0.3">
      <c r="G2091" s="470"/>
      <c r="H2091" s="470">
        <v>2084</v>
      </c>
      <c r="I2091" s="455">
        <f t="shared" ca="1" si="143"/>
        <v>2315180182.0135479</v>
      </c>
      <c r="J2091" s="455">
        <f t="array" ref="J2091">IFERROR(INDEX('Retirement Calculator'!J:J,MATCH('Isaac 401k'!N2091,'Retirement Calculator'!A:A,0),0),0)</f>
        <v>0</v>
      </c>
      <c r="K2091" s="455">
        <f t="shared" ca="1" si="141"/>
        <v>9646584.0917231161</v>
      </c>
      <c r="L2091" s="455">
        <f t="shared" ca="1" si="142"/>
        <v>2324826766.1052709</v>
      </c>
      <c r="M2091" s="471">
        <f t="shared" si="144"/>
        <v>0.05</v>
      </c>
      <c r="N2091" s="475">
        <f t="shared" si="145"/>
        <v>114688</v>
      </c>
    </row>
    <row r="2092" spans="7:14" ht="11.25" customHeight="1" x14ac:dyDescent="0.3">
      <c r="G2092" s="470"/>
      <c r="H2092" s="470">
        <v>2085</v>
      </c>
      <c r="I2092" s="455">
        <f t="shared" ca="1" si="143"/>
        <v>2324826766.1052709</v>
      </c>
      <c r="J2092" s="455">
        <f t="array" ref="J2092">IFERROR(INDEX('Retirement Calculator'!J:J,MATCH('Isaac 401k'!N2092,'Retirement Calculator'!A:A,0),0),0)</f>
        <v>0</v>
      </c>
      <c r="K2092" s="455">
        <f t="shared" ca="1" si="141"/>
        <v>9686778.1921052951</v>
      </c>
      <c r="L2092" s="455">
        <f t="shared" ca="1" si="142"/>
        <v>2334513544.2973762</v>
      </c>
      <c r="M2092" s="471">
        <f t="shared" si="144"/>
        <v>0.05</v>
      </c>
      <c r="N2092" s="475">
        <f t="shared" si="145"/>
        <v>114719</v>
      </c>
    </row>
    <row r="2093" spans="7:14" ht="11.25" customHeight="1" x14ac:dyDescent="0.3">
      <c r="G2093" s="470"/>
      <c r="H2093" s="470">
        <v>2086</v>
      </c>
      <c r="I2093" s="455">
        <f t="shared" ca="1" si="143"/>
        <v>2334513544.2973762</v>
      </c>
      <c r="J2093" s="455">
        <f t="array" ref="J2093">IFERROR(INDEX('Retirement Calculator'!J:J,MATCH('Isaac 401k'!N2093,'Retirement Calculator'!A:A,0),0),0)</f>
        <v>0</v>
      </c>
      <c r="K2093" s="455">
        <f t="shared" ca="1" si="141"/>
        <v>9727139.7679057345</v>
      </c>
      <c r="L2093" s="455">
        <f t="shared" ca="1" si="142"/>
        <v>2344240684.0652819</v>
      </c>
      <c r="M2093" s="471">
        <f t="shared" si="144"/>
        <v>0.05</v>
      </c>
      <c r="N2093" s="475">
        <f t="shared" si="145"/>
        <v>114747</v>
      </c>
    </row>
    <row r="2094" spans="7:14" ht="11.25" customHeight="1" x14ac:dyDescent="0.3">
      <c r="G2094" s="470"/>
      <c r="H2094" s="470">
        <v>2087</v>
      </c>
      <c r="I2094" s="455">
        <f t="shared" ca="1" si="143"/>
        <v>2344240684.0652819</v>
      </c>
      <c r="J2094" s="455">
        <f t="array" ref="J2094">IFERROR(INDEX('Retirement Calculator'!J:J,MATCH('Isaac 401k'!N2094,'Retirement Calculator'!A:A,0),0),0)</f>
        <v>0</v>
      </c>
      <c r="K2094" s="455">
        <f t="shared" ca="1" si="141"/>
        <v>9767669.5169386752</v>
      </c>
      <c r="L2094" s="455">
        <f t="shared" ca="1" si="142"/>
        <v>2354008353.5822206</v>
      </c>
      <c r="M2094" s="471">
        <f t="shared" si="144"/>
        <v>0.05</v>
      </c>
      <c r="N2094" s="475">
        <f t="shared" si="145"/>
        <v>114778</v>
      </c>
    </row>
    <row r="2095" spans="7:14" ht="11.25" customHeight="1" x14ac:dyDescent="0.3">
      <c r="G2095" s="470"/>
      <c r="H2095" s="470">
        <v>2088</v>
      </c>
      <c r="I2095" s="455">
        <f t="shared" ca="1" si="143"/>
        <v>2354008353.5822206</v>
      </c>
      <c r="J2095" s="455">
        <f t="array" ref="J2095">IFERROR(INDEX('Retirement Calculator'!J:J,MATCH('Isaac 401k'!N2095,'Retirement Calculator'!A:A,0),0),0)</f>
        <v>0</v>
      </c>
      <c r="K2095" s="455">
        <f t="shared" ca="1" si="141"/>
        <v>9808368.1399259195</v>
      </c>
      <c r="L2095" s="455">
        <f t="shared" ca="1" si="142"/>
        <v>2363816721.7221465</v>
      </c>
      <c r="M2095" s="471">
        <f t="shared" si="144"/>
        <v>0.05</v>
      </c>
      <c r="N2095" s="475">
        <f t="shared" si="145"/>
        <v>114808</v>
      </c>
    </row>
    <row r="2096" spans="7:14" ht="11.25" customHeight="1" x14ac:dyDescent="0.3">
      <c r="G2096" s="470"/>
      <c r="H2096" s="470">
        <v>2089</v>
      </c>
      <c r="I2096" s="455">
        <f t="shared" ca="1" si="143"/>
        <v>2363816721.7221465</v>
      </c>
      <c r="J2096" s="455">
        <f t="array" ref="J2096">IFERROR(INDEX('Retirement Calculator'!J:J,MATCH('Isaac 401k'!N2096,'Retirement Calculator'!A:A,0),0),0)</f>
        <v>0</v>
      </c>
      <c r="K2096" s="455">
        <f t="shared" ca="1" si="141"/>
        <v>9849236.3405089434</v>
      </c>
      <c r="L2096" s="455">
        <f t="shared" ca="1" si="142"/>
        <v>2373665958.0626554</v>
      </c>
      <c r="M2096" s="471">
        <f t="shared" si="144"/>
        <v>0.05</v>
      </c>
      <c r="N2096" s="475">
        <f t="shared" si="145"/>
        <v>114839</v>
      </c>
    </row>
    <row r="2097" spans="7:14" ht="11.25" customHeight="1" x14ac:dyDescent="0.3">
      <c r="G2097" s="470"/>
      <c r="H2097" s="470">
        <v>2090</v>
      </c>
      <c r="I2097" s="455">
        <f t="shared" ca="1" si="143"/>
        <v>2373665958.0626554</v>
      </c>
      <c r="J2097" s="455">
        <f t="array" ref="J2097">IFERROR(INDEX('Retirement Calculator'!J:J,MATCH('Isaac 401k'!N2097,'Retirement Calculator'!A:A,0),0),0)</f>
        <v>0</v>
      </c>
      <c r="K2097" s="455">
        <f t="shared" ca="1" si="141"/>
        <v>9890274.8252610639</v>
      </c>
      <c r="L2097" s="455">
        <f t="shared" ca="1" si="142"/>
        <v>2383556232.8879166</v>
      </c>
      <c r="M2097" s="471">
        <f t="shared" si="144"/>
        <v>0.05</v>
      </c>
      <c r="N2097" s="475">
        <f t="shared" si="145"/>
        <v>114869</v>
      </c>
    </row>
    <row r="2098" spans="7:14" ht="11.25" customHeight="1" x14ac:dyDescent="0.3">
      <c r="G2098" s="470"/>
      <c r="H2098" s="470">
        <v>2091</v>
      </c>
      <c r="I2098" s="455">
        <f t="shared" ca="1" si="143"/>
        <v>2383556232.8879166</v>
      </c>
      <c r="J2098" s="455">
        <f t="array" ref="J2098">IFERROR(INDEX('Retirement Calculator'!J:J,MATCH('Isaac 401k'!N2098,'Retirement Calculator'!A:A,0),0),0)</f>
        <v>0</v>
      </c>
      <c r="K2098" s="455">
        <f t="shared" ca="1" si="141"/>
        <v>9931484.3036996517</v>
      </c>
      <c r="L2098" s="455">
        <f t="shared" ca="1" si="142"/>
        <v>2393487717.1916161</v>
      </c>
      <c r="M2098" s="471">
        <f t="shared" si="144"/>
        <v>0.05</v>
      </c>
      <c r="N2098" s="475">
        <f t="shared" si="145"/>
        <v>114900</v>
      </c>
    </row>
    <row r="2099" spans="7:14" ht="11.25" customHeight="1" x14ac:dyDescent="0.3">
      <c r="G2099" s="470"/>
      <c r="H2099" s="470">
        <v>2092</v>
      </c>
      <c r="I2099" s="455">
        <f t="shared" ca="1" si="143"/>
        <v>2393487717.1916161</v>
      </c>
      <c r="J2099" s="455">
        <f t="array" ref="J2099">IFERROR(INDEX('Retirement Calculator'!J:J,MATCH('Isaac 401k'!N2099,'Retirement Calculator'!A:A,0),0),0)</f>
        <v>0</v>
      </c>
      <c r="K2099" s="455">
        <f t="shared" ca="1" si="141"/>
        <v>9972865.4882983994</v>
      </c>
      <c r="L2099" s="455">
        <f t="shared" ca="1" si="142"/>
        <v>2403460582.6799145</v>
      </c>
      <c r="M2099" s="471">
        <f t="shared" si="144"/>
        <v>0.05</v>
      </c>
      <c r="N2099" s="475">
        <f t="shared" si="145"/>
        <v>114931</v>
      </c>
    </row>
    <row r="2100" spans="7:14" ht="11.25" customHeight="1" x14ac:dyDescent="0.3">
      <c r="G2100" s="470"/>
      <c r="H2100" s="470">
        <v>2093</v>
      </c>
      <c r="I2100" s="455">
        <f t="shared" ca="1" si="143"/>
        <v>2403460582.6799145</v>
      </c>
      <c r="J2100" s="455">
        <f t="array" ref="J2100">IFERROR(INDEX('Retirement Calculator'!J:J,MATCH('Isaac 401k'!N2100,'Retirement Calculator'!A:A,0),0),0)</f>
        <v>0</v>
      </c>
      <c r="K2100" s="455">
        <f t="shared" ca="1" si="141"/>
        <v>10014419.094499644</v>
      </c>
      <c r="L2100" s="455">
        <f t="shared" ca="1" si="142"/>
        <v>2413475001.7744141</v>
      </c>
      <c r="M2100" s="471">
        <f t="shared" si="144"/>
        <v>0.05</v>
      </c>
      <c r="N2100" s="475">
        <f t="shared" si="145"/>
        <v>114961</v>
      </c>
    </row>
    <row r="2101" spans="7:14" ht="11.25" customHeight="1" x14ac:dyDescent="0.3">
      <c r="G2101" s="470"/>
      <c r="H2101" s="470">
        <v>2094</v>
      </c>
      <c r="I2101" s="455">
        <f t="shared" ca="1" si="143"/>
        <v>2413475001.7744141</v>
      </c>
      <c r="J2101" s="455">
        <f t="array" ref="J2101">IFERROR(INDEX('Retirement Calculator'!J:J,MATCH('Isaac 401k'!N2101,'Retirement Calculator'!A:A,0),0),0)</f>
        <v>0</v>
      </c>
      <c r="K2101" s="455">
        <f t="shared" ca="1" si="141"/>
        <v>10056145.840726726</v>
      </c>
      <c r="L2101" s="455">
        <f t="shared" ca="1" si="142"/>
        <v>2423531147.6151409</v>
      </c>
      <c r="M2101" s="471">
        <f t="shared" si="144"/>
        <v>0.05</v>
      </c>
      <c r="N2101" s="475">
        <f t="shared" si="145"/>
        <v>114992</v>
      </c>
    </row>
    <row r="2102" spans="7:14" ht="11.25" customHeight="1" x14ac:dyDescent="0.3">
      <c r="G2102" s="470"/>
      <c r="H2102" s="470">
        <v>2095</v>
      </c>
      <c r="I2102" s="455">
        <f t="shared" ca="1" si="143"/>
        <v>2423531147.6151409</v>
      </c>
      <c r="J2102" s="455">
        <f t="array" ref="J2102">IFERROR(INDEX('Retirement Calculator'!J:J,MATCH('Isaac 401k'!N2102,'Retirement Calculator'!A:A,0),0),0)</f>
        <v>0</v>
      </c>
      <c r="K2102" s="455">
        <f t="shared" ca="1" si="141"/>
        <v>10098046.44839642</v>
      </c>
      <c r="L2102" s="455">
        <f t="shared" ca="1" si="142"/>
        <v>2433629194.0635371</v>
      </c>
      <c r="M2102" s="471">
        <f t="shared" si="144"/>
        <v>0.05</v>
      </c>
      <c r="N2102" s="475">
        <f t="shared" si="145"/>
        <v>115022</v>
      </c>
    </row>
    <row r="2103" spans="7:14" ht="11.25" customHeight="1" x14ac:dyDescent="0.3">
      <c r="G2103" s="470"/>
      <c r="H2103" s="470">
        <v>2096</v>
      </c>
      <c r="I2103" s="455">
        <f t="shared" ca="1" si="143"/>
        <v>2433629194.0635371</v>
      </c>
      <c r="J2103" s="455">
        <f t="array" ref="J2103">IFERROR(INDEX('Retirement Calculator'!J:J,MATCH('Isaac 401k'!N2103,'Retirement Calculator'!A:A,0),0),0)</f>
        <v>0</v>
      </c>
      <c r="K2103" s="455">
        <f t="shared" ca="1" si="141"/>
        <v>10140121.641931405</v>
      </c>
      <c r="L2103" s="455">
        <f t="shared" ca="1" si="142"/>
        <v>2443769315.7054687</v>
      </c>
      <c r="M2103" s="471">
        <f t="shared" si="144"/>
        <v>0.05</v>
      </c>
      <c r="N2103" s="475">
        <f t="shared" si="145"/>
        <v>115053</v>
      </c>
    </row>
    <row r="2104" spans="7:14" ht="11.25" customHeight="1" x14ac:dyDescent="0.3">
      <c r="G2104" s="470"/>
      <c r="H2104" s="470">
        <v>2097</v>
      </c>
      <c r="I2104" s="455">
        <f t="shared" ca="1" si="143"/>
        <v>2443769315.7054687</v>
      </c>
      <c r="J2104" s="455">
        <f t="array" ref="J2104">IFERROR(INDEX('Retirement Calculator'!J:J,MATCH('Isaac 401k'!N2104,'Retirement Calculator'!A:A,0),0),0)</f>
        <v>0</v>
      </c>
      <c r="K2104" s="455">
        <f t="shared" ca="1" si="141"/>
        <v>10182372.148772785</v>
      </c>
      <c r="L2104" s="455">
        <f t="shared" ca="1" si="142"/>
        <v>2453951687.8542414</v>
      </c>
      <c r="M2104" s="471">
        <f t="shared" si="144"/>
        <v>0.05</v>
      </c>
      <c r="N2104" s="475">
        <f t="shared" si="145"/>
        <v>115084</v>
      </c>
    </row>
    <row r="2105" spans="7:14" ht="11.25" customHeight="1" x14ac:dyDescent="0.3">
      <c r="G2105" s="470"/>
      <c r="H2105" s="470">
        <v>2098</v>
      </c>
      <c r="I2105" s="455">
        <f t="shared" ca="1" si="143"/>
        <v>2453951687.8542414</v>
      </c>
      <c r="J2105" s="455">
        <f t="array" ref="J2105">IFERROR(INDEX('Retirement Calculator'!J:J,MATCH('Isaac 401k'!N2105,'Retirement Calculator'!A:A,0),0),0)</f>
        <v>0</v>
      </c>
      <c r="K2105" s="455">
        <f t="shared" ca="1" si="141"/>
        <v>10224798.699392673</v>
      </c>
      <c r="L2105" s="455">
        <f t="shared" ca="1" si="142"/>
        <v>2464176486.5536342</v>
      </c>
      <c r="M2105" s="471">
        <f t="shared" si="144"/>
        <v>0.05</v>
      </c>
      <c r="N2105" s="475">
        <f t="shared" si="145"/>
        <v>115112</v>
      </c>
    </row>
    <row r="2106" spans="7:14" ht="11.25" customHeight="1" x14ac:dyDescent="0.3">
      <c r="G2106" s="470"/>
      <c r="H2106" s="470">
        <v>2099</v>
      </c>
      <c r="I2106" s="455">
        <f t="shared" ca="1" si="143"/>
        <v>2464176486.5536342</v>
      </c>
      <c r="J2106" s="455">
        <f t="array" ref="J2106">IFERROR(INDEX('Retirement Calculator'!J:J,MATCH('Isaac 401k'!N2106,'Retirement Calculator'!A:A,0),0),0)</f>
        <v>0</v>
      </c>
      <c r="K2106" s="455">
        <f t="shared" ca="1" si="141"/>
        <v>10267402.027306808</v>
      </c>
      <c r="L2106" s="455">
        <f t="shared" ca="1" si="142"/>
        <v>2474443888.5809412</v>
      </c>
      <c r="M2106" s="471">
        <f t="shared" si="144"/>
        <v>0.05</v>
      </c>
      <c r="N2106" s="475">
        <f t="shared" si="145"/>
        <v>115143</v>
      </c>
    </row>
    <row r="2107" spans="7:14" ht="11.25" customHeight="1" x14ac:dyDescent="0.3">
      <c r="G2107" s="470"/>
      <c r="H2107" s="470">
        <v>2100</v>
      </c>
      <c r="I2107" s="455">
        <f t="shared" ca="1" si="143"/>
        <v>2474443888.5809412</v>
      </c>
      <c r="J2107" s="455">
        <f t="array" ref="J2107">IFERROR(INDEX('Retirement Calculator'!J:J,MATCH('Isaac 401k'!N2107,'Retirement Calculator'!A:A,0),0),0)</f>
        <v>0</v>
      </c>
      <c r="K2107" s="455">
        <f t="shared" ca="1" si="141"/>
        <v>10310182.869087255</v>
      </c>
      <c r="L2107" s="455">
        <f t="shared" ca="1" si="142"/>
        <v>2484754071.4500284</v>
      </c>
      <c r="M2107" s="471">
        <f t="shared" si="144"/>
        <v>0.05</v>
      </c>
      <c r="N2107" s="475">
        <f t="shared" si="145"/>
        <v>115173</v>
      </c>
    </row>
    <row r="2108" spans="7:14" ht="11.25" customHeight="1" x14ac:dyDescent="0.3">
      <c r="G2108" s="470"/>
      <c r="H2108" s="470">
        <v>2101</v>
      </c>
      <c r="I2108" s="455">
        <f t="shared" ca="1" si="143"/>
        <v>2484754071.4500284</v>
      </c>
      <c r="J2108" s="455">
        <f t="array" ref="J2108">IFERROR(INDEX('Retirement Calculator'!J:J,MATCH('Isaac 401k'!N2108,'Retirement Calculator'!A:A,0),0),0)</f>
        <v>0</v>
      </c>
      <c r="K2108" s="455">
        <f t="shared" ca="1" si="141"/>
        <v>10353141.964375118</v>
      </c>
      <c r="L2108" s="455">
        <f t="shared" ca="1" si="142"/>
        <v>2495107213.4144034</v>
      </c>
      <c r="M2108" s="471">
        <f t="shared" si="144"/>
        <v>0.05</v>
      </c>
      <c r="N2108" s="475">
        <f t="shared" si="145"/>
        <v>115204</v>
      </c>
    </row>
    <row r="2109" spans="7:14" ht="11.25" customHeight="1" x14ac:dyDescent="0.3">
      <c r="G2109" s="470"/>
      <c r="H2109" s="470">
        <v>2102</v>
      </c>
      <c r="I2109" s="455">
        <f t="shared" ca="1" si="143"/>
        <v>2495107213.4144034</v>
      </c>
      <c r="J2109" s="455">
        <f t="array" ref="J2109">IFERROR(INDEX('Retirement Calculator'!J:J,MATCH('Isaac 401k'!N2109,'Retirement Calculator'!A:A,0),0),0)</f>
        <v>0</v>
      </c>
      <c r="K2109" s="455">
        <f t="shared" ca="1" si="141"/>
        <v>10396280.055893347</v>
      </c>
      <c r="L2109" s="455">
        <f t="shared" ca="1" si="142"/>
        <v>2505503493.4702969</v>
      </c>
      <c r="M2109" s="471">
        <f t="shared" si="144"/>
        <v>0.05</v>
      </c>
      <c r="N2109" s="475">
        <f t="shared" si="145"/>
        <v>115234</v>
      </c>
    </row>
    <row r="2110" spans="7:14" ht="11.25" customHeight="1" x14ac:dyDescent="0.3">
      <c r="G2110" s="470"/>
      <c r="H2110" s="470">
        <v>2103</v>
      </c>
      <c r="I2110" s="455">
        <f t="shared" ca="1" si="143"/>
        <v>2505503493.4702969</v>
      </c>
      <c r="J2110" s="455">
        <f t="array" ref="J2110">IFERROR(INDEX('Retirement Calculator'!J:J,MATCH('Isaac 401k'!N2110,'Retirement Calculator'!A:A,0),0),0)</f>
        <v>0</v>
      </c>
      <c r="K2110" s="455">
        <f t="shared" ca="1" si="141"/>
        <v>10439597.889459571</v>
      </c>
      <c r="L2110" s="455">
        <f t="shared" ca="1" si="142"/>
        <v>2515943091.3597565</v>
      </c>
      <c r="M2110" s="471">
        <f t="shared" si="144"/>
        <v>0.05</v>
      </c>
      <c r="N2110" s="475">
        <f t="shared" si="145"/>
        <v>115265</v>
      </c>
    </row>
    <row r="2111" spans="7:14" ht="11.25" customHeight="1" x14ac:dyDescent="0.3">
      <c r="G2111" s="470"/>
      <c r="H2111" s="470">
        <v>2104</v>
      </c>
      <c r="I2111" s="455">
        <f t="shared" ca="1" si="143"/>
        <v>2515943091.3597565</v>
      </c>
      <c r="J2111" s="455">
        <f t="array" ref="J2111">IFERROR(INDEX('Retirement Calculator'!J:J,MATCH('Isaac 401k'!N2111,'Retirement Calculator'!A:A,0),0),0)</f>
        <v>0</v>
      </c>
      <c r="K2111" s="455">
        <f t="shared" ca="1" si="141"/>
        <v>10483096.213998985</v>
      </c>
      <c r="L2111" s="455">
        <f t="shared" ca="1" si="142"/>
        <v>2526426187.5737553</v>
      </c>
      <c r="M2111" s="471">
        <f t="shared" si="144"/>
        <v>0.05</v>
      </c>
      <c r="N2111" s="475">
        <f t="shared" si="145"/>
        <v>115296</v>
      </c>
    </row>
    <row r="2112" spans="7:14" ht="11.25" customHeight="1" x14ac:dyDescent="0.3">
      <c r="G2112" s="470"/>
      <c r="H2112" s="470">
        <v>2105</v>
      </c>
      <c r="I2112" s="455">
        <f t="shared" ca="1" si="143"/>
        <v>2526426187.5737553</v>
      </c>
      <c r="J2112" s="455">
        <f t="array" ref="J2112">IFERROR(INDEX('Retirement Calculator'!J:J,MATCH('Isaac 401k'!N2112,'Retirement Calculator'!A:A,0),0),0)</f>
        <v>0</v>
      </c>
      <c r="K2112" s="455">
        <f t="shared" ca="1" si="141"/>
        <v>10526775.781557314</v>
      </c>
      <c r="L2112" s="455">
        <f t="shared" ca="1" si="142"/>
        <v>2536952963.3553123</v>
      </c>
      <c r="M2112" s="471">
        <f t="shared" si="144"/>
        <v>0.05</v>
      </c>
      <c r="N2112" s="475">
        <f t="shared" si="145"/>
        <v>115326</v>
      </c>
    </row>
    <row r="2113" spans="7:14" ht="11.25" customHeight="1" x14ac:dyDescent="0.3">
      <c r="G2113" s="470"/>
      <c r="H2113" s="470">
        <v>2106</v>
      </c>
      <c r="I2113" s="455">
        <f t="shared" ca="1" si="143"/>
        <v>2536952963.3553123</v>
      </c>
      <c r="J2113" s="455">
        <f t="array" ref="J2113">IFERROR(INDEX('Retirement Calculator'!J:J,MATCH('Isaac 401k'!N2113,'Retirement Calculator'!A:A,0),0),0)</f>
        <v>0</v>
      </c>
      <c r="K2113" s="455">
        <f t="shared" ca="1" si="141"/>
        <v>10570637.347313801</v>
      </c>
      <c r="L2113" s="455">
        <f t="shared" ca="1" si="142"/>
        <v>2547523600.7026262</v>
      </c>
      <c r="M2113" s="471">
        <f t="shared" si="144"/>
        <v>0.05</v>
      </c>
      <c r="N2113" s="475">
        <f t="shared" si="145"/>
        <v>115357</v>
      </c>
    </row>
    <row r="2114" spans="7:14" ht="11.25" customHeight="1" x14ac:dyDescent="0.3">
      <c r="G2114" s="470"/>
      <c r="H2114" s="470">
        <v>2107</v>
      </c>
      <c r="I2114" s="455">
        <f t="shared" ca="1" si="143"/>
        <v>2547523600.7026262</v>
      </c>
      <c r="J2114" s="455">
        <f t="array" ref="J2114">IFERROR(INDEX('Retirement Calculator'!J:J,MATCH('Isaac 401k'!N2114,'Retirement Calculator'!A:A,0),0),0)</f>
        <v>0</v>
      </c>
      <c r="K2114" s="455">
        <f t="shared" ca="1" si="141"/>
        <v>10614681.669594277</v>
      </c>
      <c r="L2114" s="455">
        <f t="shared" ca="1" si="142"/>
        <v>2558138282.3722205</v>
      </c>
      <c r="M2114" s="471">
        <f t="shared" si="144"/>
        <v>0.05</v>
      </c>
      <c r="N2114" s="475">
        <f t="shared" si="145"/>
        <v>115387</v>
      </c>
    </row>
    <row r="2115" spans="7:14" ht="11.25" customHeight="1" x14ac:dyDescent="0.3">
      <c r="G2115" s="470"/>
      <c r="H2115" s="470">
        <v>2108</v>
      </c>
      <c r="I2115" s="455">
        <f t="shared" ca="1" si="143"/>
        <v>2558138282.3722205</v>
      </c>
      <c r="J2115" s="455">
        <f t="array" ref="J2115">IFERROR(INDEX('Retirement Calculator'!J:J,MATCH('Isaac 401k'!N2115,'Retirement Calculator'!A:A,0),0),0)</f>
        <v>0</v>
      </c>
      <c r="K2115" s="455">
        <f t="shared" ca="1" si="141"/>
        <v>10658909.509884251</v>
      </c>
      <c r="L2115" s="455">
        <f t="shared" ca="1" si="142"/>
        <v>2568797191.8821049</v>
      </c>
      <c r="M2115" s="471">
        <f t="shared" si="144"/>
        <v>0.05</v>
      </c>
      <c r="N2115" s="475">
        <f t="shared" si="145"/>
        <v>115418</v>
      </c>
    </row>
    <row r="2116" spans="7:14" ht="11.25" customHeight="1" x14ac:dyDescent="0.3">
      <c r="G2116" s="470"/>
      <c r="H2116" s="470">
        <v>2109</v>
      </c>
      <c r="I2116" s="455">
        <f t="shared" ca="1" si="143"/>
        <v>2568797191.8821049</v>
      </c>
      <c r="J2116" s="455">
        <f t="array" ref="J2116">IFERROR(INDEX('Retirement Calculator'!J:J,MATCH('Isaac 401k'!N2116,'Retirement Calculator'!A:A,0),0),0)</f>
        <v>0</v>
      </c>
      <c r="K2116" s="455">
        <f t="shared" ca="1" si="141"/>
        <v>10703321.632842103</v>
      </c>
      <c r="L2116" s="455">
        <f t="shared" ca="1" si="142"/>
        <v>2579500513.5149469</v>
      </c>
      <c r="M2116" s="471">
        <f t="shared" si="144"/>
        <v>0.05</v>
      </c>
      <c r="N2116" s="475">
        <f t="shared" si="145"/>
        <v>115449</v>
      </c>
    </row>
    <row r="2117" spans="7:14" ht="11.25" customHeight="1" x14ac:dyDescent="0.3">
      <c r="G2117" s="470"/>
      <c r="H2117" s="470">
        <v>2110</v>
      </c>
      <c r="I2117" s="455">
        <f t="shared" ca="1" si="143"/>
        <v>2579500513.5149469</v>
      </c>
      <c r="J2117" s="455">
        <f t="array" ref="J2117">IFERROR(INDEX('Retirement Calculator'!J:J,MATCH('Isaac 401k'!N2117,'Retirement Calculator'!A:A,0),0),0)</f>
        <v>0</v>
      </c>
      <c r="K2117" s="455">
        <f t="shared" ca="1" si="141"/>
        <v>10747918.806312278</v>
      </c>
      <c r="L2117" s="455">
        <f t="shared" ca="1" si="142"/>
        <v>2590248432.321259</v>
      </c>
      <c r="M2117" s="471">
        <f t="shared" si="144"/>
        <v>0.05</v>
      </c>
      <c r="N2117" s="475">
        <f t="shared" si="145"/>
        <v>115478</v>
      </c>
    </row>
    <row r="2118" spans="7:14" ht="11.25" customHeight="1" x14ac:dyDescent="0.3">
      <c r="G2118" s="470"/>
      <c r="H2118" s="470">
        <v>2111</v>
      </c>
      <c r="I2118" s="455">
        <f t="shared" ca="1" si="143"/>
        <v>2590248432.321259</v>
      </c>
      <c r="J2118" s="455">
        <f t="array" ref="J2118">IFERROR(INDEX('Retirement Calculator'!J:J,MATCH('Isaac 401k'!N2118,'Retirement Calculator'!A:A,0),0),0)</f>
        <v>0</v>
      </c>
      <c r="K2118" s="455">
        <f t="shared" ca="1" si="141"/>
        <v>10792701.80133858</v>
      </c>
      <c r="L2118" s="455">
        <f t="shared" ca="1" si="142"/>
        <v>2601041134.1225977</v>
      </c>
      <c r="M2118" s="471">
        <f t="shared" si="144"/>
        <v>0.05</v>
      </c>
      <c r="N2118" s="475">
        <f t="shared" si="145"/>
        <v>115509</v>
      </c>
    </row>
    <row r="2119" spans="7:14" ht="11.25" customHeight="1" x14ac:dyDescent="0.3">
      <c r="G2119" s="470"/>
      <c r="H2119" s="470">
        <v>2112</v>
      </c>
      <c r="I2119" s="455">
        <f t="shared" ca="1" si="143"/>
        <v>2601041134.1225977</v>
      </c>
      <c r="J2119" s="455">
        <f t="array" ref="J2119">IFERROR(INDEX('Retirement Calculator'!J:J,MATCH('Isaac 401k'!N2119,'Retirement Calculator'!A:A,0),0),0)</f>
        <v>0</v>
      </c>
      <c r="K2119" s="455">
        <f t="shared" ca="1" si="141"/>
        <v>10837671.392177491</v>
      </c>
      <c r="L2119" s="455">
        <f t="shared" ca="1" si="142"/>
        <v>2611878805.5147753</v>
      </c>
      <c r="M2119" s="471">
        <f t="shared" si="144"/>
        <v>0.05</v>
      </c>
      <c r="N2119" s="475">
        <f t="shared" si="145"/>
        <v>115539</v>
      </c>
    </row>
    <row r="2120" spans="7:14" ht="11.25" customHeight="1" x14ac:dyDescent="0.3">
      <c r="G2120" s="470"/>
      <c r="H2120" s="470">
        <v>2113</v>
      </c>
      <c r="I2120" s="455">
        <f t="shared" ca="1" si="143"/>
        <v>2611878805.5147753</v>
      </c>
      <c r="J2120" s="455">
        <f t="array" ref="J2120">IFERROR(INDEX('Retirement Calculator'!J:J,MATCH('Isaac 401k'!N2120,'Retirement Calculator'!A:A,0),0),0)</f>
        <v>0</v>
      </c>
      <c r="K2120" s="455">
        <f t="shared" ca="1" si="141"/>
        <v>10882828.356311563</v>
      </c>
      <c r="L2120" s="455">
        <f t="shared" ca="1" si="142"/>
        <v>2622761633.8710871</v>
      </c>
      <c r="M2120" s="471">
        <f t="shared" si="144"/>
        <v>0.05</v>
      </c>
      <c r="N2120" s="475">
        <f t="shared" si="145"/>
        <v>115570</v>
      </c>
    </row>
    <row r="2121" spans="7:14" ht="11.25" customHeight="1" x14ac:dyDescent="0.3">
      <c r="G2121" s="470"/>
      <c r="H2121" s="470">
        <v>2114</v>
      </c>
      <c r="I2121" s="455">
        <f t="shared" ca="1" si="143"/>
        <v>2622761633.8710871</v>
      </c>
      <c r="J2121" s="455">
        <f t="array" ref="J2121">IFERROR(INDEX('Retirement Calculator'!J:J,MATCH('Isaac 401k'!N2121,'Retirement Calculator'!A:A,0),0),0)</f>
        <v>0</v>
      </c>
      <c r="K2121" s="455">
        <f t="shared" ca="1" si="141"/>
        <v>10928173.474462863</v>
      </c>
      <c r="L2121" s="455">
        <f t="shared" ca="1" si="142"/>
        <v>2633689807.3455501</v>
      </c>
      <c r="M2121" s="471">
        <f t="shared" si="144"/>
        <v>0.05</v>
      </c>
      <c r="N2121" s="475">
        <f t="shared" si="145"/>
        <v>115600</v>
      </c>
    </row>
    <row r="2122" spans="7:14" ht="11.25" customHeight="1" x14ac:dyDescent="0.3">
      <c r="G2122" s="470"/>
      <c r="H2122" s="470">
        <v>2115</v>
      </c>
      <c r="I2122" s="455">
        <f t="shared" ca="1" si="143"/>
        <v>2633689807.3455501</v>
      </c>
      <c r="J2122" s="455">
        <f t="array" ref="J2122">IFERROR(INDEX('Retirement Calculator'!J:J,MATCH('Isaac 401k'!N2122,'Retirement Calculator'!A:A,0),0),0)</f>
        <v>0</v>
      </c>
      <c r="K2122" s="455">
        <f t="shared" ca="1" si="141"/>
        <v>10973707.530606458</v>
      </c>
      <c r="L2122" s="455">
        <f t="shared" ca="1" si="142"/>
        <v>2644663514.8761563</v>
      </c>
      <c r="M2122" s="471">
        <f t="shared" si="144"/>
        <v>0.05</v>
      </c>
      <c r="N2122" s="475">
        <f t="shared" si="145"/>
        <v>115631</v>
      </c>
    </row>
    <row r="2123" spans="7:14" ht="11.25" customHeight="1" x14ac:dyDescent="0.3">
      <c r="G2123" s="470"/>
      <c r="H2123" s="470">
        <v>2116</v>
      </c>
      <c r="I2123" s="455">
        <f t="shared" ca="1" si="143"/>
        <v>2644663514.8761563</v>
      </c>
      <c r="J2123" s="455">
        <f t="array" ref="J2123">IFERROR(INDEX('Retirement Calculator'!J:J,MATCH('Isaac 401k'!N2123,'Retirement Calculator'!A:A,0),0),0)</f>
        <v>0</v>
      </c>
      <c r="K2123" s="455">
        <f t="shared" ca="1" si="141"/>
        <v>11019431.311983984</v>
      </c>
      <c r="L2123" s="455">
        <f t="shared" ca="1" si="142"/>
        <v>2655682946.1881404</v>
      </c>
      <c r="M2123" s="471">
        <f t="shared" si="144"/>
        <v>0.05</v>
      </c>
      <c r="N2123" s="475">
        <f t="shared" si="145"/>
        <v>115662</v>
      </c>
    </row>
    <row r="2124" spans="7:14" ht="11.25" customHeight="1" x14ac:dyDescent="0.3">
      <c r="G2124" s="470"/>
      <c r="H2124" s="470">
        <v>2117</v>
      </c>
      <c r="I2124" s="455">
        <f t="shared" ca="1" si="143"/>
        <v>2655682946.1881404</v>
      </c>
      <c r="J2124" s="455">
        <f t="array" ref="J2124">IFERROR(INDEX('Retirement Calculator'!J:J,MATCH('Isaac 401k'!N2124,'Retirement Calculator'!A:A,0),0),0)</f>
        <v>0</v>
      </c>
      <c r="K2124" s="455">
        <f t="shared" ca="1" si="141"/>
        <v>11065345.609117251</v>
      </c>
      <c r="L2124" s="455">
        <f t="shared" ca="1" si="142"/>
        <v>2666748291.7972574</v>
      </c>
      <c r="M2124" s="471">
        <f t="shared" si="144"/>
        <v>0.05</v>
      </c>
      <c r="N2124" s="475">
        <f t="shared" si="145"/>
        <v>115692</v>
      </c>
    </row>
    <row r="2125" spans="7:14" ht="11.25" customHeight="1" x14ac:dyDescent="0.3">
      <c r="G2125" s="470"/>
      <c r="H2125" s="470">
        <v>2118</v>
      </c>
      <c r="I2125" s="455">
        <f t="shared" ca="1" si="143"/>
        <v>2666748291.7972574</v>
      </c>
      <c r="J2125" s="455">
        <f t="array" ref="J2125">IFERROR(INDEX('Retirement Calculator'!J:J,MATCH('Isaac 401k'!N2125,'Retirement Calculator'!A:A,0),0),0)</f>
        <v>0</v>
      </c>
      <c r="K2125" s="455">
        <f t="shared" ca="1" si="141"/>
        <v>11111451.215821905</v>
      </c>
      <c r="L2125" s="455">
        <f t="shared" ca="1" si="142"/>
        <v>2677859743.0130792</v>
      </c>
      <c r="M2125" s="471">
        <f t="shared" si="144"/>
        <v>0.05</v>
      </c>
      <c r="N2125" s="475">
        <f t="shared" si="145"/>
        <v>115723</v>
      </c>
    </row>
    <row r="2126" spans="7:14" ht="11.25" customHeight="1" x14ac:dyDescent="0.3">
      <c r="G2126" s="470"/>
      <c r="H2126" s="470">
        <v>2119</v>
      </c>
      <c r="I2126" s="455">
        <f t="shared" ca="1" si="143"/>
        <v>2677859743.0130792</v>
      </c>
      <c r="J2126" s="455">
        <f t="array" ref="J2126">IFERROR(INDEX('Retirement Calculator'!J:J,MATCH('Isaac 401k'!N2126,'Retirement Calculator'!A:A,0),0),0)</f>
        <v>0</v>
      </c>
      <c r="K2126" s="455">
        <f t="shared" ca="1" si="141"/>
        <v>11157748.929221163</v>
      </c>
      <c r="L2126" s="455">
        <f t="shared" ca="1" si="142"/>
        <v>2689017491.9423003</v>
      </c>
      <c r="M2126" s="471">
        <f t="shared" si="144"/>
        <v>0.05</v>
      </c>
      <c r="N2126" s="475">
        <f t="shared" si="145"/>
        <v>115753</v>
      </c>
    </row>
    <row r="2127" spans="7:14" ht="11.25" customHeight="1" x14ac:dyDescent="0.3">
      <c r="G2127" s="470"/>
      <c r="H2127" s="470">
        <v>2120</v>
      </c>
      <c r="I2127" s="455">
        <f t="shared" ca="1" si="143"/>
        <v>2689017491.9423003</v>
      </c>
      <c r="J2127" s="455">
        <f t="array" ref="J2127">IFERROR(INDEX('Retirement Calculator'!J:J,MATCH('Isaac 401k'!N2127,'Retirement Calculator'!A:A,0),0),0)</f>
        <v>0</v>
      </c>
      <c r="K2127" s="455">
        <f t="shared" ca="1" si="141"/>
        <v>11204239.549759585</v>
      </c>
      <c r="L2127" s="455">
        <f t="shared" ca="1" si="142"/>
        <v>2700221731.4920597</v>
      </c>
      <c r="M2127" s="471">
        <f t="shared" si="144"/>
        <v>0.05</v>
      </c>
      <c r="N2127" s="475">
        <f t="shared" si="145"/>
        <v>115784</v>
      </c>
    </row>
    <row r="2128" spans="7:14" ht="11.25" customHeight="1" x14ac:dyDescent="0.3">
      <c r="G2128" s="470"/>
      <c r="H2128" s="470">
        <v>2121</v>
      </c>
      <c r="I2128" s="455">
        <f t="shared" ca="1" si="143"/>
        <v>2700221731.4920597</v>
      </c>
      <c r="J2128" s="455">
        <f t="array" ref="J2128">IFERROR(INDEX('Retirement Calculator'!J:J,MATCH('Isaac 401k'!N2128,'Retirement Calculator'!A:A,0),0),0)</f>
        <v>0</v>
      </c>
      <c r="K2128" s="455">
        <f t="shared" ca="1" si="141"/>
        <v>11250923.881216915</v>
      </c>
      <c r="L2128" s="455">
        <f t="shared" ca="1" si="142"/>
        <v>2711472655.3732767</v>
      </c>
      <c r="M2128" s="471">
        <f t="shared" si="144"/>
        <v>0.05</v>
      </c>
      <c r="N2128" s="475">
        <f t="shared" si="145"/>
        <v>115815</v>
      </c>
    </row>
    <row r="2129" spans="7:14" ht="11.25" customHeight="1" x14ac:dyDescent="0.3">
      <c r="G2129" s="470"/>
      <c r="H2129" s="470">
        <v>2122</v>
      </c>
      <c r="I2129" s="455">
        <f t="shared" ca="1" si="143"/>
        <v>2711472655.3732767</v>
      </c>
      <c r="J2129" s="455">
        <f t="array" ref="J2129">IFERROR(INDEX('Retirement Calculator'!J:J,MATCH('Isaac 401k'!N2129,'Retirement Calculator'!A:A,0),0),0)</f>
        <v>0</v>
      </c>
      <c r="K2129" s="455">
        <f t="shared" ca="1" si="141"/>
        <v>11297802.730721986</v>
      </c>
      <c r="L2129" s="455">
        <f t="shared" ca="1" si="142"/>
        <v>2722770458.1039987</v>
      </c>
      <c r="M2129" s="471">
        <f t="shared" si="144"/>
        <v>0.05</v>
      </c>
      <c r="N2129" s="475">
        <f t="shared" si="145"/>
        <v>115843</v>
      </c>
    </row>
    <row r="2130" spans="7:14" ht="11.25" customHeight="1" x14ac:dyDescent="0.3">
      <c r="G2130" s="470"/>
      <c r="H2130" s="470">
        <v>2123</v>
      </c>
      <c r="I2130" s="455">
        <f t="shared" ca="1" si="143"/>
        <v>2722770458.1039987</v>
      </c>
      <c r="J2130" s="455">
        <f t="array" ref="J2130">IFERROR(INDEX('Retirement Calculator'!J:J,MATCH('Isaac 401k'!N2130,'Retirement Calculator'!A:A,0),0),0)</f>
        <v>0</v>
      </c>
      <c r="K2130" s="455">
        <f t="shared" ca="1" si="141"/>
        <v>11344876.908766661</v>
      </c>
      <c r="L2130" s="455">
        <f t="shared" ca="1" si="142"/>
        <v>2734115335.0127654</v>
      </c>
      <c r="M2130" s="471">
        <f t="shared" si="144"/>
        <v>0.05</v>
      </c>
      <c r="N2130" s="475">
        <f t="shared" si="145"/>
        <v>115874</v>
      </c>
    </row>
    <row r="2131" spans="7:14" ht="11.25" customHeight="1" x14ac:dyDescent="0.3">
      <c r="G2131" s="470"/>
      <c r="H2131" s="470">
        <v>2124</v>
      </c>
      <c r="I2131" s="455">
        <f t="shared" ca="1" si="143"/>
        <v>2734115335.0127654</v>
      </c>
      <c r="J2131" s="455">
        <f t="array" ref="J2131">IFERROR(INDEX('Retirement Calculator'!J:J,MATCH('Isaac 401k'!N2131,'Retirement Calculator'!A:A,0),0),0)</f>
        <v>0</v>
      </c>
      <c r="K2131" s="455">
        <f t="shared" ca="1" si="141"/>
        <v>11392147.229219856</v>
      </c>
      <c r="L2131" s="455">
        <f t="shared" ca="1" si="142"/>
        <v>2745507482.2419853</v>
      </c>
      <c r="M2131" s="471">
        <f t="shared" si="144"/>
        <v>0.05</v>
      </c>
      <c r="N2131" s="475">
        <f t="shared" si="145"/>
        <v>115904</v>
      </c>
    </row>
    <row r="2132" spans="7:14" ht="11.25" customHeight="1" x14ac:dyDescent="0.3">
      <c r="G2132" s="470"/>
      <c r="H2132" s="470">
        <v>2125</v>
      </c>
      <c r="I2132" s="455">
        <f t="shared" ca="1" si="143"/>
        <v>2745507482.2419853</v>
      </c>
      <c r="J2132" s="455">
        <f t="array" ref="J2132">IFERROR(INDEX('Retirement Calculator'!J:J,MATCH('Isaac 401k'!N2132,'Retirement Calculator'!A:A,0),0),0)</f>
        <v>0</v>
      </c>
      <c r="K2132" s="455">
        <f t="shared" ca="1" si="141"/>
        <v>11439614.509341605</v>
      </c>
      <c r="L2132" s="455">
        <f t="shared" ca="1" si="142"/>
        <v>2756947096.751327</v>
      </c>
      <c r="M2132" s="471">
        <f t="shared" si="144"/>
        <v>0.05</v>
      </c>
      <c r="N2132" s="475">
        <f t="shared" si="145"/>
        <v>115935</v>
      </c>
    </row>
    <row r="2133" spans="7:14" ht="11.25" customHeight="1" x14ac:dyDescent="0.3">
      <c r="G2133" s="470"/>
      <c r="H2133" s="470">
        <v>2126</v>
      </c>
      <c r="I2133" s="455">
        <f t="shared" ca="1" si="143"/>
        <v>2756947096.751327</v>
      </c>
      <c r="J2133" s="455">
        <f t="array" ref="J2133">IFERROR(INDEX('Retirement Calculator'!J:J,MATCH('Isaac 401k'!N2133,'Retirement Calculator'!A:A,0),0),0)</f>
        <v>0</v>
      </c>
      <c r="K2133" s="455">
        <f t="shared" ca="1" si="141"/>
        <v>11487279.569797195</v>
      </c>
      <c r="L2133" s="455">
        <f t="shared" ca="1" si="142"/>
        <v>2768434376.3211241</v>
      </c>
      <c r="M2133" s="471">
        <f t="shared" si="144"/>
        <v>0.05</v>
      </c>
      <c r="N2133" s="475">
        <f t="shared" si="145"/>
        <v>115965</v>
      </c>
    </row>
    <row r="2134" spans="7:14" ht="11.25" customHeight="1" x14ac:dyDescent="0.3">
      <c r="G2134" s="470"/>
      <c r="H2134" s="470">
        <v>2127</v>
      </c>
      <c r="I2134" s="455">
        <f t="shared" ca="1" si="143"/>
        <v>2768434376.3211241</v>
      </c>
      <c r="J2134" s="455">
        <f t="array" ref="J2134">IFERROR(INDEX('Retirement Calculator'!J:J,MATCH('Isaac 401k'!N2134,'Retirement Calculator'!A:A,0),0),0)</f>
        <v>0</v>
      </c>
      <c r="K2134" s="455">
        <f t="shared" ca="1" si="141"/>
        <v>11535143.234671351</v>
      </c>
      <c r="L2134" s="455">
        <f t="shared" ca="1" si="142"/>
        <v>2779969519.5557952</v>
      </c>
      <c r="M2134" s="471">
        <f t="shared" si="144"/>
        <v>0.05</v>
      </c>
      <c r="N2134" s="475">
        <f t="shared" si="145"/>
        <v>115996</v>
      </c>
    </row>
    <row r="2135" spans="7:14" ht="11.25" customHeight="1" x14ac:dyDescent="0.3">
      <c r="G2135" s="470"/>
      <c r="H2135" s="470">
        <v>2128</v>
      </c>
      <c r="I2135" s="455">
        <f t="shared" ca="1" si="143"/>
        <v>2779969519.5557952</v>
      </c>
      <c r="J2135" s="455">
        <f t="array" ref="J2135">IFERROR(INDEX('Retirement Calculator'!J:J,MATCH('Isaac 401k'!N2135,'Retirement Calculator'!A:A,0),0),0)</f>
        <v>0</v>
      </c>
      <c r="K2135" s="455">
        <f t="shared" ca="1" si="141"/>
        <v>11583206.331482479</v>
      </c>
      <c r="L2135" s="455">
        <f t="shared" ca="1" si="142"/>
        <v>2791552725.8872776</v>
      </c>
      <c r="M2135" s="471">
        <f t="shared" si="144"/>
        <v>0.05</v>
      </c>
      <c r="N2135" s="475">
        <f t="shared" si="145"/>
        <v>116027</v>
      </c>
    </row>
    <row r="2136" spans="7:14" ht="11.25" customHeight="1" x14ac:dyDescent="0.3">
      <c r="G2136" s="470"/>
      <c r="H2136" s="470">
        <v>2129</v>
      </c>
      <c r="I2136" s="455">
        <f t="shared" ca="1" si="143"/>
        <v>2791552725.8872776</v>
      </c>
      <c r="J2136" s="455">
        <f t="array" ref="J2136">IFERROR(INDEX('Retirement Calculator'!J:J,MATCH('Isaac 401k'!N2136,'Retirement Calculator'!A:A,0),0),0)</f>
        <v>0</v>
      </c>
      <c r="K2136" s="455">
        <f t="shared" ca="1" si="141"/>
        <v>11631469.691196989</v>
      </c>
      <c r="L2136" s="455">
        <f t="shared" ca="1" si="142"/>
        <v>2803184195.5784745</v>
      </c>
      <c r="M2136" s="471">
        <f t="shared" si="144"/>
        <v>0.05</v>
      </c>
      <c r="N2136" s="475">
        <f t="shared" si="145"/>
        <v>116057</v>
      </c>
    </row>
    <row r="2137" spans="7:14" ht="11.25" customHeight="1" x14ac:dyDescent="0.3">
      <c r="G2137" s="470"/>
      <c r="H2137" s="470">
        <v>2130</v>
      </c>
      <c r="I2137" s="455">
        <f t="shared" ca="1" si="143"/>
        <v>2803184195.5784745</v>
      </c>
      <c r="J2137" s="455">
        <f t="array" ref="J2137">IFERROR(INDEX('Retirement Calculator'!J:J,MATCH('Isaac 401k'!N2137,'Retirement Calculator'!A:A,0),0),0)</f>
        <v>0</v>
      </c>
      <c r="K2137" s="455">
        <f t="shared" ca="1" si="141"/>
        <v>11679934.148243643</v>
      </c>
      <c r="L2137" s="455">
        <f t="shared" ca="1" si="142"/>
        <v>2814864129.7267179</v>
      </c>
      <c r="M2137" s="471">
        <f t="shared" si="144"/>
        <v>0.05</v>
      </c>
      <c r="N2137" s="475">
        <f t="shared" si="145"/>
        <v>116088</v>
      </c>
    </row>
    <row r="2138" spans="7:14" ht="11.25" customHeight="1" x14ac:dyDescent="0.3">
      <c r="G2138" s="470"/>
      <c r="H2138" s="470">
        <v>2131</v>
      </c>
      <c r="I2138" s="455">
        <f t="shared" ca="1" si="143"/>
        <v>2814864129.7267179</v>
      </c>
      <c r="J2138" s="455">
        <f t="array" ref="J2138">IFERROR(INDEX('Retirement Calculator'!J:J,MATCH('Isaac 401k'!N2138,'Retirement Calculator'!A:A,0),0),0)</f>
        <v>0</v>
      </c>
      <c r="K2138" s="455">
        <f t="shared" ca="1" si="141"/>
        <v>11728600.540527992</v>
      </c>
      <c r="L2138" s="455">
        <f t="shared" ca="1" si="142"/>
        <v>2826592730.2672458</v>
      </c>
      <c r="M2138" s="471">
        <f t="shared" si="144"/>
        <v>0.05</v>
      </c>
      <c r="N2138" s="475">
        <f t="shared" si="145"/>
        <v>116118</v>
      </c>
    </row>
    <row r="2139" spans="7:14" ht="11.25" customHeight="1" x14ac:dyDescent="0.3">
      <c r="G2139" s="470"/>
      <c r="H2139" s="470">
        <v>2132</v>
      </c>
      <c r="I2139" s="455">
        <f t="shared" ca="1" si="143"/>
        <v>2826592730.2672458</v>
      </c>
      <c r="J2139" s="455">
        <f t="array" ref="J2139">IFERROR(INDEX('Retirement Calculator'!J:J,MATCH('Isaac 401k'!N2139,'Retirement Calculator'!A:A,0),0),0)</f>
        <v>0</v>
      </c>
      <c r="K2139" s="455">
        <f t="shared" ca="1" si="141"/>
        <v>11777469.709446857</v>
      </c>
      <c r="L2139" s="455">
        <f t="shared" ca="1" si="142"/>
        <v>2838370199.9766927</v>
      </c>
      <c r="M2139" s="471">
        <f t="shared" si="144"/>
        <v>0.05</v>
      </c>
      <c r="N2139" s="475">
        <f t="shared" si="145"/>
        <v>116149</v>
      </c>
    </row>
    <row r="2140" spans="7:14" ht="11.25" customHeight="1" x14ac:dyDescent="0.3">
      <c r="G2140" s="470"/>
      <c r="H2140" s="470">
        <v>2133</v>
      </c>
      <c r="I2140" s="455">
        <f t="shared" ca="1" si="143"/>
        <v>2838370199.9766927</v>
      </c>
      <c r="J2140" s="455">
        <f t="array" ref="J2140">IFERROR(INDEX('Retirement Calculator'!J:J,MATCH('Isaac 401k'!N2140,'Retirement Calculator'!A:A,0),0),0)</f>
        <v>0</v>
      </c>
      <c r="K2140" s="455">
        <f t="shared" ca="1" si="141"/>
        <v>11826542.499902885</v>
      </c>
      <c r="L2140" s="455">
        <f t="shared" ca="1" si="142"/>
        <v>2850196742.4765954</v>
      </c>
      <c r="M2140" s="471">
        <f t="shared" si="144"/>
        <v>0.05</v>
      </c>
      <c r="N2140" s="475">
        <f t="shared" si="145"/>
        <v>116180</v>
      </c>
    </row>
    <row r="2141" spans="7:14" ht="11.25" customHeight="1" x14ac:dyDescent="0.3">
      <c r="G2141" s="470"/>
      <c r="H2141" s="470">
        <v>2134</v>
      </c>
      <c r="I2141" s="455">
        <f t="shared" ca="1" si="143"/>
        <v>2850196742.4765954</v>
      </c>
      <c r="J2141" s="455">
        <f t="array" ref="J2141">IFERROR(INDEX('Retirement Calculator'!J:J,MATCH('Isaac 401k'!N2141,'Retirement Calculator'!A:A,0),0),0)</f>
        <v>0</v>
      </c>
      <c r="K2141" s="455">
        <f t="shared" ca="1" si="141"/>
        <v>11875819.760319147</v>
      </c>
      <c r="L2141" s="455">
        <f t="shared" ca="1" si="142"/>
        <v>2862072562.2369146</v>
      </c>
      <c r="M2141" s="471">
        <f t="shared" si="144"/>
        <v>0.05</v>
      </c>
      <c r="N2141" s="475">
        <f t="shared" si="145"/>
        <v>116208</v>
      </c>
    </row>
    <row r="2142" spans="7:14" ht="11.25" customHeight="1" x14ac:dyDescent="0.3">
      <c r="G2142" s="470"/>
      <c r="H2142" s="470">
        <v>2135</v>
      </c>
      <c r="I2142" s="455">
        <f t="shared" ca="1" si="143"/>
        <v>2862072562.2369146</v>
      </c>
      <c r="J2142" s="455">
        <f t="array" ref="J2142">IFERROR(INDEX('Retirement Calculator'!J:J,MATCH('Isaac 401k'!N2142,'Retirement Calculator'!A:A,0),0),0)</f>
        <v>0</v>
      </c>
      <c r="K2142" s="455">
        <f t="shared" ca="1" si="141"/>
        <v>11925302.342653811</v>
      </c>
      <c r="L2142" s="455">
        <f t="shared" ca="1" si="142"/>
        <v>2873997864.5795684</v>
      </c>
      <c r="M2142" s="471">
        <f t="shared" si="144"/>
        <v>0.05</v>
      </c>
      <c r="N2142" s="475">
        <f t="shared" si="145"/>
        <v>116239</v>
      </c>
    </row>
    <row r="2143" spans="7:14" ht="11.25" customHeight="1" x14ac:dyDescent="0.3">
      <c r="G2143" s="470"/>
      <c r="H2143" s="470">
        <v>2136</v>
      </c>
      <c r="I2143" s="455">
        <f t="shared" ca="1" si="143"/>
        <v>2873997864.5795684</v>
      </c>
      <c r="J2143" s="455">
        <f t="array" ref="J2143">IFERROR(INDEX('Retirement Calculator'!J:J,MATCH('Isaac 401k'!N2143,'Retirement Calculator'!A:A,0),0),0)</f>
        <v>0</v>
      </c>
      <c r="K2143" s="455">
        <f t="shared" ca="1" si="141"/>
        <v>11974991.102414869</v>
      </c>
      <c r="L2143" s="455">
        <f t="shared" ca="1" si="142"/>
        <v>2885972855.6819835</v>
      </c>
      <c r="M2143" s="471">
        <f t="shared" si="144"/>
        <v>0.05</v>
      </c>
      <c r="N2143" s="475">
        <f t="shared" si="145"/>
        <v>116269</v>
      </c>
    </row>
    <row r="2144" spans="7:14" ht="11.25" customHeight="1" x14ac:dyDescent="0.3">
      <c r="G2144" s="470"/>
      <c r="H2144" s="470">
        <v>2137</v>
      </c>
      <c r="I2144" s="455">
        <f t="shared" ca="1" si="143"/>
        <v>2885972855.6819835</v>
      </c>
      <c r="J2144" s="455">
        <f t="array" ref="J2144">IFERROR(INDEX('Retirement Calculator'!J:J,MATCH('Isaac 401k'!N2144,'Retirement Calculator'!A:A,0),0),0)</f>
        <v>0</v>
      </c>
      <c r="K2144" s="455">
        <f t="shared" ca="1" si="141"/>
        <v>12024886.898674931</v>
      </c>
      <c r="L2144" s="455">
        <f t="shared" ca="1" si="142"/>
        <v>2897997742.5806584</v>
      </c>
      <c r="M2144" s="471">
        <f t="shared" si="144"/>
        <v>0.05</v>
      </c>
      <c r="N2144" s="475">
        <f t="shared" si="145"/>
        <v>116300</v>
      </c>
    </row>
    <row r="2145" spans="7:14" ht="11.25" customHeight="1" x14ac:dyDescent="0.3">
      <c r="G2145" s="470"/>
      <c r="H2145" s="470">
        <v>2138</v>
      </c>
      <c r="I2145" s="455">
        <f t="shared" ca="1" si="143"/>
        <v>2897997742.5806584</v>
      </c>
      <c r="J2145" s="455">
        <f t="array" ref="J2145">IFERROR(INDEX('Retirement Calculator'!J:J,MATCH('Isaac 401k'!N2145,'Retirement Calculator'!A:A,0),0),0)</f>
        <v>0</v>
      </c>
      <c r="K2145" s="455">
        <f t="shared" ca="1" si="141"/>
        <v>12074990.594086077</v>
      </c>
      <c r="L2145" s="455">
        <f t="shared" ca="1" si="142"/>
        <v>2910072733.1747446</v>
      </c>
      <c r="M2145" s="471">
        <f t="shared" si="144"/>
        <v>0.05</v>
      </c>
      <c r="N2145" s="475">
        <f t="shared" si="145"/>
        <v>116330</v>
      </c>
    </row>
    <row r="2146" spans="7:14" ht="11.25" customHeight="1" x14ac:dyDescent="0.3">
      <c r="G2146" s="470"/>
      <c r="H2146" s="470">
        <v>2139</v>
      </c>
      <c r="I2146" s="455">
        <f t="shared" ca="1" si="143"/>
        <v>2910072733.1747446</v>
      </c>
      <c r="J2146" s="455">
        <f t="array" ref="J2146">IFERROR(INDEX('Retirement Calculator'!J:J,MATCH('Isaac 401k'!N2146,'Retirement Calculator'!A:A,0),0),0)</f>
        <v>0</v>
      </c>
      <c r="K2146" s="455">
        <f t="shared" ca="1" si="141"/>
        <v>12125303.05489477</v>
      </c>
      <c r="L2146" s="455">
        <f t="shared" ca="1" si="142"/>
        <v>2922198036.2296395</v>
      </c>
      <c r="M2146" s="471">
        <f t="shared" si="144"/>
        <v>0.05</v>
      </c>
      <c r="N2146" s="475">
        <f t="shared" si="145"/>
        <v>116361</v>
      </c>
    </row>
    <row r="2147" spans="7:14" ht="11.25" customHeight="1" x14ac:dyDescent="0.3">
      <c r="G2147" s="470"/>
      <c r="H2147" s="470">
        <v>2140</v>
      </c>
      <c r="I2147" s="455">
        <f t="shared" ca="1" si="143"/>
        <v>2922198036.2296395</v>
      </c>
      <c r="J2147" s="455">
        <f t="array" ref="J2147">IFERROR(INDEX('Retirement Calculator'!J:J,MATCH('Isaac 401k'!N2147,'Retirement Calculator'!A:A,0),0),0)</f>
        <v>0</v>
      </c>
      <c r="K2147" s="455">
        <f t="shared" ca="1" si="141"/>
        <v>12175825.150956832</v>
      </c>
      <c r="L2147" s="455">
        <f t="shared" ca="1" si="142"/>
        <v>2934373861.3805962</v>
      </c>
      <c r="M2147" s="471">
        <f t="shared" si="144"/>
        <v>0.05</v>
      </c>
      <c r="N2147" s="475">
        <f t="shared" si="145"/>
        <v>116392</v>
      </c>
    </row>
    <row r="2148" spans="7:14" ht="11.25" customHeight="1" x14ac:dyDescent="0.3">
      <c r="G2148" s="470"/>
      <c r="H2148" s="470">
        <v>2141</v>
      </c>
      <c r="I2148" s="455">
        <f t="shared" ca="1" si="143"/>
        <v>2934373861.3805962</v>
      </c>
      <c r="J2148" s="455">
        <f t="array" ref="J2148">IFERROR(INDEX('Retirement Calculator'!J:J,MATCH('Isaac 401k'!N2148,'Retirement Calculator'!A:A,0),0),0)</f>
        <v>0</v>
      </c>
      <c r="K2148" s="455">
        <f t="shared" ca="1" si="141"/>
        <v>12226557.755752483</v>
      </c>
      <c r="L2148" s="455">
        <f t="shared" ca="1" si="142"/>
        <v>2946600419.1363487</v>
      </c>
      <c r="M2148" s="471">
        <f t="shared" si="144"/>
        <v>0.05</v>
      </c>
      <c r="N2148" s="475">
        <f t="shared" si="145"/>
        <v>116422</v>
      </c>
    </row>
    <row r="2149" spans="7:14" ht="11.25" customHeight="1" x14ac:dyDescent="0.3">
      <c r="G2149" s="470"/>
      <c r="H2149" s="470">
        <v>2142</v>
      </c>
      <c r="I2149" s="455">
        <f t="shared" ca="1" si="143"/>
        <v>2946600419.1363487</v>
      </c>
      <c r="J2149" s="455">
        <f t="array" ref="J2149">IFERROR(INDEX('Retirement Calculator'!J:J,MATCH('Isaac 401k'!N2149,'Retirement Calculator'!A:A,0),0),0)</f>
        <v>0</v>
      </c>
      <c r="K2149" s="455">
        <f t="shared" ca="1" si="141"/>
        <v>12277501.746401453</v>
      </c>
      <c r="L2149" s="455">
        <f t="shared" ca="1" si="142"/>
        <v>2958877920.88275</v>
      </c>
      <c r="M2149" s="471">
        <f t="shared" si="144"/>
        <v>0.05</v>
      </c>
      <c r="N2149" s="475">
        <f t="shared" si="145"/>
        <v>116453</v>
      </c>
    </row>
    <row r="2150" spans="7:14" ht="11.25" customHeight="1" x14ac:dyDescent="0.3">
      <c r="G2150" s="470"/>
      <c r="H2150" s="470">
        <v>2143</v>
      </c>
      <c r="I2150" s="455">
        <f t="shared" ca="1" si="143"/>
        <v>2958877920.88275</v>
      </c>
      <c r="J2150" s="455">
        <f t="array" ref="J2150">IFERROR(INDEX('Retirement Calculator'!J:J,MATCH('Isaac 401k'!N2150,'Retirement Calculator'!A:A,0),0),0)</f>
        <v>0</v>
      </c>
      <c r="K2150" s="455">
        <f t="shared" ca="1" si="141"/>
        <v>12328658.003678124</v>
      </c>
      <c r="L2150" s="455">
        <f t="shared" ca="1" si="142"/>
        <v>2971206578.8864284</v>
      </c>
      <c r="M2150" s="471">
        <f t="shared" si="144"/>
        <v>0.05</v>
      </c>
      <c r="N2150" s="475">
        <f t="shared" si="145"/>
        <v>116483</v>
      </c>
    </row>
    <row r="2151" spans="7:14" ht="11.25" customHeight="1" x14ac:dyDescent="0.3">
      <c r="G2151" s="470"/>
      <c r="H2151" s="470">
        <v>2144</v>
      </c>
      <c r="I2151" s="455">
        <f t="shared" ca="1" si="143"/>
        <v>2971206578.8864284</v>
      </c>
      <c r="J2151" s="455">
        <f t="array" ref="J2151">IFERROR(INDEX('Retirement Calculator'!J:J,MATCH('Isaac 401k'!N2151,'Retirement Calculator'!A:A,0),0),0)</f>
        <v>0</v>
      </c>
      <c r="K2151" s="455">
        <f t="shared" ca="1" si="141"/>
        <v>12380027.412026785</v>
      </c>
      <c r="L2151" s="455">
        <f t="shared" ca="1" si="142"/>
        <v>2983586606.2984552</v>
      </c>
      <c r="M2151" s="471">
        <f t="shared" si="144"/>
        <v>0.05</v>
      </c>
      <c r="N2151" s="475">
        <f t="shared" si="145"/>
        <v>116514</v>
      </c>
    </row>
    <row r="2152" spans="7:14" ht="11.25" customHeight="1" x14ac:dyDescent="0.3">
      <c r="G2152" s="470"/>
      <c r="H2152" s="470">
        <v>2145</v>
      </c>
      <c r="I2152" s="455">
        <f t="shared" ca="1" si="143"/>
        <v>2983586606.2984552</v>
      </c>
      <c r="J2152" s="455">
        <f t="array" ref="J2152">IFERROR(INDEX('Retirement Calculator'!J:J,MATCH('Isaac 401k'!N2152,'Retirement Calculator'!A:A,0),0),0)</f>
        <v>0</v>
      </c>
      <c r="K2152" s="455">
        <f t="shared" ca="1" si="141"/>
        <v>12431610.859576896</v>
      </c>
      <c r="L2152" s="455">
        <f t="shared" ca="1" si="142"/>
        <v>2996018217.1580319</v>
      </c>
      <c r="M2152" s="471">
        <f t="shared" si="144"/>
        <v>0.05</v>
      </c>
      <c r="N2152" s="475">
        <f t="shared" si="145"/>
        <v>116545</v>
      </c>
    </row>
    <row r="2153" spans="7:14" ht="11.25" customHeight="1" x14ac:dyDescent="0.3">
      <c r="G2153" s="470"/>
      <c r="H2153" s="470">
        <v>2146</v>
      </c>
      <c r="I2153" s="455">
        <f t="shared" ca="1" si="143"/>
        <v>2996018217.1580319</v>
      </c>
      <c r="J2153" s="455">
        <f t="array" ref="J2153">IFERROR(INDEX('Retirement Calculator'!J:J,MATCH('Isaac 401k'!N2153,'Retirement Calculator'!A:A,0),0),0)</f>
        <v>0</v>
      </c>
      <c r="K2153" s="455">
        <f t="shared" ca="1" si="141"/>
        <v>12483409.238158466</v>
      </c>
      <c r="L2153" s="455">
        <f t="shared" ca="1" si="142"/>
        <v>3008501626.3961906</v>
      </c>
      <c r="M2153" s="471">
        <f t="shared" si="144"/>
        <v>0.05</v>
      </c>
      <c r="N2153" s="475">
        <f t="shared" si="145"/>
        <v>116573</v>
      </c>
    </row>
    <row r="2154" spans="7:14" ht="11.25" customHeight="1" x14ac:dyDescent="0.3">
      <c r="G2154" s="470"/>
      <c r="H2154" s="470">
        <v>2147</v>
      </c>
      <c r="I2154" s="455">
        <f t="shared" ca="1" si="143"/>
        <v>3008501626.3961906</v>
      </c>
      <c r="J2154" s="455">
        <f t="array" ref="J2154">IFERROR(INDEX('Retirement Calculator'!J:J,MATCH('Isaac 401k'!N2154,'Retirement Calculator'!A:A,0),0),0)</f>
        <v>0</v>
      </c>
      <c r="K2154" s="455">
        <f t="shared" ca="1" si="141"/>
        <v>12535423.443317462</v>
      </c>
      <c r="L2154" s="455">
        <f t="shared" ca="1" si="142"/>
        <v>3021037049.8395081</v>
      </c>
      <c r="M2154" s="471">
        <f t="shared" si="144"/>
        <v>0.05</v>
      </c>
      <c r="N2154" s="475">
        <f t="shared" si="145"/>
        <v>116604</v>
      </c>
    </row>
    <row r="2155" spans="7:14" ht="11.25" customHeight="1" x14ac:dyDescent="0.3">
      <c r="G2155" s="470"/>
      <c r="H2155" s="470">
        <v>2148</v>
      </c>
      <c r="I2155" s="455">
        <f t="shared" ca="1" si="143"/>
        <v>3021037049.8395081</v>
      </c>
      <c r="J2155" s="455">
        <f t="array" ref="J2155">IFERROR(INDEX('Retirement Calculator'!J:J,MATCH('Isaac 401k'!N2155,'Retirement Calculator'!A:A,0),0),0)</f>
        <v>0</v>
      </c>
      <c r="K2155" s="455">
        <f t="shared" ca="1" si="141"/>
        <v>12587654.374331284</v>
      </c>
      <c r="L2155" s="455">
        <f t="shared" ca="1" si="142"/>
        <v>3033624704.2138395</v>
      </c>
      <c r="M2155" s="471">
        <f t="shared" si="144"/>
        <v>0.05</v>
      </c>
      <c r="N2155" s="475">
        <f t="shared" si="145"/>
        <v>116634</v>
      </c>
    </row>
    <row r="2156" spans="7:14" ht="11.25" customHeight="1" x14ac:dyDescent="0.3">
      <c r="G2156" s="470"/>
      <c r="H2156" s="470">
        <v>2149</v>
      </c>
      <c r="I2156" s="455">
        <f t="shared" ca="1" si="143"/>
        <v>3033624704.2138395</v>
      </c>
      <c r="J2156" s="455">
        <f t="array" ref="J2156">IFERROR(INDEX('Retirement Calculator'!J:J,MATCH('Isaac 401k'!N2156,'Retirement Calculator'!A:A,0),0),0)</f>
        <v>0</v>
      </c>
      <c r="K2156" s="455">
        <f t="shared" ca="1" si="141"/>
        <v>12640102.934224332</v>
      </c>
      <c r="L2156" s="455">
        <f t="shared" ca="1" si="142"/>
        <v>3046264807.1480637</v>
      </c>
      <c r="M2156" s="471">
        <f t="shared" si="144"/>
        <v>0.05</v>
      </c>
      <c r="N2156" s="475">
        <f t="shared" si="145"/>
        <v>116665</v>
      </c>
    </row>
    <row r="2157" spans="7:14" ht="11.25" customHeight="1" x14ac:dyDescent="0.3">
      <c r="G2157" s="470"/>
      <c r="H2157" s="470">
        <v>2150</v>
      </c>
      <c r="I2157" s="455">
        <f t="shared" ca="1" si="143"/>
        <v>3046264807.1480637</v>
      </c>
      <c r="J2157" s="455">
        <f t="array" ref="J2157">IFERROR(INDEX('Retirement Calculator'!J:J,MATCH('Isaac 401k'!N2157,'Retirement Calculator'!A:A,0),0),0)</f>
        <v>0</v>
      </c>
      <c r="K2157" s="455">
        <f t="shared" ca="1" si="141"/>
        <v>12692770.029783599</v>
      </c>
      <c r="L2157" s="455">
        <f t="shared" ca="1" si="142"/>
        <v>3058957577.1778474</v>
      </c>
      <c r="M2157" s="471">
        <f t="shared" si="144"/>
        <v>0.05</v>
      </c>
      <c r="N2157" s="475">
        <f t="shared" si="145"/>
        <v>116695</v>
      </c>
    </row>
    <row r="2158" spans="7:14" ht="11.25" customHeight="1" x14ac:dyDescent="0.3">
      <c r="G2158" s="470"/>
      <c r="H2158" s="470">
        <v>2151</v>
      </c>
      <c r="I2158" s="455">
        <f t="shared" ca="1" si="143"/>
        <v>3058957577.1778474</v>
      </c>
      <c r="J2158" s="455">
        <f t="array" ref="J2158">IFERROR(INDEX('Retirement Calculator'!J:J,MATCH('Isaac 401k'!N2158,'Retirement Calculator'!A:A,0),0),0)</f>
        <v>0</v>
      </c>
      <c r="K2158" s="455">
        <f t="shared" ca="1" si="141"/>
        <v>12745656.571574364</v>
      </c>
      <c r="L2158" s="455">
        <f t="shared" ca="1" si="142"/>
        <v>3071703233.7494216</v>
      </c>
      <c r="M2158" s="471">
        <f t="shared" si="144"/>
        <v>0.05</v>
      </c>
      <c r="N2158" s="475">
        <f t="shared" si="145"/>
        <v>116726</v>
      </c>
    </row>
    <row r="2159" spans="7:14" ht="11.25" customHeight="1" x14ac:dyDescent="0.3">
      <c r="G2159" s="470"/>
      <c r="H2159" s="470">
        <v>2152</v>
      </c>
      <c r="I2159" s="455">
        <f t="shared" ca="1" si="143"/>
        <v>3071703233.7494216</v>
      </c>
      <c r="J2159" s="455">
        <f t="array" ref="J2159">IFERROR(INDEX('Retirement Calculator'!J:J,MATCH('Isaac 401k'!N2159,'Retirement Calculator'!A:A,0),0),0)</f>
        <v>0</v>
      </c>
      <c r="K2159" s="455">
        <f t="shared" ca="1" si="141"/>
        <v>12798763.473955924</v>
      </c>
      <c r="L2159" s="455">
        <f t="shared" ca="1" si="142"/>
        <v>3084501997.2233777</v>
      </c>
      <c r="M2159" s="471">
        <f t="shared" si="144"/>
        <v>0.05</v>
      </c>
      <c r="N2159" s="475">
        <f t="shared" si="145"/>
        <v>116757</v>
      </c>
    </row>
    <row r="2160" spans="7:14" ht="11.25" customHeight="1" x14ac:dyDescent="0.3">
      <c r="G2160" s="470"/>
      <c r="H2160" s="470">
        <v>2153</v>
      </c>
      <c r="I2160" s="455">
        <f t="shared" ca="1" si="143"/>
        <v>3084501997.2233777</v>
      </c>
      <c r="J2160" s="455">
        <f t="array" ref="J2160">IFERROR(INDEX('Retirement Calculator'!J:J,MATCH('Isaac 401k'!N2160,'Retirement Calculator'!A:A,0),0),0)</f>
        <v>0</v>
      </c>
      <c r="K2160" s="455">
        <f t="shared" ca="1" si="141"/>
        <v>12852091.655097406</v>
      </c>
      <c r="L2160" s="455">
        <f t="shared" ca="1" si="142"/>
        <v>3097354088.8784752</v>
      </c>
      <c r="M2160" s="471">
        <f t="shared" si="144"/>
        <v>0.05</v>
      </c>
      <c r="N2160" s="475">
        <f t="shared" si="145"/>
        <v>116787</v>
      </c>
    </row>
    <row r="2161" spans="7:14" ht="11.25" customHeight="1" x14ac:dyDescent="0.3">
      <c r="G2161" s="470"/>
      <c r="H2161" s="470">
        <v>2154</v>
      </c>
      <c r="I2161" s="455">
        <f t="shared" ca="1" si="143"/>
        <v>3097354088.8784752</v>
      </c>
      <c r="J2161" s="455">
        <f t="array" ref="J2161">IFERROR(INDEX('Retirement Calculator'!J:J,MATCH('Isaac 401k'!N2161,'Retirement Calculator'!A:A,0),0),0)</f>
        <v>0</v>
      </c>
      <c r="K2161" s="455">
        <f t="shared" ca="1" si="141"/>
        <v>12905642.036993647</v>
      </c>
      <c r="L2161" s="455">
        <f t="shared" ca="1" si="142"/>
        <v>3110259730.9154687</v>
      </c>
      <c r="M2161" s="471">
        <f t="shared" si="144"/>
        <v>0.05</v>
      </c>
      <c r="N2161" s="475">
        <f t="shared" si="145"/>
        <v>116818</v>
      </c>
    </row>
    <row r="2162" spans="7:14" ht="11.25" customHeight="1" x14ac:dyDescent="0.3">
      <c r="G2162" s="470"/>
      <c r="H2162" s="470">
        <v>2155</v>
      </c>
      <c r="I2162" s="455">
        <f t="shared" ca="1" si="143"/>
        <v>3110259730.9154687</v>
      </c>
      <c r="J2162" s="455">
        <f t="array" ref="J2162">IFERROR(INDEX('Retirement Calculator'!J:J,MATCH('Isaac 401k'!N2162,'Retirement Calculator'!A:A,0),0),0)</f>
        <v>0</v>
      </c>
      <c r="K2162" s="455">
        <f t="shared" ca="1" si="141"/>
        <v>12959415.545481119</v>
      </c>
      <c r="L2162" s="455">
        <f t="shared" ca="1" si="142"/>
        <v>3123219146.4609499</v>
      </c>
      <c r="M2162" s="471">
        <f t="shared" si="144"/>
        <v>0.05</v>
      </c>
      <c r="N2162" s="475">
        <f t="shared" si="145"/>
        <v>116848</v>
      </c>
    </row>
    <row r="2163" spans="7:14" ht="11.25" customHeight="1" x14ac:dyDescent="0.3">
      <c r="G2163" s="470"/>
      <c r="H2163" s="470">
        <v>2156</v>
      </c>
      <c r="I2163" s="455">
        <f t="shared" ca="1" si="143"/>
        <v>3123219146.4609499</v>
      </c>
      <c r="J2163" s="455">
        <f t="array" ref="J2163">IFERROR(INDEX('Retirement Calculator'!J:J,MATCH('Isaac 401k'!N2163,'Retirement Calculator'!A:A,0),0),0)</f>
        <v>0</v>
      </c>
      <c r="K2163" s="455">
        <f t="shared" ca="1" si="141"/>
        <v>13013413.110253958</v>
      </c>
      <c r="L2163" s="455">
        <f t="shared" ca="1" si="142"/>
        <v>3136232559.5712037</v>
      </c>
      <c r="M2163" s="471">
        <f t="shared" si="144"/>
        <v>0.05</v>
      </c>
      <c r="N2163" s="475">
        <f t="shared" si="145"/>
        <v>116879</v>
      </c>
    </row>
    <row r="2164" spans="7:14" ht="11.25" customHeight="1" x14ac:dyDescent="0.3">
      <c r="G2164" s="470"/>
      <c r="H2164" s="470">
        <v>2157</v>
      </c>
      <c r="I2164" s="455">
        <f t="shared" ca="1" si="143"/>
        <v>3136232559.5712037</v>
      </c>
      <c r="J2164" s="455">
        <f t="array" ref="J2164">IFERROR(INDEX('Retirement Calculator'!J:J,MATCH('Isaac 401k'!N2164,'Retirement Calculator'!A:A,0),0),0)</f>
        <v>0</v>
      </c>
      <c r="K2164" s="455">
        <f t="shared" ca="1" si="141"/>
        <v>13067635.664880015</v>
      </c>
      <c r="L2164" s="455">
        <f t="shared" ca="1" si="142"/>
        <v>3149300195.2360835</v>
      </c>
      <c r="M2164" s="471">
        <f t="shared" si="144"/>
        <v>0.05</v>
      </c>
      <c r="N2164" s="475">
        <f t="shared" si="145"/>
        <v>116910</v>
      </c>
    </row>
    <row r="2165" spans="7:14" ht="11.25" customHeight="1" x14ac:dyDescent="0.3">
      <c r="G2165" s="470"/>
      <c r="H2165" s="470">
        <v>2158</v>
      </c>
      <c r="I2165" s="455">
        <f t="shared" ca="1" si="143"/>
        <v>3149300195.2360835</v>
      </c>
      <c r="J2165" s="455">
        <f t="array" ref="J2165">IFERROR(INDEX('Retirement Calculator'!J:J,MATCH('Isaac 401k'!N2165,'Retirement Calculator'!A:A,0),0),0)</f>
        <v>0</v>
      </c>
      <c r="K2165" s="455">
        <f t="shared" ca="1" si="141"/>
        <v>13122084.146817014</v>
      </c>
      <c r="L2165" s="455">
        <f t="shared" ca="1" si="142"/>
        <v>3162422279.3829007</v>
      </c>
      <c r="M2165" s="471">
        <f t="shared" si="144"/>
        <v>0.05</v>
      </c>
      <c r="N2165" s="475">
        <f t="shared" si="145"/>
        <v>116939</v>
      </c>
    </row>
    <row r="2166" spans="7:14" ht="11.25" customHeight="1" x14ac:dyDescent="0.3">
      <c r="G2166" s="470"/>
      <c r="H2166" s="470">
        <v>2159</v>
      </c>
      <c r="I2166" s="455">
        <f t="shared" ca="1" si="143"/>
        <v>3162422279.3829007</v>
      </c>
      <c r="J2166" s="455">
        <f t="array" ref="J2166">IFERROR(INDEX('Retirement Calculator'!J:J,MATCH('Isaac 401k'!N2166,'Retirement Calculator'!A:A,0),0),0)</f>
        <v>0</v>
      </c>
      <c r="K2166" s="455">
        <f t="shared" ca="1" si="141"/>
        <v>13176759.497428752</v>
      </c>
      <c r="L2166" s="455">
        <f t="shared" ca="1" si="142"/>
        <v>3175599038.8803296</v>
      </c>
      <c r="M2166" s="471">
        <f t="shared" si="144"/>
        <v>0.05</v>
      </c>
      <c r="N2166" s="475">
        <f t="shared" si="145"/>
        <v>116970</v>
      </c>
    </row>
    <row r="2167" spans="7:14" ht="11.25" customHeight="1" x14ac:dyDescent="0.3">
      <c r="G2167" s="470"/>
      <c r="H2167" s="470">
        <v>2160</v>
      </c>
      <c r="I2167" s="455">
        <f t="shared" ca="1" si="143"/>
        <v>3175599038.8803296</v>
      </c>
      <c r="J2167" s="455">
        <f t="array" ref="J2167">IFERROR(INDEX('Retirement Calculator'!J:J,MATCH('Isaac 401k'!N2167,'Retirement Calculator'!A:A,0),0),0)</f>
        <v>0</v>
      </c>
      <c r="K2167" s="455">
        <f t="shared" ca="1" si="141"/>
        <v>13231662.662001373</v>
      </c>
      <c r="L2167" s="455">
        <f t="shared" ca="1" si="142"/>
        <v>3188830701.5423312</v>
      </c>
      <c r="M2167" s="471">
        <f t="shared" si="144"/>
        <v>0.05</v>
      </c>
      <c r="N2167" s="475">
        <f t="shared" si="145"/>
        <v>117000</v>
      </c>
    </row>
    <row r="2168" spans="7:14" ht="11.25" customHeight="1" x14ac:dyDescent="0.3">
      <c r="G2168" s="470"/>
      <c r="H2168" s="470">
        <v>2161</v>
      </c>
      <c r="I2168" s="455">
        <f t="shared" ca="1" si="143"/>
        <v>3188830701.5423312</v>
      </c>
      <c r="J2168" s="455">
        <f t="array" ref="J2168">IFERROR(INDEX('Retirement Calculator'!J:J,MATCH('Isaac 401k'!N2168,'Retirement Calculator'!A:A,0),0),0)</f>
        <v>0</v>
      </c>
      <c r="K2168" s="455">
        <f t="shared" ca="1" si="141"/>
        <v>13286794.589759713</v>
      </c>
      <c r="L2168" s="455">
        <f t="shared" ca="1" si="142"/>
        <v>3202117496.132091</v>
      </c>
      <c r="M2168" s="471">
        <f t="shared" si="144"/>
        <v>0.05</v>
      </c>
      <c r="N2168" s="475">
        <f t="shared" si="145"/>
        <v>117031</v>
      </c>
    </row>
    <row r="2169" spans="7:14" ht="11.25" customHeight="1" x14ac:dyDescent="0.3">
      <c r="G2169" s="470"/>
      <c r="H2169" s="470">
        <v>2162</v>
      </c>
      <c r="I2169" s="455">
        <f t="shared" ca="1" si="143"/>
        <v>3202117496.132091</v>
      </c>
      <c r="J2169" s="455">
        <f t="array" ref="J2169">IFERROR(INDEX('Retirement Calculator'!J:J,MATCH('Isaac 401k'!N2169,'Retirement Calculator'!A:A,0),0),0)</f>
        <v>0</v>
      </c>
      <c r="K2169" s="455">
        <f t="shared" ca="1" si="141"/>
        <v>13342156.233883712</v>
      </c>
      <c r="L2169" s="455">
        <f t="shared" ca="1" si="142"/>
        <v>3215459652.3659749</v>
      </c>
      <c r="M2169" s="471">
        <f t="shared" si="144"/>
        <v>0.05</v>
      </c>
      <c r="N2169" s="475">
        <f t="shared" si="145"/>
        <v>117061</v>
      </c>
    </row>
    <row r="2170" spans="7:14" ht="11.25" customHeight="1" x14ac:dyDescent="0.3">
      <c r="G2170" s="470"/>
      <c r="H2170" s="470">
        <v>2163</v>
      </c>
      <c r="I2170" s="455">
        <f t="shared" ca="1" si="143"/>
        <v>3215459652.3659749</v>
      </c>
      <c r="J2170" s="455">
        <f t="array" ref="J2170">IFERROR(INDEX('Retirement Calculator'!J:J,MATCH('Isaac 401k'!N2170,'Retirement Calculator'!A:A,0),0),0)</f>
        <v>0</v>
      </c>
      <c r="K2170" s="455">
        <f t="shared" ca="1" si="141"/>
        <v>13397748.551524896</v>
      </c>
      <c r="L2170" s="455">
        <f t="shared" ca="1" si="142"/>
        <v>3228857400.9175</v>
      </c>
      <c r="M2170" s="471">
        <f t="shared" si="144"/>
        <v>0.05</v>
      </c>
      <c r="N2170" s="475">
        <f t="shared" si="145"/>
        <v>117092</v>
      </c>
    </row>
    <row r="2171" spans="7:14" ht="11.25" customHeight="1" x14ac:dyDescent="0.3">
      <c r="G2171" s="470"/>
      <c r="H2171" s="470">
        <v>2164</v>
      </c>
      <c r="I2171" s="455">
        <f t="shared" ca="1" si="143"/>
        <v>3228857400.9175</v>
      </c>
      <c r="J2171" s="455">
        <f t="array" ref="J2171">IFERROR(INDEX('Retirement Calculator'!J:J,MATCH('Isaac 401k'!N2171,'Retirement Calculator'!A:A,0),0),0)</f>
        <v>0</v>
      </c>
      <c r="K2171" s="455">
        <f t="shared" ca="1" si="141"/>
        <v>13453572.503822917</v>
      </c>
      <c r="L2171" s="455">
        <f t="shared" ca="1" si="142"/>
        <v>3242310973.4213228</v>
      </c>
      <c r="M2171" s="471">
        <f t="shared" si="144"/>
        <v>0.05</v>
      </c>
      <c r="N2171" s="475">
        <f t="shared" si="145"/>
        <v>117123</v>
      </c>
    </row>
    <row r="2172" spans="7:14" ht="11.25" customHeight="1" x14ac:dyDescent="0.3">
      <c r="G2172" s="470"/>
      <c r="H2172" s="470">
        <v>2165</v>
      </c>
      <c r="I2172" s="455">
        <f t="shared" ca="1" si="143"/>
        <v>3242310973.4213228</v>
      </c>
      <c r="J2172" s="455">
        <f t="array" ref="J2172">IFERROR(INDEX('Retirement Calculator'!J:J,MATCH('Isaac 401k'!N2172,'Retirement Calculator'!A:A,0),0),0)</f>
        <v>0</v>
      </c>
      <c r="K2172" s="455">
        <f t="shared" ca="1" si="141"/>
        <v>13509629.055922179</v>
      </c>
      <c r="L2172" s="455">
        <f t="shared" ca="1" si="142"/>
        <v>3255820602.4772449</v>
      </c>
      <c r="M2172" s="471">
        <f t="shared" si="144"/>
        <v>0.05</v>
      </c>
      <c r="N2172" s="475">
        <f t="shared" si="145"/>
        <v>117153</v>
      </c>
    </row>
    <row r="2173" spans="7:14" ht="11.25" customHeight="1" x14ac:dyDescent="0.3">
      <c r="G2173" s="470"/>
      <c r="H2173" s="470">
        <v>2166</v>
      </c>
      <c r="I2173" s="455">
        <f t="shared" ca="1" si="143"/>
        <v>3255820602.4772449</v>
      </c>
      <c r="J2173" s="455">
        <f t="array" ref="J2173">IFERROR(INDEX('Retirement Calculator'!J:J,MATCH('Isaac 401k'!N2173,'Retirement Calculator'!A:A,0),0),0)</f>
        <v>0</v>
      </c>
      <c r="K2173" s="455">
        <f t="shared" ca="1" si="141"/>
        <v>13565919.17698852</v>
      </c>
      <c r="L2173" s="455">
        <f t="shared" ca="1" si="142"/>
        <v>3269386521.6542335</v>
      </c>
      <c r="M2173" s="471">
        <f t="shared" si="144"/>
        <v>0.05</v>
      </c>
      <c r="N2173" s="475">
        <f t="shared" si="145"/>
        <v>117184</v>
      </c>
    </row>
    <row r="2174" spans="7:14" ht="11.25" customHeight="1" x14ac:dyDescent="0.3">
      <c r="G2174" s="470"/>
      <c r="H2174" s="470">
        <v>2167</v>
      </c>
      <c r="I2174" s="455">
        <f t="shared" ca="1" si="143"/>
        <v>3269386521.6542335</v>
      </c>
      <c r="J2174" s="455">
        <f t="array" ref="J2174">IFERROR(INDEX('Retirement Calculator'!J:J,MATCH('Isaac 401k'!N2174,'Retirement Calculator'!A:A,0),0),0)</f>
        <v>0</v>
      </c>
      <c r="K2174" s="455">
        <f t="shared" ca="1" si="141"/>
        <v>13622443.840225972</v>
      </c>
      <c r="L2174" s="455">
        <f t="shared" ca="1" si="142"/>
        <v>3283008965.4944596</v>
      </c>
      <c r="M2174" s="471">
        <f t="shared" si="144"/>
        <v>0.05</v>
      </c>
      <c r="N2174" s="475">
        <f t="shared" si="145"/>
        <v>117214</v>
      </c>
    </row>
    <row r="2175" spans="7:14" ht="11.25" customHeight="1" x14ac:dyDescent="0.3">
      <c r="G2175" s="470"/>
      <c r="H2175" s="470">
        <v>2168</v>
      </c>
      <c r="I2175" s="455">
        <f t="shared" ca="1" si="143"/>
        <v>3283008965.4944596</v>
      </c>
      <c r="J2175" s="455">
        <f t="array" ref="J2175">IFERROR(INDEX('Retirement Calculator'!J:J,MATCH('Isaac 401k'!N2175,'Retirement Calculator'!A:A,0),0),0)</f>
        <v>0</v>
      </c>
      <c r="K2175" s="455">
        <f t="shared" ca="1" si="141"/>
        <v>13679204.022893582</v>
      </c>
      <c r="L2175" s="455">
        <f t="shared" ca="1" si="142"/>
        <v>3296688169.5173531</v>
      </c>
      <c r="M2175" s="471">
        <f t="shared" si="144"/>
        <v>0.05</v>
      </c>
      <c r="N2175" s="475">
        <f t="shared" si="145"/>
        <v>117245</v>
      </c>
    </row>
    <row r="2176" spans="7:14" ht="11.25" customHeight="1" x14ac:dyDescent="0.3">
      <c r="G2176" s="470"/>
      <c r="H2176" s="470">
        <v>2169</v>
      </c>
      <c r="I2176" s="455">
        <f t="shared" ca="1" si="143"/>
        <v>3296688169.5173531</v>
      </c>
      <c r="J2176" s="455">
        <f t="array" ref="J2176">IFERROR(INDEX('Retirement Calculator'!J:J,MATCH('Isaac 401k'!N2176,'Retirement Calculator'!A:A,0),0),0)</f>
        <v>0</v>
      </c>
      <c r="K2176" s="455">
        <f t="shared" ca="1" si="141"/>
        <v>13736200.706322305</v>
      </c>
      <c r="L2176" s="455">
        <f t="shared" ca="1" si="142"/>
        <v>3310424370.2236753</v>
      </c>
      <c r="M2176" s="471">
        <f t="shared" si="144"/>
        <v>0.05</v>
      </c>
      <c r="N2176" s="475">
        <f t="shared" si="145"/>
        <v>117276</v>
      </c>
    </row>
    <row r="2177" spans="7:14" ht="11.25" customHeight="1" x14ac:dyDescent="0.3">
      <c r="G2177" s="470"/>
      <c r="H2177" s="470">
        <v>2170</v>
      </c>
      <c r="I2177" s="455">
        <f t="shared" ca="1" si="143"/>
        <v>3310424370.2236753</v>
      </c>
      <c r="J2177" s="455">
        <f t="array" ref="J2177">IFERROR(INDEX('Retirement Calculator'!J:J,MATCH('Isaac 401k'!N2177,'Retirement Calculator'!A:A,0),0),0)</f>
        <v>0</v>
      </c>
      <c r="K2177" s="455">
        <f t="shared" ca="1" si="141"/>
        <v>13793434.87593198</v>
      </c>
      <c r="L2177" s="455">
        <f t="shared" ca="1" si="142"/>
        <v>3324217805.0996075</v>
      </c>
      <c r="M2177" s="471">
        <f t="shared" si="144"/>
        <v>0.05</v>
      </c>
      <c r="N2177" s="475">
        <f t="shared" si="145"/>
        <v>117304</v>
      </c>
    </row>
    <row r="2178" spans="7:14" ht="11.25" customHeight="1" x14ac:dyDescent="0.3">
      <c r="G2178" s="470"/>
      <c r="H2178" s="470">
        <v>2171</v>
      </c>
      <c r="I2178" s="455">
        <f t="shared" ca="1" si="143"/>
        <v>3324217805.0996075</v>
      </c>
      <c r="J2178" s="455">
        <f t="array" ref="J2178">IFERROR(INDEX('Retirement Calculator'!J:J,MATCH('Isaac 401k'!N2178,'Retirement Calculator'!A:A,0),0),0)</f>
        <v>0</v>
      </c>
      <c r="K2178" s="455">
        <f t="shared" ca="1" si="141"/>
        <v>13850907.521248365</v>
      </c>
      <c r="L2178" s="455">
        <f t="shared" ca="1" si="142"/>
        <v>3338068712.6208558</v>
      </c>
      <c r="M2178" s="471">
        <f t="shared" si="144"/>
        <v>0.05</v>
      </c>
      <c r="N2178" s="475">
        <f t="shared" si="145"/>
        <v>117335</v>
      </c>
    </row>
    <row r="2179" spans="7:14" ht="11.25" customHeight="1" x14ac:dyDescent="0.3">
      <c r="G2179" s="470"/>
      <c r="H2179" s="470">
        <v>2172</v>
      </c>
      <c r="I2179" s="455">
        <f t="shared" ca="1" si="143"/>
        <v>3338068712.6208558</v>
      </c>
      <c r="J2179" s="455">
        <f t="array" ref="J2179">IFERROR(INDEX('Retirement Calculator'!J:J,MATCH('Isaac 401k'!N2179,'Retirement Calculator'!A:A,0),0),0)</f>
        <v>0</v>
      </c>
      <c r="K2179" s="455">
        <f t="shared" ca="1" si="141"/>
        <v>13908619.635920232</v>
      </c>
      <c r="L2179" s="455">
        <f t="shared" ca="1" si="142"/>
        <v>3351977332.2567759</v>
      </c>
      <c r="M2179" s="471">
        <f t="shared" si="144"/>
        <v>0.05</v>
      </c>
      <c r="N2179" s="475">
        <f t="shared" si="145"/>
        <v>117365</v>
      </c>
    </row>
    <row r="2180" spans="7:14" ht="11.25" customHeight="1" x14ac:dyDescent="0.3">
      <c r="G2180" s="470"/>
      <c r="H2180" s="470">
        <v>2173</v>
      </c>
      <c r="I2180" s="455">
        <f t="shared" ca="1" si="143"/>
        <v>3351977332.2567759</v>
      </c>
      <c r="J2180" s="455">
        <f t="array" ref="J2180">IFERROR(INDEX('Retirement Calculator'!J:J,MATCH('Isaac 401k'!N2180,'Retirement Calculator'!A:A,0),0),0)</f>
        <v>0</v>
      </c>
      <c r="K2180" s="455">
        <f t="shared" ca="1" si="141"/>
        <v>13966572.217736566</v>
      </c>
      <c r="L2180" s="455">
        <f t="shared" ca="1" si="142"/>
        <v>3365943904.4745126</v>
      </c>
      <c r="M2180" s="471">
        <f t="shared" si="144"/>
        <v>0.05</v>
      </c>
      <c r="N2180" s="475">
        <f t="shared" si="145"/>
        <v>117396</v>
      </c>
    </row>
    <row r="2181" spans="7:14" ht="11.25" customHeight="1" x14ac:dyDescent="0.3">
      <c r="G2181" s="470"/>
      <c r="H2181" s="470">
        <v>2174</v>
      </c>
      <c r="I2181" s="455">
        <f t="shared" ca="1" si="143"/>
        <v>3365943904.4745126</v>
      </c>
      <c r="J2181" s="455">
        <f t="array" ref="J2181">IFERROR(INDEX('Retirement Calculator'!J:J,MATCH('Isaac 401k'!N2181,'Retirement Calculator'!A:A,0),0),0)</f>
        <v>0</v>
      </c>
      <c r="K2181" s="455">
        <f t="shared" ca="1" si="141"/>
        <v>14024766.268643802</v>
      </c>
      <c r="L2181" s="455">
        <f t="shared" ca="1" si="142"/>
        <v>3379968670.7431564</v>
      </c>
      <c r="M2181" s="471">
        <f t="shared" si="144"/>
        <v>0.05</v>
      </c>
      <c r="N2181" s="475">
        <f t="shared" si="145"/>
        <v>117426</v>
      </c>
    </row>
    <row r="2182" spans="7:14" ht="11.25" customHeight="1" x14ac:dyDescent="0.3">
      <c r="G2182" s="470"/>
      <c r="H2182" s="470">
        <v>2175</v>
      </c>
      <c r="I2182" s="455">
        <f t="shared" ca="1" si="143"/>
        <v>3379968670.7431564</v>
      </c>
      <c r="J2182" s="455">
        <f t="array" ref="J2182">IFERROR(INDEX('Retirement Calculator'!J:J,MATCH('Isaac 401k'!N2182,'Retirement Calculator'!A:A,0),0),0)</f>
        <v>0</v>
      </c>
      <c r="K2182" s="455">
        <f t="shared" ca="1" si="141"/>
        <v>14083202.794763153</v>
      </c>
      <c r="L2182" s="455">
        <f t="shared" ca="1" si="142"/>
        <v>3394051873.5379195</v>
      </c>
      <c r="M2182" s="471">
        <f t="shared" si="144"/>
        <v>0.05</v>
      </c>
      <c r="N2182" s="475">
        <f t="shared" si="145"/>
        <v>117457</v>
      </c>
    </row>
    <row r="2183" spans="7:14" ht="11.25" customHeight="1" x14ac:dyDescent="0.3">
      <c r="G2183" s="470"/>
      <c r="H2183" s="470">
        <v>2176</v>
      </c>
      <c r="I2183" s="455">
        <f t="shared" ca="1" si="143"/>
        <v>3394051873.5379195</v>
      </c>
      <c r="J2183" s="455">
        <f t="array" ref="J2183">IFERROR(INDEX('Retirement Calculator'!J:J,MATCH('Isaac 401k'!N2183,'Retirement Calculator'!A:A,0),0),0)</f>
        <v>0</v>
      </c>
      <c r="K2183" s="455">
        <f t="shared" ca="1" si="141"/>
        <v>14141882.806407997</v>
      </c>
      <c r="L2183" s="455">
        <f t="shared" ca="1" si="142"/>
        <v>3408193756.3443274</v>
      </c>
      <c r="M2183" s="471">
        <f t="shared" si="144"/>
        <v>0.05</v>
      </c>
      <c r="N2183" s="475">
        <f t="shared" si="145"/>
        <v>117488</v>
      </c>
    </row>
    <row r="2184" spans="7:14" ht="11.25" customHeight="1" x14ac:dyDescent="0.3">
      <c r="G2184" s="470"/>
      <c r="H2184" s="470">
        <v>2177</v>
      </c>
      <c r="I2184" s="455">
        <f t="shared" ca="1" si="143"/>
        <v>3408193756.3443274</v>
      </c>
      <c r="J2184" s="455">
        <f t="array" ref="J2184">IFERROR(INDEX('Retirement Calculator'!J:J,MATCH('Isaac 401k'!N2184,'Retirement Calculator'!A:A,0),0),0)</f>
        <v>0</v>
      </c>
      <c r="K2184" s="455">
        <f t="shared" ca="1" si="141"/>
        <v>14200807.318101367</v>
      </c>
      <c r="L2184" s="455">
        <f t="shared" ca="1" si="142"/>
        <v>3422394563.6624289</v>
      </c>
      <c r="M2184" s="471">
        <f t="shared" si="144"/>
        <v>0.05</v>
      </c>
      <c r="N2184" s="475">
        <f t="shared" si="145"/>
        <v>117518</v>
      </c>
    </row>
    <row r="2185" spans="7:14" ht="11.25" customHeight="1" x14ac:dyDescent="0.3">
      <c r="G2185" s="470"/>
      <c r="H2185" s="470">
        <v>2178</v>
      </c>
      <c r="I2185" s="455">
        <f t="shared" ca="1" si="143"/>
        <v>3422394563.6624289</v>
      </c>
      <c r="J2185" s="455">
        <f t="array" ref="J2185">IFERROR(INDEX('Retirement Calculator'!J:J,MATCH('Isaac 401k'!N2185,'Retirement Calculator'!A:A,0),0),0)</f>
        <v>0</v>
      </c>
      <c r="K2185" s="455">
        <f t="shared" ca="1" si="141"/>
        <v>14259977.348593453</v>
      </c>
      <c r="L2185" s="455">
        <f t="shared" ca="1" si="142"/>
        <v>3436654541.0110221</v>
      </c>
      <c r="M2185" s="471">
        <f t="shared" si="144"/>
        <v>0.05</v>
      </c>
      <c r="N2185" s="475">
        <f t="shared" si="145"/>
        <v>117549</v>
      </c>
    </row>
    <row r="2186" spans="7:14" ht="11.25" customHeight="1" x14ac:dyDescent="0.3">
      <c r="G2186" s="470"/>
      <c r="H2186" s="470">
        <v>2179</v>
      </c>
      <c r="I2186" s="455">
        <f t="shared" ca="1" si="143"/>
        <v>3436654541.0110221</v>
      </c>
      <c r="J2186" s="455">
        <f t="array" ref="J2186">IFERROR(INDEX('Retirement Calculator'!J:J,MATCH('Isaac 401k'!N2186,'Retirement Calculator'!A:A,0),0),0)</f>
        <v>0</v>
      </c>
      <c r="K2186" s="455">
        <f t="shared" ca="1" si="141"/>
        <v>14319393.920879258</v>
      </c>
      <c r="L2186" s="455">
        <f t="shared" ca="1" si="142"/>
        <v>3450973934.9319015</v>
      </c>
      <c r="M2186" s="471">
        <f t="shared" si="144"/>
        <v>0.05</v>
      </c>
      <c r="N2186" s="475">
        <f t="shared" si="145"/>
        <v>117579</v>
      </c>
    </row>
    <row r="2187" spans="7:14" ht="11.25" customHeight="1" x14ac:dyDescent="0.3">
      <c r="G2187" s="470"/>
      <c r="H2187" s="470">
        <v>2180</v>
      </c>
      <c r="I2187" s="455">
        <f t="shared" ca="1" si="143"/>
        <v>3450973934.9319015</v>
      </c>
      <c r="J2187" s="455">
        <f t="array" ref="J2187">IFERROR(INDEX('Retirement Calculator'!J:J,MATCH('Isaac 401k'!N2187,'Retirement Calculator'!A:A,0),0),0)</f>
        <v>0</v>
      </c>
      <c r="K2187" s="455">
        <f t="shared" ca="1" si="141"/>
        <v>14379058.062216256</v>
      </c>
      <c r="L2187" s="455">
        <f t="shared" ca="1" si="142"/>
        <v>3465352992.9941177</v>
      </c>
      <c r="M2187" s="471">
        <f t="shared" si="144"/>
        <v>0.05</v>
      </c>
      <c r="N2187" s="475">
        <f t="shared" si="145"/>
        <v>117610</v>
      </c>
    </row>
    <row r="2188" spans="7:14" ht="11.25" customHeight="1" x14ac:dyDescent="0.3">
      <c r="G2188" s="470"/>
      <c r="H2188" s="470">
        <v>2181</v>
      </c>
      <c r="I2188" s="455">
        <f t="shared" ca="1" si="143"/>
        <v>3465352992.9941177</v>
      </c>
      <c r="J2188" s="455">
        <f t="array" ref="J2188">IFERROR(INDEX('Retirement Calculator'!J:J,MATCH('Isaac 401k'!N2188,'Retirement Calculator'!A:A,0),0),0)</f>
        <v>0</v>
      </c>
      <c r="K2188" s="455">
        <f t="shared" ca="1" si="141"/>
        <v>14438970.804142157</v>
      </c>
      <c r="L2188" s="455">
        <f t="shared" ca="1" si="142"/>
        <v>3479791963.7982597</v>
      </c>
      <c r="M2188" s="471">
        <f t="shared" si="144"/>
        <v>0.05</v>
      </c>
      <c r="N2188" s="475">
        <f t="shared" si="145"/>
        <v>117641</v>
      </c>
    </row>
    <row r="2189" spans="7:14" ht="11.25" customHeight="1" x14ac:dyDescent="0.3">
      <c r="G2189" s="470"/>
      <c r="H2189" s="470">
        <v>2182</v>
      </c>
      <c r="I2189" s="455">
        <f t="shared" ca="1" si="143"/>
        <v>3479791963.7982597</v>
      </c>
      <c r="J2189" s="455">
        <f t="array" ref="J2189">IFERROR(INDEX('Retirement Calculator'!J:J,MATCH('Isaac 401k'!N2189,'Retirement Calculator'!A:A,0),0),0)</f>
        <v>0</v>
      </c>
      <c r="K2189" s="455">
        <f t="shared" ca="1" si="141"/>
        <v>14499133.182492748</v>
      </c>
      <c r="L2189" s="455">
        <f t="shared" ca="1" si="142"/>
        <v>3494291096.9807525</v>
      </c>
      <c r="M2189" s="471">
        <f t="shared" si="144"/>
        <v>0.05</v>
      </c>
      <c r="N2189" s="475">
        <f t="shared" si="145"/>
        <v>117669</v>
      </c>
    </row>
    <row r="2190" spans="7:14" ht="11.25" customHeight="1" x14ac:dyDescent="0.3">
      <c r="G2190" s="470"/>
      <c r="H2190" s="470">
        <v>2183</v>
      </c>
      <c r="I2190" s="455">
        <f t="shared" ca="1" si="143"/>
        <v>3494291096.9807525</v>
      </c>
      <c r="J2190" s="455">
        <f t="array" ref="J2190">IFERROR(INDEX('Retirement Calculator'!J:J,MATCH('Isaac 401k'!N2190,'Retirement Calculator'!A:A,0),0),0)</f>
        <v>0</v>
      </c>
      <c r="K2190" s="455">
        <f t="shared" ca="1" si="141"/>
        <v>14559546.237419799</v>
      </c>
      <c r="L2190" s="455">
        <f t="shared" ca="1" si="142"/>
        <v>3508850643.2181721</v>
      </c>
      <c r="M2190" s="471">
        <f t="shared" si="144"/>
        <v>0.05</v>
      </c>
      <c r="N2190" s="475">
        <f t="shared" si="145"/>
        <v>117700</v>
      </c>
    </row>
    <row r="2191" spans="7:14" ht="11.25" customHeight="1" x14ac:dyDescent="0.3">
      <c r="G2191" s="470"/>
      <c r="H2191" s="470">
        <v>2184</v>
      </c>
      <c r="I2191" s="455">
        <f t="shared" ca="1" si="143"/>
        <v>3508850643.2181721</v>
      </c>
      <c r="J2191" s="455">
        <f t="array" ref="J2191">IFERROR(INDEX('Retirement Calculator'!J:J,MATCH('Isaac 401k'!N2191,'Retirement Calculator'!A:A,0),0),0)</f>
        <v>0</v>
      </c>
      <c r="K2191" s="455">
        <f t="shared" ca="1" si="141"/>
        <v>14620211.013409048</v>
      </c>
      <c r="L2191" s="455">
        <f t="shared" ca="1" si="142"/>
        <v>3523470854.2315812</v>
      </c>
      <c r="M2191" s="471">
        <f t="shared" si="144"/>
        <v>0.05</v>
      </c>
      <c r="N2191" s="475">
        <f t="shared" si="145"/>
        <v>117730</v>
      </c>
    </row>
    <row r="2192" spans="7:14" ht="11.25" customHeight="1" x14ac:dyDescent="0.3">
      <c r="G2192" s="470"/>
      <c r="H2192" s="470">
        <v>2185</v>
      </c>
      <c r="I2192" s="455">
        <f t="shared" ca="1" si="143"/>
        <v>3523470854.2315812</v>
      </c>
      <c r="J2192" s="455">
        <f t="array" ref="J2192">IFERROR(INDEX('Retirement Calculator'!J:J,MATCH('Isaac 401k'!N2192,'Retirement Calculator'!A:A,0),0),0)</f>
        <v>0</v>
      </c>
      <c r="K2192" s="455">
        <f t="shared" ca="1" si="141"/>
        <v>14681128.559298256</v>
      </c>
      <c r="L2192" s="455">
        <f t="shared" ca="1" si="142"/>
        <v>3538151982.7908792</v>
      </c>
      <c r="M2192" s="471">
        <f t="shared" si="144"/>
        <v>0.05</v>
      </c>
      <c r="N2192" s="475">
        <f t="shared" si="145"/>
        <v>117761</v>
      </c>
    </row>
    <row r="2193" spans="7:14" ht="11.25" customHeight="1" x14ac:dyDescent="0.3">
      <c r="G2193" s="470"/>
      <c r="H2193" s="470">
        <v>2186</v>
      </c>
      <c r="I2193" s="455">
        <f t="shared" ca="1" si="143"/>
        <v>3538151982.7908792</v>
      </c>
      <c r="J2193" s="455">
        <f t="array" ref="J2193">IFERROR(INDEX('Retirement Calculator'!J:J,MATCH('Isaac 401k'!N2193,'Retirement Calculator'!A:A,0),0),0)</f>
        <v>0</v>
      </c>
      <c r="K2193" s="455">
        <f t="shared" ca="1" si="141"/>
        <v>14742299.928295329</v>
      </c>
      <c r="L2193" s="455">
        <f t="shared" ca="1" si="142"/>
        <v>3552894282.7191744</v>
      </c>
      <c r="M2193" s="471">
        <f t="shared" si="144"/>
        <v>0.05</v>
      </c>
      <c r="N2193" s="475">
        <f t="shared" si="145"/>
        <v>117791</v>
      </c>
    </row>
    <row r="2194" spans="7:14" ht="11.25" customHeight="1" x14ac:dyDescent="0.3">
      <c r="G2194" s="470"/>
      <c r="H2194" s="470">
        <v>2187</v>
      </c>
      <c r="I2194" s="455">
        <f t="shared" ca="1" si="143"/>
        <v>3552894282.7191744</v>
      </c>
      <c r="J2194" s="455">
        <f t="array" ref="J2194">IFERROR(INDEX('Retirement Calculator'!J:J,MATCH('Isaac 401k'!N2194,'Retirement Calculator'!A:A,0),0),0)</f>
        <v>0</v>
      </c>
      <c r="K2194" s="455">
        <f t="shared" ca="1" si="141"/>
        <v>14803726.177996559</v>
      </c>
      <c r="L2194" s="455">
        <f t="shared" ca="1" si="142"/>
        <v>3567698008.897171</v>
      </c>
      <c r="M2194" s="471">
        <f t="shared" si="144"/>
        <v>0.05</v>
      </c>
      <c r="N2194" s="475">
        <f t="shared" si="145"/>
        <v>117822</v>
      </c>
    </row>
    <row r="2195" spans="7:14" ht="11.25" customHeight="1" x14ac:dyDescent="0.3">
      <c r="G2195" s="470"/>
      <c r="H2195" s="470">
        <v>2188</v>
      </c>
      <c r="I2195" s="455">
        <f t="shared" ca="1" si="143"/>
        <v>3567698008.897171</v>
      </c>
      <c r="J2195" s="455">
        <f t="array" ref="J2195">IFERROR(INDEX('Retirement Calculator'!J:J,MATCH('Isaac 401k'!N2195,'Retirement Calculator'!A:A,0),0),0)</f>
        <v>0</v>
      </c>
      <c r="K2195" s="455">
        <f t="shared" ca="1" si="141"/>
        <v>14865408.370404879</v>
      </c>
      <c r="L2195" s="455">
        <f t="shared" ca="1" si="142"/>
        <v>3582563417.2675757</v>
      </c>
      <c r="M2195" s="471">
        <f t="shared" si="144"/>
        <v>0.05</v>
      </c>
      <c r="N2195" s="475">
        <f t="shared" si="145"/>
        <v>117853</v>
      </c>
    </row>
    <row r="2196" spans="7:14" ht="11.25" customHeight="1" x14ac:dyDescent="0.3">
      <c r="G2196" s="470"/>
      <c r="H2196" s="470">
        <v>2189</v>
      </c>
      <c r="I2196" s="455">
        <f t="shared" ca="1" si="143"/>
        <v>3582563417.2675757</v>
      </c>
      <c r="J2196" s="455">
        <f t="array" ref="J2196">IFERROR(INDEX('Retirement Calculator'!J:J,MATCH('Isaac 401k'!N2196,'Retirement Calculator'!A:A,0),0),0)</f>
        <v>0</v>
      </c>
      <c r="K2196" s="455">
        <f t="shared" ca="1" si="141"/>
        <v>14927347.57194823</v>
      </c>
      <c r="L2196" s="455">
        <f t="shared" ca="1" si="142"/>
        <v>3597490764.8395238</v>
      </c>
      <c r="M2196" s="471">
        <f t="shared" si="144"/>
        <v>0.05</v>
      </c>
      <c r="N2196" s="475">
        <f t="shared" si="145"/>
        <v>117883</v>
      </c>
    </row>
    <row r="2197" spans="7:14" ht="11.25" customHeight="1" x14ac:dyDescent="0.3">
      <c r="G2197" s="470"/>
      <c r="H2197" s="470">
        <v>2190</v>
      </c>
      <c r="I2197" s="455">
        <f t="shared" ca="1" si="143"/>
        <v>3597490764.8395238</v>
      </c>
      <c r="J2197" s="455">
        <f t="array" ref="J2197">IFERROR(INDEX('Retirement Calculator'!J:J,MATCH('Isaac 401k'!N2197,'Retirement Calculator'!A:A,0),0),0)</f>
        <v>0</v>
      </c>
      <c r="K2197" s="455">
        <f t="shared" ca="1" si="141"/>
        <v>14989544.853498017</v>
      </c>
      <c r="L2197" s="455">
        <f t="shared" ca="1" si="142"/>
        <v>3612480309.6930218</v>
      </c>
      <c r="M2197" s="471">
        <f t="shared" si="144"/>
        <v>0.05</v>
      </c>
      <c r="N2197" s="475">
        <f t="shared" si="145"/>
        <v>117914</v>
      </c>
    </row>
    <row r="2198" spans="7:14" ht="11.25" customHeight="1" x14ac:dyDescent="0.3">
      <c r="G2198" s="470"/>
      <c r="H2198" s="470">
        <v>2191</v>
      </c>
      <c r="I2198" s="455">
        <f t="shared" ca="1" si="143"/>
        <v>3612480309.6930218</v>
      </c>
      <c r="J2198" s="455">
        <f t="array" ref="J2198">IFERROR(INDEX('Retirement Calculator'!J:J,MATCH('Isaac 401k'!N2198,'Retirement Calculator'!A:A,0),0),0)</f>
        <v>0</v>
      </c>
      <c r="K2198" s="455">
        <f t="shared" ca="1" si="141"/>
        <v>15052001.290387593</v>
      </c>
      <c r="L2198" s="455">
        <f t="shared" ca="1" si="142"/>
        <v>3627532310.9834094</v>
      </c>
      <c r="M2198" s="471">
        <f t="shared" si="144"/>
        <v>0.05</v>
      </c>
      <c r="N2198" s="475">
        <f t="shared" si="145"/>
        <v>117944</v>
      </c>
    </row>
    <row r="2199" spans="7:14" ht="11.25" customHeight="1" x14ac:dyDescent="0.3">
      <c r="G2199" s="470"/>
      <c r="H2199" s="470">
        <v>2192</v>
      </c>
      <c r="I2199" s="455">
        <f t="shared" ca="1" si="143"/>
        <v>3627532310.9834094</v>
      </c>
      <c r="J2199" s="455">
        <f t="array" ref="J2199">IFERROR(INDEX('Retirement Calculator'!J:J,MATCH('Isaac 401k'!N2199,'Retirement Calculator'!A:A,0),0),0)</f>
        <v>0</v>
      </c>
      <c r="K2199" s="455">
        <f t="shared" ca="1" si="141"/>
        <v>15114717.962430874</v>
      </c>
      <c r="L2199" s="455">
        <f t="shared" ca="1" si="142"/>
        <v>3642647028.9458404</v>
      </c>
      <c r="M2199" s="471">
        <f t="shared" si="144"/>
        <v>0.05</v>
      </c>
      <c r="N2199" s="475">
        <f t="shared" si="145"/>
        <v>117975</v>
      </c>
    </row>
    <row r="2200" spans="7:14" ht="11.25" customHeight="1" x14ac:dyDescent="0.3">
      <c r="G2200" s="470"/>
      <c r="H2200" s="470">
        <v>2193</v>
      </c>
      <c r="I2200" s="455">
        <f t="shared" ca="1" si="143"/>
        <v>3642647028.9458404</v>
      </c>
      <c r="J2200" s="455">
        <f t="array" ref="J2200">IFERROR(INDEX('Retirement Calculator'!J:J,MATCH('Isaac 401k'!N2200,'Retirement Calculator'!A:A,0),0),0)</f>
        <v>0</v>
      </c>
      <c r="K2200" s="455">
        <f t="shared" ca="1" si="141"/>
        <v>15177695.953941002</v>
      </c>
      <c r="L2200" s="455">
        <f t="shared" ca="1" si="142"/>
        <v>3657824724.8997812</v>
      </c>
      <c r="M2200" s="471">
        <f t="shared" si="144"/>
        <v>0.05</v>
      </c>
      <c r="N2200" s="475">
        <f t="shared" si="145"/>
        <v>118006</v>
      </c>
    </row>
    <row r="2201" spans="7:14" ht="11.25" customHeight="1" x14ac:dyDescent="0.3">
      <c r="G2201" s="470"/>
      <c r="H2201" s="470">
        <v>2194</v>
      </c>
      <c r="I2201" s="455">
        <f t="shared" ca="1" si="143"/>
        <v>3657824724.8997812</v>
      </c>
      <c r="J2201" s="455">
        <f t="array" ref="J2201">IFERROR(INDEX('Retirement Calculator'!J:J,MATCH('Isaac 401k'!N2201,'Retirement Calculator'!A:A,0),0),0)</f>
        <v>0</v>
      </c>
      <c r="K2201" s="455">
        <f t="shared" ca="1" si="141"/>
        <v>15240936.353749089</v>
      </c>
      <c r="L2201" s="455">
        <f t="shared" ca="1" si="142"/>
        <v>3673065661.2535305</v>
      </c>
      <c r="M2201" s="471">
        <f t="shared" si="144"/>
        <v>0.05</v>
      </c>
      <c r="N2201" s="475">
        <f t="shared" si="145"/>
        <v>118034</v>
      </c>
    </row>
    <row r="2202" spans="7:14" ht="11.25" customHeight="1" x14ac:dyDescent="0.3">
      <c r="G2202" s="470"/>
      <c r="H2202" s="470">
        <v>2195</v>
      </c>
      <c r="I2202" s="455">
        <f t="shared" ca="1" si="143"/>
        <v>3673065661.2535305</v>
      </c>
      <c r="J2202" s="455">
        <f t="array" ref="J2202">IFERROR(INDEX('Retirement Calculator'!J:J,MATCH('Isaac 401k'!N2202,'Retirement Calculator'!A:A,0),0),0)</f>
        <v>0</v>
      </c>
      <c r="K2202" s="455">
        <f t="shared" ca="1" si="141"/>
        <v>15304440.255223043</v>
      </c>
      <c r="L2202" s="455">
        <f t="shared" ca="1" si="142"/>
        <v>3688370101.5087538</v>
      </c>
      <c r="M2202" s="471">
        <f t="shared" si="144"/>
        <v>0.05</v>
      </c>
      <c r="N2202" s="475">
        <f t="shared" si="145"/>
        <v>118065</v>
      </c>
    </row>
    <row r="2203" spans="7:14" ht="11.25" customHeight="1" x14ac:dyDescent="0.3">
      <c r="G2203" s="470"/>
      <c r="H2203" s="470">
        <v>2196</v>
      </c>
      <c r="I2203" s="455">
        <f t="shared" ca="1" si="143"/>
        <v>3688370101.5087538</v>
      </c>
      <c r="J2203" s="455">
        <f t="array" ref="J2203">IFERROR(INDEX('Retirement Calculator'!J:J,MATCH('Isaac 401k'!N2203,'Retirement Calculator'!A:A,0),0),0)</f>
        <v>0</v>
      </c>
      <c r="K2203" s="455">
        <f t="shared" ca="1" si="141"/>
        <v>15368208.756286474</v>
      </c>
      <c r="L2203" s="455">
        <f t="shared" ca="1" si="142"/>
        <v>3703738310.2650404</v>
      </c>
      <c r="M2203" s="471">
        <f t="shared" si="144"/>
        <v>0.05</v>
      </c>
      <c r="N2203" s="475">
        <f t="shared" si="145"/>
        <v>118095</v>
      </c>
    </row>
    <row r="2204" spans="7:14" ht="11.25" customHeight="1" x14ac:dyDescent="0.3">
      <c r="G2204" s="470"/>
      <c r="H2204" s="470">
        <v>2197</v>
      </c>
      <c r="I2204" s="455">
        <f t="shared" ca="1" si="143"/>
        <v>3703738310.2650404</v>
      </c>
      <c r="J2204" s="455">
        <f t="array" ref="J2204">IFERROR(INDEX('Retirement Calculator'!J:J,MATCH('Isaac 401k'!N2204,'Retirement Calculator'!A:A,0),0),0)</f>
        <v>0</v>
      </c>
      <c r="K2204" s="455">
        <f t="shared" ca="1" si="141"/>
        <v>15432242.959437668</v>
      </c>
      <c r="L2204" s="455">
        <f t="shared" ca="1" si="142"/>
        <v>3719170553.2244782</v>
      </c>
      <c r="M2204" s="471">
        <f t="shared" si="144"/>
        <v>0.05</v>
      </c>
      <c r="N2204" s="475">
        <f t="shared" si="145"/>
        <v>118126</v>
      </c>
    </row>
    <row r="2205" spans="7:14" ht="11.25" customHeight="1" x14ac:dyDescent="0.3">
      <c r="G2205" s="470"/>
      <c r="H2205" s="470">
        <v>2198</v>
      </c>
      <c r="I2205" s="455">
        <f t="shared" ca="1" si="143"/>
        <v>3719170553.2244782</v>
      </c>
      <c r="J2205" s="455">
        <f t="array" ref="J2205">IFERROR(INDEX('Retirement Calculator'!J:J,MATCH('Isaac 401k'!N2205,'Retirement Calculator'!A:A,0),0),0)</f>
        <v>0</v>
      </c>
      <c r="K2205" s="455">
        <f t="shared" ca="1" si="141"/>
        <v>15496543.971768659</v>
      </c>
      <c r="L2205" s="455">
        <f t="shared" ca="1" si="142"/>
        <v>3734667097.1962471</v>
      </c>
      <c r="M2205" s="471">
        <f t="shared" si="144"/>
        <v>0.05</v>
      </c>
      <c r="N2205" s="475">
        <f t="shared" si="145"/>
        <v>118156</v>
      </c>
    </row>
    <row r="2206" spans="7:14" ht="11.25" customHeight="1" x14ac:dyDescent="0.3">
      <c r="G2206" s="470"/>
      <c r="H2206" s="470">
        <v>2199</v>
      </c>
      <c r="I2206" s="455">
        <f t="shared" ca="1" si="143"/>
        <v>3734667097.1962471</v>
      </c>
      <c r="J2206" s="455">
        <f t="array" ref="J2206">IFERROR(INDEX('Retirement Calculator'!J:J,MATCH('Isaac 401k'!N2206,'Retirement Calculator'!A:A,0),0),0)</f>
        <v>0</v>
      </c>
      <c r="K2206" s="455">
        <f t="shared" ca="1" si="141"/>
        <v>15561112.904984361</v>
      </c>
      <c r="L2206" s="455">
        <f t="shared" ca="1" si="142"/>
        <v>3750228210.1012316</v>
      </c>
      <c r="M2206" s="471">
        <f t="shared" si="144"/>
        <v>0.05</v>
      </c>
      <c r="N2206" s="475">
        <f t="shared" si="145"/>
        <v>118187</v>
      </c>
    </row>
    <row r="2207" spans="7:14" ht="11.25" customHeight="1" x14ac:dyDescent="0.3">
      <c r="G2207" s="470"/>
      <c r="H2207" s="470">
        <v>2200</v>
      </c>
      <c r="I2207" s="455">
        <f t="shared" ca="1" si="143"/>
        <v>3750228210.1012316</v>
      </c>
      <c r="J2207" s="455">
        <f t="array" ref="J2207">IFERROR(INDEX('Retirement Calculator'!J:J,MATCH('Isaac 401k'!N2207,'Retirement Calculator'!A:A,0),0),0)</f>
        <v>0</v>
      </c>
      <c r="K2207" s="455">
        <f t="shared" ca="1" si="141"/>
        <v>15625950.875421796</v>
      </c>
      <c r="L2207" s="455">
        <f t="shared" ca="1" si="142"/>
        <v>3765854160.9766536</v>
      </c>
      <c r="M2207" s="471">
        <f t="shared" si="144"/>
        <v>0.05</v>
      </c>
      <c r="N2207" s="475">
        <f t="shared" si="145"/>
        <v>118218</v>
      </c>
    </row>
    <row r="2208" spans="7:14" ht="11.25" customHeight="1" x14ac:dyDescent="0.3">
      <c r="G2208" s="470"/>
      <c r="H2208" s="470">
        <v>2201</v>
      </c>
      <c r="I2208" s="455">
        <f t="shared" ca="1" si="143"/>
        <v>3765854160.9766536</v>
      </c>
      <c r="J2208" s="455">
        <f t="array" ref="J2208">IFERROR(INDEX('Retirement Calculator'!J:J,MATCH('Isaac 401k'!N2208,'Retirement Calculator'!A:A,0),0),0)</f>
        <v>0</v>
      </c>
      <c r="K2208" s="455">
        <f t="shared" ca="1" si="141"/>
        <v>15691059.004069392</v>
      </c>
      <c r="L2208" s="455">
        <f t="shared" ca="1" si="142"/>
        <v>3781545219.9807229</v>
      </c>
      <c r="M2208" s="471">
        <f t="shared" si="144"/>
        <v>0.05</v>
      </c>
      <c r="N2208" s="475">
        <f t="shared" si="145"/>
        <v>118248</v>
      </c>
    </row>
    <row r="2209" spans="7:14" ht="11.25" customHeight="1" x14ac:dyDescent="0.3">
      <c r="G2209" s="470"/>
      <c r="H2209" s="470">
        <v>2202</v>
      </c>
      <c r="I2209" s="455">
        <f t="shared" ca="1" si="143"/>
        <v>3781545219.9807229</v>
      </c>
      <c r="J2209" s="455">
        <f t="array" ref="J2209">IFERROR(INDEX('Retirement Calculator'!J:J,MATCH('Isaac 401k'!N2209,'Retirement Calculator'!A:A,0),0),0)</f>
        <v>0</v>
      </c>
      <c r="K2209" s="455">
        <f t="shared" ca="1" si="141"/>
        <v>15756438.416586345</v>
      </c>
      <c r="L2209" s="455">
        <f t="shared" ca="1" si="142"/>
        <v>3797301658.3973093</v>
      </c>
      <c r="M2209" s="471">
        <f t="shared" si="144"/>
        <v>0.05</v>
      </c>
      <c r="N2209" s="475">
        <f t="shared" si="145"/>
        <v>118279</v>
      </c>
    </row>
    <row r="2210" spans="7:14" ht="11.25" customHeight="1" x14ac:dyDescent="0.3">
      <c r="G2210" s="470"/>
      <c r="H2210" s="470">
        <v>2203</v>
      </c>
      <c r="I2210" s="455">
        <f t="shared" ca="1" si="143"/>
        <v>3797301658.3973093</v>
      </c>
      <c r="J2210" s="455">
        <f t="array" ref="J2210">IFERROR(INDEX('Retirement Calculator'!J:J,MATCH('Isaac 401k'!N2210,'Retirement Calculator'!A:A,0),0),0)</f>
        <v>0</v>
      </c>
      <c r="K2210" s="455">
        <f t="shared" ca="1" si="141"/>
        <v>15822090.243322121</v>
      </c>
      <c r="L2210" s="455">
        <f t="shared" ca="1" si="142"/>
        <v>3813123748.6406312</v>
      </c>
      <c r="M2210" s="471">
        <f t="shared" si="144"/>
        <v>0.05</v>
      </c>
      <c r="N2210" s="475">
        <f t="shared" si="145"/>
        <v>118309</v>
      </c>
    </row>
    <row r="2211" spans="7:14" ht="11.25" customHeight="1" x14ac:dyDescent="0.3">
      <c r="G2211" s="470"/>
      <c r="H2211" s="470">
        <v>2204</v>
      </c>
      <c r="I2211" s="455">
        <f t="shared" ca="1" si="143"/>
        <v>3813123748.6406312</v>
      </c>
      <c r="J2211" s="455">
        <f t="array" ref="J2211">IFERROR(INDEX('Retirement Calculator'!J:J,MATCH('Isaac 401k'!N2211,'Retirement Calculator'!A:A,0),0),0)</f>
        <v>0</v>
      </c>
      <c r="K2211" s="455">
        <f t="shared" ca="1" si="141"/>
        <v>15888015.619335962</v>
      </c>
      <c r="L2211" s="455">
        <f t="shared" ca="1" si="142"/>
        <v>3829011764.2599673</v>
      </c>
      <c r="M2211" s="471">
        <f t="shared" si="144"/>
        <v>0.05</v>
      </c>
      <c r="N2211" s="475">
        <f t="shared" si="145"/>
        <v>118340</v>
      </c>
    </row>
    <row r="2212" spans="7:14" ht="11.25" customHeight="1" x14ac:dyDescent="0.3">
      <c r="G2212" s="470"/>
      <c r="H2212" s="470">
        <v>2205</v>
      </c>
      <c r="I2212" s="455">
        <f t="shared" ca="1" si="143"/>
        <v>3829011764.2599673</v>
      </c>
      <c r="J2212" s="455">
        <f t="array" ref="J2212">IFERROR(INDEX('Retirement Calculator'!J:J,MATCH('Isaac 401k'!N2212,'Retirement Calculator'!A:A,0),0),0)</f>
        <v>0</v>
      </c>
      <c r="K2212" s="455">
        <f t="shared" ca="1" si="141"/>
        <v>15954215.684416531</v>
      </c>
      <c r="L2212" s="455">
        <f t="shared" ca="1" si="142"/>
        <v>3844965979.9443836</v>
      </c>
      <c r="M2212" s="471">
        <f t="shared" si="144"/>
        <v>0.05</v>
      </c>
      <c r="N2212" s="475">
        <f t="shared" si="145"/>
        <v>118371</v>
      </c>
    </row>
    <row r="2213" spans="7:14" ht="11.25" customHeight="1" x14ac:dyDescent="0.3">
      <c r="G2213" s="470"/>
      <c r="H2213" s="470">
        <v>2206</v>
      </c>
      <c r="I2213" s="455">
        <f t="shared" ca="1" si="143"/>
        <v>3844965979.9443836</v>
      </c>
      <c r="J2213" s="455">
        <f t="array" ref="J2213">IFERROR(INDEX('Retirement Calculator'!J:J,MATCH('Isaac 401k'!N2213,'Retirement Calculator'!A:A,0),0),0)</f>
        <v>0</v>
      </c>
      <c r="K2213" s="455">
        <f t="shared" ca="1" si="141"/>
        <v>16020691.583101599</v>
      </c>
      <c r="L2213" s="455">
        <f t="shared" ca="1" si="142"/>
        <v>3860986671.5274854</v>
      </c>
      <c r="M2213" s="471">
        <f t="shared" si="144"/>
        <v>0.05</v>
      </c>
      <c r="N2213" s="475">
        <f t="shared" si="145"/>
        <v>118400</v>
      </c>
    </row>
    <row r="2214" spans="7:14" ht="11.25" customHeight="1" x14ac:dyDescent="0.3">
      <c r="G2214" s="470"/>
      <c r="H2214" s="470">
        <v>2207</v>
      </c>
      <c r="I2214" s="455">
        <f t="shared" ca="1" si="143"/>
        <v>3860986671.5274854</v>
      </c>
      <c r="J2214" s="455">
        <f t="array" ref="J2214">IFERROR(INDEX('Retirement Calculator'!J:J,MATCH('Isaac 401k'!N2214,'Retirement Calculator'!A:A,0),0),0)</f>
        <v>0</v>
      </c>
      <c r="K2214" s="455">
        <f t="shared" ca="1" si="141"/>
        <v>16087444.464697858</v>
      </c>
      <c r="L2214" s="455">
        <f t="shared" ca="1" si="142"/>
        <v>3877074115.9921832</v>
      </c>
      <c r="M2214" s="471">
        <f t="shared" si="144"/>
        <v>0.05</v>
      </c>
      <c r="N2214" s="475">
        <f t="shared" si="145"/>
        <v>118431</v>
      </c>
    </row>
    <row r="2215" spans="7:14" ht="11.25" customHeight="1" x14ac:dyDescent="0.3">
      <c r="G2215" s="470"/>
      <c r="H2215" s="470">
        <v>2208</v>
      </c>
      <c r="I2215" s="455">
        <f t="shared" ca="1" si="143"/>
        <v>3877074115.9921832</v>
      </c>
      <c r="J2215" s="455">
        <f t="array" ref="J2215">IFERROR(INDEX('Retirement Calculator'!J:J,MATCH('Isaac 401k'!N2215,'Retirement Calculator'!A:A,0),0),0)</f>
        <v>0</v>
      </c>
      <c r="K2215" s="455">
        <f t="shared" ca="1" si="141"/>
        <v>16154475.48330076</v>
      </c>
      <c r="L2215" s="455">
        <f t="shared" ca="1" si="142"/>
        <v>3893228591.4754839</v>
      </c>
      <c r="M2215" s="471">
        <f t="shared" si="144"/>
        <v>0.05</v>
      </c>
      <c r="N2215" s="475">
        <f t="shared" si="145"/>
        <v>118461</v>
      </c>
    </row>
    <row r="2216" spans="7:14" ht="11.25" customHeight="1" x14ac:dyDescent="0.3">
      <c r="G2216" s="470"/>
      <c r="H2216" s="470">
        <v>2209</v>
      </c>
      <c r="I2216" s="455">
        <f t="shared" ca="1" si="143"/>
        <v>3893228591.4754839</v>
      </c>
      <c r="J2216" s="455">
        <f t="array" ref="J2216">IFERROR(INDEX('Retirement Calculator'!J:J,MATCH('Isaac 401k'!N2216,'Retirement Calculator'!A:A,0),0),0)</f>
        <v>0</v>
      </c>
      <c r="K2216" s="455">
        <f t="shared" ca="1" si="141"/>
        <v>16221785.797814516</v>
      </c>
      <c r="L2216" s="455">
        <f t="shared" ca="1" si="142"/>
        <v>3909450377.2732983</v>
      </c>
      <c r="M2216" s="471">
        <f t="shared" si="144"/>
        <v>0.05</v>
      </c>
      <c r="N2216" s="475">
        <f t="shared" si="145"/>
        <v>118492</v>
      </c>
    </row>
    <row r="2217" spans="7:14" ht="11.25" customHeight="1" x14ac:dyDescent="0.3">
      <c r="G2217" s="470"/>
      <c r="H2217" s="470">
        <v>2210</v>
      </c>
      <c r="I2217" s="455">
        <f t="shared" ca="1" si="143"/>
        <v>3909450377.2732983</v>
      </c>
      <c r="J2217" s="455">
        <f t="array" ref="J2217">IFERROR(INDEX('Retirement Calculator'!J:J,MATCH('Isaac 401k'!N2217,'Retirement Calculator'!A:A,0),0),0)</f>
        <v>0</v>
      </c>
      <c r="K2217" s="455">
        <f t="shared" ca="1" si="141"/>
        <v>16289376.571972076</v>
      </c>
      <c r="L2217" s="455">
        <f t="shared" ca="1" si="142"/>
        <v>3925739753.8452702</v>
      </c>
      <c r="M2217" s="471">
        <f t="shared" si="144"/>
        <v>0.05</v>
      </c>
      <c r="N2217" s="475">
        <f t="shared" si="145"/>
        <v>118522</v>
      </c>
    </row>
    <row r="2218" spans="7:14" ht="11.25" customHeight="1" x14ac:dyDescent="0.3">
      <c r="G2218" s="470"/>
      <c r="H2218" s="470">
        <v>2211</v>
      </c>
      <c r="I2218" s="455">
        <f t="shared" ca="1" si="143"/>
        <v>3925739753.8452702</v>
      </c>
      <c r="J2218" s="455">
        <f t="array" ref="J2218">IFERROR(INDEX('Retirement Calculator'!J:J,MATCH('Isaac 401k'!N2218,'Retirement Calculator'!A:A,0),0),0)</f>
        <v>0</v>
      </c>
      <c r="K2218" s="455">
        <f t="shared" ca="1" si="141"/>
        <v>16357248.974355292</v>
      </c>
      <c r="L2218" s="455">
        <f t="shared" ca="1" si="142"/>
        <v>3942097002.8196254</v>
      </c>
      <c r="M2218" s="471">
        <f t="shared" si="144"/>
        <v>0.05</v>
      </c>
      <c r="N2218" s="475">
        <f t="shared" si="145"/>
        <v>118553</v>
      </c>
    </row>
    <row r="2219" spans="7:14" ht="11.25" customHeight="1" x14ac:dyDescent="0.3">
      <c r="G2219" s="470"/>
      <c r="H2219" s="470">
        <v>2212</v>
      </c>
      <c r="I2219" s="455">
        <f t="shared" ca="1" si="143"/>
        <v>3942097002.8196254</v>
      </c>
      <c r="J2219" s="455">
        <f t="array" ref="J2219">IFERROR(INDEX('Retirement Calculator'!J:J,MATCH('Isaac 401k'!N2219,'Retirement Calculator'!A:A,0),0),0)</f>
        <v>0</v>
      </c>
      <c r="K2219" s="455">
        <f t="shared" ca="1" si="141"/>
        <v>16425404.178415105</v>
      </c>
      <c r="L2219" s="455">
        <f t="shared" ca="1" si="142"/>
        <v>3958522406.9980407</v>
      </c>
      <c r="M2219" s="471">
        <f t="shared" si="144"/>
        <v>0.05</v>
      </c>
      <c r="N2219" s="475">
        <f t="shared" si="145"/>
        <v>118584</v>
      </c>
    </row>
    <row r="2220" spans="7:14" ht="11.25" customHeight="1" x14ac:dyDescent="0.3">
      <c r="G2220" s="470"/>
      <c r="H2220" s="470">
        <v>2213</v>
      </c>
      <c r="I2220" s="455">
        <f t="shared" ca="1" si="143"/>
        <v>3958522406.9980407</v>
      </c>
      <c r="J2220" s="455">
        <f t="array" ref="J2220">IFERROR(INDEX('Retirement Calculator'!J:J,MATCH('Isaac 401k'!N2220,'Retirement Calculator'!A:A,0),0),0)</f>
        <v>0</v>
      </c>
      <c r="K2220" s="455">
        <f t="shared" ca="1" si="141"/>
        <v>16493843.362491837</v>
      </c>
      <c r="L2220" s="455">
        <f t="shared" ca="1" si="142"/>
        <v>3975016250.3605323</v>
      </c>
      <c r="M2220" s="471">
        <f t="shared" si="144"/>
        <v>0.05</v>
      </c>
      <c r="N2220" s="475">
        <f t="shared" si="145"/>
        <v>118614</v>
      </c>
    </row>
    <row r="2221" spans="7:14" ht="11.25" customHeight="1" x14ac:dyDescent="0.3">
      <c r="G2221" s="470"/>
      <c r="H2221" s="470">
        <v>2214</v>
      </c>
      <c r="I2221" s="455">
        <f t="shared" ca="1" si="143"/>
        <v>3975016250.3605323</v>
      </c>
      <c r="J2221" s="455">
        <f t="array" ref="J2221">IFERROR(INDEX('Retirement Calculator'!J:J,MATCH('Isaac 401k'!N2221,'Retirement Calculator'!A:A,0),0),0)</f>
        <v>0</v>
      </c>
      <c r="K2221" s="455">
        <f t="shared" ca="1" si="141"/>
        <v>16562567.709835552</v>
      </c>
      <c r="L2221" s="455">
        <f t="shared" ca="1" si="142"/>
        <v>3991578818.0703678</v>
      </c>
      <c r="M2221" s="471">
        <f t="shared" si="144"/>
        <v>0.05</v>
      </c>
      <c r="N2221" s="475">
        <f t="shared" si="145"/>
        <v>118645</v>
      </c>
    </row>
    <row r="2222" spans="7:14" ht="11.25" customHeight="1" x14ac:dyDescent="0.3">
      <c r="G2222" s="470"/>
      <c r="H2222" s="470">
        <v>2215</v>
      </c>
      <c r="I2222" s="455">
        <f t="shared" ca="1" si="143"/>
        <v>3991578818.0703678</v>
      </c>
      <c r="J2222" s="455">
        <f t="array" ref="J2222">IFERROR(INDEX('Retirement Calculator'!J:J,MATCH('Isaac 401k'!N2222,'Retirement Calculator'!A:A,0),0),0)</f>
        <v>0</v>
      </c>
      <c r="K2222" s="455">
        <f t="shared" ca="1" si="141"/>
        <v>16631578.408626532</v>
      </c>
      <c r="L2222" s="455">
        <f t="shared" ca="1" si="142"/>
        <v>4008210396.4789944</v>
      </c>
      <c r="M2222" s="471">
        <f t="shared" si="144"/>
        <v>0.05</v>
      </c>
      <c r="N2222" s="475">
        <f t="shared" si="145"/>
        <v>118675</v>
      </c>
    </row>
    <row r="2223" spans="7:14" ht="11.25" customHeight="1" x14ac:dyDescent="0.3">
      <c r="G2223" s="470"/>
      <c r="H2223" s="470">
        <v>2216</v>
      </c>
      <c r="I2223" s="455">
        <f t="shared" ca="1" si="143"/>
        <v>4008210396.4789944</v>
      </c>
      <c r="J2223" s="455">
        <f t="array" ref="J2223">IFERROR(INDEX('Retirement Calculator'!J:J,MATCH('Isaac 401k'!N2223,'Retirement Calculator'!A:A,0),0),0)</f>
        <v>0</v>
      </c>
      <c r="K2223" s="455">
        <f t="shared" ca="1" si="141"/>
        <v>16700876.65199581</v>
      </c>
      <c r="L2223" s="455">
        <f t="shared" ca="1" si="142"/>
        <v>4024911273.13099</v>
      </c>
      <c r="M2223" s="471">
        <f t="shared" si="144"/>
        <v>0.05</v>
      </c>
      <c r="N2223" s="475">
        <f t="shared" si="145"/>
        <v>118706</v>
      </c>
    </row>
    <row r="2224" spans="7:14" ht="11.25" customHeight="1" x14ac:dyDescent="0.3">
      <c r="G2224" s="470"/>
      <c r="H2224" s="470">
        <v>2217</v>
      </c>
      <c r="I2224" s="455">
        <f t="shared" ca="1" si="143"/>
        <v>4024911273.13099</v>
      </c>
      <c r="J2224" s="455">
        <f t="array" ref="J2224">IFERROR(INDEX('Retirement Calculator'!J:J,MATCH('Isaac 401k'!N2224,'Retirement Calculator'!A:A,0),0),0)</f>
        <v>0</v>
      </c>
      <c r="K2224" s="455">
        <f t="shared" ca="1" si="141"/>
        <v>16770463.638045792</v>
      </c>
      <c r="L2224" s="455">
        <f t="shared" ca="1" si="142"/>
        <v>4041681736.7690358</v>
      </c>
      <c r="M2224" s="471">
        <f t="shared" si="144"/>
        <v>0.05</v>
      </c>
      <c r="N2224" s="475">
        <f t="shared" si="145"/>
        <v>118737</v>
      </c>
    </row>
    <row r="2225" spans="7:14" ht="11.25" customHeight="1" x14ac:dyDescent="0.3">
      <c r="G2225" s="470"/>
      <c r="H2225" s="470">
        <v>2218</v>
      </c>
      <c r="I2225" s="455">
        <f t="shared" ca="1" si="143"/>
        <v>4041681736.7690358</v>
      </c>
      <c r="J2225" s="455">
        <f t="array" ref="J2225">IFERROR(INDEX('Retirement Calculator'!J:J,MATCH('Isaac 401k'!N2225,'Retirement Calculator'!A:A,0),0),0)</f>
        <v>0</v>
      </c>
      <c r="K2225" s="455">
        <f t="shared" ca="1" si="141"/>
        <v>16840340.569870982</v>
      </c>
      <c r="L2225" s="455">
        <f t="shared" ca="1" si="142"/>
        <v>4058522077.3389068</v>
      </c>
      <c r="M2225" s="471">
        <f t="shared" si="144"/>
        <v>0.05</v>
      </c>
      <c r="N2225" s="475">
        <f t="shared" si="145"/>
        <v>118765</v>
      </c>
    </row>
    <row r="2226" spans="7:14" ht="11.25" customHeight="1" x14ac:dyDescent="0.3">
      <c r="G2226" s="470"/>
      <c r="H2226" s="470">
        <v>2219</v>
      </c>
      <c r="I2226" s="455">
        <f t="shared" ca="1" si="143"/>
        <v>4058522077.3389068</v>
      </c>
      <c r="J2226" s="455">
        <f t="array" ref="J2226">IFERROR(INDEX('Retirement Calculator'!J:J,MATCH('Isaac 401k'!N2226,'Retirement Calculator'!A:A,0),0),0)</f>
        <v>0</v>
      </c>
      <c r="K2226" s="455">
        <f t="shared" ca="1" si="141"/>
        <v>16910508.655578777</v>
      </c>
      <c r="L2226" s="455">
        <f t="shared" ca="1" si="142"/>
        <v>4075432585.9944854</v>
      </c>
      <c r="M2226" s="471">
        <f t="shared" si="144"/>
        <v>0.05</v>
      </c>
      <c r="N2226" s="475">
        <f t="shared" si="145"/>
        <v>118796</v>
      </c>
    </row>
    <row r="2227" spans="7:14" ht="11.25" customHeight="1" x14ac:dyDescent="0.3">
      <c r="G2227" s="470"/>
      <c r="H2227" s="470">
        <v>2220</v>
      </c>
      <c r="I2227" s="455">
        <f t="shared" ca="1" si="143"/>
        <v>4075432585.9944854</v>
      </c>
      <c r="J2227" s="455">
        <f t="array" ref="J2227">IFERROR(INDEX('Retirement Calculator'!J:J,MATCH('Isaac 401k'!N2227,'Retirement Calculator'!A:A,0),0),0)</f>
        <v>0</v>
      </c>
      <c r="K2227" s="455">
        <f t="shared" ca="1" si="141"/>
        <v>16980969.108310357</v>
      </c>
      <c r="L2227" s="455">
        <f t="shared" ca="1" si="142"/>
        <v>4092413555.1027956</v>
      </c>
      <c r="M2227" s="471">
        <f t="shared" si="144"/>
        <v>0.05</v>
      </c>
      <c r="N2227" s="475">
        <f t="shared" si="145"/>
        <v>118826</v>
      </c>
    </row>
    <row r="2228" spans="7:14" ht="11.25" customHeight="1" x14ac:dyDescent="0.3">
      <c r="G2228" s="470"/>
      <c r="H2228" s="470">
        <v>2221</v>
      </c>
      <c r="I2228" s="455">
        <f t="shared" ca="1" si="143"/>
        <v>4092413555.1027956</v>
      </c>
      <c r="J2228" s="455">
        <f t="array" ref="J2228">IFERROR(INDEX('Retirement Calculator'!J:J,MATCH('Isaac 401k'!N2228,'Retirement Calculator'!A:A,0),0),0)</f>
        <v>0</v>
      </c>
      <c r="K2228" s="455">
        <f t="shared" ca="1" si="141"/>
        <v>17051723.146261651</v>
      </c>
      <c r="L2228" s="455">
        <f t="shared" ca="1" si="142"/>
        <v>4109465278.2490573</v>
      </c>
      <c r="M2228" s="471">
        <f t="shared" si="144"/>
        <v>0.05</v>
      </c>
      <c r="N2228" s="475">
        <f t="shared" si="145"/>
        <v>118857</v>
      </c>
    </row>
    <row r="2229" spans="7:14" ht="11.25" customHeight="1" x14ac:dyDescent="0.3">
      <c r="G2229" s="470"/>
      <c r="H2229" s="470">
        <v>2222</v>
      </c>
      <c r="I2229" s="455">
        <f t="shared" ca="1" si="143"/>
        <v>4109465278.2490573</v>
      </c>
      <c r="J2229" s="455">
        <f t="array" ref="J2229">IFERROR(INDEX('Retirement Calculator'!J:J,MATCH('Isaac 401k'!N2229,'Retirement Calculator'!A:A,0),0),0)</f>
        <v>0</v>
      </c>
      <c r="K2229" s="455">
        <f t="shared" ca="1" si="141"/>
        <v>17122771.992704403</v>
      </c>
      <c r="L2229" s="455">
        <f t="shared" ca="1" si="142"/>
        <v>4126588050.2417617</v>
      </c>
      <c r="M2229" s="471">
        <f t="shared" si="144"/>
        <v>0.05</v>
      </c>
      <c r="N2229" s="475">
        <f t="shared" si="145"/>
        <v>118887</v>
      </c>
    </row>
    <row r="2230" spans="7:14" ht="11.25" customHeight="1" x14ac:dyDescent="0.3">
      <c r="G2230" s="470"/>
      <c r="H2230" s="470">
        <v>2223</v>
      </c>
      <c r="I2230" s="455">
        <f t="shared" ca="1" si="143"/>
        <v>4126588050.2417617</v>
      </c>
      <c r="J2230" s="455">
        <f t="array" ref="J2230">IFERROR(INDEX('Retirement Calculator'!J:J,MATCH('Isaac 401k'!N2230,'Retirement Calculator'!A:A,0),0),0)</f>
        <v>0</v>
      </c>
      <c r="K2230" s="455">
        <f t="shared" ca="1" si="141"/>
        <v>17194116.876007341</v>
      </c>
      <c r="L2230" s="455">
        <f t="shared" ca="1" si="142"/>
        <v>4143782167.1177692</v>
      </c>
      <c r="M2230" s="471">
        <f t="shared" si="144"/>
        <v>0.05</v>
      </c>
      <c r="N2230" s="475">
        <f t="shared" si="145"/>
        <v>118918</v>
      </c>
    </row>
    <row r="2231" spans="7:14" ht="11.25" customHeight="1" x14ac:dyDescent="0.3">
      <c r="G2231" s="470"/>
      <c r="H2231" s="470">
        <v>2224</v>
      </c>
      <c r="I2231" s="455">
        <f t="shared" ca="1" si="143"/>
        <v>4143782167.1177692</v>
      </c>
      <c r="J2231" s="455">
        <f t="array" ref="J2231">IFERROR(INDEX('Retirement Calculator'!J:J,MATCH('Isaac 401k'!N2231,'Retirement Calculator'!A:A,0),0),0)</f>
        <v>0</v>
      </c>
      <c r="K2231" s="455">
        <f t="shared" ca="1" si="141"/>
        <v>17265759.029657375</v>
      </c>
      <c r="L2231" s="455">
        <f t="shared" ca="1" si="142"/>
        <v>4161047926.1474266</v>
      </c>
      <c r="M2231" s="471">
        <f t="shared" si="144"/>
        <v>0.05</v>
      </c>
      <c r="N2231" s="475">
        <f t="shared" si="145"/>
        <v>118949</v>
      </c>
    </row>
    <row r="2232" spans="7:14" ht="11.25" customHeight="1" x14ac:dyDescent="0.3">
      <c r="G2232" s="470"/>
      <c r="H2232" s="470">
        <v>2225</v>
      </c>
      <c r="I2232" s="455">
        <f t="shared" ca="1" si="143"/>
        <v>4161047926.1474266</v>
      </c>
      <c r="J2232" s="455">
        <f t="array" ref="J2232">IFERROR(INDEX('Retirement Calculator'!J:J,MATCH('Isaac 401k'!N2232,'Retirement Calculator'!A:A,0),0),0)</f>
        <v>0</v>
      </c>
      <c r="K2232" s="455">
        <f t="shared" ca="1" si="141"/>
        <v>17337699.692280944</v>
      </c>
      <c r="L2232" s="455">
        <f t="shared" ca="1" si="142"/>
        <v>4178385625.8397074</v>
      </c>
      <c r="M2232" s="471">
        <f t="shared" si="144"/>
        <v>0.05</v>
      </c>
      <c r="N2232" s="475">
        <f t="shared" si="145"/>
        <v>118979</v>
      </c>
    </row>
    <row r="2233" spans="7:14" ht="11.25" customHeight="1" x14ac:dyDescent="0.3">
      <c r="G2233" s="470"/>
      <c r="H2233" s="470">
        <v>2226</v>
      </c>
      <c r="I2233" s="455">
        <f t="shared" ca="1" si="143"/>
        <v>4178385625.8397074</v>
      </c>
      <c r="J2233" s="455">
        <f t="array" ref="J2233">IFERROR(INDEX('Retirement Calculator'!J:J,MATCH('Isaac 401k'!N2233,'Retirement Calculator'!A:A,0),0),0)</f>
        <v>0</v>
      </c>
      <c r="K2233" s="455">
        <f t="shared" ca="1" si="141"/>
        <v>17409940.107665446</v>
      </c>
      <c r="L2233" s="455">
        <f t="shared" ca="1" si="142"/>
        <v>4195795565.9473729</v>
      </c>
      <c r="M2233" s="471">
        <f t="shared" si="144"/>
        <v>0.05</v>
      </c>
      <c r="N2233" s="475">
        <f t="shared" si="145"/>
        <v>119010</v>
      </c>
    </row>
    <row r="2234" spans="7:14" ht="11.25" customHeight="1" x14ac:dyDescent="0.3">
      <c r="G2234" s="470"/>
      <c r="H2234" s="470">
        <v>2227</v>
      </c>
      <c r="I2234" s="455">
        <f t="shared" ca="1" si="143"/>
        <v>4195795565.9473729</v>
      </c>
      <c r="J2234" s="455">
        <f t="array" ref="J2234">IFERROR(INDEX('Retirement Calculator'!J:J,MATCH('Isaac 401k'!N2234,'Retirement Calculator'!A:A,0),0),0)</f>
        <v>0</v>
      </c>
      <c r="K2234" s="455">
        <f t="shared" ca="1" si="141"/>
        <v>17482481.52478072</v>
      </c>
      <c r="L2234" s="455">
        <f t="shared" ca="1" si="142"/>
        <v>4213278047.4721537</v>
      </c>
      <c r="M2234" s="471">
        <f t="shared" si="144"/>
        <v>0.05</v>
      </c>
      <c r="N2234" s="475">
        <f t="shared" si="145"/>
        <v>119040</v>
      </c>
    </row>
    <row r="2235" spans="7:14" ht="11.25" customHeight="1" x14ac:dyDescent="0.3">
      <c r="G2235" s="470"/>
      <c r="H2235" s="470">
        <v>2228</v>
      </c>
      <c r="I2235" s="455">
        <f t="shared" ca="1" si="143"/>
        <v>4213278047.4721537</v>
      </c>
      <c r="J2235" s="455">
        <f t="array" ref="J2235">IFERROR(INDEX('Retirement Calculator'!J:J,MATCH('Isaac 401k'!N2235,'Retirement Calculator'!A:A,0),0),0)</f>
        <v>0</v>
      </c>
      <c r="K2235" s="455">
        <f t="shared" ca="1" si="141"/>
        <v>17555325.19780064</v>
      </c>
      <c r="L2235" s="455">
        <f t="shared" ca="1" si="142"/>
        <v>4230833372.6699543</v>
      </c>
      <c r="M2235" s="471">
        <f t="shared" si="144"/>
        <v>0.05</v>
      </c>
      <c r="N2235" s="475">
        <f t="shared" si="145"/>
        <v>119071</v>
      </c>
    </row>
    <row r="2236" spans="7:14" ht="11.25" customHeight="1" x14ac:dyDescent="0.3">
      <c r="G2236" s="470"/>
      <c r="H2236" s="470">
        <v>2229</v>
      </c>
      <c r="I2236" s="455">
        <f t="shared" ca="1" si="143"/>
        <v>4230833372.6699543</v>
      </c>
      <c r="J2236" s="455">
        <f t="array" ref="J2236">IFERROR(INDEX('Retirement Calculator'!J:J,MATCH('Isaac 401k'!N2236,'Retirement Calculator'!A:A,0),0),0)</f>
        <v>0</v>
      </c>
      <c r="K2236" s="455">
        <f t="shared" ca="1" si="141"/>
        <v>17628472.386124808</v>
      </c>
      <c r="L2236" s="455">
        <f t="shared" ca="1" si="142"/>
        <v>4248461845.0560789</v>
      </c>
      <c r="M2236" s="471">
        <f t="shared" si="144"/>
        <v>0.05</v>
      </c>
      <c r="N2236" s="475">
        <f t="shared" si="145"/>
        <v>119102</v>
      </c>
    </row>
    <row r="2237" spans="7:14" ht="11.25" customHeight="1" x14ac:dyDescent="0.3">
      <c r="G2237" s="470"/>
      <c r="H2237" s="470">
        <v>2230</v>
      </c>
      <c r="I2237" s="455">
        <f t="shared" ca="1" si="143"/>
        <v>4248461845.0560789</v>
      </c>
      <c r="J2237" s="455">
        <f t="array" ref="J2237">IFERROR(INDEX('Retirement Calculator'!J:J,MATCH('Isaac 401k'!N2237,'Retirement Calculator'!A:A,0),0),0)</f>
        <v>0</v>
      </c>
      <c r="K2237" s="455">
        <f t="shared" ca="1" si="141"/>
        <v>17701924.354400329</v>
      </c>
      <c r="L2237" s="455">
        <f t="shared" ca="1" si="142"/>
        <v>4266163769.4104791</v>
      </c>
      <c r="M2237" s="471">
        <f t="shared" si="144"/>
        <v>0.05</v>
      </c>
      <c r="N2237" s="475">
        <f t="shared" si="145"/>
        <v>119130</v>
      </c>
    </row>
    <row r="2238" spans="7:14" ht="11.25" customHeight="1" x14ac:dyDescent="0.3">
      <c r="G2238" s="470"/>
      <c r="H2238" s="470">
        <v>2231</v>
      </c>
      <c r="I2238" s="455">
        <f t="shared" ca="1" si="143"/>
        <v>4266163769.4104791</v>
      </c>
      <c r="J2238" s="455">
        <f t="array" ref="J2238">IFERROR(INDEX('Retirement Calculator'!J:J,MATCH('Isaac 401k'!N2238,'Retirement Calculator'!A:A,0),0),0)</f>
        <v>0</v>
      </c>
      <c r="K2238" s="455">
        <f t="shared" ca="1" si="141"/>
        <v>17775682.372543663</v>
      </c>
      <c r="L2238" s="455">
        <f t="shared" ca="1" si="142"/>
        <v>4283939451.7830229</v>
      </c>
      <c r="M2238" s="471">
        <f t="shared" si="144"/>
        <v>0.05</v>
      </c>
      <c r="N2238" s="475">
        <f t="shared" si="145"/>
        <v>119161</v>
      </c>
    </row>
    <row r="2239" spans="7:14" ht="11.25" customHeight="1" x14ac:dyDescent="0.3">
      <c r="G2239" s="470"/>
      <c r="H2239" s="470">
        <v>2232</v>
      </c>
      <c r="I2239" s="455">
        <f t="shared" ca="1" si="143"/>
        <v>4283939451.7830229</v>
      </c>
      <c r="J2239" s="455">
        <f t="array" ref="J2239">IFERROR(INDEX('Retirement Calculator'!J:J,MATCH('Isaac 401k'!N2239,'Retirement Calculator'!A:A,0),0),0)</f>
        <v>0</v>
      </c>
      <c r="K2239" s="455">
        <f t="shared" ca="1" si="141"/>
        <v>17849747.715762597</v>
      </c>
      <c r="L2239" s="455">
        <f t="shared" ca="1" si="142"/>
        <v>4301789199.498785</v>
      </c>
      <c r="M2239" s="471">
        <f t="shared" si="144"/>
        <v>0.05</v>
      </c>
      <c r="N2239" s="475">
        <f t="shared" si="145"/>
        <v>119191</v>
      </c>
    </row>
    <row r="2240" spans="7:14" ht="11.25" customHeight="1" x14ac:dyDescent="0.3">
      <c r="G2240" s="470"/>
      <c r="H2240" s="470">
        <v>2233</v>
      </c>
      <c r="I2240" s="455">
        <f t="shared" ca="1" si="143"/>
        <v>4301789199.498785</v>
      </c>
      <c r="J2240" s="455">
        <f t="array" ref="J2240">IFERROR(INDEX('Retirement Calculator'!J:J,MATCH('Isaac 401k'!N2240,'Retirement Calculator'!A:A,0),0),0)</f>
        <v>0</v>
      </c>
      <c r="K2240" s="455">
        <f t="shared" ca="1" si="141"/>
        <v>17924121.66457827</v>
      </c>
      <c r="L2240" s="455">
        <f t="shared" ca="1" si="142"/>
        <v>4319713321.1633635</v>
      </c>
      <c r="M2240" s="471">
        <f t="shared" si="144"/>
        <v>0.05</v>
      </c>
      <c r="N2240" s="475">
        <f t="shared" si="145"/>
        <v>119222</v>
      </c>
    </row>
    <row r="2241" spans="7:14" ht="11.25" customHeight="1" x14ac:dyDescent="0.3">
      <c r="G2241" s="470"/>
      <c r="H2241" s="470">
        <v>2234</v>
      </c>
      <c r="I2241" s="455">
        <f t="shared" ca="1" si="143"/>
        <v>4319713321.1633635</v>
      </c>
      <c r="J2241" s="455">
        <f t="array" ref="J2241">IFERROR(INDEX('Retirement Calculator'!J:J,MATCH('Isaac 401k'!N2241,'Retirement Calculator'!A:A,0),0),0)</f>
        <v>0</v>
      </c>
      <c r="K2241" s="455">
        <f t="shared" ca="1" si="141"/>
        <v>17998805.504847348</v>
      </c>
      <c r="L2241" s="455">
        <f t="shared" ca="1" si="142"/>
        <v>4337712126.668211</v>
      </c>
      <c r="M2241" s="471">
        <f t="shared" si="144"/>
        <v>0.05</v>
      </c>
      <c r="N2241" s="475">
        <f t="shared" si="145"/>
        <v>119252</v>
      </c>
    </row>
    <row r="2242" spans="7:14" ht="11.25" customHeight="1" x14ac:dyDescent="0.3">
      <c r="G2242" s="470"/>
      <c r="H2242" s="470">
        <v>2235</v>
      </c>
      <c r="I2242" s="455">
        <f t="shared" ca="1" si="143"/>
        <v>4337712126.668211</v>
      </c>
      <c r="J2242" s="455">
        <f t="array" ref="J2242">IFERROR(INDEX('Retirement Calculator'!J:J,MATCH('Isaac 401k'!N2242,'Retirement Calculator'!A:A,0),0),0)</f>
        <v>0</v>
      </c>
      <c r="K2242" s="455">
        <f t="shared" ca="1" si="141"/>
        <v>18073800.527784213</v>
      </c>
      <c r="L2242" s="455">
        <f t="shared" ca="1" si="142"/>
        <v>4355785927.1959953</v>
      </c>
      <c r="M2242" s="471">
        <f t="shared" si="144"/>
        <v>0.05</v>
      </c>
      <c r="N2242" s="475">
        <f t="shared" si="145"/>
        <v>119283</v>
      </c>
    </row>
    <row r="2243" spans="7:14" ht="11.25" customHeight="1" x14ac:dyDescent="0.3">
      <c r="G2243" s="470"/>
      <c r="H2243" s="470">
        <v>2236</v>
      </c>
      <c r="I2243" s="455">
        <f t="shared" ca="1" si="143"/>
        <v>4355785927.1959953</v>
      </c>
      <c r="J2243" s="455">
        <f t="array" ref="J2243">IFERROR(INDEX('Retirement Calculator'!J:J,MATCH('Isaac 401k'!N2243,'Retirement Calculator'!A:A,0),0),0)</f>
        <v>0</v>
      </c>
      <c r="K2243" s="455">
        <f t="shared" ca="1" si="141"/>
        <v>18149108.029983312</v>
      </c>
      <c r="L2243" s="455">
        <f t="shared" ca="1" si="142"/>
        <v>4373935035.2259789</v>
      </c>
      <c r="M2243" s="471">
        <f t="shared" si="144"/>
        <v>0.05</v>
      </c>
      <c r="N2243" s="475">
        <f t="shared" si="145"/>
        <v>119314</v>
      </c>
    </row>
    <row r="2244" spans="7:14" ht="11.25" customHeight="1" x14ac:dyDescent="0.3">
      <c r="G2244" s="470"/>
      <c r="H2244" s="470">
        <v>2237</v>
      </c>
      <c r="I2244" s="455">
        <f t="shared" ca="1" si="143"/>
        <v>4373935035.2259789</v>
      </c>
      <c r="J2244" s="455">
        <f t="array" ref="J2244">IFERROR(INDEX('Retirement Calculator'!J:J,MATCH('Isaac 401k'!N2244,'Retirement Calculator'!A:A,0),0),0)</f>
        <v>0</v>
      </c>
      <c r="K2244" s="455">
        <f t="shared" ca="1" si="141"/>
        <v>18224729.313441578</v>
      </c>
      <c r="L2244" s="455">
        <f t="shared" ca="1" si="142"/>
        <v>4392159764.5394201</v>
      </c>
      <c r="M2244" s="471">
        <f t="shared" si="144"/>
        <v>0.05</v>
      </c>
      <c r="N2244" s="475">
        <f t="shared" si="145"/>
        <v>119344</v>
      </c>
    </row>
    <row r="2245" spans="7:14" ht="11.25" customHeight="1" x14ac:dyDescent="0.3">
      <c r="G2245" s="470"/>
      <c r="H2245" s="470">
        <v>2238</v>
      </c>
      <c r="I2245" s="455">
        <f t="shared" ca="1" si="143"/>
        <v>4392159764.5394201</v>
      </c>
      <c r="J2245" s="455">
        <f t="array" ref="J2245">IFERROR(INDEX('Retirement Calculator'!J:J,MATCH('Isaac 401k'!N2245,'Retirement Calculator'!A:A,0),0),0)</f>
        <v>0</v>
      </c>
      <c r="K2245" s="455">
        <f t="shared" ca="1" si="141"/>
        <v>18300665.685580917</v>
      </c>
      <c r="L2245" s="455">
        <f t="shared" ca="1" si="142"/>
        <v>4410460430.2250013</v>
      </c>
      <c r="M2245" s="471">
        <f t="shared" si="144"/>
        <v>0.05</v>
      </c>
      <c r="N2245" s="475">
        <f t="shared" si="145"/>
        <v>119375</v>
      </c>
    </row>
    <row r="2246" spans="7:14" ht="11.25" customHeight="1" x14ac:dyDescent="0.3">
      <c r="G2246" s="470"/>
      <c r="H2246" s="470">
        <v>2239</v>
      </c>
      <c r="I2246" s="455">
        <f t="shared" ca="1" si="143"/>
        <v>4410460430.2250013</v>
      </c>
      <c r="J2246" s="455">
        <f t="array" ref="J2246">IFERROR(INDEX('Retirement Calculator'!J:J,MATCH('Isaac 401k'!N2246,'Retirement Calculator'!A:A,0),0),0)</f>
        <v>0</v>
      </c>
      <c r="K2246" s="455">
        <f t="shared" ca="1" si="141"/>
        <v>18376918.459270839</v>
      </c>
      <c r="L2246" s="455">
        <f t="shared" ca="1" si="142"/>
        <v>4428837348.6842718</v>
      </c>
      <c r="M2246" s="471">
        <f t="shared" si="144"/>
        <v>0.05</v>
      </c>
      <c r="N2246" s="475">
        <f t="shared" si="145"/>
        <v>119405</v>
      </c>
    </row>
    <row r="2247" spans="7:14" ht="11.25" customHeight="1" x14ac:dyDescent="0.3">
      <c r="G2247" s="470"/>
      <c r="H2247" s="470">
        <v>2240</v>
      </c>
      <c r="I2247" s="455">
        <f t="shared" ca="1" si="143"/>
        <v>4428837348.6842718</v>
      </c>
      <c r="J2247" s="455">
        <f t="array" ref="J2247">IFERROR(INDEX('Retirement Calculator'!J:J,MATCH('Isaac 401k'!N2247,'Retirement Calculator'!A:A,0),0),0)</f>
        <v>0</v>
      </c>
      <c r="K2247" s="455">
        <f t="shared" ca="1" si="141"/>
        <v>18453488.952851132</v>
      </c>
      <c r="L2247" s="455">
        <f t="shared" ca="1" si="142"/>
        <v>4447290837.6371231</v>
      </c>
      <c r="M2247" s="471">
        <f t="shared" si="144"/>
        <v>0.05</v>
      </c>
      <c r="N2247" s="475">
        <f t="shared" si="145"/>
        <v>119436</v>
      </c>
    </row>
    <row r="2248" spans="7:14" ht="11.25" customHeight="1" x14ac:dyDescent="0.3">
      <c r="G2248" s="470"/>
      <c r="H2248" s="470">
        <v>2241</v>
      </c>
      <c r="I2248" s="455">
        <f t="shared" ca="1" si="143"/>
        <v>4447290837.6371231</v>
      </c>
      <c r="J2248" s="455">
        <f t="array" ref="J2248">IFERROR(INDEX('Retirement Calculator'!J:J,MATCH('Isaac 401k'!N2248,'Retirement Calculator'!A:A,0),0),0)</f>
        <v>0</v>
      </c>
      <c r="K2248" s="455">
        <f t="shared" ca="1" si="141"/>
        <v>18530378.49015468</v>
      </c>
      <c r="L2248" s="455">
        <f t="shared" ca="1" si="142"/>
        <v>4465821216.1272774</v>
      </c>
      <c r="M2248" s="471">
        <f t="shared" si="144"/>
        <v>0.05</v>
      </c>
      <c r="N2248" s="475">
        <f t="shared" si="145"/>
        <v>119467</v>
      </c>
    </row>
    <row r="2249" spans="7:14" ht="11.25" customHeight="1" x14ac:dyDescent="0.3">
      <c r="G2249" s="470"/>
      <c r="H2249" s="470">
        <v>2242</v>
      </c>
      <c r="I2249" s="455">
        <f t="shared" ca="1" si="143"/>
        <v>4465821216.1272774</v>
      </c>
      <c r="J2249" s="455">
        <f t="array" ref="J2249">IFERROR(INDEX('Retirement Calculator'!J:J,MATCH('Isaac 401k'!N2249,'Retirement Calculator'!A:A,0),0),0)</f>
        <v>0</v>
      </c>
      <c r="K2249" s="455">
        <f t="shared" ca="1" si="141"/>
        <v>18607588.400530323</v>
      </c>
      <c r="L2249" s="455">
        <f t="shared" ca="1" si="142"/>
        <v>4484428804.5278072</v>
      </c>
      <c r="M2249" s="471">
        <f t="shared" si="144"/>
        <v>0.05</v>
      </c>
      <c r="N2249" s="475">
        <f t="shared" si="145"/>
        <v>119495</v>
      </c>
    </row>
    <row r="2250" spans="7:14" ht="11.25" customHeight="1" x14ac:dyDescent="0.3">
      <c r="G2250" s="470"/>
      <c r="H2250" s="470">
        <v>2243</v>
      </c>
      <c r="I2250" s="455">
        <f t="shared" ca="1" si="143"/>
        <v>4484428804.5278072</v>
      </c>
      <c r="J2250" s="455">
        <f t="array" ref="J2250">IFERROR(INDEX('Retirement Calculator'!J:J,MATCH('Isaac 401k'!N2250,'Retirement Calculator'!A:A,0),0),0)</f>
        <v>0</v>
      </c>
      <c r="K2250" s="455">
        <f t="shared" ca="1" si="141"/>
        <v>18685120.018865865</v>
      </c>
      <c r="L2250" s="455">
        <f t="shared" ca="1" si="142"/>
        <v>4503113924.5466728</v>
      </c>
      <c r="M2250" s="471">
        <f t="shared" si="144"/>
        <v>0.05</v>
      </c>
      <c r="N2250" s="475">
        <f t="shared" si="145"/>
        <v>119526</v>
      </c>
    </row>
    <row r="2251" spans="7:14" ht="11.25" customHeight="1" x14ac:dyDescent="0.3">
      <c r="G2251" s="470"/>
      <c r="H2251" s="470">
        <v>2244</v>
      </c>
      <c r="I2251" s="455">
        <f t="shared" ca="1" si="143"/>
        <v>4503113924.5466728</v>
      </c>
      <c r="J2251" s="455">
        <f t="array" ref="J2251">IFERROR(INDEX('Retirement Calculator'!J:J,MATCH('Isaac 401k'!N2251,'Retirement Calculator'!A:A,0),0),0)</f>
        <v>0</v>
      </c>
      <c r="K2251" s="455">
        <f t="shared" ca="1" si="141"/>
        <v>18762974.685611136</v>
      </c>
      <c r="L2251" s="455">
        <f t="shared" ca="1" si="142"/>
        <v>4521876899.2322836</v>
      </c>
      <c r="M2251" s="471">
        <f t="shared" si="144"/>
        <v>0.05</v>
      </c>
      <c r="N2251" s="475">
        <f t="shared" si="145"/>
        <v>119556</v>
      </c>
    </row>
    <row r="2252" spans="7:14" ht="11.25" customHeight="1" x14ac:dyDescent="0.3">
      <c r="G2252" s="470"/>
      <c r="H2252" s="470">
        <v>2245</v>
      </c>
      <c r="I2252" s="455">
        <f t="shared" ca="1" si="143"/>
        <v>4521876899.2322836</v>
      </c>
      <c r="J2252" s="455">
        <f t="array" ref="J2252">IFERROR(INDEX('Retirement Calculator'!J:J,MATCH('Isaac 401k'!N2252,'Retirement Calculator'!A:A,0),0),0)</f>
        <v>0</v>
      </c>
      <c r="K2252" s="455">
        <f t="shared" ca="1" si="141"/>
        <v>18841153.746801183</v>
      </c>
      <c r="L2252" s="455">
        <f t="shared" ca="1" si="142"/>
        <v>4540718052.979085</v>
      </c>
      <c r="M2252" s="471">
        <f t="shared" si="144"/>
        <v>0.05</v>
      </c>
      <c r="N2252" s="475">
        <f t="shared" si="145"/>
        <v>119587</v>
      </c>
    </row>
    <row r="2253" spans="7:14" ht="11.25" customHeight="1" x14ac:dyDescent="0.3">
      <c r="G2253" s="470"/>
      <c r="H2253" s="470">
        <v>2246</v>
      </c>
      <c r="I2253" s="455">
        <f t="shared" ca="1" si="143"/>
        <v>4540718052.979085</v>
      </c>
      <c r="J2253" s="455">
        <f t="array" ref="J2253">IFERROR(INDEX('Retirement Calculator'!J:J,MATCH('Isaac 401k'!N2253,'Retirement Calculator'!A:A,0),0),0)</f>
        <v>0</v>
      </c>
      <c r="K2253" s="455">
        <f t="shared" ca="1" si="141"/>
        <v>18919658.554079521</v>
      </c>
      <c r="L2253" s="455">
        <f t="shared" ca="1" si="142"/>
        <v>4559637711.533164</v>
      </c>
      <c r="M2253" s="471">
        <f t="shared" si="144"/>
        <v>0.05</v>
      </c>
      <c r="N2253" s="475">
        <f t="shared" si="145"/>
        <v>119617</v>
      </c>
    </row>
    <row r="2254" spans="7:14" ht="11.25" customHeight="1" x14ac:dyDescent="0.3">
      <c r="G2254" s="470"/>
      <c r="H2254" s="470">
        <v>2247</v>
      </c>
      <c r="I2254" s="455">
        <f t="shared" ca="1" si="143"/>
        <v>4559637711.533164</v>
      </c>
      <c r="J2254" s="455">
        <f t="array" ref="J2254">IFERROR(INDEX('Retirement Calculator'!J:J,MATCH('Isaac 401k'!N2254,'Retirement Calculator'!A:A,0),0),0)</f>
        <v>0</v>
      </c>
      <c r="K2254" s="455">
        <f t="shared" ca="1" si="141"/>
        <v>18998490.464721516</v>
      </c>
      <c r="L2254" s="455">
        <f t="shared" ca="1" si="142"/>
        <v>4578636201.9978857</v>
      </c>
      <c r="M2254" s="471">
        <f t="shared" si="144"/>
        <v>0.05</v>
      </c>
      <c r="N2254" s="475">
        <f t="shared" si="145"/>
        <v>119648</v>
      </c>
    </row>
    <row r="2255" spans="7:14" ht="11.25" customHeight="1" x14ac:dyDescent="0.3">
      <c r="G2255" s="470"/>
      <c r="H2255" s="470">
        <v>2248</v>
      </c>
      <c r="I2255" s="455">
        <f t="shared" ca="1" si="143"/>
        <v>4578636201.9978857</v>
      </c>
      <c r="J2255" s="455">
        <f t="array" ref="J2255">IFERROR(INDEX('Retirement Calculator'!J:J,MATCH('Isaac 401k'!N2255,'Retirement Calculator'!A:A,0),0),0)</f>
        <v>0</v>
      </c>
      <c r="K2255" s="455">
        <f t="shared" ca="1" si="141"/>
        <v>19077650.841657858</v>
      </c>
      <c r="L2255" s="455">
        <f t="shared" ca="1" si="142"/>
        <v>4597713852.8395433</v>
      </c>
      <c r="M2255" s="471">
        <f t="shared" si="144"/>
        <v>0.05</v>
      </c>
      <c r="N2255" s="475">
        <f t="shared" si="145"/>
        <v>119679</v>
      </c>
    </row>
    <row r="2256" spans="7:14" ht="11.25" customHeight="1" x14ac:dyDescent="0.3">
      <c r="G2256" s="470"/>
      <c r="H2256" s="470">
        <v>2249</v>
      </c>
      <c r="I2256" s="455">
        <f t="shared" ca="1" si="143"/>
        <v>4597713852.8395433</v>
      </c>
      <c r="J2256" s="455">
        <f t="array" ref="J2256">IFERROR(INDEX('Retirement Calculator'!J:J,MATCH('Isaac 401k'!N2256,'Retirement Calculator'!A:A,0),0),0)</f>
        <v>0</v>
      </c>
      <c r="K2256" s="455">
        <f t="shared" ca="1" si="141"/>
        <v>19157141.053498097</v>
      </c>
      <c r="L2256" s="455">
        <f t="shared" ca="1" si="142"/>
        <v>4616870993.8930416</v>
      </c>
      <c r="M2256" s="471">
        <f t="shared" si="144"/>
        <v>0.05</v>
      </c>
      <c r="N2256" s="475">
        <f t="shared" si="145"/>
        <v>119709</v>
      </c>
    </row>
    <row r="2257" spans="7:14" ht="11.25" customHeight="1" x14ac:dyDescent="0.3">
      <c r="G2257" s="470"/>
      <c r="H2257" s="470">
        <v>2250</v>
      </c>
      <c r="I2257" s="455">
        <f t="shared" ca="1" si="143"/>
        <v>4616870993.8930416</v>
      </c>
      <c r="J2257" s="455">
        <f t="array" ref="J2257">IFERROR(INDEX('Retirement Calculator'!J:J,MATCH('Isaac 401k'!N2257,'Retirement Calculator'!A:A,0),0),0)</f>
        <v>0</v>
      </c>
      <c r="K2257" s="455">
        <f t="shared" ca="1" si="141"/>
        <v>19236962.474554341</v>
      </c>
      <c r="L2257" s="455">
        <f t="shared" ca="1" si="142"/>
        <v>4636107956.3675957</v>
      </c>
      <c r="M2257" s="471">
        <f t="shared" si="144"/>
        <v>0.05</v>
      </c>
      <c r="N2257" s="475">
        <f t="shared" si="145"/>
        <v>119740</v>
      </c>
    </row>
    <row r="2258" spans="7:14" ht="11.25" customHeight="1" x14ac:dyDescent="0.3">
      <c r="G2258" s="470"/>
      <c r="H2258" s="470">
        <v>2251</v>
      </c>
      <c r="I2258" s="455">
        <f t="shared" ca="1" si="143"/>
        <v>4636107956.3675957</v>
      </c>
      <c r="J2258" s="455">
        <f t="array" ref="J2258">IFERROR(INDEX('Retirement Calculator'!J:J,MATCH('Isaac 401k'!N2258,'Retirement Calculator'!A:A,0),0),0)</f>
        <v>0</v>
      </c>
      <c r="K2258" s="455">
        <f t="shared" ca="1" si="141"/>
        <v>19317116.48486498</v>
      </c>
      <c r="L2258" s="455">
        <f t="shared" ca="1" si="142"/>
        <v>4655425072.8524609</v>
      </c>
      <c r="M2258" s="471">
        <f t="shared" si="144"/>
        <v>0.05</v>
      </c>
      <c r="N2258" s="475">
        <f t="shared" si="145"/>
        <v>119770</v>
      </c>
    </row>
    <row r="2259" spans="7:14" ht="11.25" customHeight="1" x14ac:dyDescent="0.3">
      <c r="G2259" s="470"/>
      <c r="H2259" s="470">
        <v>2252</v>
      </c>
      <c r="I2259" s="455">
        <f t="shared" ca="1" si="143"/>
        <v>4655425072.8524609</v>
      </c>
      <c r="J2259" s="455">
        <f t="array" ref="J2259">IFERROR(INDEX('Retirement Calculator'!J:J,MATCH('Isaac 401k'!N2259,'Retirement Calculator'!A:A,0),0),0)</f>
        <v>0</v>
      </c>
      <c r="K2259" s="455">
        <f t="shared" ca="1" si="141"/>
        <v>19397604.470218588</v>
      </c>
      <c r="L2259" s="455">
        <f t="shared" ca="1" si="142"/>
        <v>4674822677.3226795</v>
      </c>
      <c r="M2259" s="471">
        <f t="shared" si="144"/>
        <v>0.05</v>
      </c>
      <c r="N2259" s="475">
        <f t="shared" si="145"/>
        <v>119801</v>
      </c>
    </row>
    <row r="2260" spans="7:14" ht="11.25" customHeight="1" x14ac:dyDescent="0.3">
      <c r="G2260" s="470"/>
      <c r="H2260" s="470">
        <v>2253</v>
      </c>
      <c r="I2260" s="455">
        <f t="shared" ca="1" si="143"/>
        <v>4674822677.3226795</v>
      </c>
      <c r="J2260" s="455">
        <f t="array" ref="J2260">IFERROR(INDEX('Retirement Calculator'!J:J,MATCH('Isaac 401k'!N2260,'Retirement Calculator'!A:A,0),0),0)</f>
        <v>0</v>
      </c>
      <c r="K2260" s="455">
        <f t="shared" ca="1" si="141"/>
        <v>19478427.822177831</v>
      </c>
      <c r="L2260" s="455">
        <f t="shared" ca="1" si="142"/>
        <v>4694301105.1448574</v>
      </c>
      <c r="M2260" s="471">
        <f t="shared" si="144"/>
        <v>0.05</v>
      </c>
      <c r="N2260" s="475">
        <f t="shared" si="145"/>
        <v>119832</v>
      </c>
    </row>
    <row r="2261" spans="7:14" ht="11.25" customHeight="1" x14ac:dyDescent="0.3">
      <c r="G2261" s="470"/>
      <c r="H2261" s="470">
        <v>2254</v>
      </c>
      <c r="I2261" s="455">
        <f t="shared" ca="1" si="143"/>
        <v>4694301105.1448574</v>
      </c>
      <c r="J2261" s="455">
        <f t="array" ref="J2261">IFERROR(INDEX('Retirement Calculator'!J:J,MATCH('Isaac 401k'!N2261,'Retirement Calculator'!A:A,0),0),0)</f>
        <v>0</v>
      </c>
      <c r="K2261" s="455">
        <f t="shared" ca="1" si="141"/>
        <v>19559587.938103572</v>
      </c>
      <c r="L2261" s="455">
        <f t="shared" ca="1" si="142"/>
        <v>4713860693.0829611</v>
      </c>
      <c r="M2261" s="471">
        <f t="shared" si="144"/>
        <v>0.05</v>
      </c>
      <c r="N2261" s="475">
        <f t="shared" si="145"/>
        <v>119861</v>
      </c>
    </row>
    <row r="2262" spans="7:14" ht="11.25" customHeight="1" x14ac:dyDescent="0.3">
      <c r="G2262" s="470"/>
      <c r="H2262" s="470">
        <v>2255</v>
      </c>
      <c r="I2262" s="455">
        <f t="shared" ca="1" si="143"/>
        <v>4713860693.0829611</v>
      </c>
      <c r="J2262" s="455">
        <f t="array" ref="J2262">IFERROR(INDEX('Retirement Calculator'!J:J,MATCH('Isaac 401k'!N2262,'Retirement Calculator'!A:A,0),0),0)</f>
        <v>0</v>
      </c>
      <c r="K2262" s="455">
        <f t="shared" ca="1" si="141"/>
        <v>19641086.221179005</v>
      </c>
      <c r="L2262" s="455">
        <f t="shared" ca="1" si="142"/>
        <v>4733501779.3041401</v>
      </c>
      <c r="M2262" s="471">
        <f t="shared" si="144"/>
        <v>0.05</v>
      </c>
      <c r="N2262" s="475">
        <f t="shared" si="145"/>
        <v>119892</v>
      </c>
    </row>
    <row r="2263" spans="7:14" ht="11.25" customHeight="1" x14ac:dyDescent="0.3">
      <c r="G2263" s="470"/>
      <c r="H2263" s="470">
        <v>2256</v>
      </c>
      <c r="I2263" s="455">
        <f t="shared" ca="1" si="143"/>
        <v>4733501779.3041401</v>
      </c>
      <c r="J2263" s="455">
        <f t="array" ref="J2263">IFERROR(INDEX('Retirement Calculator'!J:J,MATCH('Isaac 401k'!N2263,'Retirement Calculator'!A:A,0),0),0)</f>
        <v>0</v>
      </c>
      <c r="K2263" s="455">
        <f t="shared" ca="1" si="141"/>
        <v>19722924.080433916</v>
      </c>
      <c r="L2263" s="455">
        <f t="shared" ca="1" si="142"/>
        <v>4753224703.3845739</v>
      </c>
      <c r="M2263" s="471">
        <f t="shared" si="144"/>
        <v>0.05</v>
      </c>
      <c r="N2263" s="475">
        <f t="shared" si="145"/>
        <v>119922</v>
      </c>
    </row>
    <row r="2264" spans="7:14" ht="11.25" customHeight="1" x14ac:dyDescent="0.3">
      <c r="G2264" s="470"/>
      <c r="H2264" s="470">
        <v>2257</v>
      </c>
      <c r="I2264" s="455">
        <f t="shared" ca="1" si="143"/>
        <v>4753224703.3845739</v>
      </c>
      <c r="J2264" s="455">
        <f t="array" ref="J2264">IFERROR(INDEX('Retirement Calculator'!J:J,MATCH('Isaac 401k'!N2264,'Retirement Calculator'!A:A,0),0),0)</f>
        <v>0</v>
      </c>
      <c r="K2264" s="455">
        <f t="shared" ca="1" si="141"/>
        <v>19805102.930769056</v>
      </c>
      <c r="L2264" s="455">
        <f t="shared" ca="1" si="142"/>
        <v>4773029806.3153429</v>
      </c>
      <c r="M2264" s="471">
        <f t="shared" si="144"/>
        <v>0.05</v>
      </c>
      <c r="N2264" s="475">
        <f t="shared" si="145"/>
        <v>119953</v>
      </c>
    </row>
    <row r="2265" spans="7:14" ht="11.25" customHeight="1" x14ac:dyDescent="0.3">
      <c r="G2265" s="470"/>
      <c r="H2265" s="470">
        <v>2258</v>
      </c>
      <c r="I2265" s="455">
        <f t="shared" ca="1" si="143"/>
        <v>4773029806.3153429</v>
      </c>
      <c r="J2265" s="455">
        <f t="array" ref="J2265">IFERROR(INDEX('Retirement Calculator'!J:J,MATCH('Isaac 401k'!N2265,'Retirement Calculator'!A:A,0),0),0)</f>
        <v>0</v>
      </c>
      <c r="K2265" s="455">
        <f t="shared" ca="1" si="141"/>
        <v>19887624.192980595</v>
      </c>
      <c r="L2265" s="455">
        <f t="shared" ca="1" si="142"/>
        <v>4792917430.5083237</v>
      </c>
      <c r="M2265" s="471">
        <f t="shared" si="144"/>
        <v>0.05</v>
      </c>
      <c r="N2265" s="475">
        <f t="shared" si="145"/>
        <v>119983</v>
      </c>
    </row>
    <row r="2266" spans="7:14" ht="11.25" customHeight="1" x14ac:dyDescent="0.3">
      <c r="G2266" s="470"/>
      <c r="H2266" s="470">
        <v>2259</v>
      </c>
      <c r="I2266" s="455">
        <f t="shared" ca="1" si="143"/>
        <v>4792917430.5083237</v>
      </c>
      <c r="J2266" s="455">
        <f t="array" ref="J2266">IFERROR(INDEX('Retirement Calculator'!J:J,MATCH('Isaac 401k'!N2266,'Retirement Calculator'!A:A,0),0),0)</f>
        <v>0</v>
      </c>
      <c r="K2266" s="455">
        <f t="shared" ca="1" si="141"/>
        <v>19970489.293784682</v>
      </c>
      <c r="L2266" s="455">
        <f t="shared" ca="1" si="142"/>
        <v>4812887919.8021088</v>
      </c>
      <c r="M2266" s="471">
        <f t="shared" si="144"/>
        <v>0.05</v>
      </c>
      <c r="N2266" s="475">
        <f t="shared" si="145"/>
        <v>120014</v>
      </c>
    </row>
    <row r="2267" spans="7:14" ht="11.25" customHeight="1" x14ac:dyDescent="0.3">
      <c r="G2267" s="470"/>
      <c r="H2267" s="470">
        <v>2260</v>
      </c>
      <c r="I2267" s="455">
        <f t="shared" ca="1" si="143"/>
        <v>4812887919.8021088</v>
      </c>
      <c r="J2267" s="455">
        <f t="array" ref="J2267">IFERROR(INDEX('Retirement Calculator'!J:J,MATCH('Isaac 401k'!N2267,'Retirement Calculator'!A:A,0),0),0)</f>
        <v>0</v>
      </c>
      <c r="K2267" s="455">
        <f t="shared" ca="1" si="141"/>
        <v>20053699.66584212</v>
      </c>
      <c r="L2267" s="455">
        <f t="shared" ca="1" si="142"/>
        <v>4832941619.4679508</v>
      </c>
      <c r="M2267" s="471">
        <f t="shared" si="144"/>
        <v>0.05</v>
      </c>
      <c r="N2267" s="475">
        <f t="shared" si="145"/>
        <v>120045</v>
      </c>
    </row>
    <row r="2268" spans="7:14" ht="11.25" customHeight="1" x14ac:dyDescent="0.3">
      <c r="G2268" s="470"/>
      <c r="H2268" s="470">
        <v>2261</v>
      </c>
      <c r="I2268" s="455">
        <f t="shared" ca="1" si="143"/>
        <v>4832941619.4679508</v>
      </c>
      <c r="J2268" s="455">
        <f t="array" ref="J2268">IFERROR(INDEX('Retirement Calculator'!J:J,MATCH('Isaac 401k'!N2268,'Retirement Calculator'!A:A,0),0),0)</f>
        <v>0</v>
      </c>
      <c r="K2268" s="455">
        <f t="shared" ca="1" si="141"/>
        <v>20137256.747783128</v>
      </c>
      <c r="L2268" s="455">
        <f t="shared" ca="1" si="142"/>
        <v>4853078876.2157335</v>
      </c>
      <c r="M2268" s="471">
        <f t="shared" si="144"/>
        <v>0.05</v>
      </c>
      <c r="N2268" s="475">
        <f t="shared" si="145"/>
        <v>120075</v>
      </c>
    </row>
    <row r="2269" spans="7:14" ht="11.25" customHeight="1" x14ac:dyDescent="0.3">
      <c r="G2269" s="470"/>
      <c r="H2269" s="470">
        <v>2262</v>
      </c>
      <c r="I2269" s="455">
        <f t="shared" ca="1" si="143"/>
        <v>4853078876.2157335</v>
      </c>
      <c r="J2269" s="455">
        <f t="array" ref="J2269">IFERROR(INDEX('Retirement Calculator'!J:J,MATCH('Isaac 401k'!N2269,'Retirement Calculator'!A:A,0),0),0)</f>
        <v>0</v>
      </c>
      <c r="K2269" s="455">
        <f t="shared" ca="1" si="141"/>
        <v>20221161.984232225</v>
      </c>
      <c r="L2269" s="455">
        <f t="shared" ca="1" si="142"/>
        <v>4873300038.1999655</v>
      </c>
      <c r="M2269" s="471">
        <f t="shared" si="144"/>
        <v>0.05</v>
      </c>
      <c r="N2269" s="475">
        <f t="shared" si="145"/>
        <v>120106</v>
      </c>
    </row>
    <row r="2270" spans="7:14" ht="11.25" customHeight="1" x14ac:dyDescent="0.3">
      <c r="G2270" s="470"/>
      <c r="H2270" s="470">
        <v>2263</v>
      </c>
      <c r="I2270" s="455">
        <f t="shared" ca="1" si="143"/>
        <v>4873300038.1999655</v>
      </c>
      <c r="J2270" s="455">
        <f t="array" ref="J2270">IFERROR(INDEX('Retirement Calculator'!J:J,MATCH('Isaac 401k'!N2270,'Retirement Calculator'!A:A,0),0),0)</f>
        <v>0</v>
      </c>
      <c r="K2270" s="455">
        <f t="shared" ca="1" si="141"/>
        <v>20305416.82583319</v>
      </c>
      <c r="L2270" s="455">
        <f t="shared" ca="1" si="142"/>
        <v>4893605455.0257988</v>
      </c>
      <c r="M2270" s="471">
        <f t="shared" si="144"/>
        <v>0.05</v>
      </c>
      <c r="N2270" s="475">
        <f t="shared" si="145"/>
        <v>120136</v>
      </c>
    </row>
    <row r="2271" spans="7:14" ht="11.25" customHeight="1" x14ac:dyDescent="0.3">
      <c r="G2271" s="470"/>
      <c r="H2271" s="470">
        <v>2264</v>
      </c>
      <c r="I2271" s="455">
        <f t="shared" ca="1" si="143"/>
        <v>4893605455.0257988</v>
      </c>
      <c r="J2271" s="455">
        <f t="array" ref="J2271">IFERROR(INDEX('Retirement Calculator'!J:J,MATCH('Isaac 401k'!N2271,'Retirement Calculator'!A:A,0),0),0)</f>
        <v>0</v>
      </c>
      <c r="K2271" s="455">
        <f t="shared" ca="1" si="141"/>
        <v>20390022.729274161</v>
      </c>
      <c r="L2271" s="455">
        <f t="shared" ca="1" si="142"/>
        <v>4913995477.7550726</v>
      </c>
      <c r="M2271" s="471">
        <f t="shared" si="144"/>
        <v>0.05</v>
      </c>
      <c r="N2271" s="475">
        <f t="shared" si="145"/>
        <v>120167</v>
      </c>
    </row>
    <row r="2272" spans="7:14" ht="11.25" customHeight="1" x14ac:dyDescent="0.3">
      <c r="G2272" s="470"/>
      <c r="H2272" s="470">
        <v>2265</v>
      </c>
      <c r="I2272" s="455">
        <f t="shared" ca="1" si="143"/>
        <v>4913995477.7550726</v>
      </c>
      <c r="J2272" s="455">
        <f t="array" ref="J2272">IFERROR(INDEX('Retirement Calculator'!J:J,MATCH('Isaac 401k'!N2272,'Retirement Calculator'!A:A,0),0),0)</f>
        <v>0</v>
      </c>
      <c r="K2272" s="455">
        <f t="shared" ca="1" si="141"/>
        <v>20474981.157312803</v>
      </c>
      <c r="L2272" s="455">
        <f t="shared" ca="1" si="142"/>
        <v>4934470458.912385</v>
      </c>
      <c r="M2272" s="471">
        <f t="shared" si="144"/>
        <v>0.05</v>
      </c>
      <c r="N2272" s="475">
        <f t="shared" si="145"/>
        <v>120198</v>
      </c>
    </row>
    <row r="2273" spans="7:14" ht="11.25" customHeight="1" x14ac:dyDescent="0.3">
      <c r="G2273" s="470"/>
      <c r="H2273" s="470">
        <v>2266</v>
      </c>
      <c r="I2273" s="455">
        <f t="shared" ca="1" si="143"/>
        <v>4934470458.912385</v>
      </c>
      <c r="J2273" s="455">
        <f t="array" ref="J2273">IFERROR(INDEX('Retirement Calculator'!J:J,MATCH('Isaac 401k'!N2273,'Retirement Calculator'!A:A,0),0),0)</f>
        <v>0</v>
      </c>
      <c r="K2273" s="455">
        <f t="shared" ca="1" si="141"/>
        <v>20560293.578801602</v>
      </c>
      <c r="L2273" s="455">
        <f t="shared" ca="1" si="142"/>
        <v>4955030752.4911861</v>
      </c>
      <c r="M2273" s="471">
        <f t="shared" si="144"/>
        <v>0.05</v>
      </c>
      <c r="N2273" s="475">
        <f t="shared" si="145"/>
        <v>120226</v>
      </c>
    </row>
    <row r="2274" spans="7:14" ht="11.25" customHeight="1" x14ac:dyDescent="0.3">
      <c r="G2274" s="470"/>
      <c r="H2274" s="470">
        <v>2267</v>
      </c>
      <c r="I2274" s="455">
        <f t="shared" ca="1" si="143"/>
        <v>4955030752.4911861</v>
      </c>
      <c r="J2274" s="455">
        <f t="array" ref="J2274">IFERROR(INDEX('Retirement Calculator'!J:J,MATCH('Isaac 401k'!N2274,'Retirement Calculator'!A:A,0),0),0)</f>
        <v>0</v>
      </c>
      <c r="K2274" s="455">
        <f t="shared" ca="1" si="141"/>
        <v>20645961.468713276</v>
      </c>
      <c r="L2274" s="455">
        <f t="shared" ca="1" si="142"/>
        <v>4975676713.9598989</v>
      </c>
      <c r="M2274" s="471">
        <f t="shared" si="144"/>
        <v>0.05</v>
      </c>
      <c r="N2274" s="475">
        <f t="shared" si="145"/>
        <v>120257</v>
      </c>
    </row>
    <row r="2275" spans="7:14" ht="11.25" customHeight="1" x14ac:dyDescent="0.3">
      <c r="G2275" s="470"/>
      <c r="H2275" s="470">
        <v>2268</v>
      </c>
      <c r="I2275" s="455">
        <f t="shared" ca="1" si="143"/>
        <v>4975676713.9598989</v>
      </c>
      <c r="J2275" s="455">
        <f t="array" ref="J2275">IFERROR(INDEX('Retirement Calculator'!J:J,MATCH('Isaac 401k'!N2275,'Retirement Calculator'!A:A,0),0),0)</f>
        <v>0</v>
      </c>
      <c r="K2275" s="455">
        <f t="shared" ca="1" si="141"/>
        <v>20731986.308166247</v>
      </c>
      <c r="L2275" s="455">
        <f t="shared" ca="1" si="142"/>
        <v>4996408700.2680655</v>
      </c>
      <c r="M2275" s="471">
        <f t="shared" si="144"/>
        <v>0.05</v>
      </c>
      <c r="N2275" s="475">
        <f t="shared" si="145"/>
        <v>120287</v>
      </c>
    </row>
    <row r="2276" spans="7:14" ht="11.25" customHeight="1" x14ac:dyDescent="0.3">
      <c r="G2276" s="470"/>
      <c r="H2276" s="470">
        <v>2269</v>
      </c>
      <c r="I2276" s="455">
        <f t="shared" ca="1" si="143"/>
        <v>4996408700.2680655</v>
      </c>
      <c r="J2276" s="455">
        <f t="array" ref="J2276">IFERROR(INDEX('Retirement Calculator'!J:J,MATCH('Isaac 401k'!N2276,'Retirement Calculator'!A:A,0),0),0)</f>
        <v>0</v>
      </c>
      <c r="K2276" s="455">
        <f t="shared" ca="1" si="141"/>
        <v>20818369.584450271</v>
      </c>
      <c r="L2276" s="455">
        <f t="shared" ca="1" si="142"/>
        <v>5017227069.8525162</v>
      </c>
      <c r="M2276" s="471">
        <f t="shared" si="144"/>
        <v>0.05</v>
      </c>
      <c r="N2276" s="475">
        <f t="shared" si="145"/>
        <v>120318</v>
      </c>
    </row>
    <row r="2277" spans="7:14" ht="11.25" customHeight="1" x14ac:dyDescent="0.3">
      <c r="G2277" s="470"/>
      <c r="H2277" s="470">
        <v>2270</v>
      </c>
      <c r="I2277" s="455">
        <f t="shared" ca="1" si="143"/>
        <v>5017227069.8525162</v>
      </c>
      <c r="J2277" s="455">
        <f t="array" ref="J2277">IFERROR(INDEX('Retirement Calculator'!J:J,MATCH('Isaac 401k'!N2277,'Retirement Calculator'!A:A,0),0),0)</f>
        <v>0</v>
      </c>
      <c r="K2277" s="455">
        <f t="shared" ca="1" si="141"/>
        <v>20905112.791052151</v>
      </c>
      <c r="L2277" s="455">
        <f t="shared" ca="1" si="142"/>
        <v>5038132182.643568</v>
      </c>
      <c r="M2277" s="471">
        <f t="shared" si="144"/>
        <v>0.05</v>
      </c>
      <c r="N2277" s="475">
        <f t="shared" si="145"/>
        <v>120348</v>
      </c>
    </row>
    <row r="2278" spans="7:14" ht="11.25" customHeight="1" x14ac:dyDescent="0.3">
      <c r="G2278" s="470"/>
      <c r="H2278" s="470">
        <v>2271</v>
      </c>
      <c r="I2278" s="455">
        <f t="shared" ca="1" si="143"/>
        <v>5038132182.643568</v>
      </c>
      <c r="J2278" s="455">
        <f t="array" ref="J2278">IFERROR(INDEX('Retirement Calculator'!J:J,MATCH('Isaac 401k'!N2278,'Retirement Calculator'!A:A,0),0),0)</f>
        <v>0</v>
      </c>
      <c r="K2278" s="455">
        <f t="shared" ca="1" si="141"/>
        <v>20992217.427681532</v>
      </c>
      <c r="L2278" s="455">
        <f t="shared" ca="1" si="142"/>
        <v>5059124400.07125</v>
      </c>
      <c r="M2278" s="471">
        <f t="shared" si="144"/>
        <v>0.05</v>
      </c>
      <c r="N2278" s="475">
        <f t="shared" si="145"/>
        <v>120379</v>
      </c>
    </row>
    <row r="2279" spans="7:14" ht="11.25" customHeight="1" x14ac:dyDescent="0.3">
      <c r="G2279" s="470"/>
      <c r="H2279" s="470">
        <v>2272</v>
      </c>
      <c r="I2279" s="455">
        <f t="shared" ca="1" si="143"/>
        <v>5059124400.07125</v>
      </c>
      <c r="J2279" s="455">
        <f t="array" ref="J2279">IFERROR(INDEX('Retirement Calculator'!J:J,MATCH('Isaac 401k'!N2279,'Retirement Calculator'!A:A,0),0),0)</f>
        <v>0</v>
      </c>
      <c r="K2279" s="455">
        <f t="shared" ca="1" si="141"/>
        <v>21079685.000296876</v>
      </c>
      <c r="L2279" s="455">
        <f t="shared" ca="1" si="142"/>
        <v>5080204085.0715466</v>
      </c>
      <c r="M2279" s="471">
        <f t="shared" si="144"/>
        <v>0.05</v>
      </c>
      <c r="N2279" s="475">
        <f t="shared" si="145"/>
        <v>120410</v>
      </c>
    </row>
    <row r="2280" spans="7:14" ht="11.25" customHeight="1" x14ac:dyDescent="0.3">
      <c r="G2280" s="470"/>
      <c r="H2280" s="470">
        <v>2273</v>
      </c>
      <c r="I2280" s="455">
        <f t="shared" ca="1" si="143"/>
        <v>5080204085.0715466</v>
      </c>
      <c r="J2280" s="455">
        <f t="array" ref="J2280">IFERROR(INDEX('Retirement Calculator'!J:J,MATCH('Isaac 401k'!N2280,'Retirement Calculator'!A:A,0),0),0)</f>
        <v>0</v>
      </c>
      <c r="K2280" s="455">
        <f t="shared" ca="1" si="141"/>
        <v>21167517.021131445</v>
      </c>
      <c r="L2280" s="455">
        <f t="shared" ca="1" si="142"/>
        <v>5101371602.0926781</v>
      </c>
      <c r="M2280" s="471">
        <f t="shared" si="144"/>
        <v>0.05</v>
      </c>
      <c r="N2280" s="475">
        <f t="shared" si="145"/>
        <v>120440</v>
      </c>
    </row>
    <row r="2281" spans="7:14" ht="11.25" customHeight="1" x14ac:dyDescent="0.3">
      <c r="G2281" s="470"/>
      <c r="H2281" s="470">
        <v>2274</v>
      </c>
      <c r="I2281" s="455">
        <f t="shared" ca="1" si="143"/>
        <v>5101371602.0926781</v>
      </c>
      <c r="J2281" s="455">
        <f t="array" ref="J2281">IFERROR(INDEX('Retirement Calculator'!J:J,MATCH('Isaac 401k'!N2281,'Retirement Calculator'!A:A,0),0),0)</f>
        <v>0</v>
      </c>
      <c r="K2281" s="455">
        <f t="shared" ca="1" si="141"/>
        <v>21255715.008719493</v>
      </c>
      <c r="L2281" s="455">
        <f t="shared" ca="1" si="142"/>
        <v>5122627317.1013975</v>
      </c>
      <c r="M2281" s="471">
        <f t="shared" si="144"/>
        <v>0.05</v>
      </c>
      <c r="N2281" s="475">
        <f t="shared" si="145"/>
        <v>120471</v>
      </c>
    </row>
    <row r="2282" spans="7:14" ht="11.25" customHeight="1" x14ac:dyDescent="0.3">
      <c r="G2282" s="470"/>
      <c r="H2282" s="470">
        <v>2275</v>
      </c>
      <c r="I2282" s="455">
        <f t="shared" ca="1" si="143"/>
        <v>5122627317.1013975</v>
      </c>
      <c r="J2282" s="455">
        <f t="array" ref="J2282">IFERROR(INDEX('Retirement Calculator'!J:J,MATCH('Isaac 401k'!N2282,'Retirement Calculator'!A:A,0),0),0)</f>
        <v>0</v>
      </c>
      <c r="K2282" s="455">
        <f t="shared" ca="1" si="141"/>
        <v>21344280.48792249</v>
      </c>
      <c r="L2282" s="455">
        <f t="shared" ca="1" si="142"/>
        <v>5143971597.5893202</v>
      </c>
      <c r="M2282" s="471">
        <f t="shared" si="144"/>
        <v>0.05</v>
      </c>
      <c r="N2282" s="475">
        <f t="shared" si="145"/>
        <v>120501</v>
      </c>
    </row>
    <row r="2283" spans="7:14" ht="11.25" customHeight="1" x14ac:dyDescent="0.3">
      <c r="G2283" s="470"/>
      <c r="H2283" s="470">
        <v>2276</v>
      </c>
      <c r="I2283" s="455">
        <f t="shared" ca="1" si="143"/>
        <v>5143971597.5893202</v>
      </c>
      <c r="J2283" s="455">
        <f t="array" ref="J2283">IFERROR(INDEX('Retirement Calculator'!J:J,MATCH('Isaac 401k'!N2283,'Retirement Calculator'!A:A,0),0),0)</f>
        <v>0</v>
      </c>
      <c r="K2283" s="455">
        <f t="shared" ca="1" si="141"/>
        <v>21433214.9899555</v>
      </c>
      <c r="L2283" s="455">
        <f t="shared" ca="1" si="142"/>
        <v>5165404812.5792761</v>
      </c>
      <c r="M2283" s="471">
        <f t="shared" si="144"/>
        <v>0.05</v>
      </c>
      <c r="N2283" s="475">
        <f t="shared" si="145"/>
        <v>120532</v>
      </c>
    </row>
    <row r="2284" spans="7:14" ht="11.25" customHeight="1" x14ac:dyDescent="0.3">
      <c r="G2284" s="470"/>
      <c r="H2284" s="470">
        <v>2277</v>
      </c>
      <c r="I2284" s="455">
        <f t="shared" ca="1" si="143"/>
        <v>5165404812.5792761</v>
      </c>
      <c r="J2284" s="455">
        <f t="array" ref="J2284">IFERROR(INDEX('Retirement Calculator'!J:J,MATCH('Isaac 401k'!N2284,'Retirement Calculator'!A:A,0),0),0)</f>
        <v>0</v>
      </c>
      <c r="K2284" s="455">
        <f t="shared" ca="1" si="141"/>
        <v>21522520.05241365</v>
      </c>
      <c r="L2284" s="455">
        <f t="shared" ca="1" si="142"/>
        <v>5186927332.63169</v>
      </c>
      <c r="M2284" s="471">
        <f t="shared" si="144"/>
        <v>0.05</v>
      </c>
      <c r="N2284" s="475">
        <f t="shared" si="145"/>
        <v>120563</v>
      </c>
    </row>
    <row r="2285" spans="7:14" ht="11.25" customHeight="1" x14ac:dyDescent="0.3">
      <c r="G2285" s="470"/>
      <c r="H2285" s="470">
        <v>2278</v>
      </c>
      <c r="I2285" s="455">
        <f t="shared" ca="1" si="143"/>
        <v>5186927332.63169</v>
      </c>
      <c r="J2285" s="455">
        <f t="array" ref="J2285">IFERROR(INDEX('Retirement Calculator'!J:J,MATCH('Isaac 401k'!N2285,'Retirement Calculator'!A:A,0),0),0)</f>
        <v>0</v>
      </c>
      <c r="K2285" s="455">
        <f t="shared" ca="1" si="141"/>
        <v>21612197.219298709</v>
      </c>
      <c r="L2285" s="455">
        <f t="shared" ca="1" si="142"/>
        <v>5208539529.8509884</v>
      </c>
      <c r="M2285" s="471">
        <f t="shared" si="144"/>
        <v>0.05</v>
      </c>
      <c r="N2285" s="475">
        <f t="shared" si="145"/>
        <v>120591</v>
      </c>
    </row>
    <row r="2286" spans="7:14" ht="11.25" customHeight="1" x14ac:dyDescent="0.3">
      <c r="G2286" s="470"/>
      <c r="H2286" s="470">
        <v>2279</v>
      </c>
      <c r="I2286" s="455">
        <f t="shared" ca="1" si="143"/>
        <v>5208539529.8509884</v>
      </c>
      <c r="J2286" s="455">
        <f t="array" ref="J2286">IFERROR(INDEX('Retirement Calculator'!J:J,MATCH('Isaac 401k'!N2286,'Retirement Calculator'!A:A,0),0),0)</f>
        <v>0</v>
      </c>
      <c r="K2286" s="455">
        <f t="shared" ca="1" si="141"/>
        <v>21702248.041045785</v>
      </c>
      <c r="L2286" s="455">
        <f t="shared" ca="1" si="142"/>
        <v>5230241777.8920345</v>
      </c>
      <c r="M2286" s="471">
        <f t="shared" si="144"/>
        <v>0.05</v>
      </c>
      <c r="N2286" s="475">
        <f t="shared" si="145"/>
        <v>120622</v>
      </c>
    </row>
    <row r="2287" spans="7:14" ht="11.25" customHeight="1" x14ac:dyDescent="0.3">
      <c r="G2287" s="470"/>
      <c r="H2287" s="470">
        <v>2280</v>
      </c>
      <c r="I2287" s="455">
        <f t="shared" ca="1" si="143"/>
        <v>5230241777.8920345</v>
      </c>
      <c r="J2287" s="455">
        <f t="array" ref="J2287">IFERROR(INDEX('Retirement Calculator'!J:J,MATCH('Isaac 401k'!N2287,'Retirement Calculator'!A:A,0),0),0)</f>
        <v>0</v>
      </c>
      <c r="K2287" s="455">
        <f t="shared" ca="1" si="141"/>
        <v>21792674.074550144</v>
      </c>
      <c r="L2287" s="455">
        <f t="shared" ca="1" si="142"/>
        <v>5252034451.9665842</v>
      </c>
      <c r="M2287" s="471">
        <f t="shared" si="144"/>
        <v>0.05</v>
      </c>
      <c r="N2287" s="475">
        <f t="shared" si="145"/>
        <v>120652</v>
      </c>
    </row>
    <row r="2288" spans="7:14" ht="11.25" customHeight="1" x14ac:dyDescent="0.3">
      <c r="G2288" s="470"/>
      <c r="H2288" s="470">
        <v>2281</v>
      </c>
      <c r="I2288" s="455">
        <f t="shared" ca="1" si="143"/>
        <v>5252034451.9665842</v>
      </c>
      <c r="J2288" s="455">
        <f t="array" ref="J2288">IFERROR(INDEX('Retirement Calculator'!J:J,MATCH('Isaac 401k'!N2288,'Retirement Calculator'!A:A,0),0),0)</f>
        <v>0</v>
      </c>
      <c r="K2288" s="455">
        <f t="shared" ca="1" si="141"/>
        <v>21883476.8831941</v>
      </c>
      <c r="L2288" s="455">
        <f t="shared" ca="1" si="142"/>
        <v>5273917928.8497782</v>
      </c>
      <c r="M2288" s="471">
        <f t="shared" si="144"/>
        <v>0.05</v>
      </c>
      <c r="N2288" s="475">
        <f t="shared" si="145"/>
        <v>120683</v>
      </c>
    </row>
    <row r="2289" spans="7:14" ht="11.25" customHeight="1" x14ac:dyDescent="0.3">
      <c r="G2289" s="470"/>
      <c r="H2289" s="470">
        <v>2282</v>
      </c>
      <c r="I2289" s="455">
        <f t="shared" ca="1" si="143"/>
        <v>5273917928.8497782</v>
      </c>
      <c r="J2289" s="455">
        <f t="array" ref="J2289">IFERROR(INDEX('Retirement Calculator'!J:J,MATCH('Isaac 401k'!N2289,'Retirement Calculator'!A:A,0),0),0)</f>
        <v>0</v>
      </c>
      <c r="K2289" s="455">
        <f t="shared" ca="1" si="141"/>
        <v>21974658.036874074</v>
      </c>
      <c r="L2289" s="455">
        <f t="shared" ca="1" si="142"/>
        <v>5295892586.886652</v>
      </c>
      <c r="M2289" s="471">
        <f t="shared" si="144"/>
        <v>0.05</v>
      </c>
      <c r="N2289" s="475">
        <f t="shared" si="145"/>
        <v>120713</v>
      </c>
    </row>
    <row r="2290" spans="7:14" ht="11.25" customHeight="1" x14ac:dyDescent="0.3">
      <c r="G2290" s="470"/>
      <c r="H2290" s="470">
        <v>2283</v>
      </c>
      <c r="I2290" s="455">
        <f t="shared" ca="1" si="143"/>
        <v>5295892586.886652</v>
      </c>
      <c r="J2290" s="455">
        <f t="array" ref="J2290">IFERROR(INDEX('Retirement Calculator'!J:J,MATCH('Isaac 401k'!N2290,'Retirement Calculator'!A:A,0),0),0)</f>
        <v>0</v>
      </c>
      <c r="K2290" s="455">
        <f t="shared" ca="1" si="141"/>
        <v>22066219.112027716</v>
      </c>
      <c r="L2290" s="455">
        <f t="shared" ca="1" si="142"/>
        <v>5317958805.9986801</v>
      </c>
      <c r="M2290" s="471">
        <f t="shared" si="144"/>
        <v>0.05</v>
      </c>
      <c r="N2290" s="475">
        <f t="shared" si="145"/>
        <v>120744</v>
      </c>
    </row>
    <row r="2291" spans="7:14" ht="11.25" customHeight="1" x14ac:dyDescent="0.3">
      <c r="G2291" s="470"/>
      <c r="H2291" s="470">
        <v>2284</v>
      </c>
      <c r="I2291" s="455">
        <f t="shared" ca="1" si="143"/>
        <v>5317958805.9986801</v>
      </c>
      <c r="J2291" s="455">
        <f t="array" ref="J2291">IFERROR(INDEX('Retirement Calculator'!J:J,MATCH('Isaac 401k'!N2291,'Retirement Calculator'!A:A,0),0),0)</f>
        <v>0</v>
      </c>
      <c r="K2291" s="455">
        <f t="shared" ca="1" si="141"/>
        <v>22158161.691661168</v>
      </c>
      <c r="L2291" s="455">
        <f t="shared" ca="1" si="142"/>
        <v>5340116967.690341</v>
      </c>
      <c r="M2291" s="471">
        <f t="shared" si="144"/>
        <v>0.05</v>
      </c>
      <c r="N2291" s="475">
        <f t="shared" si="145"/>
        <v>120775</v>
      </c>
    </row>
    <row r="2292" spans="7:14" ht="11.25" customHeight="1" x14ac:dyDescent="0.3">
      <c r="G2292" s="470"/>
      <c r="H2292" s="470">
        <v>2285</v>
      </c>
      <c r="I2292" s="455">
        <f t="shared" ca="1" si="143"/>
        <v>5340116967.690341</v>
      </c>
      <c r="J2292" s="455">
        <f t="array" ref="J2292">IFERROR(INDEX('Retirement Calculator'!J:J,MATCH('Isaac 401k'!N2292,'Retirement Calculator'!A:A,0),0),0)</f>
        <v>0</v>
      </c>
      <c r="K2292" s="455">
        <f t="shared" ca="1" si="141"/>
        <v>22250487.36537642</v>
      </c>
      <c r="L2292" s="455">
        <f t="shared" ca="1" si="142"/>
        <v>5362367455.0557175</v>
      </c>
      <c r="M2292" s="471">
        <f t="shared" si="144"/>
        <v>0.05</v>
      </c>
      <c r="N2292" s="475">
        <f t="shared" si="145"/>
        <v>120805</v>
      </c>
    </row>
    <row r="2293" spans="7:14" ht="11.25" customHeight="1" x14ac:dyDescent="0.3">
      <c r="G2293" s="470"/>
      <c r="H2293" s="470">
        <v>2286</v>
      </c>
      <c r="I2293" s="455">
        <f t="shared" ca="1" si="143"/>
        <v>5362367455.0557175</v>
      </c>
      <c r="J2293" s="455">
        <f t="array" ref="J2293">IFERROR(INDEX('Retirement Calculator'!J:J,MATCH('Isaac 401k'!N2293,'Retirement Calculator'!A:A,0),0),0)</f>
        <v>0</v>
      </c>
      <c r="K2293" s="455">
        <f t="shared" ca="1" si="141"/>
        <v>22343197.729398824</v>
      </c>
      <c r="L2293" s="455">
        <f t="shared" ca="1" si="142"/>
        <v>5384710652.7851162</v>
      </c>
      <c r="M2293" s="471">
        <f t="shared" si="144"/>
        <v>0.05</v>
      </c>
      <c r="N2293" s="475">
        <f t="shared" si="145"/>
        <v>120836</v>
      </c>
    </row>
    <row r="2294" spans="7:14" ht="11.25" customHeight="1" x14ac:dyDescent="0.3">
      <c r="G2294" s="470"/>
      <c r="H2294" s="470">
        <v>2287</v>
      </c>
      <c r="I2294" s="455">
        <f t="shared" ca="1" si="143"/>
        <v>5384710652.7851162</v>
      </c>
      <c r="J2294" s="455">
        <f t="array" ref="J2294">IFERROR(INDEX('Retirement Calculator'!J:J,MATCH('Isaac 401k'!N2294,'Retirement Calculator'!A:A,0),0),0)</f>
        <v>0</v>
      </c>
      <c r="K2294" s="455">
        <f t="shared" ca="1" si="141"/>
        <v>22436294.386604652</v>
      </c>
      <c r="L2294" s="455">
        <f t="shared" ca="1" si="142"/>
        <v>5407146947.1717205</v>
      </c>
      <c r="M2294" s="471">
        <f t="shared" si="144"/>
        <v>0.05</v>
      </c>
      <c r="N2294" s="475">
        <f t="shared" si="145"/>
        <v>120866</v>
      </c>
    </row>
    <row r="2295" spans="7:14" ht="11.25" customHeight="1" x14ac:dyDescent="0.3">
      <c r="G2295" s="470"/>
      <c r="H2295" s="470">
        <v>2288</v>
      </c>
      <c r="I2295" s="455">
        <f t="shared" ca="1" si="143"/>
        <v>5407146947.1717205</v>
      </c>
      <c r="J2295" s="455">
        <f t="array" ref="J2295">IFERROR(INDEX('Retirement Calculator'!J:J,MATCH('Isaac 401k'!N2295,'Retirement Calculator'!A:A,0),0),0)</f>
        <v>0</v>
      </c>
      <c r="K2295" s="455">
        <f t="shared" ca="1" si="141"/>
        <v>22529778.946548834</v>
      </c>
      <c r="L2295" s="455">
        <f t="shared" ca="1" si="142"/>
        <v>5429676726.118269</v>
      </c>
      <c r="M2295" s="471">
        <f t="shared" si="144"/>
        <v>0.05</v>
      </c>
      <c r="N2295" s="475">
        <f t="shared" si="145"/>
        <v>120897</v>
      </c>
    </row>
    <row r="2296" spans="7:14" ht="11.25" customHeight="1" x14ac:dyDescent="0.3">
      <c r="G2296" s="470"/>
      <c r="H2296" s="470">
        <v>2289</v>
      </c>
      <c r="I2296" s="455">
        <f t="shared" ca="1" si="143"/>
        <v>5429676726.118269</v>
      </c>
      <c r="J2296" s="455">
        <f t="array" ref="J2296">IFERROR(INDEX('Retirement Calculator'!J:J,MATCH('Isaac 401k'!N2296,'Retirement Calculator'!A:A,0),0),0)</f>
        <v>0</v>
      </c>
      <c r="K2296" s="455">
        <f t="shared" ca="1" si="141"/>
        <v>22623653.025492787</v>
      </c>
      <c r="L2296" s="455">
        <f t="shared" ca="1" si="142"/>
        <v>5452300379.1437616</v>
      </c>
      <c r="M2296" s="471">
        <f t="shared" si="144"/>
        <v>0.05</v>
      </c>
      <c r="N2296" s="475">
        <f t="shared" si="145"/>
        <v>120928</v>
      </c>
    </row>
    <row r="2297" spans="7:14" ht="11.25" customHeight="1" x14ac:dyDescent="0.3">
      <c r="G2297" s="470"/>
      <c r="H2297" s="470">
        <v>2290</v>
      </c>
      <c r="I2297" s="455">
        <f t="shared" ca="1" si="143"/>
        <v>5452300379.1437616</v>
      </c>
      <c r="J2297" s="455">
        <f t="array" ref="J2297">IFERROR(INDEX('Retirement Calculator'!J:J,MATCH('Isaac 401k'!N2297,'Retirement Calculator'!A:A,0),0),0)</f>
        <v>0</v>
      </c>
      <c r="K2297" s="455">
        <f t="shared" ca="1" si="141"/>
        <v>22717918.246432342</v>
      </c>
      <c r="L2297" s="455">
        <f t="shared" ca="1" si="142"/>
        <v>5475018297.3901939</v>
      </c>
      <c r="M2297" s="471">
        <f t="shared" si="144"/>
        <v>0.05</v>
      </c>
      <c r="N2297" s="475">
        <f t="shared" si="145"/>
        <v>120956</v>
      </c>
    </row>
    <row r="2298" spans="7:14" ht="11.25" customHeight="1" x14ac:dyDescent="0.3">
      <c r="G2298" s="470"/>
      <c r="H2298" s="470">
        <v>2291</v>
      </c>
      <c r="I2298" s="455">
        <f t="shared" ca="1" si="143"/>
        <v>5475018297.3901939</v>
      </c>
      <c r="J2298" s="455">
        <f t="array" ref="J2298">IFERROR(INDEX('Retirement Calculator'!J:J,MATCH('Isaac 401k'!N2298,'Retirement Calculator'!A:A,0),0),0)</f>
        <v>0</v>
      </c>
      <c r="K2298" s="455">
        <f t="shared" ca="1" si="141"/>
        <v>22812576.239125807</v>
      </c>
      <c r="L2298" s="455">
        <f t="shared" ca="1" si="142"/>
        <v>5497830873.6293201</v>
      </c>
      <c r="M2298" s="471">
        <f t="shared" si="144"/>
        <v>0.05</v>
      </c>
      <c r="N2298" s="475">
        <f t="shared" si="145"/>
        <v>120987</v>
      </c>
    </row>
    <row r="2299" spans="7:14" ht="11.25" customHeight="1" x14ac:dyDescent="0.3">
      <c r="G2299" s="470"/>
      <c r="H2299" s="470">
        <v>2292</v>
      </c>
      <c r="I2299" s="455">
        <f t="shared" ca="1" si="143"/>
        <v>5497830873.6293201</v>
      </c>
      <c r="J2299" s="455">
        <f t="array" ref="J2299">IFERROR(INDEX('Retirement Calculator'!J:J,MATCH('Isaac 401k'!N2299,'Retirement Calculator'!A:A,0),0),0)</f>
        <v>0</v>
      </c>
      <c r="K2299" s="455">
        <f t="shared" ca="1" si="141"/>
        <v>22907628.640122168</v>
      </c>
      <c r="L2299" s="455">
        <f t="shared" ca="1" si="142"/>
        <v>5520738502.2694426</v>
      </c>
      <c r="M2299" s="471">
        <f t="shared" si="144"/>
        <v>0.05</v>
      </c>
      <c r="N2299" s="475">
        <f t="shared" si="145"/>
        <v>121017</v>
      </c>
    </row>
    <row r="2300" spans="7:14" ht="11.25" customHeight="1" x14ac:dyDescent="0.3">
      <c r="G2300" s="470"/>
      <c r="H2300" s="470">
        <v>2293</v>
      </c>
      <c r="I2300" s="455">
        <f t="shared" ca="1" si="143"/>
        <v>5520738502.2694426</v>
      </c>
      <c r="J2300" s="455">
        <f t="array" ref="J2300">IFERROR(INDEX('Retirement Calculator'!J:J,MATCH('Isaac 401k'!N2300,'Retirement Calculator'!A:A,0),0),0)</f>
        <v>0</v>
      </c>
      <c r="K2300" s="455">
        <f t="shared" ca="1" si="141"/>
        <v>23003077.092789344</v>
      </c>
      <c r="L2300" s="455">
        <f t="shared" ca="1" si="142"/>
        <v>5543741579.3622322</v>
      </c>
      <c r="M2300" s="471">
        <f t="shared" si="144"/>
        <v>0.05</v>
      </c>
      <c r="N2300" s="475">
        <f t="shared" si="145"/>
        <v>121048</v>
      </c>
    </row>
    <row r="2301" spans="7:14" ht="11.25" customHeight="1" x14ac:dyDescent="0.3">
      <c r="G2301" s="470"/>
      <c r="H2301" s="470">
        <v>2294</v>
      </c>
      <c r="I2301" s="455">
        <f t="shared" ca="1" si="143"/>
        <v>5543741579.3622322</v>
      </c>
      <c r="J2301" s="455">
        <f t="array" ref="J2301">IFERROR(INDEX('Retirement Calculator'!J:J,MATCH('Isaac 401k'!N2301,'Retirement Calculator'!A:A,0),0),0)</f>
        <v>0</v>
      </c>
      <c r="K2301" s="455">
        <f t="shared" ca="1" si="141"/>
        <v>23098923.247342635</v>
      </c>
      <c r="L2301" s="455">
        <f t="shared" ca="1" si="142"/>
        <v>5566840502.6095753</v>
      </c>
      <c r="M2301" s="471">
        <f t="shared" si="144"/>
        <v>0.05</v>
      </c>
      <c r="N2301" s="475">
        <f t="shared" si="145"/>
        <v>121078</v>
      </c>
    </row>
    <row r="2302" spans="7:14" ht="11.25" customHeight="1" x14ac:dyDescent="0.3">
      <c r="G2302" s="470"/>
      <c r="H2302" s="470">
        <v>2295</v>
      </c>
      <c r="I2302" s="455">
        <f t="shared" ca="1" si="143"/>
        <v>5566840502.6095753</v>
      </c>
      <c r="J2302" s="455">
        <f t="array" ref="J2302">IFERROR(INDEX('Retirement Calculator'!J:J,MATCH('Isaac 401k'!N2302,'Retirement Calculator'!A:A,0),0),0)</f>
        <v>0</v>
      </c>
      <c r="K2302" s="455">
        <f t="shared" ca="1" si="141"/>
        <v>23195168.760873228</v>
      </c>
      <c r="L2302" s="455">
        <f t="shared" ca="1" si="142"/>
        <v>5590035671.3704481</v>
      </c>
      <c r="M2302" s="471">
        <f t="shared" si="144"/>
        <v>0.05</v>
      </c>
      <c r="N2302" s="475">
        <f t="shared" si="145"/>
        <v>121109</v>
      </c>
    </row>
    <row r="2303" spans="7:14" ht="11.25" customHeight="1" x14ac:dyDescent="0.3">
      <c r="G2303" s="470"/>
      <c r="H2303" s="470">
        <v>2296</v>
      </c>
      <c r="I2303" s="455">
        <f t="shared" ca="1" si="143"/>
        <v>5590035671.3704481</v>
      </c>
      <c r="J2303" s="455">
        <f t="array" ref="J2303">IFERROR(INDEX('Retirement Calculator'!J:J,MATCH('Isaac 401k'!N2303,'Retirement Calculator'!A:A,0),0),0)</f>
        <v>0</v>
      </c>
      <c r="K2303" s="455">
        <f t="shared" ref="K2303:K2557" ca="1" si="146">IPMT(M2303/12,1,12,-I2303+J2303,,0)</f>
        <v>23291815.297376867</v>
      </c>
      <c r="L2303" s="455">
        <f t="shared" ref="L2303:L2557" ca="1" si="147">I2303-J2303+K2303</f>
        <v>5613327486.6678247</v>
      </c>
      <c r="M2303" s="471">
        <f t="shared" si="144"/>
        <v>0.05</v>
      </c>
      <c r="N2303" s="475">
        <f t="shared" si="145"/>
        <v>121140</v>
      </c>
    </row>
    <row r="2304" spans="7:14" ht="11.25" customHeight="1" x14ac:dyDescent="0.3">
      <c r="G2304" s="470"/>
      <c r="H2304" s="470">
        <v>2297</v>
      </c>
      <c r="I2304" s="455">
        <f t="shared" ref="I2304:I2558" ca="1" si="148">L2303</f>
        <v>5613327486.6678247</v>
      </c>
      <c r="J2304" s="455">
        <f t="array" ref="J2304">IFERROR(INDEX('Retirement Calculator'!J:J,MATCH('Isaac 401k'!N2304,'Retirement Calculator'!A:A,0),0),0)</f>
        <v>0</v>
      </c>
      <c r="K2304" s="455">
        <f t="shared" ca="1" si="146"/>
        <v>23388864.527782604</v>
      </c>
      <c r="L2304" s="455">
        <f t="shared" ca="1" si="147"/>
        <v>5636716351.1956072</v>
      </c>
      <c r="M2304" s="471">
        <f t="shared" ref="M2304:M2558" si="149">M2303</f>
        <v>0.05</v>
      </c>
      <c r="N2304" s="475">
        <f t="shared" ref="N2304:N2558" si="150">EDATE(N2303,1)</f>
        <v>121170</v>
      </c>
    </row>
    <row r="2305" spans="7:14" ht="11.25" customHeight="1" x14ac:dyDescent="0.3">
      <c r="G2305" s="470"/>
      <c r="H2305" s="470">
        <v>2298</v>
      </c>
      <c r="I2305" s="455">
        <f t="shared" ca="1" si="148"/>
        <v>5636716351.1956072</v>
      </c>
      <c r="J2305" s="455">
        <f t="array" ref="J2305">IFERROR(INDEX('Retirement Calculator'!J:J,MATCH('Isaac 401k'!N2305,'Retirement Calculator'!A:A,0),0),0)</f>
        <v>0</v>
      </c>
      <c r="K2305" s="455">
        <f t="shared" ca="1" si="146"/>
        <v>23486318.129981697</v>
      </c>
      <c r="L2305" s="455">
        <f t="shared" ca="1" si="147"/>
        <v>5660202669.3255892</v>
      </c>
      <c r="M2305" s="471">
        <f t="shared" si="149"/>
        <v>0.05</v>
      </c>
      <c r="N2305" s="475">
        <f t="shared" si="150"/>
        <v>121201</v>
      </c>
    </row>
    <row r="2306" spans="7:14" ht="11.25" customHeight="1" x14ac:dyDescent="0.3">
      <c r="G2306" s="470"/>
      <c r="H2306" s="470">
        <v>2299</v>
      </c>
      <c r="I2306" s="455">
        <f t="shared" ca="1" si="148"/>
        <v>5660202669.3255892</v>
      </c>
      <c r="J2306" s="455">
        <f t="array" ref="J2306">IFERROR(INDEX('Retirement Calculator'!J:J,MATCH('Isaac 401k'!N2306,'Retirement Calculator'!A:A,0),0),0)</f>
        <v>0</v>
      </c>
      <c r="K2306" s="455">
        <f t="shared" ca="1" si="146"/>
        <v>23584177.788856622</v>
      </c>
      <c r="L2306" s="455">
        <f t="shared" ca="1" si="147"/>
        <v>5683786847.1144457</v>
      </c>
      <c r="M2306" s="471">
        <f t="shared" si="149"/>
        <v>0.05</v>
      </c>
      <c r="N2306" s="475">
        <f t="shared" si="150"/>
        <v>121231</v>
      </c>
    </row>
    <row r="2307" spans="7:14" ht="11.25" customHeight="1" x14ac:dyDescent="0.3">
      <c r="G2307" s="470"/>
      <c r="H2307" s="470">
        <v>2300</v>
      </c>
      <c r="I2307" s="455">
        <f t="shared" ca="1" si="148"/>
        <v>5683786847.1144457</v>
      </c>
      <c r="J2307" s="455">
        <f t="array" ref="J2307">IFERROR(INDEX('Retirement Calculator'!J:J,MATCH('Isaac 401k'!N2307,'Retirement Calculator'!A:A,0),0),0)</f>
        <v>0</v>
      </c>
      <c r="K2307" s="455">
        <f t="shared" ca="1" si="146"/>
        <v>23682445.196310189</v>
      </c>
      <c r="L2307" s="455">
        <f t="shared" ca="1" si="147"/>
        <v>5707469292.3107557</v>
      </c>
      <c r="M2307" s="471">
        <f t="shared" si="149"/>
        <v>0.05</v>
      </c>
      <c r="N2307" s="475">
        <f t="shared" si="150"/>
        <v>121262</v>
      </c>
    </row>
    <row r="2308" spans="7:14" ht="11.25" customHeight="1" x14ac:dyDescent="0.3">
      <c r="G2308" s="470"/>
      <c r="H2308" s="470">
        <v>2301</v>
      </c>
      <c r="I2308" s="455">
        <f t="shared" ca="1" si="148"/>
        <v>5707469292.3107557</v>
      </c>
      <c r="J2308" s="455">
        <f t="array" ref="J2308">IFERROR(INDEX('Retirement Calculator'!J:J,MATCH('Isaac 401k'!N2308,'Retirement Calculator'!A:A,0),0),0)</f>
        <v>0</v>
      </c>
      <c r="K2308" s="455">
        <f t="shared" ca="1" si="146"/>
        <v>23781122.051294815</v>
      </c>
      <c r="L2308" s="455">
        <f t="shared" ca="1" si="147"/>
        <v>5731250414.362051</v>
      </c>
      <c r="M2308" s="471">
        <f t="shared" si="149"/>
        <v>0.05</v>
      </c>
      <c r="N2308" s="475">
        <f t="shared" si="150"/>
        <v>121293</v>
      </c>
    </row>
    <row r="2309" spans="7:14" ht="11.25" customHeight="1" x14ac:dyDescent="0.3">
      <c r="G2309" s="470"/>
      <c r="H2309" s="470">
        <v>2302</v>
      </c>
      <c r="I2309" s="455">
        <f t="shared" ca="1" si="148"/>
        <v>5731250414.362051</v>
      </c>
      <c r="J2309" s="455">
        <f t="array" ref="J2309">IFERROR(INDEX('Retirement Calculator'!J:J,MATCH('Isaac 401k'!N2309,'Retirement Calculator'!A:A,0),0),0)</f>
        <v>0</v>
      </c>
      <c r="K2309" s="455">
        <f t="shared" ca="1" si="146"/>
        <v>23880210.059841879</v>
      </c>
      <c r="L2309" s="455">
        <f t="shared" ca="1" si="147"/>
        <v>5755130624.4218931</v>
      </c>
      <c r="M2309" s="471">
        <f t="shared" si="149"/>
        <v>0.05</v>
      </c>
      <c r="N2309" s="475">
        <f t="shared" si="150"/>
        <v>121322</v>
      </c>
    </row>
    <row r="2310" spans="7:14" ht="11.25" customHeight="1" x14ac:dyDescent="0.3">
      <c r="G2310" s="470"/>
      <c r="H2310" s="470">
        <v>2303</v>
      </c>
      <c r="I2310" s="455">
        <f t="shared" ca="1" si="148"/>
        <v>5755130624.4218931</v>
      </c>
      <c r="J2310" s="455">
        <f t="array" ref="J2310">IFERROR(INDEX('Retirement Calculator'!J:J,MATCH('Isaac 401k'!N2310,'Retirement Calculator'!A:A,0),0),0)</f>
        <v>0</v>
      </c>
      <c r="K2310" s="455">
        <f t="shared" ca="1" si="146"/>
        <v>23979710.93509122</v>
      </c>
      <c r="L2310" s="455">
        <f t="shared" ca="1" si="147"/>
        <v>5779110335.3569841</v>
      </c>
      <c r="M2310" s="471">
        <f t="shared" si="149"/>
        <v>0.05</v>
      </c>
      <c r="N2310" s="475">
        <f t="shared" si="150"/>
        <v>121353</v>
      </c>
    </row>
    <row r="2311" spans="7:14" ht="11.25" customHeight="1" x14ac:dyDescent="0.3">
      <c r="G2311" s="470"/>
      <c r="H2311" s="470">
        <v>2304</v>
      </c>
      <c r="I2311" s="455">
        <f t="shared" ca="1" si="148"/>
        <v>5779110335.3569841</v>
      </c>
      <c r="J2311" s="455">
        <f t="array" ref="J2311">IFERROR(INDEX('Retirement Calculator'!J:J,MATCH('Isaac 401k'!N2311,'Retirement Calculator'!A:A,0),0),0)</f>
        <v>0</v>
      </c>
      <c r="K2311" s="455">
        <f t="shared" ca="1" si="146"/>
        <v>24079626.397320766</v>
      </c>
      <c r="L2311" s="455">
        <f t="shared" ca="1" si="147"/>
        <v>5803189961.7543049</v>
      </c>
      <c r="M2311" s="471">
        <f t="shared" si="149"/>
        <v>0.05</v>
      </c>
      <c r="N2311" s="475">
        <f t="shared" si="150"/>
        <v>121383</v>
      </c>
    </row>
    <row r="2312" spans="7:14" ht="11.25" customHeight="1" x14ac:dyDescent="0.3">
      <c r="G2312" s="470"/>
      <c r="H2312" s="470">
        <v>2305</v>
      </c>
      <c r="I2312" s="455">
        <f t="shared" ca="1" si="148"/>
        <v>5803189961.7543049</v>
      </c>
      <c r="J2312" s="455">
        <f t="array" ref="J2312">IFERROR(INDEX('Retirement Calculator'!J:J,MATCH('Isaac 401k'!N2312,'Retirement Calculator'!A:A,0),0),0)</f>
        <v>0</v>
      </c>
      <c r="K2312" s="455">
        <f t="shared" ca="1" si="146"/>
        <v>24179958.173976269</v>
      </c>
      <c r="L2312" s="455">
        <f t="shared" ca="1" si="147"/>
        <v>5827369919.9282808</v>
      </c>
      <c r="M2312" s="471">
        <f t="shared" si="149"/>
        <v>0.05</v>
      </c>
      <c r="N2312" s="475">
        <f t="shared" si="150"/>
        <v>121414</v>
      </c>
    </row>
    <row r="2313" spans="7:14" ht="11.25" customHeight="1" x14ac:dyDescent="0.3">
      <c r="G2313" s="470"/>
      <c r="H2313" s="470">
        <v>2306</v>
      </c>
      <c r="I2313" s="455">
        <f t="shared" ca="1" si="148"/>
        <v>5827369919.9282808</v>
      </c>
      <c r="J2313" s="455">
        <f t="array" ref="J2313">IFERROR(INDEX('Retirement Calculator'!J:J,MATCH('Isaac 401k'!N2313,'Retirement Calculator'!A:A,0),0),0)</f>
        <v>0</v>
      </c>
      <c r="K2313" s="455">
        <f t="shared" ca="1" si="146"/>
        <v>24280707.999701168</v>
      </c>
      <c r="L2313" s="455">
        <f t="shared" ca="1" si="147"/>
        <v>5851650627.9279823</v>
      </c>
      <c r="M2313" s="471">
        <f t="shared" si="149"/>
        <v>0.05</v>
      </c>
      <c r="N2313" s="475">
        <f t="shared" si="150"/>
        <v>121444</v>
      </c>
    </row>
    <row r="2314" spans="7:14" ht="11.25" customHeight="1" x14ac:dyDescent="0.3">
      <c r="G2314" s="470"/>
      <c r="H2314" s="470">
        <v>2307</v>
      </c>
      <c r="I2314" s="455">
        <f t="shared" ca="1" si="148"/>
        <v>5851650627.9279823</v>
      </c>
      <c r="J2314" s="455">
        <f t="array" ref="J2314">IFERROR(INDEX('Retirement Calculator'!J:J,MATCH('Isaac 401k'!N2314,'Retirement Calculator'!A:A,0),0),0)</f>
        <v>0</v>
      </c>
      <c r="K2314" s="455">
        <f t="shared" ca="1" si="146"/>
        <v>24381877.616366591</v>
      </c>
      <c r="L2314" s="455">
        <f t="shared" ca="1" si="147"/>
        <v>5876032505.5443487</v>
      </c>
      <c r="M2314" s="471">
        <f t="shared" si="149"/>
        <v>0.05</v>
      </c>
      <c r="N2314" s="475">
        <f t="shared" si="150"/>
        <v>121475</v>
      </c>
    </row>
    <row r="2315" spans="7:14" ht="11.25" customHeight="1" x14ac:dyDescent="0.3">
      <c r="G2315" s="470"/>
      <c r="H2315" s="470">
        <v>2308</v>
      </c>
      <c r="I2315" s="455">
        <f t="shared" ca="1" si="148"/>
        <v>5876032505.5443487</v>
      </c>
      <c r="J2315" s="455">
        <f t="array" ref="J2315">IFERROR(INDEX('Retirement Calculator'!J:J,MATCH('Isaac 401k'!N2315,'Retirement Calculator'!A:A,0),0),0)</f>
        <v>0</v>
      </c>
      <c r="K2315" s="455">
        <f t="shared" ca="1" si="146"/>
        <v>24483468.773101453</v>
      </c>
      <c r="L2315" s="455">
        <f t="shared" ca="1" si="147"/>
        <v>5900515974.3174505</v>
      </c>
      <c r="M2315" s="471">
        <f t="shared" si="149"/>
        <v>0.05</v>
      </c>
      <c r="N2315" s="475">
        <f t="shared" si="150"/>
        <v>121506</v>
      </c>
    </row>
    <row r="2316" spans="7:14" ht="11.25" customHeight="1" x14ac:dyDescent="0.3">
      <c r="G2316" s="470"/>
      <c r="H2316" s="470">
        <v>2309</v>
      </c>
      <c r="I2316" s="455">
        <f t="shared" ca="1" si="148"/>
        <v>5900515974.3174505</v>
      </c>
      <c r="J2316" s="455">
        <f t="array" ref="J2316">IFERROR(INDEX('Retirement Calculator'!J:J,MATCH('Isaac 401k'!N2316,'Retirement Calculator'!A:A,0),0),0)</f>
        <v>0</v>
      </c>
      <c r="K2316" s="455">
        <f t="shared" ca="1" si="146"/>
        <v>24585483.226322711</v>
      </c>
      <c r="L2316" s="455">
        <f t="shared" ca="1" si="147"/>
        <v>5925101457.5437737</v>
      </c>
      <c r="M2316" s="471">
        <f t="shared" si="149"/>
        <v>0.05</v>
      </c>
      <c r="N2316" s="475">
        <f t="shared" si="150"/>
        <v>121536</v>
      </c>
    </row>
    <row r="2317" spans="7:14" ht="11.25" customHeight="1" x14ac:dyDescent="0.3">
      <c r="G2317" s="470"/>
      <c r="H2317" s="470">
        <v>2310</v>
      </c>
      <c r="I2317" s="455">
        <f t="shared" ca="1" si="148"/>
        <v>5925101457.5437737</v>
      </c>
      <c r="J2317" s="455">
        <f t="array" ref="J2317">IFERROR(INDEX('Retirement Calculator'!J:J,MATCH('Isaac 401k'!N2317,'Retirement Calculator'!A:A,0),0),0)</f>
        <v>0</v>
      </c>
      <c r="K2317" s="455">
        <f t="shared" ca="1" si="146"/>
        <v>24687922.739765722</v>
      </c>
      <c r="L2317" s="455">
        <f t="shared" ca="1" si="147"/>
        <v>5949789380.2835398</v>
      </c>
      <c r="M2317" s="471">
        <f t="shared" si="149"/>
        <v>0.05</v>
      </c>
      <c r="N2317" s="475">
        <f t="shared" si="150"/>
        <v>121567</v>
      </c>
    </row>
    <row r="2318" spans="7:14" ht="11.25" customHeight="1" x14ac:dyDescent="0.3">
      <c r="G2318" s="470"/>
      <c r="H2318" s="470">
        <v>2311</v>
      </c>
      <c r="I2318" s="455">
        <f t="shared" ca="1" si="148"/>
        <v>5949789380.2835398</v>
      </c>
      <c r="J2318" s="455">
        <f t="array" ref="J2318">IFERROR(INDEX('Retirement Calculator'!J:J,MATCH('Isaac 401k'!N2318,'Retirement Calculator'!A:A,0),0),0)</f>
        <v>0</v>
      </c>
      <c r="K2318" s="455">
        <f t="shared" ca="1" si="146"/>
        <v>24790789.084514748</v>
      </c>
      <c r="L2318" s="455">
        <f t="shared" ca="1" si="147"/>
        <v>5974580169.3680544</v>
      </c>
      <c r="M2318" s="471">
        <f t="shared" si="149"/>
        <v>0.05</v>
      </c>
      <c r="N2318" s="475">
        <f t="shared" si="150"/>
        <v>121597</v>
      </c>
    </row>
    <row r="2319" spans="7:14" ht="11.25" customHeight="1" x14ac:dyDescent="0.3">
      <c r="G2319" s="470"/>
      <c r="H2319" s="470">
        <v>2312</v>
      </c>
      <c r="I2319" s="455">
        <f t="shared" ca="1" si="148"/>
        <v>5974580169.3680544</v>
      </c>
      <c r="J2319" s="455">
        <f t="array" ref="J2319">IFERROR(INDEX('Retirement Calculator'!J:J,MATCH('Isaac 401k'!N2319,'Retirement Calculator'!A:A,0),0),0)</f>
        <v>0</v>
      </c>
      <c r="K2319" s="455">
        <f t="shared" ca="1" si="146"/>
        <v>24894084.039033558</v>
      </c>
      <c r="L2319" s="455">
        <f t="shared" ca="1" si="147"/>
        <v>5999474253.4070883</v>
      </c>
      <c r="M2319" s="471">
        <f t="shared" si="149"/>
        <v>0.05</v>
      </c>
      <c r="N2319" s="475">
        <f t="shared" si="150"/>
        <v>121628</v>
      </c>
    </row>
    <row r="2320" spans="7:14" ht="11.25" customHeight="1" x14ac:dyDescent="0.3">
      <c r="G2320" s="470"/>
      <c r="H2320" s="470">
        <v>2313</v>
      </c>
      <c r="I2320" s="455">
        <f t="shared" ca="1" si="148"/>
        <v>5999474253.4070883</v>
      </c>
      <c r="J2320" s="455">
        <f t="array" ref="J2320">IFERROR(INDEX('Retirement Calculator'!J:J,MATCH('Isaac 401k'!N2320,'Retirement Calculator'!A:A,0),0),0)</f>
        <v>0</v>
      </c>
      <c r="K2320" s="455">
        <f t="shared" ca="1" si="146"/>
        <v>24997809.389196202</v>
      </c>
      <c r="L2320" s="455">
        <f t="shared" ca="1" si="147"/>
        <v>6024472062.7962847</v>
      </c>
      <c r="M2320" s="471">
        <f t="shared" si="149"/>
        <v>0.05</v>
      </c>
      <c r="N2320" s="475">
        <f t="shared" si="150"/>
        <v>121659</v>
      </c>
    </row>
    <row r="2321" spans="7:14" ht="11.25" customHeight="1" x14ac:dyDescent="0.3">
      <c r="G2321" s="470"/>
      <c r="H2321" s="470">
        <v>2314</v>
      </c>
      <c r="I2321" s="455">
        <f t="shared" ca="1" si="148"/>
        <v>6024472062.7962847</v>
      </c>
      <c r="J2321" s="455">
        <f t="array" ref="J2321">IFERROR(INDEX('Retirement Calculator'!J:J,MATCH('Isaac 401k'!N2321,'Retirement Calculator'!A:A,0),0),0)</f>
        <v>0</v>
      </c>
      <c r="K2321" s="455">
        <f t="shared" ca="1" si="146"/>
        <v>25101966.928317852</v>
      </c>
      <c r="L2321" s="455">
        <f t="shared" ca="1" si="147"/>
        <v>6049574029.7246027</v>
      </c>
      <c r="M2321" s="471">
        <f t="shared" si="149"/>
        <v>0.05</v>
      </c>
      <c r="N2321" s="475">
        <f t="shared" si="150"/>
        <v>121687</v>
      </c>
    </row>
    <row r="2322" spans="7:14" ht="11.25" customHeight="1" x14ac:dyDescent="0.3">
      <c r="G2322" s="470"/>
      <c r="H2322" s="470">
        <v>2315</v>
      </c>
      <c r="I2322" s="455">
        <f t="shared" ca="1" si="148"/>
        <v>6049574029.7246027</v>
      </c>
      <c r="J2322" s="455">
        <f t="array" ref="J2322">IFERROR(INDEX('Retirement Calculator'!J:J,MATCH('Isaac 401k'!N2322,'Retirement Calculator'!A:A,0),0),0)</f>
        <v>0</v>
      </c>
      <c r="K2322" s="455">
        <f t="shared" ca="1" si="146"/>
        <v>25206558.457185846</v>
      </c>
      <c r="L2322" s="455">
        <f t="shared" ca="1" si="147"/>
        <v>6074780588.1817884</v>
      </c>
      <c r="M2322" s="471">
        <f t="shared" si="149"/>
        <v>0.05</v>
      </c>
      <c r="N2322" s="475">
        <f t="shared" si="150"/>
        <v>121718</v>
      </c>
    </row>
    <row r="2323" spans="7:14" ht="11.25" customHeight="1" x14ac:dyDescent="0.3">
      <c r="G2323" s="470"/>
      <c r="H2323" s="470">
        <v>2316</v>
      </c>
      <c r="I2323" s="455">
        <f t="shared" ca="1" si="148"/>
        <v>6074780588.1817884</v>
      </c>
      <c r="J2323" s="455">
        <f t="array" ref="J2323">IFERROR(INDEX('Retirement Calculator'!J:J,MATCH('Isaac 401k'!N2323,'Retirement Calculator'!A:A,0),0),0)</f>
        <v>0</v>
      </c>
      <c r="K2323" s="455">
        <f t="shared" ca="1" si="146"/>
        <v>25311585.784090783</v>
      </c>
      <c r="L2323" s="455">
        <f t="shared" ca="1" si="147"/>
        <v>6100092173.9658794</v>
      </c>
      <c r="M2323" s="471">
        <f t="shared" si="149"/>
        <v>0.05</v>
      </c>
      <c r="N2323" s="475">
        <f t="shared" si="150"/>
        <v>121748</v>
      </c>
    </row>
    <row r="2324" spans="7:14" ht="11.25" customHeight="1" x14ac:dyDescent="0.3">
      <c r="G2324" s="470"/>
      <c r="H2324" s="470">
        <v>2317</v>
      </c>
      <c r="I2324" s="455">
        <f t="shared" ca="1" si="148"/>
        <v>6100092173.9658794</v>
      </c>
      <c r="J2324" s="455">
        <f t="array" ref="J2324">IFERROR(INDEX('Retirement Calculator'!J:J,MATCH('Isaac 401k'!N2324,'Retirement Calculator'!A:A,0),0),0)</f>
        <v>0</v>
      </c>
      <c r="K2324" s="455">
        <f t="shared" ca="1" si="146"/>
        <v>25417050.72485783</v>
      </c>
      <c r="L2324" s="455">
        <f t="shared" ca="1" si="147"/>
        <v>6125509224.6907377</v>
      </c>
      <c r="M2324" s="471">
        <f t="shared" si="149"/>
        <v>0.05</v>
      </c>
      <c r="N2324" s="475">
        <f t="shared" si="150"/>
        <v>121779</v>
      </c>
    </row>
    <row r="2325" spans="7:14" ht="11.25" customHeight="1" x14ac:dyDescent="0.3">
      <c r="G2325" s="470"/>
      <c r="H2325" s="470">
        <v>2318</v>
      </c>
      <c r="I2325" s="455">
        <f t="shared" ca="1" si="148"/>
        <v>6125509224.6907377</v>
      </c>
      <c r="J2325" s="455">
        <f t="array" ref="J2325">IFERROR(INDEX('Retirement Calculator'!J:J,MATCH('Isaac 401k'!N2325,'Retirement Calculator'!A:A,0),0),0)</f>
        <v>0</v>
      </c>
      <c r="K2325" s="455">
        <f t="shared" ca="1" si="146"/>
        <v>25522955.102878075</v>
      </c>
      <c r="L2325" s="455">
        <f t="shared" ca="1" si="147"/>
        <v>6151032179.7936153</v>
      </c>
      <c r="M2325" s="471">
        <f t="shared" si="149"/>
        <v>0.05</v>
      </c>
      <c r="N2325" s="475">
        <f t="shared" si="150"/>
        <v>121809</v>
      </c>
    </row>
    <row r="2326" spans="7:14" ht="11.25" customHeight="1" x14ac:dyDescent="0.3">
      <c r="G2326" s="470"/>
      <c r="H2326" s="470">
        <v>2319</v>
      </c>
      <c r="I2326" s="455">
        <f t="shared" ca="1" si="148"/>
        <v>6151032179.7936153</v>
      </c>
      <c r="J2326" s="455">
        <f t="array" ref="J2326">IFERROR(INDEX('Retirement Calculator'!J:J,MATCH('Isaac 401k'!N2326,'Retirement Calculator'!A:A,0),0),0)</f>
        <v>0</v>
      </c>
      <c r="K2326" s="455">
        <f t="shared" ca="1" si="146"/>
        <v>25629300.749140065</v>
      </c>
      <c r="L2326" s="455">
        <f t="shared" ca="1" si="147"/>
        <v>6176661480.5427551</v>
      </c>
      <c r="M2326" s="471">
        <f t="shared" si="149"/>
        <v>0.05</v>
      </c>
      <c r="N2326" s="475">
        <f t="shared" si="150"/>
        <v>121840</v>
      </c>
    </row>
    <row r="2327" spans="7:14" ht="11.25" customHeight="1" x14ac:dyDescent="0.3">
      <c r="G2327" s="470"/>
      <c r="H2327" s="470">
        <v>2320</v>
      </c>
      <c r="I2327" s="455">
        <f t="shared" ca="1" si="148"/>
        <v>6176661480.5427551</v>
      </c>
      <c r="J2327" s="455">
        <f t="array" ref="J2327">IFERROR(INDEX('Retirement Calculator'!J:J,MATCH('Isaac 401k'!N2327,'Retirement Calculator'!A:A,0),0),0)</f>
        <v>0</v>
      </c>
      <c r="K2327" s="455">
        <f t="shared" ca="1" si="146"/>
        <v>25736089.502261478</v>
      </c>
      <c r="L2327" s="455">
        <f t="shared" ca="1" si="147"/>
        <v>6202397570.0450163</v>
      </c>
      <c r="M2327" s="471">
        <f t="shared" si="149"/>
        <v>0.05</v>
      </c>
      <c r="N2327" s="475">
        <f t="shared" si="150"/>
        <v>121871</v>
      </c>
    </row>
    <row r="2328" spans="7:14" ht="11.25" customHeight="1" x14ac:dyDescent="0.3">
      <c r="G2328" s="470"/>
      <c r="H2328" s="470">
        <v>2321</v>
      </c>
      <c r="I2328" s="455">
        <f t="shared" ca="1" si="148"/>
        <v>6202397570.0450163</v>
      </c>
      <c r="J2328" s="455">
        <f t="array" ref="J2328">IFERROR(INDEX('Retirement Calculator'!J:J,MATCH('Isaac 401k'!N2328,'Retirement Calculator'!A:A,0),0),0)</f>
        <v>0</v>
      </c>
      <c r="K2328" s="455">
        <f t="shared" ca="1" si="146"/>
        <v>25843323.2085209</v>
      </c>
      <c r="L2328" s="455">
        <f t="shared" ca="1" si="147"/>
        <v>6228240893.2535372</v>
      </c>
      <c r="M2328" s="471">
        <f t="shared" si="149"/>
        <v>0.05</v>
      </c>
      <c r="N2328" s="475">
        <f t="shared" si="150"/>
        <v>121901</v>
      </c>
    </row>
    <row r="2329" spans="7:14" ht="11.25" customHeight="1" x14ac:dyDescent="0.3">
      <c r="G2329" s="470"/>
      <c r="H2329" s="470">
        <v>2322</v>
      </c>
      <c r="I2329" s="455">
        <f t="shared" ca="1" si="148"/>
        <v>6228240893.2535372</v>
      </c>
      <c r="J2329" s="455">
        <f t="array" ref="J2329">IFERROR(INDEX('Retirement Calculator'!J:J,MATCH('Isaac 401k'!N2329,'Retirement Calculator'!A:A,0),0),0)</f>
        <v>0</v>
      </c>
      <c r="K2329" s="455">
        <f t="shared" ca="1" si="146"/>
        <v>25951003.721889738</v>
      </c>
      <c r="L2329" s="455">
        <f t="shared" ca="1" si="147"/>
        <v>6254191896.9754267</v>
      </c>
      <c r="M2329" s="471">
        <f t="shared" si="149"/>
        <v>0.05</v>
      </c>
      <c r="N2329" s="475">
        <f t="shared" si="150"/>
        <v>121932</v>
      </c>
    </row>
    <row r="2330" spans="7:14" ht="11.25" customHeight="1" x14ac:dyDescent="0.3">
      <c r="G2330" s="470"/>
      <c r="H2330" s="470">
        <v>2323</v>
      </c>
      <c r="I2330" s="455">
        <f t="shared" ca="1" si="148"/>
        <v>6254191896.9754267</v>
      </c>
      <c r="J2330" s="455">
        <f t="array" ref="J2330">IFERROR(INDEX('Retirement Calculator'!J:J,MATCH('Isaac 401k'!N2330,'Retirement Calculator'!A:A,0),0),0)</f>
        <v>0</v>
      </c>
      <c r="K2330" s="455">
        <f t="shared" ca="1" si="146"/>
        <v>26059132.904064279</v>
      </c>
      <c r="L2330" s="455">
        <f t="shared" ca="1" si="147"/>
        <v>6280251029.8794909</v>
      </c>
      <c r="M2330" s="471">
        <f t="shared" si="149"/>
        <v>0.05</v>
      </c>
      <c r="N2330" s="475">
        <f t="shared" si="150"/>
        <v>121962</v>
      </c>
    </row>
    <row r="2331" spans="7:14" ht="11.25" customHeight="1" x14ac:dyDescent="0.3">
      <c r="G2331" s="470"/>
      <c r="H2331" s="470">
        <v>2324</v>
      </c>
      <c r="I2331" s="455">
        <f t="shared" ca="1" si="148"/>
        <v>6280251029.8794909</v>
      </c>
      <c r="J2331" s="455">
        <f t="array" ref="J2331">IFERROR(INDEX('Retirement Calculator'!J:J,MATCH('Isaac 401k'!N2331,'Retirement Calculator'!A:A,0),0),0)</f>
        <v>0</v>
      </c>
      <c r="K2331" s="455">
        <f t="shared" ca="1" si="146"/>
        <v>26167712.624497879</v>
      </c>
      <c r="L2331" s="455">
        <f t="shared" ca="1" si="147"/>
        <v>6306418742.5039883</v>
      </c>
      <c r="M2331" s="471">
        <f t="shared" si="149"/>
        <v>0.05</v>
      </c>
      <c r="N2331" s="475">
        <f t="shared" si="150"/>
        <v>121993</v>
      </c>
    </row>
    <row r="2332" spans="7:14" ht="11.25" customHeight="1" x14ac:dyDescent="0.3">
      <c r="G2332" s="470"/>
      <c r="H2332" s="470">
        <v>2325</v>
      </c>
      <c r="I2332" s="455">
        <f t="shared" ca="1" si="148"/>
        <v>6306418742.5039883</v>
      </c>
      <c r="J2332" s="455">
        <f t="array" ref="J2332">IFERROR(INDEX('Retirement Calculator'!J:J,MATCH('Isaac 401k'!N2332,'Retirement Calculator'!A:A,0),0),0)</f>
        <v>0</v>
      </c>
      <c r="K2332" s="455">
        <f t="shared" ca="1" si="146"/>
        <v>26276744.760433283</v>
      </c>
      <c r="L2332" s="455">
        <f t="shared" ca="1" si="147"/>
        <v>6332695487.2644215</v>
      </c>
      <c r="M2332" s="471">
        <f t="shared" si="149"/>
        <v>0.05</v>
      </c>
      <c r="N2332" s="475">
        <f t="shared" si="150"/>
        <v>122024</v>
      </c>
    </row>
    <row r="2333" spans="7:14" ht="11.25" customHeight="1" x14ac:dyDescent="0.3">
      <c r="G2333" s="470"/>
      <c r="H2333" s="470">
        <v>2326</v>
      </c>
      <c r="I2333" s="455">
        <f t="shared" ca="1" si="148"/>
        <v>6332695487.2644215</v>
      </c>
      <c r="J2333" s="455">
        <f t="array" ref="J2333">IFERROR(INDEX('Retirement Calculator'!J:J,MATCH('Isaac 401k'!N2333,'Retirement Calculator'!A:A,0),0),0)</f>
        <v>0</v>
      </c>
      <c r="K2333" s="455">
        <f t="shared" ca="1" si="146"/>
        <v>26386231.196935087</v>
      </c>
      <c r="L2333" s="455">
        <f t="shared" ca="1" si="147"/>
        <v>6359081718.4613562</v>
      </c>
      <c r="M2333" s="471">
        <f t="shared" si="149"/>
        <v>0.05</v>
      </c>
      <c r="N2333" s="475">
        <f t="shared" si="150"/>
        <v>122052</v>
      </c>
    </row>
    <row r="2334" spans="7:14" ht="11.25" customHeight="1" x14ac:dyDescent="0.3">
      <c r="G2334" s="470"/>
      <c r="H2334" s="470">
        <v>2327</v>
      </c>
      <c r="I2334" s="455">
        <f t="shared" ca="1" si="148"/>
        <v>6359081718.4613562</v>
      </c>
      <c r="J2334" s="455">
        <f t="array" ref="J2334">IFERROR(INDEX('Retirement Calculator'!J:J,MATCH('Isaac 401k'!N2334,'Retirement Calculator'!A:A,0),0),0)</f>
        <v>0</v>
      </c>
      <c r="K2334" s="455">
        <f t="shared" ca="1" si="146"/>
        <v>26496173.826922316</v>
      </c>
      <c r="L2334" s="455">
        <f t="shared" ca="1" si="147"/>
        <v>6385577892.2882786</v>
      </c>
      <c r="M2334" s="471">
        <f t="shared" si="149"/>
        <v>0.05</v>
      </c>
      <c r="N2334" s="475">
        <f t="shared" si="150"/>
        <v>122083</v>
      </c>
    </row>
    <row r="2335" spans="7:14" ht="11.25" customHeight="1" x14ac:dyDescent="0.3">
      <c r="G2335" s="470"/>
      <c r="H2335" s="470">
        <v>2328</v>
      </c>
      <c r="I2335" s="455">
        <f t="shared" ca="1" si="148"/>
        <v>6385577892.2882786</v>
      </c>
      <c r="J2335" s="455">
        <f t="array" ref="J2335">IFERROR(INDEX('Retirement Calculator'!J:J,MATCH('Isaac 401k'!N2335,'Retirement Calculator'!A:A,0),0),0)</f>
        <v>0</v>
      </c>
      <c r="K2335" s="455">
        <f t="shared" ca="1" si="146"/>
        <v>26606574.551201161</v>
      </c>
      <c r="L2335" s="455">
        <f t="shared" ca="1" si="147"/>
        <v>6412184466.8394794</v>
      </c>
      <c r="M2335" s="471">
        <f t="shared" si="149"/>
        <v>0.05</v>
      </c>
      <c r="N2335" s="475">
        <f t="shared" si="150"/>
        <v>122113</v>
      </c>
    </row>
    <row r="2336" spans="7:14" ht="11.25" customHeight="1" x14ac:dyDescent="0.3">
      <c r="G2336" s="470"/>
      <c r="H2336" s="470">
        <v>2329</v>
      </c>
      <c r="I2336" s="455">
        <f t="shared" ca="1" si="148"/>
        <v>6412184466.8394794</v>
      </c>
      <c r="J2336" s="455">
        <f t="array" ref="J2336">IFERROR(INDEX('Retirement Calculator'!J:J,MATCH('Isaac 401k'!N2336,'Retirement Calculator'!A:A,0),0),0)</f>
        <v>0</v>
      </c>
      <c r="K2336" s="455">
        <f t="shared" ca="1" si="146"/>
        <v>26717435.27849783</v>
      </c>
      <c r="L2336" s="455">
        <f t="shared" ca="1" si="147"/>
        <v>6438901902.1179771</v>
      </c>
      <c r="M2336" s="471">
        <f t="shared" si="149"/>
        <v>0.05</v>
      </c>
      <c r="N2336" s="475">
        <f t="shared" si="150"/>
        <v>122144</v>
      </c>
    </row>
    <row r="2337" spans="7:14" ht="11.25" customHeight="1" x14ac:dyDescent="0.3">
      <c r="G2337" s="470"/>
      <c r="H2337" s="470">
        <v>2330</v>
      </c>
      <c r="I2337" s="455">
        <f t="shared" ca="1" si="148"/>
        <v>6438901902.1179771</v>
      </c>
      <c r="J2337" s="455">
        <f t="array" ref="J2337">IFERROR(INDEX('Retirement Calculator'!J:J,MATCH('Isaac 401k'!N2337,'Retirement Calculator'!A:A,0),0),0)</f>
        <v>0</v>
      </c>
      <c r="K2337" s="455">
        <f t="shared" ca="1" si="146"/>
        <v>26828757.925491571</v>
      </c>
      <c r="L2337" s="455">
        <f t="shared" ca="1" si="147"/>
        <v>6465730660.0434685</v>
      </c>
      <c r="M2337" s="471">
        <f t="shared" si="149"/>
        <v>0.05</v>
      </c>
      <c r="N2337" s="475">
        <f t="shared" si="150"/>
        <v>122174</v>
      </c>
    </row>
    <row r="2338" spans="7:14" ht="11.25" customHeight="1" x14ac:dyDescent="0.3">
      <c r="G2338" s="470"/>
      <c r="H2338" s="470">
        <v>2331</v>
      </c>
      <c r="I2338" s="455">
        <f t="shared" ca="1" si="148"/>
        <v>6465730660.0434685</v>
      </c>
      <c r="J2338" s="455">
        <f t="array" ref="J2338">IFERROR(INDEX('Retirement Calculator'!J:J,MATCH('Isaac 401k'!N2338,'Retirement Calculator'!A:A,0),0),0)</f>
        <v>0</v>
      </c>
      <c r="K2338" s="455">
        <f t="shared" ca="1" si="146"/>
        <v>26940544.416847784</v>
      </c>
      <c r="L2338" s="455">
        <f t="shared" ca="1" si="147"/>
        <v>6492671204.4603167</v>
      </c>
      <c r="M2338" s="471">
        <f t="shared" si="149"/>
        <v>0.05</v>
      </c>
      <c r="N2338" s="475">
        <f t="shared" si="150"/>
        <v>122205</v>
      </c>
    </row>
    <row r="2339" spans="7:14" ht="11.25" customHeight="1" x14ac:dyDescent="0.3">
      <c r="G2339" s="470"/>
      <c r="H2339" s="470">
        <v>2332</v>
      </c>
      <c r="I2339" s="455">
        <f t="shared" ca="1" si="148"/>
        <v>6492671204.4603167</v>
      </c>
      <c r="J2339" s="455">
        <f t="array" ref="J2339">IFERROR(INDEX('Retirement Calculator'!J:J,MATCH('Isaac 401k'!N2339,'Retirement Calculator'!A:A,0),0),0)</f>
        <v>0</v>
      </c>
      <c r="K2339" s="455">
        <f t="shared" ca="1" si="146"/>
        <v>27052796.685251318</v>
      </c>
      <c r="L2339" s="455">
        <f t="shared" ca="1" si="147"/>
        <v>6519724001.1455679</v>
      </c>
      <c r="M2339" s="471">
        <f t="shared" si="149"/>
        <v>0.05</v>
      </c>
      <c r="N2339" s="475">
        <f t="shared" si="150"/>
        <v>122236</v>
      </c>
    </row>
    <row r="2340" spans="7:14" ht="11.25" customHeight="1" x14ac:dyDescent="0.3">
      <c r="G2340" s="470"/>
      <c r="H2340" s="470">
        <v>2333</v>
      </c>
      <c r="I2340" s="455">
        <f t="shared" ca="1" si="148"/>
        <v>6519724001.1455679</v>
      </c>
      <c r="J2340" s="455">
        <f t="array" ref="J2340">IFERROR(INDEX('Retirement Calculator'!J:J,MATCH('Isaac 401k'!N2340,'Retirement Calculator'!A:A,0),0),0)</f>
        <v>0</v>
      </c>
      <c r="K2340" s="455">
        <f t="shared" ca="1" si="146"/>
        <v>27165516.671439867</v>
      </c>
      <c r="L2340" s="455">
        <f t="shared" ca="1" si="147"/>
        <v>6546889517.817008</v>
      </c>
      <c r="M2340" s="471">
        <f t="shared" si="149"/>
        <v>0.05</v>
      </c>
      <c r="N2340" s="475">
        <f t="shared" si="150"/>
        <v>122266</v>
      </c>
    </row>
    <row r="2341" spans="7:14" ht="11.25" customHeight="1" x14ac:dyDescent="0.3">
      <c r="G2341" s="470"/>
      <c r="H2341" s="470">
        <v>2334</v>
      </c>
      <c r="I2341" s="455">
        <f t="shared" ca="1" si="148"/>
        <v>6546889517.817008</v>
      </c>
      <c r="J2341" s="455">
        <f t="array" ref="J2341">IFERROR(INDEX('Retirement Calculator'!J:J,MATCH('Isaac 401k'!N2341,'Retirement Calculator'!A:A,0),0),0)</f>
        <v>0</v>
      </c>
      <c r="K2341" s="455">
        <f t="shared" ca="1" si="146"/>
        <v>27278706.324237533</v>
      </c>
      <c r="L2341" s="455">
        <f t="shared" ca="1" si="147"/>
        <v>6574168224.1412458</v>
      </c>
      <c r="M2341" s="471">
        <f t="shared" si="149"/>
        <v>0.05</v>
      </c>
      <c r="N2341" s="475">
        <f t="shared" si="150"/>
        <v>122297</v>
      </c>
    </row>
    <row r="2342" spans="7:14" ht="11.25" customHeight="1" x14ac:dyDescent="0.3">
      <c r="G2342" s="470"/>
      <c r="H2342" s="470">
        <v>2335</v>
      </c>
      <c r="I2342" s="455">
        <f t="shared" ca="1" si="148"/>
        <v>6574168224.1412458</v>
      </c>
      <c r="J2342" s="455">
        <f t="array" ref="J2342">IFERROR(INDEX('Retirement Calculator'!J:J,MATCH('Isaac 401k'!N2342,'Retirement Calculator'!A:A,0),0),0)</f>
        <v>0</v>
      </c>
      <c r="K2342" s="455">
        <f t="shared" ca="1" si="146"/>
        <v>27392367.600588523</v>
      </c>
      <c r="L2342" s="455">
        <f t="shared" ca="1" si="147"/>
        <v>6601560591.7418346</v>
      </c>
      <c r="M2342" s="471">
        <f t="shared" si="149"/>
        <v>0.05</v>
      </c>
      <c r="N2342" s="475">
        <f t="shared" si="150"/>
        <v>122327</v>
      </c>
    </row>
    <row r="2343" spans="7:14" ht="11.25" customHeight="1" x14ac:dyDescent="0.3">
      <c r="G2343" s="470"/>
      <c r="H2343" s="470">
        <v>2336</v>
      </c>
      <c r="I2343" s="455">
        <f t="shared" ca="1" si="148"/>
        <v>6601560591.7418346</v>
      </c>
      <c r="J2343" s="455">
        <f t="array" ref="J2343">IFERROR(INDEX('Retirement Calculator'!J:J,MATCH('Isaac 401k'!N2343,'Retirement Calculator'!A:A,0),0),0)</f>
        <v>0</v>
      </c>
      <c r="K2343" s="455">
        <f t="shared" ca="1" si="146"/>
        <v>27506502.465590976</v>
      </c>
      <c r="L2343" s="455">
        <f t="shared" ca="1" si="147"/>
        <v>6629067094.2074261</v>
      </c>
      <c r="M2343" s="471">
        <f t="shared" si="149"/>
        <v>0.05</v>
      </c>
      <c r="N2343" s="475">
        <f t="shared" si="150"/>
        <v>122358</v>
      </c>
    </row>
    <row r="2344" spans="7:14" ht="11.25" customHeight="1" x14ac:dyDescent="0.3">
      <c r="G2344" s="470"/>
      <c r="H2344" s="470">
        <v>2337</v>
      </c>
      <c r="I2344" s="455">
        <f t="shared" ca="1" si="148"/>
        <v>6629067094.2074261</v>
      </c>
      <c r="J2344" s="455">
        <f t="array" ref="J2344">IFERROR(INDEX('Retirement Calculator'!J:J,MATCH('Isaac 401k'!N2344,'Retirement Calculator'!A:A,0),0),0)</f>
        <v>0</v>
      </c>
      <c r="K2344" s="455">
        <f t="shared" ca="1" si="146"/>
        <v>27621112.89253094</v>
      </c>
      <c r="L2344" s="455">
        <f t="shared" ca="1" si="147"/>
        <v>6656688207.0999575</v>
      </c>
      <c r="M2344" s="471">
        <f t="shared" si="149"/>
        <v>0.05</v>
      </c>
      <c r="N2344" s="475">
        <f t="shared" si="150"/>
        <v>122389</v>
      </c>
    </row>
    <row r="2345" spans="7:14" ht="11.25" customHeight="1" x14ac:dyDescent="0.3">
      <c r="G2345" s="470"/>
      <c r="H2345" s="470">
        <v>2338</v>
      </c>
      <c r="I2345" s="455">
        <f t="shared" ca="1" si="148"/>
        <v>6656688207.0999575</v>
      </c>
      <c r="J2345" s="455">
        <f t="array" ref="J2345">IFERROR(INDEX('Retirement Calculator'!J:J,MATCH('Isaac 401k'!N2345,'Retirement Calculator'!A:A,0),0),0)</f>
        <v>0</v>
      </c>
      <c r="K2345" s="455">
        <f t="shared" ca="1" si="146"/>
        <v>27736200.862916488</v>
      </c>
      <c r="L2345" s="455">
        <f t="shared" ca="1" si="147"/>
        <v>6684424407.9628744</v>
      </c>
      <c r="M2345" s="471">
        <f t="shared" si="149"/>
        <v>0.05</v>
      </c>
      <c r="N2345" s="475">
        <f t="shared" si="150"/>
        <v>122417</v>
      </c>
    </row>
    <row r="2346" spans="7:14" ht="11.25" customHeight="1" x14ac:dyDescent="0.3">
      <c r="G2346" s="470"/>
      <c r="H2346" s="470">
        <v>2339</v>
      </c>
      <c r="I2346" s="455">
        <f t="shared" ca="1" si="148"/>
        <v>6684424407.9628744</v>
      </c>
      <c r="J2346" s="455">
        <f t="array" ref="J2346">IFERROR(INDEX('Retirement Calculator'!J:J,MATCH('Isaac 401k'!N2346,'Retirement Calculator'!A:A,0),0),0)</f>
        <v>0</v>
      </c>
      <c r="K2346" s="455">
        <f t="shared" ca="1" si="146"/>
        <v>27851768.366511974</v>
      </c>
      <c r="L2346" s="455">
        <f t="shared" ca="1" si="147"/>
        <v>6712276176.3293867</v>
      </c>
      <c r="M2346" s="471">
        <f t="shared" si="149"/>
        <v>0.05</v>
      </c>
      <c r="N2346" s="475">
        <f t="shared" si="150"/>
        <v>122448</v>
      </c>
    </row>
    <row r="2347" spans="7:14" ht="11.25" customHeight="1" x14ac:dyDescent="0.3">
      <c r="G2347" s="470"/>
      <c r="H2347" s="470">
        <v>2340</v>
      </c>
      <c r="I2347" s="455">
        <f t="shared" ca="1" si="148"/>
        <v>6712276176.3293867</v>
      </c>
      <c r="J2347" s="455">
        <f t="array" ref="J2347">IFERROR(INDEX('Retirement Calculator'!J:J,MATCH('Isaac 401k'!N2347,'Retirement Calculator'!A:A,0),0),0)</f>
        <v>0</v>
      </c>
      <c r="K2347" s="455">
        <f t="shared" ca="1" si="146"/>
        <v>27967817.401372444</v>
      </c>
      <c r="L2347" s="455">
        <f t="shared" ca="1" si="147"/>
        <v>6740243993.7307596</v>
      </c>
      <c r="M2347" s="471">
        <f t="shared" si="149"/>
        <v>0.05</v>
      </c>
      <c r="N2347" s="475">
        <f t="shared" si="150"/>
        <v>122478</v>
      </c>
    </row>
    <row r="2348" spans="7:14" ht="11.25" customHeight="1" x14ac:dyDescent="0.3">
      <c r="G2348" s="470"/>
      <c r="H2348" s="470">
        <v>2341</v>
      </c>
      <c r="I2348" s="455">
        <f t="shared" ca="1" si="148"/>
        <v>6740243993.7307596</v>
      </c>
      <c r="J2348" s="455">
        <f t="array" ref="J2348">IFERROR(INDEX('Retirement Calculator'!J:J,MATCH('Isaac 401k'!N2348,'Retirement Calculator'!A:A,0),0),0)</f>
        <v>0</v>
      </c>
      <c r="K2348" s="455">
        <f t="shared" ca="1" si="146"/>
        <v>28084349.973878168</v>
      </c>
      <c r="L2348" s="455">
        <f t="shared" ca="1" si="147"/>
        <v>6768328343.7046375</v>
      </c>
      <c r="M2348" s="471">
        <f t="shared" si="149"/>
        <v>0.05</v>
      </c>
      <c r="N2348" s="475">
        <f t="shared" si="150"/>
        <v>122509</v>
      </c>
    </row>
    <row r="2349" spans="7:14" ht="11.25" customHeight="1" x14ac:dyDescent="0.3">
      <c r="G2349" s="470"/>
      <c r="H2349" s="470">
        <v>2342</v>
      </c>
      <c r="I2349" s="455">
        <f t="shared" ca="1" si="148"/>
        <v>6768328343.7046375</v>
      </c>
      <c r="J2349" s="455">
        <f t="array" ref="J2349">IFERROR(INDEX('Retirement Calculator'!J:J,MATCH('Isaac 401k'!N2349,'Retirement Calculator'!A:A,0),0),0)</f>
        <v>0</v>
      </c>
      <c r="K2349" s="455">
        <f t="shared" ca="1" si="146"/>
        <v>28201368.098769322</v>
      </c>
      <c r="L2349" s="455">
        <f t="shared" ca="1" si="147"/>
        <v>6796529711.8034067</v>
      </c>
      <c r="M2349" s="471">
        <f t="shared" si="149"/>
        <v>0.05</v>
      </c>
      <c r="N2349" s="475">
        <f t="shared" si="150"/>
        <v>122539</v>
      </c>
    </row>
    <row r="2350" spans="7:14" ht="11.25" customHeight="1" x14ac:dyDescent="0.3">
      <c r="G2350" s="470"/>
      <c r="H2350" s="470">
        <v>2343</v>
      </c>
      <c r="I2350" s="455">
        <f t="shared" ca="1" si="148"/>
        <v>6796529711.8034067</v>
      </c>
      <c r="J2350" s="455">
        <f t="array" ref="J2350">IFERROR(INDEX('Retirement Calculator'!J:J,MATCH('Isaac 401k'!N2350,'Retirement Calculator'!A:A,0),0),0)</f>
        <v>0</v>
      </c>
      <c r="K2350" s="455">
        <f t="shared" ca="1" si="146"/>
        <v>28318873.799180862</v>
      </c>
      <c r="L2350" s="455">
        <f t="shared" ca="1" si="147"/>
        <v>6824848585.6025877</v>
      </c>
      <c r="M2350" s="471">
        <f t="shared" si="149"/>
        <v>0.05</v>
      </c>
      <c r="N2350" s="475">
        <f t="shared" si="150"/>
        <v>122570</v>
      </c>
    </row>
    <row r="2351" spans="7:14" ht="11.25" customHeight="1" x14ac:dyDescent="0.3">
      <c r="G2351" s="470"/>
      <c r="H2351" s="470">
        <v>2344</v>
      </c>
      <c r="I2351" s="455">
        <f t="shared" ca="1" si="148"/>
        <v>6824848585.6025877</v>
      </c>
      <c r="J2351" s="455">
        <f t="array" ref="J2351">IFERROR(INDEX('Retirement Calculator'!J:J,MATCH('Isaac 401k'!N2351,'Retirement Calculator'!A:A,0),0),0)</f>
        <v>0</v>
      </c>
      <c r="K2351" s="455">
        <f t="shared" ca="1" si="146"/>
        <v>28436869.106677447</v>
      </c>
      <c r="L2351" s="455">
        <f t="shared" ca="1" si="147"/>
        <v>6853285454.7092648</v>
      </c>
      <c r="M2351" s="471">
        <f t="shared" si="149"/>
        <v>0.05</v>
      </c>
      <c r="N2351" s="475">
        <f t="shared" si="150"/>
        <v>122601</v>
      </c>
    </row>
    <row r="2352" spans="7:14" ht="11.25" customHeight="1" x14ac:dyDescent="0.3">
      <c r="G2352" s="470"/>
      <c r="H2352" s="470">
        <v>2345</v>
      </c>
      <c r="I2352" s="455">
        <f t="shared" ca="1" si="148"/>
        <v>6853285454.7092648</v>
      </c>
      <c r="J2352" s="455">
        <f t="array" ref="J2352">IFERROR(INDEX('Retirement Calculator'!J:J,MATCH('Isaac 401k'!N2352,'Retirement Calculator'!A:A,0),0),0)</f>
        <v>0</v>
      </c>
      <c r="K2352" s="455">
        <f t="shared" ca="1" si="146"/>
        <v>28555356.061288603</v>
      </c>
      <c r="L2352" s="455">
        <f t="shared" ca="1" si="147"/>
        <v>6881840810.7705536</v>
      </c>
      <c r="M2352" s="471">
        <f t="shared" si="149"/>
        <v>0.05</v>
      </c>
      <c r="N2352" s="475">
        <f t="shared" si="150"/>
        <v>122631</v>
      </c>
    </row>
    <row r="2353" spans="7:14" ht="11.25" customHeight="1" x14ac:dyDescent="0.3">
      <c r="G2353" s="470"/>
      <c r="H2353" s="470">
        <v>2346</v>
      </c>
      <c r="I2353" s="455">
        <f t="shared" ca="1" si="148"/>
        <v>6881840810.7705536</v>
      </c>
      <c r="J2353" s="455">
        <f t="array" ref="J2353">IFERROR(INDEX('Retirement Calculator'!J:J,MATCH('Isaac 401k'!N2353,'Retirement Calculator'!A:A,0),0),0)</f>
        <v>0</v>
      </c>
      <c r="K2353" s="455">
        <f t="shared" ca="1" si="146"/>
        <v>28674336.71154397</v>
      </c>
      <c r="L2353" s="455">
        <f t="shared" ca="1" si="147"/>
        <v>6910515147.4820976</v>
      </c>
      <c r="M2353" s="471">
        <f t="shared" si="149"/>
        <v>0.05</v>
      </c>
      <c r="N2353" s="475">
        <f t="shared" si="150"/>
        <v>122662</v>
      </c>
    </row>
    <row r="2354" spans="7:14" ht="11.25" customHeight="1" x14ac:dyDescent="0.3">
      <c r="G2354" s="470"/>
      <c r="H2354" s="470">
        <v>2347</v>
      </c>
      <c r="I2354" s="455">
        <f t="shared" ca="1" si="148"/>
        <v>6910515147.4820976</v>
      </c>
      <c r="J2354" s="455">
        <f t="array" ref="J2354">IFERROR(INDEX('Retirement Calculator'!J:J,MATCH('Isaac 401k'!N2354,'Retirement Calculator'!A:A,0),0),0)</f>
        <v>0</v>
      </c>
      <c r="K2354" s="455">
        <f t="shared" ca="1" si="146"/>
        <v>28793813.114508741</v>
      </c>
      <c r="L2354" s="455">
        <f t="shared" ca="1" si="147"/>
        <v>6939308960.5966063</v>
      </c>
      <c r="M2354" s="471">
        <f t="shared" si="149"/>
        <v>0.05</v>
      </c>
      <c r="N2354" s="475">
        <f t="shared" si="150"/>
        <v>122692</v>
      </c>
    </row>
    <row r="2355" spans="7:14" ht="11.25" customHeight="1" x14ac:dyDescent="0.3">
      <c r="G2355" s="470"/>
      <c r="H2355" s="470">
        <v>2348</v>
      </c>
      <c r="I2355" s="455">
        <f t="shared" ca="1" si="148"/>
        <v>6939308960.5966063</v>
      </c>
      <c r="J2355" s="455">
        <f t="array" ref="J2355">IFERROR(INDEX('Retirement Calculator'!J:J,MATCH('Isaac 401k'!N2355,'Retirement Calculator'!A:A,0),0),0)</f>
        <v>0</v>
      </c>
      <c r="K2355" s="455">
        <f t="shared" ca="1" si="146"/>
        <v>28913787.335819192</v>
      </c>
      <c r="L2355" s="455">
        <f t="shared" ca="1" si="147"/>
        <v>6968222747.9324255</v>
      </c>
      <c r="M2355" s="471">
        <f t="shared" si="149"/>
        <v>0.05</v>
      </c>
      <c r="N2355" s="475">
        <f t="shared" si="150"/>
        <v>122723</v>
      </c>
    </row>
    <row r="2356" spans="7:14" ht="11.25" customHeight="1" x14ac:dyDescent="0.3">
      <c r="G2356" s="470"/>
      <c r="H2356" s="470">
        <v>2349</v>
      </c>
      <c r="I2356" s="455">
        <f t="shared" ca="1" si="148"/>
        <v>6968222747.9324255</v>
      </c>
      <c r="J2356" s="455">
        <f t="array" ref="J2356">IFERROR(INDEX('Retirement Calculator'!J:J,MATCH('Isaac 401k'!N2356,'Retirement Calculator'!A:A,0),0),0)</f>
        <v>0</v>
      </c>
      <c r="K2356" s="455">
        <f t="shared" ca="1" si="146"/>
        <v>29034261.449718442</v>
      </c>
      <c r="L2356" s="455">
        <f t="shared" ca="1" si="147"/>
        <v>6997257009.382144</v>
      </c>
      <c r="M2356" s="471">
        <f t="shared" si="149"/>
        <v>0.05</v>
      </c>
      <c r="N2356" s="475">
        <f t="shared" si="150"/>
        <v>122754</v>
      </c>
    </row>
    <row r="2357" spans="7:14" ht="11.25" customHeight="1" x14ac:dyDescent="0.3">
      <c r="G2357" s="470"/>
      <c r="H2357" s="470">
        <v>2350</v>
      </c>
      <c r="I2357" s="455">
        <f t="shared" ca="1" si="148"/>
        <v>6997257009.382144</v>
      </c>
      <c r="J2357" s="455">
        <f t="array" ref="J2357">IFERROR(INDEX('Retirement Calculator'!J:J,MATCH('Isaac 401k'!N2357,'Retirement Calculator'!A:A,0),0),0)</f>
        <v>0</v>
      </c>
      <c r="K2357" s="455">
        <f t="shared" ca="1" si="146"/>
        <v>29155237.539092269</v>
      </c>
      <c r="L2357" s="455">
        <f t="shared" ca="1" si="147"/>
        <v>7026412246.921236</v>
      </c>
      <c r="M2357" s="471">
        <f t="shared" si="149"/>
        <v>0.05</v>
      </c>
      <c r="N2357" s="475">
        <f t="shared" si="150"/>
        <v>122783</v>
      </c>
    </row>
    <row r="2358" spans="7:14" ht="11.25" customHeight="1" x14ac:dyDescent="0.3">
      <c r="G2358" s="470"/>
      <c r="H2358" s="470">
        <v>2351</v>
      </c>
      <c r="I2358" s="455">
        <f t="shared" ca="1" si="148"/>
        <v>7026412246.921236</v>
      </c>
      <c r="J2358" s="455">
        <f t="array" ref="J2358">IFERROR(INDEX('Retirement Calculator'!J:J,MATCH('Isaac 401k'!N2358,'Retirement Calculator'!A:A,0),0),0)</f>
        <v>0</v>
      </c>
      <c r="K2358" s="455">
        <f t="shared" ca="1" si="146"/>
        <v>29276717.695505146</v>
      </c>
      <c r="L2358" s="455">
        <f t="shared" ca="1" si="147"/>
        <v>7055688964.6167412</v>
      </c>
      <c r="M2358" s="471">
        <f t="shared" si="149"/>
        <v>0.05</v>
      </c>
      <c r="N2358" s="475">
        <f t="shared" si="150"/>
        <v>122814</v>
      </c>
    </row>
    <row r="2359" spans="7:14" ht="11.25" customHeight="1" x14ac:dyDescent="0.3">
      <c r="G2359" s="470"/>
      <c r="H2359" s="470">
        <v>2352</v>
      </c>
      <c r="I2359" s="455">
        <f t="shared" ca="1" si="148"/>
        <v>7055688964.6167412</v>
      </c>
      <c r="J2359" s="455">
        <f t="array" ref="J2359">IFERROR(INDEX('Retirement Calculator'!J:J,MATCH('Isaac 401k'!N2359,'Retirement Calculator'!A:A,0),0),0)</f>
        <v>0</v>
      </c>
      <c r="K2359" s="455">
        <f t="shared" ca="1" si="146"/>
        <v>29398704.019236419</v>
      </c>
      <c r="L2359" s="455">
        <f t="shared" ca="1" si="147"/>
        <v>7085087668.6359777</v>
      </c>
      <c r="M2359" s="471">
        <f t="shared" si="149"/>
        <v>0.05</v>
      </c>
      <c r="N2359" s="475">
        <f t="shared" si="150"/>
        <v>122844</v>
      </c>
    </row>
    <row r="2360" spans="7:14" ht="11.25" customHeight="1" x14ac:dyDescent="0.3">
      <c r="G2360" s="470"/>
      <c r="H2360" s="470">
        <v>2353</v>
      </c>
      <c r="I2360" s="455">
        <f t="shared" ca="1" si="148"/>
        <v>7085087668.6359777</v>
      </c>
      <c r="J2360" s="455">
        <f t="array" ref="J2360">IFERROR(INDEX('Retirement Calculator'!J:J,MATCH('Isaac 401k'!N2360,'Retirement Calculator'!A:A,0),0),0)</f>
        <v>0</v>
      </c>
      <c r="K2360" s="455">
        <f t="shared" ca="1" si="146"/>
        <v>29521198.619316574</v>
      </c>
      <c r="L2360" s="455">
        <f t="shared" ca="1" si="147"/>
        <v>7114608867.2552938</v>
      </c>
      <c r="M2360" s="471">
        <f t="shared" si="149"/>
        <v>0.05</v>
      </c>
      <c r="N2360" s="475">
        <f t="shared" si="150"/>
        <v>122875</v>
      </c>
    </row>
    <row r="2361" spans="7:14" ht="11.25" customHeight="1" x14ac:dyDescent="0.3">
      <c r="G2361" s="470"/>
      <c r="H2361" s="470">
        <v>2354</v>
      </c>
      <c r="I2361" s="455">
        <f t="shared" ca="1" si="148"/>
        <v>7114608867.2552938</v>
      </c>
      <c r="J2361" s="455">
        <f t="array" ref="J2361">IFERROR(INDEX('Retirement Calculator'!J:J,MATCH('Isaac 401k'!N2361,'Retirement Calculator'!A:A,0),0),0)</f>
        <v>0</v>
      </c>
      <c r="K2361" s="455">
        <f t="shared" ca="1" si="146"/>
        <v>29644203.613563724</v>
      </c>
      <c r="L2361" s="455">
        <f t="shared" ca="1" si="147"/>
        <v>7144253070.8688574</v>
      </c>
      <c r="M2361" s="471">
        <f t="shared" si="149"/>
        <v>0.05</v>
      </c>
      <c r="N2361" s="475">
        <f t="shared" si="150"/>
        <v>122905</v>
      </c>
    </row>
    <row r="2362" spans="7:14" ht="11.25" customHeight="1" x14ac:dyDescent="0.3">
      <c r="G2362" s="470"/>
      <c r="H2362" s="470">
        <v>2355</v>
      </c>
      <c r="I2362" s="455">
        <f t="shared" ca="1" si="148"/>
        <v>7144253070.8688574</v>
      </c>
      <c r="J2362" s="455">
        <f t="array" ref="J2362">IFERROR(INDEX('Retirement Calculator'!J:J,MATCH('Isaac 401k'!N2362,'Retirement Calculator'!A:A,0),0),0)</f>
        <v>0</v>
      </c>
      <c r="K2362" s="455">
        <f t="shared" ca="1" si="146"/>
        <v>29767721.128620237</v>
      </c>
      <c r="L2362" s="455">
        <f t="shared" ca="1" si="147"/>
        <v>7174020791.9974775</v>
      </c>
      <c r="M2362" s="471">
        <f t="shared" si="149"/>
        <v>0.05</v>
      </c>
      <c r="N2362" s="475">
        <f t="shared" si="150"/>
        <v>122936</v>
      </c>
    </row>
    <row r="2363" spans="7:14" ht="11.25" customHeight="1" x14ac:dyDescent="0.3">
      <c r="G2363" s="470"/>
      <c r="H2363" s="470">
        <v>2356</v>
      </c>
      <c r="I2363" s="455">
        <f t="shared" ca="1" si="148"/>
        <v>7174020791.9974775</v>
      </c>
      <c r="J2363" s="455">
        <f t="array" ref="J2363">IFERROR(INDEX('Retirement Calculator'!J:J,MATCH('Isaac 401k'!N2363,'Retirement Calculator'!A:A,0),0),0)</f>
        <v>0</v>
      </c>
      <c r="K2363" s="455">
        <f t="shared" ca="1" si="146"/>
        <v>29891753.299989488</v>
      </c>
      <c r="L2363" s="455">
        <f t="shared" ca="1" si="147"/>
        <v>7203912545.2974672</v>
      </c>
      <c r="M2363" s="471">
        <f t="shared" si="149"/>
        <v>0.05</v>
      </c>
      <c r="N2363" s="475">
        <f t="shared" si="150"/>
        <v>122967</v>
      </c>
    </row>
    <row r="2364" spans="7:14" ht="11.25" customHeight="1" x14ac:dyDescent="0.3">
      <c r="G2364" s="470"/>
      <c r="H2364" s="470">
        <v>2357</v>
      </c>
      <c r="I2364" s="455">
        <f t="shared" ca="1" si="148"/>
        <v>7203912545.2974672</v>
      </c>
      <c r="J2364" s="455">
        <f t="array" ref="J2364">IFERROR(INDEX('Retirement Calculator'!J:J,MATCH('Isaac 401k'!N2364,'Retirement Calculator'!A:A,0),0),0)</f>
        <v>0</v>
      </c>
      <c r="K2364" s="455">
        <f t="shared" ca="1" si="146"/>
        <v>30016302.272072777</v>
      </c>
      <c r="L2364" s="455">
        <f t="shared" ca="1" si="147"/>
        <v>7233928847.56954</v>
      </c>
      <c r="M2364" s="471">
        <f t="shared" si="149"/>
        <v>0.05</v>
      </c>
      <c r="N2364" s="475">
        <f t="shared" si="150"/>
        <v>122997</v>
      </c>
    </row>
    <row r="2365" spans="7:14" ht="11.25" customHeight="1" x14ac:dyDescent="0.3">
      <c r="G2365" s="470"/>
      <c r="H2365" s="470">
        <v>2358</v>
      </c>
      <c r="I2365" s="455">
        <f t="shared" ca="1" si="148"/>
        <v>7233928847.56954</v>
      </c>
      <c r="J2365" s="455">
        <f t="array" ref="J2365">IFERROR(INDEX('Retirement Calculator'!J:J,MATCH('Isaac 401k'!N2365,'Retirement Calculator'!A:A,0),0),0)</f>
        <v>0</v>
      </c>
      <c r="K2365" s="455">
        <f t="shared" ca="1" si="146"/>
        <v>30141370.198206417</v>
      </c>
      <c r="L2365" s="455">
        <f t="shared" ca="1" si="147"/>
        <v>7264070217.767746</v>
      </c>
      <c r="M2365" s="471">
        <f t="shared" si="149"/>
        <v>0.05</v>
      </c>
      <c r="N2365" s="475">
        <f t="shared" si="150"/>
        <v>123028</v>
      </c>
    </row>
    <row r="2366" spans="7:14" ht="11.25" customHeight="1" x14ac:dyDescent="0.3">
      <c r="G2366" s="470"/>
      <c r="H2366" s="470">
        <v>2359</v>
      </c>
      <c r="I2366" s="455">
        <f t="shared" ca="1" si="148"/>
        <v>7264070217.767746</v>
      </c>
      <c r="J2366" s="455">
        <f t="array" ref="J2366">IFERROR(INDEX('Retirement Calculator'!J:J,MATCH('Isaac 401k'!N2366,'Retirement Calculator'!A:A,0),0),0)</f>
        <v>0</v>
      </c>
      <c r="K2366" s="455">
        <f t="shared" ca="1" si="146"/>
        <v>30266959.240698941</v>
      </c>
      <c r="L2366" s="455">
        <f t="shared" ca="1" si="147"/>
        <v>7294337177.0084448</v>
      </c>
      <c r="M2366" s="471">
        <f t="shared" si="149"/>
        <v>0.05</v>
      </c>
      <c r="N2366" s="475">
        <f t="shared" si="150"/>
        <v>123058</v>
      </c>
    </row>
    <row r="2367" spans="7:14" ht="11.25" customHeight="1" x14ac:dyDescent="0.3">
      <c r="G2367" s="470"/>
      <c r="H2367" s="470">
        <v>2360</v>
      </c>
      <c r="I2367" s="455">
        <f t="shared" ca="1" si="148"/>
        <v>7294337177.0084448</v>
      </c>
      <c r="J2367" s="455">
        <f t="array" ref="J2367">IFERROR(INDEX('Retirement Calculator'!J:J,MATCH('Isaac 401k'!N2367,'Retirement Calculator'!A:A,0),0),0)</f>
        <v>0</v>
      </c>
      <c r="K2367" s="455">
        <f t="shared" ca="1" si="146"/>
        <v>30393071.570868514</v>
      </c>
      <c r="L2367" s="455">
        <f t="shared" ca="1" si="147"/>
        <v>7324730248.5793133</v>
      </c>
      <c r="M2367" s="471">
        <f t="shared" si="149"/>
        <v>0.05</v>
      </c>
      <c r="N2367" s="475">
        <f t="shared" si="150"/>
        <v>123089</v>
      </c>
    </row>
    <row r="2368" spans="7:14" ht="11.25" customHeight="1" x14ac:dyDescent="0.3">
      <c r="G2368" s="470"/>
      <c r="H2368" s="470">
        <v>2361</v>
      </c>
      <c r="I2368" s="455">
        <f t="shared" ca="1" si="148"/>
        <v>7324730248.5793133</v>
      </c>
      <c r="J2368" s="455">
        <f t="array" ref="J2368">IFERROR(INDEX('Retirement Calculator'!J:J,MATCH('Isaac 401k'!N2368,'Retirement Calculator'!A:A,0),0),0)</f>
        <v>0</v>
      </c>
      <c r="K2368" s="455">
        <f t="shared" ca="1" si="146"/>
        <v>30519709.369080473</v>
      </c>
      <c r="L2368" s="455">
        <f t="shared" ca="1" si="147"/>
        <v>7355249957.9483938</v>
      </c>
      <c r="M2368" s="471">
        <f t="shared" si="149"/>
        <v>0.05</v>
      </c>
      <c r="N2368" s="475">
        <f t="shared" si="150"/>
        <v>123120</v>
      </c>
    </row>
    <row r="2369" spans="7:14" ht="11.25" customHeight="1" x14ac:dyDescent="0.3">
      <c r="G2369" s="470"/>
      <c r="H2369" s="470">
        <v>2362</v>
      </c>
      <c r="I2369" s="455">
        <f t="shared" ca="1" si="148"/>
        <v>7355249957.9483938</v>
      </c>
      <c r="J2369" s="455">
        <f t="array" ref="J2369">IFERROR(INDEX('Retirement Calculator'!J:J,MATCH('Isaac 401k'!N2369,'Retirement Calculator'!A:A,0),0),0)</f>
        <v>0</v>
      </c>
      <c r="K2369" s="455">
        <f t="shared" ca="1" si="146"/>
        <v>30646874.824784975</v>
      </c>
      <c r="L2369" s="455">
        <f t="shared" ca="1" si="147"/>
        <v>7385896832.7731791</v>
      </c>
      <c r="M2369" s="471">
        <f t="shared" si="149"/>
        <v>0.05</v>
      </c>
      <c r="N2369" s="475">
        <f t="shared" si="150"/>
        <v>123148</v>
      </c>
    </row>
    <row r="2370" spans="7:14" ht="11.25" customHeight="1" x14ac:dyDescent="0.3">
      <c r="G2370" s="470"/>
      <c r="H2370" s="470">
        <v>2363</v>
      </c>
      <c r="I2370" s="455">
        <f t="shared" ca="1" si="148"/>
        <v>7385896832.7731791</v>
      </c>
      <c r="J2370" s="455">
        <f t="array" ref="J2370">IFERROR(INDEX('Retirement Calculator'!J:J,MATCH('Isaac 401k'!N2370,'Retirement Calculator'!A:A,0),0),0)</f>
        <v>0</v>
      </c>
      <c r="K2370" s="455">
        <f t="shared" ca="1" si="146"/>
        <v>30774570.136554915</v>
      </c>
      <c r="L2370" s="455">
        <f t="shared" ca="1" si="147"/>
        <v>7416671402.9097338</v>
      </c>
      <c r="M2370" s="471">
        <f t="shared" si="149"/>
        <v>0.05</v>
      </c>
      <c r="N2370" s="475">
        <f t="shared" si="150"/>
        <v>123179</v>
      </c>
    </row>
    <row r="2371" spans="7:14" ht="11.25" customHeight="1" x14ac:dyDescent="0.3">
      <c r="G2371" s="470"/>
      <c r="H2371" s="470">
        <v>2364</v>
      </c>
      <c r="I2371" s="455">
        <f t="shared" ca="1" si="148"/>
        <v>7416671402.9097338</v>
      </c>
      <c r="J2371" s="455">
        <f t="array" ref="J2371">IFERROR(INDEX('Retirement Calculator'!J:J,MATCH('Isaac 401k'!N2371,'Retirement Calculator'!A:A,0),0),0)</f>
        <v>0</v>
      </c>
      <c r="K2371" s="455">
        <f t="shared" ca="1" si="146"/>
        <v>30902797.51212389</v>
      </c>
      <c r="L2371" s="455">
        <f t="shared" ca="1" si="147"/>
        <v>7447574200.4218578</v>
      </c>
      <c r="M2371" s="471">
        <f t="shared" si="149"/>
        <v>0.05</v>
      </c>
      <c r="N2371" s="475">
        <f t="shared" si="150"/>
        <v>123209</v>
      </c>
    </row>
    <row r="2372" spans="7:14" ht="11.25" customHeight="1" x14ac:dyDescent="0.3">
      <c r="G2372" s="470"/>
      <c r="H2372" s="470">
        <v>2365</v>
      </c>
      <c r="I2372" s="455">
        <f t="shared" ca="1" si="148"/>
        <v>7447574200.4218578</v>
      </c>
      <c r="J2372" s="455">
        <f t="array" ref="J2372">IFERROR(INDEX('Retirement Calculator'!J:J,MATCH('Isaac 401k'!N2372,'Retirement Calculator'!A:A,0),0),0)</f>
        <v>0</v>
      </c>
      <c r="K2372" s="455">
        <f t="shared" ca="1" si="146"/>
        <v>31031559.168424409</v>
      </c>
      <c r="L2372" s="455">
        <f t="shared" ca="1" si="147"/>
        <v>7478605759.5902824</v>
      </c>
      <c r="M2372" s="471">
        <f t="shared" si="149"/>
        <v>0.05</v>
      </c>
      <c r="N2372" s="475">
        <f t="shared" si="150"/>
        <v>123240</v>
      </c>
    </row>
    <row r="2373" spans="7:14" ht="11.25" customHeight="1" x14ac:dyDescent="0.3">
      <c r="G2373" s="470"/>
      <c r="H2373" s="470">
        <v>2366</v>
      </c>
      <c r="I2373" s="455">
        <f t="shared" ca="1" si="148"/>
        <v>7478605759.5902824</v>
      </c>
      <c r="J2373" s="455">
        <f t="array" ref="J2373">IFERROR(INDEX('Retirement Calculator'!J:J,MATCH('Isaac 401k'!N2373,'Retirement Calculator'!A:A,0),0),0)</f>
        <v>0</v>
      </c>
      <c r="K2373" s="455">
        <f t="shared" ca="1" si="146"/>
        <v>31160857.331626173</v>
      </c>
      <c r="L2373" s="455">
        <f t="shared" ca="1" si="147"/>
        <v>7509766616.9219084</v>
      </c>
      <c r="M2373" s="471">
        <f t="shared" si="149"/>
        <v>0.05</v>
      </c>
      <c r="N2373" s="475">
        <f t="shared" si="150"/>
        <v>123270</v>
      </c>
    </row>
    <row r="2374" spans="7:14" ht="11.25" customHeight="1" x14ac:dyDescent="0.3">
      <c r="G2374" s="470"/>
      <c r="H2374" s="470">
        <v>2367</v>
      </c>
      <c r="I2374" s="455">
        <f t="shared" ca="1" si="148"/>
        <v>7509766616.9219084</v>
      </c>
      <c r="J2374" s="455">
        <f t="array" ref="J2374">IFERROR(INDEX('Retirement Calculator'!J:J,MATCH('Isaac 401k'!N2374,'Retirement Calculator'!A:A,0),0),0)</f>
        <v>0</v>
      </c>
      <c r="K2374" s="455">
        <f t="shared" ca="1" si="146"/>
        <v>31290694.237174619</v>
      </c>
      <c r="L2374" s="455">
        <f t="shared" ca="1" si="147"/>
        <v>7541057311.1590834</v>
      </c>
      <c r="M2374" s="471">
        <f t="shared" si="149"/>
        <v>0.05</v>
      </c>
      <c r="N2374" s="475">
        <f t="shared" si="150"/>
        <v>123301</v>
      </c>
    </row>
    <row r="2375" spans="7:14" ht="11.25" customHeight="1" x14ac:dyDescent="0.3">
      <c r="G2375" s="470"/>
      <c r="H2375" s="470">
        <v>2368</v>
      </c>
      <c r="I2375" s="455">
        <f t="shared" ca="1" si="148"/>
        <v>7541057311.1590834</v>
      </c>
      <c r="J2375" s="455">
        <f t="array" ref="J2375">IFERROR(INDEX('Retirement Calculator'!J:J,MATCH('Isaac 401k'!N2375,'Retirement Calculator'!A:A,0),0),0)</f>
        <v>0</v>
      </c>
      <c r="K2375" s="455">
        <f t="shared" ca="1" si="146"/>
        <v>31421072.129829515</v>
      </c>
      <c r="L2375" s="455">
        <f t="shared" ca="1" si="147"/>
        <v>7572478383.2889128</v>
      </c>
      <c r="M2375" s="471">
        <f t="shared" si="149"/>
        <v>0.05</v>
      </c>
      <c r="N2375" s="475">
        <f t="shared" si="150"/>
        <v>123332</v>
      </c>
    </row>
    <row r="2376" spans="7:14" ht="11.25" customHeight="1" x14ac:dyDescent="0.3">
      <c r="G2376" s="470"/>
      <c r="H2376" s="470">
        <v>2369</v>
      </c>
      <c r="I2376" s="455">
        <f t="shared" ca="1" si="148"/>
        <v>7572478383.2889128</v>
      </c>
      <c r="J2376" s="455">
        <f t="array" ref="J2376">IFERROR(INDEX('Retirement Calculator'!J:J,MATCH('Isaac 401k'!N2376,'Retirement Calculator'!A:A,0),0),0)</f>
        <v>0</v>
      </c>
      <c r="K2376" s="455">
        <f t="shared" ca="1" si="146"/>
        <v>31551993.263703808</v>
      </c>
      <c r="L2376" s="455">
        <f t="shared" ca="1" si="147"/>
        <v>7604030376.5526161</v>
      </c>
      <c r="M2376" s="471">
        <f t="shared" si="149"/>
        <v>0.05</v>
      </c>
      <c r="N2376" s="475">
        <f t="shared" si="150"/>
        <v>123362</v>
      </c>
    </row>
    <row r="2377" spans="7:14" ht="11.25" customHeight="1" x14ac:dyDescent="0.3">
      <c r="G2377" s="470"/>
      <c r="H2377" s="470">
        <v>2370</v>
      </c>
      <c r="I2377" s="455">
        <f t="shared" ca="1" si="148"/>
        <v>7604030376.5526161</v>
      </c>
      <c r="J2377" s="455">
        <f t="array" ref="J2377">IFERROR(INDEX('Retirement Calculator'!J:J,MATCH('Isaac 401k'!N2377,'Retirement Calculator'!A:A,0),0),0)</f>
        <v>0</v>
      </c>
      <c r="K2377" s="455">
        <f t="shared" ca="1" si="146"/>
        <v>31683459.902302571</v>
      </c>
      <c r="L2377" s="455">
        <f t="shared" ca="1" si="147"/>
        <v>7635713836.4549189</v>
      </c>
      <c r="M2377" s="471">
        <f t="shared" si="149"/>
        <v>0.05</v>
      </c>
      <c r="N2377" s="475">
        <f t="shared" si="150"/>
        <v>123393</v>
      </c>
    </row>
    <row r="2378" spans="7:14" ht="11.25" customHeight="1" x14ac:dyDescent="0.3">
      <c r="G2378" s="470"/>
      <c r="H2378" s="470">
        <v>2371</v>
      </c>
      <c r="I2378" s="455">
        <f t="shared" ca="1" si="148"/>
        <v>7635713836.4549189</v>
      </c>
      <c r="J2378" s="455">
        <f t="array" ref="J2378">IFERROR(INDEX('Retirement Calculator'!J:J,MATCH('Isaac 401k'!N2378,'Retirement Calculator'!A:A,0),0),0)</f>
        <v>0</v>
      </c>
      <c r="K2378" s="455">
        <f t="shared" ca="1" si="146"/>
        <v>31815474.318562161</v>
      </c>
      <c r="L2378" s="455">
        <f t="shared" ca="1" si="147"/>
        <v>7667529310.7734814</v>
      </c>
      <c r="M2378" s="471">
        <f t="shared" si="149"/>
        <v>0.05</v>
      </c>
      <c r="N2378" s="475">
        <f t="shared" si="150"/>
        <v>123423</v>
      </c>
    </row>
    <row r="2379" spans="7:14" ht="11.25" customHeight="1" x14ac:dyDescent="0.3">
      <c r="G2379" s="470"/>
      <c r="H2379" s="470">
        <v>2372</v>
      </c>
      <c r="I2379" s="455">
        <f t="shared" ca="1" si="148"/>
        <v>7667529310.7734814</v>
      </c>
      <c r="J2379" s="455">
        <f t="array" ref="J2379">IFERROR(INDEX('Retirement Calculator'!J:J,MATCH('Isaac 401k'!N2379,'Retirement Calculator'!A:A,0),0),0)</f>
        <v>0</v>
      </c>
      <c r="K2379" s="455">
        <f t="shared" ca="1" si="146"/>
        <v>31948038.794889506</v>
      </c>
      <c r="L2379" s="455">
        <f t="shared" ca="1" si="147"/>
        <v>7699477349.5683708</v>
      </c>
      <c r="M2379" s="471">
        <f t="shared" si="149"/>
        <v>0.05</v>
      </c>
      <c r="N2379" s="475">
        <f t="shared" si="150"/>
        <v>123454</v>
      </c>
    </row>
    <row r="2380" spans="7:14" ht="11.25" customHeight="1" x14ac:dyDescent="0.3">
      <c r="G2380" s="470"/>
      <c r="H2380" s="470">
        <v>2373</v>
      </c>
      <c r="I2380" s="455">
        <f t="shared" ca="1" si="148"/>
        <v>7699477349.5683708</v>
      </c>
      <c r="J2380" s="455">
        <f t="array" ref="J2380">IFERROR(INDEX('Retirement Calculator'!J:J,MATCH('Isaac 401k'!N2380,'Retirement Calculator'!A:A,0),0),0)</f>
        <v>0</v>
      </c>
      <c r="K2380" s="455">
        <f t="shared" ca="1" si="146"/>
        <v>32081155.623201549</v>
      </c>
      <c r="L2380" s="455">
        <f t="shared" ca="1" si="147"/>
        <v>7731558505.1915722</v>
      </c>
      <c r="M2380" s="471">
        <f t="shared" si="149"/>
        <v>0.05</v>
      </c>
      <c r="N2380" s="475">
        <f t="shared" si="150"/>
        <v>123485</v>
      </c>
    </row>
    <row r="2381" spans="7:14" ht="11.25" customHeight="1" x14ac:dyDescent="0.3">
      <c r="G2381" s="470"/>
      <c r="H2381" s="470">
        <v>2374</v>
      </c>
      <c r="I2381" s="455">
        <f t="shared" ca="1" si="148"/>
        <v>7731558505.1915722</v>
      </c>
      <c r="J2381" s="455">
        <f t="array" ref="J2381">IFERROR(INDEX('Retirement Calculator'!J:J,MATCH('Isaac 401k'!N2381,'Retirement Calculator'!A:A,0),0),0)</f>
        <v>0</v>
      </c>
      <c r="K2381" s="455">
        <f t="shared" ca="1" si="146"/>
        <v>32214827.104964886</v>
      </c>
      <c r="L2381" s="455">
        <f t="shared" ca="1" si="147"/>
        <v>7763773332.2965374</v>
      </c>
      <c r="M2381" s="471">
        <f t="shared" si="149"/>
        <v>0.05</v>
      </c>
      <c r="N2381" s="475">
        <f t="shared" si="150"/>
        <v>123513</v>
      </c>
    </row>
    <row r="2382" spans="7:14" ht="11.25" customHeight="1" x14ac:dyDescent="0.3">
      <c r="G2382" s="470"/>
      <c r="H2382" s="470">
        <v>2375</v>
      </c>
      <c r="I2382" s="455">
        <f t="shared" ca="1" si="148"/>
        <v>7763773332.2965374</v>
      </c>
      <c r="J2382" s="455">
        <f t="array" ref="J2382">IFERROR(INDEX('Retirement Calculator'!J:J,MATCH('Isaac 401k'!N2382,'Retirement Calculator'!A:A,0),0),0)</f>
        <v>0</v>
      </c>
      <c r="K2382" s="455">
        <f t="shared" ca="1" si="146"/>
        <v>32349055.551235572</v>
      </c>
      <c r="L2382" s="455">
        <f t="shared" ca="1" si="147"/>
        <v>7796122387.8477726</v>
      </c>
      <c r="M2382" s="471">
        <f t="shared" si="149"/>
        <v>0.05</v>
      </c>
      <c r="N2382" s="475">
        <f t="shared" si="150"/>
        <v>123544</v>
      </c>
    </row>
    <row r="2383" spans="7:14" ht="11.25" customHeight="1" x14ac:dyDescent="0.3">
      <c r="G2383" s="470"/>
      <c r="H2383" s="470">
        <v>2376</v>
      </c>
      <c r="I2383" s="455">
        <f t="shared" ca="1" si="148"/>
        <v>7796122387.8477726</v>
      </c>
      <c r="J2383" s="455">
        <f t="array" ref="J2383">IFERROR(INDEX('Retirement Calculator'!J:J,MATCH('Isaac 401k'!N2383,'Retirement Calculator'!A:A,0),0),0)</f>
        <v>0</v>
      </c>
      <c r="K2383" s="455">
        <f t="shared" ca="1" si="146"/>
        <v>32483843.282699056</v>
      </c>
      <c r="L2383" s="455">
        <f t="shared" ca="1" si="147"/>
        <v>7828606231.1304712</v>
      </c>
      <c r="M2383" s="471">
        <f t="shared" si="149"/>
        <v>0.05</v>
      </c>
      <c r="N2383" s="475">
        <f t="shared" si="150"/>
        <v>123574</v>
      </c>
    </row>
    <row r="2384" spans="7:14" ht="11.25" customHeight="1" x14ac:dyDescent="0.3">
      <c r="G2384" s="470"/>
      <c r="H2384" s="470">
        <v>2377</v>
      </c>
      <c r="I2384" s="455">
        <f t="shared" ca="1" si="148"/>
        <v>7828606231.1304712</v>
      </c>
      <c r="J2384" s="455">
        <f t="array" ref="J2384">IFERROR(INDEX('Retirement Calculator'!J:J,MATCH('Isaac 401k'!N2384,'Retirement Calculator'!A:A,0),0),0)</f>
        <v>0</v>
      </c>
      <c r="K2384" s="455">
        <f t="shared" ca="1" si="146"/>
        <v>32619192.629710298</v>
      </c>
      <c r="L2384" s="455">
        <f t="shared" ca="1" si="147"/>
        <v>7861225423.7601814</v>
      </c>
      <c r="M2384" s="471">
        <f t="shared" si="149"/>
        <v>0.05</v>
      </c>
      <c r="N2384" s="475">
        <f t="shared" si="150"/>
        <v>123605</v>
      </c>
    </row>
    <row r="2385" spans="7:14" ht="11.25" customHeight="1" x14ac:dyDescent="0.3">
      <c r="G2385" s="470"/>
      <c r="H2385" s="470">
        <v>2378</v>
      </c>
      <c r="I2385" s="455">
        <f t="shared" ca="1" si="148"/>
        <v>7861225423.7601814</v>
      </c>
      <c r="J2385" s="455">
        <f t="array" ref="J2385">IFERROR(INDEX('Retirement Calculator'!J:J,MATCH('Isaac 401k'!N2385,'Retirement Calculator'!A:A,0),0),0)</f>
        <v>0</v>
      </c>
      <c r="K2385" s="455">
        <f t="shared" ca="1" si="146"/>
        <v>32755105.932334092</v>
      </c>
      <c r="L2385" s="455">
        <f t="shared" ca="1" si="147"/>
        <v>7893980529.6925154</v>
      </c>
      <c r="M2385" s="471">
        <f t="shared" si="149"/>
        <v>0.05</v>
      </c>
      <c r="N2385" s="475">
        <f t="shared" si="150"/>
        <v>123635</v>
      </c>
    </row>
    <row r="2386" spans="7:14" ht="11.25" customHeight="1" x14ac:dyDescent="0.3">
      <c r="G2386" s="470"/>
      <c r="H2386" s="470">
        <v>2379</v>
      </c>
      <c r="I2386" s="455">
        <f t="shared" ca="1" si="148"/>
        <v>7893980529.6925154</v>
      </c>
      <c r="J2386" s="455">
        <f t="array" ref="J2386">IFERROR(INDEX('Retirement Calculator'!J:J,MATCH('Isaac 401k'!N2386,'Retirement Calculator'!A:A,0),0),0)</f>
        <v>0</v>
      </c>
      <c r="K2386" s="455">
        <f t="shared" ca="1" si="146"/>
        <v>32891585.540385481</v>
      </c>
      <c r="L2386" s="455">
        <f t="shared" ca="1" si="147"/>
        <v>7926872115.2329006</v>
      </c>
      <c r="M2386" s="471">
        <f t="shared" si="149"/>
        <v>0.05</v>
      </c>
      <c r="N2386" s="475">
        <f t="shared" si="150"/>
        <v>123666</v>
      </c>
    </row>
    <row r="2387" spans="7:14" ht="11.25" customHeight="1" x14ac:dyDescent="0.3">
      <c r="G2387" s="470"/>
      <c r="H2387" s="470">
        <v>2380</v>
      </c>
      <c r="I2387" s="455">
        <f t="shared" ca="1" si="148"/>
        <v>7926872115.2329006</v>
      </c>
      <c r="J2387" s="455">
        <f t="array" ref="J2387">IFERROR(INDEX('Retirement Calculator'!J:J,MATCH('Isaac 401k'!N2387,'Retirement Calculator'!A:A,0),0),0)</f>
        <v>0</v>
      </c>
      <c r="K2387" s="455">
        <f t="shared" ca="1" si="146"/>
        <v>33028633.813470419</v>
      </c>
      <c r="L2387" s="455">
        <f t="shared" ca="1" si="147"/>
        <v>7959900749.0463715</v>
      </c>
      <c r="M2387" s="471">
        <f t="shared" si="149"/>
        <v>0.05</v>
      </c>
      <c r="N2387" s="475">
        <f t="shared" si="150"/>
        <v>123697</v>
      </c>
    </row>
    <row r="2388" spans="7:14" ht="11.25" customHeight="1" x14ac:dyDescent="0.3">
      <c r="G2388" s="470"/>
      <c r="H2388" s="470">
        <v>2381</v>
      </c>
      <c r="I2388" s="455">
        <f t="shared" ca="1" si="148"/>
        <v>7959900749.0463715</v>
      </c>
      <c r="J2388" s="455">
        <f t="array" ref="J2388">IFERROR(INDEX('Retirement Calculator'!J:J,MATCH('Isaac 401k'!N2388,'Retirement Calculator'!A:A,0),0),0)</f>
        <v>0</v>
      </c>
      <c r="K2388" s="455">
        <f t="shared" ca="1" si="146"/>
        <v>33166253.121026549</v>
      </c>
      <c r="L2388" s="455">
        <f t="shared" ca="1" si="147"/>
        <v>7993067002.1673985</v>
      </c>
      <c r="M2388" s="471">
        <f t="shared" si="149"/>
        <v>0.05</v>
      </c>
      <c r="N2388" s="475">
        <f t="shared" si="150"/>
        <v>123727</v>
      </c>
    </row>
    <row r="2389" spans="7:14" ht="11.25" customHeight="1" x14ac:dyDescent="0.3">
      <c r="G2389" s="470"/>
      <c r="H2389" s="470">
        <v>2382</v>
      </c>
      <c r="I2389" s="455">
        <f t="shared" ca="1" si="148"/>
        <v>7993067002.1673985</v>
      </c>
      <c r="J2389" s="455">
        <f t="array" ref="J2389">IFERROR(INDEX('Retirement Calculator'!J:J,MATCH('Isaac 401k'!N2389,'Retirement Calculator'!A:A,0),0),0)</f>
        <v>0</v>
      </c>
      <c r="K2389" s="455">
        <f t="shared" ca="1" si="146"/>
        <v>33304445.842364158</v>
      </c>
      <c r="L2389" s="455">
        <f t="shared" ca="1" si="147"/>
        <v>8026371448.0097628</v>
      </c>
      <c r="M2389" s="471">
        <f t="shared" si="149"/>
        <v>0.05</v>
      </c>
      <c r="N2389" s="475">
        <f t="shared" si="150"/>
        <v>123758</v>
      </c>
    </row>
    <row r="2390" spans="7:14" ht="11.25" customHeight="1" x14ac:dyDescent="0.3">
      <c r="G2390" s="470"/>
      <c r="H2390" s="470">
        <v>2383</v>
      </c>
      <c r="I2390" s="455">
        <f t="shared" ca="1" si="148"/>
        <v>8026371448.0097628</v>
      </c>
      <c r="J2390" s="455">
        <f t="array" ref="J2390">IFERROR(INDEX('Retirement Calculator'!J:J,MATCH('Isaac 401k'!N2390,'Retirement Calculator'!A:A,0),0),0)</f>
        <v>0</v>
      </c>
      <c r="K2390" s="455">
        <f t="shared" ca="1" si="146"/>
        <v>33443214.366707344</v>
      </c>
      <c r="L2390" s="455">
        <f t="shared" ca="1" si="147"/>
        <v>8059814662.3764706</v>
      </c>
      <c r="M2390" s="471">
        <f t="shared" si="149"/>
        <v>0.05</v>
      </c>
      <c r="N2390" s="475">
        <f t="shared" si="150"/>
        <v>123788</v>
      </c>
    </row>
    <row r="2391" spans="7:14" ht="11.25" customHeight="1" x14ac:dyDescent="0.3">
      <c r="G2391" s="470"/>
      <c r="H2391" s="470">
        <v>2384</v>
      </c>
      <c r="I2391" s="455">
        <f t="shared" ca="1" si="148"/>
        <v>8059814662.3764706</v>
      </c>
      <c r="J2391" s="455">
        <f t="array" ref="J2391">IFERROR(INDEX('Retirement Calculator'!J:J,MATCH('Isaac 401k'!N2391,'Retirement Calculator'!A:A,0),0),0)</f>
        <v>0</v>
      </c>
      <c r="K2391" s="455">
        <f t="shared" ca="1" si="146"/>
        <v>33582561.093235299</v>
      </c>
      <c r="L2391" s="455">
        <f t="shared" ca="1" si="147"/>
        <v>8093397223.4697056</v>
      </c>
      <c r="M2391" s="471">
        <f t="shared" si="149"/>
        <v>0.05</v>
      </c>
      <c r="N2391" s="475">
        <f t="shared" si="150"/>
        <v>123819</v>
      </c>
    </row>
    <row r="2392" spans="7:14" ht="11.25" customHeight="1" x14ac:dyDescent="0.3">
      <c r="G2392" s="470"/>
      <c r="H2392" s="470">
        <v>2385</v>
      </c>
      <c r="I2392" s="455">
        <f t="shared" ca="1" si="148"/>
        <v>8093397223.4697056</v>
      </c>
      <c r="J2392" s="455">
        <f t="array" ref="J2392">IFERROR(INDEX('Retirement Calculator'!J:J,MATCH('Isaac 401k'!N2392,'Retirement Calculator'!A:A,0),0),0)</f>
        <v>0</v>
      </c>
      <c r="K2392" s="455">
        <f t="shared" ca="1" si="146"/>
        <v>33722488.431123771</v>
      </c>
      <c r="L2392" s="455">
        <f t="shared" ca="1" si="147"/>
        <v>8127119711.9008293</v>
      </c>
      <c r="M2392" s="471">
        <f t="shared" si="149"/>
        <v>0.05</v>
      </c>
      <c r="N2392" s="475">
        <f t="shared" si="150"/>
        <v>123850</v>
      </c>
    </row>
    <row r="2393" spans="7:14" ht="11.25" customHeight="1" x14ac:dyDescent="0.3">
      <c r="G2393" s="470"/>
      <c r="H2393" s="470">
        <v>2386</v>
      </c>
      <c r="I2393" s="455">
        <f t="shared" ca="1" si="148"/>
        <v>8127119711.9008293</v>
      </c>
      <c r="J2393" s="455">
        <f t="array" ref="J2393">IFERROR(INDEX('Retirement Calculator'!J:J,MATCH('Isaac 401k'!N2393,'Retirement Calculator'!A:A,0),0),0)</f>
        <v>0</v>
      </c>
      <c r="K2393" s="455">
        <f t="shared" ca="1" si="146"/>
        <v>33862998.799586788</v>
      </c>
      <c r="L2393" s="455">
        <f t="shared" ca="1" si="147"/>
        <v>8160982710.7004166</v>
      </c>
      <c r="M2393" s="471">
        <f t="shared" si="149"/>
        <v>0.05</v>
      </c>
      <c r="N2393" s="475">
        <f t="shared" si="150"/>
        <v>123878</v>
      </c>
    </row>
    <row r="2394" spans="7:14" ht="11.25" customHeight="1" x14ac:dyDescent="0.3">
      <c r="G2394" s="470"/>
      <c r="H2394" s="470">
        <v>2387</v>
      </c>
      <c r="I2394" s="455">
        <f t="shared" ca="1" si="148"/>
        <v>8160982710.7004166</v>
      </c>
      <c r="J2394" s="455">
        <f t="array" ref="J2394">IFERROR(INDEX('Retirement Calculator'!J:J,MATCH('Isaac 401k'!N2394,'Retirement Calculator'!A:A,0),0),0)</f>
        <v>0</v>
      </c>
      <c r="K2394" s="455">
        <f t="shared" ca="1" si="146"/>
        <v>34004094.6279184</v>
      </c>
      <c r="L2394" s="455">
        <f t="shared" ca="1" si="147"/>
        <v>8194986805.3283348</v>
      </c>
      <c r="M2394" s="471">
        <f t="shared" si="149"/>
        <v>0.05</v>
      </c>
      <c r="N2394" s="475">
        <f t="shared" si="150"/>
        <v>123909</v>
      </c>
    </row>
    <row r="2395" spans="7:14" ht="11.25" customHeight="1" x14ac:dyDescent="0.3">
      <c r="G2395" s="470"/>
      <c r="H2395" s="470">
        <v>2388</v>
      </c>
      <c r="I2395" s="455">
        <f t="shared" ca="1" si="148"/>
        <v>8194986805.3283348</v>
      </c>
      <c r="J2395" s="455">
        <f t="array" ref="J2395">IFERROR(INDEX('Retirement Calculator'!J:J,MATCH('Isaac 401k'!N2395,'Retirement Calculator'!A:A,0),0),0)</f>
        <v>0</v>
      </c>
      <c r="K2395" s="455">
        <f t="shared" ca="1" si="146"/>
        <v>34145778.355534725</v>
      </c>
      <c r="L2395" s="455">
        <f t="shared" ca="1" si="147"/>
        <v>8229132583.6838694</v>
      </c>
      <c r="M2395" s="471">
        <f t="shared" si="149"/>
        <v>0.05</v>
      </c>
      <c r="N2395" s="475">
        <f t="shared" si="150"/>
        <v>123939</v>
      </c>
    </row>
    <row r="2396" spans="7:14" ht="11.25" customHeight="1" x14ac:dyDescent="0.3">
      <c r="G2396" s="470"/>
      <c r="H2396" s="470">
        <v>2389</v>
      </c>
      <c r="I2396" s="455">
        <f t="shared" ca="1" si="148"/>
        <v>8229132583.6838694</v>
      </c>
      <c r="J2396" s="455">
        <f t="array" ref="J2396">IFERROR(INDEX('Retirement Calculator'!J:J,MATCH('Isaac 401k'!N2396,'Retirement Calculator'!A:A,0),0),0)</f>
        <v>0</v>
      </c>
      <c r="K2396" s="455">
        <f t="shared" ca="1" si="146"/>
        <v>34288052.432016119</v>
      </c>
      <c r="L2396" s="455">
        <f t="shared" ca="1" si="147"/>
        <v>8263420636.1158857</v>
      </c>
      <c r="M2396" s="471">
        <f t="shared" si="149"/>
        <v>0.05</v>
      </c>
      <c r="N2396" s="475">
        <f t="shared" si="150"/>
        <v>123970</v>
      </c>
    </row>
    <row r="2397" spans="7:14" ht="11.25" customHeight="1" x14ac:dyDescent="0.3">
      <c r="G2397" s="470"/>
      <c r="H2397" s="470">
        <v>2390</v>
      </c>
      <c r="I2397" s="455">
        <f t="shared" ca="1" si="148"/>
        <v>8263420636.1158857</v>
      </c>
      <c r="J2397" s="455">
        <f t="array" ref="J2397">IFERROR(INDEX('Retirement Calculator'!J:J,MATCH('Isaac 401k'!N2397,'Retirement Calculator'!A:A,0),0),0)</f>
        <v>0</v>
      </c>
      <c r="K2397" s="455">
        <f t="shared" ca="1" si="146"/>
        <v>34430919.31714952</v>
      </c>
      <c r="L2397" s="455">
        <f t="shared" ca="1" si="147"/>
        <v>8297851555.4330349</v>
      </c>
      <c r="M2397" s="471">
        <f t="shared" si="149"/>
        <v>0.05</v>
      </c>
      <c r="N2397" s="475">
        <f t="shared" si="150"/>
        <v>124000</v>
      </c>
    </row>
    <row r="2398" spans="7:14" ht="11.25" customHeight="1" x14ac:dyDescent="0.3">
      <c r="G2398" s="470"/>
      <c r="H2398" s="470">
        <v>2391</v>
      </c>
      <c r="I2398" s="455">
        <f t="shared" ca="1" si="148"/>
        <v>8297851555.4330349</v>
      </c>
      <c r="J2398" s="455">
        <f t="array" ref="J2398">IFERROR(INDEX('Retirement Calculator'!J:J,MATCH('Isaac 401k'!N2398,'Retirement Calculator'!A:A,0),0),0)</f>
        <v>0</v>
      </c>
      <c r="K2398" s="455">
        <f t="shared" ca="1" si="146"/>
        <v>34574381.480970979</v>
      </c>
      <c r="L2398" s="455">
        <f t="shared" ca="1" si="147"/>
        <v>8332425936.9140062</v>
      </c>
      <c r="M2398" s="471">
        <f t="shared" si="149"/>
        <v>0.05</v>
      </c>
      <c r="N2398" s="475">
        <f t="shared" si="150"/>
        <v>124031</v>
      </c>
    </row>
    <row r="2399" spans="7:14" ht="11.25" customHeight="1" x14ac:dyDescent="0.3">
      <c r="G2399" s="470"/>
      <c r="H2399" s="470">
        <v>2392</v>
      </c>
      <c r="I2399" s="455">
        <f t="shared" ca="1" si="148"/>
        <v>8332425936.9140062</v>
      </c>
      <c r="J2399" s="455">
        <f t="array" ref="J2399">IFERROR(INDEX('Retirement Calculator'!J:J,MATCH('Isaac 401k'!N2399,'Retirement Calculator'!A:A,0),0),0)</f>
        <v>0</v>
      </c>
      <c r="K2399" s="455">
        <f t="shared" ca="1" si="146"/>
        <v>34718441.403808355</v>
      </c>
      <c r="L2399" s="455">
        <f t="shared" ca="1" si="147"/>
        <v>8367144378.3178148</v>
      </c>
      <c r="M2399" s="471">
        <f t="shared" si="149"/>
        <v>0.05</v>
      </c>
      <c r="N2399" s="475">
        <f t="shared" si="150"/>
        <v>124062</v>
      </c>
    </row>
    <row r="2400" spans="7:14" ht="11.25" customHeight="1" x14ac:dyDescent="0.3">
      <c r="G2400" s="470"/>
      <c r="H2400" s="470">
        <v>2393</v>
      </c>
      <c r="I2400" s="455">
        <f t="shared" ca="1" si="148"/>
        <v>8367144378.3178148</v>
      </c>
      <c r="J2400" s="455">
        <f t="array" ref="J2400">IFERROR(INDEX('Retirement Calculator'!J:J,MATCH('Isaac 401k'!N2400,'Retirement Calculator'!A:A,0),0),0)</f>
        <v>0</v>
      </c>
      <c r="K2400" s="455">
        <f t="shared" ca="1" si="146"/>
        <v>34863101.576324224</v>
      </c>
      <c r="L2400" s="455">
        <f t="shared" ca="1" si="147"/>
        <v>8402007479.8941393</v>
      </c>
      <c r="M2400" s="471">
        <f t="shared" si="149"/>
        <v>0.05</v>
      </c>
      <c r="N2400" s="475">
        <f t="shared" si="150"/>
        <v>124092</v>
      </c>
    </row>
    <row r="2401" spans="7:14" ht="11.25" customHeight="1" x14ac:dyDescent="0.3">
      <c r="G2401" s="470"/>
      <c r="H2401" s="470">
        <v>2394</v>
      </c>
      <c r="I2401" s="455">
        <f t="shared" ca="1" si="148"/>
        <v>8402007479.8941393</v>
      </c>
      <c r="J2401" s="455">
        <f t="array" ref="J2401">IFERROR(INDEX('Retirement Calculator'!J:J,MATCH('Isaac 401k'!N2401,'Retirement Calculator'!A:A,0),0),0)</f>
        <v>0</v>
      </c>
      <c r="K2401" s="455">
        <f t="shared" ca="1" si="146"/>
        <v>35008364.499558911</v>
      </c>
      <c r="L2401" s="455">
        <f t="shared" ca="1" si="147"/>
        <v>8437015844.3936977</v>
      </c>
      <c r="M2401" s="471">
        <f t="shared" si="149"/>
        <v>0.05</v>
      </c>
      <c r="N2401" s="475">
        <f t="shared" si="150"/>
        <v>124123</v>
      </c>
    </row>
    <row r="2402" spans="7:14" ht="11.25" customHeight="1" x14ac:dyDescent="0.3">
      <c r="G2402" s="470"/>
      <c r="H2402" s="470">
        <v>2395</v>
      </c>
      <c r="I2402" s="455">
        <f t="shared" ca="1" si="148"/>
        <v>8437015844.3936977</v>
      </c>
      <c r="J2402" s="455">
        <f t="array" ref="J2402">IFERROR(INDEX('Retirement Calculator'!J:J,MATCH('Isaac 401k'!N2402,'Retirement Calculator'!A:A,0),0),0)</f>
        <v>0</v>
      </c>
      <c r="K2402" s="455">
        <f t="shared" ca="1" si="146"/>
        <v>35154232.684973739</v>
      </c>
      <c r="L2402" s="455">
        <f t="shared" ca="1" si="147"/>
        <v>8472170077.0786715</v>
      </c>
      <c r="M2402" s="471">
        <f t="shared" si="149"/>
        <v>0.05</v>
      </c>
      <c r="N2402" s="475">
        <f t="shared" si="150"/>
        <v>124153</v>
      </c>
    </row>
    <row r="2403" spans="7:14" ht="11.25" customHeight="1" x14ac:dyDescent="0.3">
      <c r="G2403" s="470"/>
      <c r="H2403" s="470">
        <v>2396</v>
      </c>
      <c r="I2403" s="455">
        <f t="shared" ca="1" si="148"/>
        <v>8472170077.0786715</v>
      </c>
      <c r="J2403" s="455">
        <f t="array" ref="J2403">IFERROR(INDEX('Retirement Calculator'!J:J,MATCH('Isaac 401k'!N2403,'Retirement Calculator'!A:A,0),0),0)</f>
        <v>0</v>
      </c>
      <c r="K2403" s="455">
        <f t="shared" ca="1" si="146"/>
        <v>35300708.654494464</v>
      </c>
      <c r="L2403" s="455">
        <f t="shared" ca="1" si="147"/>
        <v>8507470785.7331657</v>
      </c>
      <c r="M2403" s="471">
        <f t="shared" si="149"/>
        <v>0.05</v>
      </c>
      <c r="N2403" s="475">
        <f t="shared" si="150"/>
        <v>124184</v>
      </c>
    </row>
    <row r="2404" spans="7:14" ht="11.25" customHeight="1" x14ac:dyDescent="0.3">
      <c r="G2404" s="470"/>
      <c r="H2404" s="470">
        <v>2397</v>
      </c>
      <c r="I2404" s="455">
        <f t="shared" ca="1" si="148"/>
        <v>8507470785.7331657</v>
      </c>
      <c r="J2404" s="455">
        <f t="array" ref="J2404">IFERROR(INDEX('Retirement Calculator'!J:J,MATCH('Isaac 401k'!N2404,'Retirement Calculator'!A:A,0),0),0)</f>
        <v>0</v>
      </c>
      <c r="K2404" s="455">
        <f t="shared" ca="1" si="146"/>
        <v>35447794.940554857</v>
      </c>
      <c r="L2404" s="455">
        <f t="shared" ca="1" si="147"/>
        <v>8542918580.6737204</v>
      </c>
      <c r="M2404" s="471">
        <f t="shared" si="149"/>
        <v>0.05</v>
      </c>
      <c r="N2404" s="475">
        <f t="shared" si="150"/>
        <v>124215</v>
      </c>
    </row>
    <row r="2405" spans="7:14" ht="11.25" customHeight="1" x14ac:dyDescent="0.3">
      <c r="G2405" s="470"/>
      <c r="H2405" s="470">
        <v>2398</v>
      </c>
      <c r="I2405" s="455">
        <f t="shared" ca="1" si="148"/>
        <v>8542918580.6737204</v>
      </c>
      <c r="J2405" s="455">
        <f t="array" ref="J2405">IFERROR(INDEX('Retirement Calculator'!J:J,MATCH('Isaac 401k'!N2405,'Retirement Calculator'!A:A,0),0),0)</f>
        <v>0</v>
      </c>
      <c r="K2405" s="455">
        <f t="shared" ca="1" si="146"/>
        <v>35595494.086140506</v>
      </c>
      <c r="L2405" s="455">
        <f t="shared" ca="1" si="147"/>
        <v>8578514074.759861</v>
      </c>
      <c r="M2405" s="471">
        <f t="shared" si="149"/>
        <v>0.05</v>
      </c>
      <c r="N2405" s="475">
        <f t="shared" si="150"/>
        <v>124244</v>
      </c>
    </row>
    <row r="2406" spans="7:14" ht="11.25" customHeight="1" x14ac:dyDescent="0.3">
      <c r="G2406" s="470"/>
      <c r="H2406" s="470">
        <v>2399</v>
      </c>
      <c r="I2406" s="455">
        <f t="shared" ca="1" si="148"/>
        <v>8578514074.759861</v>
      </c>
      <c r="J2406" s="455">
        <f t="array" ref="J2406">IFERROR(INDEX('Retirement Calculator'!J:J,MATCH('Isaac 401k'!N2406,'Retirement Calculator'!A:A,0),0),0)</f>
        <v>0</v>
      </c>
      <c r="K2406" s="455">
        <f t="shared" ca="1" si="146"/>
        <v>35743808.644832753</v>
      </c>
      <c r="L2406" s="455">
        <f t="shared" ca="1" si="147"/>
        <v>8614257883.4046936</v>
      </c>
      <c r="M2406" s="471">
        <f t="shared" si="149"/>
        <v>0.05</v>
      </c>
      <c r="N2406" s="475">
        <f t="shared" si="150"/>
        <v>124275</v>
      </c>
    </row>
    <row r="2407" spans="7:14" ht="11.25" customHeight="1" x14ac:dyDescent="0.3">
      <c r="G2407" s="470"/>
      <c r="H2407" s="470">
        <v>2400</v>
      </c>
      <c r="I2407" s="455">
        <f t="shared" ca="1" si="148"/>
        <v>8614257883.4046936</v>
      </c>
      <c r="J2407" s="455">
        <f t="array" ref="J2407">IFERROR(INDEX('Retirement Calculator'!J:J,MATCH('Isaac 401k'!N2407,'Retirement Calculator'!A:A,0),0),0)</f>
        <v>0</v>
      </c>
      <c r="K2407" s="455">
        <f t="shared" ca="1" si="146"/>
        <v>35892741.18085289</v>
      </c>
      <c r="L2407" s="455">
        <f t="shared" ca="1" si="147"/>
        <v>8650150624.5855465</v>
      </c>
      <c r="M2407" s="471">
        <f t="shared" si="149"/>
        <v>0.05</v>
      </c>
      <c r="N2407" s="475">
        <f t="shared" si="150"/>
        <v>124305</v>
      </c>
    </row>
    <row r="2408" spans="7:14" ht="11.25" customHeight="1" x14ac:dyDescent="0.3">
      <c r="G2408" s="470"/>
      <c r="H2408" s="470">
        <v>2401</v>
      </c>
      <c r="I2408" s="455">
        <f t="shared" ca="1" si="148"/>
        <v>8650150624.5855465</v>
      </c>
      <c r="J2408" s="455">
        <f t="array" ref="J2408">IFERROR(INDEX('Retirement Calculator'!J:J,MATCH('Isaac 401k'!N2408,'Retirement Calculator'!A:A,0),0),0)</f>
        <v>0</v>
      </c>
      <c r="K2408" s="455">
        <f t="shared" ca="1" si="146"/>
        <v>36042294.26910644</v>
      </c>
      <c r="L2408" s="455">
        <f t="shared" ca="1" si="147"/>
        <v>8686192918.8546524</v>
      </c>
      <c r="M2408" s="471">
        <f t="shared" si="149"/>
        <v>0.05</v>
      </c>
      <c r="N2408" s="475">
        <f t="shared" si="150"/>
        <v>124336</v>
      </c>
    </row>
    <row r="2409" spans="7:14" ht="11.25" customHeight="1" x14ac:dyDescent="0.3">
      <c r="G2409" s="470"/>
      <c r="H2409" s="470">
        <v>2402</v>
      </c>
      <c r="I2409" s="455">
        <f t="shared" ca="1" si="148"/>
        <v>8686192918.8546524</v>
      </c>
      <c r="J2409" s="455">
        <f t="array" ref="J2409">IFERROR(INDEX('Retirement Calculator'!J:J,MATCH('Isaac 401k'!N2409,'Retirement Calculator'!A:A,0),0),0)</f>
        <v>0</v>
      </c>
      <c r="K2409" s="455">
        <f t="shared" ca="1" si="146"/>
        <v>36192470.495227717</v>
      </c>
      <c r="L2409" s="455">
        <f t="shared" ca="1" si="147"/>
        <v>8722385389.3498802</v>
      </c>
      <c r="M2409" s="471">
        <f t="shared" si="149"/>
        <v>0.05</v>
      </c>
      <c r="N2409" s="475">
        <f t="shared" si="150"/>
        <v>124366</v>
      </c>
    </row>
    <row r="2410" spans="7:14" ht="11.25" customHeight="1" x14ac:dyDescent="0.3">
      <c r="G2410" s="470"/>
      <c r="H2410" s="470">
        <v>2403</v>
      </c>
      <c r="I2410" s="455">
        <f t="shared" ca="1" si="148"/>
        <v>8722385389.3498802</v>
      </c>
      <c r="J2410" s="455">
        <f t="array" ref="J2410">IFERROR(INDEX('Retirement Calculator'!J:J,MATCH('Isaac 401k'!N2410,'Retirement Calculator'!A:A,0),0),0)</f>
        <v>0</v>
      </c>
      <c r="K2410" s="455">
        <f t="shared" ca="1" si="146"/>
        <v>36343272.455624498</v>
      </c>
      <c r="L2410" s="455">
        <f t="shared" ca="1" si="147"/>
        <v>8758728661.8055038</v>
      </c>
      <c r="M2410" s="471">
        <f t="shared" si="149"/>
        <v>0.05</v>
      </c>
      <c r="N2410" s="475">
        <f t="shared" si="150"/>
        <v>124397</v>
      </c>
    </row>
    <row r="2411" spans="7:14" ht="11.25" customHeight="1" x14ac:dyDescent="0.3">
      <c r="G2411" s="470"/>
      <c r="H2411" s="470">
        <v>2404</v>
      </c>
      <c r="I2411" s="455">
        <f t="shared" ca="1" si="148"/>
        <v>8758728661.8055038</v>
      </c>
      <c r="J2411" s="455">
        <f t="array" ref="J2411">IFERROR(INDEX('Retirement Calculator'!J:J,MATCH('Isaac 401k'!N2411,'Retirement Calculator'!A:A,0),0),0)</f>
        <v>0</v>
      </c>
      <c r="K2411" s="455">
        <f t="shared" ca="1" si="146"/>
        <v>36494702.757522933</v>
      </c>
      <c r="L2411" s="455">
        <f t="shared" ca="1" si="147"/>
        <v>8795223364.5630264</v>
      </c>
      <c r="M2411" s="471">
        <f t="shared" si="149"/>
        <v>0.05</v>
      </c>
      <c r="N2411" s="475">
        <f t="shared" si="150"/>
        <v>124428</v>
      </c>
    </row>
    <row r="2412" spans="7:14" ht="11.25" customHeight="1" x14ac:dyDescent="0.3">
      <c r="G2412" s="470"/>
      <c r="H2412" s="470">
        <v>2405</v>
      </c>
      <c r="I2412" s="455">
        <f t="shared" ca="1" si="148"/>
        <v>8795223364.5630264</v>
      </c>
      <c r="J2412" s="455">
        <f t="array" ref="J2412">IFERROR(INDEX('Retirement Calculator'!J:J,MATCH('Isaac 401k'!N2412,'Retirement Calculator'!A:A,0),0),0)</f>
        <v>0</v>
      </c>
      <c r="K2412" s="455">
        <f t="shared" ca="1" si="146"/>
        <v>36646764.019012608</v>
      </c>
      <c r="L2412" s="455">
        <f t="shared" ca="1" si="147"/>
        <v>8831870128.5820389</v>
      </c>
      <c r="M2412" s="471">
        <f t="shared" si="149"/>
        <v>0.05</v>
      </c>
      <c r="N2412" s="475">
        <f t="shared" si="150"/>
        <v>124458</v>
      </c>
    </row>
    <row r="2413" spans="7:14" ht="11.25" customHeight="1" x14ac:dyDescent="0.3">
      <c r="G2413" s="470"/>
      <c r="H2413" s="470">
        <v>2406</v>
      </c>
      <c r="I2413" s="455">
        <f t="shared" ca="1" si="148"/>
        <v>8831870128.5820389</v>
      </c>
      <c r="J2413" s="455">
        <f t="array" ref="J2413">IFERROR(INDEX('Retirement Calculator'!J:J,MATCH('Isaac 401k'!N2413,'Retirement Calculator'!A:A,0),0),0)</f>
        <v>0</v>
      </c>
      <c r="K2413" s="455">
        <f t="shared" ca="1" si="146"/>
        <v>36799458.869091831</v>
      </c>
      <c r="L2413" s="455">
        <f t="shared" ca="1" si="147"/>
        <v>8868669587.4511299</v>
      </c>
      <c r="M2413" s="471">
        <f t="shared" si="149"/>
        <v>0.05</v>
      </c>
      <c r="N2413" s="475">
        <f t="shared" si="150"/>
        <v>124489</v>
      </c>
    </row>
    <row r="2414" spans="7:14" ht="11.25" customHeight="1" x14ac:dyDescent="0.3">
      <c r="G2414" s="470"/>
      <c r="H2414" s="470">
        <v>2407</v>
      </c>
      <c r="I2414" s="455">
        <f t="shared" ca="1" si="148"/>
        <v>8868669587.4511299</v>
      </c>
      <c r="J2414" s="455">
        <f t="array" ref="J2414">IFERROR(INDEX('Retirement Calculator'!J:J,MATCH('Isaac 401k'!N2414,'Retirement Calculator'!A:A,0),0),0)</f>
        <v>0</v>
      </c>
      <c r="K2414" s="455">
        <f t="shared" ca="1" si="146"/>
        <v>36952789.94771304</v>
      </c>
      <c r="L2414" s="455">
        <f t="shared" ca="1" si="147"/>
        <v>8905622377.3988438</v>
      </c>
      <c r="M2414" s="471">
        <f t="shared" si="149"/>
        <v>0.05</v>
      </c>
      <c r="N2414" s="475">
        <f t="shared" si="150"/>
        <v>124519</v>
      </c>
    </row>
    <row r="2415" spans="7:14" ht="11.25" customHeight="1" x14ac:dyDescent="0.3">
      <c r="G2415" s="470"/>
      <c r="H2415" s="470">
        <v>2408</v>
      </c>
      <c r="I2415" s="455">
        <f t="shared" ca="1" si="148"/>
        <v>8905622377.3988438</v>
      </c>
      <c r="J2415" s="455">
        <f t="array" ref="J2415">IFERROR(INDEX('Retirement Calculator'!J:J,MATCH('Isaac 401k'!N2415,'Retirement Calculator'!A:A,0),0),0)</f>
        <v>0</v>
      </c>
      <c r="K2415" s="455">
        <f t="shared" ca="1" si="146"/>
        <v>37106759.905828513</v>
      </c>
      <c r="L2415" s="455">
        <f t="shared" ca="1" si="147"/>
        <v>8942729137.3046722</v>
      </c>
      <c r="M2415" s="471">
        <f t="shared" si="149"/>
        <v>0.05</v>
      </c>
      <c r="N2415" s="475">
        <f t="shared" si="150"/>
        <v>124550</v>
      </c>
    </row>
    <row r="2416" spans="7:14" ht="11.25" customHeight="1" x14ac:dyDescent="0.3">
      <c r="G2416" s="470"/>
      <c r="H2416" s="470">
        <v>2409</v>
      </c>
      <c r="I2416" s="455">
        <f t="shared" ca="1" si="148"/>
        <v>8942729137.3046722</v>
      </c>
      <c r="J2416" s="455">
        <f t="array" ref="J2416">IFERROR(INDEX('Retirement Calculator'!J:J,MATCH('Isaac 401k'!N2416,'Retirement Calculator'!A:A,0),0),0)</f>
        <v>0</v>
      </c>
      <c r="K2416" s="455">
        <f t="shared" ca="1" si="146"/>
        <v>37261371.405436136</v>
      </c>
      <c r="L2416" s="455">
        <f t="shared" ca="1" si="147"/>
        <v>8979990508.7101078</v>
      </c>
      <c r="M2416" s="471">
        <f t="shared" si="149"/>
        <v>0.05</v>
      </c>
      <c r="N2416" s="475">
        <f t="shared" si="150"/>
        <v>124581</v>
      </c>
    </row>
    <row r="2417" spans="7:14" ht="11.25" customHeight="1" x14ac:dyDescent="0.3">
      <c r="G2417" s="470"/>
      <c r="H2417" s="470">
        <v>2410</v>
      </c>
      <c r="I2417" s="455">
        <f t="shared" ca="1" si="148"/>
        <v>8979990508.7101078</v>
      </c>
      <c r="J2417" s="455">
        <f t="array" ref="J2417">IFERROR(INDEX('Retirement Calculator'!J:J,MATCH('Isaac 401k'!N2417,'Retirement Calculator'!A:A,0),0),0)</f>
        <v>0</v>
      </c>
      <c r="K2417" s="455">
        <f t="shared" ca="1" si="146"/>
        <v>37416627.119625449</v>
      </c>
      <c r="L2417" s="455">
        <f t="shared" ca="1" si="147"/>
        <v>9017407135.8297329</v>
      </c>
      <c r="M2417" s="471">
        <f t="shared" si="149"/>
        <v>0.05</v>
      </c>
      <c r="N2417" s="475">
        <f t="shared" si="150"/>
        <v>124609</v>
      </c>
    </row>
    <row r="2418" spans="7:14" ht="11.25" customHeight="1" x14ac:dyDescent="0.3">
      <c r="G2418" s="470"/>
      <c r="H2418" s="470">
        <v>2411</v>
      </c>
      <c r="I2418" s="455">
        <f t="shared" ca="1" si="148"/>
        <v>9017407135.8297329</v>
      </c>
      <c r="J2418" s="455">
        <f t="array" ref="J2418">IFERROR(INDEX('Retirement Calculator'!J:J,MATCH('Isaac 401k'!N2418,'Retirement Calculator'!A:A,0),0),0)</f>
        <v>0</v>
      </c>
      <c r="K2418" s="455">
        <f t="shared" ca="1" si="146"/>
        <v>37572529.73262389</v>
      </c>
      <c r="L2418" s="455">
        <f t="shared" ca="1" si="147"/>
        <v>9054979665.5623569</v>
      </c>
      <c r="M2418" s="471">
        <f t="shared" si="149"/>
        <v>0.05</v>
      </c>
      <c r="N2418" s="475">
        <f t="shared" si="150"/>
        <v>124640</v>
      </c>
    </row>
    <row r="2419" spans="7:14" ht="11.25" customHeight="1" x14ac:dyDescent="0.3">
      <c r="G2419" s="470"/>
      <c r="H2419" s="470">
        <v>2412</v>
      </c>
      <c r="I2419" s="455">
        <f t="shared" ca="1" si="148"/>
        <v>9054979665.5623569</v>
      </c>
      <c r="J2419" s="455">
        <f t="array" ref="J2419">IFERROR(INDEX('Retirement Calculator'!J:J,MATCH('Isaac 401k'!N2419,'Retirement Calculator'!A:A,0),0),0)</f>
        <v>0</v>
      </c>
      <c r="K2419" s="455">
        <f t="shared" ca="1" si="146"/>
        <v>37729081.939843155</v>
      </c>
      <c r="L2419" s="455">
        <f t="shared" ca="1" si="147"/>
        <v>9092708747.5021992</v>
      </c>
      <c r="M2419" s="471">
        <f t="shared" si="149"/>
        <v>0.05</v>
      </c>
      <c r="N2419" s="475">
        <f t="shared" si="150"/>
        <v>124670</v>
      </c>
    </row>
    <row r="2420" spans="7:14" ht="11.25" customHeight="1" x14ac:dyDescent="0.3">
      <c r="G2420" s="470"/>
      <c r="H2420" s="470">
        <v>2413</v>
      </c>
      <c r="I2420" s="455">
        <f t="shared" ca="1" si="148"/>
        <v>9092708747.5021992</v>
      </c>
      <c r="J2420" s="455">
        <f t="array" ref="J2420">IFERROR(INDEX('Retirement Calculator'!J:J,MATCH('Isaac 401k'!N2420,'Retirement Calculator'!A:A,0),0),0)</f>
        <v>0</v>
      </c>
      <c r="K2420" s="455">
        <f t="shared" ca="1" si="146"/>
        <v>37886286.447925828</v>
      </c>
      <c r="L2420" s="455">
        <f t="shared" ca="1" si="147"/>
        <v>9130595033.9501247</v>
      </c>
      <c r="M2420" s="471">
        <f t="shared" si="149"/>
        <v>0.05</v>
      </c>
      <c r="N2420" s="475">
        <f t="shared" si="150"/>
        <v>124701</v>
      </c>
    </row>
    <row r="2421" spans="7:14" ht="11.25" customHeight="1" x14ac:dyDescent="0.3">
      <c r="G2421" s="470"/>
      <c r="H2421" s="470">
        <v>2414</v>
      </c>
      <c r="I2421" s="455">
        <f t="shared" ca="1" si="148"/>
        <v>9130595033.9501247</v>
      </c>
      <c r="J2421" s="455">
        <f t="array" ref="J2421">IFERROR(INDEX('Retirement Calculator'!J:J,MATCH('Isaac 401k'!N2421,'Retirement Calculator'!A:A,0),0),0)</f>
        <v>0</v>
      </c>
      <c r="K2421" s="455">
        <f t="shared" ca="1" si="146"/>
        <v>38044145.974792182</v>
      </c>
      <c r="L2421" s="455">
        <f t="shared" ca="1" si="147"/>
        <v>9168639179.9249172</v>
      </c>
      <c r="M2421" s="471">
        <f t="shared" si="149"/>
        <v>0.05</v>
      </c>
      <c r="N2421" s="475">
        <f t="shared" si="150"/>
        <v>124731</v>
      </c>
    </row>
    <row r="2422" spans="7:14" ht="11.25" customHeight="1" x14ac:dyDescent="0.3">
      <c r="G2422" s="470"/>
      <c r="H2422" s="470">
        <v>2415</v>
      </c>
      <c r="I2422" s="455">
        <f t="shared" ca="1" si="148"/>
        <v>9168639179.9249172</v>
      </c>
      <c r="J2422" s="455">
        <f t="array" ref="J2422">IFERROR(INDEX('Retirement Calculator'!J:J,MATCH('Isaac 401k'!N2422,'Retirement Calculator'!A:A,0),0),0)</f>
        <v>0</v>
      </c>
      <c r="K2422" s="455">
        <f t="shared" ca="1" si="146"/>
        <v>38202663.249687158</v>
      </c>
      <c r="L2422" s="455">
        <f t="shared" ca="1" si="147"/>
        <v>9206841843.1746044</v>
      </c>
      <c r="M2422" s="471">
        <f t="shared" si="149"/>
        <v>0.05</v>
      </c>
      <c r="N2422" s="475">
        <f t="shared" si="150"/>
        <v>124762</v>
      </c>
    </row>
    <row r="2423" spans="7:14" ht="11.25" customHeight="1" x14ac:dyDescent="0.3">
      <c r="G2423" s="470"/>
      <c r="H2423" s="470">
        <v>2416</v>
      </c>
      <c r="I2423" s="455">
        <f t="shared" ca="1" si="148"/>
        <v>9206841843.1746044</v>
      </c>
      <c r="J2423" s="455">
        <f t="array" ref="J2423">IFERROR(INDEX('Retirement Calculator'!J:J,MATCH('Isaac 401k'!N2423,'Retirement Calculator'!A:A,0),0),0)</f>
        <v>0</v>
      </c>
      <c r="K2423" s="455">
        <f t="shared" ca="1" si="146"/>
        <v>38361841.013227515</v>
      </c>
      <c r="L2423" s="455">
        <f t="shared" ca="1" si="147"/>
        <v>9245203684.1878319</v>
      </c>
      <c r="M2423" s="471">
        <f t="shared" si="149"/>
        <v>0.05</v>
      </c>
      <c r="N2423" s="475">
        <f t="shared" si="150"/>
        <v>124793</v>
      </c>
    </row>
    <row r="2424" spans="7:14" ht="11.25" customHeight="1" x14ac:dyDescent="0.3">
      <c r="G2424" s="470"/>
      <c r="H2424" s="470">
        <v>2417</v>
      </c>
      <c r="I2424" s="455">
        <f t="shared" ca="1" si="148"/>
        <v>9245203684.1878319</v>
      </c>
      <c r="J2424" s="455">
        <f t="array" ref="J2424">IFERROR(INDEX('Retirement Calculator'!J:J,MATCH('Isaac 401k'!N2424,'Retirement Calculator'!A:A,0),0),0)</f>
        <v>0</v>
      </c>
      <c r="K2424" s="455">
        <f t="shared" ca="1" si="146"/>
        <v>38521682.017449297</v>
      </c>
      <c r="L2424" s="455">
        <f t="shared" ca="1" si="147"/>
        <v>9283725366.2052803</v>
      </c>
      <c r="M2424" s="471">
        <f t="shared" si="149"/>
        <v>0.05</v>
      </c>
      <c r="N2424" s="475">
        <f t="shared" si="150"/>
        <v>124823</v>
      </c>
    </row>
    <row r="2425" spans="7:14" ht="11.25" customHeight="1" x14ac:dyDescent="0.3">
      <c r="G2425" s="470"/>
      <c r="H2425" s="470">
        <v>2418</v>
      </c>
      <c r="I2425" s="455">
        <f t="shared" ca="1" si="148"/>
        <v>9283725366.2052803</v>
      </c>
      <c r="J2425" s="455">
        <f t="array" ref="J2425">IFERROR(INDEX('Retirement Calculator'!J:J,MATCH('Isaac 401k'!N2425,'Retirement Calculator'!A:A,0),0),0)</f>
        <v>0</v>
      </c>
      <c r="K2425" s="455">
        <f t="shared" ca="1" si="146"/>
        <v>38682189.025855333</v>
      </c>
      <c r="L2425" s="455">
        <f t="shared" ca="1" si="147"/>
        <v>9322407555.2311363</v>
      </c>
      <c r="M2425" s="471">
        <f t="shared" si="149"/>
        <v>0.05</v>
      </c>
      <c r="N2425" s="475">
        <f t="shared" si="150"/>
        <v>124854</v>
      </c>
    </row>
    <row r="2426" spans="7:14" ht="11.25" customHeight="1" x14ac:dyDescent="0.3">
      <c r="G2426" s="470"/>
      <c r="H2426" s="470">
        <v>2419</v>
      </c>
      <c r="I2426" s="455">
        <f t="shared" ca="1" si="148"/>
        <v>9322407555.2311363</v>
      </c>
      <c r="J2426" s="455">
        <f t="array" ref="J2426">IFERROR(INDEX('Retirement Calculator'!J:J,MATCH('Isaac 401k'!N2426,'Retirement Calculator'!A:A,0),0),0)</f>
        <v>0</v>
      </c>
      <c r="K2426" s="455">
        <f t="shared" ca="1" si="146"/>
        <v>38843364.813463069</v>
      </c>
      <c r="L2426" s="455">
        <f t="shared" ca="1" si="147"/>
        <v>9361250920.0445995</v>
      </c>
      <c r="M2426" s="471">
        <f t="shared" si="149"/>
        <v>0.05</v>
      </c>
      <c r="N2426" s="475">
        <f t="shared" si="150"/>
        <v>124884</v>
      </c>
    </row>
    <row r="2427" spans="7:14" ht="11.25" customHeight="1" x14ac:dyDescent="0.3">
      <c r="G2427" s="470"/>
      <c r="H2427" s="470">
        <v>2420</v>
      </c>
      <c r="I2427" s="455">
        <f t="shared" ca="1" si="148"/>
        <v>9361250920.0445995</v>
      </c>
      <c r="J2427" s="455">
        <f t="array" ref="J2427">IFERROR(INDEX('Retirement Calculator'!J:J,MATCH('Isaac 401k'!N2427,'Retirement Calculator'!A:A,0),0),0)</f>
        <v>0</v>
      </c>
      <c r="K2427" s="455">
        <f t="shared" ca="1" si="146"/>
        <v>39005212.166852497</v>
      </c>
      <c r="L2427" s="455">
        <f t="shared" ca="1" si="147"/>
        <v>9400256132.2114525</v>
      </c>
      <c r="M2427" s="471">
        <f t="shared" si="149"/>
        <v>0.05</v>
      </c>
      <c r="N2427" s="475">
        <f t="shared" si="150"/>
        <v>124915</v>
      </c>
    </row>
    <row r="2428" spans="7:14" ht="11.25" customHeight="1" x14ac:dyDescent="0.3">
      <c r="G2428" s="470"/>
      <c r="H2428" s="470">
        <v>2421</v>
      </c>
      <c r="I2428" s="455">
        <f t="shared" ca="1" si="148"/>
        <v>9400256132.2114525</v>
      </c>
      <c r="J2428" s="455">
        <f t="array" ref="J2428">IFERROR(INDEX('Retirement Calculator'!J:J,MATCH('Isaac 401k'!N2428,'Retirement Calculator'!A:A,0),0),0)</f>
        <v>0</v>
      </c>
      <c r="K2428" s="455">
        <f t="shared" ca="1" si="146"/>
        <v>39167733.884214386</v>
      </c>
      <c r="L2428" s="455">
        <f t="shared" ca="1" si="147"/>
        <v>9439423866.0956669</v>
      </c>
      <c r="M2428" s="471">
        <f t="shared" si="149"/>
        <v>0.05</v>
      </c>
      <c r="N2428" s="475">
        <f t="shared" si="150"/>
        <v>124946</v>
      </c>
    </row>
    <row r="2429" spans="7:14" ht="11.25" customHeight="1" x14ac:dyDescent="0.3">
      <c r="G2429" s="470"/>
      <c r="H2429" s="470">
        <v>2422</v>
      </c>
      <c r="I2429" s="455">
        <f t="shared" ca="1" si="148"/>
        <v>9439423866.0956669</v>
      </c>
      <c r="J2429" s="455">
        <f t="array" ref="J2429">IFERROR(INDEX('Retirement Calculator'!J:J,MATCH('Isaac 401k'!N2429,'Retirement Calculator'!A:A,0),0),0)</f>
        <v>0</v>
      </c>
      <c r="K2429" s="455">
        <f t="shared" ca="1" si="146"/>
        <v>39330932.775398612</v>
      </c>
      <c r="L2429" s="455">
        <f t="shared" ca="1" si="147"/>
        <v>9478754798.8710651</v>
      </c>
      <c r="M2429" s="471">
        <f t="shared" si="149"/>
        <v>0.05</v>
      </c>
      <c r="N2429" s="475">
        <f t="shared" si="150"/>
        <v>124974</v>
      </c>
    </row>
    <row r="2430" spans="7:14" ht="11.25" customHeight="1" x14ac:dyDescent="0.3">
      <c r="G2430" s="470"/>
      <c r="H2430" s="470">
        <v>2423</v>
      </c>
      <c r="I2430" s="455">
        <f t="shared" ca="1" si="148"/>
        <v>9478754798.8710651</v>
      </c>
      <c r="J2430" s="455">
        <f t="array" ref="J2430">IFERROR(INDEX('Retirement Calculator'!J:J,MATCH('Isaac 401k'!N2430,'Retirement Calculator'!A:A,0),0),0)</f>
        <v>0</v>
      </c>
      <c r="K2430" s="455">
        <f t="shared" ca="1" si="146"/>
        <v>39494811.66196277</v>
      </c>
      <c r="L2430" s="455">
        <f t="shared" ca="1" si="147"/>
        <v>9518249610.5330276</v>
      </c>
      <c r="M2430" s="471">
        <f t="shared" si="149"/>
        <v>0.05</v>
      </c>
      <c r="N2430" s="475">
        <f t="shared" si="150"/>
        <v>125005</v>
      </c>
    </row>
    <row r="2431" spans="7:14" ht="11.25" customHeight="1" x14ac:dyDescent="0.3">
      <c r="G2431" s="470"/>
      <c r="H2431" s="470">
        <v>2424</v>
      </c>
      <c r="I2431" s="455">
        <f t="shared" ca="1" si="148"/>
        <v>9518249610.5330276</v>
      </c>
      <c r="J2431" s="455">
        <f t="array" ref="J2431">IFERROR(INDEX('Retirement Calculator'!J:J,MATCH('Isaac 401k'!N2431,'Retirement Calculator'!A:A,0),0),0)</f>
        <v>0</v>
      </c>
      <c r="K2431" s="455">
        <f t="shared" ca="1" si="146"/>
        <v>39659373.377220951</v>
      </c>
      <c r="L2431" s="455">
        <f t="shared" ca="1" si="147"/>
        <v>9557908983.9102478</v>
      </c>
      <c r="M2431" s="471">
        <f t="shared" si="149"/>
        <v>0.05</v>
      </c>
      <c r="N2431" s="475">
        <f t="shared" si="150"/>
        <v>125035</v>
      </c>
    </row>
    <row r="2432" spans="7:14" ht="11.25" customHeight="1" x14ac:dyDescent="0.3">
      <c r="G2432" s="470"/>
      <c r="H2432" s="470">
        <v>2425</v>
      </c>
      <c r="I2432" s="455">
        <f t="shared" ca="1" si="148"/>
        <v>9557908983.9102478</v>
      </c>
      <c r="J2432" s="455">
        <f t="array" ref="J2432">IFERROR(INDEX('Retirement Calculator'!J:J,MATCH('Isaac 401k'!N2432,'Retirement Calculator'!A:A,0),0),0)</f>
        <v>0</v>
      </c>
      <c r="K2432" s="455">
        <f t="shared" ca="1" si="146"/>
        <v>39824620.766292699</v>
      </c>
      <c r="L2432" s="455">
        <f t="shared" ca="1" si="147"/>
        <v>9597733604.6765404</v>
      </c>
      <c r="M2432" s="471">
        <f t="shared" si="149"/>
        <v>0.05</v>
      </c>
      <c r="N2432" s="475">
        <f t="shared" si="150"/>
        <v>125066</v>
      </c>
    </row>
    <row r="2433" spans="7:14" ht="11.25" customHeight="1" x14ac:dyDescent="0.3">
      <c r="G2433" s="470"/>
      <c r="H2433" s="470">
        <v>2426</v>
      </c>
      <c r="I2433" s="455">
        <f t="shared" ca="1" si="148"/>
        <v>9597733604.6765404</v>
      </c>
      <c r="J2433" s="455">
        <f t="array" ref="J2433">IFERROR(INDEX('Retirement Calculator'!J:J,MATCH('Isaac 401k'!N2433,'Retirement Calculator'!A:A,0),0),0)</f>
        <v>0</v>
      </c>
      <c r="K2433" s="455">
        <f t="shared" ca="1" si="146"/>
        <v>39990556.68615225</v>
      </c>
      <c r="L2433" s="455">
        <f t="shared" ca="1" si="147"/>
        <v>9637724161.3626919</v>
      </c>
      <c r="M2433" s="471">
        <f t="shared" si="149"/>
        <v>0.05</v>
      </c>
      <c r="N2433" s="475">
        <f t="shared" si="150"/>
        <v>125096</v>
      </c>
    </row>
    <row r="2434" spans="7:14" ht="11.25" customHeight="1" x14ac:dyDescent="0.3">
      <c r="G2434" s="470"/>
      <c r="H2434" s="470">
        <v>2427</v>
      </c>
      <c r="I2434" s="455">
        <f t="shared" ca="1" si="148"/>
        <v>9637724161.3626919</v>
      </c>
      <c r="J2434" s="455">
        <f t="array" ref="J2434">IFERROR(INDEX('Retirement Calculator'!J:J,MATCH('Isaac 401k'!N2434,'Retirement Calculator'!A:A,0),0),0)</f>
        <v>0</v>
      </c>
      <c r="K2434" s="455">
        <f t="shared" ca="1" si="146"/>
        <v>40157184.005677879</v>
      </c>
      <c r="L2434" s="455">
        <f t="shared" ca="1" si="147"/>
        <v>9677881345.3683701</v>
      </c>
      <c r="M2434" s="471">
        <f t="shared" si="149"/>
        <v>0.05</v>
      </c>
      <c r="N2434" s="475">
        <f t="shared" si="150"/>
        <v>125127</v>
      </c>
    </row>
    <row r="2435" spans="7:14" ht="11.25" customHeight="1" x14ac:dyDescent="0.3">
      <c r="G2435" s="470"/>
      <c r="H2435" s="470">
        <v>2428</v>
      </c>
      <c r="I2435" s="455">
        <f t="shared" ca="1" si="148"/>
        <v>9677881345.3683701</v>
      </c>
      <c r="J2435" s="455">
        <f t="array" ref="J2435">IFERROR(INDEX('Retirement Calculator'!J:J,MATCH('Isaac 401k'!N2435,'Retirement Calculator'!A:A,0),0),0)</f>
        <v>0</v>
      </c>
      <c r="K2435" s="455">
        <f t="shared" ca="1" si="146"/>
        <v>40324505.605701543</v>
      </c>
      <c r="L2435" s="455">
        <f t="shared" ca="1" si="147"/>
        <v>9718205850.9740715</v>
      </c>
      <c r="M2435" s="471">
        <f t="shared" si="149"/>
        <v>0.05</v>
      </c>
      <c r="N2435" s="475">
        <f t="shared" si="150"/>
        <v>125158</v>
      </c>
    </row>
    <row r="2436" spans="7:14" ht="11.25" customHeight="1" x14ac:dyDescent="0.3">
      <c r="G2436" s="470"/>
      <c r="H2436" s="470">
        <v>2429</v>
      </c>
      <c r="I2436" s="455">
        <f t="shared" ca="1" si="148"/>
        <v>9718205850.9740715</v>
      </c>
      <c r="J2436" s="455">
        <f t="array" ref="J2436">IFERROR(INDEX('Retirement Calculator'!J:J,MATCH('Isaac 401k'!N2436,'Retirement Calculator'!A:A,0),0),0)</f>
        <v>0</v>
      </c>
      <c r="K2436" s="455">
        <f t="shared" ca="1" si="146"/>
        <v>40492524.379058629</v>
      </c>
      <c r="L2436" s="455">
        <f t="shared" ca="1" si="147"/>
        <v>9758698375.3531303</v>
      </c>
      <c r="M2436" s="471">
        <f t="shared" si="149"/>
        <v>0.05</v>
      </c>
      <c r="N2436" s="475">
        <f t="shared" si="150"/>
        <v>125188</v>
      </c>
    </row>
    <row r="2437" spans="7:14" ht="11.25" customHeight="1" x14ac:dyDescent="0.3">
      <c r="G2437" s="470"/>
      <c r="H2437" s="470">
        <v>2430</v>
      </c>
      <c r="I2437" s="455">
        <f t="shared" ca="1" si="148"/>
        <v>9758698375.3531303</v>
      </c>
      <c r="J2437" s="455">
        <f t="array" ref="J2437">IFERROR(INDEX('Retirement Calculator'!J:J,MATCH('Isaac 401k'!N2437,'Retirement Calculator'!A:A,0),0),0)</f>
        <v>0</v>
      </c>
      <c r="K2437" s="455">
        <f t="shared" ca="1" si="146"/>
        <v>40661243.230638042</v>
      </c>
      <c r="L2437" s="455">
        <f t="shared" ca="1" si="147"/>
        <v>9799359618.5837688</v>
      </c>
      <c r="M2437" s="471">
        <f t="shared" si="149"/>
        <v>0.05</v>
      </c>
      <c r="N2437" s="475">
        <f t="shared" si="150"/>
        <v>125219</v>
      </c>
    </row>
    <row r="2438" spans="7:14" ht="11.25" customHeight="1" x14ac:dyDescent="0.3">
      <c r="G2438" s="470"/>
      <c r="H2438" s="470">
        <v>2431</v>
      </c>
      <c r="I2438" s="455">
        <f t="shared" ca="1" si="148"/>
        <v>9799359618.5837688</v>
      </c>
      <c r="J2438" s="455">
        <f t="array" ref="J2438">IFERROR(INDEX('Retirement Calculator'!J:J,MATCH('Isaac 401k'!N2438,'Retirement Calculator'!A:A,0),0),0)</f>
        <v>0</v>
      </c>
      <c r="K2438" s="455">
        <f t="shared" ca="1" si="146"/>
        <v>40830665.077432372</v>
      </c>
      <c r="L2438" s="455">
        <f t="shared" ca="1" si="147"/>
        <v>9840190283.6612015</v>
      </c>
      <c r="M2438" s="471">
        <f t="shared" si="149"/>
        <v>0.05</v>
      </c>
      <c r="N2438" s="475">
        <f t="shared" si="150"/>
        <v>125249</v>
      </c>
    </row>
    <row r="2439" spans="7:14" ht="11.25" customHeight="1" x14ac:dyDescent="0.3">
      <c r="G2439" s="470"/>
      <c r="H2439" s="470">
        <v>2432</v>
      </c>
      <c r="I2439" s="455">
        <f t="shared" ca="1" si="148"/>
        <v>9840190283.6612015</v>
      </c>
      <c r="J2439" s="455">
        <f t="array" ref="J2439">IFERROR(INDEX('Retirement Calculator'!J:J,MATCH('Isaac 401k'!N2439,'Retirement Calculator'!A:A,0),0),0)</f>
        <v>0</v>
      </c>
      <c r="K2439" s="455">
        <f t="shared" ca="1" si="146"/>
        <v>41000792.84858834</v>
      </c>
      <c r="L2439" s="455">
        <f t="shared" ca="1" si="147"/>
        <v>9881191076.5097904</v>
      </c>
      <c r="M2439" s="471">
        <f t="shared" si="149"/>
        <v>0.05</v>
      </c>
      <c r="N2439" s="475">
        <f t="shared" si="150"/>
        <v>125280</v>
      </c>
    </row>
    <row r="2440" spans="7:14" ht="11.25" customHeight="1" x14ac:dyDescent="0.3">
      <c r="G2440" s="470"/>
      <c r="H2440" s="470">
        <v>2433</v>
      </c>
      <c r="I2440" s="455">
        <f t="shared" ca="1" si="148"/>
        <v>9881191076.5097904</v>
      </c>
      <c r="J2440" s="455">
        <f t="array" ref="J2440">IFERROR(INDEX('Retirement Calculator'!J:J,MATCH('Isaac 401k'!N2440,'Retirement Calculator'!A:A,0),0),0)</f>
        <v>0</v>
      </c>
      <c r="K2440" s="455">
        <f t="shared" ca="1" si="146"/>
        <v>41171629.485457458</v>
      </c>
      <c r="L2440" s="455">
        <f t="shared" ca="1" si="147"/>
        <v>9922362705.9952488</v>
      </c>
      <c r="M2440" s="471">
        <f t="shared" si="149"/>
        <v>0.05</v>
      </c>
      <c r="N2440" s="475">
        <f t="shared" si="150"/>
        <v>125311</v>
      </c>
    </row>
    <row r="2441" spans="7:14" ht="11.25" customHeight="1" x14ac:dyDescent="0.3">
      <c r="G2441" s="470"/>
      <c r="H2441" s="470">
        <v>2434</v>
      </c>
      <c r="I2441" s="455">
        <f t="shared" ca="1" si="148"/>
        <v>9922362705.9952488</v>
      </c>
      <c r="J2441" s="455">
        <f t="array" ref="J2441">IFERROR(INDEX('Retirement Calculator'!J:J,MATCH('Isaac 401k'!N2441,'Retirement Calculator'!A:A,0),0),0)</f>
        <v>0</v>
      </c>
      <c r="K2441" s="455">
        <f t="shared" ca="1" si="146"/>
        <v>41343177.941646867</v>
      </c>
      <c r="L2441" s="455">
        <f t="shared" ca="1" si="147"/>
        <v>9963705883.9368954</v>
      </c>
      <c r="M2441" s="471">
        <f t="shared" si="149"/>
        <v>0.05</v>
      </c>
      <c r="N2441" s="475">
        <f t="shared" si="150"/>
        <v>125339</v>
      </c>
    </row>
    <row r="2442" spans="7:14" ht="11.25" customHeight="1" x14ac:dyDescent="0.3">
      <c r="G2442" s="470"/>
      <c r="H2442" s="470">
        <v>2435</v>
      </c>
      <c r="I2442" s="455">
        <f t="shared" ca="1" si="148"/>
        <v>9963705883.9368954</v>
      </c>
      <c r="J2442" s="455">
        <f t="array" ref="J2442">IFERROR(INDEX('Retirement Calculator'!J:J,MATCH('Isaac 401k'!N2442,'Retirement Calculator'!A:A,0),0),0)</f>
        <v>0</v>
      </c>
      <c r="K2442" s="455">
        <f t="shared" ca="1" si="146"/>
        <v>41515441.183070399</v>
      </c>
      <c r="L2442" s="455">
        <f t="shared" ca="1" si="147"/>
        <v>10005221325.119967</v>
      </c>
      <c r="M2442" s="471">
        <f t="shared" si="149"/>
        <v>0.05</v>
      </c>
      <c r="N2442" s="475">
        <f t="shared" si="150"/>
        <v>125370</v>
      </c>
    </row>
    <row r="2443" spans="7:14" ht="11.25" customHeight="1" x14ac:dyDescent="0.3">
      <c r="G2443" s="470"/>
      <c r="H2443" s="470">
        <v>2436</v>
      </c>
      <c r="I2443" s="455">
        <f t="shared" ca="1" si="148"/>
        <v>10005221325.119967</v>
      </c>
      <c r="J2443" s="455">
        <f t="array" ref="J2443">IFERROR(INDEX('Retirement Calculator'!J:J,MATCH('Isaac 401k'!N2443,'Retirement Calculator'!A:A,0),0),0)</f>
        <v>0</v>
      </c>
      <c r="K2443" s="455">
        <f t="shared" ca="1" si="146"/>
        <v>41688422.187999859</v>
      </c>
      <c r="L2443" s="455">
        <f t="shared" ca="1" si="147"/>
        <v>10046909747.307966</v>
      </c>
      <c r="M2443" s="471">
        <f t="shared" si="149"/>
        <v>0.05</v>
      </c>
      <c r="N2443" s="475">
        <f t="shared" si="150"/>
        <v>125400</v>
      </c>
    </row>
    <row r="2444" spans="7:14" ht="11.25" customHeight="1" x14ac:dyDescent="0.3">
      <c r="G2444" s="470"/>
      <c r="H2444" s="470">
        <v>2437</v>
      </c>
      <c r="I2444" s="455">
        <f t="shared" ca="1" si="148"/>
        <v>10046909747.307966</v>
      </c>
      <c r="J2444" s="455">
        <f t="array" ref="J2444">IFERROR(INDEX('Retirement Calculator'!J:J,MATCH('Isaac 401k'!N2444,'Retirement Calculator'!A:A,0),0),0)</f>
        <v>0</v>
      </c>
      <c r="K2444" s="455">
        <f t="shared" ca="1" si="146"/>
        <v>41862123.947116524</v>
      </c>
      <c r="L2444" s="455">
        <f t="shared" ca="1" si="147"/>
        <v>10088771871.255083</v>
      </c>
      <c r="M2444" s="471">
        <f t="shared" si="149"/>
        <v>0.05</v>
      </c>
      <c r="N2444" s="475">
        <f t="shared" si="150"/>
        <v>125431</v>
      </c>
    </row>
    <row r="2445" spans="7:14" ht="11.25" customHeight="1" x14ac:dyDescent="0.3">
      <c r="G2445" s="470"/>
      <c r="H2445" s="470">
        <v>2438</v>
      </c>
      <c r="I2445" s="455">
        <f t="shared" ca="1" si="148"/>
        <v>10088771871.255083</v>
      </c>
      <c r="J2445" s="455">
        <f t="array" ref="J2445">IFERROR(INDEX('Retirement Calculator'!J:J,MATCH('Isaac 401k'!N2445,'Retirement Calculator'!A:A,0),0),0)</f>
        <v>0</v>
      </c>
      <c r="K2445" s="455">
        <f t="shared" ca="1" si="146"/>
        <v>42036549.463562846</v>
      </c>
      <c r="L2445" s="455">
        <f t="shared" ca="1" si="147"/>
        <v>10130808420.718645</v>
      </c>
      <c r="M2445" s="471">
        <f t="shared" si="149"/>
        <v>0.05</v>
      </c>
      <c r="N2445" s="475">
        <f t="shared" si="150"/>
        <v>125461</v>
      </c>
    </row>
    <row r="2446" spans="7:14" ht="11.25" customHeight="1" x14ac:dyDescent="0.3">
      <c r="G2446" s="470"/>
      <c r="H2446" s="470">
        <v>2439</v>
      </c>
      <c r="I2446" s="455">
        <f t="shared" ca="1" si="148"/>
        <v>10130808420.718645</v>
      </c>
      <c r="J2446" s="455">
        <f t="array" ref="J2446">IFERROR(INDEX('Retirement Calculator'!J:J,MATCH('Isaac 401k'!N2446,'Retirement Calculator'!A:A,0),0),0)</f>
        <v>0</v>
      </c>
      <c r="K2446" s="455">
        <f t="shared" ca="1" si="146"/>
        <v>42211701.752994351</v>
      </c>
      <c r="L2446" s="455">
        <f t="shared" ca="1" si="147"/>
        <v>10173020122.47164</v>
      </c>
      <c r="M2446" s="471">
        <f t="shared" si="149"/>
        <v>0.05</v>
      </c>
      <c r="N2446" s="475">
        <f t="shared" si="150"/>
        <v>125492</v>
      </c>
    </row>
    <row r="2447" spans="7:14" ht="11.25" customHeight="1" x14ac:dyDescent="0.3">
      <c r="G2447" s="470"/>
      <c r="H2447" s="470">
        <v>2440</v>
      </c>
      <c r="I2447" s="455">
        <f t="shared" ca="1" si="148"/>
        <v>10173020122.47164</v>
      </c>
      <c r="J2447" s="455">
        <f t="array" ref="J2447">IFERROR(INDEX('Retirement Calculator'!J:J,MATCH('Isaac 401k'!N2447,'Retirement Calculator'!A:A,0),0),0)</f>
        <v>0</v>
      </c>
      <c r="K2447" s="455">
        <f t="shared" ca="1" si="146"/>
        <v>42387583.843631834</v>
      </c>
      <c r="L2447" s="455">
        <f t="shared" ca="1" si="147"/>
        <v>10215407706.315271</v>
      </c>
      <c r="M2447" s="471">
        <f t="shared" si="149"/>
        <v>0.05</v>
      </c>
      <c r="N2447" s="475">
        <f t="shared" si="150"/>
        <v>125523</v>
      </c>
    </row>
    <row r="2448" spans="7:14" ht="11.25" customHeight="1" x14ac:dyDescent="0.3">
      <c r="G2448" s="470"/>
      <c r="H2448" s="470">
        <v>2441</v>
      </c>
      <c r="I2448" s="455">
        <f t="shared" ca="1" si="148"/>
        <v>10215407706.315271</v>
      </c>
      <c r="J2448" s="455">
        <f t="array" ref="J2448">IFERROR(INDEX('Retirement Calculator'!J:J,MATCH('Isaac 401k'!N2448,'Retirement Calculator'!A:A,0),0),0)</f>
        <v>0</v>
      </c>
      <c r="K2448" s="455">
        <f t="shared" ca="1" si="146"/>
        <v>42564198.776313633</v>
      </c>
      <c r="L2448" s="455">
        <f t="shared" ca="1" si="147"/>
        <v>10257971905.091585</v>
      </c>
      <c r="M2448" s="471">
        <f t="shared" si="149"/>
        <v>0.05</v>
      </c>
      <c r="N2448" s="475">
        <f t="shared" si="150"/>
        <v>125553</v>
      </c>
    </row>
    <row r="2449" spans="7:14" ht="11.25" customHeight="1" x14ac:dyDescent="0.3">
      <c r="G2449" s="470"/>
      <c r="H2449" s="470">
        <v>2442</v>
      </c>
      <c r="I2449" s="455">
        <f t="shared" ca="1" si="148"/>
        <v>10257971905.091585</v>
      </c>
      <c r="J2449" s="455">
        <f t="array" ref="J2449">IFERROR(INDEX('Retirement Calculator'!J:J,MATCH('Isaac 401k'!N2449,'Retirement Calculator'!A:A,0),0),0)</f>
        <v>0</v>
      </c>
      <c r="K2449" s="455">
        <f t="shared" ca="1" si="146"/>
        <v>42741549.604548268</v>
      </c>
      <c r="L2449" s="455">
        <f t="shared" ca="1" si="147"/>
        <v>10300713454.696133</v>
      </c>
      <c r="M2449" s="471">
        <f t="shared" si="149"/>
        <v>0.05</v>
      </c>
      <c r="N2449" s="475">
        <f t="shared" si="150"/>
        <v>125584</v>
      </c>
    </row>
    <row r="2450" spans="7:14" ht="11.25" customHeight="1" x14ac:dyDescent="0.3">
      <c r="G2450" s="470"/>
      <c r="H2450" s="470">
        <v>2443</v>
      </c>
      <c r="I2450" s="455">
        <f t="shared" ca="1" si="148"/>
        <v>10300713454.696133</v>
      </c>
      <c r="J2450" s="455">
        <f t="array" ref="J2450">IFERROR(INDEX('Retirement Calculator'!J:J,MATCH('Isaac 401k'!N2450,'Retirement Calculator'!A:A,0),0),0)</f>
        <v>0</v>
      </c>
      <c r="K2450" s="455">
        <f t="shared" ca="1" si="146"/>
        <v>42919639.394567221</v>
      </c>
      <c r="L2450" s="455">
        <f t="shared" ca="1" si="147"/>
        <v>10343633094.0907</v>
      </c>
      <c r="M2450" s="471">
        <f t="shared" si="149"/>
        <v>0.05</v>
      </c>
      <c r="N2450" s="475">
        <f t="shared" si="150"/>
        <v>125614</v>
      </c>
    </row>
    <row r="2451" spans="7:14" ht="11.25" customHeight="1" x14ac:dyDescent="0.3">
      <c r="G2451" s="470"/>
      <c r="H2451" s="470">
        <v>2444</v>
      </c>
      <c r="I2451" s="455">
        <f t="shared" ca="1" si="148"/>
        <v>10343633094.0907</v>
      </c>
      <c r="J2451" s="455">
        <f t="array" ref="J2451">IFERROR(INDEX('Retirement Calculator'!J:J,MATCH('Isaac 401k'!N2451,'Retirement Calculator'!A:A,0),0),0)</f>
        <v>0</v>
      </c>
      <c r="K2451" s="455">
        <f t="shared" ca="1" si="146"/>
        <v>43098471.225377917</v>
      </c>
      <c r="L2451" s="455">
        <f t="shared" ca="1" si="147"/>
        <v>10386731565.316078</v>
      </c>
      <c r="M2451" s="471">
        <f t="shared" si="149"/>
        <v>0.05</v>
      </c>
      <c r="N2451" s="475">
        <f t="shared" si="150"/>
        <v>125645</v>
      </c>
    </row>
    <row r="2452" spans="7:14" ht="11.25" customHeight="1" x14ac:dyDescent="0.3">
      <c r="G2452" s="470"/>
      <c r="H2452" s="470">
        <v>2445</v>
      </c>
      <c r="I2452" s="455">
        <f t="shared" ca="1" si="148"/>
        <v>10386731565.316078</v>
      </c>
      <c r="J2452" s="455">
        <f t="array" ref="J2452">IFERROR(INDEX('Retirement Calculator'!J:J,MATCH('Isaac 401k'!N2452,'Retirement Calculator'!A:A,0),0),0)</f>
        <v>0</v>
      </c>
      <c r="K2452" s="455">
        <f t="shared" ca="1" si="146"/>
        <v>43278048.188816994</v>
      </c>
      <c r="L2452" s="455">
        <f t="shared" ca="1" si="147"/>
        <v>10430009613.504894</v>
      </c>
      <c r="M2452" s="471">
        <f t="shared" si="149"/>
        <v>0.05</v>
      </c>
      <c r="N2452" s="475">
        <f t="shared" si="150"/>
        <v>125676</v>
      </c>
    </row>
    <row r="2453" spans="7:14" ht="11.25" customHeight="1" x14ac:dyDescent="0.3">
      <c r="G2453" s="470"/>
      <c r="H2453" s="470">
        <v>2446</v>
      </c>
      <c r="I2453" s="455">
        <f t="shared" ca="1" si="148"/>
        <v>10430009613.504894</v>
      </c>
      <c r="J2453" s="455">
        <f t="array" ref="J2453">IFERROR(INDEX('Retirement Calculator'!J:J,MATCH('Isaac 401k'!N2453,'Retirement Calculator'!A:A,0),0),0)</f>
        <v>0</v>
      </c>
      <c r="K2453" s="455">
        <f t="shared" ca="1" si="146"/>
        <v>43458373.389603727</v>
      </c>
      <c r="L2453" s="455">
        <f t="shared" ca="1" si="147"/>
        <v>10473467986.894499</v>
      </c>
      <c r="M2453" s="471">
        <f t="shared" si="149"/>
        <v>0.05</v>
      </c>
      <c r="N2453" s="475">
        <f t="shared" si="150"/>
        <v>125705</v>
      </c>
    </row>
    <row r="2454" spans="7:14" ht="11.25" customHeight="1" x14ac:dyDescent="0.3">
      <c r="G2454" s="470"/>
      <c r="H2454" s="470">
        <v>2447</v>
      </c>
      <c r="I2454" s="455">
        <f t="shared" ca="1" si="148"/>
        <v>10473467986.894499</v>
      </c>
      <c r="J2454" s="455">
        <f t="array" ref="J2454">IFERROR(INDEX('Retirement Calculator'!J:J,MATCH('Isaac 401k'!N2454,'Retirement Calculator'!A:A,0),0),0)</f>
        <v>0</v>
      </c>
      <c r="K2454" s="455">
        <f t="shared" ca="1" si="146"/>
        <v>43639449.945393741</v>
      </c>
      <c r="L2454" s="455">
        <f t="shared" ca="1" si="147"/>
        <v>10517107436.839893</v>
      </c>
      <c r="M2454" s="471">
        <f t="shared" si="149"/>
        <v>0.05</v>
      </c>
      <c r="N2454" s="475">
        <f t="shared" si="150"/>
        <v>125736</v>
      </c>
    </row>
    <row r="2455" spans="7:14" ht="11.25" customHeight="1" x14ac:dyDescent="0.3">
      <c r="G2455" s="470"/>
      <c r="H2455" s="470">
        <v>2448</v>
      </c>
      <c r="I2455" s="455">
        <f t="shared" ca="1" si="148"/>
        <v>10517107436.839893</v>
      </c>
      <c r="J2455" s="455">
        <f t="array" ref="J2455">IFERROR(INDEX('Retirement Calculator'!J:J,MATCH('Isaac 401k'!N2455,'Retirement Calculator'!A:A,0),0),0)</f>
        <v>0</v>
      </c>
      <c r="K2455" s="455">
        <f t="shared" ca="1" si="146"/>
        <v>43821280.986832887</v>
      </c>
      <c r="L2455" s="455">
        <f t="shared" ca="1" si="147"/>
        <v>10560928717.826727</v>
      </c>
      <c r="M2455" s="471">
        <f t="shared" si="149"/>
        <v>0.05</v>
      </c>
      <c r="N2455" s="475">
        <f t="shared" si="150"/>
        <v>125766</v>
      </c>
    </row>
    <row r="2456" spans="7:14" ht="11.25" customHeight="1" x14ac:dyDescent="0.3">
      <c r="G2456" s="470"/>
      <c r="H2456" s="470">
        <v>2449</v>
      </c>
      <c r="I2456" s="455">
        <f t="shared" ca="1" si="148"/>
        <v>10560928717.826727</v>
      </c>
      <c r="J2456" s="455">
        <f t="array" ref="J2456">IFERROR(INDEX('Retirement Calculator'!J:J,MATCH('Isaac 401k'!N2456,'Retirement Calculator'!A:A,0),0),0)</f>
        <v>0</v>
      </c>
      <c r="K2456" s="455">
        <f t="shared" ca="1" si="146"/>
        <v>44003869.657611363</v>
      </c>
      <c r="L2456" s="455">
        <f t="shared" ca="1" si="147"/>
        <v>10604932587.484339</v>
      </c>
      <c r="M2456" s="471">
        <f t="shared" si="149"/>
        <v>0.05</v>
      </c>
      <c r="N2456" s="475">
        <f t="shared" si="150"/>
        <v>125797</v>
      </c>
    </row>
    <row r="2457" spans="7:14" ht="11.25" customHeight="1" x14ac:dyDescent="0.3">
      <c r="G2457" s="470"/>
      <c r="H2457" s="470">
        <v>2450</v>
      </c>
      <c r="I2457" s="455">
        <f t="shared" ca="1" si="148"/>
        <v>10604932587.484339</v>
      </c>
      <c r="J2457" s="455">
        <f t="array" ref="J2457">IFERROR(INDEX('Retirement Calculator'!J:J,MATCH('Isaac 401k'!N2457,'Retirement Calculator'!A:A,0),0),0)</f>
        <v>0</v>
      </c>
      <c r="K2457" s="455">
        <f t="shared" ca="1" si="146"/>
        <v>44187219.114518076</v>
      </c>
      <c r="L2457" s="455">
        <f t="shared" ca="1" si="147"/>
        <v>10649119806.598856</v>
      </c>
      <c r="M2457" s="471">
        <f t="shared" si="149"/>
        <v>0.05</v>
      </c>
      <c r="N2457" s="475">
        <f t="shared" si="150"/>
        <v>125827</v>
      </c>
    </row>
    <row r="2458" spans="7:14" ht="11.25" customHeight="1" x14ac:dyDescent="0.3">
      <c r="G2458" s="470"/>
      <c r="H2458" s="470">
        <v>2451</v>
      </c>
      <c r="I2458" s="455">
        <f t="shared" ca="1" si="148"/>
        <v>10649119806.598856</v>
      </c>
      <c r="J2458" s="455">
        <f t="array" ref="J2458">IFERROR(INDEX('Retirement Calculator'!J:J,MATCH('Isaac 401k'!N2458,'Retirement Calculator'!A:A,0),0),0)</f>
        <v>0</v>
      </c>
      <c r="K2458" s="455">
        <f t="shared" ca="1" si="146"/>
        <v>44371332.527495235</v>
      </c>
      <c r="L2458" s="455">
        <f t="shared" ca="1" si="147"/>
        <v>10693491139.12635</v>
      </c>
      <c r="M2458" s="471">
        <f t="shared" si="149"/>
        <v>0.05</v>
      </c>
      <c r="N2458" s="475">
        <f t="shared" si="150"/>
        <v>125858</v>
      </c>
    </row>
    <row r="2459" spans="7:14" ht="11.25" customHeight="1" x14ac:dyDescent="0.3">
      <c r="G2459" s="470"/>
      <c r="H2459" s="470">
        <v>2452</v>
      </c>
      <c r="I2459" s="455">
        <f t="shared" ca="1" si="148"/>
        <v>10693491139.12635</v>
      </c>
      <c r="J2459" s="455">
        <f t="array" ref="J2459">IFERROR(INDEX('Retirement Calculator'!J:J,MATCH('Isaac 401k'!N2459,'Retirement Calculator'!A:A,0),0),0)</f>
        <v>0</v>
      </c>
      <c r="K2459" s="455">
        <f t="shared" ca="1" si="146"/>
        <v>44556213.079693124</v>
      </c>
      <c r="L2459" s="455">
        <f t="shared" ca="1" si="147"/>
        <v>10738047352.206043</v>
      </c>
      <c r="M2459" s="471">
        <f t="shared" si="149"/>
        <v>0.05</v>
      </c>
      <c r="N2459" s="475">
        <f t="shared" si="150"/>
        <v>125889</v>
      </c>
    </row>
    <row r="2460" spans="7:14" ht="11.25" customHeight="1" x14ac:dyDescent="0.3">
      <c r="G2460" s="470"/>
      <c r="H2460" s="470">
        <v>2453</v>
      </c>
      <c r="I2460" s="455">
        <f t="shared" ca="1" si="148"/>
        <v>10738047352.206043</v>
      </c>
      <c r="J2460" s="455">
        <f t="array" ref="J2460">IFERROR(INDEX('Retirement Calculator'!J:J,MATCH('Isaac 401k'!N2460,'Retirement Calculator'!A:A,0),0),0)</f>
        <v>0</v>
      </c>
      <c r="K2460" s="455">
        <f t="shared" ca="1" si="146"/>
        <v>44741863.967525177</v>
      </c>
      <c r="L2460" s="455">
        <f t="shared" ca="1" si="147"/>
        <v>10782789216.173569</v>
      </c>
      <c r="M2460" s="471">
        <f t="shared" si="149"/>
        <v>0.05</v>
      </c>
      <c r="N2460" s="475">
        <f t="shared" si="150"/>
        <v>125919</v>
      </c>
    </row>
    <row r="2461" spans="7:14" ht="11.25" customHeight="1" x14ac:dyDescent="0.3">
      <c r="G2461" s="470"/>
      <c r="H2461" s="470">
        <v>2454</v>
      </c>
      <c r="I2461" s="455">
        <f t="shared" ca="1" si="148"/>
        <v>10782789216.173569</v>
      </c>
      <c r="J2461" s="455">
        <f t="array" ref="J2461">IFERROR(INDEX('Retirement Calculator'!J:J,MATCH('Isaac 401k'!N2461,'Retirement Calculator'!A:A,0),0),0)</f>
        <v>0</v>
      </c>
      <c r="K2461" s="455">
        <f t="shared" ca="1" si="146"/>
        <v>44928288.400723204</v>
      </c>
      <c r="L2461" s="455">
        <f t="shared" ca="1" si="147"/>
        <v>10827717504.574291</v>
      </c>
      <c r="M2461" s="471">
        <f t="shared" si="149"/>
        <v>0.05</v>
      </c>
      <c r="N2461" s="475">
        <f t="shared" si="150"/>
        <v>125950</v>
      </c>
    </row>
    <row r="2462" spans="7:14" ht="11.25" customHeight="1" x14ac:dyDescent="0.3">
      <c r="G2462" s="470"/>
      <c r="H2462" s="470">
        <v>2455</v>
      </c>
      <c r="I2462" s="455">
        <f t="shared" ca="1" si="148"/>
        <v>10827717504.574291</v>
      </c>
      <c r="J2462" s="455">
        <f t="array" ref="J2462">IFERROR(INDEX('Retirement Calculator'!J:J,MATCH('Isaac 401k'!N2462,'Retirement Calculator'!A:A,0),0),0)</f>
        <v>0</v>
      </c>
      <c r="K2462" s="455">
        <f t="shared" ca="1" si="146"/>
        <v>45115489.602392882</v>
      </c>
      <c r="L2462" s="455">
        <f t="shared" ca="1" si="147"/>
        <v>10872832994.176683</v>
      </c>
      <c r="M2462" s="471">
        <f t="shared" si="149"/>
        <v>0.05</v>
      </c>
      <c r="N2462" s="475">
        <f t="shared" si="150"/>
        <v>125980</v>
      </c>
    </row>
    <row r="2463" spans="7:14" ht="11.25" customHeight="1" x14ac:dyDescent="0.3">
      <c r="G2463" s="470"/>
      <c r="H2463" s="470">
        <v>2456</v>
      </c>
      <c r="I2463" s="455">
        <f t="shared" ca="1" si="148"/>
        <v>10872832994.176683</v>
      </c>
      <c r="J2463" s="455">
        <f t="array" ref="J2463">IFERROR(INDEX('Retirement Calculator'!J:J,MATCH('Isaac 401k'!N2463,'Retirement Calculator'!A:A,0),0),0)</f>
        <v>0</v>
      </c>
      <c r="K2463" s="455">
        <f t="shared" ca="1" si="146"/>
        <v>45303470.809069514</v>
      </c>
      <c r="L2463" s="455">
        <f t="shared" ca="1" si="147"/>
        <v>10918136464.985752</v>
      </c>
      <c r="M2463" s="471">
        <f t="shared" si="149"/>
        <v>0.05</v>
      </c>
      <c r="N2463" s="475">
        <f t="shared" si="150"/>
        <v>126011</v>
      </c>
    </row>
    <row r="2464" spans="7:14" ht="11.25" customHeight="1" x14ac:dyDescent="0.3">
      <c r="G2464" s="470"/>
      <c r="H2464" s="470">
        <v>2457</v>
      </c>
      <c r="I2464" s="455">
        <f t="shared" ca="1" si="148"/>
        <v>10918136464.985752</v>
      </c>
      <c r="J2464" s="455">
        <f t="array" ref="J2464">IFERROR(INDEX('Retirement Calculator'!J:J,MATCH('Isaac 401k'!N2464,'Retirement Calculator'!A:A,0),0),0)</f>
        <v>0</v>
      </c>
      <c r="K2464" s="455">
        <f t="shared" ca="1" si="146"/>
        <v>45492235.27077397</v>
      </c>
      <c r="L2464" s="455">
        <f t="shared" ca="1" si="147"/>
        <v>10963628700.256527</v>
      </c>
      <c r="M2464" s="471">
        <f t="shared" si="149"/>
        <v>0.05</v>
      </c>
      <c r="N2464" s="475">
        <f t="shared" si="150"/>
        <v>126042</v>
      </c>
    </row>
    <row r="2465" spans="7:14" ht="11.25" customHeight="1" x14ac:dyDescent="0.3">
      <c r="G2465" s="470"/>
      <c r="H2465" s="470">
        <v>2458</v>
      </c>
      <c r="I2465" s="455">
        <f t="shared" ca="1" si="148"/>
        <v>10963628700.256527</v>
      </c>
      <c r="J2465" s="455">
        <f t="array" ref="J2465">IFERROR(INDEX('Retirement Calculator'!J:J,MATCH('Isaac 401k'!N2465,'Retirement Calculator'!A:A,0),0),0)</f>
        <v>0</v>
      </c>
      <c r="K2465" s="455">
        <f t="shared" ca="1" si="146"/>
        <v>45681786.25106886</v>
      </c>
      <c r="L2465" s="455">
        <f t="shared" ca="1" si="147"/>
        <v>11009310486.507595</v>
      </c>
      <c r="M2465" s="471">
        <f t="shared" si="149"/>
        <v>0.05</v>
      </c>
      <c r="N2465" s="475">
        <f t="shared" si="150"/>
        <v>126070</v>
      </c>
    </row>
    <row r="2466" spans="7:14" ht="11.25" customHeight="1" x14ac:dyDescent="0.3">
      <c r="G2466" s="470"/>
      <c r="H2466" s="470">
        <v>2459</v>
      </c>
      <c r="I2466" s="455">
        <f t="shared" ca="1" si="148"/>
        <v>11009310486.507595</v>
      </c>
      <c r="J2466" s="455">
        <f t="array" ref="J2466">IFERROR(INDEX('Retirement Calculator'!J:J,MATCH('Isaac 401k'!N2466,'Retirement Calculator'!A:A,0),0),0)</f>
        <v>0</v>
      </c>
      <c r="K2466" s="455">
        <f t="shared" ca="1" si="146"/>
        <v>45872127.02711498</v>
      </c>
      <c r="L2466" s="455">
        <f t="shared" ca="1" si="147"/>
        <v>11055182613.53471</v>
      </c>
      <c r="M2466" s="471">
        <f t="shared" si="149"/>
        <v>0.05</v>
      </c>
      <c r="N2466" s="475">
        <f t="shared" si="150"/>
        <v>126101</v>
      </c>
    </row>
    <row r="2467" spans="7:14" ht="11.25" customHeight="1" x14ac:dyDescent="0.3">
      <c r="G2467" s="470"/>
      <c r="H2467" s="470">
        <v>2460</v>
      </c>
      <c r="I2467" s="455">
        <f t="shared" ca="1" si="148"/>
        <v>11055182613.53471</v>
      </c>
      <c r="J2467" s="455">
        <f t="array" ref="J2467">IFERROR(INDEX('Retirement Calculator'!J:J,MATCH('Isaac 401k'!N2467,'Retirement Calculator'!A:A,0),0),0)</f>
        <v>0</v>
      </c>
      <c r="K2467" s="455">
        <f t="shared" ca="1" si="146"/>
        <v>46063260.889727958</v>
      </c>
      <c r="L2467" s="455">
        <f t="shared" ca="1" si="147"/>
        <v>11101245874.424438</v>
      </c>
      <c r="M2467" s="471">
        <f t="shared" si="149"/>
        <v>0.05</v>
      </c>
      <c r="N2467" s="475">
        <f t="shared" si="150"/>
        <v>126131</v>
      </c>
    </row>
    <row r="2468" spans="7:14" ht="11.25" customHeight="1" x14ac:dyDescent="0.3">
      <c r="G2468" s="470"/>
      <c r="H2468" s="470">
        <v>2461</v>
      </c>
      <c r="I2468" s="455">
        <f t="shared" ca="1" si="148"/>
        <v>11101245874.424438</v>
      </c>
      <c r="J2468" s="455">
        <f t="array" ref="J2468">IFERROR(INDEX('Retirement Calculator'!J:J,MATCH('Isaac 401k'!N2468,'Retirement Calculator'!A:A,0),0),0)</f>
        <v>0</v>
      </c>
      <c r="K2468" s="455">
        <f t="shared" ca="1" si="146"/>
        <v>46255191.143435158</v>
      </c>
      <c r="L2468" s="455">
        <f t="shared" ca="1" si="147"/>
        <v>11147501065.567873</v>
      </c>
      <c r="M2468" s="471">
        <f t="shared" si="149"/>
        <v>0.05</v>
      </c>
      <c r="N2468" s="475">
        <f t="shared" si="150"/>
        <v>126162</v>
      </c>
    </row>
    <row r="2469" spans="7:14" ht="11.25" customHeight="1" x14ac:dyDescent="0.3">
      <c r="G2469" s="470"/>
      <c r="H2469" s="470">
        <v>2462</v>
      </c>
      <c r="I2469" s="455">
        <f t="shared" ca="1" si="148"/>
        <v>11147501065.567873</v>
      </c>
      <c r="J2469" s="455">
        <f t="array" ref="J2469">IFERROR(INDEX('Retirement Calculator'!J:J,MATCH('Isaac 401k'!N2469,'Retirement Calculator'!A:A,0),0),0)</f>
        <v>0</v>
      </c>
      <c r="K2469" s="455">
        <f t="shared" ca="1" si="146"/>
        <v>46447921.106532805</v>
      </c>
      <c r="L2469" s="455">
        <f t="shared" ca="1" si="147"/>
        <v>11193948986.674406</v>
      </c>
      <c r="M2469" s="471">
        <f t="shared" si="149"/>
        <v>0.05</v>
      </c>
      <c r="N2469" s="475">
        <f t="shared" si="150"/>
        <v>126192</v>
      </c>
    </row>
    <row r="2470" spans="7:14" ht="11.25" customHeight="1" x14ac:dyDescent="0.3">
      <c r="G2470" s="470"/>
      <c r="H2470" s="470">
        <v>2463</v>
      </c>
      <c r="I2470" s="455">
        <f t="shared" ca="1" si="148"/>
        <v>11193948986.674406</v>
      </c>
      <c r="J2470" s="455">
        <f t="array" ref="J2470">IFERROR(INDEX('Retirement Calculator'!J:J,MATCH('Isaac 401k'!N2470,'Retirement Calculator'!A:A,0),0),0)</f>
        <v>0</v>
      </c>
      <c r="K2470" s="455">
        <f t="shared" ca="1" si="146"/>
        <v>46641454.111143358</v>
      </c>
      <c r="L2470" s="455">
        <f t="shared" ca="1" si="147"/>
        <v>11240590440.785549</v>
      </c>
      <c r="M2470" s="471">
        <f t="shared" si="149"/>
        <v>0.05</v>
      </c>
      <c r="N2470" s="475">
        <f t="shared" si="150"/>
        <v>126223</v>
      </c>
    </row>
    <row r="2471" spans="7:14" ht="11.25" customHeight="1" x14ac:dyDescent="0.3">
      <c r="G2471" s="470"/>
      <c r="H2471" s="470">
        <v>2464</v>
      </c>
      <c r="I2471" s="455">
        <f t="shared" ca="1" si="148"/>
        <v>11240590440.785549</v>
      </c>
      <c r="J2471" s="455">
        <f t="array" ref="J2471">IFERROR(INDEX('Retirement Calculator'!J:J,MATCH('Isaac 401k'!N2471,'Retirement Calculator'!A:A,0),0),0)</f>
        <v>0</v>
      </c>
      <c r="K2471" s="455">
        <f t="shared" ca="1" si="146"/>
        <v>46835793.503273122</v>
      </c>
      <c r="L2471" s="455">
        <f t="shared" ca="1" si="147"/>
        <v>11287426234.288822</v>
      </c>
      <c r="M2471" s="471">
        <f t="shared" si="149"/>
        <v>0.05</v>
      </c>
      <c r="N2471" s="475">
        <f t="shared" si="150"/>
        <v>126254</v>
      </c>
    </row>
    <row r="2472" spans="7:14" ht="11.25" customHeight="1" x14ac:dyDescent="0.3">
      <c r="G2472" s="470"/>
      <c r="H2472" s="470">
        <v>2465</v>
      </c>
      <c r="I2472" s="455">
        <f t="shared" ca="1" si="148"/>
        <v>11287426234.288822</v>
      </c>
      <c r="J2472" s="455">
        <f t="array" ref="J2472">IFERROR(INDEX('Retirement Calculator'!J:J,MATCH('Isaac 401k'!N2472,'Retirement Calculator'!A:A,0),0),0)</f>
        <v>0</v>
      </c>
      <c r="K2472" s="455">
        <f t="shared" ca="1" si="146"/>
        <v>47030942.642870091</v>
      </c>
      <c r="L2472" s="455">
        <f t="shared" ca="1" si="147"/>
        <v>11334457176.931692</v>
      </c>
      <c r="M2472" s="471">
        <f t="shared" si="149"/>
        <v>0.05</v>
      </c>
      <c r="N2472" s="475">
        <f t="shared" si="150"/>
        <v>126284</v>
      </c>
    </row>
    <row r="2473" spans="7:14" ht="11.25" customHeight="1" x14ac:dyDescent="0.3">
      <c r="G2473" s="470"/>
      <c r="H2473" s="470">
        <v>2466</v>
      </c>
      <c r="I2473" s="455">
        <f t="shared" ca="1" si="148"/>
        <v>11334457176.931692</v>
      </c>
      <c r="J2473" s="455">
        <f t="array" ref="J2473">IFERROR(INDEX('Retirement Calculator'!J:J,MATCH('Isaac 401k'!N2473,'Retirement Calculator'!A:A,0),0),0)</f>
        <v>0</v>
      </c>
      <c r="K2473" s="455">
        <f t="shared" ca="1" si="146"/>
        <v>47226904.903882049</v>
      </c>
      <c r="L2473" s="455">
        <f t="shared" ca="1" si="147"/>
        <v>11381684081.835575</v>
      </c>
      <c r="M2473" s="471">
        <f t="shared" si="149"/>
        <v>0.05</v>
      </c>
      <c r="N2473" s="475">
        <f t="shared" si="150"/>
        <v>126315</v>
      </c>
    </row>
    <row r="2474" spans="7:14" ht="11.25" customHeight="1" x14ac:dyDescent="0.3">
      <c r="G2474" s="470"/>
      <c r="H2474" s="470">
        <v>2467</v>
      </c>
      <c r="I2474" s="455">
        <f t="shared" ca="1" si="148"/>
        <v>11381684081.835575</v>
      </c>
      <c r="J2474" s="455">
        <f t="array" ref="J2474">IFERROR(INDEX('Retirement Calculator'!J:J,MATCH('Isaac 401k'!N2474,'Retirement Calculator'!A:A,0),0),0)</f>
        <v>0</v>
      </c>
      <c r="K2474" s="455">
        <f t="shared" ca="1" si="146"/>
        <v>47423683.674314894</v>
      </c>
      <c r="L2474" s="455">
        <f t="shared" ca="1" si="147"/>
        <v>11429107765.50989</v>
      </c>
      <c r="M2474" s="471">
        <f t="shared" si="149"/>
        <v>0.05</v>
      </c>
      <c r="N2474" s="475">
        <f t="shared" si="150"/>
        <v>126345</v>
      </c>
    </row>
    <row r="2475" spans="7:14" ht="11.25" customHeight="1" x14ac:dyDescent="0.3">
      <c r="G2475" s="470"/>
      <c r="H2475" s="470">
        <v>2468</v>
      </c>
      <c r="I2475" s="455">
        <f t="shared" ca="1" si="148"/>
        <v>11429107765.50989</v>
      </c>
      <c r="J2475" s="455">
        <f t="array" ref="J2475">IFERROR(INDEX('Retirement Calculator'!J:J,MATCH('Isaac 401k'!N2475,'Retirement Calculator'!A:A,0),0),0)</f>
        <v>0</v>
      </c>
      <c r="K2475" s="455">
        <f t="shared" ca="1" si="146"/>
        <v>47621282.356291205</v>
      </c>
      <c r="L2475" s="455">
        <f t="shared" ca="1" si="147"/>
        <v>11476729047.86618</v>
      </c>
      <c r="M2475" s="471">
        <f t="shared" si="149"/>
        <v>0.05</v>
      </c>
      <c r="N2475" s="475">
        <f t="shared" si="150"/>
        <v>126376</v>
      </c>
    </row>
    <row r="2476" spans="7:14" ht="11.25" customHeight="1" x14ac:dyDescent="0.3">
      <c r="G2476" s="470"/>
      <c r="H2476" s="470">
        <v>2469</v>
      </c>
      <c r="I2476" s="455">
        <f t="shared" ca="1" si="148"/>
        <v>11476729047.86618</v>
      </c>
      <c r="J2476" s="455">
        <f t="array" ref="J2476">IFERROR(INDEX('Retirement Calculator'!J:J,MATCH('Isaac 401k'!N2476,'Retirement Calculator'!A:A,0),0),0)</f>
        <v>0</v>
      </c>
      <c r="K2476" s="455">
        <f t="shared" ca="1" si="146"/>
        <v>47819704.366109088</v>
      </c>
      <c r="L2476" s="455">
        <f t="shared" ca="1" si="147"/>
        <v>11524548752.23229</v>
      </c>
      <c r="M2476" s="471">
        <f t="shared" si="149"/>
        <v>0.05</v>
      </c>
      <c r="N2476" s="475">
        <f t="shared" si="150"/>
        <v>126407</v>
      </c>
    </row>
    <row r="2477" spans="7:14" ht="11.25" customHeight="1" x14ac:dyDescent="0.3">
      <c r="G2477" s="470"/>
      <c r="H2477" s="470">
        <v>2470</v>
      </c>
      <c r="I2477" s="455">
        <f t="shared" ca="1" si="148"/>
        <v>11524548752.23229</v>
      </c>
      <c r="J2477" s="455">
        <f t="array" ref="J2477">IFERROR(INDEX('Retirement Calculator'!J:J,MATCH('Isaac 401k'!N2477,'Retirement Calculator'!A:A,0),0),0)</f>
        <v>0</v>
      </c>
      <c r="K2477" s="455">
        <f t="shared" ca="1" si="146"/>
        <v>48018953.134301208</v>
      </c>
      <c r="L2477" s="455">
        <f t="shared" ca="1" si="147"/>
        <v>11572567705.366592</v>
      </c>
      <c r="M2477" s="471">
        <f t="shared" si="149"/>
        <v>0.05</v>
      </c>
      <c r="N2477" s="475">
        <f t="shared" si="150"/>
        <v>126435</v>
      </c>
    </row>
    <row r="2478" spans="7:14" ht="11.25" customHeight="1" x14ac:dyDescent="0.3">
      <c r="G2478" s="470"/>
      <c r="H2478" s="470">
        <v>2471</v>
      </c>
      <c r="I2478" s="455">
        <f t="shared" ca="1" si="148"/>
        <v>11572567705.366592</v>
      </c>
      <c r="J2478" s="455">
        <f t="array" ref="J2478">IFERROR(INDEX('Retirement Calculator'!J:J,MATCH('Isaac 401k'!N2478,'Retirement Calculator'!A:A,0),0),0)</f>
        <v>0</v>
      </c>
      <c r="K2478" s="455">
        <f t="shared" ca="1" si="146"/>
        <v>48219032.105694138</v>
      </c>
      <c r="L2478" s="455">
        <f t="shared" ca="1" si="147"/>
        <v>11620786737.472286</v>
      </c>
      <c r="M2478" s="471">
        <f t="shared" si="149"/>
        <v>0.05</v>
      </c>
      <c r="N2478" s="475">
        <f t="shared" si="150"/>
        <v>126466</v>
      </c>
    </row>
    <row r="2479" spans="7:14" ht="11.25" customHeight="1" x14ac:dyDescent="0.3">
      <c r="G2479" s="470"/>
      <c r="H2479" s="470">
        <v>2472</v>
      </c>
      <c r="I2479" s="455">
        <f t="shared" ca="1" si="148"/>
        <v>11620786737.472286</v>
      </c>
      <c r="J2479" s="455">
        <f t="array" ref="J2479">IFERROR(INDEX('Retirement Calculator'!J:J,MATCH('Isaac 401k'!N2479,'Retirement Calculator'!A:A,0),0),0)</f>
        <v>0</v>
      </c>
      <c r="K2479" s="455">
        <f t="shared" ca="1" si="146"/>
        <v>48419944.739467859</v>
      </c>
      <c r="L2479" s="455">
        <f t="shared" ca="1" si="147"/>
        <v>11669206682.211754</v>
      </c>
      <c r="M2479" s="471">
        <f t="shared" si="149"/>
        <v>0.05</v>
      </c>
      <c r="N2479" s="475">
        <f t="shared" si="150"/>
        <v>126496</v>
      </c>
    </row>
    <row r="2480" spans="7:14" ht="11.25" customHeight="1" x14ac:dyDescent="0.3">
      <c r="G2480" s="470"/>
      <c r="H2480" s="470">
        <v>2473</v>
      </c>
      <c r="I2480" s="455">
        <f t="shared" ca="1" si="148"/>
        <v>11669206682.211754</v>
      </c>
      <c r="J2480" s="455">
        <f t="array" ref="J2480">IFERROR(INDEX('Retirement Calculator'!J:J,MATCH('Isaac 401k'!N2480,'Retirement Calculator'!A:A,0),0),0)</f>
        <v>0</v>
      </c>
      <c r="K2480" s="455">
        <f t="shared" ca="1" si="146"/>
        <v>48621694.509215638</v>
      </c>
      <c r="L2480" s="455">
        <f t="shared" ca="1" si="147"/>
        <v>11717828376.72097</v>
      </c>
      <c r="M2480" s="471">
        <f t="shared" si="149"/>
        <v>0.05</v>
      </c>
      <c r="N2480" s="475">
        <f t="shared" si="150"/>
        <v>126527</v>
      </c>
    </row>
    <row r="2481" spans="7:14" ht="11.25" customHeight="1" x14ac:dyDescent="0.3">
      <c r="G2481" s="470"/>
      <c r="H2481" s="470">
        <v>2474</v>
      </c>
      <c r="I2481" s="455">
        <f t="shared" ca="1" si="148"/>
        <v>11717828376.72097</v>
      </c>
      <c r="J2481" s="455">
        <f t="array" ref="J2481">IFERROR(INDEX('Retirement Calculator'!J:J,MATCH('Isaac 401k'!N2481,'Retirement Calculator'!A:A,0),0),0)</f>
        <v>0</v>
      </c>
      <c r="K2481" s="455">
        <f t="shared" ca="1" si="146"/>
        <v>48824284.903004043</v>
      </c>
      <c r="L2481" s="455">
        <f t="shared" ca="1" si="147"/>
        <v>11766652661.623974</v>
      </c>
      <c r="M2481" s="471">
        <f t="shared" si="149"/>
        <v>0.05</v>
      </c>
      <c r="N2481" s="475">
        <f t="shared" si="150"/>
        <v>126557</v>
      </c>
    </row>
    <row r="2482" spans="7:14" ht="11.25" customHeight="1" x14ac:dyDescent="0.3">
      <c r="G2482" s="470"/>
      <c r="H2482" s="470">
        <v>2475</v>
      </c>
      <c r="I2482" s="455">
        <f t="shared" ca="1" si="148"/>
        <v>11766652661.623974</v>
      </c>
      <c r="J2482" s="455">
        <f t="array" ref="J2482">IFERROR(INDEX('Retirement Calculator'!J:J,MATCH('Isaac 401k'!N2482,'Retirement Calculator'!A:A,0),0),0)</f>
        <v>0</v>
      </c>
      <c r="K2482" s="455">
        <f t="shared" ca="1" si="146"/>
        <v>49027719.423433222</v>
      </c>
      <c r="L2482" s="455">
        <f t="shared" ca="1" si="147"/>
        <v>11815680381.047407</v>
      </c>
      <c r="M2482" s="471">
        <f t="shared" si="149"/>
        <v>0.05</v>
      </c>
      <c r="N2482" s="475">
        <f t="shared" si="150"/>
        <v>126588</v>
      </c>
    </row>
    <row r="2483" spans="7:14" ht="11.25" customHeight="1" x14ac:dyDescent="0.3">
      <c r="G2483" s="470"/>
      <c r="H2483" s="470">
        <v>2476</v>
      </c>
      <c r="I2483" s="455">
        <f t="shared" ca="1" si="148"/>
        <v>11815680381.047407</v>
      </c>
      <c r="J2483" s="455">
        <f t="array" ref="J2483">IFERROR(INDEX('Retirement Calculator'!J:J,MATCH('Isaac 401k'!N2483,'Retirement Calculator'!A:A,0),0),0)</f>
        <v>0</v>
      </c>
      <c r="K2483" s="455">
        <f t="shared" ca="1" si="146"/>
        <v>49232001.587697528</v>
      </c>
      <c r="L2483" s="455">
        <f t="shared" ca="1" si="147"/>
        <v>11864912382.635105</v>
      </c>
      <c r="M2483" s="471">
        <f t="shared" si="149"/>
        <v>0.05</v>
      </c>
      <c r="N2483" s="475">
        <f t="shared" si="150"/>
        <v>126619</v>
      </c>
    </row>
    <row r="2484" spans="7:14" ht="11.25" customHeight="1" x14ac:dyDescent="0.3">
      <c r="G2484" s="470"/>
      <c r="H2484" s="470">
        <v>2477</v>
      </c>
      <c r="I2484" s="455">
        <f t="shared" ca="1" si="148"/>
        <v>11864912382.635105</v>
      </c>
      <c r="J2484" s="455">
        <f t="array" ref="J2484">IFERROR(INDEX('Retirement Calculator'!J:J,MATCH('Isaac 401k'!N2484,'Retirement Calculator'!A:A,0),0),0)</f>
        <v>0</v>
      </c>
      <c r="K2484" s="455">
        <f t="shared" ca="1" si="146"/>
        <v>49437134.927646272</v>
      </c>
      <c r="L2484" s="455">
        <f t="shared" ca="1" si="147"/>
        <v>11914349517.562752</v>
      </c>
      <c r="M2484" s="471">
        <f t="shared" si="149"/>
        <v>0.05</v>
      </c>
      <c r="N2484" s="475">
        <f t="shared" si="150"/>
        <v>126649</v>
      </c>
    </row>
    <row r="2485" spans="7:14" ht="11.25" customHeight="1" x14ac:dyDescent="0.3">
      <c r="G2485" s="470"/>
      <c r="H2485" s="470">
        <v>2478</v>
      </c>
      <c r="I2485" s="455">
        <f t="shared" ca="1" si="148"/>
        <v>11914349517.562752</v>
      </c>
      <c r="J2485" s="455">
        <f t="array" ref="J2485">IFERROR(INDEX('Retirement Calculator'!J:J,MATCH('Isaac 401k'!N2485,'Retirement Calculator'!A:A,0),0),0)</f>
        <v>0</v>
      </c>
      <c r="K2485" s="455">
        <f t="shared" ca="1" si="146"/>
        <v>49643122.989844799</v>
      </c>
      <c r="L2485" s="455">
        <f t="shared" ca="1" si="147"/>
        <v>11963992640.552597</v>
      </c>
      <c r="M2485" s="471">
        <f t="shared" si="149"/>
        <v>0.05</v>
      </c>
      <c r="N2485" s="475">
        <f t="shared" si="150"/>
        <v>126680</v>
      </c>
    </row>
    <row r="2486" spans="7:14" ht="11.25" customHeight="1" x14ac:dyDescent="0.3">
      <c r="G2486" s="470"/>
      <c r="H2486" s="470">
        <v>2479</v>
      </c>
      <c r="I2486" s="455">
        <f t="shared" ca="1" si="148"/>
        <v>11963992640.552597</v>
      </c>
      <c r="J2486" s="455">
        <f t="array" ref="J2486">IFERROR(INDEX('Retirement Calculator'!J:J,MATCH('Isaac 401k'!N2486,'Retirement Calculator'!A:A,0),0),0)</f>
        <v>0</v>
      </c>
      <c r="K2486" s="455">
        <f t="shared" ca="1" si="146"/>
        <v>49849969.335635819</v>
      </c>
      <c r="L2486" s="455">
        <f t="shared" ca="1" si="147"/>
        <v>12013842609.888233</v>
      </c>
      <c r="M2486" s="471">
        <f t="shared" si="149"/>
        <v>0.05</v>
      </c>
      <c r="N2486" s="475">
        <f t="shared" si="150"/>
        <v>126710</v>
      </c>
    </row>
    <row r="2487" spans="7:14" ht="11.25" customHeight="1" x14ac:dyDescent="0.3">
      <c r="G2487" s="470"/>
      <c r="H2487" s="470">
        <v>2480</v>
      </c>
      <c r="I2487" s="455">
        <f t="shared" ca="1" si="148"/>
        <v>12013842609.888233</v>
      </c>
      <c r="J2487" s="455">
        <f t="array" ref="J2487">IFERROR(INDEX('Retirement Calculator'!J:J,MATCH('Isaac 401k'!N2487,'Retirement Calculator'!A:A,0),0),0)</f>
        <v>0</v>
      </c>
      <c r="K2487" s="455">
        <f t="shared" ca="1" si="146"/>
        <v>50057677.541200973</v>
      </c>
      <c r="L2487" s="455">
        <f t="shared" ca="1" si="147"/>
        <v>12063900287.429434</v>
      </c>
      <c r="M2487" s="471">
        <f t="shared" si="149"/>
        <v>0.05</v>
      </c>
      <c r="N2487" s="475">
        <f t="shared" si="150"/>
        <v>126741</v>
      </c>
    </row>
    <row r="2488" spans="7:14" ht="11.25" customHeight="1" x14ac:dyDescent="0.3">
      <c r="G2488" s="470"/>
      <c r="H2488" s="470">
        <v>2481</v>
      </c>
      <c r="I2488" s="455">
        <f t="shared" ca="1" si="148"/>
        <v>12063900287.429434</v>
      </c>
      <c r="J2488" s="455">
        <f t="array" ref="J2488">IFERROR(INDEX('Retirement Calculator'!J:J,MATCH('Isaac 401k'!N2488,'Retirement Calculator'!A:A,0),0),0)</f>
        <v>0</v>
      </c>
      <c r="K2488" s="455">
        <f t="shared" ca="1" si="146"/>
        <v>50266251.197622642</v>
      </c>
      <c r="L2488" s="455">
        <f t="shared" ca="1" si="147"/>
        <v>12114166538.627056</v>
      </c>
      <c r="M2488" s="471">
        <f t="shared" si="149"/>
        <v>0.05</v>
      </c>
      <c r="N2488" s="475">
        <f t="shared" si="150"/>
        <v>126772</v>
      </c>
    </row>
    <row r="2489" spans="7:14" ht="11.25" customHeight="1" x14ac:dyDescent="0.3">
      <c r="G2489" s="470"/>
      <c r="H2489" s="470">
        <v>2482</v>
      </c>
      <c r="I2489" s="455">
        <f t="shared" ca="1" si="148"/>
        <v>12114166538.627056</v>
      </c>
      <c r="J2489" s="455">
        <f t="array" ref="J2489">IFERROR(INDEX('Retirement Calculator'!J:J,MATCH('Isaac 401k'!N2489,'Retirement Calculator'!A:A,0),0),0)</f>
        <v>0</v>
      </c>
      <c r="K2489" s="455">
        <f t="shared" ca="1" si="146"/>
        <v>50475693.910946064</v>
      </c>
      <c r="L2489" s="455">
        <f t="shared" ca="1" si="147"/>
        <v>12164642232.538002</v>
      </c>
      <c r="M2489" s="471">
        <f t="shared" si="149"/>
        <v>0.05</v>
      </c>
      <c r="N2489" s="475">
        <f t="shared" si="150"/>
        <v>126800</v>
      </c>
    </row>
    <row r="2490" spans="7:14" ht="11.25" customHeight="1" x14ac:dyDescent="0.3">
      <c r="G2490" s="470"/>
      <c r="H2490" s="470">
        <v>2483</v>
      </c>
      <c r="I2490" s="455">
        <f t="shared" ca="1" si="148"/>
        <v>12164642232.538002</v>
      </c>
      <c r="J2490" s="455">
        <f t="array" ref="J2490">IFERROR(INDEX('Retirement Calculator'!J:J,MATCH('Isaac 401k'!N2490,'Retirement Calculator'!A:A,0),0),0)</f>
        <v>0</v>
      </c>
      <c r="K2490" s="455">
        <f t="shared" ca="1" si="146"/>
        <v>50686009.302241676</v>
      </c>
      <c r="L2490" s="455">
        <f t="shared" ca="1" si="147"/>
        <v>12215328241.840244</v>
      </c>
      <c r="M2490" s="471">
        <f t="shared" si="149"/>
        <v>0.05</v>
      </c>
      <c r="N2490" s="475">
        <f t="shared" si="150"/>
        <v>126831</v>
      </c>
    </row>
    <row r="2491" spans="7:14" ht="11.25" customHeight="1" x14ac:dyDescent="0.3">
      <c r="G2491" s="470"/>
      <c r="H2491" s="470">
        <v>2484</v>
      </c>
      <c r="I2491" s="455">
        <f t="shared" ca="1" si="148"/>
        <v>12215328241.840244</v>
      </c>
      <c r="J2491" s="455">
        <f t="array" ref="J2491">IFERROR(INDEX('Retirement Calculator'!J:J,MATCH('Isaac 401k'!N2491,'Retirement Calculator'!A:A,0),0),0)</f>
        <v>0</v>
      </c>
      <c r="K2491" s="455">
        <f t="shared" ca="1" si="146"/>
        <v>50897201.007667683</v>
      </c>
      <c r="L2491" s="455">
        <f t="shared" ca="1" si="147"/>
        <v>12266225442.847912</v>
      </c>
      <c r="M2491" s="471">
        <f t="shared" si="149"/>
        <v>0.05</v>
      </c>
      <c r="N2491" s="475">
        <f t="shared" si="150"/>
        <v>126861</v>
      </c>
    </row>
    <row r="2492" spans="7:14" ht="11.25" customHeight="1" x14ac:dyDescent="0.3">
      <c r="G2492" s="470"/>
      <c r="H2492" s="470">
        <v>2485</v>
      </c>
      <c r="I2492" s="455">
        <f t="shared" ca="1" si="148"/>
        <v>12266225442.847912</v>
      </c>
      <c r="J2492" s="455">
        <f t="array" ref="J2492">IFERROR(INDEX('Retirement Calculator'!J:J,MATCH('Isaac 401k'!N2492,'Retirement Calculator'!A:A,0),0),0)</f>
        <v>0</v>
      </c>
      <c r="K2492" s="455">
        <f t="shared" ca="1" si="146"/>
        <v>51109272.678532965</v>
      </c>
      <c r="L2492" s="455">
        <f t="shared" ca="1" si="147"/>
        <v>12317334715.526445</v>
      </c>
      <c r="M2492" s="471">
        <f t="shared" si="149"/>
        <v>0.05</v>
      </c>
      <c r="N2492" s="475">
        <f t="shared" si="150"/>
        <v>126892</v>
      </c>
    </row>
    <row r="2493" spans="7:14" ht="11.25" customHeight="1" x14ac:dyDescent="0.3">
      <c r="G2493" s="470"/>
      <c r="H2493" s="470">
        <v>2486</v>
      </c>
      <c r="I2493" s="455">
        <f t="shared" ca="1" si="148"/>
        <v>12317334715.526445</v>
      </c>
      <c r="J2493" s="455">
        <f t="array" ref="J2493">IFERROR(INDEX('Retirement Calculator'!J:J,MATCH('Isaac 401k'!N2493,'Retirement Calculator'!A:A,0),0),0)</f>
        <v>0</v>
      </c>
      <c r="K2493" s="455">
        <f t="shared" ca="1" si="146"/>
        <v>51322227.98136019</v>
      </c>
      <c r="L2493" s="455">
        <f t="shared" ca="1" si="147"/>
        <v>12368656943.507805</v>
      </c>
      <c r="M2493" s="471">
        <f t="shared" si="149"/>
        <v>0.05</v>
      </c>
      <c r="N2493" s="475">
        <f t="shared" si="150"/>
        <v>126922</v>
      </c>
    </row>
    <row r="2494" spans="7:14" ht="11.25" customHeight="1" x14ac:dyDescent="0.3">
      <c r="G2494" s="470"/>
      <c r="H2494" s="470">
        <v>2487</v>
      </c>
      <c r="I2494" s="455">
        <f t="shared" ca="1" si="148"/>
        <v>12368656943.507805</v>
      </c>
      <c r="J2494" s="455">
        <f t="array" ref="J2494">IFERROR(INDEX('Retirement Calculator'!J:J,MATCH('Isaac 401k'!N2494,'Retirement Calculator'!A:A,0),0),0)</f>
        <v>0</v>
      </c>
      <c r="K2494" s="455">
        <f t="shared" ca="1" si="146"/>
        <v>51536070.597949184</v>
      </c>
      <c r="L2494" s="455">
        <f t="shared" ca="1" si="147"/>
        <v>12420193014.105755</v>
      </c>
      <c r="M2494" s="471">
        <f t="shared" si="149"/>
        <v>0.05</v>
      </c>
      <c r="N2494" s="475">
        <f t="shared" si="150"/>
        <v>126953</v>
      </c>
    </row>
    <row r="2495" spans="7:14" ht="11.25" customHeight="1" x14ac:dyDescent="0.3">
      <c r="G2495" s="470"/>
      <c r="H2495" s="470">
        <v>2488</v>
      </c>
      <c r="I2495" s="455">
        <f t="shared" ca="1" si="148"/>
        <v>12420193014.105755</v>
      </c>
      <c r="J2495" s="455">
        <f t="array" ref="J2495">IFERROR(INDEX('Retirement Calculator'!J:J,MATCH('Isaac 401k'!N2495,'Retirement Calculator'!A:A,0),0),0)</f>
        <v>0</v>
      </c>
      <c r="K2495" s="455">
        <f t="shared" ca="1" si="146"/>
        <v>51750804.225440644</v>
      </c>
      <c r="L2495" s="455">
        <f t="shared" ca="1" si="147"/>
        <v>12471943818.331196</v>
      </c>
      <c r="M2495" s="471">
        <f t="shared" si="149"/>
        <v>0.05</v>
      </c>
      <c r="N2495" s="475">
        <f t="shared" si="150"/>
        <v>126984</v>
      </c>
    </row>
    <row r="2496" spans="7:14" ht="11.25" customHeight="1" x14ac:dyDescent="0.3">
      <c r="G2496" s="470"/>
      <c r="H2496" s="470">
        <v>2489</v>
      </c>
      <c r="I2496" s="455">
        <f t="shared" ca="1" si="148"/>
        <v>12471943818.331196</v>
      </c>
      <c r="J2496" s="455">
        <f t="array" ref="J2496">IFERROR(INDEX('Retirement Calculator'!J:J,MATCH('Isaac 401k'!N2496,'Retirement Calculator'!A:A,0),0),0)</f>
        <v>0</v>
      </c>
      <c r="K2496" s="455">
        <f t="shared" ca="1" si="146"/>
        <v>51966432.576379985</v>
      </c>
      <c r="L2496" s="455">
        <f t="shared" ca="1" si="147"/>
        <v>12523910250.907576</v>
      </c>
      <c r="M2496" s="471">
        <f t="shared" si="149"/>
        <v>0.05</v>
      </c>
      <c r="N2496" s="475">
        <f t="shared" si="150"/>
        <v>127014</v>
      </c>
    </row>
    <row r="2497" spans="7:14" ht="11.25" customHeight="1" x14ac:dyDescent="0.3">
      <c r="G2497" s="470"/>
      <c r="H2497" s="470">
        <v>2490</v>
      </c>
      <c r="I2497" s="455">
        <f t="shared" ca="1" si="148"/>
        <v>12523910250.907576</v>
      </c>
      <c r="J2497" s="455">
        <f t="array" ref="J2497">IFERROR(INDEX('Retirement Calculator'!J:J,MATCH('Isaac 401k'!N2497,'Retirement Calculator'!A:A,0),0),0)</f>
        <v>0</v>
      </c>
      <c r="K2497" s="455">
        <f t="shared" ca="1" si="146"/>
        <v>52182959.378781565</v>
      </c>
      <c r="L2497" s="455">
        <f t="shared" ca="1" si="147"/>
        <v>12576093210.286358</v>
      </c>
      <c r="M2497" s="471">
        <f t="shared" si="149"/>
        <v>0.05</v>
      </c>
      <c r="N2497" s="475">
        <f t="shared" si="150"/>
        <v>127045</v>
      </c>
    </row>
    <row r="2498" spans="7:14" ht="11.25" customHeight="1" x14ac:dyDescent="0.3">
      <c r="G2498" s="470"/>
      <c r="H2498" s="470">
        <v>2491</v>
      </c>
      <c r="I2498" s="455">
        <f t="shared" ca="1" si="148"/>
        <v>12576093210.286358</v>
      </c>
      <c r="J2498" s="455">
        <f t="array" ref="J2498">IFERROR(INDEX('Retirement Calculator'!J:J,MATCH('Isaac 401k'!N2498,'Retirement Calculator'!A:A,0),0),0)</f>
        <v>0</v>
      </c>
      <c r="K2498" s="455">
        <f t="shared" ca="1" si="146"/>
        <v>52400388.376193158</v>
      </c>
      <c r="L2498" s="455">
        <f t="shared" ca="1" si="147"/>
        <v>12628493598.662552</v>
      </c>
      <c r="M2498" s="471">
        <f t="shared" si="149"/>
        <v>0.05</v>
      </c>
      <c r="N2498" s="475">
        <f t="shared" si="150"/>
        <v>127075</v>
      </c>
    </row>
    <row r="2499" spans="7:14" ht="11.25" customHeight="1" x14ac:dyDescent="0.3">
      <c r="G2499" s="470"/>
      <c r="H2499" s="470">
        <v>2492</v>
      </c>
      <c r="I2499" s="455">
        <f t="shared" ca="1" si="148"/>
        <v>12628493598.662552</v>
      </c>
      <c r="J2499" s="455">
        <f t="array" ref="J2499">IFERROR(INDEX('Retirement Calculator'!J:J,MATCH('Isaac 401k'!N2499,'Retirement Calculator'!A:A,0),0),0)</f>
        <v>0</v>
      </c>
      <c r="K2499" s="455">
        <f t="shared" ca="1" si="146"/>
        <v>52618723.327760629</v>
      </c>
      <c r="L2499" s="455">
        <f t="shared" ca="1" si="147"/>
        <v>12681112321.990313</v>
      </c>
      <c r="M2499" s="471">
        <f t="shared" si="149"/>
        <v>0.05</v>
      </c>
      <c r="N2499" s="475">
        <f t="shared" si="150"/>
        <v>127106</v>
      </c>
    </row>
    <row r="2500" spans="7:14" ht="11.25" customHeight="1" x14ac:dyDescent="0.3">
      <c r="G2500" s="470"/>
      <c r="H2500" s="470">
        <v>2493</v>
      </c>
      <c r="I2500" s="455">
        <f t="shared" ca="1" si="148"/>
        <v>12681112321.990313</v>
      </c>
      <c r="J2500" s="455">
        <f t="array" ref="J2500">IFERROR(INDEX('Retirement Calculator'!J:J,MATCH('Isaac 401k'!N2500,'Retirement Calculator'!A:A,0),0),0)</f>
        <v>0</v>
      </c>
      <c r="K2500" s="455">
        <f t="shared" ca="1" si="146"/>
        <v>52837968.008292966</v>
      </c>
      <c r="L2500" s="455">
        <f t="shared" ca="1" si="147"/>
        <v>12733950289.998606</v>
      </c>
      <c r="M2500" s="471">
        <f t="shared" si="149"/>
        <v>0.05</v>
      </c>
      <c r="N2500" s="475">
        <f t="shared" si="150"/>
        <v>127137</v>
      </c>
    </row>
    <row r="2501" spans="7:14" ht="11.25" customHeight="1" x14ac:dyDescent="0.3">
      <c r="G2501" s="470"/>
      <c r="H2501" s="470">
        <v>2494</v>
      </c>
      <c r="I2501" s="455">
        <f t="shared" ca="1" si="148"/>
        <v>12733950289.998606</v>
      </c>
      <c r="J2501" s="455">
        <f t="array" ref="J2501">IFERROR(INDEX('Retirement Calculator'!J:J,MATCH('Isaac 401k'!N2501,'Retirement Calculator'!A:A,0),0),0)</f>
        <v>0</v>
      </c>
      <c r="K2501" s="455">
        <f t="shared" ca="1" si="146"/>
        <v>53058126.208327524</v>
      </c>
      <c r="L2501" s="455">
        <f t="shared" ca="1" si="147"/>
        <v>12787008416.206934</v>
      </c>
      <c r="M2501" s="471">
        <f t="shared" si="149"/>
        <v>0.05</v>
      </c>
      <c r="N2501" s="475">
        <f t="shared" si="150"/>
        <v>127166</v>
      </c>
    </row>
    <row r="2502" spans="7:14" ht="11.25" customHeight="1" x14ac:dyDescent="0.3">
      <c r="G2502" s="470"/>
      <c r="H2502" s="470">
        <v>2495</v>
      </c>
      <c r="I2502" s="455">
        <f t="shared" ca="1" si="148"/>
        <v>12787008416.206934</v>
      </c>
      <c r="J2502" s="455">
        <f t="array" ref="J2502">IFERROR(INDEX('Retirement Calculator'!J:J,MATCH('Isaac 401k'!N2502,'Retirement Calculator'!A:A,0),0),0)</f>
        <v>0</v>
      </c>
      <c r="K2502" s="455">
        <f t="shared" ca="1" si="146"/>
        <v>53279201.73419556</v>
      </c>
      <c r="L2502" s="455">
        <f t="shared" ca="1" si="147"/>
        <v>12840287617.94113</v>
      </c>
      <c r="M2502" s="471">
        <f t="shared" si="149"/>
        <v>0.05</v>
      </c>
      <c r="N2502" s="475">
        <f t="shared" si="150"/>
        <v>127197</v>
      </c>
    </row>
    <row r="2503" spans="7:14" ht="11.25" customHeight="1" x14ac:dyDescent="0.3">
      <c r="G2503" s="470"/>
      <c r="H2503" s="470">
        <v>2496</v>
      </c>
      <c r="I2503" s="455">
        <f t="shared" ca="1" si="148"/>
        <v>12840287617.94113</v>
      </c>
      <c r="J2503" s="455">
        <f t="array" ref="J2503">IFERROR(INDEX('Retirement Calculator'!J:J,MATCH('Isaac 401k'!N2503,'Retirement Calculator'!A:A,0),0),0)</f>
        <v>0</v>
      </c>
      <c r="K2503" s="455">
        <f t="shared" ca="1" si="146"/>
        <v>53501198.408088043</v>
      </c>
      <c r="L2503" s="455">
        <f t="shared" ca="1" si="147"/>
        <v>12893788816.349218</v>
      </c>
      <c r="M2503" s="471">
        <f t="shared" si="149"/>
        <v>0.05</v>
      </c>
      <c r="N2503" s="475">
        <f t="shared" si="150"/>
        <v>127227</v>
      </c>
    </row>
    <row r="2504" spans="7:14" ht="11.25" customHeight="1" x14ac:dyDescent="0.3">
      <c r="G2504" s="470"/>
      <c r="H2504" s="470">
        <v>2497</v>
      </c>
      <c r="I2504" s="455">
        <f t="shared" ca="1" si="148"/>
        <v>12893788816.349218</v>
      </c>
      <c r="J2504" s="455">
        <f t="array" ref="J2504">IFERROR(INDEX('Retirement Calculator'!J:J,MATCH('Isaac 401k'!N2504,'Retirement Calculator'!A:A,0),0),0)</f>
        <v>0</v>
      </c>
      <c r="K2504" s="455">
        <f t="shared" ca="1" si="146"/>
        <v>53724120.068121746</v>
      </c>
      <c r="L2504" s="455">
        <f t="shared" ca="1" si="147"/>
        <v>12947512936.417339</v>
      </c>
      <c r="M2504" s="471">
        <f t="shared" si="149"/>
        <v>0.05</v>
      </c>
      <c r="N2504" s="475">
        <f t="shared" si="150"/>
        <v>127258</v>
      </c>
    </row>
    <row r="2505" spans="7:14" ht="11.25" customHeight="1" x14ac:dyDescent="0.3">
      <c r="G2505" s="470"/>
      <c r="H2505" s="470">
        <v>2498</v>
      </c>
      <c r="I2505" s="455">
        <f t="shared" ca="1" si="148"/>
        <v>12947512936.417339</v>
      </c>
      <c r="J2505" s="455">
        <f t="array" ref="J2505">IFERROR(INDEX('Retirement Calculator'!J:J,MATCH('Isaac 401k'!N2505,'Retirement Calculator'!A:A,0),0),0)</f>
        <v>0</v>
      </c>
      <c r="K2505" s="455">
        <f t="shared" ca="1" si="146"/>
        <v>53947970.568405576</v>
      </c>
      <c r="L2505" s="455">
        <f t="shared" ca="1" si="147"/>
        <v>13001460906.985744</v>
      </c>
      <c r="M2505" s="471">
        <f t="shared" si="149"/>
        <v>0.05</v>
      </c>
      <c r="N2505" s="475">
        <f t="shared" si="150"/>
        <v>127288</v>
      </c>
    </row>
    <row r="2506" spans="7:14" ht="11.25" customHeight="1" x14ac:dyDescent="0.3">
      <c r="G2506" s="470"/>
      <c r="H2506" s="470">
        <v>2499</v>
      </c>
      <c r="I2506" s="455">
        <f t="shared" ca="1" si="148"/>
        <v>13001460906.985744</v>
      </c>
      <c r="J2506" s="455">
        <f t="array" ref="J2506">IFERROR(INDEX('Retirement Calculator'!J:J,MATCH('Isaac 401k'!N2506,'Retirement Calculator'!A:A,0),0),0)</f>
        <v>0</v>
      </c>
      <c r="K2506" s="455">
        <f t="shared" ca="1" si="146"/>
        <v>54172753.779107265</v>
      </c>
      <c r="L2506" s="455">
        <f t="shared" ca="1" si="147"/>
        <v>13055633660.764853</v>
      </c>
      <c r="M2506" s="471">
        <f t="shared" si="149"/>
        <v>0.05</v>
      </c>
      <c r="N2506" s="475">
        <f t="shared" si="150"/>
        <v>127319</v>
      </c>
    </row>
    <row r="2507" spans="7:14" ht="11.25" customHeight="1" x14ac:dyDescent="0.3">
      <c r="G2507" s="470"/>
      <c r="H2507" s="470">
        <v>2500</v>
      </c>
      <c r="I2507" s="455">
        <f t="shared" ca="1" si="148"/>
        <v>13055633660.764853</v>
      </c>
      <c r="J2507" s="455">
        <f t="array" ref="J2507">IFERROR(INDEX('Retirement Calculator'!J:J,MATCH('Isaac 401k'!N2507,'Retirement Calculator'!A:A,0),0),0)</f>
        <v>0</v>
      </c>
      <c r="K2507" s="455">
        <f t="shared" ca="1" si="146"/>
        <v>54398473.586520217</v>
      </c>
      <c r="L2507" s="455">
        <f t="shared" ca="1" si="147"/>
        <v>13110032134.351374</v>
      </c>
      <c r="M2507" s="471">
        <f t="shared" si="149"/>
        <v>0.05</v>
      </c>
      <c r="N2507" s="475">
        <f t="shared" si="150"/>
        <v>127350</v>
      </c>
    </row>
    <row r="2508" spans="7:14" ht="11.25" customHeight="1" x14ac:dyDescent="0.3">
      <c r="G2508" s="470"/>
      <c r="H2508" s="470">
        <v>2501</v>
      </c>
      <c r="I2508" s="455">
        <f t="shared" ca="1" si="148"/>
        <v>13110032134.351374</v>
      </c>
      <c r="J2508" s="455">
        <f t="array" ref="J2508">IFERROR(INDEX('Retirement Calculator'!J:J,MATCH('Isaac 401k'!N2508,'Retirement Calculator'!A:A,0),0),0)</f>
        <v>0</v>
      </c>
      <c r="K2508" s="455">
        <f t="shared" ca="1" si="146"/>
        <v>54625133.89313072</v>
      </c>
      <c r="L2508" s="455">
        <f t="shared" ca="1" si="147"/>
        <v>13164657268.244505</v>
      </c>
      <c r="M2508" s="471">
        <f t="shared" si="149"/>
        <v>0.05</v>
      </c>
      <c r="N2508" s="475">
        <f t="shared" si="150"/>
        <v>127380</v>
      </c>
    </row>
    <row r="2509" spans="7:14" ht="11.25" customHeight="1" x14ac:dyDescent="0.3">
      <c r="G2509" s="470"/>
      <c r="H2509" s="470">
        <v>2502</v>
      </c>
      <c r="I2509" s="455">
        <f t="shared" ca="1" si="148"/>
        <v>13164657268.244505</v>
      </c>
      <c r="J2509" s="455">
        <f t="array" ref="J2509">IFERROR(INDEX('Retirement Calculator'!J:J,MATCH('Isaac 401k'!N2509,'Retirement Calculator'!A:A,0),0),0)</f>
        <v>0</v>
      </c>
      <c r="K2509" s="455">
        <f t="shared" ca="1" si="146"/>
        <v>54852738.617685437</v>
      </c>
      <c r="L2509" s="455">
        <f t="shared" ca="1" si="147"/>
        <v>13219510006.86219</v>
      </c>
      <c r="M2509" s="471">
        <f t="shared" si="149"/>
        <v>0.05</v>
      </c>
      <c r="N2509" s="475">
        <f t="shared" si="150"/>
        <v>127411</v>
      </c>
    </row>
    <row r="2510" spans="7:14" ht="11.25" customHeight="1" x14ac:dyDescent="0.3">
      <c r="G2510" s="470"/>
      <c r="H2510" s="470">
        <v>2503</v>
      </c>
      <c r="I2510" s="455">
        <f t="shared" ca="1" si="148"/>
        <v>13219510006.86219</v>
      </c>
      <c r="J2510" s="455">
        <f t="array" ref="J2510">IFERROR(INDEX('Retirement Calculator'!J:J,MATCH('Isaac 401k'!N2510,'Retirement Calculator'!A:A,0),0),0)</f>
        <v>0</v>
      </c>
      <c r="K2510" s="455">
        <f t="shared" ca="1" si="146"/>
        <v>55081291.695259124</v>
      </c>
      <c r="L2510" s="455">
        <f t="shared" ca="1" si="147"/>
        <v>13274591298.557449</v>
      </c>
      <c r="M2510" s="471">
        <f t="shared" si="149"/>
        <v>0.05</v>
      </c>
      <c r="N2510" s="475">
        <f t="shared" si="150"/>
        <v>127441</v>
      </c>
    </row>
    <row r="2511" spans="7:14" ht="11.25" customHeight="1" x14ac:dyDescent="0.3">
      <c r="G2511" s="470"/>
      <c r="H2511" s="470">
        <v>2504</v>
      </c>
      <c r="I2511" s="455">
        <f t="shared" ca="1" si="148"/>
        <v>13274591298.557449</v>
      </c>
      <c r="J2511" s="455">
        <f t="array" ref="J2511">IFERROR(INDEX('Retirement Calculator'!J:J,MATCH('Isaac 401k'!N2511,'Retirement Calculator'!A:A,0),0),0)</f>
        <v>0</v>
      </c>
      <c r="K2511" s="455">
        <f t="shared" ca="1" si="146"/>
        <v>55310797.077322707</v>
      </c>
      <c r="L2511" s="455">
        <f t="shared" ca="1" si="147"/>
        <v>13329902095.634771</v>
      </c>
      <c r="M2511" s="471">
        <f t="shared" si="149"/>
        <v>0.05</v>
      </c>
      <c r="N2511" s="475">
        <f t="shared" si="150"/>
        <v>127472</v>
      </c>
    </row>
    <row r="2512" spans="7:14" ht="11.25" customHeight="1" x14ac:dyDescent="0.3">
      <c r="G2512" s="470"/>
      <c r="H2512" s="470">
        <v>2505</v>
      </c>
      <c r="I2512" s="455">
        <f t="shared" ca="1" si="148"/>
        <v>13329902095.634771</v>
      </c>
      <c r="J2512" s="455">
        <f t="array" ref="J2512">IFERROR(INDEX('Retirement Calculator'!J:J,MATCH('Isaac 401k'!N2512,'Retirement Calculator'!A:A,0),0),0)</f>
        <v>0</v>
      </c>
      <c r="K2512" s="455">
        <f t="shared" ca="1" si="146"/>
        <v>55541258.731811546</v>
      </c>
      <c r="L2512" s="455">
        <f t="shared" ca="1" si="147"/>
        <v>13385443354.366583</v>
      </c>
      <c r="M2512" s="471">
        <f t="shared" si="149"/>
        <v>0.05</v>
      </c>
      <c r="N2512" s="475">
        <f t="shared" si="150"/>
        <v>127503</v>
      </c>
    </row>
    <row r="2513" spans="7:14" ht="11.25" customHeight="1" x14ac:dyDescent="0.3">
      <c r="G2513" s="470"/>
      <c r="H2513" s="470">
        <v>2506</v>
      </c>
      <c r="I2513" s="455">
        <f t="shared" ca="1" si="148"/>
        <v>13385443354.366583</v>
      </c>
      <c r="J2513" s="455">
        <f t="array" ref="J2513">IFERROR(INDEX('Retirement Calculator'!J:J,MATCH('Isaac 401k'!N2513,'Retirement Calculator'!A:A,0),0),0)</f>
        <v>0</v>
      </c>
      <c r="K2513" s="455">
        <f t="shared" ca="1" si="146"/>
        <v>55772680.643194094</v>
      </c>
      <c r="L2513" s="455">
        <f t="shared" ca="1" si="147"/>
        <v>13441216035.009777</v>
      </c>
      <c r="M2513" s="471">
        <f t="shared" si="149"/>
        <v>0.05</v>
      </c>
      <c r="N2513" s="475">
        <f t="shared" si="150"/>
        <v>127531</v>
      </c>
    </row>
    <row r="2514" spans="7:14" ht="11.25" customHeight="1" x14ac:dyDescent="0.3">
      <c r="G2514" s="470"/>
      <c r="H2514" s="470">
        <v>2507</v>
      </c>
      <c r="I2514" s="455">
        <f t="shared" ca="1" si="148"/>
        <v>13441216035.009777</v>
      </c>
      <c r="J2514" s="455">
        <f t="array" ref="J2514">IFERROR(INDEX('Retirement Calculator'!J:J,MATCH('Isaac 401k'!N2514,'Retirement Calculator'!A:A,0),0),0)</f>
        <v>0</v>
      </c>
      <c r="K2514" s="455">
        <f t="shared" ca="1" si="146"/>
        <v>56005066.81254074</v>
      </c>
      <c r="L2514" s="455">
        <f t="shared" ca="1" si="147"/>
        <v>13497221101.822317</v>
      </c>
      <c r="M2514" s="471">
        <f t="shared" si="149"/>
        <v>0.05</v>
      </c>
      <c r="N2514" s="475">
        <f t="shared" si="150"/>
        <v>127562</v>
      </c>
    </row>
    <row r="2515" spans="7:14" ht="11.25" customHeight="1" x14ac:dyDescent="0.3">
      <c r="G2515" s="470"/>
      <c r="H2515" s="470">
        <v>2508</v>
      </c>
      <c r="I2515" s="455">
        <f t="shared" ca="1" si="148"/>
        <v>13497221101.822317</v>
      </c>
      <c r="J2515" s="455">
        <f t="array" ref="J2515">IFERROR(INDEX('Retirement Calculator'!J:J,MATCH('Isaac 401k'!N2515,'Retirement Calculator'!A:A,0),0),0)</f>
        <v>0</v>
      </c>
      <c r="K2515" s="455">
        <f t="shared" ca="1" si="146"/>
        <v>56238421.257592998</v>
      </c>
      <c r="L2515" s="455">
        <f t="shared" ca="1" si="147"/>
        <v>13553459523.07991</v>
      </c>
      <c r="M2515" s="471">
        <f t="shared" si="149"/>
        <v>0.05</v>
      </c>
      <c r="N2515" s="475">
        <f t="shared" si="150"/>
        <v>127592</v>
      </c>
    </row>
    <row r="2516" spans="7:14" ht="11.25" customHeight="1" x14ac:dyDescent="0.3">
      <c r="G2516" s="470"/>
      <c r="H2516" s="470">
        <v>2509</v>
      </c>
      <c r="I2516" s="455">
        <f t="shared" ca="1" si="148"/>
        <v>13553459523.07991</v>
      </c>
      <c r="J2516" s="455">
        <f t="array" ref="J2516">IFERROR(INDEX('Retirement Calculator'!J:J,MATCH('Isaac 401k'!N2516,'Retirement Calculator'!A:A,0),0),0)</f>
        <v>0</v>
      </c>
      <c r="K2516" s="455">
        <f t="shared" ca="1" si="146"/>
        <v>56472748.012832947</v>
      </c>
      <c r="L2516" s="455">
        <f t="shared" ca="1" si="147"/>
        <v>13609932271.092743</v>
      </c>
      <c r="M2516" s="471">
        <f t="shared" si="149"/>
        <v>0.05</v>
      </c>
      <c r="N2516" s="475">
        <f t="shared" si="150"/>
        <v>127623</v>
      </c>
    </row>
    <row r="2517" spans="7:14" ht="11.25" customHeight="1" x14ac:dyDescent="0.3">
      <c r="G2517" s="470"/>
      <c r="H2517" s="470">
        <v>2510</v>
      </c>
      <c r="I2517" s="455">
        <f t="shared" ca="1" si="148"/>
        <v>13609932271.092743</v>
      </c>
      <c r="J2517" s="455">
        <f t="array" ref="J2517">IFERROR(INDEX('Retirement Calculator'!J:J,MATCH('Isaac 401k'!N2517,'Retirement Calculator'!A:A,0),0),0)</f>
        <v>0</v>
      </c>
      <c r="K2517" s="455">
        <f t="shared" ca="1" si="146"/>
        <v>56708051.129553095</v>
      </c>
      <c r="L2517" s="455">
        <f t="shared" ca="1" si="147"/>
        <v>13666640322.222296</v>
      </c>
      <c r="M2517" s="471">
        <f t="shared" si="149"/>
        <v>0.05</v>
      </c>
      <c r="N2517" s="475">
        <f t="shared" si="150"/>
        <v>127653</v>
      </c>
    </row>
    <row r="2518" spans="7:14" ht="11.25" customHeight="1" x14ac:dyDescent="0.3">
      <c r="G2518" s="470"/>
      <c r="H2518" s="470">
        <v>2511</v>
      </c>
      <c r="I2518" s="455">
        <f t="shared" ca="1" si="148"/>
        <v>13666640322.222296</v>
      </c>
      <c r="J2518" s="455">
        <f t="array" ref="J2518">IFERROR(INDEX('Retirement Calculator'!J:J,MATCH('Isaac 401k'!N2518,'Retirement Calculator'!A:A,0),0),0)</f>
        <v>0</v>
      </c>
      <c r="K2518" s="455">
        <f t="shared" ca="1" si="146"/>
        <v>56944334.675926231</v>
      </c>
      <c r="L2518" s="455">
        <f t="shared" ca="1" si="147"/>
        <v>13723584656.898222</v>
      </c>
      <c r="M2518" s="471">
        <f t="shared" si="149"/>
        <v>0.05</v>
      </c>
      <c r="N2518" s="475">
        <f t="shared" si="150"/>
        <v>127684</v>
      </c>
    </row>
    <row r="2519" spans="7:14" ht="11.25" customHeight="1" x14ac:dyDescent="0.3">
      <c r="G2519" s="470"/>
      <c r="H2519" s="470">
        <v>2512</v>
      </c>
      <c r="I2519" s="455">
        <f t="shared" ca="1" si="148"/>
        <v>13723584656.898222</v>
      </c>
      <c r="J2519" s="455">
        <f t="array" ref="J2519">IFERROR(INDEX('Retirement Calculator'!J:J,MATCH('Isaac 401k'!N2519,'Retirement Calculator'!A:A,0),0),0)</f>
        <v>0</v>
      </c>
      <c r="K2519" s="455">
        <f t="shared" ca="1" si="146"/>
        <v>57181602.737075932</v>
      </c>
      <c r="L2519" s="455">
        <f t="shared" ca="1" si="147"/>
        <v>13780766259.635298</v>
      </c>
      <c r="M2519" s="471">
        <f t="shared" si="149"/>
        <v>0.05</v>
      </c>
      <c r="N2519" s="475">
        <f t="shared" si="150"/>
        <v>127715</v>
      </c>
    </row>
    <row r="2520" spans="7:14" ht="11.25" customHeight="1" x14ac:dyDescent="0.3">
      <c r="G2520" s="470"/>
      <c r="H2520" s="470">
        <v>2513</v>
      </c>
      <c r="I2520" s="455">
        <f t="shared" ca="1" si="148"/>
        <v>13780766259.635298</v>
      </c>
      <c r="J2520" s="455">
        <f t="array" ref="J2520">IFERROR(INDEX('Retirement Calculator'!J:J,MATCH('Isaac 401k'!N2520,'Retirement Calculator'!A:A,0),0),0)</f>
        <v>0</v>
      </c>
      <c r="K2520" s="455">
        <f t="shared" ca="1" si="146"/>
        <v>57419859.415147074</v>
      </c>
      <c r="L2520" s="455">
        <f t="shared" ca="1" si="147"/>
        <v>13838186119.050446</v>
      </c>
      <c r="M2520" s="471">
        <f t="shared" si="149"/>
        <v>0.05</v>
      </c>
      <c r="N2520" s="475">
        <f t="shared" si="150"/>
        <v>127745</v>
      </c>
    </row>
    <row r="2521" spans="7:14" ht="11.25" customHeight="1" x14ac:dyDescent="0.3">
      <c r="G2521" s="470"/>
      <c r="H2521" s="470">
        <v>2514</v>
      </c>
      <c r="I2521" s="455">
        <f t="shared" ca="1" si="148"/>
        <v>13838186119.050446</v>
      </c>
      <c r="J2521" s="455">
        <f t="array" ref="J2521">IFERROR(INDEX('Retirement Calculator'!J:J,MATCH('Isaac 401k'!N2521,'Retirement Calculator'!A:A,0),0),0)</f>
        <v>0</v>
      </c>
      <c r="K2521" s="455">
        <f t="shared" ca="1" si="146"/>
        <v>57659108.829376854</v>
      </c>
      <c r="L2521" s="455">
        <f t="shared" ca="1" si="147"/>
        <v>13895845227.879822</v>
      </c>
      <c r="M2521" s="471">
        <f t="shared" si="149"/>
        <v>0.05</v>
      </c>
      <c r="N2521" s="475">
        <f t="shared" si="150"/>
        <v>127776</v>
      </c>
    </row>
    <row r="2522" spans="7:14" ht="11.25" customHeight="1" x14ac:dyDescent="0.3">
      <c r="G2522" s="470"/>
      <c r="H2522" s="470">
        <v>2515</v>
      </c>
      <c r="I2522" s="455">
        <f t="shared" ca="1" si="148"/>
        <v>13895845227.879822</v>
      </c>
      <c r="J2522" s="455">
        <f t="array" ref="J2522">IFERROR(INDEX('Retirement Calculator'!J:J,MATCH('Isaac 401k'!N2522,'Retirement Calculator'!A:A,0),0),0)</f>
        <v>0</v>
      </c>
      <c r="K2522" s="455">
        <f t="shared" ca="1" si="146"/>
        <v>57899355.116165914</v>
      </c>
      <c r="L2522" s="455">
        <f t="shared" ca="1" si="147"/>
        <v>13953744582.995987</v>
      </c>
      <c r="M2522" s="471">
        <f t="shared" si="149"/>
        <v>0.05</v>
      </c>
      <c r="N2522" s="475">
        <f t="shared" si="150"/>
        <v>127806</v>
      </c>
    </row>
    <row r="2523" spans="7:14" ht="11.25" customHeight="1" x14ac:dyDescent="0.3">
      <c r="G2523" s="470"/>
      <c r="H2523" s="470">
        <v>2516</v>
      </c>
      <c r="I2523" s="455">
        <f t="shared" ca="1" si="148"/>
        <v>13953744582.995987</v>
      </c>
      <c r="J2523" s="455">
        <f t="array" ref="J2523">IFERROR(INDEX('Retirement Calculator'!J:J,MATCH('Isaac 401k'!N2523,'Retirement Calculator'!A:A,0),0),0)</f>
        <v>0</v>
      </c>
      <c r="K2523" s="455">
        <f t="shared" ca="1" si="146"/>
        <v>58140602.429149933</v>
      </c>
      <c r="L2523" s="455">
        <f t="shared" ca="1" si="147"/>
        <v>14011885185.425137</v>
      </c>
      <c r="M2523" s="471">
        <f t="shared" si="149"/>
        <v>0.05</v>
      </c>
      <c r="N2523" s="475">
        <f t="shared" si="150"/>
        <v>127837</v>
      </c>
    </row>
    <row r="2524" spans="7:14" ht="11.25" customHeight="1" x14ac:dyDescent="0.3">
      <c r="G2524" s="470"/>
      <c r="H2524" s="470">
        <v>2517</v>
      </c>
      <c r="I2524" s="455">
        <f t="shared" ca="1" si="148"/>
        <v>14011885185.425137</v>
      </c>
      <c r="J2524" s="455">
        <f t="array" ref="J2524">IFERROR(INDEX('Retirement Calculator'!J:J,MATCH('Isaac 401k'!N2524,'Retirement Calculator'!A:A,0),0),0)</f>
        <v>0</v>
      </c>
      <c r="K2524" s="455">
        <f t="shared" ca="1" si="146"/>
        <v>58382854.939271398</v>
      </c>
      <c r="L2524" s="455">
        <f t="shared" ca="1" si="147"/>
        <v>14070268040.364408</v>
      </c>
      <c r="M2524" s="471">
        <f t="shared" si="149"/>
        <v>0.05</v>
      </c>
      <c r="N2524" s="475">
        <f t="shared" si="150"/>
        <v>127868</v>
      </c>
    </row>
    <row r="2525" spans="7:14" ht="11.25" customHeight="1" x14ac:dyDescent="0.3">
      <c r="G2525" s="470"/>
      <c r="H2525" s="470">
        <v>2518</v>
      </c>
      <c r="I2525" s="455">
        <f t="shared" ca="1" si="148"/>
        <v>14070268040.364408</v>
      </c>
      <c r="J2525" s="455">
        <f t="array" ref="J2525">IFERROR(INDEX('Retirement Calculator'!J:J,MATCH('Isaac 401k'!N2525,'Retirement Calculator'!A:A,0),0),0)</f>
        <v>0</v>
      </c>
      <c r="K2525" s="455">
        <f t="shared" ca="1" si="146"/>
        <v>58626116.834851705</v>
      </c>
      <c r="L2525" s="455">
        <f t="shared" ca="1" si="147"/>
        <v>14128894157.199261</v>
      </c>
      <c r="M2525" s="471">
        <f t="shared" si="149"/>
        <v>0.05</v>
      </c>
      <c r="N2525" s="475">
        <f t="shared" si="150"/>
        <v>127896</v>
      </c>
    </row>
    <row r="2526" spans="7:14" ht="11.25" customHeight="1" x14ac:dyDescent="0.3">
      <c r="G2526" s="470"/>
      <c r="H2526" s="470">
        <v>2519</v>
      </c>
      <c r="I2526" s="455">
        <f t="shared" ca="1" si="148"/>
        <v>14128894157.199261</v>
      </c>
      <c r="J2526" s="455">
        <f t="array" ref="J2526">IFERROR(INDEX('Retirement Calculator'!J:J,MATCH('Isaac 401k'!N2526,'Retirement Calculator'!A:A,0),0),0)</f>
        <v>0</v>
      </c>
      <c r="K2526" s="455">
        <f t="shared" ca="1" si="146"/>
        <v>58870392.321663588</v>
      </c>
      <c r="L2526" s="455">
        <f t="shared" ca="1" si="147"/>
        <v>14187764549.520924</v>
      </c>
      <c r="M2526" s="471">
        <f t="shared" si="149"/>
        <v>0.05</v>
      </c>
      <c r="N2526" s="475">
        <f t="shared" si="150"/>
        <v>127927</v>
      </c>
    </row>
    <row r="2527" spans="7:14" ht="11.25" customHeight="1" x14ac:dyDescent="0.3">
      <c r="G2527" s="470"/>
      <c r="H2527" s="470">
        <v>2520</v>
      </c>
      <c r="I2527" s="455">
        <f t="shared" ca="1" si="148"/>
        <v>14187764549.520924</v>
      </c>
      <c r="J2527" s="455">
        <f t="array" ref="J2527">IFERROR(INDEX('Retirement Calculator'!J:J,MATCH('Isaac 401k'!N2527,'Retirement Calculator'!A:A,0),0),0)</f>
        <v>0</v>
      </c>
      <c r="K2527" s="455">
        <f t="shared" ca="1" si="146"/>
        <v>59115685.623003848</v>
      </c>
      <c r="L2527" s="455">
        <f t="shared" ca="1" si="147"/>
        <v>14246880235.143927</v>
      </c>
      <c r="M2527" s="471">
        <f t="shared" si="149"/>
        <v>0.05</v>
      </c>
      <c r="N2527" s="475">
        <f t="shared" si="150"/>
        <v>127957</v>
      </c>
    </row>
    <row r="2528" spans="7:14" ht="11.25" customHeight="1" x14ac:dyDescent="0.3">
      <c r="G2528" s="470"/>
      <c r="H2528" s="470">
        <v>2521</v>
      </c>
      <c r="I2528" s="455">
        <f t="shared" ca="1" si="148"/>
        <v>14246880235.143927</v>
      </c>
      <c r="J2528" s="455">
        <f t="array" ref="J2528">IFERROR(INDEX('Retirement Calculator'!J:J,MATCH('Isaac 401k'!N2528,'Retirement Calculator'!A:A,0),0),0)</f>
        <v>0</v>
      </c>
      <c r="K2528" s="455">
        <f t="shared" ca="1" si="146"/>
        <v>59362000.979766361</v>
      </c>
      <c r="L2528" s="455">
        <f t="shared" ca="1" si="147"/>
        <v>14306242236.123693</v>
      </c>
      <c r="M2528" s="471">
        <f t="shared" si="149"/>
        <v>0.05</v>
      </c>
      <c r="N2528" s="475">
        <f t="shared" si="150"/>
        <v>127988</v>
      </c>
    </row>
    <row r="2529" spans="7:14" ht="11.25" customHeight="1" x14ac:dyDescent="0.3">
      <c r="G2529" s="470"/>
      <c r="H2529" s="470">
        <v>2522</v>
      </c>
      <c r="I2529" s="455">
        <f t="shared" ca="1" si="148"/>
        <v>14306242236.123693</v>
      </c>
      <c r="J2529" s="455">
        <f t="array" ref="J2529">IFERROR(INDEX('Retirement Calculator'!J:J,MATCH('Isaac 401k'!N2529,'Retirement Calculator'!A:A,0),0),0)</f>
        <v>0</v>
      </c>
      <c r="K2529" s="455">
        <f t="shared" ca="1" si="146"/>
        <v>59609342.650515378</v>
      </c>
      <c r="L2529" s="455">
        <f t="shared" ca="1" si="147"/>
        <v>14365851578.774208</v>
      </c>
      <c r="M2529" s="471">
        <f t="shared" si="149"/>
        <v>0.05</v>
      </c>
      <c r="N2529" s="475">
        <f t="shared" si="150"/>
        <v>128018</v>
      </c>
    </row>
    <row r="2530" spans="7:14" ht="11.25" customHeight="1" x14ac:dyDescent="0.3">
      <c r="G2530" s="470"/>
      <c r="H2530" s="470">
        <v>2523</v>
      </c>
      <c r="I2530" s="455">
        <f t="shared" ca="1" si="148"/>
        <v>14365851578.774208</v>
      </c>
      <c r="J2530" s="455">
        <f t="array" ref="J2530">IFERROR(INDEX('Retirement Calculator'!J:J,MATCH('Isaac 401k'!N2530,'Retirement Calculator'!A:A,0),0),0)</f>
        <v>0</v>
      </c>
      <c r="K2530" s="455">
        <f t="shared" ca="1" si="146"/>
        <v>59857714.911559202</v>
      </c>
      <c r="L2530" s="455">
        <f t="shared" ca="1" si="147"/>
        <v>14425709293.685768</v>
      </c>
      <c r="M2530" s="471">
        <f t="shared" si="149"/>
        <v>0.05</v>
      </c>
      <c r="N2530" s="475">
        <f t="shared" si="150"/>
        <v>128049</v>
      </c>
    </row>
    <row r="2531" spans="7:14" ht="11.25" customHeight="1" x14ac:dyDescent="0.3">
      <c r="G2531" s="470"/>
      <c r="H2531" s="470">
        <v>2524</v>
      </c>
      <c r="I2531" s="455">
        <f t="shared" ca="1" si="148"/>
        <v>14425709293.685768</v>
      </c>
      <c r="J2531" s="455">
        <f t="array" ref="J2531">IFERROR(INDEX('Retirement Calculator'!J:J,MATCH('Isaac 401k'!N2531,'Retirement Calculator'!A:A,0),0),0)</f>
        <v>0</v>
      </c>
      <c r="K2531" s="455">
        <f t="shared" ca="1" si="146"/>
        <v>60107122.057024032</v>
      </c>
      <c r="L2531" s="455">
        <f t="shared" ca="1" si="147"/>
        <v>14485816415.742792</v>
      </c>
      <c r="M2531" s="471">
        <f t="shared" si="149"/>
        <v>0.05</v>
      </c>
      <c r="N2531" s="475">
        <f t="shared" si="150"/>
        <v>128080</v>
      </c>
    </row>
    <row r="2532" spans="7:14" ht="11.25" customHeight="1" x14ac:dyDescent="0.3">
      <c r="G2532" s="470"/>
      <c r="H2532" s="470">
        <v>2525</v>
      </c>
      <c r="I2532" s="455">
        <f t="shared" ca="1" si="148"/>
        <v>14485816415.742792</v>
      </c>
      <c r="J2532" s="455">
        <f t="array" ref="J2532">IFERROR(INDEX('Retirement Calculator'!J:J,MATCH('Isaac 401k'!N2532,'Retirement Calculator'!A:A,0),0),0)</f>
        <v>0</v>
      </c>
      <c r="K2532" s="455">
        <f t="shared" ca="1" si="146"/>
        <v>60357568.398928292</v>
      </c>
      <c r="L2532" s="455">
        <f t="shared" ca="1" si="147"/>
        <v>14546173984.14172</v>
      </c>
      <c r="M2532" s="471">
        <f t="shared" si="149"/>
        <v>0.05</v>
      </c>
      <c r="N2532" s="475">
        <f t="shared" si="150"/>
        <v>128110</v>
      </c>
    </row>
    <row r="2533" spans="7:14" ht="11.25" customHeight="1" x14ac:dyDescent="0.3">
      <c r="G2533" s="470"/>
      <c r="H2533" s="470">
        <v>2526</v>
      </c>
      <c r="I2533" s="455">
        <f t="shared" ca="1" si="148"/>
        <v>14546173984.14172</v>
      </c>
      <c r="J2533" s="455">
        <f t="array" ref="J2533">IFERROR(INDEX('Retirement Calculator'!J:J,MATCH('Isaac 401k'!N2533,'Retirement Calculator'!A:A,0),0),0)</f>
        <v>0</v>
      </c>
      <c r="K2533" s="455">
        <f t="shared" ca="1" si="146"/>
        <v>60609058.267257161</v>
      </c>
      <c r="L2533" s="455">
        <f t="shared" ca="1" si="147"/>
        <v>14606783042.408978</v>
      </c>
      <c r="M2533" s="471">
        <f t="shared" si="149"/>
        <v>0.05</v>
      </c>
      <c r="N2533" s="475">
        <f t="shared" si="150"/>
        <v>128141</v>
      </c>
    </row>
    <row r="2534" spans="7:14" ht="11.25" customHeight="1" x14ac:dyDescent="0.3">
      <c r="G2534" s="470"/>
      <c r="H2534" s="470">
        <v>2527</v>
      </c>
      <c r="I2534" s="455">
        <f t="shared" ca="1" si="148"/>
        <v>14606783042.408978</v>
      </c>
      <c r="J2534" s="455">
        <f t="array" ref="J2534">IFERROR(INDEX('Retirement Calculator'!J:J,MATCH('Isaac 401k'!N2534,'Retirement Calculator'!A:A,0),0),0)</f>
        <v>0</v>
      </c>
      <c r="K2534" s="455">
        <f t="shared" ca="1" si="146"/>
        <v>60861596.010037407</v>
      </c>
      <c r="L2534" s="455">
        <f t="shared" ca="1" si="147"/>
        <v>14667644638.419014</v>
      </c>
      <c r="M2534" s="471">
        <f t="shared" si="149"/>
        <v>0.05</v>
      </c>
      <c r="N2534" s="475">
        <f t="shared" si="150"/>
        <v>128171</v>
      </c>
    </row>
    <row r="2535" spans="7:14" ht="11.25" customHeight="1" x14ac:dyDescent="0.3">
      <c r="G2535" s="470"/>
      <c r="H2535" s="470">
        <v>2528</v>
      </c>
      <c r="I2535" s="455">
        <f t="shared" ca="1" si="148"/>
        <v>14667644638.419014</v>
      </c>
      <c r="J2535" s="455">
        <f t="array" ref="J2535">IFERROR(INDEX('Retirement Calculator'!J:J,MATCH('Isaac 401k'!N2535,'Retirement Calculator'!A:A,0),0),0)</f>
        <v>0</v>
      </c>
      <c r="K2535" s="455">
        <f t="shared" ca="1" si="146"/>
        <v>61115185.993412554</v>
      </c>
      <c r="L2535" s="455">
        <f t="shared" ca="1" si="147"/>
        <v>14728759824.412426</v>
      </c>
      <c r="M2535" s="471">
        <f t="shared" si="149"/>
        <v>0.05</v>
      </c>
      <c r="N2535" s="475">
        <f t="shared" si="150"/>
        <v>128202</v>
      </c>
    </row>
    <row r="2536" spans="7:14" ht="11.25" customHeight="1" x14ac:dyDescent="0.3">
      <c r="G2536" s="470"/>
      <c r="H2536" s="470">
        <v>2529</v>
      </c>
      <c r="I2536" s="455">
        <f t="shared" ca="1" si="148"/>
        <v>14728759824.412426</v>
      </c>
      <c r="J2536" s="455">
        <f t="array" ref="J2536">IFERROR(INDEX('Retirement Calculator'!J:J,MATCH('Isaac 401k'!N2536,'Retirement Calculator'!A:A,0),0),0)</f>
        <v>0</v>
      </c>
      <c r="K2536" s="455">
        <f t="shared" ca="1" si="146"/>
        <v>61369832.601718448</v>
      </c>
      <c r="L2536" s="455">
        <f t="shared" ca="1" si="147"/>
        <v>14790129657.014145</v>
      </c>
      <c r="M2536" s="471">
        <f t="shared" si="149"/>
        <v>0.05</v>
      </c>
      <c r="N2536" s="475">
        <f t="shared" si="150"/>
        <v>128233</v>
      </c>
    </row>
    <row r="2537" spans="7:14" ht="11.25" customHeight="1" x14ac:dyDescent="0.3">
      <c r="G2537" s="470"/>
      <c r="H2537" s="470">
        <v>2530</v>
      </c>
      <c r="I2537" s="455">
        <f t="shared" ca="1" si="148"/>
        <v>14790129657.014145</v>
      </c>
      <c r="J2537" s="455">
        <f t="array" ref="J2537">IFERROR(INDEX('Retirement Calculator'!J:J,MATCH('Isaac 401k'!N2537,'Retirement Calculator'!A:A,0),0),0)</f>
        <v>0</v>
      </c>
      <c r="K2537" s="455">
        <f t="shared" ca="1" si="146"/>
        <v>61625540.237558939</v>
      </c>
      <c r="L2537" s="455">
        <f t="shared" ca="1" si="147"/>
        <v>14851755197.251703</v>
      </c>
      <c r="M2537" s="471">
        <f t="shared" si="149"/>
        <v>0.05</v>
      </c>
      <c r="N2537" s="475">
        <f t="shared" si="150"/>
        <v>128261</v>
      </c>
    </row>
    <row r="2538" spans="7:14" ht="11.25" customHeight="1" x14ac:dyDescent="0.3">
      <c r="G2538" s="470"/>
      <c r="H2538" s="470">
        <v>2531</v>
      </c>
      <c r="I2538" s="455">
        <f t="shared" ca="1" si="148"/>
        <v>14851755197.251703</v>
      </c>
      <c r="J2538" s="455">
        <f t="array" ref="J2538">IFERROR(INDEX('Retirement Calculator'!J:J,MATCH('Isaac 401k'!N2538,'Retirement Calculator'!A:A,0),0),0)</f>
        <v>0</v>
      </c>
      <c r="K2538" s="455">
        <f t="shared" ca="1" si="146"/>
        <v>61882313.321882099</v>
      </c>
      <c r="L2538" s="455">
        <f t="shared" ca="1" si="147"/>
        <v>14913637510.573586</v>
      </c>
      <c r="M2538" s="471">
        <f t="shared" si="149"/>
        <v>0.05</v>
      </c>
      <c r="N2538" s="475">
        <f t="shared" si="150"/>
        <v>128292</v>
      </c>
    </row>
    <row r="2539" spans="7:14" ht="11.25" customHeight="1" x14ac:dyDescent="0.3">
      <c r="G2539" s="470"/>
      <c r="H2539" s="470">
        <v>2532</v>
      </c>
      <c r="I2539" s="455">
        <f t="shared" ca="1" si="148"/>
        <v>14913637510.573586</v>
      </c>
      <c r="J2539" s="455">
        <f t="array" ref="J2539">IFERROR(INDEX('Retirement Calculator'!J:J,MATCH('Isaac 401k'!N2539,'Retirement Calculator'!A:A,0),0),0)</f>
        <v>0</v>
      </c>
      <c r="K2539" s="455">
        <f t="shared" ca="1" si="146"/>
        <v>62140156.294056602</v>
      </c>
      <c r="L2539" s="455">
        <f t="shared" ca="1" si="147"/>
        <v>14975777666.867641</v>
      </c>
      <c r="M2539" s="471">
        <f t="shared" si="149"/>
        <v>0.05</v>
      </c>
      <c r="N2539" s="475">
        <f t="shared" si="150"/>
        <v>128322</v>
      </c>
    </row>
    <row r="2540" spans="7:14" ht="11.25" customHeight="1" x14ac:dyDescent="0.3">
      <c r="G2540" s="470"/>
      <c r="H2540" s="470">
        <v>2533</v>
      </c>
      <c r="I2540" s="455">
        <f t="shared" ca="1" si="148"/>
        <v>14975777666.867641</v>
      </c>
      <c r="J2540" s="455">
        <f t="array" ref="J2540">IFERROR(INDEX('Retirement Calculator'!J:J,MATCH('Isaac 401k'!N2540,'Retirement Calculator'!A:A,0),0),0)</f>
        <v>0</v>
      </c>
      <c r="K2540" s="455">
        <f t="shared" ca="1" si="146"/>
        <v>62399073.611948505</v>
      </c>
      <c r="L2540" s="455">
        <f t="shared" ca="1" si="147"/>
        <v>15038176740.479589</v>
      </c>
      <c r="M2540" s="471">
        <f t="shared" si="149"/>
        <v>0.05</v>
      </c>
      <c r="N2540" s="475">
        <f t="shared" si="150"/>
        <v>128353</v>
      </c>
    </row>
    <row r="2541" spans="7:14" ht="11.25" customHeight="1" x14ac:dyDescent="0.3">
      <c r="G2541" s="470"/>
      <c r="H2541" s="470">
        <v>2534</v>
      </c>
      <c r="I2541" s="455">
        <f t="shared" ca="1" si="148"/>
        <v>15038176740.479589</v>
      </c>
      <c r="J2541" s="455">
        <f t="array" ref="J2541">IFERROR(INDEX('Retirement Calculator'!J:J,MATCH('Isaac 401k'!N2541,'Retirement Calculator'!A:A,0),0),0)</f>
        <v>0</v>
      </c>
      <c r="K2541" s="455">
        <f t="shared" ca="1" si="146"/>
        <v>62659069.75199829</v>
      </c>
      <c r="L2541" s="455">
        <f t="shared" ca="1" si="147"/>
        <v>15100835810.231588</v>
      </c>
      <c r="M2541" s="471">
        <f t="shared" si="149"/>
        <v>0.05</v>
      </c>
      <c r="N2541" s="475">
        <f t="shared" si="150"/>
        <v>128383</v>
      </c>
    </row>
    <row r="2542" spans="7:14" ht="11.25" customHeight="1" x14ac:dyDescent="0.3">
      <c r="G2542" s="470"/>
      <c r="H2542" s="470">
        <v>2535</v>
      </c>
      <c r="I2542" s="455">
        <f t="shared" ca="1" si="148"/>
        <v>15100835810.231588</v>
      </c>
      <c r="J2542" s="455">
        <f t="array" ref="J2542">IFERROR(INDEX('Retirement Calculator'!J:J,MATCH('Isaac 401k'!N2542,'Retirement Calculator'!A:A,0),0),0)</f>
        <v>0</v>
      </c>
      <c r="K2542" s="455">
        <f t="shared" ca="1" si="146"/>
        <v>62920149.209298283</v>
      </c>
      <c r="L2542" s="455">
        <f t="shared" ca="1" si="147"/>
        <v>15163755959.440887</v>
      </c>
      <c r="M2542" s="471">
        <f t="shared" si="149"/>
        <v>0.05</v>
      </c>
      <c r="N2542" s="475">
        <f t="shared" si="150"/>
        <v>128414</v>
      </c>
    </row>
    <row r="2543" spans="7:14" ht="11.25" customHeight="1" x14ac:dyDescent="0.3">
      <c r="G2543" s="470"/>
      <c r="H2543" s="470">
        <v>2536</v>
      </c>
      <c r="I2543" s="455">
        <f t="shared" ca="1" si="148"/>
        <v>15163755959.440887</v>
      </c>
      <c r="J2543" s="455">
        <f t="array" ref="J2543">IFERROR(INDEX('Retirement Calculator'!J:J,MATCH('Isaac 401k'!N2543,'Retirement Calculator'!A:A,0),0),0)</f>
        <v>0</v>
      </c>
      <c r="K2543" s="455">
        <f t="shared" ca="1" si="146"/>
        <v>63182316.49767036</v>
      </c>
      <c r="L2543" s="455">
        <f t="shared" ca="1" si="147"/>
        <v>15226938275.938559</v>
      </c>
      <c r="M2543" s="471">
        <f t="shared" si="149"/>
        <v>0.05</v>
      </c>
      <c r="N2543" s="475">
        <f t="shared" si="150"/>
        <v>128445</v>
      </c>
    </row>
    <row r="2544" spans="7:14" ht="11.25" customHeight="1" x14ac:dyDescent="0.3">
      <c r="G2544" s="470"/>
      <c r="H2544" s="470">
        <v>2537</v>
      </c>
      <c r="I2544" s="455">
        <f t="shared" ca="1" si="148"/>
        <v>15226938275.938559</v>
      </c>
      <c r="J2544" s="455">
        <f t="array" ref="J2544">IFERROR(INDEX('Retirement Calculator'!J:J,MATCH('Isaac 401k'!N2544,'Retirement Calculator'!A:A,0),0),0)</f>
        <v>0</v>
      </c>
      <c r="K2544" s="455">
        <f t="shared" ca="1" si="146"/>
        <v>63445576.149744004</v>
      </c>
      <c r="L2544" s="455">
        <f t="shared" ca="1" si="147"/>
        <v>15290383852.088303</v>
      </c>
      <c r="M2544" s="471">
        <f t="shared" si="149"/>
        <v>0.05</v>
      </c>
      <c r="N2544" s="475">
        <f t="shared" si="150"/>
        <v>128475</v>
      </c>
    </row>
    <row r="2545" spans="7:14" ht="11.25" customHeight="1" x14ac:dyDescent="0.3">
      <c r="G2545" s="470"/>
      <c r="H2545" s="470">
        <v>2538</v>
      </c>
      <c r="I2545" s="455">
        <f t="shared" ca="1" si="148"/>
        <v>15290383852.088303</v>
      </c>
      <c r="J2545" s="455">
        <f t="array" ref="J2545">IFERROR(INDEX('Retirement Calculator'!J:J,MATCH('Isaac 401k'!N2545,'Retirement Calculator'!A:A,0),0),0)</f>
        <v>0</v>
      </c>
      <c r="K2545" s="455">
        <f t="shared" ca="1" si="146"/>
        <v>63709932.717034593</v>
      </c>
      <c r="L2545" s="455">
        <f t="shared" ca="1" si="147"/>
        <v>15354093784.805338</v>
      </c>
      <c r="M2545" s="471">
        <f t="shared" si="149"/>
        <v>0.05</v>
      </c>
      <c r="N2545" s="475">
        <f t="shared" si="150"/>
        <v>128506</v>
      </c>
    </row>
    <row r="2546" spans="7:14" ht="11.25" customHeight="1" x14ac:dyDescent="0.3">
      <c r="G2546" s="470"/>
      <c r="H2546" s="470">
        <v>2539</v>
      </c>
      <c r="I2546" s="455">
        <f t="shared" ca="1" si="148"/>
        <v>15354093784.805338</v>
      </c>
      <c r="J2546" s="455">
        <f t="array" ref="J2546">IFERROR(INDEX('Retirement Calculator'!J:J,MATCH('Isaac 401k'!N2546,'Retirement Calculator'!A:A,0),0),0)</f>
        <v>0</v>
      </c>
      <c r="K2546" s="455">
        <f t="shared" ca="1" si="146"/>
        <v>63975390.770022251</v>
      </c>
      <c r="L2546" s="455">
        <f t="shared" ca="1" si="147"/>
        <v>15418069175.575359</v>
      </c>
      <c r="M2546" s="471">
        <f t="shared" si="149"/>
        <v>0.05</v>
      </c>
      <c r="N2546" s="475">
        <f t="shared" si="150"/>
        <v>128536</v>
      </c>
    </row>
    <row r="2547" spans="7:14" ht="11.25" customHeight="1" x14ac:dyDescent="0.3">
      <c r="G2547" s="470"/>
      <c r="H2547" s="470">
        <v>2540</v>
      </c>
      <c r="I2547" s="455">
        <f t="shared" ca="1" si="148"/>
        <v>15418069175.575359</v>
      </c>
      <c r="J2547" s="455">
        <f t="array" ref="J2547">IFERROR(INDEX('Retirement Calculator'!J:J,MATCH('Isaac 401k'!N2547,'Retirement Calculator'!A:A,0),0),0)</f>
        <v>0</v>
      </c>
      <c r="K2547" s="455">
        <f t="shared" ca="1" si="146"/>
        <v>64241954.898230664</v>
      </c>
      <c r="L2547" s="455">
        <f t="shared" ca="1" si="147"/>
        <v>15482311130.473591</v>
      </c>
      <c r="M2547" s="471">
        <f t="shared" si="149"/>
        <v>0.05</v>
      </c>
      <c r="N2547" s="475">
        <f t="shared" si="150"/>
        <v>128567</v>
      </c>
    </row>
    <row r="2548" spans="7:14" ht="11.25" customHeight="1" x14ac:dyDescent="0.3">
      <c r="G2548" s="470"/>
      <c r="H2548" s="470">
        <v>2541</v>
      </c>
      <c r="I2548" s="455">
        <f t="shared" ca="1" si="148"/>
        <v>15482311130.473591</v>
      </c>
      <c r="J2548" s="455">
        <f t="array" ref="J2548">IFERROR(INDEX('Retirement Calculator'!J:J,MATCH('Isaac 401k'!N2548,'Retirement Calculator'!A:A,0),0),0)</f>
        <v>0</v>
      </c>
      <c r="K2548" s="455">
        <f t="shared" ca="1" si="146"/>
        <v>64509629.710306637</v>
      </c>
      <c r="L2548" s="455">
        <f t="shared" ca="1" si="147"/>
        <v>15546820760.183897</v>
      </c>
      <c r="M2548" s="471">
        <f t="shared" si="149"/>
        <v>0.05</v>
      </c>
      <c r="N2548" s="475">
        <f t="shared" si="150"/>
        <v>128598</v>
      </c>
    </row>
    <row r="2549" spans="7:14" ht="11.25" customHeight="1" x14ac:dyDescent="0.3">
      <c r="G2549" s="470"/>
      <c r="H2549" s="470">
        <v>2542</v>
      </c>
      <c r="I2549" s="455">
        <f t="shared" ca="1" si="148"/>
        <v>15546820760.183897</v>
      </c>
      <c r="J2549" s="455">
        <f t="array" ref="J2549">IFERROR(INDEX('Retirement Calculator'!J:J,MATCH('Isaac 401k'!N2549,'Retirement Calculator'!A:A,0),0),0)</f>
        <v>0</v>
      </c>
      <c r="K2549" s="455">
        <f t="shared" ca="1" si="146"/>
        <v>64778419.834099576</v>
      </c>
      <c r="L2549" s="455">
        <f t="shared" ca="1" si="147"/>
        <v>15611599180.017996</v>
      </c>
      <c r="M2549" s="471">
        <f t="shared" si="149"/>
        <v>0.05</v>
      </c>
      <c r="N2549" s="475">
        <f t="shared" si="150"/>
        <v>128627</v>
      </c>
    </row>
    <row r="2550" spans="7:14" ht="11.25" customHeight="1" x14ac:dyDescent="0.3">
      <c r="G2550" s="470"/>
      <c r="H2550" s="470">
        <v>2543</v>
      </c>
      <c r="I2550" s="455">
        <f t="shared" ca="1" si="148"/>
        <v>15611599180.017996</v>
      </c>
      <c r="J2550" s="455">
        <f t="array" ref="J2550">IFERROR(INDEX('Retirement Calculator'!J:J,MATCH('Isaac 401k'!N2550,'Retirement Calculator'!A:A,0),0),0)</f>
        <v>0</v>
      </c>
      <c r="K2550" s="455">
        <f t="shared" ca="1" si="146"/>
        <v>65048329.916741647</v>
      </c>
      <c r="L2550" s="455">
        <f t="shared" ca="1" si="147"/>
        <v>15676647509.934738</v>
      </c>
      <c r="M2550" s="471">
        <f t="shared" si="149"/>
        <v>0.05</v>
      </c>
      <c r="N2550" s="475">
        <f t="shared" si="150"/>
        <v>128658</v>
      </c>
    </row>
    <row r="2551" spans="7:14" ht="11.25" customHeight="1" x14ac:dyDescent="0.3">
      <c r="G2551" s="470"/>
      <c r="H2551" s="470">
        <v>2544</v>
      </c>
      <c r="I2551" s="455">
        <f t="shared" ca="1" si="148"/>
        <v>15676647509.934738</v>
      </c>
      <c r="J2551" s="455">
        <f t="array" ref="J2551">IFERROR(INDEX('Retirement Calculator'!J:J,MATCH('Isaac 401k'!N2551,'Retirement Calculator'!A:A,0),0),0)</f>
        <v>0</v>
      </c>
      <c r="K2551" s="455">
        <f t="shared" ca="1" si="146"/>
        <v>65319364.624728069</v>
      </c>
      <c r="L2551" s="455">
        <f t="shared" ca="1" si="147"/>
        <v>15741966874.559465</v>
      </c>
      <c r="M2551" s="471">
        <f t="shared" si="149"/>
        <v>0.05</v>
      </c>
      <c r="N2551" s="475">
        <f t="shared" si="150"/>
        <v>128688</v>
      </c>
    </row>
    <row r="2552" spans="7:14" ht="11.25" customHeight="1" x14ac:dyDescent="0.3">
      <c r="G2552" s="470"/>
      <c r="H2552" s="470">
        <v>2545</v>
      </c>
      <c r="I2552" s="455">
        <f t="shared" ca="1" si="148"/>
        <v>15741966874.559465</v>
      </c>
      <c r="J2552" s="455">
        <f t="array" ref="J2552">IFERROR(INDEX('Retirement Calculator'!J:J,MATCH('Isaac 401k'!N2552,'Retirement Calculator'!A:A,0),0),0)</f>
        <v>0</v>
      </c>
      <c r="K2552" s="455">
        <f t="shared" ca="1" si="146"/>
        <v>65591528.643997766</v>
      </c>
      <c r="L2552" s="455">
        <f t="shared" ca="1" si="147"/>
        <v>15807558403.203463</v>
      </c>
      <c r="M2552" s="471">
        <f t="shared" si="149"/>
        <v>0.05</v>
      </c>
      <c r="N2552" s="475">
        <f t="shared" si="150"/>
        <v>128719</v>
      </c>
    </row>
    <row r="2553" spans="7:14" ht="11.25" customHeight="1" x14ac:dyDescent="0.3">
      <c r="G2553" s="470"/>
      <c r="H2553" s="470">
        <v>2546</v>
      </c>
      <c r="I2553" s="455">
        <f t="shared" ca="1" si="148"/>
        <v>15807558403.203463</v>
      </c>
      <c r="J2553" s="455">
        <f t="array" ref="J2553">IFERROR(INDEX('Retirement Calculator'!J:J,MATCH('Isaac 401k'!N2553,'Retirement Calculator'!A:A,0),0),0)</f>
        <v>0</v>
      </c>
      <c r="K2553" s="455">
        <f t="shared" ca="1" si="146"/>
        <v>65864826.680014424</v>
      </c>
      <c r="L2553" s="455">
        <f t="shared" ca="1" si="147"/>
        <v>15873423229.883476</v>
      </c>
      <c r="M2553" s="471">
        <f t="shared" si="149"/>
        <v>0.05</v>
      </c>
      <c r="N2553" s="475">
        <f t="shared" si="150"/>
        <v>128749</v>
      </c>
    </row>
    <row r="2554" spans="7:14" ht="11.25" customHeight="1" x14ac:dyDescent="0.3">
      <c r="G2554" s="470"/>
      <c r="H2554" s="470">
        <v>2547</v>
      </c>
      <c r="I2554" s="455">
        <f t="shared" ca="1" si="148"/>
        <v>15873423229.883476</v>
      </c>
      <c r="J2554" s="455">
        <f t="array" ref="J2554">IFERROR(INDEX('Retirement Calculator'!J:J,MATCH('Isaac 401k'!N2554,'Retirement Calculator'!A:A,0),0),0)</f>
        <v>0</v>
      </c>
      <c r="K2554" s="455">
        <f t="shared" ca="1" si="146"/>
        <v>66139263.457847819</v>
      </c>
      <c r="L2554" s="455">
        <f t="shared" ca="1" si="147"/>
        <v>15939562493.341324</v>
      </c>
      <c r="M2554" s="471">
        <f t="shared" si="149"/>
        <v>0.05</v>
      </c>
      <c r="N2554" s="475">
        <f t="shared" si="150"/>
        <v>128780</v>
      </c>
    </row>
    <row r="2555" spans="7:14" ht="11.25" customHeight="1" x14ac:dyDescent="0.3">
      <c r="G2555" s="470"/>
      <c r="H2555" s="470">
        <v>2548</v>
      </c>
      <c r="I2555" s="455">
        <f t="shared" ca="1" si="148"/>
        <v>15939562493.341324</v>
      </c>
      <c r="J2555" s="455">
        <f t="array" ref="J2555">IFERROR(INDEX('Retirement Calculator'!J:J,MATCH('Isaac 401k'!N2555,'Retirement Calculator'!A:A,0),0),0)</f>
        <v>0</v>
      </c>
      <c r="K2555" s="455">
        <f t="shared" ca="1" si="146"/>
        <v>66414843.722255513</v>
      </c>
      <c r="L2555" s="455">
        <f t="shared" ca="1" si="147"/>
        <v>16005977337.06358</v>
      </c>
      <c r="M2555" s="471">
        <f t="shared" si="149"/>
        <v>0.05</v>
      </c>
      <c r="N2555" s="475">
        <f t="shared" si="150"/>
        <v>128811</v>
      </c>
    </row>
    <row r="2556" spans="7:14" ht="11.25" customHeight="1" x14ac:dyDescent="0.3">
      <c r="G2556" s="470"/>
      <c r="H2556" s="470">
        <v>2549</v>
      </c>
      <c r="I2556" s="455">
        <f t="shared" ca="1" si="148"/>
        <v>16005977337.06358</v>
      </c>
      <c r="J2556" s="455">
        <f t="array" ref="J2556">IFERROR(INDEX('Retirement Calculator'!J:J,MATCH('Isaac 401k'!N2556,'Retirement Calculator'!A:A,0),0),0)</f>
        <v>0</v>
      </c>
      <c r="K2556" s="455">
        <f t="shared" ca="1" si="146"/>
        <v>66691572.237764925</v>
      </c>
      <c r="L2556" s="455">
        <f t="shared" ca="1" si="147"/>
        <v>16072668909.301344</v>
      </c>
      <c r="M2556" s="471">
        <f t="shared" si="149"/>
        <v>0.05</v>
      </c>
      <c r="N2556" s="475">
        <f t="shared" si="150"/>
        <v>128841</v>
      </c>
    </row>
    <row r="2557" spans="7:14" ht="11.25" customHeight="1" x14ac:dyDescent="0.3">
      <c r="G2557" s="470"/>
      <c r="H2557" s="470">
        <v>2550</v>
      </c>
      <c r="I2557" s="455">
        <f t="shared" ca="1" si="148"/>
        <v>16072668909.301344</v>
      </c>
      <c r="J2557" s="455">
        <f t="array" ref="J2557">IFERROR(INDEX('Retirement Calculator'!J:J,MATCH('Isaac 401k'!N2557,'Retirement Calculator'!A:A,0),0),0)</f>
        <v>0</v>
      </c>
      <c r="K2557" s="455">
        <f t="shared" ca="1" si="146"/>
        <v>66969453.788755603</v>
      </c>
      <c r="L2557" s="455">
        <f t="shared" ca="1" si="147"/>
        <v>16139638363.090099</v>
      </c>
      <c r="M2557" s="471">
        <f t="shared" si="149"/>
        <v>0.05</v>
      </c>
      <c r="N2557" s="475">
        <f t="shared" si="150"/>
        <v>128872</v>
      </c>
    </row>
    <row r="2558" spans="7:14" ht="11.25" customHeight="1" x14ac:dyDescent="0.3">
      <c r="G2558" s="470"/>
      <c r="H2558" s="470">
        <v>2551</v>
      </c>
      <c r="I2558" s="455">
        <f t="shared" ca="1" si="148"/>
        <v>16139638363.090099</v>
      </c>
      <c r="J2558" s="455">
        <f t="array" ref="J2558">IFERROR(INDEX('Retirement Calculator'!J:J,MATCH('Isaac 401k'!N2558,'Retirement Calculator'!A:A,0),0),0)</f>
        <v>0</v>
      </c>
      <c r="K2558" s="455">
        <f t="shared" ref="K2558:K2812" ca="1" si="151">IPMT(M2558/12,1,12,-I2558+J2558,,0)</f>
        <v>67248493.179542094</v>
      </c>
      <c r="L2558" s="455">
        <f t="shared" ref="L2558:L2812" ca="1" si="152">I2558-J2558+K2558</f>
        <v>16206886856.269642</v>
      </c>
      <c r="M2558" s="471">
        <f t="shared" si="149"/>
        <v>0.05</v>
      </c>
      <c r="N2558" s="475">
        <f t="shared" si="150"/>
        <v>128902</v>
      </c>
    </row>
    <row r="2559" spans="7:14" ht="11.25" customHeight="1" x14ac:dyDescent="0.3">
      <c r="G2559" s="470"/>
      <c r="H2559" s="470">
        <v>2552</v>
      </c>
      <c r="I2559" s="455">
        <f t="shared" ref="I2559:I2813" ca="1" si="153">L2558</f>
        <v>16206886856.269642</v>
      </c>
      <c r="J2559" s="455">
        <f t="array" ref="J2559">IFERROR(INDEX('Retirement Calculator'!J:J,MATCH('Isaac 401k'!N2559,'Retirement Calculator'!A:A,0),0),0)</f>
        <v>0</v>
      </c>
      <c r="K2559" s="455">
        <f t="shared" ca="1" si="151"/>
        <v>67528695.234456837</v>
      </c>
      <c r="L2559" s="455">
        <f t="shared" ca="1" si="152"/>
        <v>16274415551.504099</v>
      </c>
      <c r="M2559" s="471">
        <f t="shared" ref="M2559:M2813" si="154">M2558</f>
        <v>0.05</v>
      </c>
      <c r="N2559" s="475">
        <f t="shared" ref="N2559:N2813" si="155">EDATE(N2558,1)</f>
        <v>128933</v>
      </c>
    </row>
    <row r="2560" spans="7:14" ht="11.25" customHeight="1" x14ac:dyDescent="0.3">
      <c r="G2560" s="470"/>
      <c r="H2560" s="470">
        <v>2553</v>
      </c>
      <c r="I2560" s="455">
        <f t="shared" ca="1" si="153"/>
        <v>16274415551.504099</v>
      </c>
      <c r="J2560" s="455">
        <f t="array" ref="J2560">IFERROR(INDEX('Retirement Calculator'!J:J,MATCH('Isaac 401k'!N2560,'Retirement Calculator'!A:A,0),0),0)</f>
        <v>0</v>
      </c>
      <c r="K2560" s="455">
        <f t="shared" ca="1" si="151"/>
        <v>67810064.797933742</v>
      </c>
      <c r="L2560" s="455">
        <f t="shared" ca="1" si="152"/>
        <v>16342225616.302032</v>
      </c>
      <c r="M2560" s="471">
        <f t="shared" si="154"/>
        <v>0.05</v>
      </c>
      <c r="N2560" s="475">
        <f t="shared" si="155"/>
        <v>128964</v>
      </c>
    </row>
    <row r="2561" spans="7:14" ht="11.25" customHeight="1" x14ac:dyDescent="0.3">
      <c r="G2561" s="470"/>
      <c r="H2561" s="470">
        <v>2554</v>
      </c>
      <c r="I2561" s="455">
        <f t="shared" ca="1" si="153"/>
        <v>16342225616.302032</v>
      </c>
      <c r="J2561" s="455">
        <f t="array" ref="J2561">IFERROR(INDEX('Retirement Calculator'!J:J,MATCH('Isaac 401k'!N2561,'Retirement Calculator'!A:A,0),0),0)</f>
        <v>0</v>
      </c>
      <c r="K2561" s="455">
        <f t="shared" ca="1" si="151"/>
        <v>68092606.734591797</v>
      </c>
      <c r="L2561" s="455">
        <f t="shared" ca="1" si="152"/>
        <v>16410318223.036625</v>
      </c>
      <c r="M2561" s="471">
        <f t="shared" si="154"/>
        <v>0.05</v>
      </c>
      <c r="N2561" s="475">
        <f t="shared" si="155"/>
        <v>128992</v>
      </c>
    </row>
    <row r="2562" spans="7:14" ht="11.25" customHeight="1" x14ac:dyDescent="0.3">
      <c r="G2562" s="470"/>
      <c r="H2562" s="470">
        <v>2555</v>
      </c>
      <c r="I2562" s="455">
        <f t="shared" ca="1" si="153"/>
        <v>16410318223.036625</v>
      </c>
      <c r="J2562" s="455">
        <f t="array" ref="J2562">IFERROR(INDEX('Retirement Calculator'!J:J,MATCH('Isaac 401k'!N2562,'Retirement Calculator'!A:A,0),0),0)</f>
        <v>0</v>
      </c>
      <c r="K2562" s="455">
        <f t="shared" ca="1" si="151"/>
        <v>68376325.929319263</v>
      </c>
      <c r="L2562" s="455">
        <f t="shared" ca="1" si="152"/>
        <v>16478694548.965944</v>
      </c>
      <c r="M2562" s="471">
        <f t="shared" si="154"/>
        <v>0.05</v>
      </c>
      <c r="N2562" s="475">
        <f t="shared" si="155"/>
        <v>129023</v>
      </c>
    </row>
    <row r="2563" spans="7:14" ht="11.25" customHeight="1" x14ac:dyDescent="0.3">
      <c r="G2563" s="470"/>
      <c r="H2563" s="470">
        <v>2556</v>
      </c>
      <c r="I2563" s="455">
        <f t="shared" ca="1" si="153"/>
        <v>16478694548.965944</v>
      </c>
      <c r="J2563" s="455">
        <f t="array" ref="J2563">IFERROR(INDEX('Retirement Calculator'!J:J,MATCH('Isaac 401k'!N2563,'Retirement Calculator'!A:A,0),0),0)</f>
        <v>0</v>
      </c>
      <c r="K2563" s="455">
        <f t="shared" ca="1" si="151"/>
        <v>68661227.287358105</v>
      </c>
      <c r="L2563" s="455">
        <f t="shared" ca="1" si="152"/>
        <v>16547355776.253302</v>
      </c>
      <c r="M2563" s="471">
        <f t="shared" si="154"/>
        <v>0.05</v>
      </c>
      <c r="N2563" s="475">
        <f t="shared" si="155"/>
        <v>129053</v>
      </c>
    </row>
    <row r="2564" spans="7:14" ht="11.25" customHeight="1" x14ac:dyDescent="0.3">
      <c r="G2564" s="470"/>
      <c r="H2564" s="470">
        <v>2557</v>
      </c>
      <c r="I2564" s="455">
        <f t="shared" ca="1" si="153"/>
        <v>16547355776.253302</v>
      </c>
      <c r="J2564" s="455">
        <f t="array" ref="J2564">IFERROR(INDEX('Retirement Calculator'!J:J,MATCH('Isaac 401k'!N2564,'Retirement Calculator'!A:A,0),0),0)</f>
        <v>0</v>
      </c>
      <c r="K2564" s="455">
        <f t="shared" ca="1" si="151"/>
        <v>68947315.734388754</v>
      </c>
      <c r="L2564" s="455">
        <f t="shared" ca="1" si="152"/>
        <v>16616303091.98769</v>
      </c>
      <c r="M2564" s="471">
        <f t="shared" si="154"/>
        <v>0.05</v>
      </c>
      <c r="N2564" s="475">
        <f t="shared" si="155"/>
        <v>129084</v>
      </c>
    </row>
    <row r="2565" spans="7:14" ht="11.25" customHeight="1" x14ac:dyDescent="0.3">
      <c r="G2565" s="470"/>
      <c r="H2565" s="470">
        <v>2558</v>
      </c>
      <c r="I2565" s="455">
        <f t="shared" ca="1" si="153"/>
        <v>16616303091.98769</v>
      </c>
      <c r="J2565" s="455">
        <f t="array" ref="J2565">IFERROR(INDEX('Retirement Calculator'!J:J,MATCH('Isaac 401k'!N2565,'Retirement Calculator'!A:A,0),0),0)</f>
        <v>0</v>
      </c>
      <c r="K2565" s="455">
        <f t="shared" ca="1" si="151"/>
        <v>69234596.216615379</v>
      </c>
      <c r="L2565" s="455">
        <f t="shared" ca="1" si="152"/>
        <v>16685537688.204306</v>
      </c>
      <c r="M2565" s="471">
        <f t="shared" si="154"/>
        <v>0.05</v>
      </c>
      <c r="N2565" s="475">
        <f t="shared" si="155"/>
        <v>129114</v>
      </c>
    </row>
    <row r="2566" spans="7:14" ht="11.25" customHeight="1" x14ac:dyDescent="0.3">
      <c r="G2566" s="470"/>
      <c r="H2566" s="470">
        <v>2559</v>
      </c>
      <c r="I2566" s="455">
        <f t="shared" ca="1" si="153"/>
        <v>16685537688.204306</v>
      </c>
      <c r="J2566" s="455">
        <f t="array" ref="J2566">IFERROR(INDEX('Retirement Calculator'!J:J,MATCH('Isaac 401k'!N2566,'Retirement Calculator'!A:A,0),0),0)</f>
        <v>0</v>
      </c>
      <c r="K2566" s="455">
        <f t="shared" ca="1" si="151"/>
        <v>69523073.700851277</v>
      </c>
      <c r="L2566" s="455">
        <f t="shared" ca="1" si="152"/>
        <v>16755060761.905157</v>
      </c>
      <c r="M2566" s="471">
        <f t="shared" si="154"/>
        <v>0.05</v>
      </c>
      <c r="N2566" s="475">
        <f t="shared" si="155"/>
        <v>129145</v>
      </c>
    </row>
    <row r="2567" spans="7:14" ht="11.25" customHeight="1" x14ac:dyDescent="0.3">
      <c r="G2567" s="470"/>
      <c r="H2567" s="470">
        <v>2560</v>
      </c>
      <c r="I2567" s="455">
        <f t="shared" ca="1" si="153"/>
        <v>16755060761.905157</v>
      </c>
      <c r="J2567" s="455">
        <f t="array" ref="J2567">IFERROR(INDEX('Retirement Calculator'!J:J,MATCH('Isaac 401k'!N2567,'Retirement Calculator'!A:A,0),0),0)</f>
        <v>0</v>
      </c>
      <c r="K2567" s="455">
        <f t="shared" ca="1" si="151"/>
        <v>69812753.174604818</v>
      </c>
      <c r="L2567" s="455">
        <f t="shared" ca="1" si="152"/>
        <v>16824873515.079762</v>
      </c>
      <c r="M2567" s="471">
        <f t="shared" si="154"/>
        <v>0.05</v>
      </c>
      <c r="N2567" s="475">
        <f t="shared" si="155"/>
        <v>129176</v>
      </c>
    </row>
    <row r="2568" spans="7:14" ht="11.25" customHeight="1" x14ac:dyDescent="0.3">
      <c r="G2568" s="470"/>
      <c r="H2568" s="470">
        <v>2561</v>
      </c>
      <c r="I2568" s="455">
        <f t="shared" ca="1" si="153"/>
        <v>16824873515.079762</v>
      </c>
      <c r="J2568" s="455">
        <f t="array" ref="J2568">IFERROR(INDEX('Retirement Calculator'!J:J,MATCH('Isaac 401k'!N2568,'Retirement Calculator'!A:A,0),0),0)</f>
        <v>0</v>
      </c>
      <c r="K2568" s="455">
        <f t="shared" ca="1" si="151"/>
        <v>70103639.646165669</v>
      </c>
      <c r="L2568" s="455">
        <f t="shared" ca="1" si="152"/>
        <v>16894977154.725927</v>
      </c>
      <c r="M2568" s="471">
        <f t="shared" si="154"/>
        <v>0.05</v>
      </c>
      <c r="N2568" s="475">
        <f t="shared" si="155"/>
        <v>129206</v>
      </c>
    </row>
    <row r="2569" spans="7:14" ht="11.25" customHeight="1" x14ac:dyDescent="0.3">
      <c r="G2569" s="470"/>
      <c r="H2569" s="470">
        <v>2562</v>
      </c>
      <c r="I2569" s="455">
        <f t="shared" ca="1" si="153"/>
        <v>16894977154.725927</v>
      </c>
      <c r="J2569" s="455">
        <f t="array" ref="J2569">IFERROR(INDEX('Retirement Calculator'!J:J,MATCH('Isaac 401k'!N2569,'Retirement Calculator'!A:A,0),0),0)</f>
        <v>0</v>
      </c>
      <c r="K2569" s="455">
        <f t="shared" ca="1" si="151"/>
        <v>70395738.144691363</v>
      </c>
      <c r="L2569" s="455">
        <f t="shared" ca="1" si="152"/>
        <v>16965372892.870619</v>
      </c>
      <c r="M2569" s="471">
        <f t="shared" si="154"/>
        <v>0.05</v>
      </c>
      <c r="N2569" s="475">
        <f t="shared" si="155"/>
        <v>129237</v>
      </c>
    </row>
    <row r="2570" spans="7:14" ht="11.25" customHeight="1" x14ac:dyDescent="0.3">
      <c r="G2570" s="470"/>
      <c r="H2570" s="470">
        <v>2563</v>
      </c>
      <c r="I2570" s="455">
        <f t="shared" ca="1" si="153"/>
        <v>16965372892.870619</v>
      </c>
      <c r="J2570" s="455">
        <f t="array" ref="J2570">IFERROR(INDEX('Retirement Calculator'!J:J,MATCH('Isaac 401k'!N2570,'Retirement Calculator'!A:A,0),0),0)</f>
        <v>0</v>
      </c>
      <c r="K2570" s="455">
        <f t="shared" ca="1" si="151"/>
        <v>70689053.720294237</v>
      </c>
      <c r="L2570" s="455">
        <f t="shared" ca="1" si="152"/>
        <v>17036061946.590914</v>
      </c>
      <c r="M2570" s="471">
        <f t="shared" si="154"/>
        <v>0.05</v>
      </c>
      <c r="N2570" s="475">
        <f t="shared" si="155"/>
        <v>129267</v>
      </c>
    </row>
    <row r="2571" spans="7:14" ht="11.25" customHeight="1" x14ac:dyDescent="0.3">
      <c r="G2571" s="470"/>
      <c r="H2571" s="470">
        <v>2564</v>
      </c>
      <c r="I2571" s="455">
        <f t="shared" ca="1" si="153"/>
        <v>17036061946.590914</v>
      </c>
      <c r="J2571" s="455">
        <f t="array" ref="J2571">IFERROR(INDEX('Retirement Calculator'!J:J,MATCH('Isaac 401k'!N2571,'Retirement Calculator'!A:A,0),0),0)</f>
        <v>0</v>
      </c>
      <c r="K2571" s="455">
        <f t="shared" ca="1" si="151"/>
        <v>70983591.444128811</v>
      </c>
      <c r="L2571" s="455">
        <f t="shared" ca="1" si="152"/>
        <v>17107045538.035042</v>
      </c>
      <c r="M2571" s="471">
        <f t="shared" si="154"/>
        <v>0.05</v>
      </c>
      <c r="N2571" s="475">
        <f t="shared" si="155"/>
        <v>129298</v>
      </c>
    </row>
    <row r="2572" spans="7:14" ht="11.25" customHeight="1" x14ac:dyDescent="0.3">
      <c r="G2572" s="470"/>
      <c r="H2572" s="470">
        <v>2565</v>
      </c>
      <c r="I2572" s="455">
        <f t="shared" ca="1" si="153"/>
        <v>17107045538.035042</v>
      </c>
      <c r="J2572" s="455">
        <f t="array" ref="J2572">IFERROR(INDEX('Retirement Calculator'!J:J,MATCH('Isaac 401k'!N2572,'Retirement Calculator'!A:A,0),0),0)</f>
        <v>0</v>
      </c>
      <c r="K2572" s="455">
        <f t="shared" ca="1" si="151"/>
        <v>71279356.408479333</v>
      </c>
      <c r="L2572" s="455">
        <f t="shared" ca="1" si="152"/>
        <v>17178324894.443521</v>
      </c>
      <c r="M2572" s="471">
        <f t="shared" si="154"/>
        <v>0.05</v>
      </c>
      <c r="N2572" s="475">
        <f t="shared" si="155"/>
        <v>129329</v>
      </c>
    </row>
    <row r="2573" spans="7:14" ht="11.25" customHeight="1" x14ac:dyDescent="0.3">
      <c r="G2573" s="470"/>
      <c r="H2573" s="470">
        <v>2566</v>
      </c>
      <c r="I2573" s="455">
        <f t="shared" ca="1" si="153"/>
        <v>17178324894.443521</v>
      </c>
      <c r="J2573" s="455">
        <f t="array" ref="J2573">IFERROR(INDEX('Retirement Calculator'!J:J,MATCH('Isaac 401k'!N2573,'Retirement Calculator'!A:A,0),0),0)</f>
        <v>0</v>
      </c>
      <c r="K2573" s="455">
        <f t="shared" ca="1" si="151"/>
        <v>71576353.726848006</v>
      </c>
      <c r="L2573" s="455">
        <f t="shared" ca="1" si="152"/>
        <v>17249901248.170368</v>
      </c>
      <c r="M2573" s="471">
        <f t="shared" si="154"/>
        <v>0.05</v>
      </c>
      <c r="N2573" s="475">
        <f t="shared" si="155"/>
        <v>129357</v>
      </c>
    </row>
    <row r="2574" spans="7:14" ht="11.25" customHeight="1" x14ac:dyDescent="0.3">
      <c r="G2574" s="470"/>
      <c r="H2574" s="470">
        <v>2567</v>
      </c>
      <c r="I2574" s="455">
        <f t="shared" ca="1" si="153"/>
        <v>17249901248.170368</v>
      </c>
      <c r="J2574" s="455">
        <f t="array" ref="J2574">IFERROR(INDEX('Retirement Calculator'!J:J,MATCH('Isaac 401k'!N2574,'Retirement Calculator'!A:A,0),0),0)</f>
        <v>0</v>
      </c>
      <c r="K2574" s="455">
        <f t="shared" ca="1" si="151"/>
        <v>71874588.534043193</v>
      </c>
      <c r="L2574" s="455">
        <f t="shared" ca="1" si="152"/>
        <v>17321775836.704411</v>
      </c>
      <c r="M2574" s="471">
        <f t="shared" si="154"/>
        <v>0.05</v>
      </c>
      <c r="N2574" s="475">
        <f t="shared" si="155"/>
        <v>129388</v>
      </c>
    </row>
    <row r="2575" spans="7:14" ht="11.25" customHeight="1" x14ac:dyDescent="0.3">
      <c r="G2575" s="470"/>
      <c r="H2575" s="470">
        <v>2568</v>
      </c>
      <c r="I2575" s="455">
        <f t="shared" ca="1" si="153"/>
        <v>17321775836.704411</v>
      </c>
      <c r="J2575" s="455">
        <f t="array" ref="J2575">IFERROR(INDEX('Retirement Calculator'!J:J,MATCH('Isaac 401k'!N2575,'Retirement Calculator'!A:A,0),0),0)</f>
        <v>0</v>
      </c>
      <c r="K2575" s="455">
        <f t="shared" ca="1" si="151"/>
        <v>72174065.986268371</v>
      </c>
      <c r="L2575" s="455">
        <f t="shared" ca="1" si="152"/>
        <v>17393949902.690678</v>
      </c>
      <c r="M2575" s="471">
        <f t="shared" si="154"/>
        <v>0.05</v>
      </c>
      <c r="N2575" s="475">
        <f t="shared" si="155"/>
        <v>129418</v>
      </c>
    </row>
    <row r="2576" spans="7:14" ht="11.25" customHeight="1" x14ac:dyDescent="0.3">
      <c r="G2576" s="470"/>
      <c r="H2576" s="470">
        <v>2569</v>
      </c>
      <c r="I2576" s="455">
        <f t="shared" ca="1" si="153"/>
        <v>17393949902.690678</v>
      </c>
      <c r="J2576" s="455">
        <f t="array" ref="J2576">IFERROR(INDEX('Retirement Calculator'!J:J,MATCH('Isaac 401k'!N2576,'Retirement Calculator'!A:A,0),0),0)</f>
        <v>0</v>
      </c>
      <c r="K2576" s="455">
        <f t="shared" ca="1" si="151"/>
        <v>72474791.261211157</v>
      </c>
      <c r="L2576" s="455">
        <f t="shared" ca="1" si="152"/>
        <v>17466424693.951889</v>
      </c>
      <c r="M2576" s="471">
        <f t="shared" si="154"/>
        <v>0.05</v>
      </c>
      <c r="N2576" s="475">
        <f t="shared" si="155"/>
        <v>129449</v>
      </c>
    </row>
    <row r="2577" spans="7:14" ht="11.25" customHeight="1" x14ac:dyDescent="0.3">
      <c r="G2577" s="470"/>
      <c r="H2577" s="470">
        <v>2570</v>
      </c>
      <c r="I2577" s="455">
        <f t="shared" ca="1" si="153"/>
        <v>17466424693.951889</v>
      </c>
      <c r="J2577" s="455">
        <f t="array" ref="J2577">IFERROR(INDEX('Retirement Calculator'!J:J,MATCH('Isaac 401k'!N2577,'Retirement Calculator'!A:A,0),0),0)</f>
        <v>0</v>
      </c>
      <c r="K2577" s="455">
        <f t="shared" ca="1" si="151"/>
        <v>72776769.558132872</v>
      </c>
      <c r="L2577" s="455">
        <f t="shared" ca="1" si="152"/>
        <v>17539201463.510021</v>
      </c>
      <c r="M2577" s="471">
        <f t="shared" si="154"/>
        <v>0.05</v>
      </c>
      <c r="N2577" s="475">
        <f t="shared" si="155"/>
        <v>129479</v>
      </c>
    </row>
    <row r="2578" spans="7:14" ht="11.25" customHeight="1" x14ac:dyDescent="0.3">
      <c r="G2578" s="470"/>
      <c r="H2578" s="470">
        <v>2571</v>
      </c>
      <c r="I2578" s="455">
        <f t="shared" ca="1" si="153"/>
        <v>17539201463.510021</v>
      </c>
      <c r="J2578" s="455">
        <f t="array" ref="J2578">IFERROR(INDEX('Retirement Calculator'!J:J,MATCH('Isaac 401k'!N2578,'Retirement Calculator'!A:A,0),0),0)</f>
        <v>0</v>
      </c>
      <c r="K2578" s="455">
        <f t="shared" ca="1" si="151"/>
        <v>73080006.097958416</v>
      </c>
      <c r="L2578" s="455">
        <f t="shared" ca="1" si="152"/>
        <v>17612281469.607979</v>
      </c>
      <c r="M2578" s="471">
        <f t="shared" si="154"/>
        <v>0.05</v>
      </c>
      <c r="N2578" s="475">
        <f t="shared" si="155"/>
        <v>129510</v>
      </c>
    </row>
    <row r="2579" spans="7:14" ht="11.25" customHeight="1" x14ac:dyDescent="0.3">
      <c r="G2579" s="470"/>
      <c r="H2579" s="470">
        <v>2572</v>
      </c>
      <c r="I2579" s="455">
        <f t="shared" ca="1" si="153"/>
        <v>17612281469.607979</v>
      </c>
      <c r="J2579" s="455">
        <f t="array" ref="J2579">IFERROR(INDEX('Retirement Calculator'!J:J,MATCH('Isaac 401k'!N2579,'Retirement Calculator'!A:A,0),0),0)</f>
        <v>0</v>
      </c>
      <c r="K2579" s="455">
        <f t="shared" ca="1" si="151"/>
        <v>73384506.123366579</v>
      </c>
      <c r="L2579" s="455">
        <f t="shared" ca="1" si="152"/>
        <v>17685665975.731346</v>
      </c>
      <c r="M2579" s="471">
        <f t="shared" si="154"/>
        <v>0.05</v>
      </c>
      <c r="N2579" s="475">
        <f t="shared" si="155"/>
        <v>129541</v>
      </c>
    </row>
    <row r="2580" spans="7:14" ht="11.25" customHeight="1" x14ac:dyDescent="0.3">
      <c r="G2580" s="470"/>
      <c r="H2580" s="470">
        <v>2573</v>
      </c>
      <c r="I2580" s="455">
        <f t="shared" ca="1" si="153"/>
        <v>17685665975.731346</v>
      </c>
      <c r="J2580" s="455">
        <f t="array" ref="J2580">IFERROR(INDEX('Retirement Calculator'!J:J,MATCH('Isaac 401k'!N2580,'Retirement Calculator'!A:A,0),0),0)</f>
        <v>0</v>
      </c>
      <c r="K2580" s="455">
        <f t="shared" ca="1" si="151"/>
        <v>73690274.898880601</v>
      </c>
      <c r="L2580" s="455">
        <f t="shared" ca="1" si="152"/>
        <v>17759356250.630226</v>
      </c>
      <c r="M2580" s="471">
        <f t="shared" si="154"/>
        <v>0.05</v>
      </c>
      <c r="N2580" s="475">
        <f t="shared" si="155"/>
        <v>129571</v>
      </c>
    </row>
    <row r="2581" spans="7:14" ht="11.25" customHeight="1" x14ac:dyDescent="0.3">
      <c r="G2581" s="470"/>
      <c r="H2581" s="470">
        <v>2574</v>
      </c>
      <c r="I2581" s="455">
        <f t="shared" ca="1" si="153"/>
        <v>17759356250.630226</v>
      </c>
      <c r="J2581" s="455">
        <f t="array" ref="J2581">IFERROR(INDEX('Retirement Calculator'!J:J,MATCH('Isaac 401k'!N2581,'Retirement Calculator'!A:A,0),0),0)</f>
        <v>0</v>
      </c>
      <c r="K2581" s="455">
        <f t="shared" ca="1" si="151"/>
        <v>73997317.710959271</v>
      </c>
      <c r="L2581" s="455">
        <f t="shared" ca="1" si="152"/>
        <v>17833353568.341187</v>
      </c>
      <c r="M2581" s="471">
        <f t="shared" si="154"/>
        <v>0.05</v>
      </c>
      <c r="N2581" s="475">
        <f t="shared" si="155"/>
        <v>129602</v>
      </c>
    </row>
    <row r="2582" spans="7:14" ht="11.25" customHeight="1" x14ac:dyDescent="0.3">
      <c r="G2582" s="470"/>
      <c r="H2582" s="470">
        <v>2575</v>
      </c>
      <c r="I2582" s="455">
        <f t="shared" ca="1" si="153"/>
        <v>17833353568.341187</v>
      </c>
      <c r="J2582" s="455">
        <f t="array" ref="J2582">IFERROR(INDEX('Retirement Calculator'!J:J,MATCH('Isaac 401k'!N2582,'Retirement Calculator'!A:A,0),0),0)</f>
        <v>0</v>
      </c>
      <c r="K2582" s="455">
        <f t="shared" ca="1" si="151"/>
        <v>74305639.868088275</v>
      </c>
      <c r="L2582" s="455">
        <f t="shared" ca="1" si="152"/>
        <v>17907659208.209274</v>
      </c>
      <c r="M2582" s="471">
        <f t="shared" si="154"/>
        <v>0.05</v>
      </c>
      <c r="N2582" s="475">
        <f t="shared" si="155"/>
        <v>129632</v>
      </c>
    </row>
    <row r="2583" spans="7:14" ht="11.25" customHeight="1" x14ac:dyDescent="0.3">
      <c r="G2583" s="470"/>
      <c r="H2583" s="470">
        <v>2576</v>
      </c>
      <c r="I2583" s="455">
        <f t="shared" ca="1" si="153"/>
        <v>17907659208.209274</v>
      </c>
      <c r="J2583" s="455">
        <f t="array" ref="J2583">IFERROR(INDEX('Retirement Calculator'!J:J,MATCH('Isaac 401k'!N2583,'Retirement Calculator'!A:A,0),0),0)</f>
        <v>0</v>
      </c>
      <c r="K2583" s="455">
        <f t="shared" ca="1" si="151"/>
        <v>74615246.700871974</v>
      </c>
      <c r="L2583" s="455">
        <f t="shared" ca="1" si="152"/>
        <v>17982274454.910145</v>
      </c>
      <c r="M2583" s="471">
        <f t="shared" si="154"/>
        <v>0.05</v>
      </c>
      <c r="N2583" s="475">
        <f t="shared" si="155"/>
        <v>129663</v>
      </c>
    </row>
    <row r="2584" spans="7:14" ht="11.25" customHeight="1" x14ac:dyDescent="0.3">
      <c r="G2584" s="470"/>
      <c r="H2584" s="470">
        <v>2577</v>
      </c>
      <c r="I2584" s="455">
        <f t="shared" ca="1" si="153"/>
        <v>17982274454.910145</v>
      </c>
      <c r="J2584" s="455">
        <f t="array" ref="J2584">IFERROR(INDEX('Retirement Calculator'!J:J,MATCH('Isaac 401k'!N2584,'Retirement Calculator'!A:A,0),0),0)</f>
        <v>0</v>
      </c>
      <c r="K2584" s="455">
        <f t="shared" ca="1" si="151"/>
        <v>74926143.562125608</v>
      </c>
      <c r="L2584" s="455">
        <f t="shared" ca="1" si="152"/>
        <v>18057200598.472271</v>
      </c>
      <c r="M2584" s="471">
        <f t="shared" si="154"/>
        <v>0.05</v>
      </c>
      <c r="N2584" s="475">
        <f t="shared" si="155"/>
        <v>129694</v>
      </c>
    </row>
    <row r="2585" spans="7:14" ht="11.25" customHeight="1" x14ac:dyDescent="0.3">
      <c r="G2585" s="470"/>
      <c r="H2585" s="470">
        <v>2578</v>
      </c>
      <c r="I2585" s="455">
        <f t="shared" ca="1" si="153"/>
        <v>18057200598.472271</v>
      </c>
      <c r="J2585" s="455">
        <f t="array" ref="J2585">IFERROR(INDEX('Retirement Calculator'!J:J,MATCH('Isaac 401k'!N2585,'Retirement Calculator'!A:A,0),0),0)</f>
        <v>0</v>
      </c>
      <c r="K2585" s="455">
        <f t="shared" ca="1" si="151"/>
        <v>75238335.826967791</v>
      </c>
      <c r="L2585" s="455">
        <f t="shared" ca="1" si="152"/>
        <v>18132438934.29924</v>
      </c>
      <c r="M2585" s="471">
        <f t="shared" si="154"/>
        <v>0.05</v>
      </c>
      <c r="N2585" s="475">
        <f t="shared" si="155"/>
        <v>129722</v>
      </c>
    </row>
    <row r="2586" spans="7:14" ht="11.25" customHeight="1" x14ac:dyDescent="0.3">
      <c r="G2586" s="470"/>
      <c r="H2586" s="470">
        <v>2579</v>
      </c>
      <c r="I2586" s="455">
        <f t="shared" ca="1" si="153"/>
        <v>18132438934.29924</v>
      </c>
      <c r="J2586" s="455">
        <f t="array" ref="J2586">IFERROR(INDEX('Retirement Calculator'!J:J,MATCH('Isaac 401k'!N2586,'Retirement Calculator'!A:A,0),0),0)</f>
        <v>0</v>
      </c>
      <c r="K2586" s="455">
        <f t="shared" ca="1" si="151"/>
        <v>75551828.892913505</v>
      </c>
      <c r="L2586" s="455">
        <f t="shared" ca="1" si="152"/>
        <v>18207990763.192154</v>
      </c>
      <c r="M2586" s="471">
        <f t="shared" si="154"/>
        <v>0.05</v>
      </c>
      <c r="N2586" s="475">
        <f t="shared" si="155"/>
        <v>129753</v>
      </c>
    </row>
    <row r="2587" spans="7:14" ht="11.25" customHeight="1" x14ac:dyDescent="0.3">
      <c r="G2587" s="470"/>
      <c r="H2587" s="470">
        <v>2580</v>
      </c>
      <c r="I2587" s="455">
        <f t="shared" ca="1" si="153"/>
        <v>18207990763.192154</v>
      </c>
      <c r="J2587" s="455">
        <f t="array" ref="J2587">IFERROR(INDEX('Retirement Calculator'!J:J,MATCH('Isaac 401k'!N2587,'Retirement Calculator'!A:A,0),0),0)</f>
        <v>0</v>
      </c>
      <c r="K2587" s="455">
        <f t="shared" ca="1" si="151"/>
        <v>75866628.179967314</v>
      </c>
      <c r="L2587" s="455">
        <f t="shared" ca="1" si="152"/>
        <v>18283857391.37212</v>
      </c>
      <c r="M2587" s="471">
        <f t="shared" si="154"/>
        <v>0.05</v>
      </c>
      <c r="N2587" s="475">
        <f t="shared" si="155"/>
        <v>129783</v>
      </c>
    </row>
    <row r="2588" spans="7:14" ht="11.25" customHeight="1" x14ac:dyDescent="0.3">
      <c r="G2588" s="470"/>
      <c r="H2588" s="470">
        <v>2581</v>
      </c>
      <c r="I2588" s="455">
        <f t="shared" ca="1" si="153"/>
        <v>18283857391.37212</v>
      </c>
      <c r="J2588" s="455">
        <f t="array" ref="J2588">IFERROR(INDEX('Retirement Calculator'!J:J,MATCH('Isaac 401k'!N2588,'Retirement Calculator'!A:A,0),0),0)</f>
        <v>0</v>
      </c>
      <c r="K2588" s="455">
        <f t="shared" ca="1" si="151"/>
        <v>76182739.130717158</v>
      </c>
      <c r="L2588" s="455">
        <f t="shared" ca="1" si="152"/>
        <v>18360040130.502838</v>
      </c>
      <c r="M2588" s="471">
        <f t="shared" si="154"/>
        <v>0.05</v>
      </c>
      <c r="N2588" s="475">
        <f t="shared" si="155"/>
        <v>129814</v>
      </c>
    </row>
    <row r="2589" spans="7:14" ht="11.25" customHeight="1" x14ac:dyDescent="0.3">
      <c r="G2589" s="470"/>
      <c r="H2589" s="470">
        <v>2582</v>
      </c>
      <c r="I2589" s="455">
        <f t="shared" ca="1" si="153"/>
        <v>18360040130.502838</v>
      </c>
      <c r="J2589" s="455">
        <f t="array" ref="J2589">IFERROR(INDEX('Retirement Calculator'!J:J,MATCH('Isaac 401k'!N2589,'Retirement Calculator'!A:A,0),0),0)</f>
        <v>0</v>
      </c>
      <c r="K2589" s="455">
        <f t="shared" ca="1" si="151"/>
        <v>76500167.210428491</v>
      </c>
      <c r="L2589" s="455">
        <f t="shared" ca="1" si="152"/>
        <v>18436540297.713268</v>
      </c>
      <c r="M2589" s="471">
        <f t="shared" si="154"/>
        <v>0.05</v>
      </c>
      <c r="N2589" s="475">
        <f t="shared" si="155"/>
        <v>129844</v>
      </c>
    </row>
    <row r="2590" spans="7:14" ht="11.25" customHeight="1" x14ac:dyDescent="0.3">
      <c r="G2590" s="470"/>
      <c r="H2590" s="470">
        <v>2583</v>
      </c>
      <c r="I2590" s="455">
        <f t="shared" ca="1" si="153"/>
        <v>18436540297.713268</v>
      </c>
      <c r="J2590" s="455">
        <f t="array" ref="J2590">IFERROR(INDEX('Retirement Calculator'!J:J,MATCH('Isaac 401k'!N2590,'Retirement Calculator'!A:A,0),0),0)</f>
        <v>0</v>
      </c>
      <c r="K2590" s="455">
        <f t="shared" ca="1" si="151"/>
        <v>76818917.907138616</v>
      </c>
      <c r="L2590" s="455">
        <f t="shared" ca="1" si="152"/>
        <v>18513359215.620407</v>
      </c>
      <c r="M2590" s="471">
        <f t="shared" si="154"/>
        <v>0.05</v>
      </c>
      <c r="N2590" s="475">
        <f t="shared" si="155"/>
        <v>129875</v>
      </c>
    </row>
    <row r="2591" spans="7:14" ht="11.25" customHeight="1" x14ac:dyDescent="0.3">
      <c r="G2591" s="470"/>
      <c r="H2591" s="470">
        <v>2584</v>
      </c>
      <c r="I2591" s="455">
        <f t="shared" ca="1" si="153"/>
        <v>18513359215.620407</v>
      </c>
      <c r="J2591" s="455">
        <f t="array" ref="J2591">IFERROR(INDEX('Retirement Calculator'!J:J,MATCH('Isaac 401k'!N2591,'Retirement Calculator'!A:A,0),0),0)</f>
        <v>0</v>
      </c>
      <c r="K2591" s="455">
        <f t="shared" ca="1" si="151"/>
        <v>77138996.731751695</v>
      </c>
      <c r="L2591" s="455">
        <f t="shared" ca="1" si="152"/>
        <v>18590498212.352158</v>
      </c>
      <c r="M2591" s="471">
        <f t="shared" si="154"/>
        <v>0.05</v>
      </c>
      <c r="N2591" s="475">
        <f t="shared" si="155"/>
        <v>129906</v>
      </c>
    </row>
    <row r="2592" spans="7:14" ht="11.25" customHeight="1" x14ac:dyDescent="0.3">
      <c r="G2592" s="470"/>
      <c r="H2592" s="470">
        <v>2585</v>
      </c>
      <c r="I2592" s="455">
        <f t="shared" ca="1" si="153"/>
        <v>18590498212.352158</v>
      </c>
      <c r="J2592" s="455">
        <f t="array" ref="J2592">IFERROR(INDEX('Retirement Calculator'!J:J,MATCH('Isaac 401k'!N2592,'Retirement Calculator'!A:A,0),0),0)</f>
        <v>0</v>
      </c>
      <c r="K2592" s="455">
        <f t="shared" ca="1" si="151"/>
        <v>77460409.218133986</v>
      </c>
      <c r="L2592" s="455">
        <f t="shared" ca="1" si="152"/>
        <v>18667958621.570293</v>
      </c>
      <c r="M2592" s="471">
        <f t="shared" si="154"/>
        <v>0.05</v>
      </c>
      <c r="N2592" s="475">
        <f t="shared" si="155"/>
        <v>129936</v>
      </c>
    </row>
    <row r="2593" spans="7:14" ht="11.25" customHeight="1" x14ac:dyDescent="0.3">
      <c r="G2593" s="470"/>
      <c r="H2593" s="470">
        <v>2586</v>
      </c>
      <c r="I2593" s="455">
        <f t="shared" ca="1" si="153"/>
        <v>18667958621.570293</v>
      </c>
      <c r="J2593" s="455">
        <f t="array" ref="J2593">IFERROR(INDEX('Retirement Calculator'!J:J,MATCH('Isaac 401k'!N2593,'Retirement Calculator'!A:A,0),0),0)</f>
        <v>0</v>
      </c>
      <c r="K2593" s="455">
        <f t="shared" ca="1" si="151"/>
        <v>77783160.923209548</v>
      </c>
      <c r="L2593" s="455">
        <f t="shared" ca="1" si="152"/>
        <v>18745741782.493504</v>
      </c>
      <c r="M2593" s="471">
        <f t="shared" si="154"/>
        <v>0.05</v>
      </c>
      <c r="N2593" s="475">
        <f t="shared" si="155"/>
        <v>129967</v>
      </c>
    </row>
    <row r="2594" spans="7:14" ht="11.25" customHeight="1" x14ac:dyDescent="0.3">
      <c r="G2594" s="470"/>
      <c r="H2594" s="470">
        <v>2587</v>
      </c>
      <c r="I2594" s="455">
        <f t="shared" ca="1" si="153"/>
        <v>18745741782.493504</v>
      </c>
      <c r="J2594" s="455">
        <f t="array" ref="J2594">IFERROR(INDEX('Retirement Calculator'!J:J,MATCH('Isaac 401k'!N2594,'Retirement Calculator'!A:A,0),0),0)</f>
        <v>0</v>
      </c>
      <c r="K2594" s="455">
        <f t="shared" ca="1" si="151"/>
        <v>78107257.427056268</v>
      </c>
      <c r="L2594" s="455">
        <f t="shared" ca="1" si="152"/>
        <v>18823849039.920559</v>
      </c>
      <c r="M2594" s="471">
        <f t="shared" si="154"/>
        <v>0.05</v>
      </c>
      <c r="N2594" s="475">
        <f t="shared" si="155"/>
        <v>129997</v>
      </c>
    </row>
    <row r="2595" spans="7:14" ht="11.25" customHeight="1" x14ac:dyDescent="0.3">
      <c r="G2595" s="470"/>
      <c r="H2595" s="470">
        <v>2588</v>
      </c>
      <c r="I2595" s="455">
        <f t="shared" ca="1" si="153"/>
        <v>18823849039.920559</v>
      </c>
      <c r="J2595" s="455">
        <f t="array" ref="J2595">IFERROR(INDEX('Retirement Calculator'!J:J,MATCH('Isaac 401k'!N2595,'Retirement Calculator'!A:A,0),0),0)</f>
        <v>0</v>
      </c>
      <c r="K2595" s="455">
        <f t="shared" ca="1" si="151"/>
        <v>78432704.333002329</v>
      </c>
      <c r="L2595" s="455">
        <f t="shared" ca="1" si="152"/>
        <v>18902281744.253563</v>
      </c>
      <c r="M2595" s="471">
        <f t="shared" si="154"/>
        <v>0.05</v>
      </c>
      <c r="N2595" s="475">
        <f t="shared" si="155"/>
        <v>130028</v>
      </c>
    </row>
    <row r="2596" spans="7:14" ht="11.25" customHeight="1" x14ac:dyDescent="0.3">
      <c r="G2596" s="470"/>
      <c r="H2596" s="470">
        <v>2589</v>
      </c>
      <c r="I2596" s="455">
        <f t="shared" ca="1" si="153"/>
        <v>18902281744.253563</v>
      </c>
      <c r="J2596" s="455">
        <f t="array" ref="J2596">IFERROR(INDEX('Retirement Calculator'!J:J,MATCH('Isaac 401k'!N2596,'Retirement Calculator'!A:A,0),0),0)</f>
        <v>0</v>
      </c>
      <c r="K2596" s="455">
        <f t="shared" ca="1" si="151"/>
        <v>78759507.267723173</v>
      </c>
      <c r="L2596" s="455">
        <f t="shared" ca="1" si="152"/>
        <v>18981041251.521286</v>
      </c>
      <c r="M2596" s="471">
        <f t="shared" si="154"/>
        <v>0.05</v>
      </c>
      <c r="N2596" s="475">
        <f t="shared" si="155"/>
        <v>130059</v>
      </c>
    </row>
    <row r="2597" spans="7:14" ht="11.25" customHeight="1" x14ac:dyDescent="0.3">
      <c r="G2597" s="470"/>
      <c r="H2597" s="470">
        <v>2590</v>
      </c>
      <c r="I2597" s="455">
        <f t="shared" ca="1" si="153"/>
        <v>18981041251.521286</v>
      </c>
      <c r="J2597" s="455">
        <f t="array" ref="J2597">IFERROR(INDEX('Retirement Calculator'!J:J,MATCH('Isaac 401k'!N2597,'Retirement Calculator'!A:A,0),0),0)</f>
        <v>0</v>
      </c>
      <c r="K2597" s="455">
        <f t="shared" ca="1" si="151"/>
        <v>79087671.881338686</v>
      </c>
      <c r="L2597" s="455">
        <f t="shared" ca="1" si="152"/>
        <v>19060128923.402626</v>
      </c>
      <c r="M2597" s="471">
        <f t="shared" si="154"/>
        <v>0.05</v>
      </c>
      <c r="N2597" s="475">
        <f t="shared" si="155"/>
        <v>130088</v>
      </c>
    </row>
    <row r="2598" spans="7:14" ht="11.25" customHeight="1" x14ac:dyDescent="0.3">
      <c r="G2598" s="470"/>
      <c r="H2598" s="470">
        <v>2591</v>
      </c>
      <c r="I2598" s="455">
        <f t="shared" ca="1" si="153"/>
        <v>19060128923.402626</v>
      </c>
      <c r="J2598" s="455">
        <f t="array" ref="J2598">IFERROR(INDEX('Retirement Calculator'!J:J,MATCH('Isaac 401k'!N2598,'Retirement Calculator'!A:A,0),0),0)</f>
        <v>0</v>
      </c>
      <c r="K2598" s="455">
        <f t="shared" ca="1" si="151"/>
        <v>79417203.847510934</v>
      </c>
      <c r="L2598" s="455">
        <f t="shared" ca="1" si="152"/>
        <v>19139546127.250137</v>
      </c>
      <c r="M2598" s="471">
        <f t="shared" si="154"/>
        <v>0.05</v>
      </c>
      <c r="N2598" s="475">
        <f t="shared" si="155"/>
        <v>130119</v>
      </c>
    </row>
    <row r="2599" spans="7:14" ht="11.25" customHeight="1" x14ac:dyDescent="0.3">
      <c r="G2599" s="470"/>
      <c r="H2599" s="470">
        <v>2592</v>
      </c>
      <c r="I2599" s="455">
        <f t="shared" ca="1" si="153"/>
        <v>19139546127.250137</v>
      </c>
      <c r="J2599" s="455">
        <f t="array" ref="J2599">IFERROR(INDEX('Retirement Calculator'!J:J,MATCH('Isaac 401k'!N2599,'Retirement Calculator'!A:A,0),0),0)</f>
        <v>0</v>
      </c>
      <c r="K2599" s="455">
        <f t="shared" ca="1" si="151"/>
        <v>79748108.863542244</v>
      </c>
      <c r="L2599" s="455">
        <f t="shared" ca="1" si="152"/>
        <v>19219294236.113678</v>
      </c>
      <c r="M2599" s="471">
        <f t="shared" si="154"/>
        <v>0.05</v>
      </c>
      <c r="N2599" s="475">
        <f t="shared" si="155"/>
        <v>130149</v>
      </c>
    </row>
    <row r="2600" spans="7:14" ht="11.25" customHeight="1" x14ac:dyDescent="0.3">
      <c r="G2600" s="470"/>
      <c r="H2600" s="470">
        <v>2593</v>
      </c>
      <c r="I2600" s="455">
        <f t="shared" ca="1" si="153"/>
        <v>19219294236.113678</v>
      </c>
      <c r="J2600" s="455">
        <f t="array" ref="J2600">IFERROR(INDEX('Retirement Calculator'!J:J,MATCH('Isaac 401k'!N2600,'Retirement Calculator'!A:A,0),0),0)</f>
        <v>0</v>
      </c>
      <c r="K2600" s="455">
        <f t="shared" ca="1" si="151"/>
        <v>80080392.650473654</v>
      </c>
      <c r="L2600" s="455">
        <f t="shared" ca="1" si="152"/>
        <v>19299374628.764153</v>
      </c>
      <c r="M2600" s="471">
        <f t="shared" si="154"/>
        <v>0.05</v>
      </c>
      <c r="N2600" s="475">
        <f t="shared" si="155"/>
        <v>130180</v>
      </c>
    </row>
    <row r="2601" spans="7:14" ht="11.25" customHeight="1" x14ac:dyDescent="0.3">
      <c r="G2601" s="470"/>
      <c r="H2601" s="470">
        <v>2594</v>
      </c>
      <c r="I2601" s="455">
        <f t="shared" ca="1" si="153"/>
        <v>19299374628.764153</v>
      </c>
      <c r="J2601" s="455">
        <f t="array" ref="J2601">IFERROR(INDEX('Retirement Calculator'!J:J,MATCH('Isaac 401k'!N2601,'Retirement Calculator'!A:A,0),0),0)</f>
        <v>0</v>
      </c>
      <c r="K2601" s="455">
        <f t="shared" ca="1" si="151"/>
        <v>80414060.953183964</v>
      </c>
      <c r="L2601" s="455">
        <f t="shared" ca="1" si="152"/>
        <v>19379788689.717335</v>
      </c>
      <c r="M2601" s="471">
        <f t="shared" si="154"/>
        <v>0.05</v>
      </c>
      <c r="N2601" s="475">
        <f t="shared" si="155"/>
        <v>130210</v>
      </c>
    </row>
    <row r="2602" spans="7:14" ht="11.25" customHeight="1" x14ac:dyDescent="0.3">
      <c r="G2602" s="470"/>
      <c r="H2602" s="470">
        <v>2595</v>
      </c>
      <c r="I2602" s="455">
        <f t="shared" ca="1" si="153"/>
        <v>19379788689.717335</v>
      </c>
      <c r="J2602" s="455">
        <f t="array" ref="J2602">IFERROR(INDEX('Retirement Calculator'!J:J,MATCH('Isaac 401k'!N2602,'Retirement Calculator'!A:A,0),0),0)</f>
        <v>0</v>
      </c>
      <c r="K2602" s="455">
        <f t="shared" ca="1" si="151"/>
        <v>80749119.540488899</v>
      </c>
      <c r="L2602" s="455">
        <f t="shared" ca="1" si="152"/>
        <v>19460537809.257824</v>
      </c>
      <c r="M2602" s="471">
        <f t="shared" si="154"/>
        <v>0.05</v>
      </c>
      <c r="N2602" s="475">
        <f t="shared" si="155"/>
        <v>130241</v>
      </c>
    </row>
    <row r="2603" spans="7:14" ht="11.25" customHeight="1" x14ac:dyDescent="0.3">
      <c r="G2603" s="470"/>
      <c r="H2603" s="470">
        <v>2596</v>
      </c>
      <c r="I2603" s="455">
        <f t="shared" ca="1" si="153"/>
        <v>19460537809.257824</v>
      </c>
      <c r="J2603" s="455">
        <f t="array" ref="J2603">IFERROR(INDEX('Retirement Calculator'!J:J,MATCH('Isaac 401k'!N2603,'Retirement Calculator'!A:A,0),0),0)</f>
        <v>0</v>
      </c>
      <c r="K2603" s="455">
        <f t="shared" ca="1" si="151"/>
        <v>81085574.205240935</v>
      </c>
      <c r="L2603" s="455">
        <f t="shared" ca="1" si="152"/>
        <v>19541623383.463066</v>
      </c>
      <c r="M2603" s="471">
        <f t="shared" si="154"/>
        <v>0.05</v>
      </c>
      <c r="N2603" s="475">
        <f t="shared" si="155"/>
        <v>130272</v>
      </c>
    </row>
    <row r="2604" spans="7:14" ht="11.25" customHeight="1" x14ac:dyDescent="0.3">
      <c r="G2604" s="470"/>
      <c r="H2604" s="470">
        <v>2597</v>
      </c>
      <c r="I2604" s="455">
        <f t="shared" ca="1" si="153"/>
        <v>19541623383.463066</v>
      </c>
      <c r="J2604" s="455">
        <f t="array" ref="J2604">IFERROR(INDEX('Retirement Calculator'!J:J,MATCH('Isaac 401k'!N2604,'Retirement Calculator'!A:A,0),0),0)</f>
        <v>0</v>
      </c>
      <c r="K2604" s="455">
        <f t="shared" ca="1" si="151"/>
        <v>81423430.764429435</v>
      </c>
      <c r="L2604" s="455">
        <f t="shared" ca="1" si="152"/>
        <v>19623046814.227497</v>
      </c>
      <c r="M2604" s="471">
        <f t="shared" si="154"/>
        <v>0.05</v>
      </c>
      <c r="N2604" s="475">
        <f t="shared" si="155"/>
        <v>130302</v>
      </c>
    </row>
    <row r="2605" spans="7:14" ht="11.25" customHeight="1" x14ac:dyDescent="0.3">
      <c r="G2605" s="470"/>
      <c r="H2605" s="470">
        <v>2598</v>
      </c>
      <c r="I2605" s="455">
        <f t="shared" ca="1" si="153"/>
        <v>19623046814.227497</v>
      </c>
      <c r="J2605" s="455">
        <f t="array" ref="J2605">IFERROR(INDEX('Retirement Calculator'!J:J,MATCH('Isaac 401k'!N2605,'Retirement Calculator'!A:A,0),0),0)</f>
        <v>0</v>
      </c>
      <c r="K2605" s="455">
        <f t="shared" ca="1" si="151"/>
        <v>81762695.05928123</v>
      </c>
      <c r="L2605" s="455">
        <f t="shared" ca="1" si="152"/>
        <v>19704809509.286777</v>
      </c>
      <c r="M2605" s="471">
        <f t="shared" si="154"/>
        <v>0.05</v>
      </c>
      <c r="N2605" s="475">
        <f t="shared" si="155"/>
        <v>130333</v>
      </c>
    </row>
    <row r="2606" spans="7:14" ht="11.25" customHeight="1" x14ac:dyDescent="0.3">
      <c r="G2606" s="470"/>
      <c r="H2606" s="470">
        <v>2599</v>
      </c>
      <c r="I2606" s="455">
        <f t="shared" ca="1" si="153"/>
        <v>19704809509.286777</v>
      </c>
      <c r="J2606" s="455">
        <f t="array" ref="J2606">IFERROR(INDEX('Retirement Calculator'!J:J,MATCH('Isaac 401k'!N2606,'Retirement Calculator'!A:A,0),0),0)</f>
        <v>0</v>
      </c>
      <c r="K2606" s="455">
        <f t="shared" ca="1" si="151"/>
        <v>82103372.955361575</v>
      </c>
      <c r="L2606" s="455">
        <f t="shared" ca="1" si="152"/>
        <v>19786912882.242138</v>
      </c>
      <c r="M2606" s="471">
        <f t="shared" si="154"/>
        <v>0.05</v>
      </c>
      <c r="N2606" s="475">
        <f t="shared" si="155"/>
        <v>130363</v>
      </c>
    </row>
    <row r="2607" spans="7:14" ht="11.25" customHeight="1" x14ac:dyDescent="0.3">
      <c r="G2607" s="470"/>
      <c r="H2607" s="470">
        <v>2600</v>
      </c>
      <c r="I2607" s="455">
        <f t="shared" ca="1" si="153"/>
        <v>19786912882.242138</v>
      </c>
      <c r="J2607" s="455">
        <f t="array" ref="J2607">IFERROR(INDEX('Retirement Calculator'!J:J,MATCH('Isaac 401k'!N2607,'Retirement Calculator'!A:A,0),0),0)</f>
        <v>0</v>
      </c>
      <c r="K2607" s="455">
        <f t="shared" ca="1" si="151"/>
        <v>82445470.342675567</v>
      </c>
      <c r="L2607" s="455">
        <f t="shared" ca="1" si="152"/>
        <v>19869358352.584812</v>
      </c>
      <c r="M2607" s="471">
        <f t="shared" si="154"/>
        <v>0.05</v>
      </c>
      <c r="N2607" s="475">
        <f t="shared" si="155"/>
        <v>130394</v>
      </c>
    </row>
    <row r="2608" spans="7:14" ht="11.25" customHeight="1" x14ac:dyDescent="0.3">
      <c r="G2608" s="470"/>
      <c r="H2608" s="470">
        <v>2601</v>
      </c>
      <c r="I2608" s="455">
        <f t="shared" ca="1" si="153"/>
        <v>19869358352.584812</v>
      </c>
      <c r="J2608" s="455">
        <f t="array" ref="J2608">IFERROR(INDEX('Retirement Calculator'!J:J,MATCH('Isaac 401k'!N2608,'Retirement Calculator'!A:A,0),0),0)</f>
        <v>0</v>
      </c>
      <c r="K2608" s="455">
        <f t="shared" ca="1" si="151"/>
        <v>82788993.135770053</v>
      </c>
      <c r="L2608" s="455">
        <f t="shared" ca="1" si="152"/>
        <v>19952147345.720581</v>
      </c>
      <c r="M2608" s="471">
        <f t="shared" si="154"/>
        <v>0.05</v>
      </c>
      <c r="N2608" s="475">
        <f t="shared" si="155"/>
        <v>130425</v>
      </c>
    </row>
    <row r="2609" spans="7:14" ht="11.25" customHeight="1" x14ac:dyDescent="0.3">
      <c r="G2609" s="470"/>
      <c r="H2609" s="470">
        <v>2602</v>
      </c>
      <c r="I2609" s="455">
        <f t="shared" ca="1" si="153"/>
        <v>19952147345.720581</v>
      </c>
      <c r="J2609" s="455">
        <f t="array" ref="J2609">IFERROR(INDEX('Retirement Calculator'!J:J,MATCH('Isaac 401k'!N2609,'Retirement Calculator'!A:A,0),0),0)</f>
        <v>0</v>
      </c>
      <c r="K2609" s="455">
        <f t="shared" ca="1" si="151"/>
        <v>83133947.273835748</v>
      </c>
      <c r="L2609" s="455">
        <f t="shared" ca="1" si="152"/>
        <v>20035281292.994415</v>
      </c>
      <c r="M2609" s="471">
        <f t="shared" si="154"/>
        <v>0.05</v>
      </c>
      <c r="N2609" s="475">
        <f t="shared" si="155"/>
        <v>130453</v>
      </c>
    </row>
    <row r="2610" spans="7:14" ht="11.25" customHeight="1" x14ac:dyDescent="0.3">
      <c r="G2610" s="470"/>
      <c r="H2610" s="470">
        <v>2603</v>
      </c>
      <c r="I2610" s="455">
        <f t="shared" ca="1" si="153"/>
        <v>20035281292.994415</v>
      </c>
      <c r="J2610" s="455">
        <f t="array" ref="J2610">IFERROR(INDEX('Retirement Calculator'!J:J,MATCH('Isaac 401k'!N2610,'Retirement Calculator'!A:A,0),0),0)</f>
        <v>0</v>
      </c>
      <c r="K2610" s="455">
        <f t="shared" ca="1" si="151"/>
        <v>83480338.720810056</v>
      </c>
      <c r="L2610" s="455">
        <f t="shared" ca="1" si="152"/>
        <v>20118761631.715225</v>
      </c>
      <c r="M2610" s="471">
        <f t="shared" si="154"/>
        <v>0.05</v>
      </c>
      <c r="N2610" s="475">
        <f t="shared" si="155"/>
        <v>130484</v>
      </c>
    </row>
    <row r="2611" spans="7:14" ht="11.25" customHeight="1" x14ac:dyDescent="0.3">
      <c r="G2611" s="470"/>
      <c r="H2611" s="470">
        <v>2604</v>
      </c>
      <c r="I2611" s="455">
        <f t="shared" ca="1" si="153"/>
        <v>20118761631.715225</v>
      </c>
      <c r="J2611" s="455">
        <f t="array" ref="J2611">IFERROR(INDEX('Retirement Calculator'!J:J,MATCH('Isaac 401k'!N2611,'Retirement Calculator'!A:A,0),0),0)</f>
        <v>0</v>
      </c>
      <c r="K2611" s="455">
        <f t="shared" ca="1" si="151"/>
        <v>83828173.465480104</v>
      </c>
      <c r="L2611" s="455">
        <f t="shared" ca="1" si="152"/>
        <v>20202589805.180706</v>
      </c>
      <c r="M2611" s="471">
        <f t="shared" si="154"/>
        <v>0.05</v>
      </c>
      <c r="N2611" s="475">
        <f t="shared" si="155"/>
        <v>130514</v>
      </c>
    </row>
    <row r="2612" spans="7:14" ht="11.25" customHeight="1" x14ac:dyDescent="0.3">
      <c r="G2612" s="470"/>
      <c r="H2612" s="470">
        <v>2605</v>
      </c>
      <c r="I2612" s="455">
        <f t="shared" ca="1" si="153"/>
        <v>20202589805.180706</v>
      </c>
      <c r="J2612" s="455">
        <f t="array" ref="J2612">IFERROR(INDEX('Retirement Calculator'!J:J,MATCH('Isaac 401k'!N2612,'Retirement Calculator'!A:A,0),0),0)</f>
        <v>0</v>
      </c>
      <c r="K2612" s="455">
        <f t="shared" ca="1" si="151"/>
        <v>84177457.521586269</v>
      </c>
      <c r="L2612" s="455">
        <f t="shared" ca="1" si="152"/>
        <v>20286767262.702293</v>
      </c>
      <c r="M2612" s="471">
        <f t="shared" si="154"/>
        <v>0.05</v>
      </c>
      <c r="N2612" s="475">
        <f t="shared" si="155"/>
        <v>130545</v>
      </c>
    </row>
    <row r="2613" spans="7:14" ht="11.25" customHeight="1" x14ac:dyDescent="0.3">
      <c r="G2613" s="470"/>
      <c r="H2613" s="470">
        <v>2606</v>
      </c>
      <c r="I2613" s="455">
        <f t="shared" ca="1" si="153"/>
        <v>20286767262.702293</v>
      </c>
      <c r="J2613" s="455">
        <f t="array" ref="J2613">IFERROR(INDEX('Retirement Calculator'!J:J,MATCH('Isaac 401k'!N2613,'Retirement Calculator'!A:A,0),0),0)</f>
        <v>0</v>
      </c>
      <c r="K2613" s="455">
        <f t="shared" ca="1" si="151"/>
        <v>84528196.927926227</v>
      </c>
      <c r="L2613" s="455">
        <f t="shared" ca="1" si="152"/>
        <v>20371295459.630219</v>
      </c>
      <c r="M2613" s="471">
        <f t="shared" si="154"/>
        <v>0.05</v>
      </c>
      <c r="N2613" s="475">
        <f t="shared" si="155"/>
        <v>130575</v>
      </c>
    </row>
    <row r="2614" spans="7:14" ht="11.25" customHeight="1" x14ac:dyDescent="0.3">
      <c r="G2614" s="470"/>
      <c r="H2614" s="470">
        <v>2607</v>
      </c>
      <c r="I2614" s="455">
        <f t="shared" ca="1" si="153"/>
        <v>20371295459.630219</v>
      </c>
      <c r="J2614" s="455">
        <f t="array" ref="J2614">IFERROR(INDEX('Retirement Calculator'!J:J,MATCH('Isaac 401k'!N2614,'Retirement Calculator'!A:A,0),0),0)</f>
        <v>0</v>
      </c>
      <c r="K2614" s="455">
        <f t="shared" ca="1" si="151"/>
        <v>84880397.74845925</v>
      </c>
      <c r="L2614" s="455">
        <f t="shared" ca="1" si="152"/>
        <v>20456175857.378677</v>
      </c>
      <c r="M2614" s="471">
        <f t="shared" si="154"/>
        <v>0.05</v>
      </c>
      <c r="N2614" s="475">
        <f t="shared" si="155"/>
        <v>130606</v>
      </c>
    </row>
    <row r="2615" spans="7:14" ht="11.25" customHeight="1" x14ac:dyDescent="0.3">
      <c r="G2615" s="470"/>
      <c r="H2615" s="470">
        <v>2608</v>
      </c>
      <c r="I2615" s="455">
        <f t="shared" ca="1" si="153"/>
        <v>20456175857.378677</v>
      </c>
      <c r="J2615" s="455">
        <f t="array" ref="J2615">IFERROR(INDEX('Retirement Calculator'!J:J,MATCH('Isaac 401k'!N2615,'Retirement Calculator'!A:A,0),0),0)</f>
        <v>0</v>
      </c>
      <c r="K2615" s="455">
        <f t="shared" ca="1" si="151"/>
        <v>85234066.07241115</v>
      </c>
      <c r="L2615" s="455">
        <f t="shared" ca="1" si="152"/>
        <v>20541409923.451088</v>
      </c>
      <c r="M2615" s="471">
        <f t="shared" si="154"/>
        <v>0.05</v>
      </c>
      <c r="N2615" s="475">
        <f t="shared" si="155"/>
        <v>130637</v>
      </c>
    </row>
    <row r="2616" spans="7:14" ht="11.25" customHeight="1" x14ac:dyDescent="0.3">
      <c r="G2616" s="470"/>
      <c r="H2616" s="470">
        <v>2609</v>
      </c>
      <c r="I2616" s="455">
        <f t="shared" ca="1" si="153"/>
        <v>20541409923.451088</v>
      </c>
      <c r="J2616" s="455">
        <f t="array" ref="J2616">IFERROR(INDEX('Retirement Calculator'!J:J,MATCH('Isaac 401k'!N2616,'Retirement Calculator'!A:A,0),0),0)</f>
        <v>0</v>
      </c>
      <c r="K2616" s="455">
        <f t="shared" ca="1" si="151"/>
        <v>85589208.014379531</v>
      </c>
      <c r="L2616" s="455">
        <f t="shared" ca="1" si="152"/>
        <v>20626999131.465469</v>
      </c>
      <c r="M2616" s="471">
        <f t="shared" si="154"/>
        <v>0.05</v>
      </c>
      <c r="N2616" s="475">
        <f t="shared" si="155"/>
        <v>130667</v>
      </c>
    </row>
    <row r="2617" spans="7:14" ht="11.25" customHeight="1" x14ac:dyDescent="0.3">
      <c r="G2617" s="470"/>
      <c r="H2617" s="470">
        <v>2610</v>
      </c>
      <c r="I2617" s="455">
        <f t="shared" ca="1" si="153"/>
        <v>20626999131.465469</v>
      </c>
      <c r="J2617" s="455">
        <f t="array" ref="J2617">IFERROR(INDEX('Retirement Calculator'!J:J,MATCH('Isaac 401k'!N2617,'Retirement Calculator'!A:A,0),0),0)</f>
        <v>0</v>
      </c>
      <c r="K2617" s="455">
        <f t="shared" ca="1" si="151"/>
        <v>85945829.714439452</v>
      </c>
      <c r="L2617" s="455">
        <f t="shared" ca="1" si="152"/>
        <v>20712944961.179909</v>
      </c>
      <c r="M2617" s="471">
        <f t="shared" si="154"/>
        <v>0.05</v>
      </c>
      <c r="N2617" s="475">
        <f t="shared" si="155"/>
        <v>130698</v>
      </c>
    </row>
    <row r="2618" spans="7:14" ht="11.25" customHeight="1" x14ac:dyDescent="0.3">
      <c r="G2618" s="470"/>
      <c r="H2618" s="470">
        <v>2611</v>
      </c>
      <c r="I2618" s="455">
        <f t="shared" ca="1" si="153"/>
        <v>20712944961.179909</v>
      </c>
      <c r="J2618" s="455">
        <f t="array" ref="J2618">IFERROR(INDEX('Retirement Calculator'!J:J,MATCH('Isaac 401k'!N2618,'Retirement Calculator'!A:A,0),0),0)</f>
        <v>0</v>
      </c>
      <c r="K2618" s="455">
        <f t="shared" ca="1" si="151"/>
        <v>86303937.338249624</v>
      </c>
      <c r="L2618" s="455">
        <f t="shared" ca="1" si="152"/>
        <v>20799248898.518158</v>
      </c>
      <c r="M2618" s="471">
        <f t="shared" si="154"/>
        <v>0.05</v>
      </c>
      <c r="N2618" s="475">
        <f t="shared" si="155"/>
        <v>130728</v>
      </c>
    </row>
    <row r="2619" spans="7:14" ht="11.25" customHeight="1" x14ac:dyDescent="0.3">
      <c r="G2619" s="470"/>
      <c r="H2619" s="470">
        <v>2612</v>
      </c>
      <c r="I2619" s="455">
        <f t="shared" ca="1" si="153"/>
        <v>20799248898.518158</v>
      </c>
      <c r="J2619" s="455">
        <f t="array" ref="J2619">IFERROR(INDEX('Retirement Calculator'!J:J,MATCH('Isaac 401k'!N2619,'Retirement Calculator'!A:A,0),0),0)</f>
        <v>0</v>
      </c>
      <c r="K2619" s="455">
        <f t="shared" ca="1" si="151"/>
        <v>86663537.077158988</v>
      </c>
      <c r="L2619" s="455">
        <f t="shared" ca="1" si="152"/>
        <v>20885912435.595318</v>
      </c>
      <c r="M2619" s="471">
        <f t="shared" si="154"/>
        <v>0.05</v>
      </c>
      <c r="N2619" s="475">
        <f t="shared" si="155"/>
        <v>130759</v>
      </c>
    </row>
    <row r="2620" spans="7:14" ht="11.25" customHeight="1" x14ac:dyDescent="0.3">
      <c r="G2620" s="470"/>
      <c r="H2620" s="470">
        <v>2613</v>
      </c>
      <c r="I2620" s="455">
        <f t="shared" ca="1" si="153"/>
        <v>20885912435.595318</v>
      </c>
      <c r="J2620" s="455">
        <f t="array" ref="J2620">IFERROR(INDEX('Retirement Calculator'!J:J,MATCH('Isaac 401k'!N2620,'Retirement Calculator'!A:A,0),0),0)</f>
        <v>0</v>
      </c>
      <c r="K2620" s="455">
        <f t="shared" ca="1" si="151"/>
        <v>87024635.14831382</v>
      </c>
      <c r="L2620" s="455">
        <f t="shared" ca="1" si="152"/>
        <v>20972937070.743633</v>
      </c>
      <c r="M2620" s="471">
        <f t="shared" si="154"/>
        <v>0.05</v>
      </c>
      <c r="N2620" s="475">
        <f t="shared" si="155"/>
        <v>130790</v>
      </c>
    </row>
    <row r="2621" spans="7:14" ht="11.25" customHeight="1" x14ac:dyDescent="0.3">
      <c r="G2621" s="470"/>
      <c r="H2621" s="470">
        <v>2614</v>
      </c>
      <c r="I2621" s="455">
        <f t="shared" ca="1" si="153"/>
        <v>20972937070.743633</v>
      </c>
      <c r="J2621" s="455">
        <f t="array" ref="J2621">IFERROR(INDEX('Retirement Calculator'!J:J,MATCH('Isaac 401k'!N2621,'Retirement Calculator'!A:A,0),0),0)</f>
        <v>0</v>
      </c>
      <c r="K2621" s="455">
        <f t="shared" ca="1" si="151"/>
        <v>87387237.794765145</v>
      </c>
      <c r="L2621" s="455">
        <f t="shared" ca="1" si="152"/>
        <v>21060324308.538399</v>
      </c>
      <c r="M2621" s="471">
        <f t="shared" si="154"/>
        <v>0.05</v>
      </c>
      <c r="N2621" s="475">
        <f t="shared" si="155"/>
        <v>130818</v>
      </c>
    </row>
    <row r="2622" spans="7:14" ht="11.25" customHeight="1" x14ac:dyDescent="0.3">
      <c r="G2622" s="470"/>
      <c r="H2622" s="470">
        <v>2615</v>
      </c>
      <c r="I2622" s="455">
        <f t="shared" ca="1" si="153"/>
        <v>21060324308.538399</v>
      </c>
      <c r="J2622" s="455">
        <f t="array" ref="J2622">IFERROR(INDEX('Retirement Calculator'!J:J,MATCH('Isaac 401k'!N2622,'Retirement Calculator'!A:A,0),0),0)</f>
        <v>0</v>
      </c>
      <c r="K2622" s="455">
        <f t="shared" ca="1" si="151"/>
        <v>87751351.285576656</v>
      </c>
      <c r="L2622" s="455">
        <f t="shared" ca="1" si="152"/>
        <v>21148075659.823975</v>
      </c>
      <c r="M2622" s="471">
        <f t="shared" si="154"/>
        <v>0.05</v>
      </c>
      <c r="N2622" s="475">
        <f t="shared" si="155"/>
        <v>130849</v>
      </c>
    </row>
    <row r="2623" spans="7:14" ht="11.25" customHeight="1" x14ac:dyDescent="0.3">
      <c r="G2623" s="470"/>
      <c r="H2623" s="470">
        <v>2616</v>
      </c>
      <c r="I2623" s="455">
        <f t="shared" ca="1" si="153"/>
        <v>21148075659.823975</v>
      </c>
      <c r="J2623" s="455">
        <f t="array" ref="J2623">IFERROR(INDEX('Retirement Calculator'!J:J,MATCH('Isaac 401k'!N2623,'Retirement Calculator'!A:A,0),0),0)</f>
        <v>0</v>
      </c>
      <c r="K2623" s="455">
        <f t="shared" ca="1" si="151"/>
        <v>88116981.915933222</v>
      </c>
      <c r="L2623" s="455">
        <f t="shared" ca="1" si="152"/>
        <v>21236192641.739906</v>
      </c>
      <c r="M2623" s="471">
        <f t="shared" si="154"/>
        <v>0.05</v>
      </c>
      <c r="N2623" s="475">
        <f t="shared" si="155"/>
        <v>130879</v>
      </c>
    </row>
    <row r="2624" spans="7:14" ht="11.25" customHeight="1" x14ac:dyDescent="0.3">
      <c r="G2624" s="470"/>
      <c r="H2624" s="470">
        <v>2617</v>
      </c>
      <c r="I2624" s="455">
        <f t="shared" ca="1" si="153"/>
        <v>21236192641.739906</v>
      </c>
      <c r="J2624" s="455">
        <f t="array" ref="J2624">IFERROR(INDEX('Retirement Calculator'!J:J,MATCH('Isaac 401k'!N2624,'Retirement Calculator'!A:A,0),0),0)</f>
        <v>0</v>
      </c>
      <c r="K2624" s="455">
        <f t="shared" ca="1" si="151"/>
        <v>88484136.007249609</v>
      </c>
      <c r="L2624" s="455">
        <f t="shared" ca="1" si="152"/>
        <v>21324676777.747154</v>
      </c>
      <c r="M2624" s="471">
        <f t="shared" si="154"/>
        <v>0.05</v>
      </c>
      <c r="N2624" s="475">
        <f t="shared" si="155"/>
        <v>130910</v>
      </c>
    </row>
    <row r="2625" spans="7:14" ht="11.25" customHeight="1" x14ac:dyDescent="0.3">
      <c r="G2625" s="470"/>
      <c r="H2625" s="470">
        <v>2618</v>
      </c>
      <c r="I2625" s="455">
        <f t="shared" ca="1" si="153"/>
        <v>21324676777.747154</v>
      </c>
      <c r="J2625" s="455">
        <f t="array" ref="J2625">IFERROR(INDEX('Retirement Calculator'!J:J,MATCH('Isaac 401k'!N2625,'Retirement Calculator'!A:A,0),0),0)</f>
        <v>0</v>
      </c>
      <c r="K2625" s="455">
        <f t="shared" ca="1" si="151"/>
        <v>88852819.907279804</v>
      </c>
      <c r="L2625" s="455">
        <f t="shared" ca="1" si="152"/>
        <v>21413529597.654434</v>
      </c>
      <c r="M2625" s="471">
        <f t="shared" si="154"/>
        <v>0.05</v>
      </c>
      <c r="N2625" s="475">
        <f t="shared" si="155"/>
        <v>130940</v>
      </c>
    </row>
    <row r="2626" spans="7:14" ht="11.25" customHeight="1" x14ac:dyDescent="0.3">
      <c r="G2626" s="470"/>
      <c r="H2626" s="470">
        <v>2619</v>
      </c>
      <c r="I2626" s="455">
        <f t="shared" ca="1" si="153"/>
        <v>21413529597.654434</v>
      </c>
      <c r="J2626" s="455">
        <f t="array" ref="J2626">IFERROR(INDEX('Retirement Calculator'!J:J,MATCH('Isaac 401k'!N2626,'Retirement Calculator'!A:A,0),0),0)</f>
        <v>0</v>
      </c>
      <c r="K2626" s="455">
        <f t="shared" ca="1" si="151"/>
        <v>89223039.990226805</v>
      </c>
      <c r="L2626" s="455">
        <f t="shared" ca="1" si="152"/>
        <v>21502752637.644661</v>
      </c>
      <c r="M2626" s="471">
        <f t="shared" si="154"/>
        <v>0.05</v>
      </c>
      <c r="N2626" s="475">
        <f t="shared" si="155"/>
        <v>130971</v>
      </c>
    </row>
    <row r="2627" spans="7:14" ht="11.25" customHeight="1" x14ac:dyDescent="0.3">
      <c r="G2627" s="470"/>
      <c r="H2627" s="470">
        <v>2620</v>
      </c>
      <c r="I2627" s="455">
        <f t="shared" ca="1" si="153"/>
        <v>21502752637.644661</v>
      </c>
      <c r="J2627" s="455">
        <f t="array" ref="J2627">IFERROR(INDEX('Retirement Calculator'!J:J,MATCH('Isaac 401k'!N2627,'Retirement Calculator'!A:A,0),0),0)</f>
        <v>0</v>
      </c>
      <c r="K2627" s="455">
        <f t="shared" ca="1" si="151"/>
        <v>89594802.656852752</v>
      </c>
      <c r="L2627" s="455">
        <f t="shared" ca="1" si="152"/>
        <v>21592347440.301514</v>
      </c>
      <c r="M2627" s="471">
        <f t="shared" si="154"/>
        <v>0.05</v>
      </c>
      <c r="N2627" s="475">
        <f t="shared" si="155"/>
        <v>131002</v>
      </c>
    </row>
    <row r="2628" spans="7:14" ht="11.25" customHeight="1" x14ac:dyDescent="0.3">
      <c r="G2628" s="470"/>
      <c r="H2628" s="470">
        <v>2621</v>
      </c>
      <c r="I2628" s="455">
        <f t="shared" ca="1" si="153"/>
        <v>21592347440.301514</v>
      </c>
      <c r="J2628" s="455">
        <f t="array" ref="J2628">IFERROR(INDEX('Retirement Calculator'!J:J,MATCH('Isaac 401k'!N2628,'Retirement Calculator'!A:A,0),0),0)</f>
        <v>0</v>
      </c>
      <c r="K2628" s="455">
        <f t="shared" ca="1" si="151"/>
        <v>89968114.334589645</v>
      </c>
      <c r="L2628" s="455">
        <f t="shared" ca="1" si="152"/>
        <v>21682315554.636105</v>
      </c>
      <c r="M2628" s="471">
        <f t="shared" si="154"/>
        <v>0.05</v>
      </c>
      <c r="N2628" s="475">
        <f t="shared" si="155"/>
        <v>131032</v>
      </c>
    </row>
    <row r="2629" spans="7:14" ht="11.25" customHeight="1" x14ac:dyDescent="0.3">
      <c r="G2629" s="470"/>
      <c r="H2629" s="470">
        <v>2622</v>
      </c>
      <c r="I2629" s="455">
        <f t="shared" ca="1" si="153"/>
        <v>21682315554.636105</v>
      </c>
      <c r="J2629" s="455">
        <f t="array" ref="J2629">IFERROR(INDEX('Retirement Calculator'!J:J,MATCH('Isaac 401k'!N2629,'Retirement Calculator'!A:A,0),0),0)</f>
        <v>0</v>
      </c>
      <c r="K2629" s="455">
        <f t="shared" ca="1" si="151"/>
        <v>90342981.477650434</v>
      </c>
      <c r="L2629" s="455">
        <f t="shared" ca="1" si="152"/>
        <v>21772658536.113754</v>
      </c>
      <c r="M2629" s="471">
        <f t="shared" si="154"/>
        <v>0.05</v>
      </c>
      <c r="N2629" s="475">
        <f t="shared" si="155"/>
        <v>131063</v>
      </c>
    </row>
    <row r="2630" spans="7:14" ht="11.25" customHeight="1" x14ac:dyDescent="0.3">
      <c r="G2630" s="470"/>
      <c r="H2630" s="470">
        <v>2623</v>
      </c>
      <c r="I2630" s="455">
        <f t="shared" ca="1" si="153"/>
        <v>21772658536.113754</v>
      </c>
      <c r="J2630" s="455">
        <f t="array" ref="J2630">IFERROR(INDEX('Retirement Calculator'!J:J,MATCH('Isaac 401k'!N2630,'Retirement Calculator'!A:A,0),0),0)</f>
        <v>0</v>
      </c>
      <c r="K2630" s="455">
        <f t="shared" ca="1" si="151"/>
        <v>90719410.567140639</v>
      </c>
      <c r="L2630" s="455">
        <f t="shared" ca="1" si="152"/>
        <v>21863377946.680897</v>
      </c>
      <c r="M2630" s="471">
        <f t="shared" si="154"/>
        <v>0.05</v>
      </c>
      <c r="N2630" s="475">
        <f t="shared" si="155"/>
        <v>131093</v>
      </c>
    </row>
    <row r="2631" spans="7:14" ht="11.25" customHeight="1" x14ac:dyDescent="0.3">
      <c r="G2631" s="470"/>
      <c r="H2631" s="470">
        <v>2624</v>
      </c>
      <c r="I2631" s="455">
        <f t="shared" ca="1" si="153"/>
        <v>21863377946.680897</v>
      </c>
      <c r="J2631" s="455">
        <f t="array" ref="J2631">IFERROR(INDEX('Retirement Calculator'!J:J,MATCH('Isaac 401k'!N2631,'Retirement Calculator'!A:A,0),0),0)</f>
        <v>0</v>
      </c>
      <c r="K2631" s="455">
        <f t="shared" ca="1" si="151"/>
        <v>91097408.111170396</v>
      </c>
      <c r="L2631" s="455">
        <f t="shared" ca="1" si="152"/>
        <v>21954475354.792068</v>
      </c>
      <c r="M2631" s="471">
        <f t="shared" si="154"/>
        <v>0.05</v>
      </c>
      <c r="N2631" s="475">
        <f t="shared" si="155"/>
        <v>131124</v>
      </c>
    </row>
    <row r="2632" spans="7:14" ht="11.25" customHeight="1" x14ac:dyDescent="0.3">
      <c r="G2632" s="470"/>
      <c r="H2632" s="470">
        <v>2625</v>
      </c>
      <c r="I2632" s="455">
        <f t="shared" ca="1" si="153"/>
        <v>21954475354.792068</v>
      </c>
      <c r="J2632" s="455">
        <f t="array" ref="J2632">IFERROR(INDEX('Retirement Calculator'!J:J,MATCH('Isaac 401k'!N2632,'Retirement Calculator'!A:A,0),0),0)</f>
        <v>0</v>
      </c>
      <c r="K2632" s="455">
        <f t="shared" ca="1" si="151"/>
        <v>91476980.644966945</v>
      </c>
      <c r="L2632" s="455">
        <f t="shared" ca="1" si="152"/>
        <v>22045952335.437035</v>
      </c>
      <c r="M2632" s="471">
        <f t="shared" si="154"/>
        <v>0.05</v>
      </c>
      <c r="N2632" s="475">
        <f t="shared" si="155"/>
        <v>131155</v>
      </c>
    </row>
    <row r="2633" spans="7:14" ht="11.25" customHeight="1" x14ac:dyDescent="0.3">
      <c r="G2633" s="470"/>
      <c r="H2633" s="470">
        <v>2626</v>
      </c>
      <c r="I2633" s="455">
        <f t="shared" ca="1" si="153"/>
        <v>22045952335.437035</v>
      </c>
      <c r="J2633" s="455">
        <f t="array" ref="J2633">IFERROR(INDEX('Retirement Calculator'!J:J,MATCH('Isaac 401k'!N2633,'Retirement Calculator'!A:A,0),0),0)</f>
        <v>0</v>
      </c>
      <c r="K2633" s="455">
        <f t="shared" ca="1" si="151"/>
        <v>91858134.730987638</v>
      </c>
      <c r="L2633" s="455">
        <f t="shared" ca="1" si="152"/>
        <v>22137810470.168022</v>
      </c>
      <c r="M2633" s="471">
        <f t="shared" si="154"/>
        <v>0.05</v>
      </c>
      <c r="N2633" s="475">
        <f t="shared" si="155"/>
        <v>131183</v>
      </c>
    </row>
    <row r="2634" spans="7:14" ht="11.25" customHeight="1" x14ac:dyDescent="0.3">
      <c r="G2634" s="470"/>
      <c r="H2634" s="470">
        <v>2627</v>
      </c>
      <c r="I2634" s="455">
        <f t="shared" ca="1" si="153"/>
        <v>22137810470.168022</v>
      </c>
      <c r="J2634" s="455">
        <f t="array" ref="J2634">IFERROR(INDEX('Retirement Calculator'!J:J,MATCH('Isaac 401k'!N2634,'Retirement Calculator'!A:A,0),0),0)</f>
        <v>0</v>
      </c>
      <c r="K2634" s="455">
        <f t="shared" ca="1" si="151"/>
        <v>92240876.95903343</v>
      </c>
      <c r="L2634" s="455">
        <f t="shared" ca="1" si="152"/>
        <v>22230051347.127056</v>
      </c>
      <c r="M2634" s="471">
        <f t="shared" si="154"/>
        <v>0.05</v>
      </c>
      <c r="N2634" s="475">
        <f t="shared" si="155"/>
        <v>131214</v>
      </c>
    </row>
    <row r="2635" spans="7:14" ht="11.25" customHeight="1" x14ac:dyDescent="0.3">
      <c r="G2635" s="470"/>
      <c r="H2635" s="470">
        <v>2628</v>
      </c>
      <c r="I2635" s="455">
        <f t="shared" ca="1" si="153"/>
        <v>22230051347.127056</v>
      </c>
      <c r="J2635" s="455">
        <f t="array" ref="J2635">IFERROR(INDEX('Retirement Calculator'!J:J,MATCH('Isaac 401k'!N2635,'Retirement Calculator'!A:A,0),0),0)</f>
        <v>0</v>
      </c>
      <c r="K2635" s="455">
        <f t="shared" ca="1" si="151"/>
        <v>92625213.946362734</v>
      </c>
      <c r="L2635" s="455">
        <f t="shared" ca="1" si="152"/>
        <v>22322676561.073418</v>
      </c>
      <c r="M2635" s="471">
        <f t="shared" si="154"/>
        <v>0.05</v>
      </c>
      <c r="N2635" s="475">
        <f t="shared" si="155"/>
        <v>131244</v>
      </c>
    </row>
    <row r="2636" spans="7:14" ht="11.25" customHeight="1" x14ac:dyDescent="0.3">
      <c r="G2636" s="470"/>
      <c r="H2636" s="470">
        <v>2629</v>
      </c>
      <c r="I2636" s="455">
        <f t="shared" ca="1" si="153"/>
        <v>22322676561.073418</v>
      </c>
      <c r="J2636" s="455">
        <f t="array" ref="J2636">IFERROR(INDEX('Retirement Calculator'!J:J,MATCH('Isaac 401k'!N2636,'Retirement Calculator'!A:A,0),0),0)</f>
        <v>0</v>
      </c>
      <c r="K2636" s="455">
        <f t="shared" ca="1" si="151"/>
        <v>93011152.337805912</v>
      </c>
      <c r="L2636" s="455">
        <f t="shared" ca="1" si="152"/>
        <v>22415687713.411224</v>
      </c>
      <c r="M2636" s="471">
        <f t="shared" si="154"/>
        <v>0.05</v>
      </c>
      <c r="N2636" s="475">
        <f t="shared" si="155"/>
        <v>131275</v>
      </c>
    </row>
    <row r="2637" spans="7:14" ht="11.25" customHeight="1" x14ac:dyDescent="0.3">
      <c r="G2637" s="470"/>
      <c r="H2637" s="470">
        <v>2630</v>
      </c>
      <c r="I2637" s="455">
        <f t="shared" ca="1" si="153"/>
        <v>22415687713.411224</v>
      </c>
      <c r="J2637" s="455">
        <f t="array" ref="J2637">IFERROR(INDEX('Retirement Calculator'!J:J,MATCH('Isaac 401k'!N2637,'Retirement Calculator'!A:A,0),0),0)</f>
        <v>0</v>
      </c>
      <c r="K2637" s="455">
        <f t="shared" ca="1" si="151"/>
        <v>93398698.8058801</v>
      </c>
      <c r="L2637" s="455">
        <f t="shared" ca="1" si="152"/>
        <v>22509086412.217106</v>
      </c>
      <c r="M2637" s="471">
        <f t="shared" si="154"/>
        <v>0.05</v>
      </c>
      <c r="N2637" s="475">
        <f t="shared" si="155"/>
        <v>131305</v>
      </c>
    </row>
    <row r="2638" spans="7:14" ht="11.25" customHeight="1" x14ac:dyDescent="0.3">
      <c r="G2638" s="470"/>
      <c r="H2638" s="470">
        <v>2631</v>
      </c>
      <c r="I2638" s="455">
        <f t="shared" ca="1" si="153"/>
        <v>22509086412.217106</v>
      </c>
      <c r="J2638" s="455">
        <f t="array" ref="J2638">IFERROR(INDEX('Retirement Calculator'!J:J,MATCH('Isaac 401k'!N2638,'Retirement Calculator'!A:A,0),0),0)</f>
        <v>0</v>
      </c>
      <c r="K2638" s="455">
        <f t="shared" ca="1" si="151"/>
        <v>93787860.050904602</v>
      </c>
      <c r="L2638" s="455">
        <f t="shared" ca="1" si="152"/>
        <v>22602874272.268009</v>
      </c>
      <c r="M2638" s="471">
        <f t="shared" si="154"/>
        <v>0.05</v>
      </c>
      <c r="N2638" s="475">
        <f t="shared" si="155"/>
        <v>131336</v>
      </c>
    </row>
    <row r="2639" spans="7:14" ht="11.25" customHeight="1" x14ac:dyDescent="0.3">
      <c r="G2639" s="470"/>
      <c r="H2639" s="470">
        <v>2632</v>
      </c>
      <c r="I2639" s="455">
        <f t="shared" ca="1" si="153"/>
        <v>22602874272.268009</v>
      </c>
      <c r="J2639" s="455">
        <f t="array" ref="J2639">IFERROR(INDEX('Retirement Calculator'!J:J,MATCH('Isaac 401k'!N2639,'Retirement Calculator'!A:A,0),0),0)</f>
        <v>0</v>
      </c>
      <c r="K2639" s="455">
        <f t="shared" ca="1" si="151"/>
        <v>94178642.801116705</v>
      </c>
      <c r="L2639" s="455">
        <f t="shared" ca="1" si="152"/>
        <v>22697052915.069126</v>
      </c>
      <c r="M2639" s="471">
        <f t="shared" si="154"/>
        <v>0.05</v>
      </c>
      <c r="N2639" s="475">
        <f t="shared" si="155"/>
        <v>131367</v>
      </c>
    </row>
    <row r="2640" spans="7:14" ht="11.25" customHeight="1" x14ac:dyDescent="0.3">
      <c r="G2640" s="470"/>
      <c r="H2640" s="470">
        <v>2633</v>
      </c>
      <c r="I2640" s="455">
        <f t="shared" ca="1" si="153"/>
        <v>22697052915.069126</v>
      </c>
      <c r="J2640" s="455">
        <f t="array" ref="J2640">IFERROR(INDEX('Retirement Calculator'!J:J,MATCH('Isaac 401k'!N2640,'Retirement Calculator'!A:A,0),0),0)</f>
        <v>0</v>
      </c>
      <c r="K2640" s="455">
        <f t="shared" ca="1" si="151"/>
        <v>94571053.812788025</v>
      </c>
      <c r="L2640" s="455">
        <f t="shared" ca="1" si="152"/>
        <v>22791623968.881916</v>
      </c>
      <c r="M2640" s="471">
        <f t="shared" si="154"/>
        <v>0.05</v>
      </c>
      <c r="N2640" s="475">
        <f t="shared" si="155"/>
        <v>131397</v>
      </c>
    </row>
    <row r="2641" spans="7:14" ht="11.25" customHeight="1" x14ac:dyDescent="0.3">
      <c r="G2641" s="470"/>
      <c r="H2641" s="470">
        <v>2634</v>
      </c>
      <c r="I2641" s="455">
        <f t="shared" ca="1" si="153"/>
        <v>22791623968.881916</v>
      </c>
      <c r="J2641" s="455">
        <f t="array" ref="J2641">IFERROR(INDEX('Retirement Calculator'!J:J,MATCH('Isaac 401k'!N2641,'Retirement Calculator'!A:A,0),0),0)</f>
        <v>0</v>
      </c>
      <c r="K2641" s="455">
        <f t="shared" ca="1" si="151"/>
        <v>94965099.870341316</v>
      </c>
      <c r="L2641" s="455">
        <f t="shared" ca="1" si="152"/>
        <v>22886589068.752258</v>
      </c>
      <c r="M2641" s="471">
        <f t="shared" si="154"/>
        <v>0.05</v>
      </c>
      <c r="N2641" s="475">
        <f t="shared" si="155"/>
        <v>131428</v>
      </c>
    </row>
    <row r="2642" spans="7:14" ht="11.25" customHeight="1" x14ac:dyDescent="0.3">
      <c r="G2642" s="470"/>
      <c r="H2642" s="470">
        <v>2635</v>
      </c>
      <c r="I2642" s="455">
        <f t="shared" ca="1" si="153"/>
        <v>22886589068.752258</v>
      </c>
      <c r="J2642" s="455">
        <f t="array" ref="J2642">IFERROR(INDEX('Retirement Calculator'!J:J,MATCH('Isaac 401k'!N2642,'Retirement Calculator'!A:A,0),0),0)</f>
        <v>0</v>
      </c>
      <c r="K2642" s="455">
        <f t="shared" ca="1" si="151"/>
        <v>95360787.786467746</v>
      </c>
      <c r="L2642" s="455">
        <f t="shared" ca="1" si="152"/>
        <v>22981949856.538727</v>
      </c>
      <c r="M2642" s="471">
        <f t="shared" si="154"/>
        <v>0.05</v>
      </c>
      <c r="N2642" s="475">
        <f t="shared" si="155"/>
        <v>131458</v>
      </c>
    </row>
    <row r="2643" spans="7:14" ht="11.25" customHeight="1" x14ac:dyDescent="0.3">
      <c r="G2643" s="470"/>
      <c r="H2643" s="470">
        <v>2636</v>
      </c>
      <c r="I2643" s="455">
        <f t="shared" ca="1" si="153"/>
        <v>22981949856.538727</v>
      </c>
      <c r="J2643" s="455">
        <f t="array" ref="J2643">IFERROR(INDEX('Retirement Calculator'!J:J,MATCH('Isaac 401k'!N2643,'Retirement Calculator'!A:A,0),0),0)</f>
        <v>0</v>
      </c>
      <c r="K2643" s="455">
        <f t="shared" ca="1" si="151"/>
        <v>95758124.402244687</v>
      </c>
      <c r="L2643" s="455">
        <f t="shared" ca="1" si="152"/>
        <v>23077707980.940971</v>
      </c>
      <c r="M2643" s="471">
        <f t="shared" si="154"/>
        <v>0.05</v>
      </c>
      <c r="N2643" s="475">
        <f t="shared" si="155"/>
        <v>131489</v>
      </c>
    </row>
    <row r="2644" spans="7:14" ht="11.25" customHeight="1" x14ac:dyDescent="0.3">
      <c r="G2644" s="470"/>
      <c r="H2644" s="470">
        <v>2637</v>
      </c>
      <c r="I2644" s="455">
        <f t="shared" ca="1" si="153"/>
        <v>23077707980.940971</v>
      </c>
      <c r="J2644" s="455">
        <f t="array" ref="J2644">IFERROR(INDEX('Retirement Calculator'!J:J,MATCH('Isaac 401k'!N2644,'Retirement Calculator'!A:A,0),0),0)</f>
        <v>0</v>
      </c>
      <c r="K2644" s="455">
        <f t="shared" ca="1" si="151"/>
        <v>96157116.587254047</v>
      </c>
      <c r="L2644" s="455">
        <f t="shared" ca="1" si="152"/>
        <v>23173865097.528225</v>
      </c>
      <c r="M2644" s="471">
        <f t="shared" si="154"/>
        <v>0.05</v>
      </c>
      <c r="N2644" s="475">
        <f t="shared" si="155"/>
        <v>131520</v>
      </c>
    </row>
    <row r="2645" spans="7:14" ht="11.25" customHeight="1" x14ac:dyDescent="0.3">
      <c r="G2645" s="470"/>
      <c r="H2645" s="470">
        <v>2638</v>
      </c>
      <c r="I2645" s="455">
        <f t="shared" ca="1" si="153"/>
        <v>23173865097.528225</v>
      </c>
      <c r="J2645" s="455">
        <f t="array" ref="J2645">IFERROR(INDEX('Retirement Calculator'!J:J,MATCH('Isaac 401k'!N2645,'Retirement Calculator'!A:A,0),0),0)</f>
        <v>0</v>
      </c>
      <c r="K2645" s="455">
        <f t="shared" ca="1" si="151"/>
        <v>96557771.239700943</v>
      </c>
      <c r="L2645" s="455">
        <f t="shared" ca="1" si="152"/>
        <v>23270422868.767925</v>
      </c>
      <c r="M2645" s="471">
        <f t="shared" si="154"/>
        <v>0.05</v>
      </c>
      <c r="N2645" s="475">
        <f t="shared" si="155"/>
        <v>131549</v>
      </c>
    </row>
    <row r="2646" spans="7:14" ht="11.25" customHeight="1" x14ac:dyDescent="0.3">
      <c r="G2646" s="470"/>
      <c r="H2646" s="470">
        <v>2639</v>
      </c>
      <c r="I2646" s="455">
        <f t="shared" ca="1" si="153"/>
        <v>23270422868.767925</v>
      </c>
      <c r="J2646" s="455">
        <f t="array" ref="J2646">IFERROR(INDEX('Retirement Calculator'!J:J,MATCH('Isaac 401k'!N2646,'Retirement Calculator'!A:A,0),0),0)</f>
        <v>0</v>
      </c>
      <c r="K2646" s="455">
        <f t="shared" ca="1" si="151"/>
        <v>96960095.286533028</v>
      </c>
      <c r="L2646" s="455">
        <f t="shared" ca="1" si="152"/>
        <v>23367382964.054459</v>
      </c>
      <c r="M2646" s="471">
        <f t="shared" si="154"/>
        <v>0.05</v>
      </c>
      <c r="N2646" s="475">
        <f t="shared" si="155"/>
        <v>131580</v>
      </c>
    </row>
    <row r="2647" spans="7:14" ht="11.25" customHeight="1" x14ac:dyDescent="0.3">
      <c r="G2647" s="470"/>
      <c r="H2647" s="470">
        <v>2640</v>
      </c>
      <c r="I2647" s="455">
        <f t="shared" ca="1" si="153"/>
        <v>23367382964.054459</v>
      </c>
      <c r="J2647" s="455">
        <f t="array" ref="J2647">IFERROR(INDEX('Retirement Calculator'!J:J,MATCH('Isaac 401k'!N2647,'Retirement Calculator'!A:A,0),0),0)</f>
        <v>0</v>
      </c>
      <c r="K2647" s="455">
        <f t="shared" ca="1" si="151"/>
        <v>97364095.683560237</v>
      </c>
      <c r="L2647" s="455">
        <f t="shared" ca="1" si="152"/>
        <v>23464747059.738018</v>
      </c>
      <c r="M2647" s="471">
        <f t="shared" si="154"/>
        <v>0.05</v>
      </c>
      <c r="N2647" s="475">
        <f t="shared" si="155"/>
        <v>131610</v>
      </c>
    </row>
    <row r="2648" spans="7:14" ht="11.25" customHeight="1" x14ac:dyDescent="0.3">
      <c r="G2648" s="470"/>
      <c r="H2648" s="470">
        <v>2641</v>
      </c>
      <c r="I2648" s="455">
        <f t="shared" ca="1" si="153"/>
        <v>23464747059.738018</v>
      </c>
      <c r="J2648" s="455">
        <f t="array" ref="J2648">IFERROR(INDEX('Retirement Calculator'!J:J,MATCH('Isaac 401k'!N2648,'Retirement Calculator'!A:A,0),0),0)</f>
        <v>0</v>
      </c>
      <c r="K2648" s="455">
        <f t="shared" ca="1" si="151"/>
        <v>97769779.415575072</v>
      </c>
      <c r="L2648" s="455">
        <f t="shared" ca="1" si="152"/>
        <v>23562516839.153595</v>
      </c>
      <c r="M2648" s="471">
        <f t="shared" si="154"/>
        <v>0.05</v>
      </c>
      <c r="N2648" s="475">
        <f t="shared" si="155"/>
        <v>131641</v>
      </c>
    </row>
    <row r="2649" spans="7:14" ht="11.25" customHeight="1" x14ac:dyDescent="0.3">
      <c r="G2649" s="470"/>
      <c r="H2649" s="470">
        <v>2642</v>
      </c>
      <c r="I2649" s="455">
        <f t="shared" ca="1" si="153"/>
        <v>23562516839.153595</v>
      </c>
      <c r="J2649" s="455">
        <f t="array" ref="J2649">IFERROR(INDEX('Retirement Calculator'!J:J,MATCH('Isaac 401k'!N2649,'Retirement Calculator'!A:A,0),0),0)</f>
        <v>0</v>
      </c>
      <c r="K2649" s="455">
        <f t="shared" ca="1" si="151"/>
        <v>98177153.496473312</v>
      </c>
      <c r="L2649" s="455">
        <f t="shared" ca="1" si="152"/>
        <v>23660693992.65007</v>
      </c>
      <c r="M2649" s="471">
        <f t="shared" si="154"/>
        <v>0.05</v>
      </c>
      <c r="N2649" s="475">
        <f t="shared" si="155"/>
        <v>131671</v>
      </c>
    </row>
    <row r="2650" spans="7:14" ht="11.25" customHeight="1" x14ac:dyDescent="0.3">
      <c r="G2650" s="470"/>
      <c r="H2650" s="470">
        <v>2643</v>
      </c>
      <c r="I2650" s="455">
        <f t="shared" ca="1" si="153"/>
        <v>23660693992.65007</v>
      </c>
      <c r="J2650" s="455">
        <f t="array" ref="J2650">IFERROR(INDEX('Retirement Calculator'!J:J,MATCH('Isaac 401k'!N2650,'Retirement Calculator'!A:A,0),0),0)</f>
        <v>0</v>
      </c>
      <c r="K2650" s="455">
        <f t="shared" ca="1" si="151"/>
        <v>98586224.969375297</v>
      </c>
      <c r="L2650" s="455">
        <f t="shared" ca="1" si="152"/>
        <v>23759280217.619446</v>
      </c>
      <c r="M2650" s="471">
        <f t="shared" si="154"/>
        <v>0.05</v>
      </c>
      <c r="N2650" s="475">
        <f t="shared" si="155"/>
        <v>131702</v>
      </c>
    </row>
    <row r="2651" spans="7:14" ht="11.25" customHeight="1" x14ac:dyDescent="0.3">
      <c r="G2651" s="470"/>
      <c r="H2651" s="470">
        <v>2644</v>
      </c>
      <c r="I2651" s="455">
        <f t="shared" ca="1" si="153"/>
        <v>23759280217.619446</v>
      </c>
      <c r="J2651" s="455">
        <f t="array" ref="J2651">IFERROR(INDEX('Retirement Calculator'!J:J,MATCH('Isaac 401k'!N2651,'Retirement Calculator'!A:A,0),0),0)</f>
        <v>0</v>
      </c>
      <c r="K2651" s="455">
        <f t="shared" ca="1" si="151"/>
        <v>98997000.906747684</v>
      </c>
      <c r="L2651" s="455">
        <f t="shared" ca="1" si="152"/>
        <v>23858277218.526192</v>
      </c>
      <c r="M2651" s="471">
        <f t="shared" si="154"/>
        <v>0.05</v>
      </c>
      <c r="N2651" s="475">
        <f t="shared" si="155"/>
        <v>131733</v>
      </c>
    </row>
    <row r="2652" spans="7:14" ht="11.25" customHeight="1" x14ac:dyDescent="0.3">
      <c r="G2652" s="470"/>
      <c r="H2652" s="470">
        <v>2645</v>
      </c>
      <c r="I2652" s="455">
        <f t="shared" ca="1" si="153"/>
        <v>23858277218.526192</v>
      </c>
      <c r="J2652" s="455">
        <f t="array" ref="J2652">IFERROR(INDEX('Retirement Calculator'!J:J,MATCH('Isaac 401k'!N2652,'Retirement Calculator'!A:A,0),0),0)</f>
        <v>0</v>
      </c>
      <c r="K2652" s="455">
        <f t="shared" ca="1" si="151"/>
        <v>99409488.410525799</v>
      </c>
      <c r="L2652" s="455">
        <f t="shared" ca="1" si="152"/>
        <v>23957686706.936718</v>
      </c>
      <c r="M2652" s="471">
        <f t="shared" si="154"/>
        <v>0.05</v>
      </c>
      <c r="N2652" s="475">
        <f t="shared" si="155"/>
        <v>131763</v>
      </c>
    </row>
    <row r="2653" spans="7:14" ht="11.25" customHeight="1" x14ac:dyDescent="0.3">
      <c r="G2653" s="470"/>
      <c r="H2653" s="470">
        <v>2646</v>
      </c>
      <c r="I2653" s="455">
        <f t="shared" ca="1" si="153"/>
        <v>23957686706.936718</v>
      </c>
      <c r="J2653" s="455">
        <f t="array" ref="J2653">IFERROR(INDEX('Retirement Calculator'!J:J,MATCH('Isaac 401k'!N2653,'Retirement Calculator'!A:A,0),0),0)</f>
        <v>0</v>
      </c>
      <c r="K2653" s="455">
        <f t="shared" ca="1" si="151"/>
        <v>99823694.612236321</v>
      </c>
      <c r="L2653" s="455">
        <f t="shared" ca="1" si="152"/>
        <v>24057510401.548954</v>
      </c>
      <c r="M2653" s="471">
        <f t="shared" si="154"/>
        <v>0.05</v>
      </c>
      <c r="N2653" s="475">
        <f t="shared" si="155"/>
        <v>131794</v>
      </c>
    </row>
    <row r="2654" spans="7:14" ht="11.25" customHeight="1" x14ac:dyDescent="0.3">
      <c r="G2654" s="470"/>
      <c r="H2654" s="470">
        <v>2647</v>
      </c>
      <c r="I2654" s="455">
        <f t="shared" ca="1" si="153"/>
        <v>24057510401.548954</v>
      </c>
      <c r="J2654" s="455">
        <f t="array" ref="J2654">IFERROR(INDEX('Retirement Calculator'!J:J,MATCH('Isaac 401k'!N2654,'Retirement Calculator'!A:A,0),0),0)</f>
        <v>0</v>
      </c>
      <c r="K2654" s="455">
        <f t="shared" ca="1" si="151"/>
        <v>100239626.67312065</v>
      </c>
      <c r="L2654" s="455">
        <f t="shared" ca="1" si="152"/>
        <v>24157750028.222076</v>
      </c>
      <c r="M2654" s="471">
        <f t="shared" si="154"/>
        <v>0.05</v>
      </c>
      <c r="N2654" s="475">
        <f t="shared" si="155"/>
        <v>131824</v>
      </c>
    </row>
    <row r="2655" spans="7:14" ht="11.25" customHeight="1" x14ac:dyDescent="0.3">
      <c r="G2655" s="470"/>
      <c r="H2655" s="470">
        <v>2648</v>
      </c>
      <c r="I2655" s="455">
        <f t="shared" ca="1" si="153"/>
        <v>24157750028.222076</v>
      </c>
      <c r="J2655" s="455">
        <f t="array" ref="J2655">IFERROR(INDEX('Retirement Calculator'!J:J,MATCH('Isaac 401k'!N2655,'Retirement Calculator'!A:A,0),0),0)</f>
        <v>0</v>
      </c>
      <c r="K2655" s="455">
        <f t="shared" ca="1" si="151"/>
        <v>100657291.78425865</v>
      </c>
      <c r="L2655" s="455">
        <f t="shared" ca="1" si="152"/>
        <v>24258407320.006336</v>
      </c>
      <c r="M2655" s="471">
        <f t="shared" si="154"/>
        <v>0.05</v>
      </c>
      <c r="N2655" s="475">
        <f t="shared" si="155"/>
        <v>131855</v>
      </c>
    </row>
    <row r="2656" spans="7:14" ht="11.25" customHeight="1" x14ac:dyDescent="0.3">
      <c r="G2656" s="470"/>
      <c r="H2656" s="470">
        <v>2649</v>
      </c>
      <c r="I2656" s="455">
        <f t="shared" ca="1" si="153"/>
        <v>24258407320.006336</v>
      </c>
      <c r="J2656" s="455">
        <f t="array" ref="J2656">IFERROR(INDEX('Retirement Calculator'!J:J,MATCH('Isaac 401k'!N2656,'Retirement Calculator'!A:A,0),0),0)</f>
        <v>0</v>
      </c>
      <c r="K2656" s="455">
        <f t="shared" ca="1" si="151"/>
        <v>101076697.16669306</v>
      </c>
      <c r="L2656" s="455">
        <f t="shared" ca="1" si="152"/>
        <v>24359484017.173031</v>
      </c>
      <c r="M2656" s="471">
        <f t="shared" si="154"/>
        <v>0.05</v>
      </c>
      <c r="N2656" s="475">
        <f t="shared" si="155"/>
        <v>131886</v>
      </c>
    </row>
    <row r="2657" spans="7:14" ht="11.25" customHeight="1" x14ac:dyDescent="0.3">
      <c r="G2657" s="470"/>
      <c r="H2657" s="470">
        <v>2650</v>
      </c>
      <c r="I2657" s="455">
        <f t="shared" ca="1" si="153"/>
        <v>24359484017.173031</v>
      </c>
      <c r="J2657" s="455">
        <f t="array" ref="J2657">IFERROR(INDEX('Retirement Calculator'!J:J,MATCH('Isaac 401k'!N2657,'Retirement Calculator'!A:A,0),0),0)</f>
        <v>0</v>
      </c>
      <c r="K2657" s="455">
        <f t="shared" ca="1" si="151"/>
        <v>101497850.07155429</v>
      </c>
      <c r="L2657" s="455">
        <f t="shared" ca="1" si="152"/>
        <v>24460981867.244587</v>
      </c>
      <c r="M2657" s="471">
        <f t="shared" si="154"/>
        <v>0.05</v>
      </c>
      <c r="N2657" s="475">
        <f t="shared" si="155"/>
        <v>131914</v>
      </c>
    </row>
    <row r="2658" spans="7:14" ht="11.25" customHeight="1" x14ac:dyDescent="0.3">
      <c r="G2658" s="470"/>
      <c r="H2658" s="470">
        <v>2651</v>
      </c>
      <c r="I2658" s="455">
        <f t="shared" ca="1" si="153"/>
        <v>24460981867.244587</v>
      </c>
      <c r="J2658" s="455">
        <f t="array" ref="J2658">IFERROR(INDEX('Retirement Calculator'!J:J,MATCH('Isaac 401k'!N2658,'Retirement Calculator'!A:A,0),0),0)</f>
        <v>0</v>
      </c>
      <c r="K2658" s="455">
        <f t="shared" ca="1" si="151"/>
        <v>101920757.78018577</v>
      </c>
      <c r="L2658" s="455">
        <f t="shared" ca="1" si="152"/>
        <v>24562902625.024773</v>
      </c>
      <c r="M2658" s="471">
        <f t="shared" si="154"/>
        <v>0.05</v>
      </c>
      <c r="N2658" s="475">
        <f t="shared" si="155"/>
        <v>131945</v>
      </c>
    </row>
    <row r="2659" spans="7:14" ht="11.25" customHeight="1" x14ac:dyDescent="0.3">
      <c r="G2659" s="470"/>
      <c r="H2659" s="470">
        <v>2652</v>
      </c>
      <c r="I2659" s="455">
        <f t="shared" ca="1" si="153"/>
        <v>24562902625.024773</v>
      </c>
      <c r="J2659" s="455">
        <f t="array" ref="J2659">IFERROR(INDEX('Retirement Calculator'!J:J,MATCH('Isaac 401k'!N2659,'Retirement Calculator'!A:A,0),0),0)</f>
        <v>0</v>
      </c>
      <c r="K2659" s="455">
        <f t="shared" ca="1" si="151"/>
        <v>102345427.60426989</v>
      </c>
      <c r="L2659" s="455">
        <f t="shared" ca="1" si="152"/>
        <v>24665248052.629044</v>
      </c>
      <c r="M2659" s="471">
        <f t="shared" si="154"/>
        <v>0.05</v>
      </c>
      <c r="N2659" s="475">
        <f t="shared" si="155"/>
        <v>131975</v>
      </c>
    </row>
    <row r="2660" spans="7:14" ht="11.25" customHeight="1" x14ac:dyDescent="0.3">
      <c r="G2660" s="470"/>
      <c r="H2660" s="470">
        <v>2653</v>
      </c>
      <c r="I2660" s="455">
        <f t="shared" ca="1" si="153"/>
        <v>24665248052.629044</v>
      </c>
      <c r="J2660" s="455">
        <f t="array" ref="J2660">IFERROR(INDEX('Retirement Calculator'!J:J,MATCH('Isaac 401k'!N2660,'Retirement Calculator'!A:A,0),0),0)</f>
        <v>0</v>
      </c>
      <c r="K2660" s="455">
        <f t="shared" ca="1" si="151"/>
        <v>102771866.88595435</v>
      </c>
      <c r="L2660" s="455">
        <f t="shared" ca="1" si="152"/>
        <v>24768019919.514999</v>
      </c>
      <c r="M2660" s="471">
        <f t="shared" si="154"/>
        <v>0.05</v>
      </c>
      <c r="N2660" s="475">
        <f t="shared" si="155"/>
        <v>132006</v>
      </c>
    </row>
    <row r="2661" spans="7:14" ht="11.25" customHeight="1" x14ac:dyDescent="0.3">
      <c r="G2661" s="470"/>
      <c r="H2661" s="470">
        <v>2654</v>
      </c>
      <c r="I2661" s="455">
        <f t="shared" ca="1" si="153"/>
        <v>24768019919.514999</v>
      </c>
      <c r="J2661" s="455">
        <f t="array" ref="J2661">IFERROR(INDEX('Retirement Calculator'!J:J,MATCH('Isaac 401k'!N2661,'Retirement Calculator'!A:A,0),0),0)</f>
        <v>0</v>
      </c>
      <c r="K2661" s="455">
        <f t="shared" ca="1" si="151"/>
        <v>103200082.99797916</v>
      </c>
      <c r="L2661" s="455">
        <f t="shared" ca="1" si="152"/>
        <v>24871220002.512978</v>
      </c>
      <c r="M2661" s="471">
        <f t="shared" si="154"/>
        <v>0.05</v>
      </c>
      <c r="N2661" s="475">
        <f t="shared" si="155"/>
        <v>132036</v>
      </c>
    </row>
    <row r="2662" spans="7:14" ht="11.25" customHeight="1" x14ac:dyDescent="0.3">
      <c r="G2662" s="470"/>
      <c r="H2662" s="470">
        <v>2655</v>
      </c>
      <c r="I2662" s="455">
        <f t="shared" ca="1" si="153"/>
        <v>24871220002.512978</v>
      </c>
      <c r="J2662" s="455">
        <f t="array" ref="J2662">IFERROR(INDEX('Retirement Calculator'!J:J,MATCH('Isaac 401k'!N2662,'Retirement Calculator'!A:A,0),0),0)</f>
        <v>0</v>
      </c>
      <c r="K2662" s="455">
        <f t="shared" ca="1" si="151"/>
        <v>103630083.34380408</v>
      </c>
      <c r="L2662" s="455">
        <f t="shared" ca="1" si="152"/>
        <v>24974850085.856781</v>
      </c>
      <c r="M2662" s="471">
        <f t="shared" si="154"/>
        <v>0.05</v>
      </c>
      <c r="N2662" s="475">
        <f t="shared" si="155"/>
        <v>132067</v>
      </c>
    </row>
    <row r="2663" spans="7:14" ht="11.25" customHeight="1" x14ac:dyDescent="0.3">
      <c r="G2663" s="470"/>
      <c r="H2663" s="470">
        <v>2656</v>
      </c>
      <c r="I2663" s="455">
        <f t="shared" ca="1" si="153"/>
        <v>24974850085.856781</v>
      </c>
      <c r="J2663" s="455">
        <f t="array" ref="J2663">IFERROR(INDEX('Retirement Calculator'!J:J,MATCH('Isaac 401k'!N2663,'Retirement Calculator'!A:A,0),0),0)</f>
        <v>0</v>
      </c>
      <c r="K2663" s="455">
        <f t="shared" ca="1" si="151"/>
        <v>104061875.35773659</v>
      </c>
      <c r="L2663" s="455">
        <f t="shared" ca="1" si="152"/>
        <v>25078911961.214516</v>
      </c>
      <c r="M2663" s="471">
        <f t="shared" si="154"/>
        <v>0.05</v>
      </c>
      <c r="N2663" s="475">
        <f t="shared" si="155"/>
        <v>132098</v>
      </c>
    </row>
    <row r="2664" spans="7:14" ht="11.25" customHeight="1" x14ac:dyDescent="0.3">
      <c r="G2664" s="470"/>
      <c r="H2664" s="470">
        <v>2657</v>
      </c>
      <c r="I2664" s="455">
        <f t="shared" ca="1" si="153"/>
        <v>25078911961.214516</v>
      </c>
      <c r="J2664" s="455">
        <f t="array" ref="J2664">IFERROR(INDEX('Retirement Calculator'!J:J,MATCH('Isaac 401k'!N2664,'Retirement Calculator'!A:A,0),0),0)</f>
        <v>0</v>
      </c>
      <c r="K2664" s="455">
        <f t="shared" ca="1" si="151"/>
        <v>104495466.50506048</v>
      </c>
      <c r="L2664" s="455">
        <f t="shared" ca="1" si="152"/>
        <v>25183407427.719578</v>
      </c>
      <c r="M2664" s="471">
        <f t="shared" si="154"/>
        <v>0.05</v>
      </c>
      <c r="N2664" s="475">
        <f t="shared" si="155"/>
        <v>132128</v>
      </c>
    </row>
    <row r="2665" spans="7:14" ht="11.25" customHeight="1" x14ac:dyDescent="0.3">
      <c r="G2665" s="470"/>
      <c r="H2665" s="470">
        <v>2658</v>
      </c>
      <c r="I2665" s="455">
        <f t="shared" ca="1" si="153"/>
        <v>25183407427.719578</v>
      </c>
      <c r="J2665" s="455">
        <f t="array" ref="J2665">IFERROR(INDEX('Retirement Calculator'!J:J,MATCH('Isaac 401k'!N2665,'Retirement Calculator'!A:A,0),0),0)</f>
        <v>0</v>
      </c>
      <c r="K2665" s="455">
        <f t="shared" ca="1" si="151"/>
        <v>104930864.2821649</v>
      </c>
      <c r="L2665" s="455">
        <f t="shared" ca="1" si="152"/>
        <v>25288338292.001743</v>
      </c>
      <c r="M2665" s="471">
        <f t="shared" si="154"/>
        <v>0.05</v>
      </c>
      <c r="N2665" s="475">
        <f t="shared" si="155"/>
        <v>132159</v>
      </c>
    </row>
    <row r="2666" spans="7:14" ht="11.25" customHeight="1" x14ac:dyDescent="0.3">
      <c r="G2666" s="470"/>
      <c r="H2666" s="470">
        <v>2659</v>
      </c>
      <c r="I2666" s="455">
        <f t="shared" ca="1" si="153"/>
        <v>25288338292.001743</v>
      </c>
      <c r="J2666" s="455">
        <f t="array" ref="J2666">IFERROR(INDEX('Retirement Calculator'!J:J,MATCH('Isaac 401k'!N2666,'Retirement Calculator'!A:A,0),0),0)</f>
        <v>0</v>
      </c>
      <c r="K2666" s="455">
        <f t="shared" ca="1" si="151"/>
        <v>105368076.21667393</v>
      </c>
      <c r="L2666" s="455">
        <f t="shared" ca="1" si="152"/>
        <v>25393706368.218418</v>
      </c>
      <c r="M2666" s="471">
        <f t="shared" si="154"/>
        <v>0.05</v>
      </c>
      <c r="N2666" s="475">
        <f t="shared" si="155"/>
        <v>132189</v>
      </c>
    </row>
    <row r="2667" spans="7:14" ht="11.25" customHeight="1" x14ac:dyDescent="0.3">
      <c r="G2667" s="470"/>
      <c r="H2667" s="470">
        <v>2660</v>
      </c>
      <c r="I2667" s="455">
        <f t="shared" ca="1" si="153"/>
        <v>25393706368.218418</v>
      </c>
      <c r="J2667" s="455">
        <f t="array" ref="J2667">IFERROR(INDEX('Retirement Calculator'!J:J,MATCH('Isaac 401k'!N2667,'Retirement Calculator'!A:A,0),0),0)</f>
        <v>0</v>
      </c>
      <c r="K2667" s="455">
        <f t="shared" ca="1" si="151"/>
        <v>105807109.86757675</v>
      </c>
      <c r="L2667" s="455">
        <f t="shared" ca="1" si="152"/>
        <v>25499513478.085995</v>
      </c>
      <c r="M2667" s="471">
        <f t="shared" si="154"/>
        <v>0.05</v>
      </c>
      <c r="N2667" s="475">
        <f t="shared" si="155"/>
        <v>132220</v>
      </c>
    </row>
    <row r="2668" spans="7:14" ht="11.25" customHeight="1" x14ac:dyDescent="0.3">
      <c r="G2668" s="470"/>
      <c r="H2668" s="470">
        <v>2661</v>
      </c>
      <c r="I2668" s="455">
        <f t="shared" ca="1" si="153"/>
        <v>25499513478.085995</v>
      </c>
      <c r="J2668" s="455">
        <f t="array" ref="J2668">IFERROR(INDEX('Retirement Calculator'!J:J,MATCH('Isaac 401k'!N2668,'Retirement Calculator'!A:A,0),0),0)</f>
        <v>0</v>
      </c>
      <c r="K2668" s="455">
        <f t="shared" ca="1" si="151"/>
        <v>106247972.82535832</v>
      </c>
      <c r="L2668" s="455">
        <f t="shared" ca="1" si="152"/>
        <v>25605761450.911354</v>
      </c>
      <c r="M2668" s="471">
        <f t="shared" si="154"/>
        <v>0.05</v>
      </c>
      <c r="N2668" s="475">
        <f t="shared" si="155"/>
        <v>132251</v>
      </c>
    </row>
    <row r="2669" spans="7:14" ht="11.25" customHeight="1" x14ac:dyDescent="0.3">
      <c r="G2669" s="470"/>
      <c r="H2669" s="470">
        <v>2662</v>
      </c>
      <c r="I2669" s="455">
        <f t="shared" ca="1" si="153"/>
        <v>25605761450.911354</v>
      </c>
      <c r="J2669" s="455">
        <f t="array" ref="J2669">IFERROR(INDEX('Retirement Calculator'!J:J,MATCH('Isaac 401k'!N2669,'Retirement Calculator'!A:A,0),0),0)</f>
        <v>0</v>
      </c>
      <c r="K2669" s="455">
        <f t="shared" ca="1" si="151"/>
        <v>106690672.71213064</v>
      </c>
      <c r="L2669" s="455">
        <f t="shared" ca="1" si="152"/>
        <v>25712452123.623486</v>
      </c>
      <c r="M2669" s="471">
        <f t="shared" si="154"/>
        <v>0.05</v>
      </c>
      <c r="N2669" s="475">
        <f t="shared" si="155"/>
        <v>132279</v>
      </c>
    </row>
    <row r="2670" spans="7:14" ht="11.25" customHeight="1" x14ac:dyDescent="0.3">
      <c r="G2670" s="470"/>
      <c r="H2670" s="470">
        <v>2663</v>
      </c>
      <c r="I2670" s="455">
        <f t="shared" ca="1" si="153"/>
        <v>25712452123.623486</v>
      </c>
      <c r="J2670" s="455">
        <f t="array" ref="J2670">IFERROR(INDEX('Retirement Calculator'!J:J,MATCH('Isaac 401k'!N2670,'Retirement Calculator'!A:A,0),0),0)</f>
        <v>0</v>
      </c>
      <c r="K2670" s="455">
        <f t="shared" ca="1" si="151"/>
        <v>107135217.18176453</v>
      </c>
      <c r="L2670" s="455">
        <f t="shared" ca="1" si="152"/>
        <v>25819587340.805248</v>
      </c>
      <c r="M2670" s="471">
        <f t="shared" si="154"/>
        <v>0.05</v>
      </c>
      <c r="N2670" s="475">
        <f t="shared" si="155"/>
        <v>132310</v>
      </c>
    </row>
    <row r="2671" spans="7:14" ht="11.25" customHeight="1" x14ac:dyDescent="0.3">
      <c r="G2671" s="470"/>
      <c r="H2671" s="470">
        <v>2664</v>
      </c>
      <c r="I2671" s="455">
        <f t="shared" ca="1" si="153"/>
        <v>25819587340.805248</v>
      </c>
      <c r="J2671" s="455">
        <f t="array" ref="J2671">IFERROR(INDEX('Retirement Calculator'!J:J,MATCH('Isaac 401k'!N2671,'Retirement Calculator'!A:A,0),0),0)</f>
        <v>0</v>
      </c>
      <c r="K2671" s="455">
        <f t="shared" ca="1" si="151"/>
        <v>107581613.92002186</v>
      </c>
      <c r="L2671" s="455">
        <f t="shared" ca="1" si="152"/>
        <v>25927168954.725269</v>
      </c>
      <c r="M2671" s="471">
        <f t="shared" si="154"/>
        <v>0.05</v>
      </c>
      <c r="N2671" s="475">
        <f t="shared" si="155"/>
        <v>132340</v>
      </c>
    </row>
    <row r="2672" spans="7:14" ht="11.25" customHeight="1" x14ac:dyDescent="0.3">
      <c r="G2672" s="470"/>
      <c r="H2672" s="470">
        <v>2665</v>
      </c>
      <c r="I2672" s="455">
        <f t="shared" ca="1" si="153"/>
        <v>25927168954.725269</v>
      </c>
      <c r="J2672" s="455">
        <f t="array" ref="J2672">IFERROR(INDEX('Retirement Calculator'!J:J,MATCH('Isaac 401k'!N2672,'Retirement Calculator'!A:A,0),0),0)</f>
        <v>0</v>
      </c>
      <c r="K2672" s="455">
        <f t="shared" ca="1" si="151"/>
        <v>108029870.64468862</v>
      </c>
      <c r="L2672" s="455">
        <f t="shared" ca="1" si="152"/>
        <v>26035198825.369957</v>
      </c>
      <c r="M2672" s="471">
        <f t="shared" si="154"/>
        <v>0.05</v>
      </c>
      <c r="N2672" s="475">
        <f t="shared" si="155"/>
        <v>132371</v>
      </c>
    </row>
    <row r="2673" spans="7:14" ht="11.25" customHeight="1" x14ac:dyDescent="0.3">
      <c r="G2673" s="470"/>
      <c r="H2673" s="470">
        <v>2666</v>
      </c>
      <c r="I2673" s="455">
        <f t="shared" ca="1" si="153"/>
        <v>26035198825.369957</v>
      </c>
      <c r="J2673" s="455">
        <f t="array" ref="J2673">IFERROR(INDEX('Retirement Calculator'!J:J,MATCH('Isaac 401k'!N2673,'Retirement Calculator'!A:A,0),0),0)</f>
        <v>0</v>
      </c>
      <c r="K2673" s="455">
        <f t="shared" ca="1" si="151"/>
        <v>108479995.10570815</v>
      </c>
      <c r="L2673" s="455">
        <f t="shared" ca="1" si="152"/>
        <v>26143678820.475666</v>
      </c>
      <c r="M2673" s="471">
        <f t="shared" si="154"/>
        <v>0.05</v>
      </c>
      <c r="N2673" s="475">
        <f t="shared" si="155"/>
        <v>132401</v>
      </c>
    </row>
    <row r="2674" spans="7:14" ht="11.25" customHeight="1" x14ac:dyDescent="0.3">
      <c r="G2674" s="470"/>
      <c r="H2674" s="470">
        <v>2667</v>
      </c>
      <c r="I2674" s="455">
        <f t="shared" ca="1" si="153"/>
        <v>26143678820.475666</v>
      </c>
      <c r="J2674" s="455">
        <f t="array" ref="J2674">IFERROR(INDEX('Retirement Calculator'!J:J,MATCH('Isaac 401k'!N2674,'Retirement Calculator'!A:A,0),0),0)</f>
        <v>0</v>
      </c>
      <c r="K2674" s="455">
        <f t="shared" ca="1" si="151"/>
        <v>108931995.08531527</v>
      </c>
      <c r="L2674" s="455">
        <f t="shared" ca="1" si="152"/>
        <v>26252610815.560982</v>
      </c>
      <c r="M2674" s="471">
        <f t="shared" si="154"/>
        <v>0.05</v>
      </c>
      <c r="N2674" s="475">
        <f t="shared" si="155"/>
        <v>132432</v>
      </c>
    </row>
    <row r="2675" spans="7:14" ht="11.25" customHeight="1" x14ac:dyDescent="0.3">
      <c r="G2675" s="470"/>
      <c r="H2675" s="470">
        <v>2668</v>
      </c>
      <c r="I2675" s="455">
        <f t="shared" ca="1" si="153"/>
        <v>26252610815.560982</v>
      </c>
      <c r="J2675" s="455">
        <f t="array" ref="J2675">IFERROR(INDEX('Retirement Calculator'!J:J,MATCH('Isaac 401k'!N2675,'Retirement Calculator'!A:A,0),0),0)</f>
        <v>0</v>
      </c>
      <c r="K2675" s="455">
        <f t="shared" ca="1" si="151"/>
        <v>109385878.39817075</v>
      </c>
      <c r="L2675" s="455">
        <f t="shared" ca="1" si="152"/>
        <v>26361996693.959152</v>
      </c>
      <c r="M2675" s="471">
        <f t="shared" si="154"/>
        <v>0.05</v>
      </c>
      <c r="N2675" s="475">
        <f t="shared" si="155"/>
        <v>132463</v>
      </c>
    </row>
    <row r="2676" spans="7:14" ht="11.25" customHeight="1" x14ac:dyDescent="0.3">
      <c r="G2676" s="470"/>
      <c r="H2676" s="470">
        <v>2669</v>
      </c>
      <c r="I2676" s="455">
        <f t="shared" ca="1" si="153"/>
        <v>26361996693.959152</v>
      </c>
      <c r="J2676" s="455">
        <f t="array" ref="J2676">IFERROR(INDEX('Retirement Calculator'!J:J,MATCH('Isaac 401k'!N2676,'Retirement Calculator'!A:A,0),0),0)</f>
        <v>0</v>
      </c>
      <c r="K2676" s="455">
        <f t="shared" ca="1" si="151"/>
        <v>109841652.89149646</v>
      </c>
      <c r="L2676" s="455">
        <f t="shared" ca="1" si="152"/>
        <v>26471838346.850647</v>
      </c>
      <c r="M2676" s="471">
        <f t="shared" si="154"/>
        <v>0.05</v>
      </c>
      <c r="N2676" s="475">
        <f t="shared" si="155"/>
        <v>132493</v>
      </c>
    </row>
    <row r="2677" spans="7:14" ht="11.25" customHeight="1" x14ac:dyDescent="0.3">
      <c r="G2677" s="470"/>
      <c r="H2677" s="470">
        <v>2670</v>
      </c>
      <c r="I2677" s="455">
        <f t="shared" ca="1" si="153"/>
        <v>26471838346.850647</v>
      </c>
      <c r="J2677" s="455">
        <f t="array" ref="J2677">IFERROR(INDEX('Retirement Calculator'!J:J,MATCH('Isaac 401k'!N2677,'Retirement Calculator'!A:A,0),0),0)</f>
        <v>0</v>
      </c>
      <c r="K2677" s="455">
        <f t="shared" ca="1" si="151"/>
        <v>110299326.44521102</v>
      </c>
      <c r="L2677" s="455">
        <f t="shared" ca="1" si="152"/>
        <v>26582137673.295856</v>
      </c>
      <c r="M2677" s="471">
        <f t="shared" si="154"/>
        <v>0.05</v>
      </c>
      <c r="N2677" s="475">
        <f t="shared" si="155"/>
        <v>132524</v>
      </c>
    </row>
    <row r="2678" spans="7:14" ht="11.25" customHeight="1" x14ac:dyDescent="0.3">
      <c r="G2678" s="470"/>
      <c r="H2678" s="470">
        <v>2671</v>
      </c>
      <c r="I2678" s="455">
        <f t="shared" ca="1" si="153"/>
        <v>26582137673.295856</v>
      </c>
      <c r="J2678" s="455">
        <f t="array" ref="J2678">IFERROR(INDEX('Retirement Calculator'!J:J,MATCH('Isaac 401k'!N2678,'Retirement Calculator'!A:A,0),0),0)</f>
        <v>0</v>
      </c>
      <c r="K2678" s="455">
        <f t="shared" ca="1" si="151"/>
        <v>110758906.97206606</v>
      </c>
      <c r="L2678" s="455">
        <f t="shared" ca="1" si="152"/>
        <v>26692896580.267921</v>
      </c>
      <c r="M2678" s="471">
        <f t="shared" si="154"/>
        <v>0.05</v>
      </c>
      <c r="N2678" s="475">
        <f t="shared" si="155"/>
        <v>132554</v>
      </c>
    </row>
    <row r="2679" spans="7:14" ht="11.25" customHeight="1" x14ac:dyDescent="0.3">
      <c r="G2679" s="470"/>
      <c r="H2679" s="470">
        <v>2672</v>
      </c>
      <c r="I2679" s="455">
        <f t="shared" ca="1" si="153"/>
        <v>26692896580.267921</v>
      </c>
      <c r="J2679" s="455">
        <f t="array" ref="J2679">IFERROR(INDEX('Retirement Calculator'!J:J,MATCH('Isaac 401k'!N2679,'Retirement Calculator'!A:A,0),0),0)</f>
        <v>0</v>
      </c>
      <c r="K2679" s="455">
        <f t="shared" ca="1" si="151"/>
        <v>111220402.41778301</v>
      </c>
      <c r="L2679" s="455">
        <f t="shared" ca="1" si="152"/>
        <v>26804116982.685703</v>
      </c>
      <c r="M2679" s="471">
        <f t="shared" si="154"/>
        <v>0.05</v>
      </c>
      <c r="N2679" s="475">
        <f t="shared" si="155"/>
        <v>132585</v>
      </c>
    </row>
    <row r="2680" spans="7:14" ht="11.25" customHeight="1" x14ac:dyDescent="0.3">
      <c r="G2680" s="470"/>
      <c r="H2680" s="470">
        <v>2673</v>
      </c>
      <c r="I2680" s="455">
        <f t="shared" ca="1" si="153"/>
        <v>26804116982.685703</v>
      </c>
      <c r="J2680" s="455">
        <f t="array" ref="J2680">IFERROR(INDEX('Retirement Calculator'!J:J,MATCH('Isaac 401k'!N2680,'Retirement Calculator'!A:A,0),0),0)</f>
        <v>0</v>
      </c>
      <c r="K2680" s="455">
        <f t="shared" ca="1" si="151"/>
        <v>111683820.76119043</v>
      </c>
      <c r="L2680" s="455">
        <f t="shared" ca="1" si="152"/>
        <v>26915800803.446896</v>
      </c>
      <c r="M2680" s="471">
        <f t="shared" si="154"/>
        <v>0.05</v>
      </c>
      <c r="N2680" s="475">
        <f t="shared" si="155"/>
        <v>132616</v>
      </c>
    </row>
    <row r="2681" spans="7:14" ht="11.25" customHeight="1" x14ac:dyDescent="0.3">
      <c r="G2681" s="470"/>
      <c r="H2681" s="470">
        <v>2674</v>
      </c>
      <c r="I2681" s="455">
        <f t="shared" ca="1" si="153"/>
        <v>26915800803.446896</v>
      </c>
      <c r="J2681" s="455">
        <f t="array" ref="J2681">IFERROR(INDEX('Retirement Calculator'!J:J,MATCH('Isaac 401k'!N2681,'Retirement Calculator'!A:A,0),0),0)</f>
        <v>0</v>
      </c>
      <c r="K2681" s="455">
        <f t="shared" ca="1" si="151"/>
        <v>112149170.01436207</v>
      </c>
      <c r="L2681" s="455">
        <f t="shared" ca="1" si="152"/>
        <v>27027949973.461258</v>
      </c>
      <c r="M2681" s="471">
        <f t="shared" si="154"/>
        <v>0.05</v>
      </c>
      <c r="N2681" s="475">
        <f t="shared" si="155"/>
        <v>132644</v>
      </c>
    </row>
    <row r="2682" spans="7:14" ht="11.25" customHeight="1" x14ac:dyDescent="0.3">
      <c r="G2682" s="470"/>
      <c r="H2682" s="470">
        <v>2675</v>
      </c>
      <c r="I2682" s="455">
        <f t="shared" ca="1" si="153"/>
        <v>27027949973.461258</v>
      </c>
      <c r="J2682" s="455">
        <f t="array" ref="J2682">IFERROR(INDEX('Retirement Calculator'!J:J,MATCH('Isaac 401k'!N2682,'Retirement Calculator'!A:A,0),0),0)</f>
        <v>0</v>
      </c>
      <c r="K2682" s="455">
        <f t="shared" ca="1" si="151"/>
        <v>112616458.22275524</v>
      </c>
      <c r="L2682" s="455">
        <f t="shared" ca="1" si="152"/>
        <v>27140566431.684013</v>
      </c>
      <c r="M2682" s="471">
        <f t="shared" si="154"/>
        <v>0.05</v>
      </c>
      <c r="N2682" s="475">
        <f t="shared" si="155"/>
        <v>132675</v>
      </c>
    </row>
    <row r="2683" spans="7:14" ht="11.25" customHeight="1" x14ac:dyDescent="0.3">
      <c r="G2683" s="470"/>
      <c r="H2683" s="470">
        <v>2676</v>
      </c>
      <c r="I2683" s="455">
        <f t="shared" ca="1" si="153"/>
        <v>27140566431.684013</v>
      </c>
      <c r="J2683" s="455">
        <f t="array" ref="J2683">IFERROR(INDEX('Retirement Calculator'!J:J,MATCH('Isaac 401k'!N2683,'Retirement Calculator'!A:A,0),0),0)</f>
        <v>0</v>
      </c>
      <c r="K2683" s="455">
        <f t="shared" ca="1" si="151"/>
        <v>113085693.46535005</v>
      </c>
      <c r="L2683" s="455">
        <f t="shared" ca="1" si="152"/>
        <v>27253652125.149364</v>
      </c>
      <c r="M2683" s="471">
        <f t="shared" si="154"/>
        <v>0.05</v>
      </c>
      <c r="N2683" s="475">
        <f t="shared" si="155"/>
        <v>132705</v>
      </c>
    </row>
    <row r="2684" spans="7:14" ht="11.25" customHeight="1" x14ac:dyDescent="0.3">
      <c r="G2684" s="470"/>
      <c r="H2684" s="470">
        <v>2677</v>
      </c>
      <c r="I2684" s="455">
        <f t="shared" ca="1" si="153"/>
        <v>27253652125.149364</v>
      </c>
      <c r="J2684" s="455">
        <f t="array" ref="J2684">IFERROR(INDEX('Retirement Calculator'!J:J,MATCH('Isaac 401k'!N2684,'Retirement Calculator'!A:A,0),0),0)</f>
        <v>0</v>
      </c>
      <c r="K2684" s="455">
        <f t="shared" ca="1" si="151"/>
        <v>113556883.85478902</v>
      </c>
      <c r="L2684" s="455">
        <f t="shared" ca="1" si="152"/>
        <v>27367209009.004154</v>
      </c>
      <c r="M2684" s="471">
        <f t="shared" si="154"/>
        <v>0.05</v>
      </c>
      <c r="N2684" s="475">
        <f t="shared" si="155"/>
        <v>132736</v>
      </c>
    </row>
    <row r="2685" spans="7:14" ht="11.25" customHeight="1" x14ac:dyDescent="0.3">
      <c r="G2685" s="470"/>
      <c r="H2685" s="470">
        <v>2678</v>
      </c>
      <c r="I2685" s="455">
        <f t="shared" ca="1" si="153"/>
        <v>27367209009.004154</v>
      </c>
      <c r="J2685" s="455">
        <f t="array" ref="J2685">IFERROR(INDEX('Retirement Calculator'!J:J,MATCH('Isaac 401k'!N2685,'Retirement Calculator'!A:A,0),0),0)</f>
        <v>0</v>
      </c>
      <c r="K2685" s="455">
        <f t="shared" ca="1" si="151"/>
        <v>114030037.53751732</v>
      </c>
      <c r="L2685" s="455">
        <f t="shared" ca="1" si="152"/>
        <v>27481239046.541672</v>
      </c>
      <c r="M2685" s="471">
        <f t="shared" si="154"/>
        <v>0.05</v>
      </c>
      <c r="N2685" s="475">
        <f t="shared" si="155"/>
        <v>132766</v>
      </c>
    </row>
    <row r="2686" spans="7:14" ht="11.25" customHeight="1" x14ac:dyDescent="0.3">
      <c r="G2686" s="470"/>
      <c r="H2686" s="470">
        <v>2679</v>
      </c>
      <c r="I2686" s="455">
        <f t="shared" ca="1" si="153"/>
        <v>27481239046.541672</v>
      </c>
      <c r="J2686" s="455">
        <f t="array" ref="J2686">IFERROR(INDEX('Retirement Calculator'!J:J,MATCH('Isaac 401k'!N2686,'Retirement Calculator'!A:A,0),0),0)</f>
        <v>0</v>
      </c>
      <c r="K2686" s="455">
        <f t="shared" ca="1" si="151"/>
        <v>114505162.69392364</v>
      </c>
      <c r="L2686" s="455">
        <f t="shared" ca="1" si="152"/>
        <v>27595744209.235596</v>
      </c>
      <c r="M2686" s="471">
        <f t="shared" si="154"/>
        <v>0.05</v>
      </c>
      <c r="N2686" s="475">
        <f t="shared" si="155"/>
        <v>132797</v>
      </c>
    </row>
    <row r="2687" spans="7:14" ht="11.25" customHeight="1" x14ac:dyDescent="0.3">
      <c r="G2687" s="470"/>
      <c r="H2687" s="470">
        <v>2680</v>
      </c>
      <c r="I2687" s="455">
        <f t="shared" ca="1" si="153"/>
        <v>27595744209.235596</v>
      </c>
      <c r="J2687" s="455">
        <f t="array" ref="J2687">IFERROR(INDEX('Retirement Calculator'!J:J,MATCH('Isaac 401k'!N2687,'Retirement Calculator'!A:A,0),0),0)</f>
        <v>0</v>
      </c>
      <c r="K2687" s="455">
        <f t="shared" ca="1" si="151"/>
        <v>114982267.53848165</v>
      </c>
      <c r="L2687" s="455">
        <f t="shared" ca="1" si="152"/>
        <v>27710726476.774078</v>
      </c>
      <c r="M2687" s="471">
        <f t="shared" si="154"/>
        <v>0.05</v>
      </c>
      <c r="N2687" s="475">
        <f t="shared" si="155"/>
        <v>132828</v>
      </c>
    </row>
    <row r="2688" spans="7:14" ht="11.25" customHeight="1" x14ac:dyDescent="0.3">
      <c r="G2688" s="470"/>
      <c r="H2688" s="470">
        <v>2681</v>
      </c>
      <c r="I2688" s="455">
        <f t="shared" ca="1" si="153"/>
        <v>27710726476.774078</v>
      </c>
      <c r="J2688" s="455">
        <f t="array" ref="J2688">IFERROR(INDEX('Retirement Calculator'!J:J,MATCH('Isaac 401k'!N2688,'Retirement Calculator'!A:A,0),0),0)</f>
        <v>0</v>
      </c>
      <c r="K2688" s="455">
        <f t="shared" ca="1" si="151"/>
        <v>115461360.319892</v>
      </c>
      <c r="L2688" s="455">
        <f t="shared" ca="1" si="152"/>
        <v>27826187837.093971</v>
      </c>
      <c r="M2688" s="471">
        <f t="shared" si="154"/>
        <v>0.05</v>
      </c>
      <c r="N2688" s="475">
        <f t="shared" si="155"/>
        <v>132858</v>
      </c>
    </row>
    <row r="2689" spans="7:14" ht="11.25" customHeight="1" x14ac:dyDescent="0.3">
      <c r="G2689" s="470"/>
      <c r="H2689" s="470">
        <v>2682</v>
      </c>
      <c r="I2689" s="455">
        <f t="shared" ca="1" si="153"/>
        <v>27826187837.093971</v>
      </c>
      <c r="J2689" s="455">
        <f t="array" ref="J2689">IFERROR(INDEX('Retirement Calculator'!J:J,MATCH('Isaac 401k'!N2689,'Retirement Calculator'!A:A,0),0),0)</f>
        <v>0</v>
      </c>
      <c r="K2689" s="455">
        <f t="shared" ca="1" si="151"/>
        <v>115942449.32122488</v>
      </c>
      <c r="L2689" s="455">
        <f t="shared" ca="1" si="152"/>
        <v>27942130286.415195</v>
      </c>
      <c r="M2689" s="471">
        <f t="shared" si="154"/>
        <v>0.05</v>
      </c>
      <c r="N2689" s="475">
        <f t="shared" si="155"/>
        <v>132889</v>
      </c>
    </row>
    <row r="2690" spans="7:14" ht="11.25" customHeight="1" x14ac:dyDescent="0.3">
      <c r="G2690" s="470"/>
      <c r="H2690" s="470">
        <v>2683</v>
      </c>
      <c r="I2690" s="455">
        <f t="shared" ca="1" si="153"/>
        <v>27942130286.415195</v>
      </c>
      <c r="J2690" s="455">
        <f t="array" ref="J2690">IFERROR(INDEX('Retirement Calculator'!J:J,MATCH('Isaac 401k'!N2690,'Retirement Calculator'!A:A,0),0),0)</f>
        <v>0</v>
      </c>
      <c r="K2690" s="455">
        <f t="shared" ca="1" si="151"/>
        <v>116425542.8600633</v>
      </c>
      <c r="L2690" s="455">
        <f t="shared" ca="1" si="152"/>
        <v>28058555829.275257</v>
      </c>
      <c r="M2690" s="471">
        <f t="shared" si="154"/>
        <v>0.05</v>
      </c>
      <c r="N2690" s="475">
        <f t="shared" si="155"/>
        <v>132919</v>
      </c>
    </row>
    <row r="2691" spans="7:14" ht="11.25" customHeight="1" x14ac:dyDescent="0.3">
      <c r="G2691" s="470"/>
      <c r="H2691" s="470">
        <v>2684</v>
      </c>
      <c r="I2691" s="455">
        <f t="shared" ca="1" si="153"/>
        <v>28058555829.275257</v>
      </c>
      <c r="J2691" s="455">
        <f t="array" ref="J2691">IFERROR(INDEX('Retirement Calculator'!J:J,MATCH('Isaac 401k'!N2691,'Retirement Calculator'!A:A,0),0),0)</f>
        <v>0</v>
      </c>
      <c r="K2691" s="455">
        <f t="shared" ca="1" si="151"/>
        <v>116910649.28864691</v>
      </c>
      <c r="L2691" s="455">
        <f t="shared" ca="1" si="152"/>
        <v>28175466478.563904</v>
      </c>
      <c r="M2691" s="471">
        <f t="shared" si="154"/>
        <v>0.05</v>
      </c>
      <c r="N2691" s="475">
        <f t="shared" si="155"/>
        <v>132950</v>
      </c>
    </row>
    <row r="2692" spans="7:14" ht="11.25" customHeight="1" x14ac:dyDescent="0.3">
      <c r="G2692" s="470"/>
      <c r="H2692" s="470">
        <v>2685</v>
      </c>
      <c r="I2692" s="455">
        <f t="shared" ca="1" si="153"/>
        <v>28175466478.563904</v>
      </c>
      <c r="J2692" s="455">
        <f t="array" ref="J2692">IFERROR(INDEX('Retirement Calculator'!J:J,MATCH('Isaac 401k'!N2692,'Retirement Calculator'!A:A,0),0),0)</f>
        <v>0</v>
      </c>
      <c r="K2692" s="455">
        <f t="shared" ca="1" si="151"/>
        <v>117397776.99401626</v>
      </c>
      <c r="L2692" s="455">
        <f t="shared" ca="1" si="152"/>
        <v>28292864255.557919</v>
      </c>
      <c r="M2692" s="471">
        <f t="shared" si="154"/>
        <v>0.05</v>
      </c>
      <c r="N2692" s="475">
        <f t="shared" si="155"/>
        <v>132981</v>
      </c>
    </row>
    <row r="2693" spans="7:14" ht="11.25" customHeight="1" x14ac:dyDescent="0.3">
      <c r="G2693" s="470"/>
      <c r="H2693" s="470">
        <v>2686</v>
      </c>
      <c r="I2693" s="455">
        <f t="shared" ca="1" si="153"/>
        <v>28292864255.557919</v>
      </c>
      <c r="J2693" s="455">
        <f t="array" ref="J2693">IFERROR(INDEX('Retirement Calculator'!J:J,MATCH('Isaac 401k'!N2693,'Retirement Calculator'!A:A,0),0),0)</f>
        <v>0</v>
      </c>
      <c r="K2693" s="455">
        <f t="shared" ca="1" si="151"/>
        <v>117886934.398158</v>
      </c>
      <c r="L2693" s="455">
        <f t="shared" ca="1" si="152"/>
        <v>28410751189.956078</v>
      </c>
      <c r="M2693" s="471">
        <f t="shared" si="154"/>
        <v>0.05</v>
      </c>
      <c r="N2693" s="475">
        <f t="shared" si="155"/>
        <v>133010</v>
      </c>
    </row>
    <row r="2694" spans="7:14" ht="11.25" customHeight="1" x14ac:dyDescent="0.3">
      <c r="G2694" s="470"/>
      <c r="H2694" s="470">
        <v>2687</v>
      </c>
      <c r="I2694" s="455">
        <f t="shared" ca="1" si="153"/>
        <v>28410751189.956078</v>
      </c>
      <c r="J2694" s="455">
        <f t="array" ref="J2694">IFERROR(INDEX('Retirement Calculator'!J:J,MATCH('Isaac 401k'!N2694,'Retirement Calculator'!A:A,0),0),0)</f>
        <v>0</v>
      </c>
      <c r="K2694" s="455">
        <f t="shared" ca="1" si="151"/>
        <v>118378129.95815031</v>
      </c>
      <c r="L2694" s="455">
        <f t="shared" ca="1" si="152"/>
        <v>28529129319.914227</v>
      </c>
      <c r="M2694" s="471">
        <f t="shared" si="154"/>
        <v>0.05</v>
      </c>
      <c r="N2694" s="475">
        <f t="shared" si="155"/>
        <v>133041</v>
      </c>
    </row>
    <row r="2695" spans="7:14" ht="11.25" customHeight="1" x14ac:dyDescent="0.3">
      <c r="G2695" s="470"/>
      <c r="H2695" s="470">
        <v>2688</v>
      </c>
      <c r="I2695" s="455">
        <f t="shared" ca="1" si="153"/>
        <v>28529129319.914227</v>
      </c>
      <c r="J2695" s="455">
        <f t="array" ref="J2695">IFERROR(INDEX('Retirement Calculator'!J:J,MATCH('Isaac 401k'!N2695,'Retirement Calculator'!A:A,0),0),0)</f>
        <v>0</v>
      </c>
      <c r="K2695" s="455">
        <f t="shared" ca="1" si="151"/>
        <v>118871372.16630928</v>
      </c>
      <c r="L2695" s="455">
        <f t="shared" ca="1" si="152"/>
        <v>28648000692.080536</v>
      </c>
      <c r="M2695" s="471">
        <f t="shared" si="154"/>
        <v>0.05</v>
      </c>
      <c r="N2695" s="475">
        <f t="shared" si="155"/>
        <v>133071</v>
      </c>
    </row>
    <row r="2696" spans="7:14" ht="11.25" customHeight="1" x14ac:dyDescent="0.3">
      <c r="G2696" s="470"/>
      <c r="H2696" s="470">
        <v>2689</v>
      </c>
      <c r="I2696" s="455">
        <f t="shared" ca="1" si="153"/>
        <v>28648000692.080536</v>
      </c>
      <c r="J2696" s="455">
        <f t="array" ref="J2696">IFERROR(INDEX('Retirement Calculator'!J:J,MATCH('Isaac 401k'!N2696,'Retirement Calculator'!A:A,0),0),0)</f>
        <v>0</v>
      </c>
      <c r="K2696" s="455">
        <f t="shared" ca="1" si="151"/>
        <v>119366669.55033557</v>
      </c>
      <c r="L2696" s="455">
        <f t="shared" ca="1" si="152"/>
        <v>28767367361.630871</v>
      </c>
      <c r="M2696" s="471">
        <f t="shared" si="154"/>
        <v>0.05</v>
      </c>
      <c r="N2696" s="475">
        <f t="shared" si="155"/>
        <v>133102</v>
      </c>
    </row>
    <row r="2697" spans="7:14" ht="11.25" customHeight="1" x14ac:dyDescent="0.3">
      <c r="G2697" s="470"/>
      <c r="H2697" s="470">
        <v>2690</v>
      </c>
      <c r="I2697" s="455">
        <f t="shared" ca="1" si="153"/>
        <v>28767367361.630871</v>
      </c>
      <c r="J2697" s="455">
        <f t="array" ref="J2697">IFERROR(INDEX('Retirement Calculator'!J:J,MATCH('Isaac 401k'!N2697,'Retirement Calculator'!A:A,0),0),0)</f>
        <v>0</v>
      </c>
      <c r="K2697" s="455">
        <f t="shared" ca="1" si="151"/>
        <v>119864030.67346194</v>
      </c>
      <c r="L2697" s="455">
        <f t="shared" ca="1" si="152"/>
        <v>28887231392.304333</v>
      </c>
      <c r="M2697" s="471">
        <f t="shared" si="154"/>
        <v>0.05</v>
      </c>
      <c r="N2697" s="475">
        <f t="shared" si="155"/>
        <v>133132</v>
      </c>
    </row>
    <row r="2698" spans="7:14" ht="11.25" customHeight="1" x14ac:dyDescent="0.3">
      <c r="G2698" s="470"/>
      <c r="H2698" s="470">
        <v>2691</v>
      </c>
      <c r="I2698" s="455">
        <f t="shared" ca="1" si="153"/>
        <v>28887231392.304333</v>
      </c>
      <c r="J2698" s="455">
        <f t="array" ref="J2698">IFERROR(INDEX('Retirement Calculator'!J:J,MATCH('Isaac 401k'!N2698,'Retirement Calculator'!A:A,0),0),0)</f>
        <v>0</v>
      </c>
      <c r="K2698" s="455">
        <f t="shared" ca="1" si="151"/>
        <v>120363464.1346014</v>
      </c>
      <c r="L2698" s="455">
        <f t="shared" ca="1" si="152"/>
        <v>29007594856.438934</v>
      </c>
      <c r="M2698" s="471">
        <f t="shared" si="154"/>
        <v>0.05</v>
      </c>
      <c r="N2698" s="475">
        <f t="shared" si="155"/>
        <v>133163</v>
      </c>
    </row>
    <row r="2699" spans="7:14" ht="11.25" customHeight="1" x14ac:dyDescent="0.3">
      <c r="G2699" s="470"/>
      <c r="H2699" s="470">
        <v>2692</v>
      </c>
      <c r="I2699" s="455">
        <f t="shared" ca="1" si="153"/>
        <v>29007594856.438934</v>
      </c>
      <c r="J2699" s="455">
        <f t="array" ref="J2699">IFERROR(INDEX('Retirement Calculator'!J:J,MATCH('Isaac 401k'!N2699,'Retirement Calculator'!A:A,0),0),0)</f>
        <v>0</v>
      </c>
      <c r="K2699" s="455">
        <f t="shared" ca="1" si="151"/>
        <v>120864978.56849554</v>
      </c>
      <c r="L2699" s="455">
        <f t="shared" ca="1" si="152"/>
        <v>29128459835.007431</v>
      </c>
      <c r="M2699" s="471">
        <f t="shared" si="154"/>
        <v>0.05</v>
      </c>
      <c r="N2699" s="475">
        <f t="shared" si="155"/>
        <v>133194</v>
      </c>
    </row>
    <row r="2700" spans="7:14" ht="11.25" customHeight="1" x14ac:dyDescent="0.3">
      <c r="G2700" s="470"/>
      <c r="H2700" s="470">
        <v>2693</v>
      </c>
      <c r="I2700" s="455">
        <f t="shared" ca="1" si="153"/>
        <v>29128459835.007431</v>
      </c>
      <c r="J2700" s="455">
        <f t="array" ref="J2700">IFERROR(INDEX('Retirement Calculator'!J:J,MATCH('Isaac 401k'!N2700,'Retirement Calculator'!A:A,0),0),0)</f>
        <v>0</v>
      </c>
      <c r="K2700" s="455">
        <f t="shared" ca="1" si="151"/>
        <v>121368582.64586429</v>
      </c>
      <c r="L2700" s="455">
        <f t="shared" ca="1" si="152"/>
        <v>29249828417.653294</v>
      </c>
      <c r="M2700" s="471">
        <f t="shared" si="154"/>
        <v>0.05</v>
      </c>
      <c r="N2700" s="475">
        <f t="shared" si="155"/>
        <v>133224</v>
      </c>
    </row>
    <row r="2701" spans="7:14" ht="11.25" customHeight="1" x14ac:dyDescent="0.3">
      <c r="G2701" s="470"/>
      <c r="H2701" s="470">
        <v>2694</v>
      </c>
      <c r="I2701" s="455">
        <f t="shared" ca="1" si="153"/>
        <v>29249828417.653294</v>
      </c>
      <c r="J2701" s="455">
        <f t="array" ref="J2701">IFERROR(INDEX('Retirement Calculator'!J:J,MATCH('Isaac 401k'!N2701,'Retirement Calculator'!A:A,0),0),0)</f>
        <v>0</v>
      </c>
      <c r="K2701" s="455">
        <f t="shared" ca="1" si="151"/>
        <v>121874285.0735554</v>
      </c>
      <c r="L2701" s="455">
        <f t="shared" ca="1" si="152"/>
        <v>29371702702.726849</v>
      </c>
      <c r="M2701" s="471">
        <f t="shared" si="154"/>
        <v>0.05</v>
      </c>
      <c r="N2701" s="475">
        <f t="shared" si="155"/>
        <v>133255</v>
      </c>
    </row>
    <row r="2702" spans="7:14" ht="11.25" customHeight="1" x14ac:dyDescent="0.3">
      <c r="G2702" s="470"/>
      <c r="H2702" s="470">
        <v>2695</v>
      </c>
      <c r="I2702" s="455">
        <f t="shared" ca="1" si="153"/>
        <v>29371702702.726849</v>
      </c>
      <c r="J2702" s="455">
        <f t="array" ref="J2702">IFERROR(INDEX('Retirement Calculator'!J:J,MATCH('Isaac 401k'!N2702,'Retirement Calculator'!A:A,0),0),0)</f>
        <v>0</v>
      </c>
      <c r="K2702" s="455">
        <f t="shared" ca="1" si="151"/>
        <v>122382094.5946952</v>
      </c>
      <c r="L2702" s="455">
        <f t="shared" ca="1" si="152"/>
        <v>29494084797.321545</v>
      </c>
      <c r="M2702" s="471">
        <f t="shared" si="154"/>
        <v>0.05</v>
      </c>
      <c r="N2702" s="475">
        <f t="shared" si="155"/>
        <v>133285</v>
      </c>
    </row>
    <row r="2703" spans="7:14" ht="11.25" customHeight="1" x14ac:dyDescent="0.3">
      <c r="G2703" s="470"/>
      <c r="H2703" s="470">
        <v>2696</v>
      </c>
      <c r="I2703" s="455">
        <f t="shared" ca="1" si="153"/>
        <v>29494084797.321545</v>
      </c>
      <c r="J2703" s="455">
        <f t="array" ref="J2703">IFERROR(INDEX('Retirement Calculator'!J:J,MATCH('Isaac 401k'!N2703,'Retirement Calculator'!A:A,0),0),0)</f>
        <v>0</v>
      </c>
      <c r="K2703" s="455">
        <f t="shared" ca="1" si="151"/>
        <v>122892019.98883976</v>
      </c>
      <c r="L2703" s="455">
        <f t="shared" ca="1" si="152"/>
        <v>29616976817.310383</v>
      </c>
      <c r="M2703" s="471">
        <f t="shared" si="154"/>
        <v>0.05</v>
      </c>
      <c r="N2703" s="475">
        <f t="shared" si="155"/>
        <v>133316</v>
      </c>
    </row>
    <row r="2704" spans="7:14" ht="11.25" customHeight="1" x14ac:dyDescent="0.3">
      <c r="G2704" s="470"/>
      <c r="H2704" s="470">
        <v>2697</v>
      </c>
      <c r="I2704" s="455">
        <f t="shared" ca="1" si="153"/>
        <v>29616976817.310383</v>
      </c>
      <c r="J2704" s="455">
        <f t="array" ref="J2704">IFERROR(INDEX('Retirement Calculator'!J:J,MATCH('Isaac 401k'!N2704,'Retirement Calculator'!A:A,0),0),0)</f>
        <v>0</v>
      </c>
      <c r="K2704" s="455">
        <f t="shared" ca="1" si="151"/>
        <v>123404070.0721266</v>
      </c>
      <c r="L2704" s="455">
        <f t="shared" ca="1" si="152"/>
        <v>29740380887.382511</v>
      </c>
      <c r="M2704" s="471">
        <f t="shared" si="154"/>
        <v>0.05</v>
      </c>
      <c r="N2704" s="475">
        <f t="shared" si="155"/>
        <v>133347</v>
      </c>
    </row>
    <row r="2705" spans="7:14" ht="11.25" customHeight="1" x14ac:dyDescent="0.3">
      <c r="G2705" s="470"/>
      <c r="H2705" s="470">
        <v>2698</v>
      </c>
      <c r="I2705" s="455">
        <f t="shared" ca="1" si="153"/>
        <v>29740380887.382511</v>
      </c>
      <c r="J2705" s="455">
        <f t="array" ref="J2705">IFERROR(INDEX('Retirement Calculator'!J:J,MATCH('Isaac 401k'!N2705,'Retirement Calculator'!A:A,0),0),0)</f>
        <v>0</v>
      </c>
      <c r="K2705" s="455">
        <f t="shared" ca="1" si="151"/>
        <v>123918253.69742711</v>
      </c>
      <c r="L2705" s="455">
        <f t="shared" ca="1" si="152"/>
        <v>29864299141.079937</v>
      </c>
      <c r="M2705" s="471">
        <f t="shared" si="154"/>
        <v>0.05</v>
      </c>
      <c r="N2705" s="475">
        <f t="shared" si="155"/>
        <v>133375</v>
      </c>
    </row>
    <row r="2706" spans="7:14" ht="11.25" customHeight="1" x14ac:dyDescent="0.3">
      <c r="G2706" s="470"/>
      <c r="H2706" s="470">
        <v>2699</v>
      </c>
      <c r="I2706" s="455">
        <f t="shared" ca="1" si="153"/>
        <v>29864299141.079937</v>
      </c>
      <c r="J2706" s="455">
        <f t="array" ref="J2706">IFERROR(INDEX('Retirement Calculator'!J:J,MATCH('Isaac 401k'!N2706,'Retirement Calculator'!A:A,0),0),0)</f>
        <v>0</v>
      </c>
      <c r="K2706" s="455">
        <f t="shared" ca="1" si="151"/>
        <v>124434579.75449973</v>
      </c>
      <c r="L2706" s="455">
        <f t="shared" ca="1" si="152"/>
        <v>29988733720.834438</v>
      </c>
      <c r="M2706" s="471">
        <f t="shared" si="154"/>
        <v>0.05</v>
      </c>
      <c r="N2706" s="475">
        <f t="shared" si="155"/>
        <v>133406</v>
      </c>
    </row>
    <row r="2707" spans="7:14" ht="11.25" customHeight="1" x14ac:dyDescent="0.3">
      <c r="G2707" s="470"/>
      <c r="H2707" s="470">
        <v>2700</v>
      </c>
      <c r="I2707" s="455">
        <f t="shared" ca="1" si="153"/>
        <v>29988733720.834438</v>
      </c>
      <c r="J2707" s="455">
        <f t="array" ref="J2707">IFERROR(INDEX('Retirement Calculator'!J:J,MATCH('Isaac 401k'!N2707,'Retirement Calculator'!A:A,0),0),0)</f>
        <v>0</v>
      </c>
      <c r="K2707" s="455">
        <f t="shared" ca="1" si="151"/>
        <v>124953057.17014349</v>
      </c>
      <c r="L2707" s="455">
        <f t="shared" ca="1" si="152"/>
        <v>30113686778.004581</v>
      </c>
      <c r="M2707" s="471">
        <f t="shared" si="154"/>
        <v>0.05</v>
      </c>
      <c r="N2707" s="475">
        <f t="shared" si="155"/>
        <v>133436</v>
      </c>
    </row>
    <row r="2708" spans="7:14" ht="11.25" customHeight="1" x14ac:dyDescent="0.3">
      <c r="G2708" s="470"/>
      <c r="H2708" s="470">
        <v>2701</v>
      </c>
      <c r="I2708" s="455">
        <f t="shared" ca="1" si="153"/>
        <v>30113686778.004581</v>
      </c>
      <c r="J2708" s="455">
        <f t="array" ref="J2708">IFERROR(INDEX('Retirement Calculator'!J:J,MATCH('Isaac 401k'!N2708,'Retirement Calculator'!A:A,0),0),0)</f>
        <v>0</v>
      </c>
      <c r="K2708" s="455">
        <f t="shared" ca="1" si="151"/>
        <v>125473694.90835242</v>
      </c>
      <c r="L2708" s="455">
        <f t="shared" ca="1" si="152"/>
        <v>30239160472.912933</v>
      </c>
      <c r="M2708" s="471">
        <f t="shared" si="154"/>
        <v>0.05</v>
      </c>
      <c r="N2708" s="475">
        <f t="shared" si="155"/>
        <v>133467</v>
      </c>
    </row>
    <row r="2709" spans="7:14" ht="11.25" customHeight="1" x14ac:dyDescent="0.3">
      <c r="G2709" s="470"/>
      <c r="H2709" s="470">
        <v>2702</v>
      </c>
      <c r="I2709" s="455">
        <f t="shared" ca="1" si="153"/>
        <v>30239160472.912933</v>
      </c>
      <c r="J2709" s="455">
        <f t="array" ref="J2709">IFERROR(INDEX('Retirement Calculator'!J:J,MATCH('Isaac 401k'!N2709,'Retirement Calculator'!A:A,0),0),0)</f>
        <v>0</v>
      </c>
      <c r="K2709" s="455">
        <f t="shared" ca="1" si="151"/>
        <v>125996501.97047055</v>
      </c>
      <c r="L2709" s="455">
        <f t="shared" ca="1" si="152"/>
        <v>30365156974.883404</v>
      </c>
      <c r="M2709" s="471">
        <f t="shared" si="154"/>
        <v>0.05</v>
      </c>
      <c r="N2709" s="475">
        <f t="shared" si="155"/>
        <v>133497</v>
      </c>
    </row>
    <row r="2710" spans="7:14" ht="11.25" customHeight="1" x14ac:dyDescent="0.3">
      <c r="G2710" s="470"/>
      <c r="H2710" s="470">
        <v>2703</v>
      </c>
      <c r="I2710" s="455">
        <f t="shared" ca="1" si="153"/>
        <v>30365156974.883404</v>
      </c>
      <c r="J2710" s="455">
        <f t="array" ref="J2710">IFERROR(INDEX('Retirement Calculator'!J:J,MATCH('Isaac 401k'!N2710,'Retirement Calculator'!A:A,0),0),0)</f>
        <v>0</v>
      </c>
      <c r="K2710" s="455">
        <f t="shared" ca="1" si="151"/>
        <v>126521487.39534749</v>
      </c>
      <c r="L2710" s="455">
        <f t="shared" ca="1" si="152"/>
        <v>30491678462.278751</v>
      </c>
      <c r="M2710" s="471">
        <f t="shared" si="154"/>
        <v>0.05</v>
      </c>
      <c r="N2710" s="475">
        <f t="shared" si="155"/>
        <v>133528</v>
      </c>
    </row>
    <row r="2711" spans="7:14" ht="11.25" customHeight="1" x14ac:dyDescent="0.3">
      <c r="G2711" s="470"/>
      <c r="H2711" s="470">
        <v>2704</v>
      </c>
      <c r="I2711" s="455">
        <f t="shared" ca="1" si="153"/>
        <v>30491678462.278751</v>
      </c>
      <c r="J2711" s="455">
        <f t="array" ref="J2711">IFERROR(INDEX('Retirement Calculator'!J:J,MATCH('Isaac 401k'!N2711,'Retirement Calculator'!A:A,0),0),0)</f>
        <v>0</v>
      </c>
      <c r="K2711" s="455">
        <f t="shared" ca="1" si="151"/>
        <v>127048660.2594948</v>
      </c>
      <c r="L2711" s="455">
        <f t="shared" ca="1" si="152"/>
        <v>30618727122.538246</v>
      </c>
      <c r="M2711" s="471">
        <f t="shared" si="154"/>
        <v>0.05</v>
      </c>
      <c r="N2711" s="475">
        <f t="shared" si="155"/>
        <v>133559</v>
      </c>
    </row>
    <row r="2712" spans="7:14" ht="11.25" customHeight="1" x14ac:dyDescent="0.3">
      <c r="G2712" s="470"/>
      <c r="H2712" s="470">
        <v>2705</v>
      </c>
      <c r="I2712" s="455">
        <f t="shared" ca="1" si="153"/>
        <v>30618727122.538246</v>
      </c>
      <c r="J2712" s="455">
        <f t="array" ref="J2712">IFERROR(INDEX('Retirement Calculator'!J:J,MATCH('Isaac 401k'!N2712,'Retirement Calculator'!A:A,0),0),0)</f>
        <v>0</v>
      </c>
      <c r="K2712" s="455">
        <f t="shared" ca="1" si="151"/>
        <v>127578029.6772427</v>
      </c>
      <c r="L2712" s="455">
        <f t="shared" ca="1" si="152"/>
        <v>30746305152.215488</v>
      </c>
      <c r="M2712" s="471">
        <f t="shared" si="154"/>
        <v>0.05</v>
      </c>
      <c r="N2712" s="475">
        <f t="shared" si="155"/>
        <v>133589</v>
      </c>
    </row>
    <row r="2713" spans="7:14" ht="11.25" customHeight="1" x14ac:dyDescent="0.3">
      <c r="G2713" s="470"/>
      <c r="H2713" s="470">
        <v>2706</v>
      </c>
      <c r="I2713" s="455">
        <f t="shared" ca="1" si="153"/>
        <v>30746305152.215488</v>
      </c>
      <c r="J2713" s="455">
        <f t="array" ref="J2713">IFERROR(INDEX('Retirement Calculator'!J:J,MATCH('Isaac 401k'!N2713,'Retirement Calculator'!A:A,0),0),0)</f>
        <v>0</v>
      </c>
      <c r="K2713" s="455">
        <f t="shared" ca="1" si="151"/>
        <v>128109604.80089785</v>
      </c>
      <c r="L2713" s="455">
        <f t="shared" ca="1" si="152"/>
        <v>30874414757.016388</v>
      </c>
      <c r="M2713" s="471">
        <f t="shared" si="154"/>
        <v>0.05</v>
      </c>
      <c r="N2713" s="475">
        <f t="shared" si="155"/>
        <v>133620</v>
      </c>
    </row>
    <row r="2714" spans="7:14" ht="11.25" customHeight="1" x14ac:dyDescent="0.3">
      <c r="G2714" s="470"/>
      <c r="H2714" s="470">
        <v>2707</v>
      </c>
      <c r="I2714" s="455">
        <f t="shared" ca="1" si="153"/>
        <v>30874414757.016388</v>
      </c>
      <c r="J2714" s="455">
        <f t="array" ref="J2714">IFERROR(INDEX('Retirement Calculator'!J:J,MATCH('Isaac 401k'!N2714,'Retirement Calculator'!A:A,0),0),0)</f>
        <v>0</v>
      </c>
      <c r="K2714" s="455">
        <f t="shared" ca="1" si="151"/>
        <v>128643394.8209016</v>
      </c>
      <c r="L2714" s="455">
        <f t="shared" ca="1" si="152"/>
        <v>31003058151.837288</v>
      </c>
      <c r="M2714" s="471">
        <f t="shared" si="154"/>
        <v>0.05</v>
      </c>
      <c r="N2714" s="475">
        <f t="shared" si="155"/>
        <v>133650</v>
      </c>
    </row>
    <row r="2715" spans="7:14" ht="11.25" customHeight="1" x14ac:dyDescent="0.3">
      <c r="G2715" s="470"/>
      <c r="H2715" s="470">
        <v>2708</v>
      </c>
      <c r="I2715" s="455">
        <f t="shared" ca="1" si="153"/>
        <v>31003058151.837288</v>
      </c>
      <c r="J2715" s="455">
        <f t="array" ref="J2715">IFERROR(INDEX('Retirement Calculator'!J:J,MATCH('Isaac 401k'!N2715,'Retirement Calculator'!A:A,0),0),0)</f>
        <v>0</v>
      </c>
      <c r="K2715" s="455">
        <f t="shared" ca="1" si="151"/>
        <v>129179408.9659887</v>
      </c>
      <c r="L2715" s="455">
        <f t="shared" ca="1" si="152"/>
        <v>31132237560.803276</v>
      </c>
      <c r="M2715" s="471">
        <f t="shared" si="154"/>
        <v>0.05</v>
      </c>
      <c r="N2715" s="475">
        <f t="shared" si="155"/>
        <v>133681</v>
      </c>
    </row>
    <row r="2716" spans="7:14" ht="11.25" customHeight="1" x14ac:dyDescent="0.3">
      <c r="G2716" s="470"/>
      <c r="H2716" s="470">
        <v>2709</v>
      </c>
      <c r="I2716" s="455">
        <f t="shared" ca="1" si="153"/>
        <v>31132237560.803276</v>
      </c>
      <c r="J2716" s="455">
        <f t="array" ref="J2716">IFERROR(INDEX('Retirement Calculator'!J:J,MATCH('Isaac 401k'!N2716,'Retirement Calculator'!A:A,0),0),0)</f>
        <v>0</v>
      </c>
      <c r="K2716" s="455">
        <f t="shared" ca="1" si="151"/>
        <v>129717656.50334696</v>
      </c>
      <c r="L2716" s="455">
        <f t="shared" ca="1" si="152"/>
        <v>31261955217.306622</v>
      </c>
      <c r="M2716" s="471">
        <f t="shared" si="154"/>
        <v>0.05</v>
      </c>
      <c r="N2716" s="475">
        <f t="shared" si="155"/>
        <v>133712</v>
      </c>
    </row>
    <row r="2717" spans="7:14" ht="11.25" customHeight="1" x14ac:dyDescent="0.3">
      <c r="G2717" s="470"/>
      <c r="H2717" s="470">
        <v>2710</v>
      </c>
      <c r="I2717" s="455">
        <f t="shared" ca="1" si="153"/>
        <v>31261955217.306622</v>
      </c>
      <c r="J2717" s="455">
        <f t="array" ref="J2717">IFERROR(INDEX('Retirement Calculator'!J:J,MATCH('Isaac 401k'!N2717,'Retirement Calculator'!A:A,0),0),0)</f>
        <v>0</v>
      </c>
      <c r="K2717" s="455">
        <f t="shared" ca="1" si="151"/>
        <v>130258146.73877759</v>
      </c>
      <c r="L2717" s="455">
        <f t="shared" ca="1" si="152"/>
        <v>31392213364.045399</v>
      </c>
      <c r="M2717" s="471">
        <f t="shared" si="154"/>
        <v>0.05</v>
      </c>
      <c r="N2717" s="475">
        <f t="shared" si="155"/>
        <v>133740</v>
      </c>
    </row>
    <row r="2718" spans="7:14" ht="11.25" customHeight="1" x14ac:dyDescent="0.3">
      <c r="G2718" s="470"/>
      <c r="H2718" s="470">
        <v>2711</v>
      </c>
      <c r="I2718" s="455">
        <f t="shared" ca="1" si="153"/>
        <v>31392213364.045399</v>
      </c>
      <c r="J2718" s="455">
        <f t="array" ref="J2718">IFERROR(INDEX('Retirement Calculator'!J:J,MATCH('Isaac 401k'!N2718,'Retirement Calculator'!A:A,0),0),0)</f>
        <v>0</v>
      </c>
      <c r="K2718" s="455">
        <f t="shared" ca="1" si="151"/>
        <v>130800889.01685582</v>
      </c>
      <c r="L2718" s="455">
        <f t="shared" ca="1" si="152"/>
        <v>31523014253.062256</v>
      </c>
      <c r="M2718" s="471">
        <f t="shared" si="154"/>
        <v>0.05</v>
      </c>
      <c r="N2718" s="475">
        <f t="shared" si="155"/>
        <v>133771</v>
      </c>
    </row>
    <row r="2719" spans="7:14" ht="11.25" customHeight="1" x14ac:dyDescent="0.3">
      <c r="G2719" s="470"/>
      <c r="H2719" s="470">
        <v>2712</v>
      </c>
      <c r="I2719" s="455">
        <f t="shared" ca="1" si="153"/>
        <v>31523014253.062256</v>
      </c>
      <c r="J2719" s="455">
        <f t="array" ref="J2719">IFERROR(INDEX('Retirement Calculator'!J:J,MATCH('Isaac 401k'!N2719,'Retirement Calculator'!A:A,0),0),0)</f>
        <v>0</v>
      </c>
      <c r="K2719" s="455">
        <f t="shared" ca="1" si="151"/>
        <v>131345892.72109275</v>
      </c>
      <c r="L2719" s="455">
        <f t="shared" ca="1" si="152"/>
        <v>31654360145.783348</v>
      </c>
      <c r="M2719" s="471">
        <f t="shared" si="154"/>
        <v>0.05</v>
      </c>
      <c r="N2719" s="475">
        <f t="shared" si="155"/>
        <v>133801</v>
      </c>
    </row>
    <row r="2720" spans="7:14" ht="11.25" customHeight="1" x14ac:dyDescent="0.3">
      <c r="G2720" s="470"/>
      <c r="H2720" s="470">
        <v>2713</v>
      </c>
      <c r="I2720" s="455">
        <f t="shared" ca="1" si="153"/>
        <v>31654360145.783348</v>
      </c>
      <c r="J2720" s="455">
        <f t="array" ref="J2720">IFERROR(INDEX('Retirement Calculator'!J:J,MATCH('Isaac 401k'!N2720,'Retirement Calculator'!A:A,0),0),0)</f>
        <v>0</v>
      </c>
      <c r="K2720" s="455">
        <f t="shared" ca="1" si="151"/>
        <v>131893167.27409728</v>
      </c>
      <c r="L2720" s="455">
        <f t="shared" ca="1" si="152"/>
        <v>31786253313.057446</v>
      </c>
      <c r="M2720" s="471">
        <f t="shared" si="154"/>
        <v>0.05</v>
      </c>
      <c r="N2720" s="475">
        <f t="shared" si="155"/>
        <v>133832</v>
      </c>
    </row>
    <row r="2721" spans="7:14" ht="11.25" customHeight="1" x14ac:dyDescent="0.3">
      <c r="G2721" s="470"/>
      <c r="H2721" s="470">
        <v>2714</v>
      </c>
      <c r="I2721" s="455">
        <f t="shared" ca="1" si="153"/>
        <v>31786253313.057446</v>
      </c>
      <c r="J2721" s="455">
        <f t="array" ref="J2721">IFERROR(INDEX('Retirement Calculator'!J:J,MATCH('Isaac 401k'!N2721,'Retirement Calculator'!A:A,0),0),0)</f>
        <v>0</v>
      </c>
      <c r="K2721" s="455">
        <f t="shared" ca="1" si="151"/>
        <v>132442722.13773935</v>
      </c>
      <c r="L2721" s="455">
        <f t="shared" ca="1" si="152"/>
        <v>31918696035.195187</v>
      </c>
      <c r="M2721" s="471">
        <f t="shared" si="154"/>
        <v>0.05</v>
      </c>
      <c r="N2721" s="475">
        <f t="shared" si="155"/>
        <v>133862</v>
      </c>
    </row>
    <row r="2722" spans="7:14" ht="11.25" customHeight="1" x14ac:dyDescent="0.3">
      <c r="G2722" s="470"/>
      <c r="H2722" s="470">
        <v>2715</v>
      </c>
      <c r="I2722" s="455">
        <f t="shared" ca="1" si="153"/>
        <v>31918696035.195187</v>
      </c>
      <c r="J2722" s="455">
        <f t="array" ref="J2722">IFERROR(INDEX('Retirement Calculator'!J:J,MATCH('Isaac 401k'!N2722,'Retirement Calculator'!A:A,0),0),0)</f>
        <v>0</v>
      </c>
      <c r="K2722" s="455">
        <f t="shared" ca="1" si="151"/>
        <v>132994566.81331326</v>
      </c>
      <c r="L2722" s="455">
        <f t="shared" ca="1" si="152"/>
        <v>32051690602.008499</v>
      </c>
      <c r="M2722" s="471">
        <f t="shared" si="154"/>
        <v>0.05</v>
      </c>
      <c r="N2722" s="475">
        <f t="shared" si="155"/>
        <v>133893</v>
      </c>
    </row>
    <row r="2723" spans="7:14" ht="11.25" customHeight="1" x14ac:dyDescent="0.3">
      <c r="G2723" s="470"/>
      <c r="H2723" s="470">
        <v>2716</v>
      </c>
      <c r="I2723" s="455">
        <f t="shared" ca="1" si="153"/>
        <v>32051690602.008499</v>
      </c>
      <c r="J2723" s="455">
        <f t="array" ref="J2723">IFERROR(INDEX('Retirement Calculator'!J:J,MATCH('Isaac 401k'!N2723,'Retirement Calculator'!A:A,0),0),0)</f>
        <v>0</v>
      </c>
      <c r="K2723" s="455">
        <f t="shared" ca="1" si="151"/>
        <v>133548710.84170206</v>
      </c>
      <c r="L2723" s="455">
        <f t="shared" ca="1" si="152"/>
        <v>32185239312.850201</v>
      </c>
      <c r="M2723" s="471">
        <f t="shared" si="154"/>
        <v>0.05</v>
      </c>
      <c r="N2723" s="475">
        <f t="shared" si="155"/>
        <v>133924</v>
      </c>
    </row>
    <row r="2724" spans="7:14" ht="11.25" customHeight="1" x14ac:dyDescent="0.3">
      <c r="G2724" s="470"/>
      <c r="H2724" s="470">
        <v>2717</v>
      </c>
      <c r="I2724" s="455">
        <f t="shared" ca="1" si="153"/>
        <v>32185239312.850201</v>
      </c>
      <c r="J2724" s="455">
        <f t="array" ref="J2724">IFERROR(INDEX('Retirement Calculator'!J:J,MATCH('Isaac 401k'!N2724,'Retirement Calculator'!A:A,0),0),0)</f>
        <v>0</v>
      </c>
      <c r="K2724" s="455">
        <f t="shared" ca="1" si="151"/>
        <v>134105163.80354249</v>
      </c>
      <c r="L2724" s="455">
        <f t="shared" ca="1" si="152"/>
        <v>32319344476.653744</v>
      </c>
      <c r="M2724" s="471">
        <f t="shared" si="154"/>
        <v>0.05</v>
      </c>
      <c r="N2724" s="475">
        <f t="shared" si="155"/>
        <v>133954</v>
      </c>
    </row>
    <row r="2725" spans="7:14" ht="11.25" customHeight="1" x14ac:dyDescent="0.3">
      <c r="G2725" s="470"/>
      <c r="H2725" s="470">
        <v>2718</v>
      </c>
      <c r="I2725" s="455">
        <f t="shared" ca="1" si="153"/>
        <v>32319344476.653744</v>
      </c>
      <c r="J2725" s="455">
        <f t="array" ref="J2725">IFERROR(INDEX('Retirement Calculator'!J:J,MATCH('Isaac 401k'!N2725,'Retirement Calculator'!A:A,0),0),0)</f>
        <v>0</v>
      </c>
      <c r="K2725" s="455">
        <f t="shared" ca="1" si="151"/>
        <v>134663935.31939059</v>
      </c>
      <c r="L2725" s="455">
        <f t="shared" ca="1" si="152"/>
        <v>32454008411.973133</v>
      </c>
      <c r="M2725" s="471">
        <f t="shared" si="154"/>
        <v>0.05</v>
      </c>
      <c r="N2725" s="475">
        <f t="shared" si="155"/>
        <v>133985</v>
      </c>
    </row>
    <row r="2726" spans="7:14" ht="11.25" customHeight="1" x14ac:dyDescent="0.3">
      <c r="G2726" s="470"/>
      <c r="H2726" s="470">
        <v>2719</v>
      </c>
      <c r="I2726" s="455">
        <f t="shared" ca="1" si="153"/>
        <v>32454008411.973133</v>
      </c>
      <c r="J2726" s="455">
        <f t="array" ref="J2726">IFERROR(INDEX('Retirement Calculator'!J:J,MATCH('Isaac 401k'!N2726,'Retirement Calculator'!A:A,0),0),0)</f>
        <v>0</v>
      </c>
      <c r="K2726" s="455">
        <f t="shared" ca="1" si="151"/>
        <v>135225035.04988804</v>
      </c>
      <c r="L2726" s="455">
        <f t="shared" ca="1" si="152"/>
        <v>32589233447.023022</v>
      </c>
      <c r="M2726" s="471">
        <f t="shared" si="154"/>
        <v>0.05</v>
      </c>
      <c r="N2726" s="475">
        <f t="shared" si="155"/>
        <v>134015</v>
      </c>
    </row>
    <row r="2727" spans="7:14" ht="11.25" customHeight="1" x14ac:dyDescent="0.3">
      <c r="G2727" s="470"/>
      <c r="H2727" s="470">
        <v>2720</v>
      </c>
      <c r="I2727" s="455">
        <f t="shared" ca="1" si="153"/>
        <v>32589233447.023022</v>
      </c>
      <c r="J2727" s="455">
        <f t="array" ref="J2727">IFERROR(INDEX('Retirement Calculator'!J:J,MATCH('Isaac 401k'!N2727,'Retirement Calculator'!A:A,0),0),0)</f>
        <v>0</v>
      </c>
      <c r="K2727" s="455">
        <f t="shared" ca="1" si="151"/>
        <v>135788472.69592923</v>
      </c>
      <c r="L2727" s="455">
        <f t="shared" ca="1" si="152"/>
        <v>32725021919.718952</v>
      </c>
      <c r="M2727" s="471">
        <f t="shared" si="154"/>
        <v>0.05</v>
      </c>
      <c r="N2727" s="475">
        <f t="shared" si="155"/>
        <v>134046</v>
      </c>
    </row>
    <row r="2728" spans="7:14" ht="11.25" customHeight="1" x14ac:dyDescent="0.3">
      <c r="G2728" s="470"/>
      <c r="H2728" s="470">
        <v>2721</v>
      </c>
      <c r="I2728" s="455">
        <f t="shared" ca="1" si="153"/>
        <v>32725021919.718952</v>
      </c>
      <c r="J2728" s="455">
        <f t="array" ref="J2728">IFERROR(INDEX('Retirement Calculator'!J:J,MATCH('Isaac 401k'!N2728,'Retirement Calculator'!A:A,0),0),0)</f>
        <v>0</v>
      </c>
      <c r="K2728" s="455">
        <f t="shared" ca="1" si="151"/>
        <v>136354257.99882898</v>
      </c>
      <c r="L2728" s="455">
        <f t="shared" ca="1" si="152"/>
        <v>32861376177.717781</v>
      </c>
      <c r="M2728" s="471">
        <f t="shared" si="154"/>
        <v>0.05</v>
      </c>
      <c r="N2728" s="475">
        <f t="shared" si="155"/>
        <v>134077</v>
      </c>
    </row>
    <row r="2729" spans="7:14" ht="11.25" customHeight="1" x14ac:dyDescent="0.3">
      <c r="G2729" s="470"/>
      <c r="H2729" s="470">
        <v>2722</v>
      </c>
      <c r="I2729" s="455">
        <f t="shared" ca="1" si="153"/>
        <v>32861376177.717781</v>
      </c>
      <c r="J2729" s="455">
        <f t="array" ref="J2729">IFERROR(INDEX('Retirement Calculator'!J:J,MATCH('Isaac 401k'!N2729,'Retirement Calculator'!A:A,0),0),0)</f>
        <v>0</v>
      </c>
      <c r="K2729" s="455">
        <f t="shared" ca="1" si="151"/>
        <v>136922400.74049076</v>
      </c>
      <c r="L2729" s="455">
        <f t="shared" ca="1" si="152"/>
        <v>32998298578.458271</v>
      </c>
      <c r="M2729" s="471">
        <f t="shared" si="154"/>
        <v>0.05</v>
      </c>
      <c r="N2729" s="475">
        <f t="shared" si="155"/>
        <v>134105</v>
      </c>
    </row>
    <row r="2730" spans="7:14" ht="11.25" customHeight="1" x14ac:dyDescent="0.3">
      <c r="G2730" s="470"/>
      <c r="H2730" s="470">
        <v>2723</v>
      </c>
      <c r="I2730" s="455">
        <f t="shared" ca="1" si="153"/>
        <v>32998298578.458271</v>
      </c>
      <c r="J2730" s="455">
        <f t="array" ref="J2730">IFERROR(INDEX('Retirement Calculator'!J:J,MATCH('Isaac 401k'!N2730,'Retirement Calculator'!A:A,0),0),0)</f>
        <v>0</v>
      </c>
      <c r="K2730" s="455">
        <f t="shared" ca="1" si="151"/>
        <v>137492910.74357614</v>
      </c>
      <c r="L2730" s="455">
        <f t="shared" ca="1" si="152"/>
        <v>33135791489.201847</v>
      </c>
      <c r="M2730" s="471">
        <f t="shared" si="154"/>
        <v>0.05</v>
      </c>
      <c r="N2730" s="475">
        <f t="shared" si="155"/>
        <v>134136</v>
      </c>
    </row>
    <row r="2731" spans="7:14" ht="11.25" customHeight="1" x14ac:dyDescent="0.3">
      <c r="G2731" s="470"/>
      <c r="H2731" s="470">
        <v>2724</v>
      </c>
      <c r="I2731" s="455">
        <f t="shared" ca="1" si="153"/>
        <v>33135791489.201847</v>
      </c>
      <c r="J2731" s="455">
        <f t="array" ref="J2731">IFERROR(INDEX('Retirement Calculator'!J:J,MATCH('Isaac 401k'!N2731,'Retirement Calculator'!A:A,0),0),0)</f>
        <v>0</v>
      </c>
      <c r="K2731" s="455">
        <f t="shared" ca="1" si="151"/>
        <v>138065797.87167436</v>
      </c>
      <c r="L2731" s="455">
        <f t="shared" ca="1" si="152"/>
        <v>33273857287.073521</v>
      </c>
      <c r="M2731" s="471">
        <f t="shared" si="154"/>
        <v>0.05</v>
      </c>
      <c r="N2731" s="475">
        <f t="shared" si="155"/>
        <v>134166</v>
      </c>
    </row>
    <row r="2732" spans="7:14" ht="11.25" customHeight="1" x14ac:dyDescent="0.3">
      <c r="G2732" s="470"/>
      <c r="H2732" s="470">
        <v>2725</v>
      </c>
      <c r="I2732" s="455">
        <f t="shared" ca="1" si="153"/>
        <v>33273857287.073521</v>
      </c>
      <c r="J2732" s="455">
        <f t="array" ref="J2732">IFERROR(INDEX('Retirement Calculator'!J:J,MATCH('Isaac 401k'!N2732,'Retirement Calculator'!A:A,0),0),0)</f>
        <v>0</v>
      </c>
      <c r="K2732" s="455">
        <f t="shared" ca="1" si="151"/>
        <v>138641072.02947298</v>
      </c>
      <c r="L2732" s="455">
        <f t="shared" ca="1" si="152"/>
        <v>33412498359.102993</v>
      </c>
      <c r="M2732" s="471">
        <f t="shared" si="154"/>
        <v>0.05</v>
      </c>
      <c r="N2732" s="475">
        <f t="shared" si="155"/>
        <v>134197</v>
      </c>
    </row>
    <row r="2733" spans="7:14" ht="11.25" customHeight="1" x14ac:dyDescent="0.3">
      <c r="G2733" s="470"/>
      <c r="H2733" s="470">
        <v>2726</v>
      </c>
      <c r="I2733" s="455">
        <f t="shared" ca="1" si="153"/>
        <v>33412498359.102993</v>
      </c>
      <c r="J2733" s="455">
        <f t="array" ref="J2733">IFERROR(INDEX('Retirement Calculator'!J:J,MATCH('Isaac 401k'!N2733,'Retirement Calculator'!A:A,0),0),0)</f>
        <v>0</v>
      </c>
      <c r="K2733" s="455">
        <f t="shared" ca="1" si="151"/>
        <v>139218743.16292915</v>
      </c>
      <c r="L2733" s="455">
        <f t="shared" ca="1" si="152"/>
        <v>33551717102.265923</v>
      </c>
      <c r="M2733" s="471">
        <f t="shared" si="154"/>
        <v>0.05</v>
      </c>
      <c r="N2733" s="475">
        <f t="shared" si="155"/>
        <v>134227</v>
      </c>
    </row>
    <row r="2734" spans="7:14" ht="11.25" customHeight="1" x14ac:dyDescent="0.3">
      <c r="G2734" s="470"/>
      <c r="H2734" s="470">
        <v>2727</v>
      </c>
      <c r="I2734" s="455">
        <f t="shared" ca="1" si="153"/>
        <v>33551717102.265923</v>
      </c>
      <c r="J2734" s="455">
        <f t="array" ref="J2734">IFERROR(INDEX('Retirement Calculator'!J:J,MATCH('Isaac 401k'!N2734,'Retirement Calculator'!A:A,0),0),0)</f>
        <v>0</v>
      </c>
      <c r="K2734" s="455">
        <f t="shared" ca="1" si="151"/>
        <v>139798821.25944132</v>
      </c>
      <c r="L2734" s="455">
        <f t="shared" ca="1" si="152"/>
        <v>33691515923.525364</v>
      </c>
      <c r="M2734" s="471">
        <f t="shared" si="154"/>
        <v>0.05</v>
      </c>
      <c r="N2734" s="475">
        <f t="shared" si="155"/>
        <v>134258</v>
      </c>
    </row>
    <row r="2735" spans="7:14" ht="11.25" customHeight="1" x14ac:dyDescent="0.3">
      <c r="G2735" s="470"/>
      <c r="H2735" s="470">
        <v>2728</v>
      </c>
      <c r="I2735" s="455">
        <f t="shared" ca="1" si="153"/>
        <v>33691515923.525364</v>
      </c>
      <c r="J2735" s="455">
        <f t="array" ref="J2735">IFERROR(INDEX('Retirement Calculator'!J:J,MATCH('Isaac 401k'!N2735,'Retirement Calculator'!A:A,0),0),0)</f>
        <v>0</v>
      </c>
      <c r="K2735" s="455">
        <f t="shared" ca="1" si="151"/>
        <v>140381316.34802234</v>
      </c>
      <c r="L2735" s="455">
        <f t="shared" ca="1" si="152"/>
        <v>33831897239.873386</v>
      </c>
      <c r="M2735" s="471">
        <f t="shared" si="154"/>
        <v>0.05</v>
      </c>
      <c r="N2735" s="475">
        <f t="shared" si="155"/>
        <v>134289</v>
      </c>
    </row>
    <row r="2736" spans="7:14" ht="11.25" customHeight="1" x14ac:dyDescent="0.3">
      <c r="G2736" s="470"/>
      <c r="H2736" s="470">
        <v>2729</v>
      </c>
      <c r="I2736" s="455">
        <f t="shared" ca="1" si="153"/>
        <v>33831897239.873386</v>
      </c>
      <c r="J2736" s="455">
        <f t="array" ref="J2736">IFERROR(INDEX('Retirement Calculator'!J:J,MATCH('Isaac 401k'!N2736,'Retirement Calculator'!A:A,0),0),0)</f>
        <v>0</v>
      </c>
      <c r="K2736" s="455">
        <f t="shared" ca="1" si="151"/>
        <v>140966238.49947244</v>
      </c>
      <c r="L2736" s="455">
        <f t="shared" ca="1" si="152"/>
        <v>33972863478.37286</v>
      </c>
      <c r="M2736" s="471">
        <f t="shared" si="154"/>
        <v>0.05</v>
      </c>
      <c r="N2736" s="475">
        <f t="shared" si="155"/>
        <v>134319</v>
      </c>
    </row>
    <row r="2737" spans="7:14" ht="11.25" customHeight="1" x14ac:dyDescent="0.3">
      <c r="G2737" s="470"/>
      <c r="H2737" s="470">
        <v>2730</v>
      </c>
      <c r="I2737" s="455">
        <f t="shared" ca="1" si="153"/>
        <v>33972863478.37286</v>
      </c>
      <c r="J2737" s="455">
        <f t="array" ref="J2737">IFERROR(INDEX('Retirement Calculator'!J:J,MATCH('Isaac 401k'!N2737,'Retirement Calculator'!A:A,0),0),0)</f>
        <v>0</v>
      </c>
      <c r="K2737" s="455">
        <f t="shared" ca="1" si="151"/>
        <v>141553597.82655355</v>
      </c>
      <c r="L2737" s="455">
        <f t="shared" ca="1" si="152"/>
        <v>34114417076.199413</v>
      </c>
      <c r="M2737" s="471">
        <f t="shared" si="154"/>
        <v>0.05</v>
      </c>
      <c r="N2737" s="475">
        <f t="shared" si="155"/>
        <v>134350</v>
      </c>
    </row>
    <row r="2738" spans="7:14" ht="11.25" customHeight="1" x14ac:dyDescent="0.3">
      <c r="G2738" s="470"/>
      <c r="H2738" s="470">
        <v>2731</v>
      </c>
      <c r="I2738" s="455">
        <f t="shared" ca="1" si="153"/>
        <v>34114417076.199413</v>
      </c>
      <c r="J2738" s="455">
        <f t="array" ref="J2738">IFERROR(INDEX('Retirement Calculator'!J:J,MATCH('Isaac 401k'!N2738,'Retirement Calculator'!A:A,0),0),0)</f>
        <v>0</v>
      </c>
      <c r="K2738" s="455">
        <f t="shared" ca="1" si="151"/>
        <v>142143404.48416424</v>
      </c>
      <c r="L2738" s="455">
        <f t="shared" ca="1" si="152"/>
        <v>34256560480.683578</v>
      </c>
      <c r="M2738" s="471">
        <f t="shared" si="154"/>
        <v>0.05</v>
      </c>
      <c r="N2738" s="475">
        <f t="shared" si="155"/>
        <v>134380</v>
      </c>
    </row>
    <row r="2739" spans="7:14" ht="11.25" customHeight="1" x14ac:dyDescent="0.3">
      <c r="G2739" s="470"/>
      <c r="H2739" s="470">
        <v>2732</v>
      </c>
      <c r="I2739" s="455">
        <f t="shared" ca="1" si="153"/>
        <v>34256560480.683578</v>
      </c>
      <c r="J2739" s="455">
        <f t="array" ref="J2739">IFERROR(INDEX('Retirement Calculator'!J:J,MATCH('Isaac 401k'!N2739,'Retirement Calculator'!A:A,0),0),0)</f>
        <v>0</v>
      </c>
      <c r="K2739" s="455">
        <f t="shared" ca="1" si="151"/>
        <v>142735668.66951489</v>
      </c>
      <c r="L2739" s="455">
        <f t="shared" ca="1" si="152"/>
        <v>34399296149.353096</v>
      </c>
      <c r="M2739" s="471">
        <f t="shared" si="154"/>
        <v>0.05</v>
      </c>
      <c r="N2739" s="475">
        <f t="shared" si="155"/>
        <v>134411</v>
      </c>
    </row>
    <row r="2740" spans="7:14" ht="11.25" customHeight="1" x14ac:dyDescent="0.3">
      <c r="G2740" s="470"/>
      <c r="H2740" s="470">
        <v>2733</v>
      </c>
      <c r="I2740" s="455">
        <f t="shared" ca="1" si="153"/>
        <v>34399296149.353096</v>
      </c>
      <c r="J2740" s="455">
        <f t="array" ref="J2740">IFERROR(INDEX('Retirement Calculator'!J:J,MATCH('Isaac 401k'!N2740,'Retirement Calculator'!A:A,0),0),0)</f>
        <v>0</v>
      </c>
      <c r="K2740" s="455">
        <f t="shared" ca="1" si="151"/>
        <v>143330400.62230456</v>
      </c>
      <c r="L2740" s="455">
        <f t="shared" ca="1" si="152"/>
        <v>34542626549.975403</v>
      </c>
      <c r="M2740" s="471">
        <f t="shared" si="154"/>
        <v>0.05</v>
      </c>
      <c r="N2740" s="475">
        <f t="shared" si="155"/>
        <v>134442</v>
      </c>
    </row>
    <row r="2741" spans="7:14" ht="11.25" customHeight="1" x14ac:dyDescent="0.3">
      <c r="G2741" s="470"/>
      <c r="H2741" s="470">
        <v>2734</v>
      </c>
      <c r="I2741" s="455">
        <f t="shared" ca="1" si="153"/>
        <v>34542626549.975403</v>
      </c>
      <c r="J2741" s="455">
        <f t="array" ref="J2741">IFERROR(INDEX('Retirement Calculator'!J:J,MATCH('Isaac 401k'!N2741,'Retirement Calculator'!A:A,0),0),0)</f>
        <v>0</v>
      </c>
      <c r="K2741" s="455">
        <f t="shared" ca="1" si="151"/>
        <v>143927610.62489751</v>
      </c>
      <c r="L2741" s="455">
        <f t="shared" ca="1" si="152"/>
        <v>34686554160.600304</v>
      </c>
      <c r="M2741" s="471">
        <f t="shared" si="154"/>
        <v>0.05</v>
      </c>
      <c r="N2741" s="475">
        <f t="shared" si="155"/>
        <v>134471</v>
      </c>
    </row>
    <row r="2742" spans="7:14" ht="11.25" customHeight="1" x14ac:dyDescent="0.3">
      <c r="G2742" s="470"/>
      <c r="H2742" s="470">
        <v>2735</v>
      </c>
      <c r="I2742" s="455">
        <f t="shared" ca="1" si="153"/>
        <v>34686554160.600304</v>
      </c>
      <c r="J2742" s="455">
        <f t="array" ref="J2742">IFERROR(INDEX('Retirement Calculator'!J:J,MATCH('Isaac 401k'!N2742,'Retirement Calculator'!A:A,0),0),0)</f>
        <v>0</v>
      </c>
      <c r="K2742" s="455">
        <f t="shared" ca="1" si="151"/>
        <v>144527309.00250125</v>
      </c>
      <c r="L2742" s="455">
        <f t="shared" ca="1" si="152"/>
        <v>34831081469.602806</v>
      </c>
      <c r="M2742" s="471">
        <f t="shared" si="154"/>
        <v>0.05</v>
      </c>
      <c r="N2742" s="475">
        <f t="shared" si="155"/>
        <v>134502</v>
      </c>
    </row>
    <row r="2743" spans="7:14" ht="11.25" customHeight="1" x14ac:dyDescent="0.3">
      <c r="G2743" s="470"/>
      <c r="H2743" s="470">
        <v>2736</v>
      </c>
      <c r="I2743" s="455">
        <f t="shared" ca="1" si="153"/>
        <v>34831081469.602806</v>
      </c>
      <c r="J2743" s="455">
        <f t="array" ref="J2743">IFERROR(INDEX('Retirement Calculator'!J:J,MATCH('Isaac 401k'!N2743,'Retirement Calculator'!A:A,0),0),0)</f>
        <v>0</v>
      </c>
      <c r="K2743" s="455">
        <f t="shared" ca="1" si="151"/>
        <v>145129506.12334502</v>
      </c>
      <c r="L2743" s="455">
        <f t="shared" ca="1" si="152"/>
        <v>34976210975.726151</v>
      </c>
      <c r="M2743" s="471">
        <f t="shared" si="154"/>
        <v>0.05</v>
      </c>
      <c r="N2743" s="475">
        <f t="shared" si="155"/>
        <v>134532</v>
      </c>
    </row>
    <row r="2744" spans="7:14" ht="11.25" customHeight="1" x14ac:dyDescent="0.3">
      <c r="G2744" s="470"/>
      <c r="H2744" s="470">
        <v>2737</v>
      </c>
      <c r="I2744" s="455">
        <f t="shared" ca="1" si="153"/>
        <v>34976210975.726151</v>
      </c>
      <c r="J2744" s="455">
        <f t="array" ref="J2744">IFERROR(INDEX('Retirement Calculator'!J:J,MATCH('Isaac 401k'!N2744,'Retirement Calculator'!A:A,0),0),0)</f>
        <v>0</v>
      </c>
      <c r="K2744" s="455">
        <f t="shared" ca="1" si="151"/>
        <v>145734212.39885896</v>
      </c>
      <c r="L2744" s="455">
        <f t="shared" ca="1" si="152"/>
        <v>35121945188.125008</v>
      </c>
      <c r="M2744" s="471">
        <f t="shared" si="154"/>
        <v>0.05</v>
      </c>
      <c r="N2744" s="475">
        <f t="shared" si="155"/>
        <v>134563</v>
      </c>
    </row>
    <row r="2745" spans="7:14" ht="11.25" customHeight="1" x14ac:dyDescent="0.3">
      <c r="G2745" s="470"/>
      <c r="H2745" s="470">
        <v>2738</v>
      </c>
      <c r="I2745" s="455">
        <f t="shared" ca="1" si="153"/>
        <v>35121945188.125008</v>
      </c>
      <c r="J2745" s="455">
        <f t="array" ref="J2745">IFERROR(INDEX('Retirement Calculator'!J:J,MATCH('Isaac 401k'!N2745,'Retirement Calculator'!A:A,0),0),0)</f>
        <v>0</v>
      </c>
      <c r="K2745" s="455">
        <f t="shared" ca="1" si="151"/>
        <v>146341438.28385419</v>
      </c>
      <c r="L2745" s="455">
        <f t="shared" ca="1" si="152"/>
        <v>35268286626.408859</v>
      </c>
      <c r="M2745" s="471">
        <f t="shared" si="154"/>
        <v>0.05</v>
      </c>
      <c r="N2745" s="475">
        <f t="shared" si="155"/>
        <v>134593</v>
      </c>
    </row>
    <row r="2746" spans="7:14" ht="11.25" customHeight="1" x14ac:dyDescent="0.3">
      <c r="G2746" s="470"/>
      <c r="H2746" s="470">
        <v>2739</v>
      </c>
      <c r="I2746" s="455">
        <f t="shared" ca="1" si="153"/>
        <v>35268286626.408859</v>
      </c>
      <c r="J2746" s="455">
        <f t="array" ref="J2746">IFERROR(INDEX('Retirement Calculator'!J:J,MATCH('Isaac 401k'!N2746,'Retirement Calculator'!A:A,0),0),0)</f>
        <v>0</v>
      </c>
      <c r="K2746" s="455">
        <f t="shared" ca="1" si="151"/>
        <v>146951194.27670357</v>
      </c>
      <c r="L2746" s="455">
        <f t="shared" ca="1" si="152"/>
        <v>35415237820.685562</v>
      </c>
      <c r="M2746" s="471">
        <f t="shared" si="154"/>
        <v>0.05</v>
      </c>
      <c r="N2746" s="475">
        <f t="shared" si="155"/>
        <v>134624</v>
      </c>
    </row>
    <row r="2747" spans="7:14" ht="11.25" customHeight="1" x14ac:dyDescent="0.3">
      <c r="G2747" s="470"/>
      <c r="H2747" s="470">
        <v>2740</v>
      </c>
      <c r="I2747" s="455">
        <f t="shared" ca="1" si="153"/>
        <v>35415237820.685562</v>
      </c>
      <c r="J2747" s="455">
        <f t="array" ref="J2747">IFERROR(INDEX('Retirement Calculator'!J:J,MATCH('Isaac 401k'!N2747,'Retirement Calculator'!A:A,0),0),0)</f>
        <v>0</v>
      </c>
      <c r="K2747" s="455">
        <f t="shared" ca="1" si="151"/>
        <v>147563490.91952318</v>
      </c>
      <c r="L2747" s="455">
        <f t="shared" ca="1" si="152"/>
        <v>35562801311.605087</v>
      </c>
      <c r="M2747" s="471">
        <f t="shared" si="154"/>
        <v>0.05</v>
      </c>
      <c r="N2747" s="475">
        <f t="shared" si="155"/>
        <v>134655</v>
      </c>
    </row>
    <row r="2748" spans="7:14" ht="11.25" customHeight="1" x14ac:dyDescent="0.3">
      <c r="G2748" s="470"/>
      <c r="H2748" s="470">
        <v>2741</v>
      </c>
      <c r="I2748" s="455">
        <f t="shared" ca="1" si="153"/>
        <v>35562801311.605087</v>
      </c>
      <c r="J2748" s="455">
        <f t="array" ref="J2748">IFERROR(INDEX('Retirement Calculator'!J:J,MATCH('Isaac 401k'!N2748,'Retirement Calculator'!A:A,0),0),0)</f>
        <v>0</v>
      </c>
      <c r="K2748" s="455">
        <f t="shared" ca="1" si="151"/>
        <v>148178338.79835454</v>
      </c>
      <c r="L2748" s="455">
        <f t="shared" ca="1" si="152"/>
        <v>35710979650.403442</v>
      </c>
      <c r="M2748" s="471">
        <f t="shared" si="154"/>
        <v>0.05</v>
      </c>
      <c r="N2748" s="475">
        <f t="shared" si="155"/>
        <v>134685</v>
      </c>
    </row>
    <row r="2749" spans="7:14" ht="11.25" customHeight="1" x14ac:dyDescent="0.3">
      <c r="G2749" s="470"/>
      <c r="H2749" s="470">
        <v>2742</v>
      </c>
      <c r="I2749" s="455">
        <f t="shared" ca="1" si="153"/>
        <v>35710979650.403442</v>
      </c>
      <c r="J2749" s="455">
        <f t="array" ref="J2749">IFERROR(INDEX('Retirement Calculator'!J:J,MATCH('Isaac 401k'!N2749,'Retirement Calculator'!A:A,0),0),0)</f>
        <v>0</v>
      </c>
      <c r="K2749" s="455">
        <f t="shared" ca="1" si="151"/>
        <v>148795748.54334769</v>
      </c>
      <c r="L2749" s="455">
        <f t="shared" ca="1" si="152"/>
        <v>35859775398.946793</v>
      </c>
      <c r="M2749" s="471">
        <f t="shared" si="154"/>
        <v>0.05</v>
      </c>
      <c r="N2749" s="475">
        <f t="shared" si="155"/>
        <v>134716</v>
      </c>
    </row>
    <row r="2750" spans="7:14" ht="11.25" customHeight="1" x14ac:dyDescent="0.3">
      <c r="G2750" s="470"/>
      <c r="H2750" s="470">
        <v>2743</v>
      </c>
      <c r="I2750" s="455">
        <f t="shared" ca="1" si="153"/>
        <v>35859775398.946793</v>
      </c>
      <c r="J2750" s="455">
        <f t="array" ref="J2750">IFERROR(INDEX('Retirement Calculator'!J:J,MATCH('Isaac 401k'!N2750,'Retirement Calculator'!A:A,0),0),0)</f>
        <v>0</v>
      </c>
      <c r="K2750" s="455">
        <f t="shared" ca="1" si="151"/>
        <v>149415730.82894498</v>
      </c>
      <c r="L2750" s="455">
        <f t="shared" ca="1" si="152"/>
        <v>36009191129.775734</v>
      </c>
      <c r="M2750" s="471">
        <f t="shared" si="154"/>
        <v>0.05</v>
      </c>
      <c r="N2750" s="475">
        <f t="shared" si="155"/>
        <v>134746</v>
      </c>
    </row>
    <row r="2751" spans="7:14" ht="11.25" customHeight="1" x14ac:dyDescent="0.3">
      <c r="G2751" s="470"/>
      <c r="H2751" s="470">
        <v>2744</v>
      </c>
      <c r="I2751" s="455">
        <f t="shared" ca="1" si="153"/>
        <v>36009191129.775734</v>
      </c>
      <c r="J2751" s="455">
        <f t="array" ref="J2751">IFERROR(INDEX('Retirement Calculator'!J:J,MATCH('Isaac 401k'!N2751,'Retirement Calculator'!A:A,0),0),0)</f>
        <v>0</v>
      </c>
      <c r="K2751" s="455">
        <f t="shared" ca="1" si="151"/>
        <v>150038296.37406555</v>
      </c>
      <c r="L2751" s="455">
        <f t="shared" ca="1" si="152"/>
        <v>36159229426.149803</v>
      </c>
      <c r="M2751" s="471">
        <f t="shared" si="154"/>
        <v>0.05</v>
      </c>
      <c r="N2751" s="475">
        <f t="shared" si="155"/>
        <v>134777</v>
      </c>
    </row>
    <row r="2752" spans="7:14" ht="11.25" customHeight="1" x14ac:dyDescent="0.3">
      <c r="G2752" s="470"/>
      <c r="H2752" s="470">
        <v>2745</v>
      </c>
      <c r="I2752" s="455">
        <f t="shared" ca="1" si="153"/>
        <v>36159229426.149803</v>
      </c>
      <c r="J2752" s="455">
        <f t="array" ref="J2752">IFERROR(INDEX('Retirement Calculator'!J:J,MATCH('Isaac 401k'!N2752,'Retirement Calculator'!A:A,0),0),0)</f>
        <v>0</v>
      </c>
      <c r="K2752" s="455">
        <f t="shared" ca="1" si="151"/>
        <v>150663455.94229084</v>
      </c>
      <c r="L2752" s="455">
        <f t="shared" ca="1" si="152"/>
        <v>36309892882.092094</v>
      </c>
      <c r="M2752" s="471">
        <f t="shared" si="154"/>
        <v>0.05</v>
      </c>
      <c r="N2752" s="475">
        <f t="shared" si="155"/>
        <v>134808</v>
      </c>
    </row>
    <row r="2753" spans="7:14" ht="11.25" customHeight="1" x14ac:dyDescent="0.3">
      <c r="G2753" s="470"/>
      <c r="H2753" s="470">
        <v>2746</v>
      </c>
      <c r="I2753" s="455">
        <f t="shared" ca="1" si="153"/>
        <v>36309892882.092094</v>
      </c>
      <c r="J2753" s="455">
        <f t="array" ref="J2753">IFERROR(INDEX('Retirement Calculator'!J:J,MATCH('Isaac 401k'!N2753,'Retirement Calculator'!A:A,0),0),0)</f>
        <v>0</v>
      </c>
      <c r="K2753" s="455">
        <f t="shared" ca="1" si="151"/>
        <v>151291220.3420504</v>
      </c>
      <c r="L2753" s="455">
        <f t="shared" ca="1" si="152"/>
        <v>36461184102.434143</v>
      </c>
      <c r="M2753" s="471">
        <f t="shared" si="154"/>
        <v>0.05</v>
      </c>
      <c r="N2753" s="475">
        <f t="shared" si="155"/>
        <v>134836</v>
      </c>
    </row>
    <row r="2754" spans="7:14" ht="11.25" customHeight="1" x14ac:dyDescent="0.3">
      <c r="G2754" s="470"/>
      <c r="H2754" s="470">
        <v>2747</v>
      </c>
      <c r="I2754" s="455">
        <f t="shared" ca="1" si="153"/>
        <v>36461184102.434143</v>
      </c>
      <c r="J2754" s="455">
        <f t="array" ref="J2754">IFERROR(INDEX('Retirement Calculator'!J:J,MATCH('Isaac 401k'!N2754,'Retirement Calculator'!A:A,0),0),0)</f>
        <v>0</v>
      </c>
      <c r="K2754" s="455">
        <f t="shared" ca="1" si="151"/>
        <v>151921600.42680892</v>
      </c>
      <c r="L2754" s="455">
        <f t="shared" ca="1" si="152"/>
        <v>36613105702.860954</v>
      </c>
      <c r="M2754" s="471">
        <f t="shared" si="154"/>
        <v>0.05</v>
      </c>
      <c r="N2754" s="475">
        <f t="shared" si="155"/>
        <v>134867</v>
      </c>
    </row>
    <row r="2755" spans="7:14" ht="11.25" customHeight="1" x14ac:dyDescent="0.3">
      <c r="G2755" s="470"/>
      <c r="H2755" s="470">
        <v>2748</v>
      </c>
      <c r="I2755" s="455">
        <f t="shared" ca="1" si="153"/>
        <v>36613105702.860954</v>
      </c>
      <c r="J2755" s="455">
        <f t="array" ref="J2755">IFERROR(INDEX('Retirement Calculator'!J:J,MATCH('Isaac 401k'!N2755,'Retirement Calculator'!A:A,0),0),0)</f>
        <v>0</v>
      </c>
      <c r="K2755" s="455">
        <f t="shared" ca="1" si="151"/>
        <v>152554607.09525397</v>
      </c>
      <c r="L2755" s="455">
        <f t="shared" ca="1" si="152"/>
        <v>36765660309.956207</v>
      </c>
      <c r="M2755" s="471">
        <f t="shared" si="154"/>
        <v>0.05</v>
      </c>
      <c r="N2755" s="475">
        <f t="shared" si="155"/>
        <v>134897</v>
      </c>
    </row>
    <row r="2756" spans="7:14" ht="11.25" customHeight="1" x14ac:dyDescent="0.3">
      <c r="G2756" s="470"/>
      <c r="H2756" s="470">
        <v>2749</v>
      </c>
      <c r="I2756" s="455">
        <f t="shared" ca="1" si="153"/>
        <v>36765660309.956207</v>
      </c>
      <c r="J2756" s="455">
        <f t="array" ref="J2756">IFERROR(INDEX('Retirement Calculator'!J:J,MATCH('Isaac 401k'!N2756,'Retirement Calculator'!A:A,0),0),0)</f>
        <v>0</v>
      </c>
      <c r="K2756" s="455">
        <f t="shared" ca="1" si="151"/>
        <v>153190251.29148421</v>
      </c>
      <c r="L2756" s="455">
        <f t="shared" ca="1" si="152"/>
        <v>36918850561.247688</v>
      </c>
      <c r="M2756" s="471">
        <f t="shared" si="154"/>
        <v>0.05</v>
      </c>
      <c r="N2756" s="475">
        <f t="shared" si="155"/>
        <v>134928</v>
      </c>
    </row>
    <row r="2757" spans="7:14" ht="11.25" customHeight="1" x14ac:dyDescent="0.3">
      <c r="G2757" s="470"/>
      <c r="H2757" s="470">
        <v>2750</v>
      </c>
      <c r="I2757" s="455">
        <f t="shared" ca="1" si="153"/>
        <v>36918850561.247688</v>
      </c>
      <c r="J2757" s="455">
        <f t="array" ref="J2757">IFERROR(INDEX('Retirement Calculator'!J:J,MATCH('Isaac 401k'!N2757,'Retirement Calculator'!A:A,0),0),0)</f>
        <v>0</v>
      </c>
      <c r="K2757" s="455">
        <f t="shared" ca="1" si="151"/>
        <v>153828544.00519869</v>
      </c>
      <c r="L2757" s="455">
        <f t="shared" ca="1" si="152"/>
        <v>37072679105.252884</v>
      </c>
      <c r="M2757" s="471">
        <f t="shared" si="154"/>
        <v>0.05</v>
      </c>
      <c r="N2757" s="475">
        <f t="shared" si="155"/>
        <v>134958</v>
      </c>
    </row>
    <row r="2758" spans="7:14" ht="11.25" customHeight="1" x14ac:dyDescent="0.3">
      <c r="G2758" s="470"/>
      <c r="H2758" s="470">
        <v>2751</v>
      </c>
      <c r="I2758" s="455">
        <f t="shared" ca="1" si="153"/>
        <v>37072679105.252884</v>
      </c>
      <c r="J2758" s="455">
        <f t="array" ref="J2758">IFERROR(INDEX('Retirement Calculator'!J:J,MATCH('Isaac 401k'!N2758,'Retirement Calculator'!A:A,0),0),0)</f>
        <v>0</v>
      </c>
      <c r="K2758" s="455">
        <f t="shared" ca="1" si="151"/>
        <v>154469496.271887</v>
      </c>
      <c r="L2758" s="455">
        <f t="shared" ca="1" si="152"/>
        <v>37227148601.524773</v>
      </c>
      <c r="M2758" s="471">
        <f t="shared" si="154"/>
        <v>0.05</v>
      </c>
      <c r="N2758" s="475">
        <f t="shared" si="155"/>
        <v>134989</v>
      </c>
    </row>
    <row r="2759" spans="7:14" ht="11.25" customHeight="1" x14ac:dyDescent="0.3">
      <c r="G2759" s="470"/>
      <c r="H2759" s="470">
        <v>2752</v>
      </c>
      <c r="I2759" s="455">
        <f t="shared" ca="1" si="153"/>
        <v>37227148601.524773</v>
      </c>
      <c r="J2759" s="455">
        <f t="array" ref="J2759">IFERROR(INDEX('Retirement Calculator'!J:J,MATCH('Isaac 401k'!N2759,'Retirement Calculator'!A:A,0),0),0)</f>
        <v>0</v>
      </c>
      <c r="K2759" s="455">
        <f t="shared" ca="1" si="151"/>
        <v>155113119.17301989</v>
      </c>
      <c r="L2759" s="455">
        <f t="shared" ca="1" si="152"/>
        <v>37382261720.697792</v>
      </c>
      <c r="M2759" s="471">
        <f t="shared" si="154"/>
        <v>0.05</v>
      </c>
      <c r="N2759" s="475">
        <f t="shared" si="155"/>
        <v>135020</v>
      </c>
    </row>
    <row r="2760" spans="7:14" ht="11.25" customHeight="1" x14ac:dyDescent="0.3">
      <c r="G2760" s="470"/>
      <c r="H2760" s="470">
        <v>2753</v>
      </c>
      <c r="I2760" s="455">
        <f t="shared" ca="1" si="153"/>
        <v>37382261720.697792</v>
      </c>
      <c r="J2760" s="455">
        <f t="array" ref="J2760">IFERROR(INDEX('Retirement Calculator'!J:J,MATCH('Isaac 401k'!N2760,'Retirement Calculator'!A:A,0),0),0)</f>
        <v>0</v>
      </c>
      <c r="K2760" s="455">
        <f t="shared" ca="1" si="151"/>
        <v>155759423.8362408</v>
      </c>
      <c r="L2760" s="455">
        <f t="shared" ca="1" si="152"/>
        <v>37538021144.534035</v>
      </c>
      <c r="M2760" s="471">
        <f t="shared" si="154"/>
        <v>0.05</v>
      </c>
      <c r="N2760" s="475">
        <f t="shared" si="155"/>
        <v>135050</v>
      </c>
    </row>
    <row r="2761" spans="7:14" ht="11.25" customHeight="1" x14ac:dyDescent="0.3">
      <c r="G2761" s="470"/>
      <c r="H2761" s="470">
        <v>2754</v>
      </c>
      <c r="I2761" s="455">
        <f t="shared" ca="1" si="153"/>
        <v>37538021144.534035</v>
      </c>
      <c r="J2761" s="455">
        <f t="array" ref="J2761">IFERROR(INDEX('Retirement Calculator'!J:J,MATCH('Isaac 401k'!N2761,'Retirement Calculator'!A:A,0),0),0)</f>
        <v>0</v>
      </c>
      <c r="K2761" s="455">
        <f t="shared" ca="1" si="151"/>
        <v>156408421.43555847</v>
      </c>
      <c r="L2761" s="455">
        <f t="shared" ca="1" si="152"/>
        <v>37694429565.969597</v>
      </c>
      <c r="M2761" s="471">
        <f t="shared" si="154"/>
        <v>0.05</v>
      </c>
      <c r="N2761" s="475">
        <f t="shared" si="155"/>
        <v>135081</v>
      </c>
    </row>
    <row r="2762" spans="7:14" ht="11.25" customHeight="1" x14ac:dyDescent="0.3">
      <c r="G2762" s="470"/>
      <c r="H2762" s="470">
        <v>2755</v>
      </c>
      <c r="I2762" s="455">
        <f t="shared" ca="1" si="153"/>
        <v>37694429565.969597</v>
      </c>
      <c r="J2762" s="455">
        <f t="array" ref="J2762">IFERROR(INDEX('Retirement Calculator'!J:J,MATCH('Isaac 401k'!N2762,'Retirement Calculator'!A:A,0),0),0)</f>
        <v>0</v>
      </c>
      <c r="K2762" s="455">
        <f t="shared" ca="1" si="151"/>
        <v>157060123.19153997</v>
      </c>
      <c r="L2762" s="455">
        <f t="shared" ca="1" si="152"/>
        <v>37851489689.16114</v>
      </c>
      <c r="M2762" s="471">
        <f t="shared" si="154"/>
        <v>0.05</v>
      </c>
      <c r="N2762" s="475">
        <f t="shared" si="155"/>
        <v>135111</v>
      </c>
    </row>
    <row r="2763" spans="7:14" ht="11.25" customHeight="1" x14ac:dyDescent="0.3">
      <c r="G2763" s="470"/>
      <c r="H2763" s="470">
        <v>2756</v>
      </c>
      <c r="I2763" s="455">
        <f t="shared" ca="1" si="153"/>
        <v>37851489689.16114</v>
      </c>
      <c r="J2763" s="455">
        <f t="array" ref="J2763">IFERROR(INDEX('Retirement Calculator'!J:J,MATCH('Isaac 401k'!N2763,'Retirement Calculator'!A:A,0),0),0)</f>
        <v>0</v>
      </c>
      <c r="K2763" s="455">
        <f t="shared" ca="1" si="151"/>
        <v>157714540.37150475</v>
      </c>
      <c r="L2763" s="455">
        <f t="shared" ca="1" si="152"/>
        <v>38009204229.532646</v>
      </c>
      <c r="M2763" s="471">
        <f t="shared" si="154"/>
        <v>0.05</v>
      </c>
      <c r="N2763" s="475">
        <f t="shared" si="155"/>
        <v>135142</v>
      </c>
    </row>
    <row r="2764" spans="7:14" ht="11.25" customHeight="1" x14ac:dyDescent="0.3">
      <c r="G2764" s="470"/>
      <c r="H2764" s="470">
        <v>2757</v>
      </c>
      <c r="I2764" s="455">
        <f t="shared" ca="1" si="153"/>
        <v>38009204229.532646</v>
      </c>
      <c r="J2764" s="455">
        <f t="array" ref="J2764">IFERROR(INDEX('Retirement Calculator'!J:J,MATCH('Isaac 401k'!N2764,'Retirement Calculator'!A:A,0),0),0)</f>
        <v>0</v>
      </c>
      <c r="K2764" s="455">
        <f t="shared" ca="1" si="151"/>
        <v>158371684.28971934</v>
      </c>
      <c r="L2764" s="455">
        <f t="shared" ca="1" si="152"/>
        <v>38167575913.822365</v>
      </c>
      <c r="M2764" s="471">
        <f t="shared" si="154"/>
        <v>0.05</v>
      </c>
      <c r="N2764" s="475">
        <f t="shared" si="155"/>
        <v>135173</v>
      </c>
    </row>
    <row r="2765" spans="7:14" ht="11.25" customHeight="1" x14ac:dyDescent="0.3">
      <c r="G2765" s="470"/>
      <c r="H2765" s="470">
        <v>2758</v>
      </c>
      <c r="I2765" s="455">
        <f t="shared" ca="1" si="153"/>
        <v>38167575913.822365</v>
      </c>
      <c r="J2765" s="455">
        <f t="array" ref="J2765">IFERROR(INDEX('Retirement Calculator'!J:J,MATCH('Isaac 401k'!N2765,'Retirement Calculator'!A:A,0),0),0)</f>
        <v>0</v>
      </c>
      <c r="K2765" s="455">
        <f t="shared" ca="1" si="151"/>
        <v>159031566.3075932</v>
      </c>
      <c r="L2765" s="455">
        <f t="shared" ca="1" si="152"/>
        <v>38326607480.129959</v>
      </c>
      <c r="M2765" s="471">
        <f t="shared" si="154"/>
        <v>0.05</v>
      </c>
      <c r="N2765" s="475">
        <f t="shared" si="155"/>
        <v>135201</v>
      </c>
    </row>
    <row r="2766" spans="7:14" ht="11.25" customHeight="1" x14ac:dyDescent="0.3">
      <c r="G2766" s="470"/>
      <c r="H2766" s="470">
        <v>2759</v>
      </c>
      <c r="I2766" s="455">
        <f t="shared" ca="1" si="153"/>
        <v>38326607480.129959</v>
      </c>
      <c r="J2766" s="455">
        <f t="array" ref="J2766">IFERROR(INDEX('Retirement Calculator'!J:J,MATCH('Isaac 401k'!N2766,'Retirement Calculator'!A:A,0),0),0)</f>
        <v>0</v>
      </c>
      <c r="K2766" s="455">
        <f t="shared" ca="1" si="151"/>
        <v>159694197.83387482</v>
      </c>
      <c r="L2766" s="455">
        <f t="shared" ca="1" si="152"/>
        <v>38486301677.963837</v>
      </c>
      <c r="M2766" s="471">
        <f t="shared" si="154"/>
        <v>0.05</v>
      </c>
      <c r="N2766" s="475">
        <f t="shared" si="155"/>
        <v>135232</v>
      </c>
    </row>
    <row r="2767" spans="7:14" ht="11.25" customHeight="1" x14ac:dyDescent="0.3">
      <c r="G2767" s="470"/>
      <c r="H2767" s="470">
        <v>2760</v>
      </c>
      <c r="I2767" s="455">
        <f t="shared" ca="1" si="153"/>
        <v>38486301677.963837</v>
      </c>
      <c r="J2767" s="455">
        <f t="array" ref="J2767">IFERROR(INDEX('Retirement Calculator'!J:J,MATCH('Isaac 401k'!N2767,'Retirement Calculator'!A:A,0),0),0)</f>
        <v>0</v>
      </c>
      <c r="K2767" s="455">
        <f t="shared" ca="1" si="151"/>
        <v>160359590.32484931</v>
      </c>
      <c r="L2767" s="455">
        <f t="shared" ca="1" si="152"/>
        <v>38646661268.288689</v>
      </c>
      <c r="M2767" s="471">
        <f t="shared" si="154"/>
        <v>0.05</v>
      </c>
      <c r="N2767" s="475">
        <f t="shared" si="155"/>
        <v>135262</v>
      </c>
    </row>
    <row r="2768" spans="7:14" ht="11.25" customHeight="1" x14ac:dyDescent="0.3">
      <c r="G2768" s="470"/>
      <c r="H2768" s="470">
        <v>2761</v>
      </c>
      <c r="I2768" s="455">
        <f t="shared" ca="1" si="153"/>
        <v>38646661268.288689</v>
      </c>
      <c r="J2768" s="455">
        <f t="array" ref="J2768">IFERROR(INDEX('Retirement Calculator'!J:J,MATCH('Isaac 401k'!N2768,'Retirement Calculator'!A:A,0),0),0)</f>
        <v>0</v>
      </c>
      <c r="K2768" s="455">
        <f t="shared" ca="1" si="151"/>
        <v>161027755.28453621</v>
      </c>
      <c r="L2768" s="455">
        <f t="shared" ca="1" si="152"/>
        <v>38807689023.573227</v>
      </c>
      <c r="M2768" s="471">
        <f t="shared" si="154"/>
        <v>0.05</v>
      </c>
      <c r="N2768" s="475">
        <f t="shared" si="155"/>
        <v>135293</v>
      </c>
    </row>
    <row r="2769" spans="7:14" ht="11.25" customHeight="1" x14ac:dyDescent="0.3">
      <c r="G2769" s="470"/>
      <c r="H2769" s="470">
        <v>2762</v>
      </c>
      <c r="I2769" s="455">
        <f t="shared" ca="1" si="153"/>
        <v>38807689023.573227</v>
      </c>
      <c r="J2769" s="455">
        <f t="array" ref="J2769">IFERROR(INDEX('Retirement Calculator'!J:J,MATCH('Isaac 401k'!N2769,'Retirement Calculator'!A:A,0),0),0)</f>
        <v>0</v>
      </c>
      <c r="K2769" s="455">
        <f t="shared" ca="1" si="151"/>
        <v>161698704.26488844</v>
      </c>
      <c r="L2769" s="455">
        <f t="shared" ca="1" si="152"/>
        <v>38969387727.838112</v>
      </c>
      <c r="M2769" s="471">
        <f t="shared" si="154"/>
        <v>0.05</v>
      </c>
      <c r="N2769" s="475">
        <f t="shared" si="155"/>
        <v>135323</v>
      </c>
    </row>
    <row r="2770" spans="7:14" ht="11.25" customHeight="1" x14ac:dyDescent="0.3">
      <c r="G2770" s="470"/>
      <c r="H2770" s="470">
        <v>2763</v>
      </c>
      <c r="I2770" s="455">
        <f t="shared" ca="1" si="153"/>
        <v>38969387727.838112</v>
      </c>
      <c r="J2770" s="455">
        <f t="array" ref="J2770">IFERROR(INDEX('Retirement Calculator'!J:J,MATCH('Isaac 401k'!N2770,'Retirement Calculator'!A:A,0),0),0)</f>
        <v>0</v>
      </c>
      <c r="K2770" s="455">
        <f t="shared" ca="1" si="151"/>
        <v>162372448.86599213</v>
      </c>
      <c r="L2770" s="455">
        <f t="shared" ca="1" si="152"/>
        <v>39131760176.704102</v>
      </c>
      <c r="M2770" s="471">
        <f t="shared" si="154"/>
        <v>0.05</v>
      </c>
      <c r="N2770" s="475">
        <f t="shared" si="155"/>
        <v>135354</v>
      </c>
    </row>
    <row r="2771" spans="7:14" ht="11.25" customHeight="1" x14ac:dyDescent="0.3">
      <c r="G2771" s="470"/>
      <c r="H2771" s="470">
        <v>2764</v>
      </c>
      <c r="I2771" s="455">
        <f t="shared" ca="1" si="153"/>
        <v>39131760176.704102</v>
      </c>
      <c r="J2771" s="455">
        <f t="array" ref="J2771">IFERROR(INDEX('Retirement Calculator'!J:J,MATCH('Isaac 401k'!N2771,'Retirement Calculator'!A:A,0),0),0)</f>
        <v>0</v>
      </c>
      <c r="K2771" s="455">
        <f t="shared" ca="1" si="151"/>
        <v>163049000.73626709</v>
      </c>
      <c r="L2771" s="455">
        <f t="shared" ca="1" si="152"/>
        <v>39294809177.440369</v>
      </c>
      <c r="M2771" s="471">
        <f t="shared" si="154"/>
        <v>0.05</v>
      </c>
      <c r="N2771" s="475">
        <f t="shared" si="155"/>
        <v>135385</v>
      </c>
    </row>
    <row r="2772" spans="7:14" ht="11.25" customHeight="1" x14ac:dyDescent="0.3">
      <c r="G2772" s="470"/>
      <c r="H2772" s="470">
        <v>2765</v>
      </c>
      <c r="I2772" s="455">
        <f t="shared" ca="1" si="153"/>
        <v>39294809177.440369</v>
      </c>
      <c r="J2772" s="455">
        <f t="array" ref="J2772">IFERROR(INDEX('Retirement Calculator'!J:J,MATCH('Isaac 401k'!N2772,'Retirement Calculator'!A:A,0),0),0)</f>
        <v>0</v>
      </c>
      <c r="K2772" s="455">
        <f t="shared" ca="1" si="151"/>
        <v>163728371.57266819</v>
      </c>
      <c r="L2772" s="455">
        <f t="shared" ca="1" si="152"/>
        <v>39458537549.013039</v>
      </c>
      <c r="M2772" s="471">
        <f t="shared" si="154"/>
        <v>0.05</v>
      </c>
      <c r="N2772" s="475">
        <f t="shared" si="155"/>
        <v>135415</v>
      </c>
    </row>
    <row r="2773" spans="7:14" ht="11.25" customHeight="1" x14ac:dyDescent="0.3">
      <c r="G2773" s="470"/>
      <c r="H2773" s="470">
        <v>2766</v>
      </c>
      <c r="I2773" s="455">
        <f t="shared" ca="1" si="153"/>
        <v>39458537549.013039</v>
      </c>
      <c r="J2773" s="455">
        <f t="array" ref="J2773">IFERROR(INDEX('Retirement Calculator'!J:J,MATCH('Isaac 401k'!N2773,'Retirement Calculator'!A:A,0),0),0)</f>
        <v>0</v>
      </c>
      <c r="K2773" s="455">
        <f t="shared" ca="1" si="151"/>
        <v>164410573.12088767</v>
      </c>
      <c r="L2773" s="455">
        <f t="shared" ca="1" si="152"/>
        <v>39622948122.133926</v>
      </c>
      <c r="M2773" s="471">
        <f t="shared" si="154"/>
        <v>0.05</v>
      </c>
      <c r="N2773" s="475">
        <f t="shared" si="155"/>
        <v>135446</v>
      </c>
    </row>
    <row r="2774" spans="7:14" ht="11.25" customHeight="1" x14ac:dyDescent="0.3">
      <c r="G2774" s="470"/>
      <c r="H2774" s="470">
        <v>2767</v>
      </c>
      <c r="I2774" s="455">
        <f t="shared" ca="1" si="153"/>
        <v>39622948122.133926</v>
      </c>
      <c r="J2774" s="455">
        <f t="array" ref="J2774">IFERROR(INDEX('Retirement Calculator'!J:J,MATCH('Isaac 401k'!N2774,'Retirement Calculator'!A:A,0),0),0)</f>
        <v>0</v>
      </c>
      <c r="K2774" s="455">
        <f t="shared" ca="1" si="151"/>
        <v>165095617.17555803</v>
      </c>
      <c r="L2774" s="455">
        <f t="shared" ca="1" si="152"/>
        <v>39788043739.309486</v>
      </c>
      <c r="M2774" s="471">
        <f t="shared" si="154"/>
        <v>0.05</v>
      </c>
      <c r="N2774" s="475">
        <f t="shared" si="155"/>
        <v>135476</v>
      </c>
    </row>
    <row r="2775" spans="7:14" ht="11.25" customHeight="1" x14ac:dyDescent="0.3">
      <c r="G2775" s="470"/>
      <c r="H2775" s="470">
        <v>2768</v>
      </c>
      <c r="I2775" s="455">
        <f t="shared" ca="1" si="153"/>
        <v>39788043739.309486</v>
      </c>
      <c r="J2775" s="455">
        <f t="array" ref="J2775">IFERROR(INDEX('Retirement Calculator'!J:J,MATCH('Isaac 401k'!N2775,'Retirement Calculator'!A:A,0),0),0)</f>
        <v>0</v>
      </c>
      <c r="K2775" s="455">
        <f t="shared" ca="1" si="151"/>
        <v>165783515.5804562</v>
      </c>
      <c r="L2775" s="455">
        <f t="shared" ca="1" si="152"/>
        <v>39953827254.889946</v>
      </c>
      <c r="M2775" s="471">
        <f t="shared" si="154"/>
        <v>0.05</v>
      </c>
      <c r="N2775" s="475">
        <f t="shared" si="155"/>
        <v>135507</v>
      </c>
    </row>
    <row r="2776" spans="7:14" ht="11.25" customHeight="1" x14ac:dyDescent="0.3">
      <c r="G2776" s="470"/>
      <c r="H2776" s="470">
        <v>2769</v>
      </c>
      <c r="I2776" s="455">
        <f t="shared" ca="1" si="153"/>
        <v>39953827254.889946</v>
      </c>
      <c r="J2776" s="455">
        <f t="array" ref="J2776">IFERROR(INDEX('Retirement Calculator'!J:J,MATCH('Isaac 401k'!N2776,'Retirement Calculator'!A:A,0),0),0)</f>
        <v>0</v>
      </c>
      <c r="K2776" s="455">
        <f t="shared" ca="1" si="151"/>
        <v>166474280.22870812</v>
      </c>
      <c r="L2776" s="455">
        <f t="shared" ca="1" si="152"/>
        <v>40120301535.118652</v>
      </c>
      <c r="M2776" s="471">
        <f t="shared" si="154"/>
        <v>0.05</v>
      </c>
      <c r="N2776" s="475">
        <f t="shared" si="155"/>
        <v>135538</v>
      </c>
    </row>
    <row r="2777" spans="7:14" ht="11.25" customHeight="1" x14ac:dyDescent="0.3">
      <c r="G2777" s="470"/>
      <c r="H2777" s="470">
        <v>2770</v>
      </c>
      <c r="I2777" s="455">
        <f t="shared" ca="1" si="153"/>
        <v>40120301535.118652</v>
      </c>
      <c r="J2777" s="455">
        <f t="array" ref="J2777">IFERROR(INDEX('Retirement Calculator'!J:J,MATCH('Isaac 401k'!N2777,'Retirement Calculator'!A:A,0),0),0)</f>
        <v>0</v>
      </c>
      <c r="K2777" s="455">
        <f t="shared" ca="1" si="151"/>
        <v>167167923.06299439</v>
      </c>
      <c r="L2777" s="455">
        <f t="shared" ca="1" si="152"/>
        <v>40287469458.181648</v>
      </c>
      <c r="M2777" s="471">
        <f t="shared" si="154"/>
        <v>0.05</v>
      </c>
      <c r="N2777" s="475">
        <f t="shared" si="155"/>
        <v>135566</v>
      </c>
    </row>
    <row r="2778" spans="7:14" ht="11.25" customHeight="1" x14ac:dyDescent="0.3">
      <c r="G2778" s="470"/>
      <c r="H2778" s="470">
        <v>2771</v>
      </c>
      <c r="I2778" s="455">
        <f t="shared" ca="1" si="153"/>
        <v>40287469458.181648</v>
      </c>
      <c r="J2778" s="455">
        <f t="array" ref="J2778">IFERROR(INDEX('Retirement Calculator'!J:J,MATCH('Isaac 401k'!N2778,'Retirement Calculator'!A:A,0),0),0)</f>
        <v>0</v>
      </c>
      <c r="K2778" s="455">
        <f t="shared" ca="1" si="151"/>
        <v>167864456.07575688</v>
      </c>
      <c r="L2778" s="455">
        <f t="shared" ca="1" si="152"/>
        <v>40455333914.257408</v>
      </c>
      <c r="M2778" s="471">
        <f t="shared" si="154"/>
        <v>0.05</v>
      </c>
      <c r="N2778" s="475">
        <f t="shared" si="155"/>
        <v>135597</v>
      </c>
    </row>
    <row r="2779" spans="7:14" ht="11.25" customHeight="1" x14ac:dyDescent="0.3">
      <c r="G2779" s="470"/>
      <c r="H2779" s="470">
        <v>2772</v>
      </c>
      <c r="I2779" s="455">
        <f t="shared" ca="1" si="153"/>
        <v>40455333914.257408</v>
      </c>
      <c r="J2779" s="455">
        <f t="array" ref="J2779">IFERROR(INDEX('Retirement Calculator'!J:J,MATCH('Isaac 401k'!N2779,'Retirement Calculator'!A:A,0),0),0)</f>
        <v>0</v>
      </c>
      <c r="K2779" s="455">
        <f t="shared" ca="1" si="151"/>
        <v>168563891.30940586</v>
      </c>
      <c r="L2779" s="455">
        <f t="shared" ca="1" si="152"/>
        <v>40623897805.566811</v>
      </c>
      <c r="M2779" s="471">
        <f t="shared" si="154"/>
        <v>0.05</v>
      </c>
      <c r="N2779" s="475">
        <f t="shared" si="155"/>
        <v>135627</v>
      </c>
    </row>
    <row r="2780" spans="7:14" ht="11.25" customHeight="1" x14ac:dyDescent="0.3">
      <c r="G2780" s="470"/>
      <c r="H2780" s="470">
        <v>2773</v>
      </c>
      <c r="I2780" s="455">
        <f t="shared" ca="1" si="153"/>
        <v>40623897805.566811</v>
      </c>
      <c r="J2780" s="455">
        <f t="array" ref="J2780">IFERROR(INDEX('Retirement Calculator'!J:J,MATCH('Isaac 401k'!N2780,'Retirement Calculator'!A:A,0),0),0)</f>
        <v>0</v>
      </c>
      <c r="K2780" s="455">
        <f t="shared" ca="1" si="151"/>
        <v>169266240.85652837</v>
      </c>
      <c r="L2780" s="455">
        <f t="shared" ca="1" si="152"/>
        <v>40793164046.42334</v>
      </c>
      <c r="M2780" s="471">
        <f t="shared" si="154"/>
        <v>0.05</v>
      </c>
      <c r="N2780" s="475">
        <f t="shared" si="155"/>
        <v>135658</v>
      </c>
    </row>
    <row r="2781" spans="7:14" ht="11.25" customHeight="1" x14ac:dyDescent="0.3">
      <c r="G2781" s="470"/>
      <c r="H2781" s="470">
        <v>2774</v>
      </c>
      <c r="I2781" s="455">
        <f t="shared" ca="1" si="153"/>
        <v>40793164046.42334</v>
      </c>
      <c r="J2781" s="455">
        <f t="array" ref="J2781">IFERROR(INDEX('Retirement Calculator'!J:J,MATCH('Isaac 401k'!N2781,'Retirement Calculator'!A:A,0),0),0)</f>
        <v>0</v>
      </c>
      <c r="K2781" s="455">
        <f t="shared" ca="1" si="151"/>
        <v>169971516.86009726</v>
      </c>
      <c r="L2781" s="455">
        <f t="shared" ca="1" si="152"/>
        <v>40963135563.28344</v>
      </c>
      <c r="M2781" s="471">
        <f t="shared" si="154"/>
        <v>0.05</v>
      </c>
      <c r="N2781" s="475">
        <f t="shared" si="155"/>
        <v>135688</v>
      </c>
    </row>
    <row r="2782" spans="7:14" ht="11.25" customHeight="1" x14ac:dyDescent="0.3">
      <c r="G2782" s="470"/>
      <c r="H2782" s="470">
        <v>2775</v>
      </c>
      <c r="I2782" s="455">
        <f t="shared" ca="1" si="153"/>
        <v>40963135563.28344</v>
      </c>
      <c r="J2782" s="455">
        <f t="array" ref="J2782">IFERROR(INDEX('Retirement Calculator'!J:J,MATCH('Isaac 401k'!N2782,'Retirement Calculator'!A:A,0),0),0)</f>
        <v>0</v>
      </c>
      <c r="K2782" s="455">
        <f t="shared" ca="1" si="151"/>
        <v>170679731.51368099</v>
      </c>
      <c r="L2782" s="455">
        <f t="shared" ca="1" si="152"/>
        <v>41133815294.797119</v>
      </c>
      <c r="M2782" s="471">
        <f t="shared" si="154"/>
        <v>0.05</v>
      </c>
      <c r="N2782" s="475">
        <f t="shared" si="155"/>
        <v>135719</v>
      </c>
    </row>
    <row r="2783" spans="7:14" ht="11.25" customHeight="1" x14ac:dyDescent="0.3">
      <c r="G2783" s="470"/>
      <c r="H2783" s="470">
        <v>2776</v>
      </c>
      <c r="I2783" s="455">
        <f t="shared" ca="1" si="153"/>
        <v>41133815294.797119</v>
      </c>
      <c r="J2783" s="455">
        <f t="array" ref="J2783">IFERROR(INDEX('Retirement Calculator'!J:J,MATCH('Isaac 401k'!N2783,'Retirement Calculator'!A:A,0),0),0)</f>
        <v>0</v>
      </c>
      <c r="K2783" s="455">
        <f t="shared" ca="1" si="151"/>
        <v>171390897.06165466</v>
      </c>
      <c r="L2783" s="455">
        <f t="shared" ca="1" si="152"/>
        <v>41305206191.858772</v>
      </c>
      <c r="M2783" s="471">
        <f t="shared" si="154"/>
        <v>0.05</v>
      </c>
      <c r="N2783" s="475">
        <f t="shared" si="155"/>
        <v>135750</v>
      </c>
    </row>
    <row r="2784" spans="7:14" ht="11.25" customHeight="1" x14ac:dyDescent="0.3">
      <c r="G2784" s="470"/>
      <c r="H2784" s="470">
        <v>2777</v>
      </c>
      <c r="I2784" s="455">
        <f t="shared" ca="1" si="153"/>
        <v>41305206191.858772</v>
      </c>
      <c r="J2784" s="455">
        <f t="array" ref="J2784">IFERROR(INDEX('Retirement Calculator'!J:J,MATCH('Isaac 401k'!N2784,'Retirement Calculator'!A:A,0),0),0)</f>
        <v>0</v>
      </c>
      <c r="K2784" s="455">
        <f t="shared" ca="1" si="151"/>
        <v>172105025.79941154</v>
      </c>
      <c r="L2784" s="455">
        <f t="shared" ca="1" si="152"/>
        <v>41477311217.65818</v>
      </c>
      <c r="M2784" s="471">
        <f t="shared" si="154"/>
        <v>0.05</v>
      </c>
      <c r="N2784" s="475">
        <f t="shared" si="155"/>
        <v>135780</v>
      </c>
    </row>
    <row r="2785" spans="7:14" ht="11.25" customHeight="1" x14ac:dyDescent="0.3">
      <c r="G2785" s="470"/>
      <c r="H2785" s="470">
        <v>2778</v>
      </c>
      <c r="I2785" s="455">
        <f t="shared" ca="1" si="153"/>
        <v>41477311217.65818</v>
      </c>
      <c r="J2785" s="455">
        <f t="array" ref="J2785">IFERROR(INDEX('Retirement Calculator'!J:J,MATCH('Isaac 401k'!N2785,'Retirement Calculator'!A:A,0),0),0)</f>
        <v>0</v>
      </c>
      <c r="K2785" s="455">
        <f t="shared" ca="1" si="151"/>
        <v>172822130.07357574</v>
      </c>
      <c r="L2785" s="455">
        <f t="shared" ca="1" si="152"/>
        <v>41650133347.731758</v>
      </c>
      <c r="M2785" s="471">
        <f t="shared" si="154"/>
        <v>0.05</v>
      </c>
      <c r="N2785" s="475">
        <f t="shared" si="155"/>
        <v>135811</v>
      </c>
    </row>
    <row r="2786" spans="7:14" ht="11.25" customHeight="1" x14ac:dyDescent="0.3">
      <c r="G2786" s="470"/>
      <c r="H2786" s="470">
        <v>2779</v>
      </c>
      <c r="I2786" s="455">
        <f t="shared" ca="1" si="153"/>
        <v>41650133347.731758</v>
      </c>
      <c r="J2786" s="455">
        <f t="array" ref="J2786">IFERROR(INDEX('Retirement Calculator'!J:J,MATCH('Isaac 401k'!N2786,'Retirement Calculator'!A:A,0),0),0)</f>
        <v>0</v>
      </c>
      <c r="K2786" s="455">
        <f t="shared" ca="1" si="151"/>
        <v>173542222.28221565</v>
      </c>
      <c r="L2786" s="455">
        <f t="shared" ca="1" si="152"/>
        <v>41823675570.013977</v>
      </c>
      <c r="M2786" s="471">
        <f t="shared" si="154"/>
        <v>0.05</v>
      </c>
      <c r="N2786" s="475">
        <f t="shared" si="155"/>
        <v>135841</v>
      </c>
    </row>
    <row r="2787" spans="7:14" ht="11.25" customHeight="1" x14ac:dyDescent="0.3">
      <c r="G2787" s="470"/>
      <c r="H2787" s="470">
        <v>2780</v>
      </c>
      <c r="I2787" s="455">
        <f t="shared" ca="1" si="153"/>
        <v>41823675570.013977</v>
      </c>
      <c r="J2787" s="455">
        <f t="array" ref="J2787">IFERROR(INDEX('Retirement Calculator'!J:J,MATCH('Isaac 401k'!N2787,'Retirement Calculator'!A:A,0),0),0)</f>
        <v>0</v>
      </c>
      <c r="K2787" s="455">
        <f t="shared" ca="1" si="151"/>
        <v>174265314.87505823</v>
      </c>
      <c r="L2787" s="455">
        <f t="shared" ca="1" si="152"/>
        <v>41997940884.889038</v>
      </c>
      <c r="M2787" s="471">
        <f t="shared" si="154"/>
        <v>0.05</v>
      </c>
      <c r="N2787" s="475">
        <f t="shared" si="155"/>
        <v>135872</v>
      </c>
    </row>
    <row r="2788" spans="7:14" ht="11.25" customHeight="1" x14ac:dyDescent="0.3">
      <c r="G2788" s="470"/>
      <c r="H2788" s="470">
        <v>2781</v>
      </c>
      <c r="I2788" s="455">
        <f t="shared" ca="1" si="153"/>
        <v>41997940884.889038</v>
      </c>
      <c r="J2788" s="455">
        <f t="array" ref="J2788">IFERROR(INDEX('Retirement Calculator'!J:J,MATCH('Isaac 401k'!N2788,'Retirement Calculator'!A:A,0),0),0)</f>
        <v>0</v>
      </c>
      <c r="K2788" s="455">
        <f t="shared" ca="1" si="151"/>
        <v>174991420.35370433</v>
      </c>
      <c r="L2788" s="455">
        <f t="shared" ca="1" si="152"/>
        <v>42172932305.242744</v>
      </c>
      <c r="M2788" s="471">
        <f t="shared" si="154"/>
        <v>0.05</v>
      </c>
      <c r="N2788" s="475">
        <f t="shared" si="155"/>
        <v>135903</v>
      </c>
    </row>
    <row r="2789" spans="7:14" ht="11.25" customHeight="1" x14ac:dyDescent="0.3">
      <c r="G2789" s="470"/>
      <c r="H2789" s="470">
        <v>2782</v>
      </c>
      <c r="I2789" s="455">
        <f t="shared" ca="1" si="153"/>
        <v>42172932305.242744</v>
      </c>
      <c r="J2789" s="455">
        <f t="array" ref="J2789">IFERROR(INDEX('Retirement Calculator'!J:J,MATCH('Isaac 401k'!N2789,'Retirement Calculator'!A:A,0),0),0)</f>
        <v>0</v>
      </c>
      <c r="K2789" s="455">
        <f t="shared" ca="1" si="151"/>
        <v>175720551.27184477</v>
      </c>
      <c r="L2789" s="455">
        <f t="shared" ca="1" si="152"/>
        <v>42348652856.514587</v>
      </c>
      <c r="M2789" s="471">
        <f t="shared" si="154"/>
        <v>0.05</v>
      </c>
      <c r="N2789" s="475">
        <f t="shared" si="155"/>
        <v>135932</v>
      </c>
    </row>
    <row r="2790" spans="7:14" ht="11.25" customHeight="1" x14ac:dyDescent="0.3">
      <c r="G2790" s="470"/>
      <c r="H2790" s="470">
        <v>2783</v>
      </c>
      <c r="I2790" s="455">
        <f t="shared" ca="1" si="153"/>
        <v>42348652856.514587</v>
      </c>
      <c r="J2790" s="455">
        <f t="array" ref="J2790">IFERROR(INDEX('Retirement Calculator'!J:J,MATCH('Isaac 401k'!N2790,'Retirement Calculator'!A:A,0),0),0)</f>
        <v>0</v>
      </c>
      <c r="K2790" s="455">
        <f t="shared" ca="1" si="151"/>
        <v>176452720.23547745</v>
      </c>
      <c r="L2790" s="455">
        <f t="shared" ca="1" si="152"/>
        <v>42525105576.750061</v>
      </c>
      <c r="M2790" s="471">
        <f t="shared" si="154"/>
        <v>0.05</v>
      </c>
      <c r="N2790" s="475">
        <f t="shared" si="155"/>
        <v>135963</v>
      </c>
    </row>
    <row r="2791" spans="7:14" ht="11.25" customHeight="1" x14ac:dyDescent="0.3">
      <c r="G2791" s="470"/>
      <c r="H2791" s="470">
        <v>2784</v>
      </c>
      <c r="I2791" s="455">
        <f t="shared" ca="1" si="153"/>
        <v>42525105576.750061</v>
      </c>
      <c r="J2791" s="455">
        <f t="array" ref="J2791">IFERROR(INDEX('Retirement Calculator'!J:J,MATCH('Isaac 401k'!N2791,'Retirement Calculator'!A:A,0),0),0)</f>
        <v>0</v>
      </c>
      <c r="K2791" s="455">
        <f t="shared" ca="1" si="151"/>
        <v>177187939.90312526</v>
      </c>
      <c r="L2791" s="455">
        <f t="shared" ca="1" si="152"/>
        <v>42702293516.653183</v>
      </c>
      <c r="M2791" s="471">
        <f t="shared" si="154"/>
        <v>0.05</v>
      </c>
      <c r="N2791" s="475">
        <f t="shared" si="155"/>
        <v>135993</v>
      </c>
    </row>
    <row r="2792" spans="7:14" ht="11.25" customHeight="1" x14ac:dyDescent="0.3">
      <c r="G2792" s="470"/>
      <c r="H2792" s="470">
        <v>2785</v>
      </c>
      <c r="I2792" s="455">
        <f t="shared" ca="1" si="153"/>
        <v>42702293516.653183</v>
      </c>
      <c r="J2792" s="455">
        <f t="array" ref="J2792">IFERROR(INDEX('Retirement Calculator'!J:J,MATCH('Isaac 401k'!N2792,'Retirement Calculator'!A:A,0),0),0)</f>
        <v>0</v>
      </c>
      <c r="K2792" s="455">
        <f t="shared" ca="1" si="151"/>
        <v>177926222.98605493</v>
      </c>
      <c r="L2792" s="455">
        <f t="shared" ca="1" si="152"/>
        <v>42880219739.639236</v>
      </c>
      <c r="M2792" s="471">
        <f t="shared" si="154"/>
        <v>0.05</v>
      </c>
      <c r="N2792" s="475">
        <f t="shared" si="155"/>
        <v>136024</v>
      </c>
    </row>
    <row r="2793" spans="7:14" ht="11.25" customHeight="1" x14ac:dyDescent="0.3">
      <c r="G2793" s="470"/>
      <c r="H2793" s="470">
        <v>2786</v>
      </c>
      <c r="I2793" s="455">
        <f t="shared" ca="1" si="153"/>
        <v>42880219739.639236</v>
      </c>
      <c r="J2793" s="455">
        <f t="array" ref="J2793">IFERROR(INDEX('Retirement Calculator'!J:J,MATCH('Isaac 401k'!N2793,'Retirement Calculator'!A:A,0),0),0)</f>
        <v>0</v>
      </c>
      <c r="K2793" s="455">
        <f t="shared" ca="1" si="151"/>
        <v>178667582.24849683</v>
      </c>
      <c r="L2793" s="455">
        <f t="shared" ca="1" si="152"/>
        <v>43058887321.887733</v>
      </c>
      <c r="M2793" s="471">
        <f t="shared" si="154"/>
        <v>0.05</v>
      </c>
      <c r="N2793" s="475">
        <f t="shared" si="155"/>
        <v>136054</v>
      </c>
    </row>
    <row r="2794" spans="7:14" ht="11.25" customHeight="1" x14ac:dyDescent="0.3">
      <c r="G2794" s="470"/>
      <c r="H2794" s="470">
        <v>2787</v>
      </c>
      <c r="I2794" s="455">
        <f t="shared" ca="1" si="153"/>
        <v>43058887321.887733</v>
      </c>
      <c r="J2794" s="455">
        <f t="array" ref="J2794">IFERROR(INDEX('Retirement Calculator'!J:J,MATCH('Isaac 401k'!N2794,'Retirement Calculator'!A:A,0),0),0)</f>
        <v>0</v>
      </c>
      <c r="K2794" s="455">
        <f t="shared" ca="1" si="151"/>
        <v>179412030.50786555</v>
      </c>
      <c r="L2794" s="455">
        <f t="shared" ca="1" si="152"/>
        <v>43238299352.395599</v>
      </c>
      <c r="M2794" s="471">
        <f t="shared" si="154"/>
        <v>0.05</v>
      </c>
      <c r="N2794" s="475">
        <f t="shared" si="155"/>
        <v>136085</v>
      </c>
    </row>
    <row r="2795" spans="7:14" ht="11.25" customHeight="1" x14ac:dyDescent="0.3">
      <c r="G2795" s="470"/>
      <c r="H2795" s="470">
        <v>2788</v>
      </c>
      <c r="I2795" s="455">
        <f t="shared" ca="1" si="153"/>
        <v>43238299352.395599</v>
      </c>
      <c r="J2795" s="455">
        <f t="array" ref="J2795">IFERROR(INDEX('Retirement Calculator'!J:J,MATCH('Isaac 401k'!N2795,'Retirement Calculator'!A:A,0),0),0)</f>
        <v>0</v>
      </c>
      <c r="K2795" s="455">
        <f t="shared" ca="1" si="151"/>
        <v>180159580.63498166</v>
      </c>
      <c r="L2795" s="455">
        <f t="shared" ca="1" si="152"/>
        <v>43418458933.030579</v>
      </c>
      <c r="M2795" s="471">
        <f t="shared" si="154"/>
        <v>0.05</v>
      </c>
      <c r="N2795" s="475">
        <f t="shared" si="155"/>
        <v>136116</v>
      </c>
    </row>
    <row r="2796" spans="7:14" ht="11.25" customHeight="1" x14ac:dyDescent="0.3">
      <c r="G2796" s="470"/>
      <c r="H2796" s="470">
        <v>2789</v>
      </c>
      <c r="I2796" s="455">
        <f t="shared" ca="1" si="153"/>
        <v>43418458933.030579</v>
      </c>
      <c r="J2796" s="455">
        <f t="array" ref="J2796">IFERROR(INDEX('Retirement Calculator'!J:J,MATCH('Isaac 401k'!N2796,'Retirement Calculator'!A:A,0),0),0)</f>
        <v>0</v>
      </c>
      <c r="K2796" s="455">
        <f t="shared" ca="1" si="151"/>
        <v>180910245.55429408</v>
      </c>
      <c r="L2796" s="455">
        <f t="shared" ca="1" si="152"/>
        <v>43599369178.584869</v>
      </c>
      <c r="M2796" s="471">
        <f t="shared" si="154"/>
        <v>0.05</v>
      </c>
      <c r="N2796" s="475">
        <f t="shared" si="155"/>
        <v>136146</v>
      </c>
    </row>
    <row r="2797" spans="7:14" ht="11.25" customHeight="1" x14ac:dyDescent="0.3">
      <c r="G2797" s="470"/>
      <c r="H2797" s="470">
        <v>2790</v>
      </c>
      <c r="I2797" s="455">
        <f t="shared" ca="1" si="153"/>
        <v>43599369178.584869</v>
      </c>
      <c r="J2797" s="455">
        <f t="array" ref="J2797">IFERROR(INDEX('Retirement Calculator'!J:J,MATCH('Isaac 401k'!N2797,'Retirement Calculator'!A:A,0),0),0)</f>
        <v>0</v>
      </c>
      <c r="K2797" s="455">
        <f t="shared" ca="1" si="151"/>
        <v>181664038.24410361</v>
      </c>
      <c r="L2797" s="455">
        <f t="shared" ca="1" si="152"/>
        <v>43781033216.828972</v>
      </c>
      <c r="M2797" s="471">
        <f t="shared" si="154"/>
        <v>0.05</v>
      </c>
      <c r="N2797" s="475">
        <f t="shared" si="155"/>
        <v>136177</v>
      </c>
    </row>
    <row r="2798" spans="7:14" ht="11.25" customHeight="1" x14ac:dyDescent="0.3">
      <c r="G2798" s="470"/>
      <c r="H2798" s="470">
        <v>2791</v>
      </c>
      <c r="I2798" s="455">
        <f t="shared" ca="1" si="153"/>
        <v>43781033216.828972</v>
      </c>
      <c r="J2798" s="455">
        <f t="array" ref="J2798">IFERROR(INDEX('Retirement Calculator'!J:J,MATCH('Isaac 401k'!N2798,'Retirement Calculator'!A:A,0),0),0)</f>
        <v>0</v>
      </c>
      <c r="K2798" s="455">
        <f t="shared" ca="1" si="151"/>
        <v>182420971.73678738</v>
      </c>
      <c r="L2798" s="455">
        <f t="shared" ca="1" si="152"/>
        <v>43963454188.565758</v>
      </c>
      <c r="M2798" s="471">
        <f t="shared" si="154"/>
        <v>0.05</v>
      </c>
      <c r="N2798" s="475">
        <f t="shared" si="155"/>
        <v>136207</v>
      </c>
    </row>
    <row r="2799" spans="7:14" ht="11.25" customHeight="1" x14ac:dyDescent="0.3">
      <c r="G2799" s="470"/>
      <c r="H2799" s="470">
        <v>2792</v>
      </c>
      <c r="I2799" s="455">
        <f t="shared" ca="1" si="153"/>
        <v>43963454188.565758</v>
      </c>
      <c r="J2799" s="455">
        <f t="array" ref="J2799">IFERROR(INDEX('Retirement Calculator'!J:J,MATCH('Isaac 401k'!N2799,'Retirement Calculator'!A:A,0),0),0)</f>
        <v>0</v>
      </c>
      <c r="K2799" s="455">
        <f t="shared" ca="1" si="151"/>
        <v>183181059.11902398</v>
      </c>
      <c r="L2799" s="455">
        <f t="shared" ca="1" si="152"/>
        <v>44146635247.684784</v>
      </c>
      <c r="M2799" s="471">
        <f t="shared" si="154"/>
        <v>0.05</v>
      </c>
      <c r="N2799" s="475">
        <f t="shared" si="155"/>
        <v>136238</v>
      </c>
    </row>
    <row r="2800" spans="7:14" ht="11.25" customHeight="1" x14ac:dyDescent="0.3">
      <c r="G2800" s="470"/>
      <c r="H2800" s="470">
        <v>2793</v>
      </c>
      <c r="I2800" s="455">
        <f t="shared" ca="1" si="153"/>
        <v>44146635247.684784</v>
      </c>
      <c r="J2800" s="455">
        <f t="array" ref="J2800">IFERROR(INDEX('Retirement Calculator'!J:J,MATCH('Isaac 401k'!N2800,'Retirement Calculator'!A:A,0),0),0)</f>
        <v>0</v>
      </c>
      <c r="K2800" s="455">
        <f t="shared" ca="1" si="151"/>
        <v>183944313.53201994</v>
      </c>
      <c r="L2800" s="455">
        <f t="shared" ca="1" si="152"/>
        <v>44330579561.216805</v>
      </c>
      <c r="M2800" s="471">
        <f t="shared" si="154"/>
        <v>0.05</v>
      </c>
      <c r="N2800" s="475">
        <f t="shared" si="155"/>
        <v>136269</v>
      </c>
    </row>
    <row r="2801" spans="7:14" ht="11.25" customHeight="1" x14ac:dyDescent="0.3">
      <c r="G2801" s="470"/>
      <c r="H2801" s="470">
        <v>2794</v>
      </c>
      <c r="I2801" s="455">
        <f t="shared" ca="1" si="153"/>
        <v>44330579561.216805</v>
      </c>
      <c r="J2801" s="455">
        <f t="array" ref="J2801">IFERROR(INDEX('Retirement Calculator'!J:J,MATCH('Isaac 401k'!N2801,'Retirement Calculator'!A:A,0),0),0)</f>
        <v>0</v>
      </c>
      <c r="K2801" s="455">
        <f t="shared" ca="1" si="151"/>
        <v>184710748.17173669</v>
      </c>
      <c r="L2801" s="455">
        <f t="shared" ca="1" si="152"/>
        <v>44515290309.388542</v>
      </c>
      <c r="M2801" s="471">
        <f t="shared" si="154"/>
        <v>0.05</v>
      </c>
      <c r="N2801" s="475">
        <f t="shared" si="155"/>
        <v>136297</v>
      </c>
    </row>
    <row r="2802" spans="7:14" ht="11.25" customHeight="1" x14ac:dyDescent="0.3">
      <c r="G2802" s="470"/>
      <c r="H2802" s="470">
        <v>2795</v>
      </c>
      <c r="I2802" s="455">
        <f t="shared" ca="1" si="153"/>
        <v>44515290309.388542</v>
      </c>
      <c r="J2802" s="455">
        <f t="array" ref="J2802">IFERROR(INDEX('Retirement Calculator'!J:J,MATCH('Isaac 401k'!N2802,'Retirement Calculator'!A:A,0),0),0)</f>
        <v>0</v>
      </c>
      <c r="K2802" s="455">
        <f t="shared" ca="1" si="151"/>
        <v>185480376.28911892</v>
      </c>
      <c r="L2802" s="455">
        <f t="shared" ca="1" si="152"/>
        <v>44700770685.677658</v>
      </c>
      <c r="M2802" s="471">
        <f t="shared" si="154"/>
        <v>0.05</v>
      </c>
      <c r="N2802" s="475">
        <f t="shared" si="155"/>
        <v>136328</v>
      </c>
    </row>
    <row r="2803" spans="7:14" ht="11.25" customHeight="1" x14ac:dyDescent="0.3">
      <c r="G2803" s="470"/>
      <c r="H2803" s="470">
        <v>2796</v>
      </c>
      <c r="I2803" s="455">
        <f t="shared" ca="1" si="153"/>
        <v>44700770685.677658</v>
      </c>
      <c r="J2803" s="455">
        <f t="array" ref="J2803">IFERROR(INDEX('Retirement Calculator'!J:J,MATCH('Isaac 401k'!N2803,'Retirement Calculator'!A:A,0),0),0)</f>
        <v>0</v>
      </c>
      <c r="K2803" s="455">
        <f t="shared" ca="1" si="151"/>
        <v>186253211.19032356</v>
      </c>
      <c r="L2803" s="455">
        <f t="shared" ca="1" si="152"/>
        <v>44887023896.867981</v>
      </c>
      <c r="M2803" s="471">
        <f t="shared" si="154"/>
        <v>0.05</v>
      </c>
      <c r="N2803" s="475">
        <f t="shared" si="155"/>
        <v>136358</v>
      </c>
    </row>
    <row r="2804" spans="7:14" ht="11.25" customHeight="1" x14ac:dyDescent="0.3">
      <c r="G2804" s="470"/>
      <c r="H2804" s="470">
        <v>2797</v>
      </c>
      <c r="I2804" s="455">
        <f t="shared" ca="1" si="153"/>
        <v>44887023896.867981</v>
      </c>
      <c r="J2804" s="455">
        <f t="array" ref="J2804">IFERROR(INDEX('Retirement Calculator'!J:J,MATCH('Isaac 401k'!N2804,'Retirement Calculator'!A:A,0),0),0)</f>
        <v>0</v>
      </c>
      <c r="K2804" s="455">
        <f t="shared" ca="1" si="151"/>
        <v>187029266.23694992</v>
      </c>
      <c r="L2804" s="455">
        <f t="shared" ca="1" si="152"/>
        <v>45074053163.104935</v>
      </c>
      <c r="M2804" s="471">
        <f t="shared" si="154"/>
        <v>0.05</v>
      </c>
      <c r="N2804" s="475">
        <f t="shared" si="155"/>
        <v>136389</v>
      </c>
    </row>
    <row r="2805" spans="7:14" ht="11.25" customHeight="1" x14ac:dyDescent="0.3">
      <c r="G2805" s="470"/>
      <c r="H2805" s="470">
        <v>2798</v>
      </c>
      <c r="I2805" s="455">
        <f t="shared" ca="1" si="153"/>
        <v>45074053163.104935</v>
      </c>
      <c r="J2805" s="455">
        <f t="array" ref="J2805">IFERROR(INDEX('Retirement Calculator'!J:J,MATCH('Isaac 401k'!N2805,'Retirement Calculator'!A:A,0),0),0)</f>
        <v>0</v>
      </c>
      <c r="K2805" s="455">
        <f t="shared" ca="1" si="151"/>
        <v>187808554.84627056</v>
      </c>
      <c r="L2805" s="455">
        <f t="shared" ca="1" si="152"/>
        <v>45261861717.951202</v>
      </c>
      <c r="M2805" s="471">
        <f t="shared" si="154"/>
        <v>0.05</v>
      </c>
      <c r="N2805" s="475">
        <f t="shared" si="155"/>
        <v>136419</v>
      </c>
    </row>
    <row r="2806" spans="7:14" ht="11.25" customHeight="1" x14ac:dyDescent="0.3">
      <c r="G2806" s="470"/>
      <c r="H2806" s="470">
        <v>2799</v>
      </c>
      <c r="I2806" s="455">
        <f t="shared" ca="1" si="153"/>
        <v>45261861717.951202</v>
      </c>
      <c r="J2806" s="455">
        <f t="array" ref="J2806">IFERROR(INDEX('Retirement Calculator'!J:J,MATCH('Isaac 401k'!N2806,'Retirement Calculator'!A:A,0),0),0)</f>
        <v>0</v>
      </c>
      <c r="K2806" s="455">
        <f t="shared" ca="1" si="151"/>
        <v>188591090.49146333</v>
      </c>
      <c r="L2806" s="455">
        <f t="shared" ca="1" si="152"/>
        <v>45450452808.442665</v>
      </c>
      <c r="M2806" s="471">
        <f t="shared" si="154"/>
        <v>0.05</v>
      </c>
      <c r="N2806" s="475">
        <f t="shared" si="155"/>
        <v>136450</v>
      </c>
    </row>
    <row r="2807" spans="7:14" ht="11.25" customHeight="1" x14ac:dyDescent="0.3">
      <c r="G2807" s="470"/>
      <c r="H2807" s="470">
        <v>2800</v>
      </c>
      <c r="I2807" s="455">
        <f t="shared" ca="1" si="153"/>
        <v>45450452808.442665</v>
      </c>
      <c r="J2807" s="455">
        <f t="array" ref="J2807">IFERROR(INDEX('Retirement Calculator'!J:J,MATCH('Isaac 401k'!N2807,'Retirement Calculator'!A:A,0),0),0)</f>
        <v>0</v>
      </c>
      <c r="K2807" s="455">
        <f t="shared" ca="1" si="151"/>
        <v>189376886.70184442</v>
      </c>
      <c r="L2807" s="455">
        <f t="shared" ca="1" si="152"/>
        <v>45639829695.144508</v>
      </c>
      <c r="M2807" s="471">
        <f t="shared" si="154"/>
        <v>0.05</v>
      </c>
      <c r="N2807" s="475">
        <f t="shared" si="155"/>
        <v>136481</v>
      </c>
    </row>
    <row r="2808" spans="7:14" ht="11.25" customHeight="1" x14ac:dyDescent="0.3">
      <c r="G2808" s="470"/>
      <c r="H2808" s="470">
        <v>2801</v>
      </c>
      <c r="I2808" s="455">
        <f t="shared" ca="1" si="153"/>
        <v>45639829695.144508</v>
      </c>
      <c r="J2808" s="455">
        <f t="array" ref="J2808">IFERROR(INDEX('Retirement Calculator'!J:J,MATCH('Isaac 401k'!N2808,'Retirement Calculator'!A:A,0),0),0)</f>
        <v>0</v>
      </c>
      <c r="K2808" s="455">
        <f t="shared" ca="1" si="151"/>
        <v>190165957.06310213</v>
      </c>
      <c r="L2808" s="455">
        <f t="shared" ca="1" si="152"/>
        <v>45829995652.207611</v>
      </c>
      <c r="M2808" s="471">
        <f t="shared" si="154"/>
        <v>0.05</v>
      </c>
      <c r="N2808" s="475">
        <f t="shared" si="155"/>
        <v>136511</v>
      </c>
    </row>
    <row r="2809" spans="7:14" ht="11.25" customHeight="1" x14ac:dyDescent="0.3">
      <c r="G2809" s="470"/>
      <c r="H2809" s="470">
        <v>2802</v>
      </c>
      <c r="I2809" s="455">
        <f t="shared" ca="1" si="153"/>
        <v>45829995652.207611</v>
      </c>
      <c r="J2809" s="455">
        <f t="array" ref="J2809">IFERROR(INDEX('Retirement Calculator'!J:J,MATCH('Isaac 401k'!N2809,'Retirement Calculator'!A:A,0),0),0)</f>
        <v>0</v>
      </c>
      <c r="K2809" s="455">
        <f t="shared" ca="1" si="151"/>
        <v>190958315.21753171</v>
      </c>
      <c r="L2809" s="455">
        <f t="shared" ca="1" si="152"/>
        <v>46020953967.42514</v>
      </c>
      <c r="M2809" s="471">
        <f t="shared" si="154"/>
        <v>0.05</v>
      </c>
      <c r="N2809" s="475">
        <f t="shared" si="155"/>
        <v>136542</v>
      </c>
    </row>
    <row r="2810" spans="7:14" ht="11.25" customHeight="1" x14ac:dyDescent="0.3">
      <c r="G2810" s="470"/>
      <c r="H2810" s="470">
        <v>2803</v>
      </c>
      <c r="I2810" s="455">
        <f t="shared" ca="1" si="153"/>
        <v>46020953967.42514</v>
      </c>
      <c r="J2810" s="455">
        <f t="array" ref="J2810">IFERROR(INDEX('Retirement Calculator'!J:J,MATCH('Isaac 401k'!N2810,'Retirement Calculator'!A:A,0),0),0)</f>
        <v>0</v>
      </c>
      <c r="K2810" s="455">
        <f t="shared" ca="1" si="151"/>
        <v>191753974.8642714</v>
      </c>
      <c r="L2810" s="455">
        <f t="shared" ca="1" si="152"/>
        <v>46212707942.289413</v>
      </c>
      <c r="M2810" s="471">
        <f t="shared" si="154"/>
        <v>0.05</v>
      </c>
      <c r="N2810" s="475">
        <f t="shared" si="155"/>
        <v>136572</v>
      </c>
    </row>
    <row r="2811" spans="7:14" ht="11.25" customHeight="1" x14ac:dyDescent="0.3">
      <c r="G2811" s="470"/>
      <c r="H2811" s="470">
        <v>2804</v>
      </c>
      <c r="I2811" s="455">
        <f t="shared" ca="1" si="153"/>
        <v>46212707942.289413</v>
      </c>
      <c r="J2811" s="455">
        <f t="array" ref="J2811">IFERROR(INDEX('Retirement Calculator'!J:J,MATCH('Isaac 401k'!N2811,'Retirement Calculator'!A:A,0),0),0)</f>
        <v>0</v>
      </c>
      <c r="K2811" s="455">
        <f t="shared" ca="1" si="151"/>
        <v>192552949.75953922</v>
      </c>
      <c r="L2811" s="455">
        <f t="shared" ca="1" si="152"/>
        <v>46405260892.04895</v>
      </c>
      <c r="M2811" s="471">
        <f t="shared" si="154"/>
        <v>0.05</v>
      </c>
      <c r="N2811" s="475">
        <f t="shared" si="155"/>
        <v>136603</v>
      </c>
    </row>
    <row r="2812" spans="7:14" ht="11.25" customHeight="1" x14ac:dyDescent="0.3">
      <c r="G2812" s="470"/>
      <c r="H2812" s="470">
        <v>2805</v>
      </c>
      <c r="I2812" s="455">
        <f t="shared" ca="1" si="153"/>
        <v>46405260892.04895</v>
      </c>
      <c r="J2812" s="455">
        <f t="array" ref="J2812">IFERROR(INDEX('Retirement Calculator'!J:J,MATCH('Isaac 401k'!N2812,'Retirement Calculator'!A:A,0),0),0)</f>
        <v>0</v>
      </c>
      <c r="K2812" s="455">
        <f t="shared" ca="1" si="151"/>
        <v>193355253.71687064</v>
      </c>
      <c r="L2812" s="455">
        <f t="shared" ca="1" si="152"/>
        <v>46598616145.765823</v>
      </c>
      <c r="M2812" s="471">
        <f t="shared" si="154"/>
        <v>0.05</v>
      </c>
      <c r="N2812" s="475">
        <f t="shared" si="155"/>
        <v>136634</v>
      </c>
    </row>
    <row r="2813" spans="7:14" ht="11.25" customHeight="1" x14ac:dyDescent="0.3">
      <c r="G2813" s="470"/>
      <c r="H2813" s="470">
        <v>2806</v>
      </c>
      <c r="I2813" s="455">
        <f t="shared" ca="1" si="153"/>
        <v>46598616145.765823</v>
      </c>
      <c r="J2813" s="455">
        <f t="array" ref="J2813">IFERROR(INDEX('Retirement Calculator'!J:J,MATCH('Isaac 401k'!N2813,'Retirement Calculator'!A:A,0),0),0)</f>
        <v>0</v>
      </c>
      <c r="K2813" s="455">
        <f t="shared" ref="K2813:K3067" ca="1" si="156">IPMT(M2813/12,1,12,-I2813+J2813,,0)</f>
        <v>194160900.60735759</v>
      </c>
      <c r="L2813" s="455">
        <f t="shared" ref="L2813:L3067" ca="1" si="157">I2813-J2813+K2813</f>
        <v>46792777046.373184</v>
      </c>
      <c r="M2813" s="471">
        <f t="shared" si="154"/>
        <v>0.05</v>
      </c>
      <c r="N2813" s="475">
        <f t="shared" si="155"/>
        <v>136662</v>
      </c>
    </row>
    <row r="2814" spans="7:14" ht="11.25" customHeight="1" x14ac:dyDescent="0.3">
      <c r="G2814" s="470"/>
      <c r="H2814" s="470">
        <v>2807</v>
      </c>
      <c r="I2814" s="455">
        <f t="shared" ref="I2814:I3068" ca="1" si="158">L2813</f>
        <v>46792777046.373184</v>
      </c>
      <c r="J2814" s="455">
        <f t="array" ref="J2814">IFERROR(INDEX('Retirement Calculator'!J:J,MATCH('Isaac 401k'!N2814,'Retirement Calculator'!A:A,0),0),0)</f>
        <v>0</v>
      </c>
      <c r="K2814" s="455">
        <f t="shared" ca="1" si="156"/>
        <v>194969904.35988826</v>
      </c>
      <c r="L2814" s="455">
        <f t="shared" ca="1" si="157"/>
        <v>46987746950.73307</v>
      </c>
      <c r="M2814" s="471">
        <f t="shared" ref="M2814:M3068" si="159">M2813</f>
        <v>0.05</v>
      </c>
      <c r="N2814" s="475">
        <f t="shared" ref="N2814:N3068" si="160">EDATE(N2813,1)</f>
        <v>136693</v>
      </c>
    </row>
    <row r="2815" spans="7:14" ht="11.25" customHeight="1" x14ac:dyDescent="0.3">
      <c r="G2815" s="470"/>
      <c r="H2815" s="470">
        <v>2808</v>
      </c>
      <c r="I2815" s="455">
        <f t="shared" ca="1" si="158"/>
        <v>46987746950.73307</v>
      </c>
      <c r="J2815" s="455">
        <f t="array" ref="J2815">IFERROR(INDEX('Retirement Calculator'!J:J,MATCH('Isaac 401k'!N2815,'Retirement Calculator'!A:A,0),0),0)</f>
        <v>0</v>
      </c>
      <c r="K2815" s="455">
        <f t="shared" ca="1" si="156"/>
        <v>195782278.96138778</v>
      </c>
      <c r="L2815" s="455">
        <f t="shared" ca="1" si="157"/>
        <v>47183529229.694458</v>
      </c>
      <c r="M2815" s="471">
        <f t="shared" si="159"/>
        <v>0.05</v>
      </c>
      <c r="N2815" s="475">
        <f t="shared" si="160"/>
        <v>136723</v>
      </c>
    </row>
    <row r="2816" spans="7:14" ht="11.25" customHeight="1" x14ac:dyDescent="0.3">
      <c r="G2816" s="470"/>
      <c r="H2816" s="470">
        <v>2809</v>
      </c>
      <c r="I2816" s="455">
        <f t="shared" ca="1" si="158"/>
        <v>47183529229.694458</v>
      </c>
      <c r="J2816" s="455">
        <f t="array" ref="J2816">IFERROR(INDEX('Retirement Calculator'!J:J,MATCH('Isaac 401k'!N2816,'Retirement Calculator'!A:A,0),0),0)</f>
        <v>0</v>
      </c>
      <c r="K2816" s="455">
        <f t="shared" ca="1" si="156"/>
        <v>196598038.45706025</v>
      </c>
      <c r="L2816" s="455">
        <f t="shared" ca="1" si="157"/>
        <v>47380127268.15152</v>
      </c>
      <c r="M2816" s="471">
        <f t="shared" si="159"/>
        <v>0.05</v>
      </c>
      <c r="N2816" s="475">
        <f t="shared" si="160"/>
        <v>136754</v>
      </c>
    </row>
    <row r="2817" spans="7:14" ht="11.25" customHeight="1" x14ac:dyDescent="0.3">
      <c r="G2817" s="470"/>
      <c r="H2817" s="470">
        <v>2810</v>
      </c>
      <c r="I2817" s="455">
        <f t="shared" ca="1" si="158"/>
        <v>47380127268.15152</v>
      </c>
      <c r="J2817" s="455">
        <f t="array" ref="J2817">IFERROR(INDEX('Retirement Calculator'!J:J,MATCH('Isaac 401k'!N2817,'Retirement Calculator'!A:A,0),0),0)</f>
        <v>0</v>
      </c>
      <c r="K2817" s="455">
        <f t="shared" ca="1" si="156"/>
        <v>197417196.95063132</v>
      </c>
      <c r="L2817" s="455">
        <f t="shared" ca="1" si="157"/>
        <v>47577544465.10215</v>
      </c>
      <c r="M2817" s="471">
        <f t="shared" si="159"/>
        <v>0.05</v>
      </c>
      <c r="N2817" s="475">
        <f t="shared" si="160"/>
        <v>136784</v>
      </c>
    </row>
    <row r="2818" spans="7:14" ht="11.25" customHeight="1" x14ac:dyDescent="0.3">
      <c r="G2818" s="470"/>
      <c r="H2818" s="470">
        <v>2811</v>
      </c>
      <c r="I2818" s="455">
        <f t="shared" ca="1" si="158"/>
        <v>47577544465.10215</v>
      </c>
      <c r="J2818" s="455">
        <f t="array" ref="J2818">IFERROR(INDEX('Retirement Calculator'!J:J,MATCH('Isaac 401k'!N2818,'Retirement Calculator'!A:A,0),0),0)</f>
        <v>0</v>
      </c>
      <c r="K2818" s="455">
        <f t="shared" ca="1" si="156"/>
        <v>198239768.60459229</v>
      </c>
      <c r="L2818" s="455">
        <f t="shared" ca="1" si="157"/>
        <v>47775784233.706741</v>
      </c>
      <c r="M2818" s="471">
        <f t="shared" si="159"/>
        <v>0.05</v>
      </c>
      <c r="N2818" s="475">
        <f t="shared" si="160"/>
        <v>136815</v>
      </c>
    </row>
    <row r="2819" spans="7:14" ht="11.25" customHeight="1" x14ac:dyDescent="0.3">
      <c r="G2819" s="470"/>
      <c r="H2819" s="470">
        <v>2812</v>
      </c>
      <c r="I2819" s="455">
        <f t="shared" ca="1" si="158"/>
        <v>47775784233.706741</v>
      </c>
      <c r="J2819" s="455">
        <f t="array" ref="J2819">IFERROR(INDEX('Retirement Calculator'!J:J,MATCH('Isaac 401k'!N2819,'Retirement Calculator'!A:A,0),0),0)</f>
        <v>0</v>
      </c>
      <c r="K2819" s="455">
        <f t="shared" ca="1" si="156"/>
        <v>199065767.64044476</v>
      </c>
      <c r="L2819" s="455">
        <f t="shared" ca="1" si="157"/>
        <v>47974850001.347183</v>
      </c>
      <c r="M2819" s="471">
        <f t="shared" si="159"/>
        <v>0.05</v>
      </c>
      <c r="N2819" s="475">
        <f t="shared" si="160"/>
        <v>136846</v>
      </c>
    </row>
    <row r="2820" spans="7:14" ht="11.25" customHeight="1" x14ac:dyDescent="0.3">
      <c r="G2820" s="470"/>
      <c r="H2820" s="470">
        <v>2813</v>
      </c>
      <c r="I2820" s="455">
        <f t="shared" ca="1" si="158"/>
        <v>47974850001.347183</v>
      </c>
      <c r="J2820" s="455">
        <f t="array" ref="J2820">IFERROR(INDEX('Retirement Calculator'!J:J,MATCH('Isaac 401k'!N2820,'Retirement Calculator'!A:A,0),0),0)</f>
        <v>0</v>
      </c>
      <c r="K2820" s="455">
        <f t="shared" ca="1" si="156"/>
        <v>199895208.33894658</v>
      </c>
      <c r="L2820" s="455">
        <f t="shared" ca="1" si="157"/>
        <v>48174745209.686127</v>
      </c>
      <c r="M2820" s="471">
        <f t="shared" si="159"/>
        <v>0.05</v>
      </c>
      <c r="N2820" s="475">
        <f t="shared" si="160"/>
        <v>136876</v>
      </c>
    </row>
    <row r="2821" spans="7:14" ht="11.25" customHeight="1" x14ac:dyDescent="0.3">
      <c r="G2821" s="470"/>
      <c r="H2821" s="470">
        <v>2814</v>
      </c>
      <c r="I2821" s="455">
        <f t="shared" ca="1" si="158"/>
        <v>48174745209.686127</v>
      </c>
      <c r="J2821" s="455">
        <f t="array" ref="J2821">IFERROR(INDEX('Retirement Calculator'!J:J,MATCH('Isaac 401k'!N2821,'Retirement Calculator'!A:A,0),0),0)</f>
        <v>0</v>
      </c>
      <c r="K2821" s="455">
        <f t="shared" ca="1" si="156"/>
        <v>200728105.04035887</v>
      </c>
      <c r="L2821" s="455">
        <f t="shared" ca="1" si="157"/>
        <v>48375473314.726486</v>
      </c>
      <c r="M2821" s="471">
        <f t="shared" si="159"/>
        <v>0.05</v>
      </c>
      <c r="N2821" s="475">
        <f t="shared" si="160"/>
        <v>136907</v>
      </c>
    </row>
    <row r="2822" spans="7:14" ht="11.25" customHeight="1" x14ac:dyDescent="0.3">
      <c r="G2822" s="470"/>
      <c r="H2822" s="470">
        <v>2815</v>
      </c>
      <c r="I2822" s="455">
        <f t="shared" ca="1" si="158"/>
        <v>48375473314.726486</v>
      </c>
      <c r="J2822" s="455">
        <f t="array" ref="J2822">IFERROR(INDEX('Retirement Calculator'!J:J,MATCH('Isaac 401k'!N2822,'Retirement Calculator'!A:A,0),0),0)</f>
        <v>0</v>
      </c>
      <c r="K2822" s="455">
        <f t="shared" ca="1" si="156"/>
        <v>201564472.1446937</v>
      </c>
      <c r="L2822" s="455">
        <f t="shared" ca="1" si="157"/>
        <v>48577037786.871178</v>
      </c>
      <c r="M2822" s="471">
        <f t="shared" si="159"/>
        <v>0.05</v>
      </c>
      <c r="N2822" s="475">
        <f t="shared" si="160"/>
        <v>136937</v>
      </c>
    </row>
    <row r="2823" spans="7:14" ht="11.25" customHeight="1" x14ac:dyDescent="0.3">
      <c r="G2823" s="470"/>
      <c r="H2823" s="470">
        <v>2816</v>
      </c>
      <c r="I2823" s="455">
        <f t="shared" ca="1" si="158"/>
        <v>48577037786.871178</v>
      </c>
      <c r="J2823" s="455">
        <f t="array" ref="J2823">IFERROR(INDEX('Retirement Calculator'!J:J,MATCH('Isaac 401k'!N2823,'Retirement Calculator'!A:A,0),0),0)</f>
        <v>0</v>
      </c>
      <c r="K2823" s="455">
        <f t="shared" ca="1" si="156"/>
        <v>202404324.11196324</v>
      </c>
      <c r="L2823" s="455">
        <f t="shared" ca="1" si="157"/>
        <v>48779442110.983139</v>
      </c>
      <c r="M2823" s="471">
        <f t="shared" si="159"/>
        <v>0.05</v>
      </c>
      <c r="N2823" s="475">
        <f t="shared" si="160"/>
        <v>136968</v>
      </c>
    </row>
    <row r="2824" spans="7:14" ht="11.25" customHeight="1" x14ac:dyDescent="0.3">
      <c r="G2824" s="470"/>
      <c r="H2824" s="470">
        <v>2817</v>
      </c>
      <c r="I2824" s="455">
        <f t="shared" ca="1" si="158"/>
        <v>48779442110.983139</v>
      </c>
      <c r="J2824" s="455">
        <f t="array" ref="J2824">IFERROR(INDEX('Retirement Calculator'!J:J,MATCH('Isaac 401k'!N2824,'Retirement Calculator'!A:A,0),0),0)</f>
        <v>0</v>
      </c>
      <c r="K2824" s="455">
        <f t="shared" ca="1" si="156"/>
        <v>203247675.46242973</v>
      </c>
      <c r="L2824" s="455">
        <f t="shared" ca="1" si="157"/>
        <v>48982689786.445572</v>
      </c>
      <c r="M2824" s="471">
        <f t="shared" si="159"/>
        <v>0.05</v>
      </c>
      <c r="N2824" s="475">
        <f t="shared" si="160"/>
        <v>136999</v>
      </c>
    </row>
    <row r="2825" spans="7:14" ht="11.25" customHeight="1" x14ac:dyDescent="0.3">
      <c r="G2825" s="470"/>
      <c r="H2825" s="470">
        <v>2818</v>
      </c>
      <c r="I2825" s="455">
        <f t="shared" ca="1" si="158"/>
        <v>48982689786.445572</v>
      </c>
      <c r="J2825" s="455">
        <f t="array" ref="J2825">IFERROR(INDEX('Retirement Calculator'!J:J,MATCH('Isaac 401k'!N2825,'Retirement Calculator'!A:A,0),0),0)</f>
        <v>0</v>
      </c>
      <c r="K2825" s="455">
        <f t="shared" ca="1" si="156"/>
        <v>204094540.77685654</v>
      </c>
      <c r="L2825" s="455">
        <f t="shared" ca="1" si="157"/>
        <v>49186784327.222427</v>
      </c>
      <c r="M2825" s="471">
        <f t="shared" si="159"/>
        <v>0.05</v>
      </c>
      <c r="N2825" s="475">
        <f t="shared" si="160"/>
        <v>137027</v>
      </c>
    </row>
    <row r="2826" spans="7:14" ht="11.25" customHeight="1" x14ac:dyDescent="0.3">
      <c r="G2826" s="470"/>
      <c r="H2826" s="470">
        <v>2819</v>
      </c>
      <c r="I2826" s="455">
        <f t="shared" ca="1" si="158"/>
        <v>49186784327.222427</v>
      </c>
      <c r="J2826" s="455">
        <f t="array" ref="J2826">IFERROR(INDEX('Retirement Calculator'!J:J,MATCH('Isaac 401k'!N2826,'Retirement Calculator'!A:A,0),0),0)</f>
        <v>0</v>
      </c>
      <c r="K2826" s="455">
        <f t="shared" ca="1" si="156"/>
        <v>204944934.69676012</v>
      </c>
      <c r="L2826" s="455">
        <f t="shared" ca="1" si="157"/>
        <v>49391729261.919189</v>
      </c>
      <c r="M2826" s="471">
        <f t="shared" si="159"/>
        <v>0.05</v>
      </c>
      <c r="N2826" s="475">
        <f t="shared" si="160"/>
        <v>137058</v>
      </c>
    </row>
    <row r="2827" spans="7:14" ht="11.25" customHeight="1" x14ac:dyDescent="0.3">
      <c r="G2827" s="470"/>
      <c r="H2827" s="470">
        <v>2820</v>
      </c>
      <c r="I2827" s="455">
        <f t="shared" ca="1" si="158"/>
        <v>49391729261.919189</v>
      </c>
      <c r="J2827" s="455">
        <f t="array" ref="J2827">IFERROR(INDEX('Retirement Calculator'!J:J,MATCH('Isaac 401k'!N2827,'Retirement Calculator'!A:A,0),0),0)</f>
        <v>0</v>
      </c>
      <c r="K2827" s="455">
        <f t="shared" ca="1" si="156"/>
        <v>205798871.92466328</v>
      </c>
      <c r="L2827" s="455">
        <f t="shared" ca="1" si="157"/>
        <v>49597528133.843849</v>
      </c>
      <c r="M2827" s="471">
        <f t="shared" si="159"/>
        <v>0.05</v>
      </c>
      <c r="N2827" s="475">
        <f t="shared" si="160"/>
        <v>137088</v>
      </c>
    </row>
    <row r="2828" spans="7:14" ht="11.25" customHeight="1" x14ac:dyDescent="0.3">
      <c r="G2828" s="470"/>
      <c r="H2828" s="470">
        <v>2821</v>
      </c>
      <c r="I2828" s="455">
        <f t="shared" ca="1" si="158"/>
        <v>49597528133.843849</v>
      </c>
      <c r="J2828" s="455">
        <f t="array" ref="J2828">IFERROR(INDEX('Retirement Calculator'!J:J,MATCH('Isaac 401k'!N2828,'Retirement Calculator'!A:A,0),0),0)</f>
        <v>0</v>
      </c>
      <c r="K2828" s="455">
        <f t="shared" ca="1" si="156"/>
        <v>206656367.22434938</v>
      </c>
      <c r="L2828" s="455">
        <f t="shared" ca="1" si="157"/>
        <v>49804184501.068199</v>
      </c>
      <c r="M2828" s="471">
        <f t="shared" si="159"/>
        <v>0.05</v>
      </c>
      <c r="N2828" s="475">
        <f t="shared" si="160"/>
        <v>137119</v>
      </c>
    </row>
    <row r="2829" spans="7:14" ht="11.25" customHeight="1" x14ac:dyDescent="0.3">
      <c r="G2829" s="470"/>
      <c r="H2829" s="470">
        <v>2822</v>
      </c>
      <c r="I2829" s="455">
        <f t="shared" ca="1" si="158"/>
        <v>49804184501.068199</v>
      </c>
      <c r="J2829" s="455">
        <f t="array" ref="J2829">IFERROR(INDEX('Retirement Calculator'!J:J,MATCH('Isaac 401k'!N2829,'Retirement Calculator'!A:A,0),0),0)</f>
        <v>0</v>
      </c>
      <c r="K2829" s="455">
        <f t="shared" ca="1" si="156"/>
        <v>207517435.42111748</v>
      </c>
      <c r="L2829" s="455">
        <f t="shared" ca="1" si="157"/>
        <v>50011701936.489319</v>
      </c>
      <c r="M2829" s="471">
        <f t="shared" si="159"/>
        <v>0.05</v>
      </c>
      <c r="N2829" s="475">
        <f t="shared" si="160"/>
        <v>137149</v>
      </c>
    </row>
    <row r="2830" spans="7:14" ht="11.25" customHeight="1" x14ac:dyDescent="0.3">
      <c r="G2830" s="470"/>
      <c r="H2830" s="470">
        <v>2823</v>
      </c>
      <c r="I2830" s="455">
        <f t="shared" ca="1" si="158"/>
        <v>50011701936.489319</v>
      </c>
      <c r="J2830" s="455">
        <f t="array" ref="J2830">IFERROR(INDEX('Retirement Calculator'!J:J,MATCH('Isaac 401k'!N2830,'Retirement Calculator'!A:A,0),0),0)</f>
        <v>0</v>
      </c>
      <c r="K2830" s="455">
        <f t="shared" ca="1" si="156"/>
        <v>208382091.40203881</v>
      </c>
      <c r="L2830" s="455">
        <f t="shared" ca="1" si="157"/>
        <v>50220084027.891357</v>
      </c>
      <c r="M2830" s="471">
        <f t="shared" si="159"/>
        <v>0.05</v>
      </c>
      <c r="N2830" s="475">
        <f t="shared" si="160"/>
        <v>137180</v>
      </c>
    </row>
    <row r="2831" spans="7:14" ht="11.25" customHeight="1" x14ac:dyDescent="0.3">
      <c r="G2831" s="470"/>
      <c r="H2831" s="470">
        <v>2824</v>
      </c>
      <c r="I2831" s="455">
        <f t="shared" ca="1" si="158"/>
        <v>50220084027.891357</v>
      </c>
      <c r="J2831" s="455">
        <f t="array" ref="J2831">IFERROR(INDEX('Retirement Calculator'!J:J,MATCH('Isaac 401k'!N2831,'Retirement Calculator'!A:A,0),0),0)</f>
        <v>0</v>
      </c>
      <c r="K2831" s="455">
        <f t="shared" ca="1" si="156"/>
        <v>209250350.11621398</v>
      </c>
      <c r="L2831" s="455">
        <f t="shared" ca="1" si="157"/>
        <v>50429334378.007568</v>
      </c>
      <c r="M2831" s="471">
        <f t="shared" si="159"/>
        <v>0.05</v>
      </c>
      <c r="N2831" s="475">
        <f t="shared" si="160"/>
        <v>137211</v>
      </c>
    </row>
    <row r="2832" spans="7:14" ht="11.25" customHeight="1" x14ac:dyDescent="0.3">
      <c r="G2832" s="470"/>
      <c r="H2832" s="470">
        <v>2825</v>
      </c>
      <c r="I2832" s="455">
        <f t="shared" ca="1" si="158"/>
        <v>50429334378.007568</v>
      </c>
      <c r="J2832" s="455">
        <f t="array" ref="J2832">IFERROR(INDEX('Retirement Calculator'!J:J,MATCH('Isaac 401k'!N2832,'Retirement Calculator'!A:A,0),0),0)</f>
        <v>0</v>
      </c>
      <c r="K2832" s="455">
        <f t="shared" ca="1" si="156"/>
        <v>210122226.57503152</v>
      </c>
      <c r="L2832" s="455">
        <f t="shared" ca="1" si="157"/>
        <v>50639456604.582603</v>
      </c>
      <c r="M2832" s="471">
        <f t="shared" si="159"/>
        <v>0.05</v>
      </c>
      <c r="N2832" s="475">
        <f t="shared" si="160"/>
        <v>137241</v>
      </c>
    </row>
    <row r="2833" spans="7:14" ht="11.25" customHeight="1" x14ac:dyDescent="0.3">
      <c r="G2833" s="470"/>
      <c r="H2833" s="470">
        <v>2826</v>
      </c>
      <c r="I2833" s="455">
        <f t="shared" ca="1" si="158"/>
        <v>50639456604.582603</v>
      </c>
      <c r="J2833" s="455">
        <f t="array" ref="J2833">IFERROR(INDEX('Retirement Calculator'!J:J,MATCH('Isaac 401k'!N2833,'Retirement Calculator'!A:A,0),0),0)</f>
        <v>0</v>
      </c>
      <c r="K2833" s="455">
        <f t="shared" ca="1" si="156"/>
        <v>210997735.85242751</v>
      </c>
      <c r="L2833" s="455">
        <f t="shared" ca="1" si="157"/>
        <v>50850454340.435028</v>
      </c>
      <c r="M2833" s="471">
        <f t="shared" si="159"/>
        <v>0.05</v>
      </c>
      <c r="N2833" s="475">
        <f t="shared" si="160"/>
        <v>137272</v>
      </c>
    </row>
    <row r="2834" spans="7:14" ht="11.25" customHeight="1" x14ac:dyDescent="0.3">
      <c r="G2834" s="470"/>
      <c r="H2834" s="470">
        <v>2827</v>
      </c>
      <c r="I2834" s="455">
        <f t="shared" ca="1" si="158"/>
        <v>50850454340.435028</v>
      </c>
      <c r="J2834" s="455">
        <f t="array" ref="J2834">IFERROR(INDEX('Retirement Calculator'!J:J,MATCH('Isaac 401k'!N2834,'Retirement Calculator'!A:A,0),0),0)</f>
        <v>0</v>
      </c>
      <c r="K2834" s="455">
        <f t="shared" ca="1" si="156"/>
        <v>211876893.08514595</v>
      </c>
      <c r="L2834" s="455">
        <f t="shared" ca="1" si="157"/>
        <v>51062331233.520172</v>
      </c>
      <c r="M2834" s="471">
        <f t="shared" si="159"/>
        <v>0.05</v>
      </c>
      <c r="N2834" s="475">
        <f t="shared" si="160"/>
        <v>137302</v>
      </c>
    </row>
    <row r="2835" spans="7:14" ht="11.25" customHeight="1" x14ac:dyDescent="0.3">
      <c r="G2835" s="470"/>
      <c r="H2835" s="470">
        <v>2828</v>
      </c>
      <c r="I2835" s="455">
        <f t="shared" ca="1" si="158"/>
        <v>51062331233.520172</v>
      </c>
      <c r="J2835" s="455">
        <f t="array" ref="J2835">IFERROR(INDEX('Retirement Calculator'!J:J,MATCH('Isaac 401k'!N2835,'Retirement Calculator'!A:A,0),0),0)</f>
        <v>0</v>
      </c>
      <c r="K2835" s="455">
        <f t="shared" ca="1" si="156"/>
        <v>212759713.47300071</v>
      </c>
      <c r="L2835" s="455">
        <f t="shared" ca="1" si="157"/>
        <v>51275090946.993172</v>
      </c>
      <c r="M2835" s="471">
        <f t="shared" si="159"/>
        <v>0.05</v>
      </c>
      <c r="N2835" s="475">
        <f t="shared" si="160"/>
        <v>137333</v>
      </c>
    </row>
    <row r="2836" spans="7:14" ht="11.25" customHeight="1" x14ac:dyDescent="0.3">
      <c r="G2836" s="470"/>
      <c r="H2836" s="470">
        <v>2829</v>
      </c>
      <c r="I2836" s="455">
        <f t="shared" ca="1" si="158"/>
        <v>51275090946.993172</v>
      </c>
      <c r="J2836" s="455">
        <f t="array" ref="J2836">IFERROR(INDEX('Retirement Calculator'!J:J,MATCH('Isaac 401k'!N2836,'Retirement Calculator'!A:A,0),0),0)</f>
        <v>0</v>
      </c>
      <c r="K2836" s="455">
        <f t="shared" ca="1" si="156"/>
        <v>213646212.27913821</v>
      </c>
      <c r="L2836" s="455">
        <f t="shared" ca="1" si="157"/>
        <v>51488737159.272308</v>
      </c>
      <c r="M2836" s="471">
        <f t="shared" si="159"/>
        <v>0.05</v>
      </c>
      <c r="N2836" s="475">
        <f t="shared" si="160"/>
        <v>137364</v>
      </c>
    </row>
    <row r="2837" spans="7:14" ht="11.25" customHeight="1" x14ac:dyDescent="0.3">
      <c r="G2837" s="470"/>
      <c r="H2837" s="470">
        <v>2830</v>
      </c>
      <c r="I2837" s="455">
        <f t="shared" ca="1" si="158"/>
        <v>51488737159.272308</v>
      </c>
      <c r="J2837" s="455">
        <f t="array" ref="J2837">IFERROR(INDEX('Retirement Calculator'!J:J,MATCH('Isaac 401k'!N2837,'Retirement Calculator'!A:A,0),0),0)</f>
        <v>0</v>
      </c>
      <c r="K2837" s="455">
        <f t="shared" ca="1" si="156"/>
        <v>214536404.83030128</v>
      </c>
      <c r="L2837" s="455">
        <f t="shared" ca="1" si="157"/>
        <v>51703273564.102608</v>
      </c>
      <c r="M2837" s="471">
        <f t="shared" si="159"/>
        <v>0.05</v>
      </c>
      <c r="N2837" s="475">
        <f t="shared" si="160"/>
        <v>137393</v>
      </c>
    </row>
    <row r="2838" spans="7:14" ht="11.25" customHeight="1" x14ac:dyDescent="0.3">
      <c r="G2838" s="470"/>
      <c r="H2838" s="470">
        <v>2831</v>
      </c>
      <c r="I2838" s="455">
        <f t="shared" ca="1" si="158"/>
        <v>51703273564.102608</v>
      </c>
      <c r="J2838" s="455">
        <f t="array" ref="J2838">IFERROR(INDEX('Retirement Calculator'!J:J,MATCH('Isaac 401k'!N2838,'Retirement Calculator'!A:A,0),0),0)</f>
        <v>0</v>
      </c>
      <c r="K2838" s="455">
        <f t="shared" ca="1" si="156"/>
        <v>215430306.51709419</v>
      </c>
      <c r="L2838" s="455">
        <f t="shared" ca="1" si="157"/>
        <v>51918703870.619705</v>
      </c>
      <c r="M2838" s="471">
        <f t="shared" si="159"/>
        <v>0.05</v>
      </c>
      <c r="N2838" s="475">
        <f t="shared" si="160"/>
        <v>137424</v>
      </c>
    </row>
    <row r="2839" spans="7:14" ht="11.25" customHeight="1" x14ac:dyDescent="0.3">
      <c r="G2839" s="470"/>
      <c r="H2839" s="470">
        <v>2832</v>
      </c>
      <c r="I2839" s="455">
        <f t="shared" ca="1" si="158"/>
        <v>51918703870.619705</v>
      </c>
      <c r="J2839" s="455">
        <f t="array" ref="J2839">IFERROR(INDEX('Retirement Calculator'!J:J,MATCH('Isaac 401k'!N2839,'Retirement Calculator'!A:A,0),0),0)</f>
        <v>0</v>
      </c>
      <c r="K2839" s="455">
        <f t="shared" ca="1" si="156"/>
        <v>216327932.79424876</v>
      </c>
      <c r="L2839" s="455">
        <f t="shared" ca="1" si="157"/>
        <v>52135031803.413956</v>
      </c>
      <c r="M2839" s="471">
        <f t="shared" si="159"/>
        <v>0.05</v>
      </c>
      <c r="N2839" s="475">
        <f t="shared" si="160"/>
        <v>137454</v>
      </c>
    </row>
    <row r="2840" spans="7:14" ht="11.25" customHeight="1" x14ac:dyDescent="0.3">
      <c r="G2840" s="470"/>
      <c r="H2840" s="470">
        <v>2833</v>
      </c>
      <c r="I2840" s="455">
        <f t="shared" ca="1" si="158"/>
        <v>52135031803.413956</v>
      </c>
      <c r="J2840" s="455">
        <f t="array" ref="J2840">IFERROR(INDEX('Retirement Calculator'!J:J,MATCH('Isaac 401k'!N2840,'Retirement Calculator'!A:A,0),0),0)</f>
        <v>0</v>
      </c>
      <c r="K2840" s="455">
        <f t="shared" ca="1" si="156"/>
        <v>217229299.18089148</v>
      </c>
      <c r="L2840" s="455">
        <f t="shared" ca="1" si="157"/>
        <v>52352261102.594849</v>
      </c>
      <c r="M2840" s="471">
        <f t="shared" si="159"/>
        <v>0.05</v>
      </c>
      <c r="N2840" s="475">
        <f t="shared" si="160"/>
        <v>137485</v>
      </c>
    </row>
    <row r="2841" spans="7:14" ht="11.25" customHeight="1" x14ac:dyDescent="0.3">
      <c r="G2841" s="470"/>
      <c r="H2841" s="470">
        <v>2834</v>
      </c>
      <c r="I2841" s="455">
        <f t="shared" ca="1" si="158"/>
        <v>52352261102.594849</v>
      </c>
      <c r="J2841" s="455">
        <f t="array" ref="J2841">IFERROR(INDEX('Retirement Calculator'!J:J,MATCH('Isaac 401k'!N2841,'Retirement Calculator'!A:A,0),0),0)</f>
        <v>0</v>
      </c>
      <c r="K2841" s="455">
        <f t="shared" ca="1" si="156"/>
        <v>218134421.26081187</v>
      </c>
      <c r="L2841" s="455">
        <f t="shared" ca="1" si="157"/>
        <v>52570395523.855659</v>
      </c>
      <c r="M2841" s="471">
        <f t="shared" si="159"/>
        <v>0.05</v>
      </c>
      <c r="N2841" s="475">
        <f t="shared" si="160"/>
        <v>137515</v>
      </c>
    </row>
    <row r="2842" spans="7:14" ht="11.25" customHeight="1" x14ac:dyDescent="0.3">
      <c r="G2842" s="470"/>
      <c r="H2842" s="470">
        <v>2835</v>
      </c>
      <c r="I2842" s="455">
        <f t="shared" ca="1" si="158"/>
        <v>52570395523.855659</v>
      </c>
      <c r="J2842" s="455">
        <f t="array" ref="J2842">IFERROR(INDEX('Retirement Calculator'!J:J,MATCH('Isaac 401k'!N2842,'Retirement Calculator'!A:A,0),0),0)</f>
        <v>0</v>
      </c>
      <c r="K2842" s="455">
        <f t="shared" ca="1" si="156"/>
        <v>219043314.6827319</v>
      </c>
      <c r="L2842" s="455">
        <f t="shared" ca="1" si="157"/>
        <v>52789438838.538391</v>
      </c>
      <c r="M2842" s="471">
        <f t="shared" si="159"/>
        <v>0.05</v>
      </c>
      <c r="N2842" s="475">
        <f t="shared" si="160"/>
        <v>137546</v>
      </c>
    </row>
    <row r="2843" spans="7:14" ht="11.25" customHeight="1" x14ac:dyDescent="0.3">
      <c r="G2843" s="470"/>
      <c r="H2843" s="470">
        <v>2836</v>
      </c>
      <c r="I2843" s="455">
        <f t="shared" ca="1" si="158"/>
        <v>52789438838.538391</v>
      </c>
      <c r="J2843" s="455">
        <f t="array" ref="J2843">IFERROR(INDEX('Retirement Calculator'!J:J,MATCH('Isaac 401k'!N2843,'Retirement Calculator'!A:A,0),0),0)</f>
        <v>0</v>
      </c>
      <c r="K2843" s="455">
        <f t="shared" ca="1" si="156"/>
        <v>219955995.16057661</v>
      </c>
      <c r="L2843" s="455">
        <f t="shared" ca="1" si="157"/>
        <v>53009394833.698967</v>
      </c>
      <c r="M2843" s="471">
        <f t="shared" si="159"/>
        <v>0.05</v>
      </c>
      <c r="N2843" s="475">
        <f t="shared" si="160"/>
        <v>137577</v>
      </c>
    </row>
    <row r="2844" spans="7:14" ht="11.25" customHeight="1" x14ac:dyDescent="0.3">
      <c r="G2844" s="470"/>
      <c r="H2844" s="470">
        <v>2837</v>
      </c>
      <c r="I2844" s="455">
        <f t="shared" ca="1" si="158"/>
        <v>53009394833.698967</v>
      </c>
      <c r="J2844" s="455">
        <f t="array" ref="J2844">IFERROR(INDEX('Retirement Calculator'!J:J,MATCH('Isaac 401k'!N2844,'Retirement Calculator'!A:A,0),0),0)</f>
        <v>0</v>
      </c>
      <c r="K2844" s="455">
        <f t="shared" ca="1" si="156"/>
        <v>220872478.4737457</v>
      </c>
      <c r="L2844" s="455">
        <f t="shared" ca="1" si="157"/>
        <v>53230267312.172714</v>
      </c>
      <c r="M2844" s="471">
        <f t="shared" si="159"/>
        <v>0.05</v>
      </c>
      <c r="N2844" s="475">
        <f t="shared" si="160"/>
        <v>137607</v>
      </c>
    </row>
    <row r="2845" spans="7:14" ht="11.25" customHeight="1" x14ac:dyDescent="0.3">
      <c r="G2845" s="470"/>
      <c r="H2845" s="470">
        <v>2838</v>
      </c>
      <c r="I2845" s="455">
        <f t="shared" ca="1" si="158"/>
        <v>53230267312.172714</v>
      </c>
      <c r="J2845" s="455">
        <f t="array" ref="J2845">IFERROR(INDEX('Retirement Calculator'!J:J,MATCH('Isaac 401k'!N2845,'Retirement Calculator'!A:A,0),0),0)</f>
        <v>0</v>
      </c>
      <c r="K2845" s="455">
        <f t="shared" ca="1" si="156"/>
        <v>221792780.46738631</v>
      </c>
      <c r="L2845" s="455">
        <f t="shared" ca="1" si="157"/>
        <v>53452060092.640099</v>
      </c>
      <c r="M2845" s="471">
        <f t="shared" si="159"/>
        <v>0.05</v>
      </c>
      <c r="N2845" s="475">
        <f t="shared" si="160"/>
        <v>137638</v>
      </c>
    </row>
    <row r="2846" spans="7:14" ht="11.25" customHeight="1" x14ac:dyDescent="0.3">
      <c r="G2846" s="470"/>
      <c r="H2846" s="470">
        <v>2839</v>
      </c>
      <c r="I2846" s="455">
        <f t="shared" ca="1" si="158"/>
        <v>53452060092.640099</v>
      </c>
      <c r="J2846" s="455">
        <f t="array" ref="J2846">IFERROR(INDEX('Retirement Calculator'!J:J,MATCH('Isaac 401k'!N2846,'Retirement Calculator'!A:A,0),0),0)</f>
        <v>0</v>
      </c>
      <c r="K2846" s="455">
        <f t="shared" ca="1" si="156"/>
        <v>222716917.05266708</v>
      </c>
      <c r="L2846" s="455">
        <f t="shared" ca="1" si="157"/>
        <v>53674777009.692764</v>
      </c>
      <c r="M2846" s="471">
        <f t="shared" si="159"/>
        <v>0.05</v>
      </c>
      <c r="N2846" s="475">
        <f t="shared" si="160"/>
        <v>137668</v>
      </c>
    </row>
    <row r="2847" spans="7:14" ht="11.25" customHeight="1" x14ac:dyDescent="0.3">
      <c r="G2847" s="470"/>
      <c r="H2847" s="470">
        <v>2840</v>
      </c>
      <c r="I2847" s="455">
        <f t="shared" ca="1" si="158"/>
        <v>53674777009.692764</v>
      </c>
      <c r="J2847" s="455">
        <f t="array" ref="J2847">IFERROR(INDEX('Retirement Calculator'!J:J,MATCH('Isaac 401k'!N2847,'Retirement Calculator'!A:A,0),0),0)</f>
        <v>0</v>
      </c>
      <c r="K2847" s="455">
        <f t="shared" ca="1" si="156"/>
        <v>223644904.20705321</v>
      </c>
      <c r="L2847" s="455">
        <f t="shared" ca="1" si="157"/>
        <v>53898421913.899818</v>
      </c>
      <c r="M2847" s="471">
        <f t="shared" si="159"/>
        <v>0.05</v>
      </c>
      <c r="N2847" s="475">
        <f t="shared" si="160"/>
        <v>137699</v>
      </c>
    </row>
    <row r="2848" spans="7:14" ht="11.25" customHeight="1" x14ac:dyDescent="0.3">
      <c r="G2848" s="470"/>
      <c r="H2848" s="470">
        <v>2841</v>
      </c>
      <c r="I2848" s="455">
        <f t="shared" ca="1" si="158"/>
        <v>53898421913.899818</v>
      </c>
      <c r="J2848" s="455">
        <f t="array" ref="J2848">IFERROR(INDEX('Retirement Calculator'!J:J,MATCH('Isaac 401k'!N2848,'Retirement Calculator'!A:A,0),0),0)</f>
        <v>0</v>
      </c>
      <c r="K2848" s="455">
        <f t="shared" ca="1" si="156"/>
        <v>224576757.97458258</v>
      </c>
      <c r="L2848" s="455">
        <f t="shared" ca="1" si="157"/>
        <v>54122998671.874397</v>
      </c>
      <c r="M2848" s="471">
        <f t="shared" si="159"/>
        <v>0.05</v>
      </c>
      <c r="N2848" s="475">
        <f t="shared" si="160"/>
        <v>137730</v>
      </c>
    </row>
    <row r="2849" spans="7:14" ht="11.25" customHeight="1" x14ac:dyDescent="0.3">
      <c r="G2849" s="470"/>
      <c r="H2849" s="470">
        <v>2842</v>
      </c>
      <c r="I2849" s="455">
        <f t="shared" ca="1" si="158"/>
        <v>54122998671.874397</v>
      </c>
      <c r="J2849" s="455">
        <f t="array" ref="J2849">IFERROR(INDEX('Retirement Calculator'!J:J,MATCH('Isaac 401k'!N2849,'Retirement Calculator'!A:A,0),0),0)</f>
        <v>0</v>
      </c>
      <c r="K2849" s="455">
        <f t="shared" ca="1" si="156"/>
        <v>225512494.46614328</v>
      </c>
      <c r="L2849" s="455">
        <f t="shared" ca="1" si="157"/>
        <v>54348511166.340538</v>
      </c>
      <c r="M2849" s="471">
        <f t="shared" si="159"/>
        <v>0.05</v>
      </c>
      <c r="N2849" s="475">
        <f t="shared" si="160"/>
        <v>137758</v>
      </c>
    </row>
    <row r="2850" spans="7:14" ht="11.25" customHeight="1" x14ac:dyDescent="0.3">
      <c r="G2850" s="470"/>
      <c r="H2850" s="470">
        <v>2843</v>
      </c>
      <c r="I2850" s="455">
        <f t="shared" ca="1" si="158"/>
        <v>54348511166.340538</v>
      </c>
      <c r="J2850" s="455">
        <f t="array" ref="J2850">IFERROR(INDEX('Retirement Calculator'!J:J,MATCH('Isaac 401k'!N2850,'Retirement Calculator'!A:A,0),0),0)</f>
        <v>0</v>
      </c>
      <c r="K2850" s="455">
        <f t="shared" ca="1" si="156"/>
        <v>226452129.85975227</v>
      </c>
      <c r="L2850" s="455">
        <f t="shared" ca="1" si="157"/>
        <v>54574963296.200287</v>
      </c>
      <c r="M2850" s="471">
        <f t="shared" si="159"/>
        <v>0.05</v>
      </c>
      <c r="N2850" s="475">
        <f t="shared" si="160"/>
        <v>137789</v>
      </c>
    </row>
    <row r="2851" spans="7:14" ht="11.25" customHeight="1" x14ac:dyDescent="0.3">
      <c r="G2851" s="470"/>
      <c r="H2851" s="470">
        <v>2844</v>
      </c>
      <c r="I2851" s="455">
        <f t="shared" ca="1" si="158"/>
        <v>54574963296.200287</v>
      </c>
      <c r="J2851" s="455">
        <f t="array" ref="J2851">IFERROR(INDEX('Retirement Calculator'!J:J,MATCH('Isaac 401k'!N2851,'Retirement Calculator'!A:A,0),0),0)</f>
        <v>0</v>
      </c>
      <c r="K2851" s="455">
        <f t="shared" ca="1" si="156"/>
        <v>227395680.40083453</v>
      </c>
      <c r="L2851" s="455">
        <f t="shared" ca="1" si="157"/>
        <v>54802358976.60112</v>
      </c>
      <c r="M2851" s="471">
        <f t="shared" si="159"/>
        <v>0.05</v>
      </c>
      <c r="N2851" s="475">
        <f t="shared" si="160"/>
        <v>137819</v>
      </c>
    </row>
    <row r="2852" spans="7:14" ht="11.25" customHeight="1" x14ac:dyDescent="0.3">
      <c r="G2852" s="470"/>
      <c r="H2852" s="470">
        <v>2845</v>
      </c>
      <c r="I2852" s="455">
        <f t="shared" ca="1" si="158"/>
        <v>54802358976.60112</v>
      </c>
      <c r="J2852" s="455">
        <f t="array" ref="J2852">IFERROR(INDEX('Retirement Calculator'!J:J,MATCH('Isaac 401k'!N2852,'Retirement Calculator'!A:A,0),0),0)</f>
        <v>0</v>
      </c>
      <c r="K2852" s="455">
        <f t="shared" ca="1" si="156"/>
        <v>228343162.40250468</v>
      </c>
      <c r="L2852" s="455">
        <f t="shared" ca="1" si="157"/>
        <v>55030702139.003624</v>
      </c>
      <c r="M2852" s="471">
        <f t="shared" si="159"/>
        <v>0.05</v>
      </c>
      <c r="N2852" s="475">
        <f t="shared" si="160"/>
        <v>137850</v>
      </c>
    </row>
    <row r="2853" spans="7:14" ht="11.25" customHeight="1" x14ac:dyDescent="0.3">
      <c r="G2853" s="470"/>
      <c r="H2853" s="470">
        <v>2846</v>
      </c>
      <c r="I2853" s="455">
        <f t="shared" ca="1" si="158"/>
        <v>55030702139.003624</v>
      </c>
      <c r="J2853" s="455">
        <f t="array" ref="J2853">IFERROR(INDEX('Retirement Calculator'!J:J,MATCH('Isaac 401k'!N2853,'Retirement Calculator'!A:A,0),0),0)</f>
        <v>0</v>
      </c>
      <c r="K2853" s="455">
        <f t="shared" ca="1" si="156"/>
        <v>229294592.24584839</v>
      </c>
      <c r="L2853" s="455">
        <f t="shared" ca="1" si="157"/>
        <v>55259996731.249474</v>
      </c>
      <c r="M2853" s="471">
        <f t="shared" si="159"/>
        <v>0.05</v>
      </c>
      <c r="N2853" s="475">
        <f t="shared" si="160"/>
        <v>137880</v>
      </c>
    </row>
    <row r="2854" spans="7:14" ht="11.25" customHeight="1" x14ac:dyDescent="0.3">
      <c r="G2854" s="470"/>
      <c r="H2854" s="470">
        <v>2847</v>
      </c>
      <c r="I2854" s="455">
        <f t="shared" ca="1" si="158"/>
        <v>55259996731.249474</v>
      </c>
      <c r="J2854" s="455">
        <f t="array" ref="J2854">IFERROR(INDEX('Retirement Calculator'!J:J,MATCH('Isaac 401k'!N2854,'Retirement Calculator'!A:A,0),0),0)</f>
        <v>0</v>
      </c>
      <c r="K2854" s="455">
        <f t="shared" ca="1" si="156"/>
        <v>230249986.38020614</v>
      </c>
      <c r="L2854" s="455">
        <f t="shared" ca="1" si="157"/>
        <v>55490246717.629677</v>
      </c>
      <c r="M2854" s="471">
        <f t="shared" si="159"/>
        <v>0.05</v>
      </c>
      <c r="N2854" s="475">
        <f t="shared" si="160"/>
        <v>137911</v>
      </c>
    </row>
    <row r="2855" spans="7:14" ht="11.25" customHeight="1" x14ac:dyDescent="0.3">
      <c r="G2855" s="470"/>
      <c r="H2855" s="470">
        <v>2848</v>
      </c>
      <c r="I2855" s="455">
        <f t="shared" ca="1" si="158"/>
        <v>55490246717.629677</v>
      </c>
      <c r="J2855" s="455">
        <f t="array" ref="J2855">IFERROR(INDEX('Retirement Calculator'!J:J,MATCH('Isaac 401k'!N2855,'Retirement Calculator'!A:A,0),0),0)</f>
        <v>0</v>
      </c>
      <c r="K2855" s="455">
        <f t="shared" ca="1" si="156"/>
        <v>231209361.323457</v>
      </c>
      <c r="L2855" s="455">
        <f t="shared" ca="1" si="157"/>
        <v>55721456078.953133</v>
      </c>
      <c r="M2855" s="471">
        <f t="shared" si="159"/>
        <v>0.05</v>
      </c>
      <c r="N2855" s="475">
        <f t="shared" si="160"/>
        <v>137942</v>
      </c>
    </row>
    <row r="2856" spans="7:14" ht="11.25" customHeight="1" x14ac:dyDescent="0.3">
      <c r="G2856" s="470"/>
      <c r="H2856" s="470">
        <v>2849</v>
      </c>
      <c r="I2856" s="455">
        <f t="shared" ca="1" si="158"/>
        <v>55721456078.953133</v>
      </c>
      <c r="J2856" s="455">
        <f t="array" ref="J2856">IFERROR(INDEX('Retirement Calculator'!J:J,MATCH('Isaac 401k'!N2856,'Retirement Calculator'!A:A,0),0),0)</f>
        <v>0</v>
      </c>
      <c r="K2856" s="455">
        <f t="shared" ca="1" si="156"/>
        <v>232172733.66230473</v>
      </c>
      <c r="L2856" s="455">
        <f t="shared" ca="1" si="157"/>
        <v>55953628812.61544</v>
      </c>
      <c r="M2856" s="471">
        <f t="shared" si="159"/>
        <v>0.05</v>
      </c>
      <c r="N2856" s="475">
        <f t="shared" si="160"/>
        <v>137972</v>
      </c>
    </row>
    <row r="2857" spans="7:14" ht="11.25" customHeight="1" x14ac:dyDescent="0.3">
      <c r="G2857" s="470"/>
      <c r="H2857" s="470">
        <v>2850</v>
      </c>
      <c r="I2857" s="455">
        <f t="shared" ca="1" si="158"/>
        <v>55953628812.61544</v>
      </c>
      <c r="J2857" s="455">
        <f t="array" ref="J2857">IFERROR(INDEX('Retirement Calculator'!J:J,MATCH('Isaac 401k'!N2857,'Retirement Calculator'!A:A,0),0),0)</f>
        <v>0</v>
      </c>
      <c r="K2857" s="455">
        <f t="shared" ca="1" si="156"/>
        <v>233140120.05256432</v>
      </c>
      <c r="L2857" s="455">
        <f t="shared" ca="1" si="157"/>
        <v>56186768932.668007</v>
      </c>
      <c r="M2857" s="471">
        <f t="shared" si="159"/>
        <v>0.05</v>
      </c>
      <c r="N2857" s="475">
        <f t="shared" si="160"/>
        <v>138003</v>
      </c>
    </row>
    <row r="2858" spans="7:14" ht="11.25" customHeight="1" x14ac:dyDescent="0.3">
      <c r="G2858" s="470"/>
      <c r="H2858" s="470">
        <v>2851</v>
      </c>
      <c r="I2858" s="455">
        <f t="shared" ca="1" si="158"/>
        <v>56186768932.668007</v>
      </c>
      <c r="J2858" s="455">
        <f t="array" ref="J2858">IFERROR(INDEX('Retirement Calculator'!J:J,MATCH('Isaac 401k'!N2858,'Retirement Calculator'!A:A,0),0),0)</f>
        <v>0</v>
      </c>
      <c r="K2858" s="455">
        <f t="shared" ca="1" si="156"/>
        <v>234111537.21945003</v>
      </c>
      <c r="L2858" s="455">
        <f t="shared" ca="1" si="157"/>
        <v>56420880469.887459</v>
      </c>
      <c r="M2858" s="471">
        <f t="shared" si="159"/>
        <v>0.05</v>
      </c>
      <c r="N2858" s="475">
        <f t="shared" si="160"/>
        <v>138033</v>
      </c>
    </row>
    <row r="2859" spans="7:14" ht="11.25" customHeight="1" x14ac:dyDescent="0.3">
      <c r="G2859" s="470"/>
      <c r="H2859" s="470">
        <v>2852</v>
      </c>
      <c r="I2859" s="455">
        <f t="shared" ca="1" si="158"/>
        <v>56420880469.887459</v>
      </c>
      <c r="J2859" s="455">
        <f t="array" ref="J2859">IFERROR(INDEX('Retirement Calculator'!J:J,MATCH('Isaac 401k'!N2859,'Retirement Calculator'!A:A,0),0),0)</f>
        <v>0</v>
      </c>
      <c r="K2859" s="455">
        <f t="shared" ca="1" si="156"/>
        <v>235087001.9578644</v>
      </c>
      <c r="L2859" s="455">
        <f t="shared" ca="1" si="157"/>
        <v>56655967471.845322</v>
      </c>
      <c r="M2859" s="471">
        <f t="shared" si="159"/>
        <v>0.05</v>
      </c>
      <c r="N2859" s="475">
        <f t="shared" si="160"/>
        <v>138064</v>
      </c>
    </row>
    <row r="2860" spans="7:14" ht="11.25" customHeight="1" x14ac:dyDescent="0.3">
      <c r="G2860" s="470"/>
      <c r="H2860" s="470">
        <v>2853</v>
      </c>
      <c r="I2860" s="455">
        <f t="shared" ca="1" si="158"/>
        <v>56655967471.845322</v>
      </c>
      <c r="J2860" s="455">
        <f t="array" ref="J2860">IFERROR(INDEX('Retirement Calculator'!J:J,MATCH('Isaac 401k'!N2860,'Retirement Calculator'!A:A,0),0),0)</f>
        <v>0</v>
      </c>
      <c r="K2860" s="455">
        <f t="shared" ca="1" si="156"/>
        <v>236066531.13268885</v>
      </c>
      <c r="L2860" s="455">
        <f t="shared" ca="1" si="157"/>
        <v>56892034002.978012</v>
      </c>
      <c r="M2860" s="471">
        <f t="shared" si="159"/>
        <v>0.05</v>
      </c>
      <c r="N2860" s="475">
        <f t="shared" si="160"/>
        <v>138095</v>
      </c>
    </row>
    <row r="2861" spans="7:14" ht="11.25" customHeight="1" x14ac:dyDescent="0.3">
      <c r="G2861" s="470"/>
      <c r="H2861" s="470">
        <v>2854</v>
      </c>
      <c r="I2861" s="455">
        <f t="shared" ca="1" si="158"/>
        <v>56892034002.978012</v>
      </c>
      <c r="J2861" s="455">
        <f t="array" ref="J2861">IFERROR(INDEX('Retirement Calculator'!J:J,MATCH('Isaac 401k'!N2861,'Retirement Calculator'!A:A,0),0),0)</f>
        <v>0</v>
      </c>
      <c r="K2861" s="455">
        <f t="shared" ca="1" si="156"/>
        <v>237050141.67907503</v>
      </c>
      <c r="L2861" s="455">
        <f t="shared" ca="1" si="157"/>
        <v>57129084144.657089</v>
      </c>
      <c r="M2861" s="471">
        <f t="shared" si="159"/>
        <v>0.05</v>
      </c>
      <c r="N2861" s="475">
        <f t="shared" si="160"/>
        <v>138123</v>
      </c>
    </row>
    <row r="2862" spans="7:14" ht="11.25" customHeight="1" x14ac:dyDescent="0.3">
      <c r="G2862" s="470"/>
      <c r="H2862" s="470">
        <v>2855</v>
      </c>
      <c r="I2862" s="455">
        <f t="shared" ca="1" si="158"/>
        <v>57129084144.657089</v>
      </c>
      <c r="J2862" s="455">
        <f t="array" ref="J2862">IFERROR(INDEX('Retirement Calculator'!J:J,MATCH('Isaac 401k'!N2862,'Retirement Calculator'!A:A,0),0),0)</f>
        <v>0</v>
      </c>
      <c r="K2862" s="455">
        <f t="shared" ca="1" si="156"/>
        <v>238037850.60273787</v>
      </c>
      <c r="L2862" s="455">
        <f t="shared" ca="1" si="157"/>
        <v>57367121995.259827</v>
      </c>
      <c r="M2862" s="471">
        <f t="shared" si="159"/>
        <v>0.05</v>
      </c>
      <c r="N2862" s="475">
        <f t="shared" si="160"/>
        <v>138154</v>
      </c>
    </row>
    <row r="2863" spans="7:14" ht="11.25" customHeight="1" x14ac:dyDescent="0.3">
      <c r="G2863" s="470"/>
      <c r="H2863" s="470">
        <v>2856</v>
      </c>
      <c r="I2863" s="455">
        <f t="shared" ca="1" si="158"/>
        <v>57367121995.259827</v>
      </c>
      <c r="J2863" s="455">
        <f t="array" ref="J2863">IFERROR(INDEX('Retirement Calculator'!J:J,MATCH('Isaac 401k'!N2863,'Retirement Calculator'!A:A,0),0),0)</f>
        <v>0</v>
      </c>
      <c r="K2863" s="455">
        <f t="shared" ca="1" si="156"/>
        <v>239029674.98024929</v>
      </c>
      <c r="L2863" s="455">
        <f t="shared" ca="1" si="157"/>
        <v>57606151670.240074</v>
      </c>
      <c r="M2863" s="471">
        <f t="shared" si="159"/>
        <v>0.05</v>
      </c>
      <c r="N2863" s="475">
        <f t="shared" si="160"/>
        <v>138184</v>
      </c>
    </row>
    <row r="2864" spans="7:14" ht="11.25" customHeight="1" x14ac:dyDescent="0.3">
      <c r="G2864" s="470"/>
      <c r="H2864" s="470">
        <v>2857</v>
      </c>
      <c r="I2864" s="455">
        <f t="shared" ca="1" si="158"/>
        <v>57606151670.240074</v>
      </c>
      <c r="J2864" s="455">
        <f t="array" ref="J2864">IFERROR(INDEX('Retirement Calculator'!J:J,MATCH('Isaac 401k'!N2864,'Retirement Calculator'!A:A,0),0),0)</f>
        <v>0</v>
      </c>
      <c r="K2864" s="455">
        <f t="shared" ca="1" si="156"/>
        <v>240025631.95933363</v>
      </c>
      <c r="L2864" s="455">
        <f t="shared" ca="1" si="157"/>
        <v>57846177302.199409</v>
      </c>
      <c r="M2864" s="471">
        <f t="shared" si="159"/>
        <v>0.05</v>
      </c>
      <c r="N2864" s="475">
        <f t="shared" si="160"/>
        <v>138215</v>
      </c>
    </row>
    <row r="2865" spans="7:14" ht="11.25" customHeight="1" x14ac:dyDescent="0.3">
      <c r="G2865" s="470"/>
      <c r="H2865" s="470">
        <v>2858</v>
      </c>
      <c r="I2865" s="455">
        <f t="shared" ca="1" si="158"/>
        <v>57846177302.199409</v>
      </c>
      <c r="J2865" s="455">
        <f t="array" ref="J2865">IFERROR(INDEX('Retirement Calculator'!J:J,MATCH('Isaac 401k'!N2865,'Retirement Calculator'!A:A,0),0),0)</f>
        <v>0</v>
      </c>
      <c r="K2865" s="455">
        <f t="shared" ca="1" si="156"/>
        <v>241025738.75916421</v>
      </c>
      <c r="L2865" s="455">
        <f t="shared" ca="1" si="157"/>
        <v>58087203040.958572</v>
      </c>
      <c r="M2865" s="471">
        <f t="shared" si="159"/>
        <v>0.05</v>
      </c>
      <c r="N2865" s="475">
        <f t="shared" si="160"/>
        <v>138245</v>
      </c>
    </row>
    <row r="2866" spans="7:14" ht="11.25" customHeight="1" x14ac:dyDescent="0.3">
      <c r="G2866" s="470"/>
      <c r="H2866" s="470">
        <v>2859</v>
      </c>
      <c r="I2866" s="455">
        <f t="shared" ca="1" si="158"/>
        <v>58087203040.958572</v>
      </c>
      <c r="J2866" s="455">
        <f t="array" ref="J2866">IFERROR(INDEX('Retirement Calculator'!J:J,MATCH('Isaac 401k'!N2866,'Retirement Calculator'!A:A,0),0),0)</f>
        <v>0</v>
      </c>
      <c r="K2866" s="455">
        <f t="shared" ca="1" si="156"/>
        <v>242030012.6706607</v>
      </c>
      <c r="L2866" s="455">
        <f t="shared" ca="1" si="157"/>
        <v>58329233053.629234</v>
      </c>
      <c r="M2866" s="471">
        <f t="shared" si="159"/>
        <v>0.05</v>
      </c>
      <c r="N2866" s="475">
        <f t="shared" si="160"/>
        <v>138276</v>
      </c>
    </row>
    <row r="2867" spans="7:14" ht="11.25" customHeight="1" x14ac:dyDescent="0.3">
      <c r="G2867" s="470"/>
      <c r="H2867" s="470">
        <v>2860</v>
      </c>
      <c r="I2867" s="455">
        <f t="shared" ca="1" si="158"/>
        <v>58329233053.629234</v>
      </c>
      <c r="J2867" s="455">
        <f t="array" ref="J2867">IFERROR(INDEX('Retirement Calculator'!J:J,MATCH('Isaac 401k'!N2867,'Retirement Calculator'!A:A,0),0),0)</f>
        <v>0</v>
      </c>
      <c r="K2867" s="455">
        <f t="shared" ca="1" si="156"/>
        <v>243038471.0567885</v>
      </c>
      <c r="L2867" s="455">
        <f t="shared" ca="1" si="157"/>
        <v>58572271524.68602</v>
      </c>
      <c r="M2867" s="471">
        <f t="shared" si="159"/>
        <v>0.05</v>
      </c>
      <c r="N2867" s="475">
        <f t="shared" si="160"/>
        <v>138307</v>
      </c>
    </row>
    <row r="2868" spans="7:14" ht="11.25" customHeight="1" x14ac:dyDescent="0.3">
      <c r="G2868" s="470"/>
      <c r="H2868" s="470">
        <v>2861</v>
      </c>
      <c r="I2868" s="455">
        <f t="shared" ca="1" si="158"/>
        <v>58572271524.68602</v>
      </c>
      <c r="J2868" s="455">
        <f t="array" ref="J2868">IFERROR(INDEX('Retirement Calculator'!J:J,MATCH('Isaac 401k'!N2868,'Retirement Calculator'!A:A,0),0),0)</f>
        <v>0</v>
      </c>
      <c r="K2868" s="455">
        <f t="shared" ca="1" si="156"/>
        <v>244051131.35285845</v>
      </c>
      <c r="L2868" s="455">
        <f t="shared" ca="1" si="157"/>
        <v>58816322656.038879</v>
      </c>
      <c r="M2868" s="471">
        <f t="shared" si="159"/>
        <v>0.05</v>
      </c>
      <c r="N2868" s="475">
        <f t="shared" si="160"/>
        <v>138337</v>
      </c>
    </row>
    <row r="2869" spans="7:14" ht="11.25" customHeight="1" x14ac:dyDescent="0.3">
      <c r="G2869" s="470"/>
      <c r="H2869" s="470">
        <v>2862</v>
      </c>
      <c r="I2869" s="455">
        <f t="shared" ca="1" si="158"/>
        <v>58816322656.038879</v>
      </c>
      <c r="J2869" s="455">
        <f t="array" ref="J2869">IFERROR(INDEX('Retirement Calculator'!J:J,MATCH('Isaac 401k'!N2869,'Retirement Calculator'!A:A,0),0),0)</f>
        <v>0</v>
      </c>
      <c r="K2869" s="455">
        <f t="shared" ca="1" si="156"/>
        <v>245068011.06682867</v>
      </c>
      <c r="L2869" s="455">
        <f t="shared" ca="1" si="157"/>
        <v>59061390667.105705</v>
      </c>
      <c r="M2869" s="471">
        <f t="shared" si="159"/>
        <v>0.05</v>
      </c>
      <c r="N2869" s="475">
        <f t="shared" si="160"/>
        <v>138368</v>
      </c>
    </row>
    <row r="2870" spans="7:14" ht="11.25" customHeight="1" x14ac:dyDescent="0.3">
      <c r="G2870" s="470"/>
      <c r="H2870" s="470">
        <v>2863</v>
      </c>
      <c r="I2870" s="455">
        <f t="shared" ca="1" si="158"/>
        <v>59061390667.105705</v>
      </c>
      <c r="J2870" s="455">
        <f t="array" ref="J2870">IFERROR(INDEX('Retirement Calculator'!J:J,MATCH('Isaac 401k'!N2870,'Retirement Calculator'!A:A,0),0),0)</f>
        <v>0</v>
      </c>
      <c r="K2870" s="455">
        <f t="shared" ca="1" si="156"/>
        <v>246089127.77960709</v>
      </c>
      <c r="L2870" s="455">
        <f t="shared" ca="1" si="157"/>
        <v>59307479794.885315</v>
      </c>
      <c r="M2870" s="471">
        <f t="shared" si="159"/>
        <v>0.05</v>
      </c>
      <c r="N2870" s="475">
        <f t="shared" si="160"/>
        <v>138398</v>
      </c>
    </row>
    <row r="2871" spans="7:14" ht="11.25" customHeight="1" x14ac:dyDescent="0.3">
      <c r="G2871" s="470"/>
      <c r="H2871" s="470">
        <v>2864</v>
      </c>
      <c r="I2871" s="455">
        <f t="shared" ca="1" si="158"/>
        <v>59307479794.885315</v>
      </c>
      <c r="J2871" s="455">
        <f t="array" ref="J2871">IFERROR(INDEX('Retirement Calculator'!J:J,MATCH('Isaac 401k'!N2871,'Retirement Calculator'!A:A,0),0),0)</f>
        <v>0</v>
      </c>
      <c r="K2871" s="455">
        <f t="shared" ca="1" si="156"/>
        <v>247114499.14535546</v>
      </c>
      <c r="L2871" s="455">
        <f t="shared" ca="1" si="157"/>
        <v>59554594294.03067</v>
      </c>
      <c r="M2871" s="471">
        <f t="shared" si="159"/>
        <v>0.05</v>
      </c>
      <c r="N2871" s="475">
        <f t="shared" si="160"/>
        <v>138429</v>
      </c>
    </row>
    <row r="2872" spans="7:14" ht="11.25" customHeight="1" x14ac:dyDescent="0.3">
      <c r="G2872" s="470"/>
      <c r="H2872" s="470">
        <v>2865</v>
      </c>
      <c r="I2872" s="455">
        <f t="shared" ca="1" si="158"/>
        <v>59554594294.03067</v>
      </c>
      <c r="J2872" s="455">
        <f t="array" ref="J2872">IFERROR(INDEX('Retirement Calculator'!J:J,MATCH('Isaac 401k'!N2872,'Retirement Calculator'!A:A,0),0),0)</f>
        <v>0</v>
      </c>
      <c r="K2872" s="455">
        <f t="shared" ca="1" si="156"/>
        <v>248144142.89179447</v>
      </c>
      <c r="L2872" s="455">
        <f t="shared" ca="1" si="157"/>
        <v>59802738436.922462</v>
      </c>
      <c r="M2872" s="471">
        <f t="shared" si="159"/>
        <v>0.05</v>
      </c>
      <c r="N2872" s="475">
        <f t="shared" si="160"/>
        <v>138460</v>
      </c>
    </row>
    <row r="2873" spans="7:14" ht="11.25" customHeight="1" x14ac:dyDescent="0.3">
      <c r="G2873" s="470"/>
      <c r="H2873" s="470">
        <v>2866</v>
      </c>
      <c r="I2873" s="455">
        <f t="shared" ca="1" si="158"/>
        <v>59802738436.922462</v>
      </c>
      <c r="J2873" s="455">
        <f t="array" ref="J2873">IFERROR(INDEX('Retirement Calculator'!J:J,MATCH('Isaac 401k'!N2873,'Retirement Calculator'!A:A,0),0),0)</f>
        <v>0</v>
      </c>
      <c r="K2873" s="455">
        <f t="shared" ca="1" si="156"/>
        <v>249178076.82051024</v>
      </c>
      <c r="L2873" s="455">
        <f t="shared" ca="1" si="157"/>
        <v>60051916513.742973</v>
      </c>
      <c r="M2873" s="471">
        <f t="shared" si="159"/>
        <v>0.05</v>
      </c>
      <c r="N2873" s="475">
        <f t="shared" si="160"/>
        <v>138488</v>
      </c>
    </row>
    <row r="2874" spans="7:14" ht="11.25" customHeight="1" x14ac:dyDescent="0.3">
      <c r="G2874" s="470"/>
      <c r="H2874" s="470">
        <v>2867</v>
      </c>
      <c r="I2874" s="455">
        <f t="shared" ca="1" si="158"/>
        <v>60051916513.742973</v>
      </c>
      <c r="J2874" s="455">
        <f t="array" ref="J2874">IFERROR(INDEX('Retirement Calculator'!J:J,MATCH('Isaac 401k'!N2874,'Retirement Calculator'!A:A,0),0),0)</f>
        <v>0</v>
      </c>
      <c r="K2874" s="455">
        <f t="shared" ca="1" si="156"/>
        <v>250216318.80726239</v>
      </c>
      <c r="L2874" s="455">
        <f t="shared" ca="1" si="157"/>
        <v>60302132832.550232</v>
      </c>
      <c r="M2874" s="471">
        <f t="shared" si="159"/>
        <v>0.05</v>
      </c>
      <c r="N2874" s="475">
        <f t="shared" si="160"/>
        <v>138519</v>
      </c>
    </row>
    <row r="2875" spans="7:14" ht="11.25" customHeight="1" x14ac:dyDescent="0.3">
      <c r="G2875" s="470"/>
      <c r="H2875" s="470">
        <v>2868</v>
      </c>
      <c r="I2875" s="455">
        <f t="shared" ca="1" si="158"/>
        <v>60302132832.550232</v>
      </c>
      <c r="J2875" s="455">
        <f t="array" ref="J2875">IFERROR(INDEX('Retirement Calculator'!J:J,MATCH('Isaac 401k'!N2875,'Retirement Calculator'!A:A,0),0),0)</f>
        <v>0</v>
      </c>
      <c r="K2875" s="455">
        <f t="shared" ca="1" si="156"/>
        <v>251258886.80229262</v>
      </c>
      <c r="L2875" s="455">
        <f t="shared" ca="1" si="157"/>
        <v>60553391719.352524</v>
      </c>
      <c r="M2875" s="471">
        <f t="shared" si="159"/>
        <v>0.05</v>
      </c>
      <c r="N2875" s="475">
        <f t="shared" si="160"/>
        <v>138549</v>
      </c>
    </row>
    <row r="2876" spans="7:14" ht="11.25" customHeight="1" x14ac:dyDescent="0.3">
      <c r="G2876" s="470"/>
      <c r="H2876" s="470">
        <v>2869</v>
      </c>
      <c r="I2876" s="455">
        <f t="shared" ca="1" si="158"/>
        <v>60553391719.352524</v>
      </c>
      <c r="J2876" s="455">
        <f t="array" ref="J2876">IFERROR(INDEX('Retirement Calculator'!J:J,MATCH('Isaac 401k'!N2876,'Retirement Calculator'!A:A,0),0),0)</f>
        <v>0</v>
      </c>
      <c r="K2876" s="455">
        <f t="shared" ca="1" si="156"/>
        <v>252305798.83063555</v>
      </c>
      <c r="L2876" s="455">
        <f t="shared" ca="1" si="157"/>
        <v>60805697518.183159</v>
      </c>
      <c r="M2876" s="471">
        <f t="shared" si="159"/>
        <v>0.05</v>
      </c>
      <c r="N2876" s="475">
        <f t="shared" si="160"/>
        <v>138580</v>
      </c>
    </row>
    <row r="2877" spans="7:14" ht="11.25" customHeight="1" x14ac:dyDescent="0.3">
      <c r="G2877" s="470"/>
      <c r="H2877" s="470">
        <v>2870</v>
      </c>
      <c r="I2877" s="455">
        <f t="shared" ca="1" si="158"/>
        <v>60805697518.183159</v>
      </c>
      <c r="J2877" s="455">
        <f t="array" ref="J2877">IFERROR(INDEX('Retirement Calculator'!J:J,MATCH('Isaac 401k'!N2877,'Retirement Calculator'!A:A,0),0),0)</f>
        <v>0</v>
      </c>
      <c r="K2877" s="455">
        <f t="shared" ca="1" si="156"/>
        <v>253357072.99242982</v>
      </c>
      <c r="L2877" s="455">
        <f t="shared" ca="1" si="157"/>
        <v>61059054591.175591</v>
      </c>
      <c r="M2877" s="471">
        <f t="shared" si="159"/>
        <v>0.05</v>
      </c>
      <c r="N2877" s="475">
        <f t="shared" si="160"/>
        <v>138610</v>
      </c>
    </row>
    <row r="2878" spans="7:14" ht="11.25" customHeight="1" x14ac:dyDescent="0.3">
      <c r="G2878" s="470"/>
      <c r="H2878" s="470">
        <v>2871</v>
      </c>
      <c r="I2878" s="455">
        <f t="shared" ca="1" si="158"/>
        <v>61059054591.175591</v>
      </c>
      <c r="J2878" s="455">
        <f t="array" ref="J2878">IFERROR(INDEX('Retirement Calculator'!J:J,MATCH('Isaac 401k'!N2878,'Retirement Calculator'!A:A,0),0),0)</f>
        <v>0</v>
      </c>
      <c r="K2878" s="455">
        <f t="shared" ca="1" si="156"/>
        <v>254412727.46323165</v>
      </c>
      <c r="L2878" s="455">
        <f t="shared" ca="1" si="157"/>
        <v>61313467318.638824</v>
      </c>
      <c r="M2878" s="471">
        <f t="shared" si="159"/>
        <v>0.05</v>
      </c>
      <c r="N2878" s="475">
        <f t="shared" si="160"/>
        <v>138641</v>
      </c>
    </row>
    <row r="2879" spans="7:14" ht="11.25" customHeight="1" x14ac:dyDescent="0.3">
      <c r="G2879" s="470"/>
      <c r="H2879" s="470">
        <v>2872</v>
      </c>
      <c r="I2879" s="455">
        <f t="shared" ca="1" si="158"/>
        <v>61313467318.638824</v>
      </c>
      <c r="J2879" s="455">
        <f t="array" ref="J2879">IFERROR(INDEX('Retirement Calculator'!J:J,MATCH('Isaac 401k'!N2879,'Retirement Calculator'!A:A,0),0),0)</f>
        <v>0</v>
      </c>
      <c r="K2879" s="455">
        <f t="shared" ca="1" si="156"/>
        <v>255472780.49432844</v>
      </c>
      <c r="L2879" s="455">
        <f t="shared" ca="1" si="157"/>
        <v>61568940099.133156</v>
      </c>
      <c r="M2879" s="471">
        <f t="shared" si="159"/>
        <v>0.05</v>
      </c>
      <c r="N2879" s="475">
        <f t="shared" si="160"/>
        <v>138672</v>
      </c>
    </row>
    <row r="2880" spans="7:14" ht="11.25" customHeight="1" x14ac:dyDescent="0.3">
      <c r="G2880" s="470"/>
      <c r="H2880" s="470">
        <v>2873</v>
      </c>
      <c r="I2880" s="455">
        <f t="shared" ca="1" si="158"/>
        <v>61568940099.133156</v>
      </c>
      <c r="J2880" s="455">
        <f t="array" ref="J2880">IFERROR(INDEX('Retirement Calculator'!J:J,MATCH('Isaac 401k'!N2880,'Retirement Calculator'!A:A,0),0),0)</f>
        <v>0</v>
      </c>
      <c r="K2880" s="455">
        <f t="shared" ca="1" si="156"/>
        <v>256537250.41305482</v>
      </c>
      <c r="L2880" s="455">
        <f t="shared" ca="1" si="157"/>
        <v>61825477349.546211</v>
      </c>
      <c r="M2880" s="471">
        <f t="shared" si="159"/>
        <v>0.05</v>
      </c>
      <c r="N2880" s="475">
        <f t="shared" si="160"/>
        <v>138702</v>
      </c>
    </row>
    <row r="2881" spans="7:14" ht="11.25" customHeight="1" x14ac:dyDescent="0.3">
      <c r="G2881" s="470"/>
      <c r="H2881" s="470">
        <v>2874</v>
      </c>
      <c r="I2881" s="455">
        <f t="shared" ca="1" si="158"/>
        <v>61825477349.546211</v>
      </c>
      <c r="J2881" s="455">
        <f t="array" ref="J2881">IFERROR(INDEX('Retirement Calculator'!J:J,MATCH('Isaac 401k'!N2881,'Retirement Calculator'!A:A,0),0),0)</f>
        <v>0</v>
      </c>
      <c r="K2881" s="455">
        <f t="shared" ca="1" si="156"/>
        <v>257606155.62310922</v>
      </c>
      <c r="L2881" s="455">
        <f t="shared" ca="1" si="157"/>
        <v>62083083505.169319</v>
      </c>
      <c r="M2881" s="471">
        <f t="shared" si="159"/>
        <v>0.05</v>
      </c>
      <c r="N2881" s="475">
        <f t="shared" si="160"/>
        <v>138733</v>
      </c>
    </row>
    <row r="2882" spans="7:14" ht="11.25" customHeight="1" x14ac:dyDescent="0.3">
      <c r="G2882" s="470"/>
      <c r="H2882" s="470">
        <v>2875</v>
      </c>
      <c r="I2882" s="455">
        <f t="shared" ca="1" si="158"/>
        <v>62083083505.169319</v>
      </c>
      <c r="J2882" s="455">
        <f t="array" ref="J2882">IFERROR(INDEX('Retirement Calculator'!J:J,MATCH('Isaac 401k'!N2882,'Retirement Calculator'!A:A,0),0),0)</f>
        <v>0</v>
      </c>
      <c r="K2882" s="455">
        <f t="shared" ca="1" si="156"/>
        <v>258679514.60487217</v>
      </c>
      <c r="L2882" s="455">
        <f t="shared" ca="1" si="157"/>
        <v>62341763019.774193</v>
      </c>
      <c r="M2882" s="471">
        <f t="shared" si="159"/>
        <v>0.05</v>
      </c>
      <c r="N2882" s="475">
        <f t="shared" si="160"/>
        <v>138763</v>
      </c>
    </row>
    <row r="2883" spans="7:14" ht="11.25" customHeight="1" x14ac:dyDescent="0.3">
      <c r="G2883" s="470"/>
      <c r="H2883" s="470">
        <v>2876</v>
      </c>
      <c r="I2883" s="455">
        <f t="shared" ca="1" si="158"/>
        <v>62341763019.774193</v>
      </c>
      <c r="J2883" s="455">
        <f t="array" ref="J2883">IFERROR(INDEX('Retirement Calculator'!J:J,MATCH('Isaac 401k'!N2883,'Retirement Calculator'!A:A,0),0),0)</f>
        <v>0</v>
      </c>
      <c r="K2883" s="455">
        <f t="shared" ca="1" si="156"/>
        <v>259757345.91572583</v>
      </c>
      <c r="L2883" s="455">
        <f t="shared" ca="1" si="157"/>
        <v>62601520365.689919</v>
      </c>
      <c r="M2883" s="471">
        <f t="shared" si="159"/>
        <v>0.05</v>
      </c>
      <c r="N2883" s="475">
        <f t="shared" si="160"/>
        <v>138794</v>
      </c>
    </row>
    <row r="2884" spans="7:14" ht="11.25" customHeight="1" x14ac:dyDescent="0.3">
      <c r="G2884" s="470"/>
      <c r="H2884" s="470">
        <v>2877</v>
      </c>
      <c r="I2884" s="455">
        <f t="shared" ca="1" si="158"/>
        <v>62601520365.689919</v>
      </c>
      <c r="J2884" s="455">
        <f t="array" ref="J2884">IFERROR(INDEX('Retirement Calculator'!J:J,MATCH('Isaac 401k'!N2884,'Retirement Calculator'!A:A,0),0),0)</f>
        <v>0</v>
      </c>
      <c r="K2884" s="455">
        <f t="shared" ca="1" si="156"/>
        <v>260839668.1903747</v>
      </c>
      <c r="L2884" s="455">
        <f t="shared" ca="1" si="157"/>
        <v>62862360033.880295</v>
      </c>
      <c r="M2884" s="471">
        <f t="shared" si="159"/>
        <v>0.05</v>
      </c>
      <c r="N2884" s="475">
        <f t="shared" si="160"/>
        <v>138825</v>
      </c>
    </row>
    <row r="2885" spans="7:14" ht="11.25" customHeight="1" x14ac:dyDescent="0.3">
      <c r="G2885" s="470"/>
      <c r="H2885" s="470">
        <v>2878</v>
      </c>
      <c r="I2885" s="455">
        <f t="shared" ca="1" si="158"/>
        <v>62862360033.880295</v>
      </c>
      <c r="J2885" s="455">
        <f t="array" ref="J2885">IFERROR(INDEX('Retirement Calculator'!J:J,MATCH('Isaac 401k'!N2885,'Retirement Calculator'!A:A,0),0),0)</f>
        <v>0</v>
      </c>
      <c r="K2885" s="455">
        <f t="shared" ca="1" si="156"/>
        <v>261926500.14116785</v>
      </c>
      <c r="L2885" s="455">
        <f t="shared" ca="1" si="157"/>
        <v>63124286534.021461</v>
      </c>
      <c r="M2885" s="471">
        <f t="shared" si="159"/>
        <v>0.05</v>
      </c>
      <c r="N2885" s="475">
        <f t="shared" si="160"/>
        <v>138854</v>
      </c>
    </row>
    <row r="2886" spans="7:14" ht="11.25" customHeight="1" x14ac:dyDescent="0.3">
      <c r="G2886" s="470"/>
      <c r="H2886" s="470">
        <v>2879</v>
      </c>
      <c r="I2886" s="455">
        <f t="shared" ca="1" si="158"/>
        <v>63124286534.021461</v>
      </c>
      <c r="J2886" s="455">
        <f t="array" ref="J2886">IFERROR(INDEX('Retirement Calculator'!J:J,MATCH('Isaac 401k'!N2886,'Retirement Calculator'!A:A,0),0),0)</f>
        <v>0</v>
      </c>
      <c r="K2886" s="455">
        <f t="shared" ca="1" si="156"/>
        <v>263017860.55842274</v>
      </c>
      <c r="L2886" s="455">
        <f t="shared" ca="1" si="157"/>
        <v>63387304394.579887</v>
      </c>
      <c r="M2886" s="471">
        <f t="shared" si="159"/>
        <v>0.05</v>
      </c>
      <c r="N2886" s="475">
        <f t="shared" si="160"/>
        <v>138885</v>
      </c>
    </row>
    <row r="2887" spans="7:14" ht="11.25" customHeight="1" x14ac:dyDescent="0.3">
      <c r="G2887" s="470"/>
      <c r="H2887" s="470">
        <v>2880</v>
      </c>
      <c r="I2887" s="455">
        <f t="shared" ca="1" si="158"/>
        <v>63387304394.579887</v>
      </c>
      <c r="J2887" s="455">
        <f t="array" ref="J2887">IFERROR(INDEX('Retirement Calculator'!J:J,MATCH('Isaac 401k'!N2887,'Retirement Calculator'!A:A,0),0),0)</f>
        <v>0</v>
      </c>
      <c r="K2887" s="455">
        <f t="shared" ca="1" si="156"/>
        <v>264113768.31074953</v>
      </c>
      <c r="L2887" s="455">
        <f t="shared" ca="1" si="157"/>
        <v>63651418162.89064</v>
      </c>
      <c r="M2887" s="471">
        <f t="shared" si="159"/>
        <v>0.05</v>
      </c>
      <c r="N2887" s="475">
        <f t="shared" si="160"/>
        <v>138915</v>
      </c>
    </row>
    <row r="2888" spans="7:14" ht="11.25" customHeight="1" x14ac:dyDescent="0.3">
      <c r="G2888" s="470"/>
      <c r="H2888" s="470">
        <v>2881</v>
      </c>
      <c r="I2888" s="455">
        <f t="shared" ca="1" si="158"/>
        <v>63651418162.89064</v>
      </c>
      <c r="J2888" s="455">
        <f t="array" ref="J2888">IFERROR(INDEX('Retirement Calculator'!J:J,MATCH('Isaac 401k'!N2888,'Retirement Calculator'!A:A,0),0),0)</f>
        <v>0</v>
      </c>
      <c r="K2888" s="455">
        <f t="shared" ca="1" si="156"/>
        <v>265214242.34537765</v>
      </c>
      <c r="L2888" s="455">
        <f t="shared" ca="1" si="157"/>
        <v>63916632405.236015</v>
      </c>
      <c r="M2888" s="471">
        <f t="shared" si="159"/>
        <v>0.05</v>
      </c>
      <c r="N2888" s="475">
        <f t="shared" si="160"/>
        <v>138946</v>
      </c>
    </row>
    <row r="2889" spans="7:14" ht="11.25" customHeight="1" x14ac:dyDescent="0.3">
      <c r="G2889" s="470"/>
      <c r="H2889" s="470">
        <v>2882</v>
      </c>
      <c r="I2889" s="455">
        <f t="shared" ca="1" si="158"/>
        <v>63916632405.236015</v>
      </c>
      <c r="J2889" s="455">
        <f t="array" ref="J2889">IFERROR(INDEX('Retirement Calculator'!J:J,MATCH('Isaac 401k'!N2889,'Retirement Calculator'!A:A,0),0),0)</f>
        <v>0</v>
      </c>
      <c r="K2889" s="455">
        <f t="shared" ca="1" si="156"/>
        <v>266319301.68848339</v>
      </c>
      <c r="L2889" s="455">
        <f t="shared" ca="1" si="157"/>
        <v>64182951706.9245</v>
      </c>
      <c r="M2889" s="471">
        <f t="shared" si="159"/>
        <v>0.05</v>
      </c>
      <c r="N2889" s="475">
        <f t="shared" si="160"/>
        <v>138976</v>
      </c>
    </row>
    <row r="2890" spans="7:14" ht="11.25" customHeight="1" x14ac:dyDescent="0.3">
      <c r="G2890" s="470"/>
      <c r="H2890" s="470">
        <v>2883</v>
      </c>
      <c r="I2890" s="455">
        <f t="shared" ca="1" si="158"/>
        <v>64182951706.9245</v>
      </c>
      <c r="J2890" s="455">
        <f t="array" ref="J2890">IFERROR(INDEX('Retirement Calculator'!J:J,MATCH('Isaac 401k'!N2890,'Retirement Calculator'!A:A,0),0),0)</f>
        <v>0</v>
      </c>
      <c r="K2890" s="455">
        <f t="shared" ca="1" si="156"/>
        <v>267428965.44551873</v>
      </c>
      <c r="L2890" s="455">
        <f t="shared" ca="1" si="157"/>
        <v>64450380672.370018</v>
      </c>
      <c r="M2890" s="471">
        <f t="shared" si="159"/>
        <v>0.05</v>
      </c>
      <c r="N2890" s="475">
        <f t="shared" si="160"/>
        <v>139007</v>
      </c>
    </row>
    <row r="2891" spans="7:14" ht="11.25" customHeight="1" x14ac:dyDescent="0.3">
      <c r="G2891" s="470"/>
      <c r="H2891" s="470">
        <v>2884</v>
      </c>
      <c r="I2891" s="455">
        <f t="shared" ca="1" si="158"/>
        <v>64450380672.370018</v>
      </c>
      <c r="J2891" s="455">
        <f t="array" ref="J2891">IFERROR(INDEX('Retirement Calculator'!J:J,MATCH('Isaac 401k'!N2891,'Retirement Calculator'!A:A,0),0),0)</f>
        <v>0</v>
      </c>
      <c r="K2891" s="455">
        <f t="shared" ca="1" si="156"/>
        <v>268543252.80154175</v>
      </c>
      <c r="L2891" s="455">
        <f t="shared" ca="1" si="157"/>
        <v>64718923925.171562</v>
      </c>
      <c r="M2891" s="471">
        <f t="shared" si="159"/>
        <v>0.05</v>
      </c>
      <c r="N2891" s="475">
        <f t="shared" si="160"/>
        <v>139038</v>
      </c>
    </row>
    <row r="2892" spans="7:14" ht="11.25" customHeight="1" x14ac:dyDescent="0.3">
      <c r="G2892" s="470"/>
      <c r="H2892" s="470">
        <v>2885</v>
      </c>
      <c r="I2892" s="455">
        <f t="shared" ca="1" si="158"/>
        <v>64718923925.171562</v>
      </c>
      <c r="J2892" s="455">
        <f t="array" ref="J2892">IFERROR(INDEX('Retirement Calculator'!J:J,MATCH('Isaac 401k'!N2892,'Retirement Calculator'!A:A,0),0),0)</f>
        <v>0</v>
      </c>
      <c r="K2892" s="455">
        <f t="shared" ca="1" si="156"/>
        <v>269662183.02154815</v>
      </c>
      <c r="L2892" s="455">
        <f t="shared" ca="1" si="157"/>
        <v>64988586108.193108</v>
      </c>
      <c r="M2892" s="471">
        <f t="shared" si="159"/>
        <v>0.05</v>
      </c>
      <c r="N2892" s="475">
        <f t="shared" si="160"/>
        <v>139068</v>
      </c>
    </row>
    <row r="2893" spans="7:14" ht="11.25" customHeight="1" x14ac:dyDescent="0.3">
      <c r="G2893" s="470"/>
      <c r="H2893" s="470">
        <v>2886</v>
      </c>
      <c r="I2893" s="455">
        <f t="shared" ca="1" si="158"/>
        <v>64988586108.193108</v>
      </c>
      <c r="J2893" s="455">
        <f t="array" ref="J2893">IFERROR(INDEX('Retirement Calculator'!J:J,MATCH('Isaac 401k'!N2893,'Retirement Calculator'!A:A,0),0),0)</f>
        <v>0</v>
      </c>
      <c r="K2893" s="455">
        <f t="shared" ca="1" si="156"/>
        <v>270785775.45080465</v>
      </c>
      <c r="L2893" s="455">
        <f t="shared" ca="1" si="157"/>
        <v>65259371883.643913</v>
      </c>
      <c r="M2893" s="471">
        <f t="shared" si="159"/>
        <v>0.05</v>
      </c>
      <c r="N2893" s="475">
        <f t="shared" si="160"/>
        <v>139099</v>
      </c>
    </row>
    <row r="2894" spans="7:14" ht="11.25" customHeight="1" x14ac:dyDescent="0.3">
      <c r="G2894" s="470"/>
      <c r="H2894" s="470">
        <v>2887</v>
      </c>
      <c r="I2894" s="455">
        <f t="shared" ca="1" si="158"/>
        <v>65259371883.643913</v>
      </c>
      <c r="J2894" s="455">
        <f t="array" ref="J2894">IFERROR(INDEX('Retirement Calculator'!J:J,MATCH('Isaac 401k'!N2894,'Retirement Calculator'!A:A,0),0),0)</f>
        <v>0</v>
      </c>
      <c r="K2894" s="455">
        <f t="shared" ca="1" si="156"/>
        <v>271914049.51518297</v>
      </c>
      <c r="L2894" s="455">
        <f t="shared" ca="1" si="157"/>
        <v>65531285933.159096</v>
      </c>
      <c r="M2894" s="471">
        <f t="shared" si="159"/>
        <v>0.05</v>
      </c>
      <c r="N2894" s="475">
        <f t="shared" si="160"/>
        <v>139129</v>
      </c>
    </row>
    <row r="2895" spans="7:14" ht="11.25" customHeight="1" x14ac:dyDescent="0.3">
      <c r="G2895" s="470"/>
      <c r="H2895" s="470">
        <v>2888</v>
      </c>
      <c r="I2895" s="455">
        <f t="shared" ca="1" si="158"/>
        <v>65531285933.159096</v>
      </c>
      <c r="J2895" s="455">
        <f t="array" ref="J2895">IFERROR(INDEX('Retirement Calculator'!J:J,MATCH('Isaac 401k'!N2895,'Retirement Calculator'!A:A,0),0),0)</f>
        <v>0</v>
      </c>
      <c r="K2895" s="455">
        <f t="shared" ca="1" si="156"/>
        <v>273047024.72149628</v>
      </c>
      <c r="L2895" s="455">
        <f t="shared" ca="1" si="157"/>
        <v>65804332957.880592</v>
      </c>
      <c r="M2895" s="471">
        <f t="shared" si="159"/>
        <v>0.05</v>
      </c>
      <c r="N2895" s="475">
        <f t="shared" si="160"/>
        <v>139160</v>
      </c>
    </row>
    <row r="2896" spans="7:14" ht="11.25" customHeight="1" x14ac:dyDescent="0.3">
      <c r="G2896" s="470"/>
      <c r="H2896" s="470">
        <v>2889</v>
      </c>
      <c r="I2896" s="455">
        <f t="shared" ca="1" si="158"/>
        <v>65804332957.880592</v>
      </c>
      <c r="J2896" s="455">
        <f t="array" ref="J2896">IFERROR(INDEX('Retirement Calculator'!J:J,MATCH('Isaac 401k'!N2896,'Retirement Calculator'!A:A,0),0),0)</f>
        <v>0</v>
      </c>
      <c r="K2896" s="455">
        <f t="shared" ca="1" si="156"/>
        <v>274184720.65783578</v>
      </c>
      <c r="L2896" s="455">
        <f t="shared" ca="1" si="157"/>
        <v>66078517678.538429</v>
      </c>
      <c r="M2896" s="471">
        <f t="shared" si="159"/>
        <v>0.05</v>
      </c>
      <c r="N2896" s="475">
        <f t="shared" si="160"/>
        <v>139191</v>
      </c>
    </row>
    <row r="2897" spans="7:14" ht="11.25" customHeight="1" x14ac:dyDescent="0.3">
      <c r="G2897" s="470"/>
      <c r="H2897" s="470">
        <v>2890</v>
      </c>
      <c r="I2897" s="455">
        <f t="shared" ca="1" si="158"/>
        <v>66078517678.538429</v>
      </c>
      <c r="J2897" s="455">
        <f t="array" ref="J2897">IFERROR(INDEX('Retirement Calculator'!J:J,MATCH('Isaac 401k'!N2897,'Retirement Calculator'!A:A,0),0),0)</f>
        <v>0</v>
      </c>
      <c r="K2897" s="455">
        <f t="shared" ca="1" si="156"/>
        <v>275327156.99391007</v>
      </c>
      <c r="L2897" s="455">
        <f t="shared" ca="1" si="157"/>
        <v>66353844835.532341</v>
      </c>
      <c r="M2897" s="471">
        <f t="shared" si="159"/>
        <v>0.05</v>
      </c>
      <c r="N2897" s="475">
        <f t="shared" si="160"/>
        <v>139219</v>
      </c>
    </row>
    <row r="2898" spans="7:14" ht="11.25" customHeight="1" x14ac:dyDescent="0.3">
      <c r="G2898" s="470"/>
      <c r="H2898" s="470">
        <v>2891</v>
      </c>
      <c r="I2898" s="455">
        <f t="shared" ca="1" si="158"/>
        <v>66353844835.532341</v>
      </c>
      <c r="J2898" s="455">
        <f t="array" ref="J2898">IFERROR(INDEX('Retirement Calculator'!J:J,MATCH('Isaac 401k'!N2898,'Retirement Calculator'!A:A,0),0),0)</f>
        <v>0</v>
      </c>
      <c r="K2898" s="455">
        <f t="shared" ca="1" si="156"/>
        <v>276474353.48138469</v>
      </c>
      <c r="L2898" s="455">
        <f t="shared" ca="1" si="157"/>
        <v>66630319189.013725</v>
      </c>
      <c r="M2898" s="471">
        <f t="shared" si="159"/>
        <v>0.05</v>
      </c>
      <c r="N2898" s="475">
        <f t="shared" si="160"/>
        <v>139250</v>
      </c>
    </row>
    <row r="2899" spans="7:14" ht="11.25" customHeight="1" x14ac:dyDescent="0.3">
      <c r="G2899" s="470"/>
      <c r="H2899" s="470">
        <v>2892</v>
      </c>
      <c r="I2899" s="455">
        <f t="shared" ca="1" si="158"/>
        <v>66630319189.013725</v>
      </c>
      <c r="J2899" s="455">
        <f t="array" ref="J2899">IFERROR(INDEX('Retirement Calculator'!J:J,MATCH('Isaac 401k'!N2899,'Retirement Calculator'!A:A,0),0),0)</f>
        <v>0</v>
      </c>
      <c r="K2899" s="455">
        <f t="shared" ca="1" si="156"/>
        <v>277626329.95422387</v>
      </c>
      <c r="L2899" s="455">
        <f t="shared" ca="1" si="157"/>
        <v>66907945518.967949</v>
      </c>
      <c r="M2899" s="471">
        <f t="shared" si="159"/>
        <v>0.05</v>
      </c>
      <c r="N2899" s="475">
        <f t="shared" si="160"/>
        <v>139280</v>
      </c>
    </row>
    <row r="2900" spans="7:14" ht="11.25" customHeight="1" x14ac:dyDescent="0.3">
      <c r="G2900" s="470"/>
      <c r="H2900" s="470">
        <v>2893</v>
      </c>
      <c r="I2900" s="455">
        <f t="shared" ca="1" si="158"/>
        <v>66907945518.967949</v>
      </c>
      <c r="J2900" s="455">
        <f t="array" ref="J2900">IFERROR(INDEX('Retirement Calculator'!J:J,MATCH('Isaac 401k'!N2900,'Retirement Calculator'!A:A,0),0),0)</f>
        <v>0</v>
      </c>
      <c r="K2900" s="455">
        <f t="shared" ca="1" si="156"/>
        <v>278783106.32903314</v>
      </c>
      <c r="L2900" s="455">
        <f t="shared" ca="1" si="157"/>
        <v>67186728625.296982</v>
      </c>
      <c r="M2900" s="471">
        <f t="shared" si="159"/>
        <v>0.05</v>
      </c>
      <c r="N2900" s="475">
        <f t="shared" si="160"/>
        <v>139311</v>
      </c>
    </row>
    <row r="2901" spans="7:14" ht="11.25" customHeight="1" x14ac:dyDescent="0.3">
      <c r="G2901" s="470"/>
      <c r="H2901" s="470">
        <v>2894</v>
      </c>
      <c r="I2901" s="455">
        <f t="shared" ca="1" si="158"/>
        <v>67186728625.296982</v>
      </c>
      <c r="J2901" s="455">
        <f t="array" ref="J2901">IFERROR(INDEX('Retirement Calculator'!J:J,MATCH('Isaac 401k'!N2901,'Retirement Calculator'!A:A,0),0),0)</f>
        <v>0</v>
      </c>
      <c r="K2901" s="455">
        <f t="shared" ca="1" si="156"/>
        <v>279944702.60540408</v>
      </c>
      <c r="L2901" s="455">
        <f t="shared" ca="1" si="157"/>
        <v>67466673327.90239</v>
      </c>
      <c r="M2901" s="471">
        <f t="shared" si="159"/>
        <v>0.05</v>
      </c>
      <c r="N2901" s="475">
        <f t="shared" si="160"/>
        <v>139341</v>
      </c>
    </row>
    <row r="2902" spans="7:14" ht="11.25" customHeight="1" x14ac:dyDescent="0.3">
      <c r="G2902" s="470"/>
      <c r="H2902" s="470">
        <v>2895</v>
      </c>
      <c r="I2902" s="455">
        <f t="shared" ca="1" si="158"/>
        <v>67466673327.90239</v>
      </c>
      <c r="J2902" s="455">
        <f t="array" ref="J2902">IFERROR(INDEX('Retirement Calculator'!J:J,MATCH('Isaac 401k'!N2902,'Retirement Calculator'!A:A,0),0),0)</f>
        <v>0</v>
      </c>
      <c r="K2902" s="455">
        <f t="shared" ca="1" si="156"/>
        <v>281111138.86625993</v>
      </c>
      <c r="L2902" s="455">
        <f t="shared" ca="1" si="157"/>
        <v>67747784466.768646</v>
      </c>
      <c r="M2902" s="471">
        <f t="shared" si="159"/>
        <v>0.05</v>
      </c>
      <c r="N2902" s="475">
        <f t="shared" si="160"/>
        <v>139372</v>
      </c>
    </row>
    <row r="2903" spans="7:14" ht="11.25" customHeight="1" x14ac:dyDescent="0.3">
      <c r="G2903" s="470"/>
      <c r="H2903" s="470">
        <v>2896</v>
      </c>
      <c r="I2903" s="455">
        <f t="shared" ca="1" si="158"/>
        <v>67747784466.768646</v>
      </c>
      <c r="J2903" s="455">
        <f t="array" ref="J2903">IFERROR(INDEX('Retirement Calculator'!J:J,MATCH('Isaac 401k'!N2903,'Retirement Calculator'!A:A,0),0),0)</f>
        <v>0</v>
      </c>
      <c r="K2903" s="455">
        <f t="shared" ca="1" si="156"/>
        <v>282282435.27820271</v>
      </c>
      <c r="L2903" s="455">
        <f t="shared" ca="1" si="157"/>
        <v>68030066902.046852</v>
      </c>
      <c r="M2903" s="471">
        <f t="shared" si="159"/>
        <v>0.05</v>
      </c>
      <c r="N2903" s="475">
        <f t="shared" si="160"/>
        <v>139403</v>
      </c>
    </row>
    <row r="2904" spans="7:14" ht="11.25" customHeight="1" x14ac:dyDescent="0.3">
      <c r="G2904" s="470"/>
      <c r="H2904" s="470">
        <v>2897</v>
      </c>
      <c r="I2904" s="455">
        <f t="shared" ca="1" si="158"/>
        <v>68030066902.046852</v>
      </c>
      <c r="J2904" s="455">
        <f t="array" ref="J2904">IFERROR(INDEX('Retirement Calculator'!J:J,MATCH('Isaac 401k'!N2904,'Retirement Calculator'!A:A,0),0),0)</f>
        <v>0</v>
      </c>
      <c r="K2904" s="455">
        <f t="shared" ca="1" si="156"/>
        <v>283458612.0918619</v>
      </c>
      <c r="L2904" s="455">
        <f t="shared" ca="1" si="157"/>
        <v>68313525514.138718</v>
      </c>
      <c r="M2904" s="471">
        <f t="shared" si="159"/>
        <v>0.05</v>
      </c>
      <c r="N2904" s="475">
        <f t="shared" si="160"/>
        <v>139433</v>
      </c>
    </row>
    <row r="2905" spans="7:14" ht="11.25" customHeight="1" x14ac:dyDescent="0.3">
      <c r="G2905" s="470"/>
      <c r="H2905" s="470">
        <v>2898</v>
      </c>
      <c r="I2905" s="455">
        <f t="shared" ca="1" si="158"/>
        <v>68313525514.138718</v>
      </c>
      <c r="J2905" s="455">
        <f t="array" ref="J2905">IFERROR(INDEX('Retirement Calculator'!J:J,MATCH('Isaac 401k'!N2905,'Retirement Calculator'!A:A,0),0),0)</f>
        <v>0</v>
      </c>
      <c r="K2905" s="455">
        <f t="shared" ca="1" si="156"/>
        <v>284639689.64224464</v>
      </c>
      <c r="L2905" s="455">
        <f t="shared" ca="1" si="157"/>
        <v>68598165203.78096</v>
      </c>
      <c r="M2905" s="471">
        <f t="shared" si="159"/>
        <v>0.05</v>
      </c>
      <c r="N2905" s="475">
        <f t="shared" si="160"/>
        <v>139464</v>
      </c>
    </row>
    <row r="2906" spans="7:14" ht="11.25" customHeight="1" x14ac:dyDescent="0.3">
      <c r="G2906" s="470"/>
      <c r="H2906" s="470">
        <v>2899</v>
      </c>
      <c r="I2906" s="455">
        <f t="shared" ca="1" si="158"/>
        <v>68598165203.78096</v>
      </c>
      <c r="J2906" s="455">
        <f t="array" ref="J2906">IFERROR(INDEX('Retirement Calculator'!J:J,MATCH('Isaac 401k'!N2906,'Retirement Calculator'!A:A,0),0),0)</f>
        <v>0</v>
      </c>
      <c r="K2906" s="455">
        <f t="shared" ca="1" si="156"/>
        <v>285825688.34908736</v>
      </c>
      <c r="L2906" s="455">
        <f t="shared" ca="1" si="157"/>
        <v>68883990892.130051</v>
      </c>
      <c r="M2906" s="471">
        <f t="shared" si="159"/>
        <v>0.05</v>
      </c>
      <c r="N2906" s="475">
        <f t="shared" si="160"/>
        <v>139494</v>
      </c>
    </row>
    <row r="2907" spans="7:14" ht="11.25" customHeight="1" x14ac:dyDescent="0.3">
      <c r="G2907" s="470"/>
      <c r="H2907" s="470">
        <v>2900</v>
      </c>
      <c r="I2907" s="455">
        <f t="shared" ca="1" si="158"/>
        <v>68883990892.130051</v>
      </c>
      <c r="J2907" s="455">
        <f t="array" ref="J2907">IFERROR(INDEX('Retirement Calculator'!J:J,MATCH('Isaac 401k'!N2907,'Retirement Calculator'!A:A,0),0),0)</f>
        <v>0</v>
      </c>
      <c r="K2907" s="455">
        <f t="shared" ca="1" si="156"/>
        <v>287016628.71720856</v>
      </c>
      <c r="L2907" s="455">
        <f t="shared" ca="1" si="157"/>
        <v>69171007520.84726</v>
      </c>
      <c r="M2907" s="471">
        <f t="shared" si="159"/>
        <v>0.05</v>
      </c>
      <c r="N2907" s="475">
        <f t="shared" si="160"/>
        <v>139525</v>
      </c>
    </row>
    <row r="2908" spans="7:14" ht="11.25" customHeight="1" x14ac:dyDescent="0.3">
      <c r="G2908" s="470"/>
      <c r="H2908" s="470">
        <v>2901</v>
      </c>
      <c r="I2908" s="455">
        <f t="shared" ca="1" si="158"/>
        <v>69171007520.84726</v>
      </c>
      <c r="J2908" s="455">
        <f t="array" ref="J2908">IFERROR(INDEX('Retirement Calculator'!J:J,MATCH('Isaac 401k'!N2908,'Retirement Calculator'!A:A,0),0),0)</f>
        <v>0</v>
      </c>
      <c r="K2908" s="455">
        <f t="shared" ca="1" si="156"/>
        <v>288212531.33686358</v>
      </c>
      <c r="L2908" s="455">
        <f t="shared" ca="1" si="157"/>
        <v>69459220052.184128</v>
      </c>
      <c r="M2908" s="471">
        <f t="shared" si="159"/>
        <v>0.05</v>
      </c>
      <c r="N2908" s="475">
        <f t="shared" si="160"/>
        <v>139556</v>
      </c>
    </row>
    <row r="2909" spans="7:14" ht="11.25" customHeight="1" x14ac:dyDescent="0.3">
      <c r="G2909" s="470"/>
      <c r="H2909" s="470">
        <v>2902</v>
      </c>
      <c r="I2909" s="455">
        <f t="shared" ca="1" si="158"/>
        <v>69459220052.184128</v>
      </c>
      <c r="J2909" s="455">
        <f t="array" ref="J2909">IFERROR(INDEX('Retirement Calculator'!J:J,MATCH('Isaac 401k'!N2909,'Retirement Calculator'!A:A,0),0),0)</f>
        <v>0</v>
      </c>
      <c r="K2909" s="455">
        <f t="shared" ca="1" si="156"/>
        <v>289413416.88410056</v>
      </c>
      <c r="L2909" s="455">
        <f t="shared" ca="1" si="157"/>
        <v>69748633469.068222</v>
      </c>
      <c r="M2909" s="471">
        <f t="shared" si="159"/>
        <v>0.05</v>
      </c>
      <c r="N2909" s="475">
        <f t="shared" si="160"/>
        <v>139584</v>
      </c>
    </row>
    <row r="2910" spans="7:14" ht="11.25" customHeight="1" x14ac:dyDescent="0.3">
      <c r="G2910" s="470"/>
      <c r="H2910" s="470">
        <v>2903</v>
      </c>
      <c r="I2910" s="455">
        <f t="shared" ca="1" si="158"/>
        <v>69748633469.068222</v>
      </c>
      <c r="J2910" s="455">
        <f t="array" ref="J2910">IFERROR(INDEX('Retirement Calculator'!J:J,MATCH('Isaac 401k'!N2910,'Retirement Calculator'!A:A,0),0),0)</f>
        <v>0</v>
      </c>
      <c r="K2910" s="455">
        <f t="shared" ca="1" si="156"/>
        <v>290619306.12111759</v>
      </c>
      <c r="L2910" s="455">
        <f t="shared" ca="1" si="157"/>
        <v>70039252775.189346</v>
      </c>
      <c r="M2910" s="471">
        <f t="shared" si="159"/>
        <v>0.05</v>
      </c>
      <c r="N2910" s="475">
        <f t="shared" si="160"/>
        <v>139615</v>
      </c>
    </row>
    <row r="2911" spans="7:14" ht="11.25" customHeight="1" x14ac:dyDescent="0.3">
      <c r="G2911" s="470"/>
      <c r="H2911" s="470">
        <v>2904</v>
      </c>
      <c r="I2911" s="455">
        <f t="shared" ca="1" si="158"/>
        <v>70039252775.189346</v>
      </c>
      <c r="J2911" s="455">
        <f t="array" ref="J2911">IFERROR(INDEX('Retirement Calculator'!J:J,MATCH('Isaac 401k'!N2911,'Retirement Calculator'!A:A,0),0),0)</f>
        <v>0</v>
      </c>
      <c r="K2911" s="455">
        <f t="shared" ca="1" si="156"/>
        <v>291830219.8966223</v>
      </c>
      <c r="L2911" s="455">
        <f t="shared" ca="1" si="157"/>
        <v>70331082995.085968</v>
      </c>
      <c r="M2911" s="471">
        <f t="shared" si="159"/>
        <v>0.05</v>
      </c>
      <c r="N2911" s="475">
        <f t="shared" si="160"/>
        <v>139645</v>
      </c>
    </row>
    <row r="2912" spans="7:14" ht="11.25" customHeight="1" x14ac:dyDescent="0.3">
      <c r="G2912" s="470"/>
      <c r="H2912" s="470">
        <v>2905</v>
      </c>
      <c r="I2912" s="455">
        <f t="shared" ca="1" si="158"/>
        <v>70331082995.085968</v>
      </c>
      <c r="J2912" s="455">
        <f t="array" ref="J2912">IFERROR(INDEX('Retirement Calculator'!J:J,MATCH('Isaac 401k'!N2912,'Retirement Calculator'!A:A,0),0),0)</f>
        <v>0</v>
      </c>
      <c r="K2912" s="455">
        <f t="shared" ca="1" si="156"/>
        <v>293046179.14619154</v>
      </c>
      <c r="L2912" s="455">
        <f t="shared" ca="1" si="157"/>
        <v>70624129174.232162</v>
      </c>
      <c r="M2912" s="471">
        <f t="shared" si="159"/>
        <v>0.05</v>
      </c>
      <c r="N2912" s="475">
        <f t="shared" si="160"/>
        <v>139676</v>
      </c>
    </row>
    <row r="2913" spans="7:14" ht="11.25" customHeight="1" x14ac:dyDescent="0.3">
      <c r="G2913" s="470"/>
      <c r="H2913" s="470">
        <v>2906</v>
      </c>
      <c r="I2913" s="455">
        <f t="shared" ca="1" si="158"/>
        <v>70624129174.232162</v>
      </c>
      <c r="J2913" s="455">
        <f t="array" ref="J2913">IFERROR(INDEX('Retirement Calculator'!J:J,MATCH('Isaac 401k'!N2913,'Retirement Calculator'!A:A,0),0),0)</f>
        <v>0</v>
      </c>
      <c r="K2913" s="455">
        <f t="shared" ca="1" si="156"/>
        <v>294267204.89263403</v>
      </c>
      <c r="L2913" s="455">
        <f t="shared" ca="1" si="157"/>
        <v>70918396379.124802</v>
      </c>
      <c r="M2913" s="471">
        <f t="shared" si="159"/>
        <v>0.05</v>
      </c>
      <c r="N2913" s="475">
        <f t="shared" si="160"/>
        <v>139706</v>
      </c>
    </row>
    <row r="2914" spans="7:14" ht="11.25" customHeight="1" x14ac:dyDescent="0.3">
      <c r="G2914" s="470"/>
      <c r="H2914" s="470">
        <v>2907</v>
      </c>
      <c r="I2914" s="455">
        <f t="shared" ca="1" si="158"/>
        <v>70918396379.124802</v>
      </c>
      <c r="J2914" s="455">
        <f t="array" ref="J2914">IFERROR(INDEX('Retirement Calculator'!J:J,MATCH('Isaac 401k'!N2914,'Retirement Calculator'!A:A,0),0),0)</f>
        <v>0</v>
      </c>
      <c r="K2914" s="455">
        <f t="shared" ca="1" si="156"/>
        <v>295493318.24635333</v>
      </c>
      <c r="L2914" s="455">
        <f t="shared" ca="1" si="157"/>
        <v>71213889697.371155</v>
      </c>
      <c r="M2914" s="471">
        <f t="shared" si="159"/>
        <v>0.05</v>
      </c>
      <c r="N2914" s="475">
        <f t="shared" si="160"/>
        <v>139737</v>
      </c>
    </row>
    <row r="2915" spans="7:14" ht="11.25" customHeight="1" x14ac:dyDescent="0.3">
      <c r="G2915" s="470"/>
      <c r="H2915" s="470">
        <v>2908</v>
      </c>
      <c r="I2915" s="455">
        <f t="shared" ca="1" si="158"/>
        <v>71213889697.371155</v>
      </c>
      <c r="J2915" s="455">
        <f t="array" ref="J2915">IFERROR(INDEX('Retirement Calculator'!J:J,MATCH('Isaac 401k'!N2915,'Retirement Calculator'!A:A,0),0),0)</f>
        <v>0</v>
      </c>
      <c r="K2915" s="455">
        <f t="shared" ca="1" si="156"/>
        <v>296724540.40571314</v>
      </c>
      <c r="L2915" s="455">
        <f t="shared" ca="1" si="157"/>
        <v>71510614237.776871</v>
      </c>
      <c r="M2915" s="471">
        <f t="shared" si="159"/>
        <v>0.05</v>
      </c>
      <c r="N2915" s="475">
        <f t="shared" si="160"/>
        <v>139768</v>
      </c>
    </row>
    <row r="2916" spans="7:14" ht="11.25" customHeight="1" x14ac:dyDescent="0.3">
      <c r="G2916" s="470"/>
      <c r="H2916" s="470">
        <v>2909</v>
      </c>
      <c r="I2916" s="455">
        <f t="shared" ca="1" si="158"/>
        <v>71510614237.776871</v>
      </c>
      <c r="J2916" s="455">
        <f t="array" ref="J2916">IFERROR(INDEX('Retirement Calculator'!J:J,MATCH('Isaac 401k'!N2916,'Retirement Calculator'!A:A,0),0),0)</f>
        <v>0</v>
      </c>
      <c r="K2916" s="455">
        <f t="shared" ca="1" si="156"/>
        <v>297960892.65740365</v>
      </c>
      <c r="L2916" s="455">
        <f t="shared" ca="1" si="157"/>
        <v>71808575130.43428</v>
      </c>
      <c r="M2916" s="471">
        <f t="shared" si="159"/>
        <v>0.05</v>
      </c>
      <c r="N2916" s="475">
        <f t="shared" si="160"/>
        <v>139798</v>
      </c>
    </row>
    <row r="2917" spans="7:14" ht="11.25" customHeight="1" x14ac:dyDescent="0.3">
      <c r="G2917" s="470"/>
      <c r="H2917" s="470">
        <v>2910</v>
      </c>
      <c r="I2917" s="455">
        <f t="shared" ca="1" si="158"/>
        <v>71808575130.43428</v>
      </c>
      <c r="J2917" s="455">
        <f t="array" ref="J2917">IFERROR(INDEX('Retirement Calculator'!J:J,MATCH('Isaac 401k'!N2917,'Retirement Calculator'!A:A,0),0),0)</f>
        <v>0</v>
      </c>
      <c r="K2917" s="455">
        <f t="shared" ca="1" si="156"/>
        <v>299202396.37680948</v>
      </c>
      <c r="L2917" s="455">
        <f t="shared" ca="1" si="157"/>
        <v>72107777526.811096</v>
      </c>
      <c r="M2917" s="471">
        <f t="shared" si="159"/>
        <v>0.05</v>
      </c>
      <c r="N2917" s="475">
        <f t="shared" si="160"/>
        <v>139829</v>
      </c>
    </row>
    <row r="2918" spans="7:14" ht="11.25" customHeight="1" x14ac:dyDescent="0.3">
      <c r="G2918" s="470"/>
      <c r="H2918" s="470">
        <v>2911</v>
      </c>
      <c r="I2918" s="455">
        <f t="shared" ca="1" si="158"/>
        <v>72107777526.811096</v>
      </c>
      <c r="J2918" s="455">
        <f t="array" ref="J2918">IFERROR(INDEX('Retirement Calculator'!J:J,MATCH('Isaac 401k'!N2918,'Retirement Calculator'!A:A,0),0),0)</f>
        <v>0</v>
      </c>
      <c r="K2918" s="455">
        <f t="shared" ca="1" si="156"/>
        <v>300449073.02837956</v>
      </c>
      <c r="L2918" s="455">
        <f t="shared" ca="1" si="157"/>
        <v>72408226599.839478</v>
      </c>
      <c r="M2918" s="471">
        <f t="shared" si="159"/>
        <v>0.05</v>
      </c>
      <c r="N2918" s="475">
        <f t="shared" si="160"/>
        <v>139859</v>
      </c>
    </row>
    <row r="2919" spans="7:14" ht="11.25" customHeight="1" x14ac:dyDescent="0.3">
      <c r="G2919" s="470"/>
      <c r="H2919" s="470">
        <v>2912</v>
      </c>
      <c r="I2919" s="455">
        <f t="shared" ca="1" si="158"/>
        <v>72408226599.839478</v>
      </c>
      <c r="J2919" s="455">
        <f t="array" ref="J2919">IFERROR(INDEX('Retirement Calculator'!J:J,MATCH('Isaac 401k'!N2919,'Retirement Calculator'!A:A,0),0),0)</f>
        <v>0</v>
      </c>
      <c r="K2919" s="455">
        <f t="shared" ca="1" si="156"/>
        <v>301700944.1659978</v>
      </c>
      <c r="L2919" s="455">
        <f t="shared" ca="1" si="157"/>
        <v>72709927544.005478</v>
      </c>
      <c r="M2919" s="471">
        <f t="shared" si="159"/>
        <v>0.05</v>
      </c>
      <c r="N2919" s="475">
        <f t="shared" si="160"/>
        <v>139890</v>
      </c>
    </row>
    <row r="2920" spans="7:14" ht="11.25" customHeight="1" x14ac:dyDescent="0.3">
      <c r="G2920" s="470"/>
      <c r="H2920" s="470">
        <v>2913</v>
      </c>
      <c r="I2920" s="455">
        <f t="shared" ca="1" si="158"/>
        <v>72709927544.005478</v>
      </c>
      <c r="J2920" s="455">
        <f t="array" ref="J2920">IFERROR(INDEX('Retirement Calculator'!J:J,MATCH('Isaac 401k'!N2920,'Retirement Calculator'!A:A,0),0),0)</f>
        <v>0</v>
      </c>
      <c r="K2920" s="455">
        <f t="shared" ca="1" si="156"/>
        <v>302958031.43335617</v>
      </c>
      <c r="L2920" s="455">
        <f t="shared" ca="1" si="157"/>
        <v>73012885575.438828</v>
      </c>
      <c r="M2920" s="471">
        <f t="shared" si="159"/>
        <v>0.05</v>
      </c>
      <c r="N2920" s="475">
        <f t="shared" si="160"/>
        <v>139921</v>
      </c>
    </row>
    <row r="2921" spans="7:14" ht="11.25" customHeight="1" x14ac:dyDescent="0.3">
      <c r="G2921" s="470"/>
      <c r="H2921" s="470">
        <v>2914</v>
      </c>
      <c r="I2921" s="455">
        <f t="shared" ca="1" si="158"/>
        <v>73012885575.438828</v>
      </c>
      <c r="J2921" s="455">
        <f t="array" ref="J2921">IFERROR(INDEX('Retirement Calculator'!J:J,MATCH('Isaac 401k'!N2921,'Retirement Calculator'!A:A,0),0),0)</f>
        <v>0</v>
      </c>
      <c r="K2921" s="455">
        <f t="shared" ca="1" si="156"/>
        <v>304220356.56432843</v>
      </c>
      <c r="L2921" s="455">
        <f t="shared" ca="1" si="157"/>
        <v>73317105932.003159</v>
      </c>
      <c r="M2921" s="471">
        <f t="shared" si="159"/>
        <v>0.05</v>
      </c>
      <c r="N2921" s="475">
        <f t="shared" si="160"/>
        <v>139949</v>
      </c>
    </row>
    <row r="2922" spans="7:14" ht="11.25" customHeight="1" x14ac:dyDescent="0.3">
      <c r="G2922" s="470"/>
      <c r="H2922" s="470">
        <v>2915</v>
      </c>
      <c r="I2922" s="455">
        <f t="shared" ca="1" si="158"/>
        <v>73317105932.003159</v>
      </c>
      <c r="J2922" s="455">
        <f t="array" ref="J2922">IFERROR(INDEX('Retirement Calculator'!J:J,MATCH('Isaac 401k'!N2922,'Retirement Calculator'!A:A,0),0),0)</f>
        <v>0</v>
      </c>
      <c r="K2922" s="455">
        <f t="shared" ca="1" si="156"/>
        <v>305487941.3833465</v>
      </c>
      <c r="L2922" s="455">
        <f t="shared" ca="1" si="157"/>
        <v>73622593873.386505</v>
      </c>
      <c r="M2922" s="471">
        <f t="shared" si="159"/>
        <v>0.05</v>
      </c>
      <c r="N2922" s="475">
        <f t="shared" si="160"/>
        <v>139980</v>
      </c>
    </row>
    <row r="2923" spans="7:14" ht="11.25" customHeight="1" x14ac:dyDescent="0.3">
      <c r="G2923" s="470"/>
      <c r="H2923" s="470">
        <v>2916</v>
      </c>
      <c r="I2923" s="455">
        <f t="shared" ca="1" si="158"/>
        <v>73622593873.386505</v>
      </c>
      <c r="J2923" s="455">
        <f t="array" ref="J2923">IFERROR(INDEX('Retirement Calculator'!J:J,MATCH('Isaac 401k'!N2923,'Retirement Calculator'!A:A,0),0),0)</f>
        <v>0</v>
      </c>
      <c r="K2923" s="455">
        <f t="shared" ca="1" si="156"/>
        <v>306760807.80577707</v>
      </c>
      <c r="L2923" s="455">
        <f t="shared" ca="1" si="157"/>
        <v>73929354681.192276</v>
      </c>
      <c r="M2923" s="471">
        <f t="shared" si="159"/>
        <v>0.05</v>
      </c>
      <c r="N2923" s="475">
        <f t="shared" si="160"/>
        <v>140010</v>
      </c>
    </row>
    <row r="2924" spans="7:14" ht="11.25" customHeight="1" x14ac:dyDescent="0.3">
      <c r="G2924" s="470"/>
      <c r="H2924" s="470">
        <v>2917</v>
      </c>
      <c r="I2924" s="455">
        <f t="shared" ca="1" si="158"/>
        <v>73929354681.192276</v>
      </c>
      <c r="J2924" s="455">
        <f t="array" ref="J2924">IFERROR(INDEX('Retirement Calculator'!J:J,MATCH('Isaac 401k'!N2924,'Retirement Calculator'!A:A,0),0),0)</f>
        <v>0</v>
      </c>
      <c r="K2924" s="455">
        <f t="shared" ca="1" si="156"/>
        <v>308038977.83830112</v>
      </c>
      <c r="L2924" s="455">
        <f t="shared" ca="1" si="157"/>
        <v>74237393659.030579</v>
      </c>
      <c r="M2924" s="471">
        <f t="shared" si="159"/>
        <v>0.05</v>
      </c>
      <c r="N2924" s="475">
        <f t="shared" si="160"/>
        <v>140041</v>
      </c>
    </row>
    <row r="2925" spans="7:14" ht="11.25" customHeight="1" x14ac:dyDescent="0.3">
      <c r="G2925" s="470"/>
      <c r="H2925" s="470">
        <v>2918</v>
      </c>
      <c r="I2925" s="455">
        <f t="shared" ca="1" si="158"/>
        <v>74237393659.030579</v>
      </c>
      <c r="J2925" s="455">
        <f t="array" ref="J2925">IFERROR(INDEX('Retirement Calculator'!J:J,MATCH('Isaac 401k'!N2925,'Retirement Calculator'!A:A,0),0),0)</f>
        <v>0</v>
      </c>
      <c r="K2925" s="455">
        <f t="shared" ca="1" si="156"/>
        <v>309322473.57929409</v>
      </c>
      <c r="L2925" s="455">
        <f t="shared" ca="1" si="157"/>
        <v>74546716132.609879</v>
      </c>
      <c r="M2925" s="471">
        <f t="shared" si="159"/>
        <v>0.05</v>
      </c>
      <c r="N2925" s="475">
        <f t="shared" si="160"/>
        <v>140071</v>
      </c>
    </row>
    <row r="2926" spans="7:14" ht="11.25" customHeight="1" x14ac:dyDescent="0.3">
      <c r="G2926" s="470"/>
      <c r="H2926" s="470">
        <v>2919</v>
      </c>
      <c r="I2926" s="455">
        <f t="shared" ca="1" si="158"/>
        <v>74546716132.609879</v>
      </c>
      <c r="J2926" s="455">
        <f t="array" ref="J2926">IFERROR(INDEX('Retirement Calculator'!J:J,MATCH('Isaac 401k'!N2926,'Retirement Calculator'!A:A,0),0),0)</f>
        <v>0</v>
      </c>
      <c r="K2926" s="455">
        <f t="shared" ca="1" si="156"/>
        <v>310611317.21920782</v>
      </c>
      <c r="L2926" s="455">
        <f t="shared" ca="1" si="157"/>
        <v>74857327449.829086</v>
      </c>
      <c r="M2926" s="471">
        <f t="shared" si="159"/>
        <v>0.05</v>
      </c>
      <c r="N2926" s="475">
        <f t="shared" si="160"/>
        <v>140102</v>
      </c>
    </row>
    <row r="2927" spans="7:14" ht="11.25" customHeight="1" x14ac:dyDescent="0.3">
      <c r="G2927" s="470"/>
      <c r="H2927" s="470">
        <v>2920</v>
      </c>
      <c r="I2927" s="455">
        <f t="shared" ca="1" si="158"/>
        <v>74857327449.829086</v>
      </c>
      <c r="J2927" s="455">
        <f t="array" ref="J2927">IFERROR(INDEX('Retirement Calculator'!J:J,MATCH('Isaac 401k'!N2927,'Retirement Calculator'!A:A,0),0),0)</f>
        <v>0</v>
      </c>
      <c r="K2927" s="455">
        <f t="shared" ca="1" si="156"/>
        <v>311905531.04095453</v>
      </c>
      <c r="L2927" s="455">
        <f t="shared" ca="1" si="157"/>
        <v>75169232980.870041</v>
      </c>
      <c r="M2927" s="471">
        <f t="shared" si="159"/>
        <v>0.05</v>
      </c>
      <c r="N2927" s="475">
        <f t="shared" si="160"/>
        <v>140133</v>
      </c>
    </row>
    <row r="2928" spans="7:14" ht="11.25" customHeight="1" x14ac:dyDescent="0.3">
      <c r="G2928" s="470"/>
      <c r="H2928" s="470">
        <v>2921</v>
      </c>
      <c r="I2928" s="455">
        <f t="shared" ca="1" si="158"/>
        <v>75169232980.870041</v>
      </c>
      <c r="J2928" s="455">
        <f t="array" ref="J2928">IFERROR(INDEX('Retirement Calculator'!J:J,MATCH('Isaac 401k'!N2928,'Retirement Calculator'!A:A,0),0),0)</f>
        <v>0</v>
      </c>
      <c r="K2928" s="455">
        <f t="shared" ca="1" si="156"/>
        <v>313205137.42029184</v>
      </c>
      <c r="L2928" s="455">
        <f t="shared" ca="1" si="157"/>
        <v>75482438118.290329</v>
      </c>
      <c r="M2928" s="471">
        <f t="shared" si="159"/>
        <v>0.05</v>
      </c>
      <c r="N2928" s="475">
        <f t="shared" si="160"/>
        <v>140163</v>
      </c>
    </row>
    <row r="2929" spans="7:14" ht="11.25" customHeight="1" x14ac:dyDescent="0.3">
      <c r="G2929" s="470"/>
      <c r="H2929" s="470">
        <v>2922</v>
      </c>
      <c r="I2929" s="455">
        <f t="shared" ca="1" si="158"/>
        <v>75482438118.290329</v>
      </c>
      <c r="J2929" s="455">
        <f t="array" ref="J2929">IFERROR(INDEX('Retirement Calculator'!J:J,MATCH('Isaac 401k'!N2929,'Retirement Calculator'!A:A,0),0),0)</f>
        <v>0</v>
      </c>
      <c r="K2929" s="455">
        <f t="shared" ca="1" si="156"/>
        <v>314510158.82620972</v>
      </c>
      <c r="L2929" s="455">
        <f t="shared" ca="1" si="157"/>
        <v>75796948277.116531</v>
      </c>
      <c r="M2929" s="471">
        <f t="shared" si="159"/>
        <v>0.05</v>
      </c>
      <c r="N2929" s="475">
        <f t="shared" si="160"/>
        <v>140194</v>
      </c>
    </row>
    <row r="2930" spans="7:14" ht="11.25" customHeight="1" x14ac:dyDescent="0.3">
      <c r="G2930" s="470"/>
      <c r="H2930" s="470">
        <v>2923</v>
      </c>
      <c r="I2930" s="455">
        <f t="shared" ca="1" si="158"/>
        <v>75796948277.116531</v>
      </c>
      <c r="J2930" s="455">
        <f t="array" ref="J2930">IFERROR(INDEX('Retirement Calculator'!J:J,MATCH('Isaac 401k'!N2930,'Retirement Calculator'!A:A,0),0),0)</f>
        <v>0</v>
      </c>
      <c r="K2930" s="455">
        <f t="shared" ca="1" si="156"/>
        <v>315820617.82131886</v>
      </c>
      <c r="L2930" s="455">
        <f t="shared" ca="1" si="157"/>
        <v>76112768894.937851</v>
      </c>
      <c r="M2930" s="471">
        <f t="shared" si="159"/>
        <v>0.05</v>
      </c>
      <c r="N2930" s="475">
        <f t="shared" si="160"/>
        <v>140224</v>
      </c>
    </row>
    <row r="2931" spans="7:14" ht="11.25" customHeight="1" x14ac:dyDescent="0.3">
      <c r="G2931" s="470"/>
      <c r="H2931" s="470">
        <v>2924</v>
      </c>
      <c r="I2931" s="455">
        <f t="shared" ca="1" si="158"/>
        <v>76112768894.937851</v>
      </c>
      <c r="J2931" s="455">
        <f t="array" ref="J2931">IFERROR(INDEX('Retirement Calculator'!J:J,MATCH('Isaac 401k'!N2931,'Retirement Calculator'!A:A,0),0),0)</f>
        <v>0</v>
      </c>
      <c r="K2931" s="455">
        <f t="shared" ca="1" si="156"/>
        <v>317136537.06224102</v>
      </c>
      <c r="L2931" s="455">
        <f t="shared" ca="1" si="157"/>
        <v>76429905432.000092</v>
      </c>
      <c r="M2931" s="471">
        <f t="shared" si="159"/>
        <v>0.05</v>
      </c>
      <c r="N2931" s="475">
        <f t="shared" si="160"/>
        <v>140255</v>
      </c>
    </row>
    <row r="2932" spans="7:14" ht="11.25" customHeight="1" x14ac:dyDescent="0.3">
      <c r="G2932" s="470"/>
      <c r="H2932" s="470">
        <v>2925</v>
      </c>
      <c r="I2932" s="455">
        <f t="shared" ca="1" si="158"/>
        <v>76429905432.000092</v>
      </c>
      <c r="J2932" s="455">
        <f t="array" ref="J2932">IFERROR(INDEX('Retirement Calculator'!J:J,MATCH('Isaac 401k'!N2932,'Retirement Calculator'!A:A,0),0),0)</f>
        <v>0</v>
      </c>
      <c r="K2932" s="455">
        <f t="shared" ca="1" si="156"/>
        <v>318457939.30000037</v>
      </c>
      <c r="L2932" s="455">
        <f t="shared" ca="1" si="157"/>
        <v>76748363371.300095</v>
      </c>
      <c r="M2932" s="471">
        <f t="shared" si="159"/>
        <v>0.05</v>
      </c>
      <c r="N2932" s="475">
        <f t="shared" si="160"/>
        <v>140286</v>
      </c>
    </row>
    <row r="2933" spans="7:14" ht="11.25" customHeight="1" x14ac:dyDescent="0.3">
      <c r="G2933" s="470"/>
      <c r="H2933" s="470">
        <v>2926</v>
      </c>
      <c r="I2933" s="455">
        <f t="shared" ca="1" si="158"/>
        <v>76748363371.300095</v>
      </c>
      <c r="J2933" s="455">
        <f t="array" ref="J2933">IFERROR(INDEX('Retirement Calculator'!J:J,MATCH('Isaac 401k'!N2933,'Retirement Calculator'!A:A,0),0),0)</f>
        <v>0</v>
      </c>
      <c r="K2933" s="455">
        <f t="shared" ca="1" si="156"/>
        <v>319784847.38041705</v>
      </c>
      <c r="L2933" s="455">
        <f t="shared" ca="1" si="157"/>
        <v>77068148218.680511</v>
      </c>
      <c r="M2933" s="471">
        <f t="shared" si="159"/>
        <v>0.05</v>
      </c>
      <c r="N2933" s="475">
        <f t="shared" si="160"/>
        <v>140315</v>
      </c>
    </row>
    <row r="2934" spans="7:14" ht="11.25" customHeight="1" x14ac:dyDescent="0.3">
      <c r="G2934" s="470"/>
      <c r="H2934" s="470">
        <v>2927</v>
      </c>
      <c r="I2934" s="455">
        <f t="shared" ca="1" si="158"/>
        <v>77068148218.680511</v>
      </c>
      <c r="J2934" s="455">
        <f t="array" ref="J2934">IFERROR(INDEX('Retirement Calculator'!J:J,MATCH('Isaac 401k'!N2934,'Retirement Calculator'!A:A,0),0),0)</f>
        <v>0</v>
      </c>
      <c r="K2934" s="455">
        <f t="shared" ca="1" si="156"/>
        <v>321117284.24450213</v>
      </c>
      <c r="L2934" s="455">
        <f t="shared" ca="1" si="157"/>
        <v>77389265502.925018</v>
      </c>
      <c r="M2934" s="471">
        <f t="shared" si="159"/>
        <v>0.05</v>
      </c>
      <c r="N2934" s="475">
        <f t="shared" si="160"/>
        <v>140346</v>
      </c>
    </row>
    <row r="2935" spans="7:14" ht="11.25" customHeight="1" x14ac:dyDescent="0.3">
      <c r="G2935" s="470"/>
      <c r="H2935" s="470">
        <v>2928</v>
      </c>
      <c r="I2935" s="455">
        <f t="shared" ca="1" si="158"/>
        <v>77389265502.925018</v>
      </c>
      <c r="J2935" s="455">
        <f t="array" ref="J2935">IFERROR(INDEX('Retirement Calculator'!J:J,MATCH('Isaac 401k'!N2935,'Retirement Calculator'!A:A,0),0),0)</f>
        <v>0</v>
      </c>
      <c r="K2935" s="455">
        <f t="shared" ca="1" si="156"/>
        <v>322455272.92885423</v>
      </c>
      <c r="L2935" s="455">
        <f t="shared" ca="1" si="157"/>
        <v>77711720775.853867</v>
      </c>
      <c r="M2935" s="471">
        <f t="shared" si="159"/>
        <v>0.05</v>
      </c>
      <c r="N2935" s="475">
        <f t="shared" si="160"/>
        <v>140376</v>
      </c>
    </row>
    <row r="2936" spans="7:14" ht="11.25" customHeight="1" x14ac:dyDescent="0.3">
      <c r="G2936" s="470"/>
      <c r="H2936" s="470">
        <v>2929</v>
      </c>
      <c r="I2936" s="455">
        <f t="shared" ca="1" si="158"/>
        <v>77711720775.853867</v>
      </c>
      <c r="J2936" s="455">
        <f t="array" ref="J2936">IFERROR(INDEX('Retirement Calculator'!J:J,MATCH('Isaac 401k'!N2936,'Retirement Calculator'!A:A,0),0),0)</f>
        <v>0</v>
      </c>
      <c r="K2936" s="455">
        <f t="shared" ca="1" si="156"/>
        <v>323798836.5660578</v>
      </c>
      <c r="L2936" s="455">
        <f t="shared" ca="1" si="157"/>
        <v>78035519612.419922</v>
      </c>
      <c r="M2936" s="471">
        <f t="shared" si="159"/>
        <v>0.05</v>
      </c>
      <c r="N2936" s="475">
        <f t="shared" si="160"/>
        <v>140407</v>
      </c>
    </row>
    <row r="2937" spans="7:14" ht="11.25" customHeight="1" x14ac:dyDescent="0.3">
      <c r="G2937" s="470"/>
      <c r="H2937" s="470">
        <v>2930</v>
      </c>
      <c r="I2937" s="455">
        <f t="shared" ca="1" si="158"/>
        <v>78035519612.419922</v>
      </c>
      <c r="J2937" s="455">
        <f t="array" ref="J2937">IFERROR(INDEX('Retirement Calculator'!J:J,MATCH('Isaac 401k'!N2937,'Retirement Calculator'!A:A,0),0),0)</f>
        <v>0</v>
      </c>
      <c r="K2937" s="455">
        <f t="shared" ca="1" si="156"/>
        <v>325147998.38508302</v>
      </c>
      <c r="L2937" s="455">
        <f t="shared" ca="1" si="157"/>
        <v>78360667610.805008</v>
      </c>
      <c r="M2937" s="471">
        <f t="shared" si="159"/>
        <v>0.05</v>
      </c>
      <c r="N2937" s="475">
        <f t="shared" si="160"/>
        <v>140437</v>
      </c>
    </row>
    <row r="2938" spans="7:14" ht="11.25" customHeight="1" x14ac:dyDescent="0.3">
      <c r="G2938" s="470"/>
      <c r="H2938" s="470">
        <v>2931</v>
      </c>
      <c r="I2938" s="455">
        <f t="shared" ca="1" si="158"/>
        <v>78360667610.805008</v>
      </c>
      <c r="J2938" s="455">
        <f t="array" ref="J2938">IFERROR(INDEX('Retirement Calculator'!J:J,MATCH('Isaac 401k'!N2938,'Retirement Calculator'!A:A,0),0),0)</f>
        <v>0</v>
      </c>
      <c r="K2938" s="455">
        <f t="shared" ca="1" si="156"/>
        <v>326502781.71168751</v>
      </c>
      <c r="L2938" s="455">
        <f t="shared" ca="1" si="157"/>
        <v>78687170392.516693</v>
      </c>
      <c r="M2938" s="471">
        <f t="shared" si="159"/>
        <v>0.05</v>
      </c>
      <c r="N2938" s="475">
        <f t="shared" si="160"/>
        <v>140468</v>
      </c>
    </row>
    <row r="2939" spans="7:14" ht="11.25" customHeight="1" x14ac:dyDescent="0.3">
      <c r="G2939" s="470"/>
      <c r="H2939" s="470">
        <v>2932</v>
      </c>
      <c r="I2939" s="455">
        <f t="shared" ca="1" si="158"/>
        <v>78687170392.516693</v>
      </c>
      <c r="J2939" s="455">
        <f t="array" ref="J2939">IFERROR(INDEX('Retirement Calculator'!J:J,MATCH('Isaac 401k'!N2939,'Retirement Calculator'!A:A,0),0),0)</f>
        <v>0</v>
      </c>
      <c r="K2939" s="455">
        <f t="shared" ca="1" si="156"/>
        <v>327863209.96881956</v>
      </c>
      <c r="L2939" s="455">
        <f t="shared" ca="1" si="157"/>
        <v>79015033602.485519</v>
      </c>
      <c r="M2939" s="471">
        <f t="shared" si="159"/>
        <v>0.05</v>
      </c>
      <c r="N2939" s="475">
        <f t="shared" si="160"/>
        <v>140499</v>
      </c>
    </row>
    <row r="2940" spans="7:14" ht="11.25" customHeight="1" x14ac:dyDescent="0.3">
      <c r="G2940" s="470"/>
      <c r="H2940" s="470">
        <v>2933</v>
      </c>
      <c r="I2940" s="455">
        <f t="shared" ca="1" si="158"/>
        <v>79015033602.485519</v>
      </c>
      <c r="J2940" s="455">
        <f t="array" ref="J2940">IFERROR(INDEX('Retirement Calculator'!J:J,MATCH('Isaac 401k'!N2940,'Retirement Calculator'!A:A,0),0),0)</f>
        <v>0</v>
      </c>
      <c r="K2940" s="455">
        <f t="shared" ca="1" si="156"/>
        <v>329229306.67702299</v>
      </c>
      <c r="L2940" s="455">
        <f t="shared" ca="1" si="157"/>
        <v>79344262909.162537</v>
      </c>
      <c r="M2940" s="471">
        <f t="shared" si="159"/>
        <v>0.05</v>
      </c>
      <c r="N2940" s="475">
        <f t="shared" si="160"/>
        <v>140529</v>
      </c>
    </row>
    <row r="2941" spans="7:14" ht="11.25" customHeight="1" x14ac:dyDescent="0.3">
      <c r="G2941" s="470"/>
      <c r="H2941" s="470">
        <v>2934</v>
      </c>
      <c r="I2941" s="455">
        <f t="shared" ca="1" si="158"/>
        <v>79344262909.162537</v>
      </c>
      <c r="J2941" s="455">
        <f t="array" ref="J2941">IFERROR(INDEX('Retirement Calculator'!J:J,MATCH('Isaac 401k'!N2941,'Retirement Calculator'!A:A,0),0),0)</f>
        <v>0</v>
      </c>
      <c r="K2941" s="455">
        <f t="shared" ca="1" si="156"/>
        <v>330601095.45484388</v>
      </c>
      <c r="L2941" s="455">
        <f t="shared" ca="1" si="157"/>
        <v>79674864004.617386</v>
      </c>
      <c r="M2941" s="471">
        <f t="shared" si="159"/>
        <v>0.05</v>
      </c>
      <c r="N2941" s="475">
        <f t="shared" si="160"/>
        <v>140560</v>
      </c>
    </row>
    <row r="2942" spans="7:14" ht="11.25" customHeight="1" x14ac:dyDescent="0.3">
      <c r="G2942" s="470"/>
      <c r="H2942" s="470">
        <v>2935</v>
      </c>
      <c r="I2942" s="455">
        <f t="shared" ca="1" si="158"/>
        <v>79674864004.617386</v>
      </c>
      <c r="J2942" s="455">
        <f t="array" ref="J2942">IFERROR(INDEX('Retirement Calculator'!J:J,MATCH('Isaac 401k'!N2942,'Retirement Calculator'!A:A,0),0),0)</f>
        <v>0</v>
      </c>
      <c r="K2942" s="455">
        <f t="shared" ca="1" si="156"/>
        <v>331978600.01923913</v>
      </c>
      <c r="L2942" s="455">
        <f t="shared" ca="1" si="157"/>
        <v>80006842604.636627</v>
      </c>
      <c r="M2942" s="471">
        <f t="shared" si="159"/>
        <v>0.05</v>
      </c>
      <c r="N2942" s="475">
        <f t="shared" si="160"/>
        <v>140590</v>
      </c>
    </row>
    <row r="2943" spans="7:14" ht="11.25" customHeight="1" x14ac:dyDescent="0.3">
      <c r="G2943" s="470"/>
      <c r="H2943" s="470">
        <v>2936</v>
      </c>
      <c r="I2943" s="455">
        <f t="shared" ca="1" si="158"/>
        <v>80006842604.636627</v>
      </c>
      <c r="J2943" s="455">
        <f t="array" ref="J2943">IFERROR(INDEX('Retirement Calculator'!J:J,MATCH('Isaac 401k'!N2943,'Retirement Calculator'!A:A,0),0),0)</f>
        <v>0</v>
      </c>
      <c r="K2943" s="455">
        <f t="shared" ca="1" si="156"/>
        <v>333361844.18598592</v>
      </c>
      <c r="L2943" s="455">
        <f t="shared" ca="1" si="157"/>
        <v>80340204448.822617</v>
      </c>
      <c r="M2943" s="471">
        <f t="shared" si="159"/>
        <v>0.05</v>
      </c>
      <c r="N2943" s="475">
        <f t="shared" si="160"/>
        <v>140621</v>
      </c>
    </row>
    <row r="2944" spans="7:14" ht="11.25" customHeight="1" x14ac:dyDescent="0.3">
      <c r="G2944" s="470"/>
      <c r="H2944" s="470">
        <v>2937</v>
      </c>
      <c r="I2944" s="455">
        <f t="shared" ca="1" si="158"/>
        <v>80340204448.822617</v>
      </c>
      <c r="J2944" s="455">
        <f t="array" ref="J2944">IFERROR(INDEX('Retirement Calculator'!J:J,MATCH('Isaac 401k'!N2944,'Retirement Calculator'!A:A,0),0),0)</f>
        <v>0</v>
      </c>
      <c r="K2944" s="455">
        <f t="shared" ca="1" si="156"/>
        <v>334750851.87009424</v>
      </c>
      <c r="L2944" s="455">
        <f t="shared" ca="1" si="157"/>
        <v>80674955300.692703</v>
      </c>
      <c r="M2944" s="471">
        <f t="shared" si="159"/>
        <v>0.05</v>
      </c>
      <c r="N2944" s="475">
        <f t="shared" si="160"/>
        <v>140652</v>
      </c>
    </row>
    <row r="2945" spans="7:14" ht="11.25" customHeight="1" x14ac:dyDescent="0.3">
      <c r="G2945" s="470"/>
      <c r="H2945" s="470">
        <v>2938</v>
      </c>
      <c r="I2945" s="455">
        <f t="shared" ca="1" si="158"/>
        <v>80674955300.692703</v>
      </c>
      <c r="J2945" s="455">
        <f t="array" ref="J2945">IFERROR(INDEX('Retirement Calculator'!J:J,MATCH('Isaac 401k'!N2945,'Retirement Calculator'!A:A,0),0),0)</f>
        <v>0</v>
      </c>
      <c r="K2945" s="455">
        <f t="shared" ca="1" si="156"/>
        <v>336145647.08621961</v>
      </c>
      <c r="L2945" s="455">
        <f t="shared" ca="1" si="157"/>
        <v>81011100947.778915</v>
      </c>
      <c r="M2945" s="471">
        <f t="shared" si="159"/>
        <v>0.05</v>
      </c>
      <c r="N2945" s="475">
        <f t="shared" si="160"/>
        <v>140680</v>
      </c>
    </row>
    <row r="2946" spans="7:14" ht="11.25" customHeight="1" x14ac:dyDescent="0.3">
      <c r="G2946" s="470"/>
      <c r="H2946" s="470">
        <v>2939</v>
      </c>
      <c r="I2946" s="455">
        <f t="shared" ca="1" si="158"/>
        <v>81011100947.778915</v>
      </c>
      <c r="J2946" s="455">
        <f t="array" ref="J2946">IFERROR(INDEX('Retirement Calculator'!J:J,MATCH('Isaac 401k'!N2946,'Retirement Calculator'!A:A,0),0),0)</f>
        <v>0</v>
      </c>
      <c r="K2946" s="455">
        <f t="shared" ca="1" si="156"/>
        <v>337546253.9490788</v>
      </c>
      <c r="L2946" s="455">
        <f t="shared" ca="1" si="157"/>
        <v>81348647201.727997</v>
      </c>
      <c r="M2946" s="471">
        <f t="shared" si="159"/>
        <v>0.05</v>
      </c>
      <c r="N2946" s="475">
        <f t="shared" si="160"/>
        <v>140711</v>
      </c>
    </row>
    <row r="2947" spans="7:14" ht="11.25" customHeight="1" x14ac:dyDescent="0.3">
      <c r="G2947" s="470"/>
      <c r="H2947" s="470">
        <v>2940</v>
      </c>
      <c r="I2947" s="455">
        <f t="shared" ca="1" si="158"/>
        <v>81348647201.727997</v>
      </c>
      <c r="J2947" s="455">
        <f t="array" ref="J2947">IFERROR(INDEX('Retirement Calculator'!J:J,MATCH('Isaac 401k'!N2947,'Retirement Calculator'!A:A,0),0),0)</f>
        <v>0</v>
      </c>
      <c r="K2947" s="455">
        <f t="shared" ca="1" si="156"/>
        <v>338952696.67386663</v>
      </c>
      <c r="L2947" s="455">
        <f t="shared" ca="1" si="157"/>
        <v>81687599898.401871</v>
      </c>
      <c r="M2947" s="471">
        <f t="shared" si="159"/>
        <v>0.05</v>
      </c>
      <c r="N2947" s="475">
        <f t="shared" si="160"/>
        <v>140741</v>
      </c>
    </row>
    <row r="2948" spans="7:14" ht="11.25" customHeight="1" x14ac:dyDescent="0.3">
      <c r="G2948" s="470"/>
      <c r="H2948" s="470">
        <v>2941</v>
      </c>
      <c r="I2948" s="455">
        <f t="shared" ca="1" si="158"/>
        <v>81687599898.401871</v>
      </c>
      <c r="J2948" s="455">
        <f t="array" ref="J2948">IFERROR(INDEX('Retirement Calculator'!J:J,MATCH('Isaac 401k'!N2948,'Retirement Calculator'!A:A,0),0),0)</f>
        <v>0</v>
      </c>
      <c r="K2948" s="455">
        <f t="shared" ca="1" si="156"/>
        <v>340364999.57667446</v>
      </c>
      <c r="L2948" s="455">
        <f t="shared" ca="1" si="157"/>
        <v>82027964897.978546</v>
      </c>
      <c r="M2948" s="471">
        <f t="shared" si="159"/>
        <v>0.05</v>
      </c>
      <c r="N2948" s="475">
        <f t="shared" si="160"/>
        <v>140772</v>
      </c>
    </row>
    <row r="2949" spans="7:14" ht="11.25" customHeight="1" x14ac:dyDescent="0.3">
      <c r="G2949" s="470"/>
      <c r="H2949" s="470">
        <v>2942</v>
      </c>
      <c r="I2949" s="455">
        <f t="shared" ca="1" si="158"/>
        <v>82027964897.978546</v>
      </c>
      <c r="J2949" s="455">
        <f t="array" ref="J2949">IFERROR(INDEX('Retirement Calculator'!J:J,MATCH('Isaac 401k'!N2949,'Retirement Calculator'!A:A,0),0),0)</f>
        <v>0</v>
      </c>
      <c r="K2949" s="455">
        <f t="shared" ca="1" si="156"/>
        <v>341783187.07491058</v>
      </c>
      <c r="L2949" s="455">
        <f t="shared" ca="1" si="157"/>
        <v>82369748085.053452</v>
      </c>
      <c r="M2949" s="471">
        <f t="shared" si="159"/>
        <v>0.05</v>
      </c>
      <c r="N2949" s="475">
        <f t="shared" si="160"/>
        <v>140802</v>
      </c>
    </row>
    <row r="2950" spans="7:14" ht="11.25" customHeight="1" x14ac:dyDescent="0.3">
      <c r="G2950" s="470"/>
      <c r="H2950" s="470">
        <v>2943</v>
      </c>
      <c r="I2950" s="455">
        <f t="shared" ca="1" si="158"/>
        <v>82369748085.053452</v>
      </c>
      <c r="J2950" s="455">
        <f t="array" ref="J2950">IFERROR(INDEX('Retirement Calculator'!J:J,MATCH('Isaac 401k'!N2950,'Retirement Calculator'!A:A,0),0),0)</f>
        <v>0</v>
      </c>
      <c r="K2950" s="455">
        <f t="shared" ca="1" si="156"/>
        <v>343207283.68772268</v>
      </c>
      <c r="L2950" s="455">
        <f t="shared" ca="1" si="157"/>
        <v>82712955368.74118</v>
      </c>
      <c r="M2950" s="471">
        <f t="shared" si="159"/>
        <v>0.05</v>
      </c>
      <c r="N2950" s="475">
        <f t="shared" si="160"/>
        <v>140833</v>
      </c>
    </row>
    <row r="2951" spans="7:14" ht="11.25" customHeight="1" x14ac:dyDescent="0.3">
      <c r="G2951" s="470"/>
      <c r="H2951" s="470">
        <v>2944</v>
      </c>
      <c r="I2951" s="455">
        <f t="shared" ca="1" si="158"/>
        <v>82712955368.74118</v>
      </c>
      <c r="J2951" s="455">
        <f t="array" ref="J2951">IFERROR(INDEX('Retirement Calculator'!J:J,MATCH('Isaac 401k'!N2951,'Retirement Calculator'!A:A,0),0),0)</f>
        <v>0</v>
      </c>
      <c r="K2951" s="455">
        <f t="shared" ca="1" si="156"/>
        <v>344637314.0364216</v>
      </c>
      <c r="L2951" s="455">
        <f t="shared" ca="1" si="157"/>
        <v>83057592682.777603</v>
      </c>
      <c r="M2951" s="471">
        <f t="shared" si="159"/>
        <v>0.05</v>
      </c>
      <c r="N2951" s="475">
        <f t="shared" si="160"/>
        <v>140864</v>
      </c>
    </row>
    <row r="2952" spans="7:14" ht="11.25" customHeight="1" x14ac:dyDescent="0.3">
      <c r="G2952" s="470"/>
      <c r="H2952" s="470">
        <v>2945</v>
      </c>
      <c r="I2952" s="455">
        <f t="shared" ca="1" si="158"/>
        <v>83057592682.777603</v>
      </c>
      <c r="J2952" s="455">
        <f t="array" ref="J2952">IFERROR(INDEX('Retirement Calculator'!J:J,MATCH('Isaac 401k'!N2952,'Retirement Calculator'!A:A,0),0),0)</f>
        <v>0</v>
      </c>
      <c r="K2952" s="455">
        <f t="shared" ca="1" si="156"/>
        <v>346073302.84490669</v>
      </c>
      <c r="L2952" s="455">
        <f t="shared" ca="1" si="157"/>
        <v>83403665985.622513</v>
      </c>
      <c r="M2952" s="471">
        <f t="shared" si="159"/>
        <v>0.05</v>
      </c>
      <c r="N2952" s="475">
        <f t="shared" si="160"/>
        <v>140894</v>
      </c>
    </row>
    <row r="2953" spans="7:14" ht="11.25" customHeight="1" x14ac:dyDescent="0.3">
      <c r="G2953" s="470"/>
      <c r="H2953" s="470">
        <v>2946</v>
      </c>
      <c r="I2953" s="455">
        <f t="shared" ca="1" si="158"/>
        <v>83403665985.622513</v>
      </c>
      <c r="J2953" s="455">
        <f t="array" ref="J2953">IFERROR(INDEX('Retirement Calculator'!J:J,MATCH('Isaac 401k'!N2953,'Retirement Calculator'!A:A,0),0),0)</f>
        <v>0</v>
      </c>
      <c r="K2953" s="455">
        <f t="shared" ca="1" si="156"/>
        <v>347515274.94009382</v>
      </c>
      <c r="L2953" s="455">
        <f t="shared" ca="1" si="157"/>
        <v>83751181260.562607</v>
      </c>
      <c r="M2953" s="471">
        <f t="shared" si="159"/>
        <v>0.05</v>
      </c>
      <c r="N2953" s="475">
        <f t="shared" si="160"/>
        <v>140925</v>
      </c>
    </row>
    <row r="2954" spans="7:14" ht="11.25" customHeight="1" x14ac:dyDescent="0.3">
      <c r="G2954" s="470"/>
      <c r="H2954" s="470">
        <v>2947</v>
      </c>
      <c r="I2954" s="455">
        <f t="shared" ca="1" si="158"/>
        <v>83751181260.562607</v>
      </c>
      <c r="J2954" s="455">
        <f t="array" ref="J2954">IFERROR(INDEX('Retirement Calculator'!J:J,MATCH('Isaac 401k'!N2954,'Retirement Calculator'!A:A,0),0),0)</f>
        <v>0</v>
      </c>
      <c r="K2954" s="455">
        <f t="shared" ca="1" si="156"/>
        <v>348963255.25234419</v>
      </c>
      <c r="L2954" s="455">
        <f t="shared" ca="1" si="157"/>
        <v>84100144515.814957</v>
      </c>
      <c r="M2954" s="471">
        <f t="shared" si="159"/>
        <v>0.05</v>
      </c>
      <c r="N2954" s="475">
        <f t="shared" si="160"/>
        <v>140955</v>
      </c>
    </row>
    <row r="2955" spans="7:14" ht="11.25" customHeight="1" x14ac:dyDescent="0.3">
      <c r="G2955" s="470"/>
      <c r="H2955" s="470">
        <v>2948</v>
      </c>
      <c r="I2955" s="455">
        <f t="shared" ca="1" si="158"/>
        <v>84100144515.814957</v>
      </c>
      <c r="J2955" s="455">
        <f t="array" ref="J2955">IFERROR(INDEX('Retirement Calculator'!J:J,MATCH('Isaac 401k'!N2955,'Retirement Calculator'!A:A,0),0),0)</f>
        <v>0</v>
      </c>
      <c r="K2955" s="455">
        <f t="shared" ca="1" si="156"/>
        <v>350417268.81589568</v>
      </c>
      <c r="L2955" s="455">
        <f t="shared" ca="1" si="157"/>
        <v>84450561784.630859</v>
      </c>
      <c r="M2955" s="471">
        <f t="shared" si="159"/>
        <v>0.05</v>
      </c>
      <c r="N2955" s="475">
        <f t="shared" si="160"/>
        <v>140986</v>
      </c>
    </row>
    <row r="2956" spans="7:14" ht="11.25" customHeight="1" x14ac:dyDescent="0.3">
      <c r="G2956" s="470"/>
      <c r="H2956" s="470">
        <v>2949</v>
      </c>
      <c r="I2956" s="455">
        <f t="shared" ca="1" si="158"/>
        <v>84450561784.630859</v>
      </c>
      <c r="J2956" s="455">
        <f t="array" ref="J2956">IFERROR(INDEX('Retirement Calculator'!J:J,MATCH('Isaac 401k'!N2956,'Retirement Calculator'!A:A,0),0),0)</f>
        <v>0</v>
      </c>
      <c r="K2956" s="455">
        <f t="shared" ca="1" si="156"/>
        <v>351877340.76929522</v>
      </c>
      <c r="L2956" s="455">
        <f t="shared" ca="1" si="157"/>
        <v>84802439125.400162</v>
      </c>
      <c r="M2956" s="471">
        <f t="shared" si="159"/>
        <v>0.05</v>
      </c>
      <c r="N2956" s="475">
        <f t="shared" si="160"/>
        <v>141017</v>
      </c>
    </row>
    <row r="2957" spans="7:14" ht="11.25" customHeight="1" x14ac:dyDescent="0.3">
      <c r="G2957" s="470"/>
      <c r="H2957" s="470">
        <v>2950</v>
      </c>
      <c r="I2957" s="455">
        <f t="shared" ca="1" si="158"/>
        <v>84802439125.400162</v>
      </c>
      <c r="J2957" s="455">
        <f t="array" ref="J2957">IFERROR(INDEX('Retirement Calculator'!J:J,MATCH('Isaac 401k'!N2957,'Retirement Calculator'!A:A,0),0),0)</f>
        <v>0</v>
      </c>
      <c r="K2957" s="455">
        <f t="shared" ca="1" si="156"/>
        <v>353343496.35583401</v>
      </c>
      <c r="L2957" s="455">
        <f t="shared" ca="1" si="157"/>
        <v>85155782621.755997</v>
      </c>
      <c r="M2957" s="471">
        <f t="shared" si="159"/>
        <v>0.05</v>
      </c>
      <c r="N2957" s="475">
        <f t="shared" si="160"/>
        <v>141045</v>
      </c>
    </row>
    <row r="2958" spans="7:14" ht="11.25" customHeight="1" x14ac:dyDescent="0.3">
      <c r="G2958" s="470"/>
      <c r="H2958" s="470">
        <v>2951</v>
      </c>
      <c r="I2958" s="455">
        <f t="shared" ca="1" si="158"/>
        <v>85155782621.755997</v>
      </c>
      <c r="J2958" s="455">
        <f t="array" ref="J2958">IFERROR(INDEX('Retirement Calculator'!J:J,MATCH('Isaac 401k'!N2958,'Retirement Calculator'!A:A,0),0),0)</f>
        <v>0</v>
      </c>
      <c r="K2958" s="455">
        <f t="shared" ca="1" si="156"/>
        <v>354815760.92398334</v>
      </c>
      <c r="L2958" s="455">
        <f t="shared" ca="1" si="157"/>
        <v>85510598382.679977</v>
      </c>
      <c r="M2958" s="471">
        <f t="shared" si="159"/>
        <v>0.05</v>
      </c>
      <c r="N2958" s="475">
        <f t="shared" si="160"/>
        <v>141076</v>
      </c>
    </row>
    <row r="2959" spans="7:14" ht="11.25" customHeight="1" x14ac:dyDescent="0.3">
      <c r="G2959" s="470"/>
      <c r="H2959" s="470">
        <v>2952</v>
      </c>
      <c r="I2959" s="455">
        <f t="shared" ca="1" si="158"/>
        <v>85510598382.679977</v>
      </c>
      <c r="J2959" s="455">
        <f t="array" ref="J2959">IFERROR(INDEX('Retirement Calculator'!J:J,MATCH('Isaac 401k'!N2959,'Retirement Calculator'!A:A,0),0),0)</f>
        <v>0</v>
      </c>
      <c r="K2959" s="455">
        <f t="shared" ca="1" si="156"/>
        <v>356294159.92783326</v>
      </c>
      <c r="L2959" s="455">
        <f t="shared" ca="1" si="157"/>
        <v>85866892542.607803</v>
      </c>
      <c r="M2959" s="471">
        <f t="shared" si="159"/>
        <v>0.05</v>
      </c>
      <c r="N2959" s="475">
        <f t="shared" si="160"/>
        <v>141106</v>
      </c>
    </row>
    <row r="2960" spans="7:14" ht="11.25" customHeight="1" x14ac:dyDescent="0.3">
      <c r="G2960" s="470"/>
      <c r="H2960" s="470">
        <v>2953</v>
      </c>
      <c r="I2960" s="455">
        <f t="shared" ca="1" si="158"/>
        <v>85866892542.607803</v>
      </c>
      <c r="J2960" s="455">
        <f t="array" ref="J2960">IFERROR(INDEX('Retirement Calculator'!J:J,MATCH('Isaac 401k'!N2960,'Retirement Calculator'!A:A,0),0),0)</f>
        <v>0</v>
      </c>
      <c r="K2960" s="455">
        <f t="shared" ca="1" si="156"/>
        <v>357778718.92753249</v>
      </c>
      <c r="L2960" s="455">
        <f t="shared" ca="1" si="157"/>
        <v>86224671261.535339</v>
      </c>
      <c r="M2960" s="471">
        <f t="shared" si="159"/>
        <v>0.05</v>
      </c>
      <c r="N2960" s="475">
        <f t="shared" si="160"/>
        <v>141137</v>
      </c>
    </row>
    <row r="2961" spans="7:14" ht="11.25" customHeight="1" x14ac:dyDescent="0.3">
      <c r="G2961" s="470"/>
      <c r="H2961" s="470">
        <v>2954</v>
      </c>
      <c r="I2961" s="455">
        <f t="shared" ca="1" si="158"/>
        <v>86224671261.535339</v>
      </c>
      <c r="J2961" s="455">
        <f t="array" ref="J2961">IFERROR(INDEX('Retirement Calculator'!J:J,MATCH('Isaac 401k'!N2961,'Retirement Calculator'!A:A,0),0),0)</f>
        <v>0</v>
      </c>
      <c r="K2961" s="455">
        <f t="shared" ca="1" si="156"/>
        <v>359269463.58973056</v>
      </c>
      <c r="L2961" s="455">
        <f t="shared" ca="1" si="157"/>
        <v>86583940725.125076</v>
      </c>
      <c r="M2961" s="471">
        <f t="shared" si="159"/>
        <v>0.05</v>
      </c>
      <c r="N2961" s="475">
        <f t="shared" si="160"/>
        <v>141167</v>
      </c>
    </row>
    <row r="2962" spans="7:14" ht="11.25" customHeight="1" x14ac:dyDescent="0.3">
      <c r="G2962" s="470"/>
      <c r="H2962" s="470">
        <v>2955</v>
      </c>
      <c r="I2962" s="455">
        <f t="shared" ca="1" si="158"/>
        <v>86583940725.125076</v>
      </c>
      <c r="J2962" s="455">
        <f t="array" ref="J2962">IFERROR(INDEX('Retirement Calculator'!J:J,MATCH('Isaac 401k'!N2962,'Retirement Calculator'!A:A,0),0),0)</f>
        <v>0</v>
      </c>
      <c r="K2962" s="455">
        <f t="shared" ca="1" si="156"/>
        <v>360766419.68802112</v>
      </c>
      <c r="L2962" s="455">
        <f t="shared" ca="1" si="157"/>
        <v>86944707144.813095</v>
      </c>
      <c r="M2962" s="471">
        <f t="shared" si="159"/>
        <v>0.05</v>
      </c>
      <c r="N2962" s="475">
        <f t="shared" si="160"/>
        <v>141198</v>
      </c>
    </row>
    <row r="2963" spans="7:14" ht="11.25" customHeight="1" x14ac:dyDescent="0.3">
      <c r="G2963" s="470"/>
      <c r="H2963" s="470">
        <v>2956</v>
      </c>
      <c r="I2963" s="455">
        <f t="shared" ca="1" si="158"/>
        <v>86944707144.813095</v>
      </c>
      <c r="J2963" s="455">
        <f t="array" ref="J2963">IFERROR(INDEX('Retirement Calculator'!J:J,MATCH('Isaac 401k'!N2963,'Retirement Calculator'!A:A,0),0),0)</f>
        <v>0</v>
      </c>
      <c r="K2963" s="455">
        <f t="shared" ca="1" si="156"/>
        <v>362269613.10338789</v>
      </c>
      <c r="L2963" s="455">
        <f t="shared" ca="1" si="157"/>
        <v>87306976757.916489</v>
      </c>
      <c r="M2963" s="471">
        <f t="shared" si="159"/>
        <v>0.05</v>
      </c>
      <c r="N2963" s="475">
        <f t="shared" si="160"/>
        <v>141229</v>
      </c>
    </row>
    <row r="2964" spans="7:14" ht="11.25" customHeight="1" x14ac:dyDescent="0.3">
      <c r="G2964" s="470"/>
      <c r="H2964" s="470">
        <v>2957</v>
      </c>
      <c r="I2964" s="455">
        <f t="shared" ca="1" si="158"/>
        <v>87306976757.916489</v>
      </c>
      <c r="J2964" s="455">
        <f t="array" ref="J2964">IFERROR(INDEX('Retirement Calculator'!J:J,MATCH('Isaac 401k'!N2964,'Retirement Calculator'!A:A,0),0),0)</f>
        <v>0</v>
      </c>
      <c r="K2964" s="455">
        <f t="shared" ca="1" si="156"/>
        <v>363779069.82465202</v>
      </c>
      <c r="L2964" s="455">
        <f t="shared" ca="1" si="157"/>
        <v>87670755827.741135</v>
      </c>
      <c r="M2964" s="471">
        <f t="shared" si="159"/>
        <v>0.05</v>
      </c>
      <c r="N2964" s="475">
        <f t="shared" si="160"/>
        <v>141259</v>
      </c>
    </row>
    <row r="2965" spans="7:14" ht="11.25" customHeight="1" x14ac:dyDescent="0.3">
      <c r="G2965" s="470"/>
      <c r="H2965" s="470">
        <v>2958</v>
      </c>
      <c r="I2965" s="455">
        <f t="shared" ca="1" si="158"/>
        <v>87670755827.741135</v>
      </c>
      <c r="J2965" s="455">
        <f t="array" ref="J2965">IFERROR(INDEX('Retirement Calculator'!J:J,MATCH('Isaac 401k'!N2965,'Retirement Calculator'!A:A,0),0),0)</f>
        <v>0</v>
      </c>
      <c r="K2965" s="455">
        <f t="shared" ca="1" si="156"/>
        <v>365294815.94892138</v>
      </c>
      <c r="L2965" s="455">
        <f t="shared" ca="1" si="157"/>
        <v>88036050643.690063</v>
      </c>
      <c r="M2965" s="471">
        <f t="shared" si="159"/>
        <v>0.05</v>
      </c>
      <c r="N2965" s="475">
        <f t="shared" si="160"/>
        <v>141290</v>
      </c>
    </row>
    <row r="2966" spans="7:14" ht="11.25" customHeight="1" x14ac:dyDescent="0.3">
      <c r="G2966" s="470"/>
      <c r="H2966" s="470">
        <v>2959</v>
      </c>
      <c r="I2966" s="455">
        <f t="shared" ca="1" si="158"/>
        <v>88036050643.690063</v>
      </c>
      <c r="J2966" s="455">
        <f t="array" ref="J2966">IFERROR(INDEX('Retirement Calculator'!J:J,MATCH('Isaac 401k'!N2966,'Retirement Calculator'!A:A,0),0),0)</f>
        <v>0</v>
      </c>
      <c r="K2966" s="455">
        <f t="shared" ca="1" si="156"/>
        <v>366816877.68204194</v>
      </c>
      <c r="L2966" s="455">
        <f t="shared" ca="1" si="157"/>
        <v>88402867521.372101</v>
      </c>
      <c r="M2966" s="471">
        <f t="shared" si="159"/>
        <v>0.05</v>
      </c>
      <c r="N2966" s="475">
        <f t="shared" si="160"/>
        <v>141320</v>
      </c>
    </row>
    <row r="2967" spans="7:14" ht="11.25" customHeight="1" x14ac:dyDescent="0.3">
      <c r="G2967" s="470"/>
      <c r="H2967" s="470">
        <v>2960</v>
      </c>
      <c r="I2967" s="455">
        <f t="shared" ca="1" si="158"/>
        <v>88402867521.372101</v>
      </c>
      <c r="J2967" s="455">
        <f t="array" ref="J2967">IFERROR(INDEX('Retirement Calculator'!J:J,MATCH('Isaac 401k'!N2967,'Retirement Calculator'!A:A,0),0),0)</f>
        <v>0</v>
      </c>
      <c r="K2967" s="455">
        <f t="shared" ca="1" si="156"/>
        <v>368345281.33905041</v>
      </c>
      <c r="L2967" s="455">
        <f t="shared" ca="1" si="157"/>
        <v>88771212802.711151</v>
      </c>
      <c r="M2967" s="471">
        <f t="shared" si="159"/>
        <v>0.05</v>
      </c>
      <c r="N2967" s="475">
        <f t="shared" si="160"/>
        <v>141351</v>
      </c>
    </row>
    <row r="2968" spans="7:14" ht="11.25" customHeight="1" x14ac:dyDescent="0.3">
      <c r="G2968" s="470"/>
      <c r="H2968" s="470">
        <v>2961</v>
      </c>
      <c r="I2968" s="455">
        <f t="shared" ca="1" si="158"/>
        <v>88771212802.711151</v>
      </c>
      <c r="J2968" s="455">
        <f t="array" ref="J2968">IFERROR(INDEX('Retirement Calculator'!J:J,MATCH('Isaac 401k'!N2968,'Retirement Calculator'!A:A,0),0),0)</f>
        <v>0</v>
      </c>
      <c r="K2968" s="455">
        <f t="shared" ca="1" si="156"/>
        <v>369880053.34462976</v>
      </c>
      <c r="L2968" s="455">
        <f t="shared" ca="1" si="157"/>
        <v>89141092856.055786</v>
      </c>
      <c r="M2968" s="471">
        <f t="shared" si="159"/>
        <v>0.05</v>
      </c>
      <c r="N2968" s="475">
        <f t="shared" si="160"/>
        <v>141382</v>
      </c>
    </row>
    <row r="2969" spans="7:14" ht="11.25" customHeight="1" x14ac:dyDescent="0.3">
      <c r="G2969" s="470"/>
      <c r="H2969" s="470">
        <v>2962</v>
      </c>
      <c r="I2969" s="455">
        <f t="shared" ca="1" si="158"/>
        <v>89141092856.055786</v>
      </c>
      <c r="J2969" s="455">
        <f t="array" ref="J2969">IFERROR(INDEX('Retirement Calculator'!J:J,MATCH('Isaac 401k'!N2969,'Retirement Calculator'!A:A,0),0),0)</f>
        <v>0</v>
      </c>
      <c r="K2969" s="455">
        <f t="shared" ca="1" si="156"/>
        <v>371421220.23356575</v>
      </c>
      <c r="L2969" s="455">
        <f t="shared" ca="1" si="157"/>
        <v>89512514076.289352</v>
      </c>
      <c r="M2969" s="471">
        <f t="shared" si="159"/>
        <v>0.05</v>
      </c>
      <c r="N2969" s="475">
        <f t="shared" si="160"/>
        <v>141410</v>
      </c>
    </row>
    <row r="2970" spans="7:14" ht="11.25" customHeight="1" x14ac:dyDescent="0.3">
      <c r="G2970" s="470"/>
      <c r="H2970" s="470">
        <v>2963</v>
      </c>
      <c r="I2970" s="455">
        <f t="shared" ca="1" si="158"/>
        <v>89512514076.289352</v>
      </c>
      <c r="J2970" s="455">
        <f t="array" ref="J2970">IFERROR(INDEX('Retirement Calculator'!J:J,MATCH('Isaac 401k'!N2970,'Retirement Calculator'!A:A,0),0),0)</f>
        <v>0</v>
      </c>
      <c r="K2970" s="455">
        <f t="shared" ca="1" si="156"/>
        <v>372968808.65120566</v>
      </c>
      <c r="L2970" s="455">
        <f t="shared" ca="1" si="157"/>
        <v>89885482884.940552</v>
      </c>
      <c r="M2970" s="471">
        <f t="shared" si="159"/>
        <v>0.05</v>
      </c>
      <c r="N2970" s="475">
        <f t="shared" si="160"/>
        <v>141441</v>
      </c>
    </row>
    <row r="2971" spans="7:14" ht="11.25" customHeight="1" x14ac:dyDescent="0.3">
      <c r="G2971" s="470"/>
      <c r="H2971" s="470">
        <v>2964</v>
      </c>
      <c r="I2971" s="455">
        <f t="shared" ca="1" si="158"/>
        <v>89885482884.940552</v>
      </c>
      <c r="J2971" s="455">
        <f t="array" ref="J2971">IFERROR(INDEX('Retirement Calculator'!J:J,MATCH('Isaac 401k'!N2971,'Retirement Calculator'!A:A,0),0),0)</f>
        <v>0</v>
      </c>
      <c r="K2971" s="455">
        <f t="shared" ca="1" si="156"/>
        <v>374522845.35391897</v>
      </c>
      <c r="L2971" s="455">
        <f t="shared" ca="1" si="157"/>
        <v>90260005730.294464</v>
      </c>
      <c r="M2971" s="471">
        <f t="shared" si="159"/>
        <v>0.05</v>
      </c>
      <c r="N2971" s="475">
        <f t="shared" si="160"/>
        <v>141471</v>
      </c>
    </row>
    <row r="2972" spans="7:14" ht="11.25" customHeight="1" x14ac:dyDescent="0.3">
      <c r="G2972" s="470"/>
      <c r="H2972" s="470">
        <v>2965</v>
      </c>
      <c r="I2972" s="455">
        <f t="shared" ca="1" si="158"/>
        <v>90260005730.294464</v>
      </c>
      <c r="J2972" s="455">
        <f t="array" ref="J2972">IFERROR(INDEX('Retirement Calculator'!J:J,MATCH('Isaac 401k'!N2972,'Retirement Calculator'!A:A,0),0),0)</f>
        <v>0</v>
      </c>
      <c r="K2972" s="455">
        <f t="shared" ca="1" si="156"/>
        <v>376083357.20956028</v>
      </c>
      <c r="L2972" s="455">
        <f t="shared" ca="1" si="157"/>
        <v>90636089087.504028</v>
      </c>
      <c r="M2972" s="471">
        <f t="shared" si="159"/>
        <v>0.05</v>
      </c>
      <c r="N2972" s="475">
        <f t="shared" si="160"/>
        <v>141502</v>
      </c>
    </row>
    <row r="2973" spans="7:14" ht="11.25" customHeight="1" x14ac:dyDescent="0.3">
      <c r="G2973" s="470"/>
      <c r="H2973" s="470">
        <v>2966</v>
      </c>
      <c r="I2973" s="455">
        <f t="shared" ca="1" si="158"/>
        <v>90636089087.504028</v>
      </c>
      <c r="J2973" s="455">
        <f t="array" ref="J2973">IFERROR(INDEX('Retirement Calculator'!J:J,MATCH('Isaac 401k'!N2973,'Retirement Calculator'!A:A,0),0),0)</f>
        <v>0</v>
      </c>
      <c r="K2973" s="455">
        <f t="shared" ca="1" si="156"/>
        <v>377650371.19793344</v>
      </c>
      <c r="L2973" s="455">
        <f t="shared" ca="1" si="157"/>
        <v>91013739458.701965</v>
      </c>
      <c r="M2973" s="471">
        <f t="shared" si="159"/>
        <v>0.05</v>
      </c>
      <c r="N2973" s="475">
        <f t="shared" si="160"/>
        <v>141532</v>
      </c>
    </row>
    <row r="2974" spans="7:14" ht="11.25" customHeight="1" x14ac:dyDescent="0.3">
      <c r="G2974" s="470"/>
      <c r="H2974" s="470">
        <v>2967</v>
      </c>
      <c r="I2974" s="455">
        <f t="shared" ca="1" si="158"/>
        <v>91013739458.701965</v>
      </c>
      <c r="J2974" s="455">
        <f t="array" ref="J2974">IFERROR(INDEX('Retirement Calculator'!J:J,MATCH('Isaac 401k'!N2974,'Retirement Calculator'!A:A,0),0),0)</f>
        <v>0</v>
      </c>
      <c r="K2974" s="455">
        <f t="shared" ca="1" si="156"/>
        <v>379223914.41125816</v>
      </c>
      <c r="L2974" s="455">
        <f t="shared" ca="1" si="157"/>
        <v>91392963373.11322</v>
      </c>
      <c r="M2974" s="471">
        <f t="shared" si="159"/>
        <v>0.05</v>
      </c>
      <c r="N2974" s="475">
        <f t="shared" si="160"/>
        <v>141563</v>
      </c>
    </row>
    <row r="2975" spans="7:14" ht="11.25" customHeight="1" x14ac:dyDescent="0.3">
      <c r="G2975" s="470"/>
      <c r="H2975" s="470">
        <v>2968</v>
      </c>
      <c r="I2975" s="455">
        <f t="shared" ca="1" si="158"/>
        <v>91392963373.11322</v>
      </c>
      <c r="J2975" s="455">
        <f t="array" ref="J2975">IFERROR(INDEX('Retirement Calculator'!J:J,MATCH('Isaac 401k'!N2975,'Retirement Calculator'!A:A,0),0),0)</f>
        <v>0</v>
      </c>
      <c r="K2975" s="455">
        <f t="shared" ca="1" si="156"/>
        <v>380804014.05463839</v>
      </c>
      <c r="L2975" s="455">
        <f t="shared" ca="1" si="157"/>
        <v>91773767387.167862</v>
      </c>
      <c r="M2975" s="471">
        <f t="shared" si="159"/>
        <v>0.05</v>
      </c>
      <c r="N2975" s="475">
        <f t="shared" si="160"/>
        <v>141594</v>
      </c>
    </row>
    <row r="2976" spans="7:14" ht="11.25" customHeight="1" x14ac:dyDescent="0.3">
      <c r="G2976" s="470"/>
      <c r="H2976" s="470">
        <v>2969</v>
      </c>
      <c r="I2976" s="455">
        <f t="shared" ca="1" si="158"/>
        <v>91773767387.167862</v>
      </c>
      <c r="J2976" s="455">
        <f t="array" ref="J2976">IFERROR(INDEX('Retirement Calculator'!J:J,MATCH('Isaac 401k'!N2976,'Retirement Calculator'!A:A,0),0),0)</f>
        <v>0</v>
      </c>
      <c r="K2976" s="455">
        <f t="shared" ca="1" si="156"/>
        <v>382390697.44653273</v>
      </c>
      <c r="L2976" s="455">
        <f t="shared" ca="1" si="157"/>
        <v>92156158084.614395</v>
      </c>
      <c r="M2976" s="471">
        <f t="shared" si="159"/>
        <v>0.05</v>
      </c>
      <c r="N2976" s="475">
        <f t="shared" si="160"/>
        <v>141624</v>
      </c>
    </row>
    <row r="2977" spans="7:14" ht="11.25" customHeight="1" x14ac:dyDescent="0.3">
      <c r="G2977" s="470"/>
      <c r="H2977" s="470">
        <v>2970</v>
      </c>
      <c r="I2977" s="455">
        <f t="shared" ca="1" si="158"/>
        <v>92156158084.614395</v>
      </c>
      <c r="J2977" s="455">
        <f t="array" ref="J2977">IFERROR(INDEX('Retirement Calculator'!J:J,MATCH('Isaac 401k'!N2977,'Retirement Calculator'!A:A,0),0),0)</f>
        <v>0</v>
      </c>
      <c r="K2977" s="455">
        <f t="shared" ca="1" si="156"/>
        <v>383983992.01922667</v>
      </c>
      <c r="L2977" s="455">
        <f t="shared" ca="1" si="157"/>
        <v>92540142076.633621</v>
      </c>
      <c r="M2977" s="471">
        <f t="shared" si="159"/>
        <v>0.05</v>
      </c>
      <c r="N2977" s="475">
        <f t="shared" si="160"/>
        <v>141655</v>
      </c>
    </row>
    <row r="2978" spans="7:14" ht="11.25" customHeight="1" x14ac:dyDescent="0.3">
      <c r="G2978" s="470"/>
      <c r="H2978" s="470">
        <v>2971</v>
      </c>
      <c r="I2978" s="455">
        <f t="shared" ca="1" si="158"/>
        <v>92540142076.633621</v>
      </c>
      <c r="J2978" s="455">
        <f t="array" ref="J2978">IFERROR(INDEX('Retirement Calculator'!J:J,MATCH('Isaac 401k'!N2978,'Retirement Calculator'!A:A,0),0),0)</f>
        <v>0</v>
      </c>
      <c r="K2978" s="455">
        <f t="shared" ca="1" si="156"/>
        <v>385583925.31930673</v>
      </c>
      <c r="L2978" s="455">
        <f t="shared" ca="1" si="157"/>
        <v>92925726001.952927</v>
      </c>
      <c r="M2978" s="471">
        <f t="shared" si="159"/>
        <v>0.05</v>
      </c>
      <c r="N2978" s="475">
        <f t="shared" si="160"/>
        <v>141685</v>
      </c>
    </row>
    <row r="2979" spans="7:14" ht="11.25" customHeight="1" x14ac:dyDescent="0.3">
      <c r="G2979" s="470"/>
      <c r="H2979" s="470">
        <v>2972</v>
      </c>
      <c r="I2979" s="455">
        <f t="shared" ca="1" si="158"/>
        <v>92925726001.952927</v>
      </c>
      <c r="J2979" s="455">
        <f t="array" ref="J2979">IFERROR(INDEX('Retirement Calculator'!J:J,MATCH('Isaac 401k'!N2979,'Retirement Calculator'!A:A,0),0),0)</f>
        <v>0</v>
      </c>
      <c r="K2979" s="455">
        <f t="shared" ca="1" si="156"/>
        <v>387190525.00813717</v>
      </c>
      <c r="L2979" s="455">
        <f t="shared" ca="1" si="157"/>
        <v>93312916526.96106</v>
      </c>
      <c r="M2979" s="471">
        <f t="shared" si="159"/>
        <v>0.05</v>
      </c>
      <c r="N2979" s="475">
        <f t="shared" si="160"/>
        <v>141716</v>
      </c>
    </row>
    <row r="2980" spans="7:14" ht="11.25" customHeight="1" x14ac:dyDescent="0.3">
      <c r="G2980" s="470"/>
      <c r="H2980" s="470">
        <v>2973</v>
      </c>
      <c r="I2980" s="455">
        <f t="shared" ca="1" si="158"/>
        <v>93312916526.96106</v>
      </c>
      <c r="J2980" s="455">
        <f t="array" ref="J2980">IFERROR(INDEX('Retirement Calculator'!J:J,MATCH('Isaac 401k'!N2980,'Retirement Calculator'!A:A,0),0),0)</f>
        <v>0</v>
      </c>
      <c r="K2980" s="455">
        <f t="shared" ca="1" si="156"/>
        <v>388803818.86233777</v>
      </c>
      <c r="L2980" s="455">
        <f t="shared" ca="1" si="157"/>
        <v>93701720345.823395</v>
      </c>
      <c r="M2980" s="471">
        <f t="shared" si="159"/>
        <v>0.05</v>
      </c>
      <c r="N2980" s="475">
        <f t="shared" si="160"/>
        <v>141747</v>
      </c>
    </row>
    <row r="2981" spans="7:14" ht="11.25" customHeight="1" x14ac:dyDescent="0.3">
      <c r="G2981" s="470"/>
      <c r="H2981" s="470">
        <v>2974</v>
      </c>
      <c r="I2981" s="455">
        <f t="shared" ca="1" si="158"/>
        <v>93701720345.823395</v>
      </c>
      <c r="J2981" s="455">
        <f t="array" ref="J2981">IFERROR(INDEX('Retirement Calculator'!J:J,MATCH('Isaac 401k'!N2981,'Retirement Calculator'!A:A,0),0),0)</f>
        <v>0</v>
      </c>
      <c r="K2981" s="455">
        <f t="shared" ca="1" si="156"/>
        <v>390423834.77426416</v>
      </c>
      <c r="L2981" s="455">
        <f t="shared" ca="1" si="157"/>
        <v>94092144180.597656</v>
      </c>
      <c r="M2981" s="471">
        <f t="shared" si="159"/>
        <v>0.05</v>
      </c>
      <c r="N2981" s="475">
        <f t="shared" si="160"/>
        <v>141776</v>
      </c>
    </row>
    <row r="2982" spans="7:14" ht="11.25" customHeight="1" x14ac:dyDescent="0.3">
      <c r="G2982" s="470"/>
      <c r="H2982" s="470">
        <v>2975</v>
      </c>
      <c r="I2982" s="455">
        <f t="shared" ca="1" si="158"/>
        <v>94092144180.597656</v>
      </c>
      <c r="J2982" s="455">
        <f t="array" ref="J2982">IFERROR(INDEX('Retirement Calculator'!J:J,MATCH('Isaac 401k'!N2982,'Retirement Calculator'!A:A,0),0),0)</f>
        <v>0</v>
      </c>
      <c r="K2982" s="455">
        <f t="shared" ca="1" si="156"/>
        <v>392050600.75249022</v>
      </c>
      <c r="L2982" s="455">
        <f t="shared" ca="1" si="157"/>
        <v>94484194781.350143</v>
      </c>
      <c r="M2982" s="471">
        <f t="shared" si="159"/>
        <v>0.05</v>
      </c>
      <c r="N2982" s="475">
        <f t="shared" si="160"/>
        <v>141807</v>
      </c>
    </row>
    <row r="2983" spans="7:14" ht="11.25" customHeight="1" x14ac:dyDescent="0.3">
      <c r="G2983" s="470"/>
      <c r="H2983" s="470">
        <v>2976</v>
      </c>
      <c r="I2983" s="455">
        <f t="shared" ca="1" si="158"/>
        <v>94484194781.350143</v>
      </c>
      <c r="J2983" s="455">
        <f t="array" ref="J2983">IFERROR(INDEX('Retirement Calculator'!J:J,MATCH('Isaac 401k'!N2983,'Retirement Calculator'!A:A,0),0),0)</f>
        <v>0</v>
      </c>
      <c r="K2983" s="455">
        <f t="shared" ca="1" si="156"/>
        <v>393684144.92229223</v>
      </c>
      <c r="L2983" s="455">
        <f t="shared" ca="1" si="157"/>
        <v>94877878926.27243</v>
      </c>
      <c r="M2983" s="471">
        <f t="shared" si="159"/>
        <v>0.05</v>
      </c>
      <c r="N2983" s="475">
        <f t="shared" si="160"/>
        <v>141837</v>
      </c>
    </row>
    <row r="2984" spans="7:14" ht="11.25" customHeight="1" x14ac:dyDescent="0.3">
      <c r="G2984" s="470"/>
      <c r="H2984" s="470">
        <v>2977</v>
      </c>
      <c r="I2984" s="455">
        <f t="shared" ca="1" si="158"/>
        <v>94877878926.27243</v>
      </c>
      <c r="J2984" s="455">
        <f t="array" ref="J2984">IFERROR(INDEX('Retirement Calculator'!J:J,MATCH('Isaac 401k'!N2984,'Retirement Calculator'!A:A,0),0),0)</f>
        <v>0</v>
      </c>
      <c r="K2984" s="455">
        <f t="shared" ca="1" si="156"/>
        <v>395324495.52613515</v>
      </c>
      <c r="L2984" s="455">
        <f t="shared" ca="1" si="157"/>
        <v>95273203421.798569</v>
      </c>
      <c r="M2984" s="471">
        <f t="shared" si="159"/>
        <v>0.05</v>
      </c>
      <c r="N2984" s="475">
        <f t="shared" si="160"/>
        <v>141868</v>
      </c>
    </row>
    <row r="2985" spans="7:14" ht="11.25" customHeight="1" x14ac:dyDescent="0.3">
      <c r="G2985" s="470"/>
      <c r="H2985" s="470">
        <v>2978</v>
      </c>
      <c r="I2985" s="455">
        <f t="shared" ca="1" si="158"/>
        <v>95273203421.798569</v>
      </c>
      <c r="J2985" s="455">
        <f t="array" ref="J2985">IFERROR(INDEX('Retirement Calculator'!J:J,MATCH('Isaac 401k'!N2985,'Retirement Calculator'!A:A,0),0),0)</f>
        <v>0</v>
      </c>
      <c r="K2985" s="455">
        <f t="shared" ca="1" si="156"/>
        <v>396971680.92416072</v>
      </c>
      <c r="L2985" s="455">
        <f t="shared" ca="1" si="157"/>
        <v>95670175102.722733</v>
      </c>
      <c r="M2985" s="471">
        <f t="shared" si="159"/>
        <v>0.05</v>
      </c>
      <c r="N2985" s="475">
        <f t="shared" si="160"/>
        <v>141898</v>
      </c>
    </row>
    <row r="2986" spans="7:14" ht="11.25" customHeight="1" x14ac:dyDescent="0.3">
      <c r="G2986" s="470"/>
      <c r="H2986" s="470">
        <v>2979</v>
      </c>
      <c r="I2986" s="455">
        <f t="shared" ca="1" si="158"/>
        <v>95670175102.722733</v>
      </c>
      <c r="J2986" s="455">
        <f t="array" ref="J2986">IFERROR(INDEX('Retirement Calculator'!J:J,MATCH('Isaac 401k'!N2986,'Retirement Calculator'!A:A,0),0),0)</f>
        <v>0</v>
      </c>
      <c r="K2986" s="455">
        <f t="shared" ca="1" si="156"/>
        <v>398625729.59467804</v>
      </c>
      <c r="L2986" s="455">
        <f t="shared" ca="1" si="157"/>
        <v>96068800832.317413</v>
      </c>
      <c r="M2986" s="471">
        <f t="shared" si="159"/>
        <v>0.05</v>
      </c>
      <c r="N2986" s="475">
        <f t="shared" si="160"/>
        <v>141929</v>
      </c>
    </row>
    <row r="2987" spans="7:14" ht="11.25" customHeight="1" x14ac:dyDescent="0.3">
      <c r="G2987" s="470"/>
      <c r="H2987" s="470">
        <v>2980</v>
      </c>
      <c r="I2987" s="455">
        <f t="shared" ca="1" si="158"/>
        <v>96068800832.317413</v>
      </c>
      <c r="J2987" s="455">
        <f t="array" ref="J2987">IFERROR(INDEX('Retirement Calculator'!J:J,MATCH('Isaac 401k'!N2987,'Retirement Calculator'!A:A,0),0),0)</f>
        <v>0</v>
      </c>
      <c r="K2987" s="455">
        <f t="shared" ca="1" si="156"/>
        <v>400286670.13465589</v>
      </c>
      <c r="L2987" s="455">
        <f t="shared" ca="1" si="157"/>
        <v>96469087502.452072</v>
      </c>
      <c r="M2987" s="471">
        <f t="shared" si="159"/>
        <v>0.05</v>
      </c>
      <c r="N2987" s="475">
        <f t="shared" si="160"/>
        <v>141960</v>
      </c>
    </row>
    <row r="2988" spans="7:14" ht="11.25" customHeight="1" x14ac:dyDescent="0.3">
      <c r="G2988" s="470"/>
      <c r="H2988" s="470">
        <v>2981</v>
      </c>
      <c r="I2988" s="455">
        <f t="shared" ca="1" si="158"/>
        <v>96469087502.452072</v>
      </c>
      <c r="J2988" s="455">
        <f t="array" ref="J2988">IFERROR(INDEX('Retirement Calculator'!J:J,MATCH('Isaac 401k'!N2988,'Retirement Calculator'!A:A,0),0),0)</f>
        <v>0</v>
      </c>
      <c r="K2988" s="455">
        <f t="shared" ca="1" si="156"/>
        <v>401954531.26021695</v>
      </c>
      <c r="L2988" s="455">
        <f t="shared" ca="1" si="157"/>
        <v>96871042033.712296</v>
      </c>
      <c r="M2988" s="471">
        <f t="shared" si="159"/>
        <v>0.05</v>
      </c>
      <c r="N2988" s="475">
        <f t="shared" si="160"/>
        <v>141990</v>
      </c>
    </row>
    <row r="2989" spans="7:14" ht="11.25" customHeight="1" x14ac:dyDescent="0.3">
      <c r="G2989" s="470"/>
      <c r="H2989" s="470">
        <v>2982</v>
      </c>
      <c r="I2989" s="455">
        <f t="shared" ca="1" si="158"/>
        <v>96871042033.712296</v>
      </c>
      <c r="J2989" s="455">
        <f t="array" ref="J2989">IFERROR(INDEX('Retirement Calculator'!J:J,MATCH('Isaac 401k'!N2989,'Retirement Calculator'!A:A,0),0),0)</f>
        <v>0</v>
      </c>
      <c r="K2989" s="455">
        <f t="shared" ca="1" si="156"/>
        <v>403629341.80713457</v>
      </c>
      <c r="L2989" s="455">
        <f t="shared" ca="1" si="157"/>
        <v>97274671375.519424</v>
      </c>
      <c r="M2989" s="471">
        <f t="shared" si="159"/>
        <v>0.05</v>
      </c>
      <c r="N2989" s="475">
        <f t="shared" si="160"/>
        <v>142021</v>
      </c>
    </row>
    <row r="2990" spans="7:14" ht="11.25" customHeight="1" x14ac:dyDescent="0.3">
      <c r="G2990" s="470"/>
      <c r="H2990" s="470">
        <v>2983</v>
      </c>
      <c r="I2990" s="455">
        <f t="shared" ca="1" si="158"/>
        <v>97274671375.519424</v>
      </c>
      <c r="J2990" s="455">
        <f t="array" ref="J2990">IFERROR(INDEX('Retirement Calculator'!J:J,MATCH('Isaac 401k'!N2990,'Retirement Calculator'!A:A,0),0),0)</f>
        <v>0</v>
      </c>
      <c r="K2990" s="455">
        <f t="shared" ca="1" si="156"/>
        <v>405311130.73133093</v>
      </c>
      <c r="L2990" s="455">
        <f t="shared" ca="1" si="157"/>
        <v>97679982506.250763</v>
      </c>
      <c r="M2990" s="471">
        <f t="shared" si="159"/>
        <v>0.05</v>
      </c>
      <c r="N2990" s="475">
        <f t="shared" si="160"/>
        <v>142051</v>
      </c>
    </row>
    <row r="2991" spans="7:14" ht="11.25" customHeight="1" x14ac:dyDescent="0.3">
      <c r="G2991" s="470"/>
      <c r="H2991" s="470">
        <v>2984</v>
      </c>
      <c r="I2991" s="455">
        <f t="shared" ca="1" si="158"/>
        <v>97679982506.250763</v>
      </c>
      <c r="J2991" s="455">
        <f t="array" ref="J2991">IFERROR(INDEX('Retirement Calculator'!J:J,MATCH('Isaac 401k'!N2991,'Retirement Calculator'!A:A,0),0),0)</f>
        <v>0</v>
      </c>
      <c r="K2991" s="455">
        <f t="shared" ca="1" si="156"/>
        <v>406999927.10937816</v>
      </c>
      <c r="L2991" s="455">
        <f t="shared" ca="1" si="157"/>
        <v>98086982433.360138</v>
      </c>
      <c r="M2991" s="471">
        <f t="shared" si="159"/>
        <v>0.05</v>
      </c>
      <c r="N2991" s="475">
        <f t="shared" si="160"/>
        <v>142082</v>
      </c>
    </row>
    <row r="2992" spans="7:14" ht="11.25" customHeight="1" x14ac:dyDescent="0.3">
      <c r="G2992" s="470"/>
      <c r="H2992" s="470">
        <v>2985</v>
      </c>
      <c r="I2992" s="455">
        <f t="shared" ca="1" si="158"/>
        <v>98086982433.360138</v>
      </c>
      <c r="J2992" s="455">
        <f t="array" ref="J2992">IFERROR(INDEX('Retirement Calculator'!J:J,MATCH('Isaac 401k'!N2992,'Retirement Calculator'!A:A,0),0),0)</f>
        <v>0</v>
      </c>
      <c r="K2992" s="455">
        <f t="shared" ca="1" si="156"/>
        <v>408695760.13900059</v>
      </c>
      <c r="L2992" s="455">
        <f t="shared" ca="1" si="157"/>
        <v>98495678193.499146</v>
      </c>
      <c r="M2992" s="471">
        <f t="shared" si="159"/>
        <v>0.05</v>
      </c>
      <c r="N2992" s="475">
        <f t="shared" si="160"/>
        <v>142113</v>
      </c>
    </row>
    <row r="2993" spans="7:14" ht="11.25" customHeight="1" x14ac:dyDescent="0.3">
      <c r="G2993" s="470"/>
      <c r="H2993" s="470">
        <v>2986</v>
      </c>
      <c r="I2993" s="455">
        <f t="shared" ca="1" si="158"/>
        <v>98495678193.499146</v>
      </c>
      <c r="J2993" s="455">
        <f t="array" ref="J2993">IFERROR(INDEX('Retirement Calculator'!J:J,MATCH('Isaac 401k'!N2993,'Retirement Calculator'!A:A,0),0),0)</f>
        <v>0</v>
      </c>
      <c r="K2993" s="455">
        <f t="shared" ca="1" si="156"/>
        <v>410398659.13957977</v>
      </c>
      <c r="L2993" s="455">
        <f t="shared" ca="1" si="157"/>
        <v>98906076852.638733</v>
      </c>
      <c r="M2993" s="471">
        <f t="shared" si="159"/>
        <v>0.05</v>
      </c>
      <c r="N2993" s="475">
        <f t="shared" si="160"/>
        <v>142141</v>
      </c>
    </row>
    <row r="2994" spans="7:14" ht="11.25" customHeight="1" x14ac:dyDescent="0.3">
      <c r="G2994" s="470"/>
      <c r="H2994" s="470">
        <v>2987</v>
      </c>
      <c r="I2994" s="455">
        <f t="shared" ca="1" si="158"/>
        <v>98906076852.638733</v>
      </c>
      <c r="J2994" s="455">
        <f t="array" ref="J2994">IFERROR(INDEX('Retirement Calculator'!J:J,MATCH('Isaac 401k'!N2994,'Retirement Calculator'!A:A,0),0),0)</f>
        <v>0</v>
      </c>
      <c r="K2994" s="455">
        <f t="shared" ca="1" si="156"/>
        <v>412108653.55266136</v>
      </c>
      <c r="L2994" s="455">
        <f t="shared" ca="1" si="157"/>
        <v>99318185506.191391</v>
      </c>
      <c r="M2994" s="471">
        <f t="shared" si="159"/>
        <v>0.05</v>
      </c>
      <c r="N2994" s="475">
        <f t="shared" si="160"/>
        <v>142172</v>
      </c>
    </row>
    <row r="2995" spans="7:14" ht="11.25" customHeight="1" x14ac:dyDescent="0.3">
      <c r="G2995" s="470"/>
      <c r="H2995" s="470">
        <v>2988</v>
      </c>
      <c r="I2995" s="455">
        <f t="shared" ca="1" si="158"/>
        <v>99318185506.191391</v>
      </c>
      <c r="J2995" s="455">
        <f t="array" ref="J2995">IFERROR(INDEX('Retirement Calculator'!J:J,MATCH('Isaac 401k'!N2995,'Retirement Calculator'!A:A,0),0),0)</f>
        <v>0</v>
      </c>
      <c r="K2995" s="455">
        <f t="shared" ca="1" si="156"/>
        <v>413825772.94246411</v>
      </c>
      <c r="L2995" s="455">
        <f t="shared" ca="1" si="157"/>
        <v>99732011279.13385</v>
      </c>
      <c r="M2995" s="471">
        <f t="shared" si="159"/>
        <v>0.05</v>
      </c>
      <c r="N2995" s="475">
        <f t="shared" si="160"/>
        <v>142202</v>
      </c>
    </row>
    <row r="2996" spans="7:14" ht="11.25" customHeight="1" x14ac:dyDescent="0.3">
      <c r="G2996" s="470"/>
      <c r="H2996" s="470">
        <v>2989</v>
      </c>
      <c r="I2996" s="455">
        <f t="shared" ca="1" si="158"/>
        <v>99732011279.13385</v>
      </c>
      <c r="J2996" s="455">
        <f t="array" ref="J2996">IFERROR(INDEX('Retirement Calculator'!J:J,MATCH('Isaac 401k'!N2996,'Retirement Calculator'!A:A,0),0),0)</f>
        <v>0</v>
      </c>
      <c r="K2996" s="455">
        <f t="shared" ca="1" si="156"/>
        <v>415550046.99639106</v>
      </c>
      <c r="L2996" s="455">
        <f t="shared" ca="1" si="157"/>
        <v>100147561326.13023</v>
      </c>
      <c r="M2996" s="471">
        <f t="shared" si="159"/>
        <v>0.05</v>
      </c>
      <c r="N2996" s="475">
        <f t="shared" si="160"/>
        <v>142233</v>
      </c>
    </row>
    <row r="2997" spans="7:14" ht="11.25" customHeight="1" x14ac:dyDescent="0.3">
      <c r="G2997" s="470"/>
      <c r="H2997" s="470">
        <v>2990</v>
      </c>
      <c r="I2997" s="455">
        <f t="shared" ca="1" si="158"/>
        <v>100147561326.13023</v>
      </c>
      <c r="J2997" s="455">
        <f t="array" ref="J2997">IFERROR(INDEX('Retirement Calculator'!J:J,MATCH('Isaac 401k'!N2997,'Retirement Calculator'!A:A,0),0),0)</f>
        <v>0</v>
      </c>
      <c r="K2997" s="455">
        <f t="shared" ca="1" si="156"/>
        <v>417281505.52554262</v>
      </c>
      <c r="L2997" s="455">
        <f t="shared" ca="1" si="157"/>
        <v>100564842831.65578</v>
      </c>
      <c r="M2997" s="471">
        <f t="shared" si="159"/>
        <v>0.05</v>
      </c>
      <c r="N2997" s="475">
        <f t="shared" si="160"/>
        <v>142263</v>
      </c>
    </row>
    <row r="2998" spans="7:14" ht="11.25" customHeight="1" x14ac:dyDescent="0.3">
      <c r="G2998" s="470"/>
      <c r="H2998" s="470">
        <v>2991</v>
      </c>
      <c r="I2998" s="455">
        <f t="shared" ca="1" si="158"/>
        <v>100564842831.65578</v>
      </c>
      <c r="J2998" s="455">
        <f t="array" ref="J2998">IFERROR(INDEX('Retirement Calculator'!J:J,MATCH('Isaac 401k'!N2998,'Retirement Calculator'!A:A,0),0),0)</f>
        <v>0</v>
      </c>
      <c r="K2998" s="455">
        <f t="shared" ca="1" si="156"/>
        <v>419020178.46523237</v>
      </c>
      <c r="L2998" s="455">
        <f t="shared" ca="1" si="157"/>
        <v>100983863010.121</v>
      </c>
      <c r="M2998" s="471">
        <f t="shared" si="159"/>
        <v>0.05</v>
      </c>
      <c r="N2998" s="475">
        <f t="shared" si="160"/>
        <v>142294</v>
      </c>
    </row>
    <row r="2999" spans="7:14" ht="11.25" customHeight="1" x14ac:dyDescent="0.3">
      <c r="G2999" s="470"/>
      <c r="H2999" s="470">
        <v>2992</v>
      </c>
      <c r="I2999" s="455">
        <f t="shared" ca="1" si="158"/>
        <v>100983863010.121</v>
      </c>
      <c r="J2999" s="455">
        <f t="array" ref="J2999">IFERROR(INDEX('Retirement Calculator'!J:J,MATCH('Isaac 401k'!N2999,'Retirement Calculator'!A:A,0),0),0)</f>
        <v>0</v>
      </c>
      <c r="K2999" s="455">
        <f t="shared" ca="1" si="156"/>
        <v>420766095.8755042</v>
      </c>
      <c r="L2999" s="455">
        <f t="shared" ca="1" si="157"/>
        <v>101404629105.99651</v>
      </c>
      <c r="M2999" s="471">
        <f t="shared" si="159"/>
        <v>0.05</v>
      </c>
      <c r="N2999" s="475">
        <f t="shared" si="160"/>
        <v>142325</v>
      </c>
    </row>
    <row r="3000" spans="7:14" ht="11.25" customHeight="1" x14ac:dyDescent="0.3">
      <c r="G3000" s="470"/>
      <c r="H3000" s="470">
        <v>2993</v>
      </c>
      <c r="I3000" s="455">
        <f t="shared" ca="1" si="158"/>
        <v>101404629105.99651</v>
      </c>
      <c r="J3000" s="455">
        <f t="array" ref="J3000">IFERROR(INDEX('Retirement Calculator'!J:J,MATCH('Isaac 401k'!N3000,'Retirement Calculator'!A:A,0),0),0)</f>
        <v>0</v>
      </c>
      <c r="K3000" s="455">
        <f t="shared" ca="1" si="156"/>
        <v>422519287.94165212</v>
      </c>
      <c r="L3000" s="455">
        <f t="shared" ca="1" si="157"/>
        <v>101827148393.93816</v>
      </c>
      <c r="M3000" s="471">
        <f t="shared" si="159"/>
        <v>0.05</v>
      </c>
      <c r="N3000" s="475">
        <f t="shared" si="160"/>
        <v>142355</v>
      </c>
    </row>
    <row r="3001" spans="7:14" ht="11.25" customHeight="1" x14ac:dyDescent="0.3">
      <c r="G3001" s="470"/>
      <c r="H3001" s="470">
        <v>2994</v>
      </c>
      <c r="I3001" s="455">
        <f t="shared" ca="1" si="158"/>
        <v>101827148393.93816</v>
      </c>
      <c r="J3001" s="455">
        <f t="array" ref="J3001">IFERROR(INDEX('Retirement Calculator'!J:J,MATCH('Isaac 401k'!N3001,'Retirement Calculator'!A:A,0),0),0)</f>
        <v>0</v>
      </c>
      <c r="K3001" s="455">
        <f t="shared" ca="1" si="156"/>
        <v>424279784.97474229</v>
      </c>
      <c r="L3001" s="455">
        <f t="shared" ca="1" si="157"/>
        <v>102251428178.9129</v>
      </c>
      <c r="M3001" s="471">
        <f t="shared" si="159"/>
        <v>0.05</v>
      </c>
      <c r="N3001" s="475">
        <f t="shared" si="160"/>
        <v>142386</v>
      </c>
    </row>
    <row r="3002" spans="7:14" ht="11.25" customHeight="1" x14ac:dyDescent="0.3">
      <c r="G3002" s="470"/>
      <c r="H3002" s="470">
        <v>2995</v>
      </c>
      <c r="I3002" s="455">
        <f t="shared" ca="1" si="158"/>
        <v>102251428178.9129</v>
      </c>
      <c r="J3002" s="455">
        <f t="array" ref="J3002">IFERROR(INDEX('Retirement Calculator'!J:J,MATCH('Isaac 401k'!N3002,'Retirement Calculator'!A:A,0),0),0)</f>
        <v>0</v>
      </c>
      <c r="K3002" s="455">
        <f t="shared" ca="1" si="156"/>
        <v>426047617.41213709</v>
      </c>
      <c r="L3002" s="455">
        <f t="shared" ca="1" si="157"/>
        <v>102677475796.32504</v>
      </c>
      <c r="M3002" s="471">
        <f t="shared" si="159"/>
        <v>0.05</v>
      </c>
      <c r="N3002" s="475">
        <f t="shared" si="160"/>
        <v>142416</v>
      </c>
    </row>
    <row r="3003" spans="7:14" ht="11.25" customHeight="1" x14ac:dyDescent="0.3">
      <c r="G3003" s="470"/>
      <c r="H3003" s="470">
        <v>2996</v>
      </c>
      <c r="I3003" s="455">
        <f t="shared" ca="1" si="158"/>
        <v>102677475796.32504</v>
      </c>
      <c r="J3003" s="455">
        <f t="array" ref="J3003">IFERROR(INDEX('Retirement Calculator'!J:J,MATCH('Isaac 401k'!N3003,'Retirement Calculator'!A:A,0),0),0)</f>
        <v>0</v>
      </c>
      <c r="K3003" s="455">
        <f t="shared" ca="1" si="156"/>
        <v>427822815.818021</v>
      </c>
      <c r="L3003" s="455">
        <f t="shared" ca="1" si="157"/>
        <v>103105298612.14307</v>
      </c>
      <c r="M3003" s="471">
        <f t="shared" si="159"/>
        <v>0.05</v>
      </c>
      <c r="N3003" s="475">
        <f t="shared" si="160"/>
        <v>142447</v>
      </c>
    </row>
    <row r="3004" spans="7:14" ht="11.25" customHeight="1" x14ac:dyDescent="0.3">
      <c r="G3004" s="470"/>
      <c r="H3004" s="470">
        <v>2997</v>
      </c>
      <c r="I3004" s="455">
        <f t="shared" ca="1" si="158"/>
        <v>103105298612.14307</v>
      </c>
      <c r="J3004" s="455">
        <f t="array" ref="J3004">IFERROR(INDEX('Retirement Calculator'!J:J,MATCH('Isaac 401k'!N3004,'Retirement Calculator'!A:A,0),0),0)</f>
        <v>0</v>
      </c>
      <c r="K3004" s="455">
        <f t="shared" ca="1" si="156"/>
        <v>429605410.88392943</v>
      </c>
      <c r="L3004" s="455">
        <f t="shared" ca="1" si="157"/>
        <v>103534904023.02699</v>
      </c>
      <c r="M3004" s="471">
        <f t="shared" si="159"/>
        <v>0.05</v>
      </c>
      <c r="N3004" s="475">
        <f t="shared" si="160"/>
        <v>142478</v>
      </c>
    </row>
    <row r="3005" spans="7:14" ht="11.25" customHeight="1" x14ac:dyDescent="0.3">
      <c r="G3005" s="470"/>
      <c r="H3005" s="470">
        <v>2998</v>
      </c>
      <c r="I3005" s="455">
        <f t="shared" ca="1" si="158"/>
        <v>103534904023.02699</v>
      </c>
      <c r="J3005" s="455">
        <f t="array" ref="J3005">IFERROR(INDEX('Retirement Calculator'!J:J,MATCH('Isaac 401k'!N3005,'Retirement Calculator'!A:A,0),0),0)</f>
        <v>0</v>
      </c>
      <c r="K3005" s="455">
        <f t="shared" ca="1" si="156"/>
        <v>431395433.42927915</v>
      </c>
      <c r="L3005" s="455">
        <f t="shared" ca="1" si="157"/>
        <v>103966299456.45627</v>
      </c>
      <c r="M3005" s="471">
        <f t="shared" si="159"/>
        <v>0.05</v>
      </c>
      <c r="N3005" s="475">
        <f t="shared" si="160"/>
        <v>142506</v>
      </c>
    </row>
    <row r="3006" spans="7:14" ht="11.25" customHeight="1" x14ac:dyDescent="0.3">
      <c r="G3006" s="470"/>
      <c r="H3006" s="470">
        <v>2999</v>
      </c>
      <c r="I3006" s="455">
        <f t="shared" ca="1" si="158"/>
        <v>103966299456.45627</v>
      </c>
      <c r="J3006" s="455">
        <f t="array" ref="J3006">IFERROR(INDEX('Retirement Calculator'!J:J,MATCH('Isaac 401k'!N3006,'Retirement Calculator'!A:A,0),0),0)</f>
        <v>0</v>
      </c>
      <c r="K3006" s="455">
        <f t="shared" ca="1" si="156"/>
        <v>433192914.40190113</v>
      </c>
      <c r="L3006" s="455">
        <f t="shared" ca="1" si="157"/>
        <v>104399492370.85817</v>
      </c>
      <c r="M3006" s="471">
        <f t="shared" si="159"/>
        <v>0.05</v>
      </c>
      <c r="N3006" s="475">
        <f t="shared" si="160"/>
        <v>142537</v>
      </c>
    </row>
    <row r="3007" spans="7:14" ht="11.25" customHeight="1" x14ac:dyDescent="0.3">
      <c r="G3007" s="470"/>
      <c r="H3007" s="470">
        <v>3000</v>
      </c>
      <c r="I3007" s="455">
        <f t="shared" ca="1" si="158"/>
        <v>104399492370.85817</v>
      </c>
      <c r="J3007" s="455">
        <f t="array" ref="J3007">IFERROR(INDEX('Retirement Calculator'!J:J,MATCH('Isaac 401k'!N3007,'Retirement Calculator'!A:A,0),0),0)</f>
        <v>0</v>
      </c>
      <c r="K3007" s="455">
        <f t="shared" ca="1" si="156"/>
        <v>434997884.87857568</v>
      </c>
      <c r="L3007" s="455">
        <f t="shared" ca="1" si="157"/>
        <v>104834490255.73674</v>
      </c>
      <c r="M3007" s="471">
        <f t="shared" si="159"/>
        <v>0.05</v>
      </c>
      <c r="N3007" s="475">
        <f t="shared" si="160"/>
        <v>142567</v>
      </c>
    </row>
    <row r="3008" spans="7:14" ht="11.25" customHeight="1" x14ac:dyDescent="0.3">
      <c r="G3008" s="470"/>
      <c r="H3008" s="470">
        <v>3001</v>
      </c>
      <c r="I3008" s="455">
        <f t="shared" ca="1" si="158"/>
        <v>104834490255.73674</v>
      </c>
      <c r="J3008" s="455">
        <f t="array" ref="J3008">IFERROR(INDEX('Retirement Calculator'!J:J,MATCH('Isaac 401k'!N3008,'Retirement Calculator'!A:A,0),0),0)</f>
        <v>0</v>
      </c>
      <c r="K3008" s="455">
        <f t="shared" ca="1" si="156"/>
        <v>436810376.06556976</v>
      </c>
      <c r="L3008" s="455">
        <f t="shared" ca="1" si="157"/>
        <v>105271300631.80231</v>
      </c>
      <c r="M3008" s="471">
        <f t="shared" si="159"/>
        <v>0.05</v>
      </c>
      <c r="N3008" s="475">
        <f t="shared" si="160"/>
        <v>142598</v>
      </c>
    </row>
    <row r="3009" spans="7:14" ht="11.25" customHeight="1" x14ac:dyDescent="0.3">
      <c r="G3009" s="470"/>
      <c r="H3009" s="470">
        <v>3002</v>
      </c>
      <c r="I3009" s="455">
        <f t="shared" ca="1" si="158"/>
        <v>105271300631.80231</v>
      </c>
      <c r="J3009" s="455">
        <f t="array" ref="J3009">IFERROR(INDEX('Retirement Calculator'!J:J,MATCH('Isaac 401k'!N3009,'Retirement Calculator'!A:A,0),0),0)</f>
        <v>0</v>
      </c>
      <c r="K3009" s="455">
        <f t="shared" ca="1" si="156"/>
        <v>438630419.29917628</v>
      </c>
      <c r="L3009" s="455">
        <f t="shared" ca="1" si="157"/>
        <v>105709931051.10149</v>
      </c>
      <c r="M3009" s="471">
        <f t="shared" si="159"/>
        <v>0.05</v>
      </c>
      <c r="N3009" s="475">
        <f t="shared" si="160"/>
        <v>142628</v>
      </c>
    </row>
    <row r="3010" spans="7:14" ht="11.25" customHeight="1" x14ac:dyDescent="0.3">
      <c r="G3010" s="470"/>
      <c r="H3010" s="470">
        <v>3003</v>
      </c>
      <c r="I3010" s="455">
        <f t="shared" ca="1" si="158"/>
        <v>105709931051.10149</v>
      </c>
      <c r="J3010" s="455">
        <f t="array" ref="J3010">IFERROR(INDEX('Retirement Calculator'!J:J,MATCH('Isaac 401k'!N3010,'Retirement Calculator'!A:A,0),0),0)</f>
        <v>0</v>
      </c>
      <c r="K3010" s="455">
        <f t="shared" ca="1" si="156"/>
        <v>440458046.04625618</v>
      </c>
      <c r="L3010" s="455">
        <f t="shared" ca="1" si="157"/>
        <v>106150389097.14774</v>
      </c>
      <c r="M3010" s="471">
        <f t="shared" si="159"/>
        <v>0.05</v>
      </c>
      <c r="N3010" s="475">
        <f t="shared" si="160"/>
        <v>142659</v>
      </c>
    </row>
    <row r="3011" spans="7:14" ht="11.25" customHeight="1" x14ac:dyDescent="0.3">
      <c r="G3011" s="470"/>
      <c r="H3011" s="470">
        <v>3004</v>
      </c>
      <c r="I3011" s="455">
        <f t="shared" ca="1" si="158"/>
        <v>106150389097.14774</v>
      </c>
      <c r="J3011" s="455">
        <f t="array" ref="J3011">IFERROR(INDEX('Retirement Calculator'!J:J,MATCH('Isaac 401k'!N3011,'Retirement Calculator'!A:A,0),0),0)</f>
        <v>0</v>
      </c>
      <c r="K3011" s="455">
        <f t="shared" ca="1" si="156"/>
        <v>442293287.90478224</v>
      </c>
      <c r="L3011" s="455">
        <f t="shared" ca="1" si="157"/>
        <v>106592682385.05252</v>
      </c>
      <c r="M3011" s="471">
        <f t="shared" si="159"/>
        <v>0.05</v>
      </c>
      <c r="N3011" s="475">
        <f t="shared" si="160"/>
        <v>142690</v>
      </c>
    </row>
    <row r="3012" spans="7:14" ht="11.25" customHeight="1" x14ac:dyDescent="0.3">
      <c r="G3012" s="470"/>
      <c r="H3012" s="470">
        <v>3005</v>
      </c>
      <c r="I3012" s="455">
        <f t="shared" ca="1" si="158"/>
        <v>106592682385.05252</v>
      </c>
      <c r="J3012" s="455">
        <f t="array" ref="J3012">IFERROR(INDEX('Retirement Calculator'!J:J,MATCH('Isaac 401k'!N3012,'Retirement Calculator'!A:A,0),0),0)</f>
        <v>0</v>
      </c>
      <c r="K3012" s="455">
        <f t="shared" ca="1" si="156"/>
        <v>444136176.6043855</v>
      </c>
      <c r="L3012" s="455">
        <f t="shared" ca="1" si="157"/>
        <v>107036818561.65691</v>
      </c>
      <c r="M3012" s="471">
        <f t="shared" si="159"/>
        <v>0.05</v>
      </c>
      <c r="N3012" s="475">
        <f t="shared" si="160"/>
        <v>142720</v>
      </c>
    </row>
    <row r="3013" spans="7:14" ht="11.25" customHeight="1" x14ac:dyDescent="0.3">
      <c r="G3013" s="470"/>
      <c r="H3013" s="470">
        <v>3006</v>
      </c>
      <c r="I3013" s="455">
        <f t="shared" ca="1" si="158"/>
        <v>107036818561.65691</v>
      </c>
      <c r="J3013" s="455">
        <f t="array" ref="J3013">IFERROR(INDEX('Retirement Calculator'!J:J,MATCH('Isaac 401k'!N3013,'Retirement Calculator'!A:A,0),0),0)</f>
        <v>0</v>
      </c>
      <c r="K3013" s="455">
        <f t="shared" ca="1" si="156"/>
        <v>445986744.00690377</v>
      </c>
      <c r="L3013" s="455">
        <f t="shared" ca="1" si="157"/>
        <v>107482805305.6638</v>
      </c>
      <c r="M3013" s="471">
        <f t="shared" si="159"/>
        <v>0.05</v>
      </c>
      <c r="N3013" s="475">
        <f t="shared" si="160"/>
        <v>142751</v>
      </c>
    </row>
    <row r="3014" spans="7:14" ht="11.25" customHeight="1" x14ac:dyDescent="0.3">
      <c r="G3014" s="470"/>
      <c r="H3014" s="470">
        <v>3007</v>
      </c>
      <c r="I3014" s="455">
        <f t="shared" ca="1" si="158"/>
        <v>107482805305.6638</v>
      </c>
      <c r="J3014" s="455">
        <f t="array" ref="J3014">IFERROR(INDEX('Retirement Calculator'!J:J,MATCH('Isaac 401k'!N3014,'Retirement Calculator'!A:A,0),0),0)</f>
        <v>0</v>
      </c>
      <c r="K3014" s="455">
        <f t="shared" ca="1" si="156"/>
        <v>447845022.10693252</v>
      </c>
      <c r="L3014" s="455">
        <f t="shared" ca="1" si="157"/>
        <v>107930650327.77074</v>
      </c>
      <c r="M3014" s="471">
        <f t="shared" si="159"/>
        <v>0.05</v>
      </c>
      <c r="N3014" s="475">
        <f t="shared" si="160"/>
        <v>142781</v>
      </c>
    </row>
    <row r="3015" spans="7:14" ht="11.25" customHeight="1" x14ac:dyDescent="0.3">
      <c r="G3015" s="470"/>
      <c r="H3015" s="470">
        <v>3008</v>
      </c>
      <c r="I3015" s="455">
        <f t="shared" ca="1" si="158"/>
        <v>107930650327.77074</v>
      </c>
      <c r="J3015" s="455">
        <f t="array" ref="J3015">IFERROR(INDEX('Retirement Calculator'!J:J,MATCH('Isaac 401k'!N3015,'Retirement Calculator'!A:A,0),0),0)</f>
        <v>0</v>
      </c>
      <c r="K3015" s="455">
        <f t="shared" ca="1" si="156"/>
        <v>449711043.03237808</v>
      </c>
      <c r="L3015" s="455">
        <f t="shared" ca="1" si="157"/>
        <v>108380361370.80312</v>
      </c>
      <c r="M3015" s="471">
        <f t="shared" si="159"/>
        <v>0.05</v>
      </c>
      <c r="N3015" s="475">
        <f t="shared" si="160"/>
        <v>142812</v>
      </c>
    </row>
    <row r="3016" spans="7:14" ht="11.25" customHeight="1" x14ac:dyDescent="0.3">
      <c r="G3016" s="470"/>
      <c r="H3016" s="470">
        <v>3009</v>
      </c>
      <c r="I3016" s="455">
        <f t="shared" ca="1" si="158"/>
        <v>108380361370.80312</v>
      </c>
      <c r="J3016" s="455">
        <f t="array" ref="J3016">IFERROR(INDEX('Retirement Calculator'!J:J,MATCH('Isaac 401k'!N3016,'Retirement Calculator'!A:A,0),0),0)</f>
        <v>0</v>
      </c>
      <c r="K3016" s="455">
        <f t="shared" ca="1" si="156"/>
        <v>451584839.04501295</v>
      </c>
      <c r="L3016" s="455">
        <f t="shared" ca="1" si="157"/>
        <v>108831946209.84813</v>
      </c>
      <c r="M3016" s="471">
        <f t="shared" si="159"/>
        <v>0.05</v>
      </c>
      <c r="N3016" s="475">
        <f t="shared" si="160"/>
        <v>142843</v>
      </c>
    </row>
    <row r="3017" spans="7:14" ht="11.25" customHeight="1" x14ac:dyDescent="0.3">
      <c r="G3017" s="470"/>
      <c r="H3017" s="470">
        <v>3010</v>
      </c>
      <c r="I3017" s="455">
        <f t="shared" ca="1" si="158"/>
        <v>108831946209.84813</v>
      </c>
      <c r="J3017" s="455">
        <f t="array" ref="J3017">IFERROR(INDEX('Retirement Calculator'!J:J,MATCH('Isaac 401k'!N3017,'Retirement Calculator'!A:A,0),0),0)</f>
        <v>0</v>
      </c>
      <c r="K3017" s="455">
        <f t="shared" ca="1" si="156"/>
        <v>453466442.54103392</v>
      </c>
      <c r="L3017" s="455">
        <f t="shared" ca="1" si="157"/>
        <v>109285412652.38916</v>
      </c>
      <c r="M3017" s="471">
        <f t="shared" si="159"/>
        <v>0.05</v>
      </c>
      <c r="N3017" s="475">
        <f t="shared" si="160"/>
        <v>142871</v>
      </c>
    </row>
    <row r="3018" spans="7:14" ht="11.25" customHeight="1" x14ac:dyDescent="0.3">
      <c r="G3018" s="470"/>
      <c r="H3018" s="470">
        <v>3011</v>
      </c>
      <c r="I3018" s="455">
        <f t="shared" ca="1" si="158"/>
        <v>109285412652.38916</v>
      </c>
      <c r="J3018" s="455">
        <f t="array" ref="J3018">IFERROR(INDEX('Retirement Calculator'!J:J,MATCH('Isaac 401k'!N3018,'Retirement Calculator'!A:A,0),0),0)</f>
        <v>0</v>
      </c>
      <c r="K3018" s="455">
        <f t="shared" ca="1" si="156"/>
        <v>455355886.05162144</v>
      </c>
      <c r="L3018" s="455">
        <f t="shared" ca="1" si="157"/>
        <v>109740768538.44078</v>
      </c>
      <c r="M3018" s="471">
        <f t="shared" si="159"/>
        <v>0.05</v>
      </c>
      <c r="N3018" s="475">
        <f t="shared" si="160"/>
        <v>142902</v>
      </c>
    </row>
    <row r="3019" spans="7:14" ht="11.25" customHeight="1" x14ac:dyDescent="0.3">
      <c r="G3019" s="470"/>
      <c r="H3019" s="470">
        <v>3012</v>
      </c>
      <c r="I3019" s="455">
        <f t="shared" ca="1" si="158"/>
        <v>109740768538.44078</v>
      </c>
      <c r="J3019" s="455">
        <f t="array" ref="J3019">IFERROR(INDEX('Retirement Calculator'!J:J,MATCH('Isaac 401k'!N3019,'Retirement Calculator'!A:A,0),0),0)</f>
        <v>0</v>
      </c>
      <c r="K3019" s="455">
        <f t="shared" ca="1" si="156"/>
        <v>457253202.24350327</v>
      </c>
      <c r="L3019" s="455">
        <f t="shared" ca="1" si="157"/>
        <v>110198021740.68428</v>
      </c>
      <c r="M3019" s="471">
        <f t="shared" si="159"/>
        <v>0.05</v>
      </c>
      <c r="N3019" s="475">
        <f t="shared" si="160"/>
        <v>142932</v>
      </c>
    </row>
    <row r="3020" spans="7:14" ht="11.25" customHeight="1" x14ac:dyDescent="0.3">
      <c r="G3020" s="470"/>
      <c r="H3020" s="470">
        <v>3013</v>
      </c>
      <c r="I3020" s="455">
        <f t="shared" ca="1" si="158"/>
        <v>110198021740.68428</v>
      </c>
      <c r="J3020" s="455">
        <f t="array" ref="J3020">IFERROR(INDEX('Retirement Calculator'!J:J,MATCH('Isaac 401k'!N3020,'Retirement Calculator'!A:A,0),0),0)</f>
        <v>0</v>
      </c>
      <c r="K3020" s="455">
        <f t="shared" ca="1" si="156"/>
        <v>459158423.91951782</v>
      </c>
      <c r="L3020" s="455">
        <f t="shared" ca="1" si="157"/>
        <v>110657180164.60381</v>
      </c>
      <c r="M3020" s="471">
        <f t="shared" si="159"/>
        <v>0.05</v>
      </c>
      <c r="N3020" s="475">
        <f t="shared" si="160"/>
        <v>142963</v>
      </c>
    </row>
    <row r="3021" spans="7:14" ht="11.25" customHeight="1" x14ac:dyDescent="0.3">
      <c r="G3021" s="470"/>
      <c r="H3021" s="470">
        <v>3014</v>
      </c>
      <c r="I3021" s="455">
        <f t="shared" ca="1" si="158"/>
        <v>110657180164.60381</v>
      </c>
      <c r="J3021" s="455">
        <f t="array" ref="J3021">IFERROR(INDEX('Retirement Calculator'!J:J,MATCH('Isaac 401k'!N3021,'Retirement Calculator'!A:A,0),0),0)</f>
        <v>0</v>
      </c>
      <c r="K3021" s="455">
        <f t="shared" ca="1" si="156"/>
        <v>461071584.01918244</v>
      </c>
      <c r="L3021" s="455">
        <f t="shared" ca="1" si="157"/>
        <v>111118251748.62299</v>
      </c>
      <c r="M3021" s="471">
        <f t="shared" si="159"/>
        <v>0.05</v>
      </c>
      <c r="N3021" s="475">
        <f t="shared" si="160"/>
        <v>142993</v>
      </c>
    </row>
    <row r="3022" spans="7:14" ht="11.25" customHeight="1" x14ac:dyDescent="0.3">
      <c r="G3022" s="470"/>
      <c r="H3022" s="470">
        <v>3015</v>
      </c>
      <c r="I3022" s="455">
        <f t="shared" ca="1" si="158"/>
        <v>111118251748.62299</v>
      </c>
      <c r="J3022" s="455">
        <f t="array" ref="J3022">IFERROR(INDEX('Retirement Calculator'!J:J,MATCH('Isaac 401k'!N3022,'Retirement Calculator'!A:A,0),0),0)</f>
        <v>0</v>
      </c>
      <c r="K3022" s="455">
        <f t="shared" ca="1" si="156"/>
        <v>462992715.61926246</v>
      </c>
      <c r="L3022" s="455">
        <f t="shared" ca="1" si="157"/>
        <v>111581244464.24225</v>
      </c>
      <c r="M3022" s="471">
        <f t="shared" si="159"/>
        <v>0.05</v>
      </c>
      <c r="N3022" s="475">
        <f t="shared" si="160"/>
        <v>143024</v>
      </c>
    </row>
    <row r="3023" spans="7:14" ht="11.25" customHeight="1" x14ac:dyDescent="0.3">
      <c r="G3023" s="470"/>
      <c r="H3023" s="470">
        <v>3016</v>
      </c>
      <c r="I3023" s="455">
        <f t="shared" ca="1" si="158"/>
        <v>111581244464.24225</v>
      </c>
      <c r="J3023" s="455">
        <f t="array" ref="J3023">IFERROR(INDEX('Retirement Calculator'!J:J,MATCH('Isaac 401k'!N3023,'Retirement Calculator'!A:A,0),0),0)</f>
        <v>0</v>
      </c>
      <c r="K3023" s="455">
        <f t="shared" ca="1" si="156"/>
        <v>464921851.93434268</v>
      </c>
      <c r="L3023" s="455">
        <f t="shared" ca="1" si="157"/>
        <v>112046166316.17659</v>
      </c>
      <c r="M3023" s="471">
        <f t="shared" si="159"/>
        <v>0.05</v>
      </c>
      <c r="N3023" s="475">
        <f t="shared" si="160"/>
        <v>143055</v>
      </c>
    </row>
    <row r="3024" spans="7:14" ht="11.25" customHeight="1" x14ac:dyDescent="0.3">
      <c r="G3024" s="470"/>
      <c r="H3024" s="470">
        <v>3017</v>
      </c>
      <c r="I3024" s="455">
        <f t="shared" ca="1" si="158"/>
        <v>112046166316.17659</v>
      </c>
      <c r="J3024" s="455">
        <f t="array" ref="J3024">IFERROR(INDEX('Retirement Calculator'!J:J,MATCH('Isaac 401k'!N3024,'Retirement Calculator'!A:A,0),0),0)</f>
        <v>0</v>
      </c>
      <c r="K3024" s="455">
        <f t="shared" ca="1" si="156"/>
        <v>466859026.31740242</v>
      </c>
      <c r="L3024" s="455">
        <f t="shared" ca="1" si="157"/>
        <v>112513025342.49399</v>
      </c>
      <c r="M3024" s="471">
        <f t="shared" si="159"/>
        <v>0.05</v>
      </c>
      <c r="N3024" s="475">
        <f t="shared" si="160"/>
        <v>143085</v>
      </c>
    </row>
    <row r="3025" spans="7:14" ht="11.25" customHeight="1" x14ac:dyDescent="0.3">
      <c r="G3025" s="470"/>
      <c r="H3025" s="470">
        <v>3018</v>
      </c>
      <c r="I3025" s="455">
        <f t="shared" ca="1" si="158"/>
        <v>112513025342.49399</v>
      </c>
      <c r="J3025" s="455">
        <f t="array" ref="J3025">IFERROR(INDEX('Retirement Calculator'!J:J,MATCH('Isaac 401k'!N3025,'Retirement Calculator'!A:A,0),0),0)</f>
        <v>0</v>
      </c>
      <c r="K3025" s="455">
        <f t="shared" ca="1" si="156"/>
        <v>468804272.26039159</v>
      </c>
      <c r="L3025" s="455">
        <f t="shared" ca="1" si="157"/>
        <v>112981829614.75438</v>
      </c>
      <c r="M3025" s="471">
        <f t="shared" si="159"/>
        <v>0.05</v>
      </c>
      <c r="N3025" s="475">
        <f t="shared" si="160"/>
        <v>143116</v>
      </c>
    </row>
    <row r="3026" spans="7:14" ht="11.25" customHeight="1" x14ac:dyDescent="0.3">
      <c r="G3026" s="470"/>
      <c r="H3026" s="470">
        <v>3019</v>
      </c>
      <c r="I3026" s="455">
        <f t="shared" ca="1" si="158"/>
        <v>112981829614.75438</v>
      </c>
      <c r="J3026" s="455">
        <f t="array" ref="J3026">IFERROR(INDEX('Retirement Calculator'!J:J,MATCH('Isaac 401k'!N3026,'Retirement Calculator'!A:A,0),0),0)</f>
        <v>0</v>
      </c>
      <c r="K3026" s="455">
        <f t="shared" ca="1" si="156"/>
        <v>470757623.39480996</v>
      </c>
      <c r="L3026" s="455">
        <f t="shared" ca="1" si="157"/>
        <v>113452587238.14919</v>
      </c>
      <c r="M3026" s="471">
        <f t="shared" si="159"/>
        <v>0.05</v>
      </c>
      <c r="N3026" s="475">
        <f t="shared" si="160"/>
        <v>143146</v>
      </c>
    </row>
    <row r="3027" spans="7:14" ht="11.25" customHeight="1" x14ac:dyDescent="0.3">
      <c r="G3027" s="470"/>
      <c r="H3027" s="470">
        <v>3020</v>
      </c>
      <c r="I3027" s="455">
        <f t="shared" ca="1" si="158"/>
        <v>113452587238.14919</v>
      </c>
      <c r="J3027" s="455">
        <f t="array" ref="J3027">IFERROR(INDEX('Retirement Calculator'!J:J,MATCH('Isaac 401k'!N3027,'Retirement Calculator'!A:A,0),0),0)</f>
        <v>0</v>
      </c>
      <c r="K3027" s="455">
        <f t="shared" ca="1" si="156"/>
        <v>472719113.49228817</v>
      </c>
      <c r="L3027" s="455">
        <f t="shared" ca="1" si="157"/>
        <v>113925306351.64148</v>
      </c>
      <c r="M3027" s="471">
        <f t="shared" si="159"/>
        <v>0.05</v>
      </c>
      <c r="N3027" s="475">
        <f t="shared" si="160"/>
        <v>143177</v>
      </c>
    </row>
    <row r="3028" spans="7:14" ht="11.25" customHeight="1" x14ac:dyDescent="0.3">
      <c r="G3028" s="470"/>
      <c r="H3028" s="470">
        <v>3021</v>
      </c>
      <c r="I3028" s="455">
        <f t="shared" ca="1" si="158"/>
        <v>113925306351.64148</v>
      </c>
      <c r="J3028" s="455">
        <f t="array" ref="J3028">IFERROR(INDEX('Retirement Calculator'!J:J,MATCH('Isaac 401k'!N3028,'Retirement Calculator'!A:A,0),0),0)</f>
        <v>0</v>
      </c>
      <c r="K3028" s="455">
        <f t="shared" ca="1" si="156"/>
        <v>474688776.46517283</v>
      </c>
      <c r="L3028" s="455">
        <f t="shared" ca="1" si="157"/>
        <v>114399995128.10666</v>
      </c>
      <c r="M3028" s="471">
        <f t="shared" si="159"/>
        <v>0.05</v>
      </c>
      <c r="N3028" s="475">
        <f t="shared" si="160"/>
        <v>143208</v>
      </c>
    </row>
    <row r="3029" spans="7:14" ht="11.25" customHeight="1" x14ac:dyDescent="0.3">
      <c r="G3029" s="470"/>
      <c r="H3029" s="470">
        <v>3022</v>
      </c>
      <c r="I3029" s="455">
        <f t="shared" ca="1" si="158"/>
        <v>114399995128.10666</v>
      </c>
      <c r="J3029" s="455">
        <f t="array" ref="J3029">IFERROR(INDEX('Retirement Calculator'!J:J,MATCH('Isaac 401k'!N3029,'Retirement Calculator'!A:A,0),0),0)</f>
        <v>0</v>
      </c>
      <c r="K3029" s="455">
        <f t="shared" ca="1" si="156"/>
        <v>476666646.36711109</v>
      </c>
      <c r="L3029" s="455">
        <f t="shared" ca="1" si="157"/>
        <v>114876661774.47377</v>
      </c>
      <c r="M3029" s="471">
        <f t="shared" si="159"/>
        <v>0.05</v>
      </c>
      <c r="N3029" s="475">
        <f t="shared" si="160"/>
        <v>143237</v>
      </c>
    </row>
    <row r="3030" spans="7:14" ht="11.25" customHeight="1" x14ac:dyDescent="0.3">
      <c r="G3030" s="470"/>
      <c r="H3030" s="470">
        <v>3023</v>
      </c>
      <c r="I3030" s="455">
        <f t="shared" ca="1" si="158"/>
        <v>114876661774.47377</v>
      </c>
      <c r="J3030" s="455">
        <f t="array" ref="J3030">IFERROR(INDEX('Retirement Calculator'!J:J,MATCH('Isaac 401k'!N3030,'Retirement Calculator'!A:A,0),0),0)</f>
        <v>0</v>
      </c>
      <c r="K3030" s="455">
        <f t="shared" ca="1" si="156"/>
        <v>478652757.3936407</v>
      </c>
      <c r="L3030" s="455">
        <f t="shared" ca="1" si="157"/>
        <v>115355314531.86742</v>
      </c>
      <c r="M3030" s="471">
        <f t="shared" si="159"/>
        <v>0.05</v>
      </c>
      <c r="N3030" s="475">
        <f t="shared" si="160"/>
        <v>143268</v>
      </c>
    </row>
    <row r="3031" spans="7:14" ht="11.25" customHeight="1" x14ac:dyDescent="0.3">
      <c r="G3031" s="470"/>
      <c r="H3031" s="470">
        <v>3024</v>
      </c>
      <c r="I3031" s="455">
        <f t="shared" ca="1" si="158"/>
        <v>115355314531.86742</v>
      </c>
      <c r="J3031" s="455">
        <f t="array" ref="J3031">IFERROR(INDEX('Retirement Calculator'!J:J,MATCH('Isaac 401k'!N3031,'Retirement Calculator'!A:A,0),0),0)</f>
        <v>0</v>
      </c>
      <c r="K3031" s="455">
        <f t="shared" ca="1" si="156"/>
        <v>480647143.88278091</v>
      </c>
      <c r="L3031" s="455">
        <f t="shared" ca="1" si="157"/>
        <v>115835961675.7502</v>
      </c>
      <c r="M3031" s="471">
        <f t="shared" si="159"/>
        <v>0.05</v>
      </c>
      <c r="N3031" s="475">
        <f t="shared" si="160"/>
        <v>143298</v>
      </c>
    </row>
    <row r="3032" spans="7:14" ht="11.25" customHeight="1" x14ac:dyDescent="0.3">
      <c r="G3032" s="470"/>
      <c r="H3032" s="470">
        <v>3025</v>
      </c>
      <c r="I3032" s="455">
        <f t="shared" ca="1" si="158"/>
        <v>115835961675.7502</v>
      </c>
      <c r="J3032" s="455">
        <f t="array" ref="J3032">IFERROR(INDEX('Retirement Calculator'!J:J,MATCH('Isaac 401k'!N3032,'Retirement Calculator'!A:A,0),0),0)</f>
        <v>0</v>
      </c>
      <c r="K3032" s="455">
        <f t="shared" ca="1" si="156"/>
        <v>482649840.31562585</v>
      </c>
      <c r="L3032" s="455">
        <f t="shared" ca="1" si="157"/>
        <v>116318611516.06583</v>
      </c>
      <c r="M3032" s="471">
        <f t="shared" si="159"/>
        <v>0.05</v>
      </c>
      <c r="N3032" s="475">
        <f t="shared" si="160"/>
        <v>143329</v>
      </c>
    </row>
    <row r="3033" spans="7:14" ht="11.25" customHeight="1" x14ac:dyDescent="0.3">
      <c r="G3033" s="470"/>
      <c r="H3033" s="470">
        <v>3026</v>
      </c>
      <c r="I3033" s="455">
        <f t="shared" ca="1" si="158"/>
        <v>116318611516.06583</v>
      </c>
      <c r="J3033" s="455">
        <f t="array" ref="J3033">IFERROR(INDEX('Retirement Calculator'!J:J,MATCH('Isaac 401k'!N3033,'Retirement Calculator'!A:A,0),0),0)</f>
        <v>0</v>
      </c>
      <c r="K3033" s="455">
        <f t="shared" ca="1" si="156"/>
        <v>484660881.31694096</v>
      </c>
      <c r="L3033" s="455">
        <f t="shared" ca="1" si="157"/>
        <v>116803272397.38277</v>
      </c>
      <c r="M3033" s="471">
        <f t="shared" si="159"/>
        <v>0.05</v>
      </c>
      <c r="N3033" s="475">
        <f t="shared" si="160"/>
        <v>143359</v>
      </c>
    </row>
    <row r="3034" spans="7:14" ht="11.25" customHeight="1" x14ac:dyDescent="0.3">
      <c r="G3034" s="470"/>
      <c r="H3034" s="470">
        <v>3027</v>
      </c>
      <c r="I3034" s="455">
        <f t="shared" ca="1" si="158"/>
        <v>116803272397.38277</v>
      </c>
      <c r="J3034" s="455">
        <f t="array" ref="J3034">IFERROR(INDEX('Retirement Calculator'!J:J,MATCH('Isaac 401k'!N3034,'Retirement Calculator'!A:A,0),0),0)</f>
        <v>0</v>
      </c>
      <c r="K3034" s="455">
        <f t="shared" ca="1" si="156"/>
        <v>486680301.65576148</v>
      </c>
      <c r="L3034" s="455">
        <f t="shared" ca="1" si="157"/>
        <v>117289952699.03853</v>
      </c>
      <c r="M3034" s="471">
        <f t="shared" si="159"/>
        <v>0.05</v>
      </c>
      <c r="N3034" s="475">
        <f t="shared" si="160"/>
        <v>143390</v>
      </c>
    </row>
    <row r="3035" spans="7:14" ht="11.25" customHeight="1" x14ac:dyDescent="0.3">
      <c r="G3035" s="470"/>
      <c r="H3035" s="470">
        <v>3028</v>
      </c>
      <c r="I3035" s="455">
        <f t="shared" ca="1" si="158"/>
        <v>117289952699.03853</v>
      </c>
      <c r="J3035" s="455">
        <f t="array" ref="J3035">IFERROR(INDEX('Retirement Calculator'!J:J,MATCH('Isaac 401k'!N3035,'Retirement Calculator'!A:A,0),0),0)</f>
        <v>0</v>
      </c>
      <c r="K3035" s="455">
        <f t="shared" ca="1" si="156"/>
        <v>488708136.24599391</v>
      </c>
      <c r="L3035" s="455">
        <f t="shared" ca="1" si="157"/>
        <v>117778660835.28452</v>
      </c>
      <c r="M3035" s="471">
        <f t="shared" si="159"/>
        <v>0.05</v>
      </c>
      <c r="N3035" s="475">
        <f t="shared" si="160"/>
        <v>143421</v>
      </c>
    </row>
    <row r="3036" spans="7:14" ht="11.25" customHeight="1" x14ac:dyDescent="0.3">
      <c r="G3036" s="470"/>
      <c r="H3036" s="470">
        <v>3029</v>
      </c>
      <c r="I3036" s="455">
        <f t="shared" ca="1" si="158"/>
        <v>117778660835.28452</v>
      </c>
      <c r="J3036" s="455">
        <f t="array" ref="J3036">IFERROR(INDEX('Retirement Calculator'!J:J,MATCH('Isaac 401k'!N3036,'Retirement Calculator'!A:A,0),0),0)</f>
        <v>0</v>
      </c>
      <c r="K3036" s="455">
        <f t="shared" ca="1" si="156"/>
        <v>490744420.14701879</v>
      </c>
      <c r="L3036" s="455">
        <f t="shared" ca="1" si="157"/>
        <v>118269405255.43153</v>
      </c>
      <c r="M3036" s="471">
        <f t="shared" si="159"/>
        <v>0.05</v>
      </c>
      <c r="N3036" s="475">
        <f t="shared" si="160"/>
        <v>143451</v>
      </c>
    </row>
    <row r="3037" spans="7:14" ht="11.25" customHeight="1" x14ac:dyDescent="0.3">
      <c r="G3037" s="470"/>
      <c r="H3037" s="470">
        <v>3030</v>
      </c>
      <c r="I3037" s="455">
        <f t="shared" ca="1" si="158"/>
        <v>118269405255.43153</v>
      </c>
      <c r="J3037" s="455">
        <f t="array" ref="J3037">IFERROR(INDEX('Retirement Calculator'!J:J,MATCH('Isaac 401k'!N3037,'Retirement Calculator'!A:A,0),0),0)</f>
        <v>0</v>
      </c>
      <c r="K3037" s="455">
        <f t="shared" ca="1" si="156"/>
        <v>492789188.56429797</v>
      </c>
      <c r="L3037" s="455">
        <f t="shared" ca="1" si="157"/>
        <v>118762194443.99583</v>
      </c>
      <c r="M3037" s="471">
        <f t="shared" si="159"/>
        <v>0.05</v>
      </c>
      <c r="N3037" s="475">
        <f t="shared" si="160"/>
        <v>143482</v>
      </c>
    </row>
    <row r="3038" spans="7:14" ht="11.25" customHeight="1" x14ac:dyDescent="0.3">
      <c r="G3038" s="470"/>
      <c r="H3038" s="470">
        <v>3031</v>
      </c>
      <c r="I3038" s="455">
        <f t="shared" ca="1" si="158"/>
        <v>118762194443.99583</v>
      </c>
      <c r="J3038" s="455">
        <f t="array" ref="J3038">IFERROR(INDEX('Retirement Calculator'!J:J,MATCH('Isaac 401k'!N3038,'Retirement Calculator'!A:A,0),0),0)</f>
        <v>0</v>
      </c>
      <c r="K3038" s="455">
        <f t="shared" ca="1" si="156"/>
        <v>494842476.84998262</v>
      </c>
      <c r="L3038" s="455">
        <f t="shared" ca="1" si="157"/>
        <v>119257036920.84581</v>
      </c>
      <c r="M3038" s="471">
        <f t="shared" si="159"/>
        <v>0.05</v>
      </c>
      <c r="N3038" s="475">
        <f t="shared" si="160"/>
        <v>143512</v>
      </c>
    </row>
    <row r="3039" spans="7:14" ht="11.25" customHeight="1" x14ac:dyDescent="0.3">
      <c r="G3039" s="470"/>
      <c r="H3039" s="470">
        <v>3032</v>
      </c>
      <c r="I3039" s="455">
        <f t="shared" ca="1" si="158"/>
        <v>119257036920.84581</v>
      </c>
      <c r="J3039" s="455">
        <f t="array" ref="J3039">IFERROR(INDEX('Retirement Calculator'!J:J,MATCH('Isaac 401k'!N3039,'Retirement Calculator'!A:A,0),0),0)</f>
        <v>0</v>
      </c>
      <c r="K3039" s="455">
        <f t="shared" ca="1" si="156"/>
        <v>496904320.50352418</v>
      </c>
      <c r="L3039" s="455">
        <f t="shared" ca="1" si="157"/>
        <v>119753941241.34933</v>
      </c>
      <c r="M3039" s="471">
        <f t="shared" si="159"/>
        <v>0.05</v>
      </c>
      <c r="N3039" s="475">
        <f t="shared" si="160"/>
        <v>143543</v>
      </c>
    </row>
    <row r="3040" spans="7:14" ht="11.25" customHeight="1" x14ac:dyDescent="0.3">
      <c r="G3040" s="470"/>
      <c r="H3040" s="470">
        <v>3033</v>
      </c>
      <c r="I3040" s="455">
        <f t="shared" ca="1" si="158"/>
        <v>119753941241.34933</v>
      </c>
      <c r="J3040" s="455">
        <f t="array" ref="J3040">IFERROR(INDEX('Retirement Calculator'!J:J,MATCH('Isaac 401k'!N3040,'Retirement Calculator'!A:A,0),0),0)</f>
        <v>0</v>
      </c>
      <c r="K3040" s="455">
        <f t="shared" ca="1" si="156"/>
        <v>498974755.17228884</v>
      </c>
      <c r="L3040" s="455">
        <f t="shared" ca="1" si="157"/>
        <v>120252915996.52162</v>
      </c>
      <c r="M3040" s="471">
        <f t="shared" si="159"/>
        <v>0.05</v>
      </c>
      <c r="N3040" s="475">
        <f t="shared" si="160"/>
        <v>143574</v>
      </c>
    </row>
    <row r="3041" spans="7:14" ht="11.25" customHeight="1" x14ac:dyDescent="0.3">
      <c r="G3041" s="470"/>
      <c r="H3041" s="470">
        <v>3034</v>
      </c>
      <c r="I3041" s="455">
        <f t="shared" ca="1" si="158"/>
        <v>120252915996.52162</v>
      </c>
      <c r="J3041" s="455">
        <f t="array" ref="J3041">IFERROR(INDEX('Retirement Calculator'!J:J,MATCH('Isaac 401k'!N3041,'Retirement Calculator'!A:A,0),0),0)</f>
        <v>0</v>
      </c>
      <c r="K3041" s="455">
        <f t="shared" ca="1" si="156"/>
        <v>501053816.6521734</v>
      </c>
      <c r="L3041" s="455">
        <f t="shared" ca="1" si="157"/>
        <v>120753969813.1738</v>
      </c>
      <c r="M3041" s="471">
        <f t="shared" si="159"/>
        <v>0.05</v>
      </c>
      <c r="N3041" s="475">
        <f t="shared" si="160"/>
        <v>143602</v>
      </c>
    </row>
    <row r="3042" spans="7:14" ht="11.25" customHeight="1" x14ac:dyDescent="0.3">
      <c r="G3042" s="470"/>
      <c r="H3042" s="470">
        <v>3035</v>
      </c>
      <c r="I3042" s="455">
        <f t="shared" ca="1" si="158"/>
        <v>120753969813.1738</v>
      </c>
      <c r="J3042" s="455">
        <f t="array" ref="J3042">IFERROR(INDEX('Retirement Calculator'!J:J,MATCH('Isaac 401k'!N3042,'Retirement Calculator'!A:A,0),0),0)</f>
        <v>0</v>
      </c>
      <c r="K3042" s="455">
        <f t="shared" ca="1" si="156"/>
        <v>503141540.88822412</v>
      </c>
      <c r="L3042" s="455">
        <f t="shared" ca="1" si="157"/>
        <v>121257111354.06203</v>
      </c>
      <c r="M3042" s="471">
        <f t="shared" si="159"/>
        <v>0.05</v>
      </c>
      <c r="N3042" s="475">
        <f t="shared" si="160"/>
        <v>143633</v>
      </c>
    </row>
    <row r="3043" spans="7:14" ht="11.25" customHeight="1" x14ac:dyDescent="0.3">
      <c r="G3043" s="470"/>
      <c r="H3043" s="470">
        <v>3036</v>
      </c>
      <c r="I3043" s="455">
        <f t="shared" ca="1" si="158"/>
        <v>121257111354.06203</v>
      </c>
      <c r="J3043" s="455">
        <f t="array" ref="J3043">IFERROR(INDEX('Retirement Calculator'!J:J,MATCH('Isaac 401k'!N3043,'Retirement Calculator'!A:A,0),0),0)</f>
        <v>0</v>
      </c>
      <c r="K3043" s="455">
        <f t="shared" ca="1" si="156"/>
        <v>505237963.97525841</v>
      </c>
      <c r="L3043" s="455">
        <f t="shared" ca="1" si="157"/>
        <v>121762349318.03729</v>
      </c>
      <c r="M3043" s="471">
        <f t="shared" si="159"/>
        <v>0.05</v>
      </c>
      <c r="N3043" s="475">
        <f t="shared" si="160"/>
        <v>143663</v>
      </c>
    </row>
    <row r="3044" spans="7:14" ht="11.25" customHeight="1" x14ac:dyDescent="0.3">
      <c r="G3044" s="470"/>
      <c r="H3044" s="470">
        <v>3037</v>
      </c>
      <c r="I3044" s="455">
        <f t="shared" ca="1" si="158"/>
        <v>121762349318.03729</v>
      </c>
      <c r="J3044" s="455">
        <f t="array" ref="J3044">IFERROR(INDEX('Retirement Calculator'!J:J,MATCH('Isaac 401k'!N3044,'Retirement Calculator'!A:A,0),0),0)</f>
        <v>0</v>
      </c>
      <c r="K3044" s="455">
        <f t="shared" ca="1" si="156"/>
        <v>507343122.15848863</v>
      </c>
      <c r="L3044" s="455">
        <f t="shared" ca="1" si="157"/>
        <v>122269692440.19579</v>
      </c>
      <c r="M3044" s="471">
        <f t="shared" si="159"/>
        <v>0.05</v>
      </c>
      <c r="N3044" s="475">
        <f t="shared" si="160"/>
        <v>143694</v>
      </c>
    </row>
    <row r="3045" spans="7:14" ht="11.25" customHeight="1" x14ac:dyDescent="0.3">
      <c r="G3045" s="470"/>
      <c r="H3045" s="470">
        <v>3038</v>
      </c>
      <c r="I3045" s="455">
        <f t="shared" ca="1" si="158"/>
        <v>122269692440.19579</v>
      </c>
      <c r="J3045" s="455">
        <f t="array" ref="J3045">IFERROR(INDEX('Retirement Calculator'!J:J,MATCH('Isaac 401k'!N3045,'Retirement Calculator'!A:A,0),0),0)</f>
        <v>0</v>
      </c>
      <c r="K3045" s="455">
        <f t="shared" ca="1" si="156"/>
        <v>509457051.83414912</v>
      </c>
      <c r="L3045" s="455">
        <f t="shared" ca="1" si="157"/>
        <v>122779149492.02994</v>
      </c>
      <c r="M3045" s="471">
        <f t="shared" si="159"/>
        <v>0.05</v>
      </c>
      <c r="N3045" s="475">
        <f t="shared" si="160"/>
        <v>143724</v>
      </c>
    </row>
    <row r="3046" spans="7:14" ht="11.25" customHeight="1" x14ac:dyDescent="0.3">
      <c r="G3046" s="470"/>
      <c r="H3046" s="470">
        <v>3039</v>
      </c>
      <c r="I3046" s="455">
        <f t="shared" ca="1" si="158"/>
        <v>122779149492.02994</v>
      </c>
      <c r="J3046" s="455">
        <f t="array" ref="J3046">IFERROR(INDEX('Retirement Calculator'!J:J,MATCH('Isaac 401k'!N3046,'Retirement Calculator'!A:A,0),0),0)</f>
        <v>0</v>
      </c>
      <c r="K3046" s="455">
        <f t="shared" ca="1" si="156"/>
        <v>511579789.5501247</v>
      </c>
      <c r="L3046" s="455">
        <f t="shared" ca="1" si="157"/>
        <v>123290729281.58006</v>
      </c>
      <c r="M3046" s="471">
        <f t="shared" si="159"/>
        <v>0.05</v>
      </c>
      <c r="N3046" s="475">
        <f t="shared" si="160"/>
        <v>143755</v>
      </c>
    </row>
    <row r="3047" spans="7:14" ht="11.25" customHeight="1" x14ac:dyDescent="0.3">
      <c r="G3047" s="470"/>
      <c r="H3047" s="470">
        <v>3040</v>
      </c>
      <c r="I3047" s="455">
        <f t="shared" ca="1" si="158"/>
        <v>123290729281.58006</v>
      </c>
      <c r="J3047" s="455">
        <f t="array" ref="J3047">IFERROR(INDEX('Retirement Calculator'!J:J,MATCH('Isaac 401k'!N3047,'Retirement Calculator'!A:A,0),0),0)</f>
        <v>0</v>
      </c>
      <c r="K3047" s="455">
        <f t="shared" ca="1" si="156"/>
        <v>513711372.00658357</v>
      </c>
      <c r="L3047" s="455">
        <f t="shared" ca="1" si="157"/>
        <v>123804440653.58664</v>
      </c>
      <c r="M3047" s="471">
        <f t="shared" si="159"/>
        <v>0.05</v>
      </c>
      <c r="N3047" s="475">
        <f t="shared" si="160"/>
        <v>143786</v>
      </c>
    </row>
    <row r="3048" spans="7:14" ht="11.25" customHeight="1" x14ac:dyDescent="0.3">
      <c r="G3048" s="470"/>
      <c r="H3048" s="470">
        <v>3041</v>
      </c>
      <c r="I3048" s="455">
        <f t="shared" ca="1" si="158"/>
        <v>123804440653.58664</v>
      </c>
      <c r="J3048" s="455">
        <f t="array" ref="J3048">IFERROR(INDEX('Retirement Calculator'!J:J,MATCH('Isaac 401k'!N3048,'Retirement Calculator'!A:A,0),0),0)</f>
        <v>0</v>
      </c>
      <c r="K3048" s="455">
        <f t="shared" ca="1" si="156"/>
        <v>515851836.05661106</v>
      </c>
      <c r="L3048" s="455">
        <f t="shared" ca="1" si="157"/>
        <v>124320292489.64325</v>
      </c>
      <c r="M3048" s="471">
        <f t="shared" si="159"/>
        <v>0.05</v>
      </c>
      <c r="N3048" s="475">
        <f t="shared" si="160"/>
        <v>143816</v>
      </c>
    </row>
    <row r="3049" spans="7:14" ht="11.25" customHeight="1" x14ac:dyDescent="0.3">
      <c r="G3049" s="470"/>
      <c r="H3049" s="470">
        <v>3042</v>
      </c>
      <c r="I3049" s="455">
        <f t="shared" ca="1" si="158"/>
        <v>124320292489.64325</v>
      </c>
      <c r="J3049" s="455">
        <f t="array" ref="J3049">IFERROR(INDEX('Retirement Calculator'!J:J,MATCH('Isaac 401k'!N3049,'Retirement Calculator'!A:A,0),0),0)</f>
        <v>0</v>
      </c>
      <c r="K3049" s="455">
        <f t="shared" ca="1" si="156"/>
        <v>518001218.70684689</v>
      </c>
      <c r="L3049" s="455">
        <f t="shared" ca="1" si="157"/>
        <v>124838293708.3501</v>
      </c>
      <c r="M3049" s="471">
        <f t="shared" si="159"/>
        <v>0.05</v>
      </c>
      <c r="N3049" s="475">
        <f t="shared" si="160"/>
        <v>143847</v>
      </c>
    </row>
    <row r="3050" spans="7:14" ht="11.25" customHeight="1" x14ac:dyDescent="0.3">
      <c r="G3050" s="470"/>
      <c r="H3050" s="470">
        <v>3043</v>
      </c>
      <c r="I3050" s="455">
        <f t="shared" ca="1" si="158"/>
        <v>124838293708.3501</v>
      </c>
      <c r="J3050" s="455">
        <f t="array" ref="J3050">IFERROR(INDEX('Retirement Calculator'!J:J,MATCH('Isaac 401k'!N3050,'Retirement Calculator'!A:A,0),0),0)</f>
        <v>0</v>
      </c>
      <c r="K3050" s="455">
        <f t="shared" ca="1" si="156"/>
        <v>520159557.11812538</v>
      </c>
      <c r="L3050" s="455">
        <f t="shared" ca="1" si="157"/>
        <v>125358453265.46822</v>
      </c>
      <c r="M3050" s="471">
        <f t="shared" si="159"/>
        <v>0.05</v>
      </c>
      <c r="N3050" s="475">
        <f t="shared" si="160"/>
        <v>143877</v>
      </c>
    </row>
    <row r="3051" spans="7:14" ht="11.25" customHeight="1" x14ac:dyDescent="0.3">
      <c r="G3051" s="470"/>
      <c r="H3051" s="470">
        <v>3044</v>
      </c>
      <c r="I3051" s="455">
        <f t="shared" ca="1" si="158"/>
        <v>125358453265.46822</v>
      </c>
      <c r="J3051" s="455">
        <f t="array" ref="J3051">IFERROR(INDEX('Retirement Calculator'!J:J,MATCH('Isaac 401k'!N3051,'Retirement Calculator'!A:A,0),0),0)</f>
        <v>0</v>
      </c>
      <c r="K3051" s="455">
        <f t="shared" ca="1" si="156"/>
        <v>522326888.60611755</v>
      </c>
      <c r="L3051" s="455">
        <f t="shared" ca="1" si="157"/>
        <v>125880780154.07434</v>
      </c>
      <c r="M3051" s="471">
        <f t="shared" si="159"/>
        <v>0.05</v>
      </c>
      <c r="N3051" s="475">
        <f t="shared" si="160"/>
        <v>143908</v>
      </c>
    </row>
    <row r="3052" spans="7:14" ht="11.25" customHeight="1" x14ac:dyDescent="0.3">
      <c r="G3052" s="470"/>
      <c r="H3052" s="470">
        <v>3045</v>
      </c>
      <c r="I3052" s="455">
        <f t="shared" ca="1" si="158"/>
        <v>125880780154.07434</v>
      </c>
      <c r="J3052" s="455">
        <f t="array" ref="J3052">IFERROR(INDEX('Retirement Calculator'!J:J,MATCH('Isaac 401k'!N3052,'Retirement Calculator'!A:A,0),0),0)</f>
        <v>0</v>
      </c>
      <c r="K3052" s="455">
        <f t="shared" ca="1" si="156"/>
        <v>524503250.64197636</v>
      </c>
      <c r="L3052" s="455">
        <f t="shared" ca="1" si="157"/>
        <v>126405283404.71632</v>
      </c>
      <c r="M3052" s="471">
        <f t="shared" si="159"/>
        <v>0.05</v>
      </c>
      <c r="N3052" s="475">
        <f t="shared" si="160"/>
        <v>143939</v>
      </c>
    </row>
    <row r="3053" spans="7:14" ht="11.25" customHeight="1" x14ac:dyDescent="0.3">
      <c r="G3053" s="470"/>
      <c r="H3053" s="470">
        <v>3046</v>
      </c>
      <c r="I3053" s="455">
        <f t="shared" ca="1" si="158"/>
        <v>126405283404.71632</v>
      </c>
      <c r="J3053" s="455">
        <f t="array" ref="J3053">IFERROR(INDEX('Retirement Calculator'!J:J,MATCH('Isaac 401k'!N3053,'Retirement Calculator'!A:A,0),0),0)</f>
        <v>0</v>
      </c>
      <c r="K3053" s="455">
        <f t="shared" ca="1" si="156"/>
        <v>526688680.85298467</v>
      </c>
      <c r="L3053" s="455">
        <f t="shared" ca="1" si="157"/>
        <v>126931972085.56931</v>
      </c>
      <c r="M3053" s="471">
        <f t="shared" si="159"/>
        <v>0.05</v>
      </c>
      <c r="N3053" s="475">
        <f t="shared" si="160"/>
        <v>143967</v>
      </c>
    </row>
    <row r="3054" spans="7:14" ht="11.25" customHeight="1" x14ac:dyDescent="0.3">
      <c r="G3054" s="470"/>
      <c r="H3054" s="470">
        <v>3047</v>
      </c>
      <c r="I3054" s="455">
        <f t="shared" ca="1" si="158"/>
        <v>126931972085.56931</v>
      </c>
      <c r="J3054" s="455">
        <f t="array" ref="J3054">IFERROR(INDEX('Retirement Calculator'!J:J,MATCH('Isaac 401k'!N3054,'Retirement Calculator'!A:A,0),0),0)</f>
        <v>0</v>
      </c>
      <c r="K3054" s="455">
        <f t="shared" ca="1" si="156"/>
        <v>528883217.02320534</v>
      </c>
      <c r="L3054" s="455">
        <f t="shared" ca="1" si="157"/>
        <v>127460855302.59251</v>
      </c>
      <c r="M3054" s="471">
        <f t="shared" si="159"/>
        <v>0.05</v>
      </c>
      <c r="N3054" s="475">
        <f t="shared" si="160"/>
        <v>143998</v>
      </c>
    </row>
    <row r="3055" spans="7:14" ht="11.25" customHeight="1" x14ac:dyDescent="0.3">
      <c r="G3055" s="470"/>
      <c r="H3055" s="470">
        <v>3048</v>
      </c>
      <c r="I3055" s="455">
        <f t="shared" ca="1" si="158"/>
        <v>127460855302.59251</v>
      </c>
      <c r="J3055" s="455">
        <f t="array" ref="J3055">IFERROR(INDEX('Retirement Calculator'!J:J,MATCH('Isaac 401k'!N3055,'Retirement Calculator'!A:A,0),0),0)</f>
        <v>0</v>
      </c>
      <c r="K3055" s="455">
        <f t="shared" ca="1" si="156"/>
        <v>531086897.09413546</v>
      </c>
      <c r="L3055" s="455">
        <f t="shared" ca="1" si="157"/>
        <v>127991942199.68665</v>
      </c>
      <c r="M3055" s="471">
        <f t="shared" si="159"/>
        <v>0.05</v>
      </c>
      <c r="N3055" s="475">
        <f t="shared" si="160"/>
        <v>144028</v>
      </c>
    </row>
    <row r="3056" spans="7:14" ht="11.25" customHeight="1" x14ac:dyDescent="0.3">
      <c r="G3056" s="470"/>
      <c r="H3056" s="470">
        <v>3049</v>
      </c>
      <c r="I3056" s="455">
        <f t="shared" ca="1" si="158"/>
        <v>127991942199.68665</v>
      </c>
      <c r="J3056" s="455">
        <f t="array" ref="J3056">IFERROR(INDEX('Retirement Calculator'!J:J,MATCH('Isaac 401k'!N3056,'Retirement Calculator'!A:A,0),0),0)</f>
        <v>0</v>
      </c>
      <c r="K3056" s="455">
        <f t="shared" ca="1" si="156"/>
        <v>533299759.16536099</v>
      </c>
      <c r="L3056" s="455">
        <f t="shared" ca="1" si="157"/>
        <v>128525241958.85201</v>
      </c>
      <c r="M3056" s="471">
        <f t="shared" si="159"/>
        <v>0.05</v>
      </c>
      <c r="N3056" s="475">
        <f t="shared" si="160"/>
        <v>144059</v>
      </c>
    </row>
    <row r="3057" spans="7:14" ht="11.25" customHeight="1" x14ac:dyDescent="0.3">
      <c r="G3057" s="470"/>
      <c r="H3057" s="470">
        <v>3050</v>
      </c>
      <c r="I3057" s="455">
        <f t="shared" ca="1" si="158"/>
        <v>128525241958.85201</v>
      </c>
      <c r="J3057" s="455">
        <f t="array" ref="J3057">IFERROR(INDEX('Retirement Calculator'!J:J,MATCH('Isaac 401k'!N3057,'Retirement Calculator'!A:A,0),0),0)</f>
        <v>0</v>
      </c>
      <c r="K3057" s="455">
        <f t="shared" ca="1" si="156"/>
        <v>535521841.49521667</v>
      </c>
      <c r="L3057" s="455">
        <f t="shared" ca="1" si="157"/>
        <v>129060763800.34723</v>
      </c>
      <c r="M3057" s="471">
        <f t="shared" si="159"/>
        <v>0.05</v>
      </c>
      <c r="N3057" s="475">
        <f t="shared" si="160"/>
        <v>144089</v>
      </c>
    </row>
    <row r="3058" spans="7:14" ht="11.25" customHeight="1" x14ac:dyDescent="0.3">
      <c r="G3058" s="470"/>
      <c r="H3058" s="470">
        <v>3051</v>
      </c>
      <c r="I3058" s="455">
        <f t="shared" ca="1" si="158"/>
        <v>129060763800.34723</v>
      </c>
      <c r="J3058" s="455">
        <f t="array" ref="J3058">IFERROR(INDEX('Retirement Calculator'!J:J,MATCH('Isaac 401k'!N3058,'Retirement Calculator'!A:A,0),0),0)</f>
        <v>0</v>
      </c>
      <c r="K3058" s="455">
        <f t="shared" ca="1" si="156"/>
        <v>537753182.50144672</v>
      </c>
      <c r="L3058" s="455">
        <f t="shared" ca="1" si="157"/>
        <v>129598516982.84868</v>
      </c>
      <c r="M3058" s="471">
        <f t="shared" si="159"/>
        <v>0.05</v>
      </c>
      <c r="N3058" s="475">
        <f t="shared" si="160"/>
        <v>144120</v>
      </c>
    </row>
    <row r="3059" spans="7:14" ht="11.25" customHeight="1" x14ac:dyDescent="0.3">
      <c r="G3059" s="470"/>
      <c r="H3059" s="470">
        <v>3052</v>
      </c>
      <c r="I3059" s="455">
        <f t="shared" ca="1" si="158"/>
        <v>129598516982.84868</v>
      </c>
      <c r="J3059" s="455">
        <f t="array" ref="J3059">IFERROR(INDEX('Retirement Calculator'!J:J,MATCH('Isaac 401k'!N3059,'Retirement Calculator'!A:A,0),0),0)</f>
        <v>0</v>
      </c>
      <c r="K3059" s="455">
        <f t="shared" ca="1" si="156"/>
        <v>539993820.76186943</v>
      </c>
      <c r="L3059" s="455">
        <f t="shared" ca="1" si="157"/>
        <v>130138510803.61055</v>
      </c>
      <c r="M3059" s="471">
        <f t="shared" si="159"/>
        <v>0.05</v>
      </c>
      <c r="N3059" s="475">
        <f t="shared" si="160"/>
        <v>144151</v>
      </c>
    </row>
    <row r="3060" spans="7:14" ht="11.25" customHeight="1" x14ac:dyDescent="0.3">
      <c r="G3060" s="470"/>
      <c r="H3060" s="470">
        <v>3053</v>
      </c>
      <c r="I3060" s="455">
        <f t="shared" ca="1" si="158"/>
        <v>130138510803.61055</v>
      </c>
      <c r="J3060" s="455">
        <f t="array" ref="J3060">IFERROR(INDEX('Retirement Calculator'!J:J,MATCH('Isaac 401k'!N3060,'Retirement Calculator'!A:A,0),0),0)</f>
        <v>0</v>
      </c>
      <c r="K3060" s="455">
        <f t="shared" ca="1" si="156"/>
        <v>542243795.01504397</v>
      </c>
      <c r="L3060" s="455">
        <f t="shared" ca="1" si="157"/>
        <v>130680754598.6256</v>
      </c>
      <c r="M3060" s="471">
        <f t="shared" si="159"/>
        <v>0.05</v>
      </c>
      <c r="N3060" s="475">
        <f t="shared" si="160"/>
        <v>144181</v>
      </c>
    </row>
    <row r="3061" spans="7:14" ht="11.25" customHeight="1" x14ac:dyDescent="0.3">
      <c r="G3061" s="470"/>
      <c r="H3061" s="470">
        <v>3054</v>
      </c>
      <c r="I3061" s="455">
        <f t="shared" ca="1" si="158"/>
        <v>130680754598.6256</v>
      </c>
      <c r="J3061" s="455">
        <f t="array" ref="J3061">IFERROR(INDEX('Retirement Calculator'!J:J,MATCH('Isaac 401k'!N3061,'Retirement Calculator'!A:A,0),0),0)</f>
        <v>0</v>
      </c>
      <c r="K3061" s="455">
        <f t="shared" ca="1" si="156"/>
        <v>544503144.16093993</v>
      </c>
      <c r="L3061" s="455">
        <f t="shared" ca="1" si="157"/>
        <v>131225257742.78653</v>
      </c>
      <c r="M3061" s="471">
        <f t="shared" si="159"/>
        <v>0.05</v>
      </c>
      <c r="N3061" s="475">
        <f t="shared" si="160"/>
        <v>144212</v>
      </c>
    </row>
    <row r="3062" spans="7:14" ht="11.25" customHeight="1" x14ac:dyDescent="0.3">
      <c r="G3062" s="470"/>
      <c r="H3062" s="470">
        <v>3055</v>
      </c>
      <c r="I3062" s="455">
        <f t="shared" ca="1" si="158"/>
        <v>131225257742.78653</v>
      </c>
      <c r="J3062" s="455">
        <f t="array" ref="J3062">IFERROR(INDEX('Retirement Calculator'!J:J,MATCH('Isaac 401k'!N3062,'Retirement Calculator'!A:A,0),0),0)</f>
        <v>0</v>
      </c>
      <c r="K3062" s="455">
        <f t="shared" ca="1" si="156"/>
        <v>546771907.26161051</v>
      </c>
      <c r="L3062" s="455">
        <f t="shared" ca="1" si="157"/>
        <v>131772029650.04814</v>
      </c>
      <c r="M3062" s="471">
        <f t="shared" si="159"/>
        <v>0.05</v>
      </c>
      <c r="N3062" s="475">
        <f t="shared" si="160"/>
        <v>144242</v>
      </c>
    </row>
    <row r="3063" spans="7:14" ht="11.25" customHeight="1" x14ac:dyDescent="0.3">
      <c r="G3063" s="470"/>
      <c r="H3063" s="470">
        <v>3056</v>
      </c>
      <c r="I3063" s="455">
        <f t="shared" ca="1" si="158"/>
        <v>131772029650.04814</v>
      </c>
      <c r="J3063" s="455">
        <f t="array" ref="J3063">IFERROR(INDEX('Retirement Calculator'!J:J,MATCH('Isaac 401k'!N3063,'Retirement Calculator'!A:A,0),0),0)</f>
        <v>0</v>
      </c>
      <c r="K3063" s="455">
        <f t="shared" ca="1" si="156"/>
        <v>549050123.54186726</v>
      </c>
      <c r="L3063" s="455">
        <f t="shared" ca="1" si="157"/>
        <v>132321079773.59001</v>
      </c>
      <c r="M3063" s="471">
        <f t="shared" si="159"/>
        <v>0.05</v>
      </c>
      <c r="N3063" s="475">
        <f t="shared" si="160"/>
        <v>144273</v>
      </c>
    </row>
    <row r="3064" spans="7:14" ht="11.25" customHeight="1" x14ac:dyDescent="0.3">
      <c r="G3064" s="470"/>
      <c r="H3064" s="470">
        <v>3057</v>
      </c>
      <c r="I3064" s="455">
        <f t="shared" ca="1" si="158"/>
        <v>132321079773.59001</v>
      </c>
      <c r="J3064" s="455">
        <f t="array" ref="J3064">IFERROR(INDEX('Retirement Calculator'!J:J,MATCH('Isaac 401k'!N3064,'Retirement Calculator'!A:A,0),0),0)</f>
        <v>0</v>
      </c>
      <c r="K3064" s="455">
        <f t="shared" ca="1" si="156"/>
        <v>551337832.38995838</v>
      </c>
      <c r="L3064" s="455">
        <f t="shared" ca="1" si="157"/>
        <v>132872417605.97997</v>
      </c>
      <c r="M3064" s="471">
        <f t="shared" si="159"/>
        <v>0.05</v>
      </c>
      <c r="N3064" s="475">
        <f t="shared" si="160"/>
        <v>144304</v>
      </c>
    </row>
    <row r="3065" spans="7:14" ht="11.25" customHeight="1" x14ac:dyDescent="0.3">
      <c r="G3065" s="470"/>
      <c r="H3065" s="470">
        <v>3058</v>
      </c>
      <c r="I3065" s="455">
        <f t="shared" ca="1" si="158"/>
        <v>132872417605.97997</v>
      </c>
      <c r="J3065" s="455">
        <f t="array" ref="J3065">IFERROR(INDEX('Retirement Calculator'!J:J,MATCH('Isaac 401k'!N3065,'Retirement Calculator'!A:A,0),0),0)</f>
        <v>0</v>
      </c>
      <c r="K3065" s="455">
        <f t="shared" ca="1" si="156"/>
        <v>553635073.35824978</v>
      </c>
      <c r="L3065" s="455">
        <f t="shared" ca="1" si="157"/>
        <v>133426052679.33821</v>
      </c>
      <c r="M3065" s="471">
        <f t="shared" si="159"/>
        <v>0.05</v>
      </c>
      <c r="N3065" s="475">
        <f t="shared" si="160"/>
        <v>144332</v>
      </c>
    </row>
    <row r="3066" spans="7:14" ht="11.25" customHeight="1" x14ac:dyDescent="0.3">
      <c r="G3066" s="470"/>
      <c r="H3066" s="470">
        <v>3059</v>
      </c>
      <c r="I3066" s="455">
        <f t="shared" ca="1" si="158"/>
        <v>133426052679.33821</v>
      </c>
      <c r="J3066" s="455">
        <f t="array" ref="J3066">IFERROR(INDEX('Retirement Calculator'!J:J,MATCH('Isaac 401k'!N3066,'Retirement Calculator'!A:A,0),0),0)</f>
        <v>0</v>
      </c>
      <c r="K3066" s="455">
        <f t="shared" ca="1" si="156"/>
        <v>555941886.1639092</v>
      </c>
      <c r="L3066" s="455">
        <f t="shared" ca="1" si="157"/>
        <v>133981994565.50212</v>
      </c>
      <c r="M3066" s="471">
        <f t="shared" si="159"/>
        <v>0.05</v>
      </c>
      <c r="N3066" s="475">
        <f t="shared" si="160"/>
        <v>144363</v>
      </c>
    </row>
    <row r="3067" spans="7:14" ht="11.25" customHeight="1" x14ac:dyDescent="0.3">
      <c r="G3067" s="470"/>
      <c r="H3067" s="470">
        <v>3060</v>
      </c>
      <c r="I3067" s="455">
        <f t="shared" ca="1" si="158"/>
        <v>133981994565.50212</v>
      </c>
      <c r="J3067" s="455">
        <f t="array" ref="J3067">IFERROR(INDEX('Retirement Calculator'!J:J,MATCH('Isaac 401k'!N3067,'Retirement Calculator'!A:A,0),0),0)</f>
        <v>0</v>
      </c>
      <c r="K3067" s="455">
        <f t="shared" ca="1" si="156"/>
        <v>558258310.68959212</v>
      </c>
      <c r="L3067" s="455">
        <f t="shared" ca="1" si="157"/>
        <v>134540252876.19171</v>
      </c>
      <c r="M3067" s="471">
        <f t="shared" si="159"/>
        <v>0.05</v>
      </c>
      <c r="N3067" s="475">
        <f t="shared" si="160"/>
        <v>144393</v>
      </c>
    </row>
    <row r="3068" spans="7:14" ht="11.25" customHeight="1" x14ac:dyDescent="0.3">
      <c r="G3068" s="470"/>
      <c r="H3068" s="470">
        <v>3061</v>
      </c>
      <c r="I3068" s="455">
        <f t="shared" ca="1" si="158"/>
        <v>134540252876.19171</v>
      </c>
      <c r="J3068" s="455">
        <f t="array" ref="J3068">IFERROR(INDEX('Retirement Calculator'!J:J,MATCH('Isaac 401k'!N3068,'Retirement Calculator'!A:A,0),0),0)</f>
        <v>0</v>
      </c>
      <c r="K3068" s="455">
        <f t="shared" ref="K3068:K3322" ca="1" si="161">IPMT(M3068/12,1,12,-I3068+J3068,,0)</f>
        <v>560584386.98413205</v>
      </c>
      <c r="L3068" s="455">
        <f t="shared" ref="L3068:L3322" ca="1" si="162">I3068-J3068+K3068</f>
        <v>135100837263.17584</v>
      </c>
      <c r="M3068" s="471">
        <f t="shared" si="159"/>
        <v>0.05</v>
      </c>
      <c r="N3068" s="475">
        <f t="shared" si="160"/>
        <v>144424</v>
      </c>
    </row>
    <row r="3069" spans="7:14" ht="11.25" customHeight="1" x14ac:dyDescent="0.3">
      <c r="G3069" s="470"/>
      <c r="H3069" s="470">
        <v>3062</v>
      </c>
      <c r="I3069" s="455">
        <f t="shared" ref="I3069:I3323" ca="1" si="163">L3068</f>
        <v>135100837263.17584</v>
      </c>
      <c r="J3069" s="455">
        <f t="array" ref="J3069">IFERROR(INDEX('Retirement Calculator'!J:J,MATCH('Isaac 401k'!N3069,'Retirement Calculator'!A:A,0),0),0)</f>
        <v>0</v>
      </c>
      <c r="K3069" s="455">
        <f t="shared" ca="1" si="161"/>
        <v>562920155.26323271</v>
      </c>
      <c r="L3069" s="455">
        <f t="shared" ca="1" si="162"/>
        <v>135663757418.43907</v>
      </c>
      <c r="M3069" s="471">
        <f t="shared" ref="M3069:M3323" si="164">M3068</f>
        <v>0.05</v>
      </c>
      <c r="N3069" s="475">
        <f t="shared" ref="N3069:N3323" si="165">EDATE(N3068,1)</f>
        <v>144454</v>
      </c>
    </row>
    <row r="3070" spans="7:14" ht="11.25" customHeight="1" x14ac:dyDescent="0.3">
      <c r="G3070" s="470"/>
      <c r="H3070" s="470">
        <v>3063</v>
      </c>
      <c r="I3070" s="455">
        <f t="shared" ca="1" si="163"/>
        <v>135663757418.43907</v>
      </c>
      <c r="J3070" s="455">
        <f t="array" ref="J3070">IFERROR(INDEX('Retirement Calculator'!J:J,MATCH('Isaac 401k'!N3070,'Retirement Calculator'!A:A,0),0),0)</f>
        <v>0</v>
      </c>
      <c r="K3070" s="455">
        <f t="shared" ca="1" si="161"/>
        <v>565265655.91016269</v>
      </c>
      <c r="L3070" s="455">
        <f t="shared" ca="1" si="162"/>
        <v>136229023074.34923</v>
      </c>
      <c r="M3070" s="471">
        <f t="shared" si="164"/>
        <v>0.05</v>
      </c>
      <c r="N3070" s="475">
        <f t="shared" si="165"/>
        <v>144485</v>
      </c>
    </row>
    <row r="3071" spans="7:14" ht="11.25" customHeight="1" x14ac:dyDescent="0.3">
      <c r="G3071" s="470"/>
      <c r="H3071" s="470">
        <v>3064</v>
      </c>
      <c r="I3071" s="455">
        <f t="shared" ca="1" si="163"/>
        <v>136229023074.34923</v>
      </c>
      <c r="J3071" s="455">
        <f t="array" ref="J3071">IFERROR(INDEX('Retirement Calculator'!J:J,MATCH('Isaac 401k'!N3071,'Retirement Calculator'!A:A,0),0),0)</f>
        <v>0</v>
      </c>
      <c r="K3071" s="455">
        <f t="shared" ca="1" si="161"/>
        <v>567620929.47645509</v>
      </c>
      <c r="L3071" s="455">
        <f t="shared" ca="1" si="162"/>
        <v>136796644003.82568</v>
      </c>
      <c r="M3071" s="471">
        <f t="shared" si="164"/>
        <v>0.05</v>
      </c>
      <c r="N3071" s="475">
        <f t="shared" si="165"/>
        <v>144516</v>
      </c>
    </row>
    <row r="3072" spans="7:14" ht="11.25" customHeight="1" x14ac:dyDescent="0.3">
      <c r="G3072" s="470"/>
      <c r="H3072" s="470">
        <v>3065</v>
      </c>
      <c r="I3072" s="455">
        <f t="shared" ca="1" si="163"/>
        <v>136796644003.82568</v>
      </c>
      <c r="J3072" s="455">
        <f t="array" ref="J3072">IFERROR(INDEX('Retirement Calculator'!J:J,MATCH('Isaac 401k'!N3072,'Retirement Calculator'!A:A,0),0),0)</f>
        <v>0</v>
      </c>
      <c r="K3072" s="455">
        <f t="shared" ca="1" si="161"/>
        <v>569986016.68260705</v>
      </c>
      <c r="L3072" s="455">
        <f t="shared" ca="1" si="162"/>
        <v>137366630020.50829</v>
      </c>
      <c r="M3072" s="471">
        <f t="shared" si="164"/>
        <v>0.05</v>
      </c>
      <c r="N3072" s="475">
        <f t="shared" si="165"/>
        <v>144546</v>
      </c>
    </row>
    <row r="3073" spans="7:14" ht="11.25" customHeight="1" x14ac:dyDescent="0.3">
      <c r="G3073" s="470"/>
      <c r="H3073" s="470">
        <v>3066</v>
      </c>
      <c r="I3073" s="455">
        <f t="shared" ca="1" si="163"/>
        <v>137366630020.50829</v>
      </c>
      <c r="J3073" s="455">
        <f t="array" ref="J3073">IFERROR(INDEX('Retirement Calculator'!J:J,MATCH('Isaac 401k'!N3073,'Retirement Calculator'!A:A,0),0),0)</f>
        <v>0</v>
      </c>
      <c r="K3073" s="455">
        <f t="shared" ca="1" si="161"/>
        <v>572360958.4187845</v>
      </c>
      <c r="L3073" s="455">
        <f t="shared" ca="1" si="162"/>
        <v>137938990978.92706</v>
      </c>
      <c r="M3073" s="471">
        <f t="shared" si="164"/>
        <v>0.05</v>
      </c>
      <c r="N3073" s="475">
        <f t="shared" si="165"/>
        <v>144577</v>
      </c>
    </row>
    <row r="3074" spans="7:14" ht="11.25" customHeight="1" x14ac:dyDescent="0.3">
      <c r="G3074" s="470"/>
      <c r="H3074" s="470">
        <v>3067</v>
      </c>
      <c r="I3074" s="455">
        <f t="shared" ca="1" si="163"/>
        <v>137938990978.92706</v>
      </c>
      <c r="J3074" s="455">
        <f t="array" ref="J3074">IFERROR(INDEX('Retirement Calculator'!J:J,MATCH('Isaac 401k'!N3074,'Retirement Calculator'!A:A,0),0),0)</f>
        <v>0</v>
      </c>
      <c r="K3074" s="455">
        <f t="shared" ca="1" si="161"/>
        <v>574745795.74552941</v>
      </c>
      <c r="L3074" s="455">
        <f t="shared" ca="1" si="162"/>
        <v>138513736774.67261</v>
      </c>
      <c r="M3074" s="471">
        <f t="shared" si="164"/>
        <v>0.05</v>
      </c>
      <c r="N3074" s="475">
        <f t="shared" si="165"/>
        <v>144607</v>
      </c>
    </row>
    <row r="3075" spans="7:14" ht="11.25" customHeight="1" x14ac:dyDescent="0.3">
      <c r="G3075" s="470"/>
      <c r="H3075" s="470">
        <v>3068</v>
      </c>
      <c r="I3075" s="455">
        <f t="shared" ca="1" si="163"/>
        <v>138513736774.67261</v>
      </c>
      <c r="J3075" s="455">
        <f t="array" ref="J3075">IFERROR(INDEX('Retirement Calculator'!J:J,MATCH('Isaac 401k'!N3075,'Retirement Calculator'!A:A,0),0),0)</f>
        <v>0</v>
      </c>
      <c r="K3075" s="455">
        <f t="shared" ca="1" si="161"/>
        <v>577140569.89446914</v>
      </c>
      <c r="L3075" s="455">
        <f t="shared" ca="1" si="162"/>
        <v>139090877344.56708</v>
      </c>
      <c r="M3075" s="471">
        <f t="shared" si="164"/>
        <v>0.05</v>
      </c>
      <c r="N3075" s="475">
        <f t="shared" si="165"/>
        <v>144638</v>
      </c>
    </row>
    <row r="3076" spans="7:14" ht="11.25" customHeight="1" x14ac:dyDescent="0.3">
      <c r="G3076" s="470"/>
      <c r="H3076" s="470">
        <v>3069</v>
      </c>
      <c r="I3076" s="455">
        <f t="shared" ca="1" si="163"/>
        <v>139090877344.56708</v>
      </c>
      <c r="J3076" s="455">
        <f t="array" ref="J3076">IFERROR(INDEX('Retirement Calculator'!J:J,MATCH('Isaac 401k'!N3076,'Retirement Calculator'!A:A,0),0),0)</f>
        <v>0</v>
      </c>
      <c r="K3076" s="455">
        <f t="shared" ca="1" si="161"/>
        <v>579545322.2690295</v>
      </c>
      <c r="L3076" s="455">
        <f t="shared" ca="1" si="162"/>
        <v>139670422666.83612</v>
      </c>
      <c r="M3076" s="471">
        <f t="shared" si="164"/>
        <v>0.05</v>
      </c>
      <c r="N3076" s="475">
        <f t="shared" si="165"/>
        <v>144669</v>
      </c>
    </row>
    <row r="3077" spans="7:14" ht="11.25" customHeight="1" x14ac:dyDescent="0.3">
      <c r="G3077" s="470"/>
      <c r="H3077" s="470">
        <v>3070</v>
      </c>
      <c r="I3077" s="455">
        <f t="shared" ca="1" si="163"/>
        <v>139670422666.83612</v>
      </c>
      <c r="J3077" s="455">
        <f t="array" ref="J3077">IFERROR(INDEX('Retirement Calculator'!J:J,MATCH('Isaac 401k'!N3077,'Retirement Calculator'!A:A,0),0),0)</f>
        <v>0</v>
      </c>
      <c r="K3077" s="455">
        <f t="shared" ca="1" si="161"/>
        <v>581960094.44515049</v>
      </c>
      <c r="L3077" s="455">
        <f t="shared" ca="1" si="162"/>
        <v>140252382761.28128</v>
      </c>
      <c r="M3077" s="471">
        <f t="shared" si="164"/>
        <v>0.05</v>
      </c>
      <c r="N3077" s="475">
        <f t="shared" si="165"/>
        <v>144698</v>
      </c>
    </row>
    <row r="3078" spans="7:14" ht="11.25" customHeight="1" x14ac:dyDescent="0.3">
      <c r="G3078" s="470"/>
      <c r="H3078" s="470">
        <v>3071</v>
      </c>
      <c r="I3078" s="455">
        <f t="shared" ca="1" si="163"/>
        <v>140252382761.28128</v>
      </c>
      <c r="J3078" s="455">
        <f t="array" ref="J3078">IFERROR(INDEX('Retirement Calculator'!J:J,MATCH('Isaac 401k'!N3078,'Retirement Calculator'!A:A,0),0),0)</f>
        <v>0</v>
      </c>
      <c r="K3078" s="455">
        <f t="shared" ca="1" si="161"/>
        <v>584384928.1720053</v>
      </c>
      <c r="L3078" s="455">
        <f t="shared" ca="1" si="162"/>
        <v>140836767689.45328</v>
      </c>
      <c r="M3078" s="471">
        <f t="shared" si="164"/>
        <v>0.05</v>
      </c>
      <c r="N3078" s="475">
        <f t="shared" si="165"/>
        <v>144729</v>
      </c>
    </row>
    <row r="3079" spans="7:14" ht="11.25" customHeight="1" x14ac:dyDescent="0.3">
      <c r="G3079" s="470"/>
      <c r="H3079" s="470">
        <v>3072</v>
      </c>
      <c r="I3079" s="455">
        <f t="shared" ca="1" si="163"/>
        <v>140836767689.45328</v>
      </c>
      <c r="J3079" s="455">
        <f t="array" ref="J3079">IFERROR(INDEX('Retirement Calculator'!J:J,MATCH('Isaac 401k'!N3079,'Retirement Calculator'!A:A,0),0),0)</f>
        <v>0</v>
      </c>
      <c r="K3079" s="455">
        <f t="shared" ca="1" si="161"/>
        <v>586819865.37272203</v>
      </c>
      <c r="L3079" s="455">
        <f t="shared" ca="1" si="162"/>
        <v>141423587554.82599</v>
      </c>
      <c r="M3079" s="471">
        <f t="shared" si="164"/>
        <v>0.05</v>
      </c>
      <c r="N3079" s="475">
        <f t="shared" si="165"/>
        <v>144759</v>
      </c>
    </row>
    <row r="3080" spans="7:14" ht="11.25" customHeight="1" x14ac:dyDescent="0.3">
      <c r="G3080" s="470"/>
      <c r="H3080" s="470">
        <v>3073</v>
      </c>
      <c r="I3080" s="455">
        <f t="shared" ca="1" si="163"/>
        <v>141423587554.82599</v>
      </c>
      <c r="J3080" s="455">
        <f t="array" ref="J3080">IFERROR(INDEX('Retirement Calculator'!J:J,MATCH('Isaac 401k'!N3080,'Retirement Calculator'!A:A,0),0),0)</f>
        <v>0</v>
      </c>
      <c r="K3080" s="455">
        <f t="shared" ca="1" si="161"/>
        <v>589264948.14510822</v>
      </c>
      <c r="L3080" s="455">
        <f t="shared" ca="1" si="162"/>
        <v>142012852502.9711</v>
      </c>
      <c r="M3080" s="471">
        <f t="shared" si="164"/>
        <v>0.05</v>
      </c>
      <c r="N3080" s="475">
        <f t="shared" si="165"/>
        <v>144790</v>
      </c>
    </row>
    <row r="3081" spans="7:14" ht="11.25" customHeight="1" x14ac:dyDescent="0.3">
      <c r="G3081" s="470"/>
      <c r="H3081" s="470">
        <v>3074</v>
      </c>
      <c r="I3081" s="455">
        <f t="shared" ca="1" si="163"/>
        <v>142012852502.9711</v>
      </c>
      <c r="J3081" s="455">
        <f t="array" ref="J3081">IFERROR(INDEX('Retirement Calculator'!J:J,MATCH('Isaac 401k'!N3081,'Retirement Calculator'!A:A,0),0),0)</f>
        <v>0</v>
      </c>
      <c r="K3081" s="455">
        <f t="shared" ca="1" si="161"/>
        <v>591720218.76237953</v>
      </c>
      <c r="L3081" s="455">
        <f t="shared" ca="1" si="162"/>
        <v>142604572721.73349</v>
      </c>
      <c r="M3081" s="471">
        <f t="shared" si="164"/>
        <v>0.05</v>
      </c>
      <c r="N3081" s="475">
        <f t="shared" si="165"/>
        <v>144820</v>
      </c>
    </row>
    <row r="3082" spans="7:14" ht="11.25" customHeight="1" x14ac:dyDescent="0.3">
      <c r="G3082" s="470"/>
      <c r="H3082" s="470">
        <v>3075</v>
      </c>
      <c r="I3082" s="455">
        <f t="shared" ca="1" si="163"/>
        <v>142604572721.73349</v>
      </c>
      <c r="J3082" s="455">
        <f t="array" ref="J3082">IFERROR(INDEX('Retirement Calculator'!J:J,MATCH('Isaac 401k'!N3082,'Retirement Calculator'!A:A,0),0),0)</f>
        <v>0</v>
      </c>
      <c r="K3082" s="455">
        <f t="shared" ca="1" si="161"/>
        <v>594185719.67388952</v>
      </c>
      <c r="L3082" s="455">
        <f t="shared" ca="1" si="162"/>
        <v>143198758441.40738</v>
      </c>
      <c r="M3082" s="471">
        <f t="shared" si="164"/>
        <v>0.05</v>
      </c>
      <c r="N3082" s="475">
        <f t="shared" si="165"/>
        <v>144851</v>
      </c>
    </row>
    <row r="3083" spans="7:14" ht="11.25" customHeight="1" x14ac:dyDescent="0.3">
      <c r="G3083" s="470"/>
      <c r="H3083" s="470">
        <v>3076</v>
      </c>
      <c r="I3083" s="455">
        <f t="shared" ca="1" si="163"/>
        <v>143198758441.40738</v>
      </c>
      <c r="J3083" s="455">
        <f t="array" ref="J3083">IFERROR(INDEX('Retirement Calculator'!J:J,MATCH('Isaac 401k'!N3083,'Retirement Calculator'!A:A,0),0),0)</f>
        <v>0</v>
      </c>
      <c r="K3083" s="455">
        <f t="shared" ca="1" si="161"/>
        <v>596661493.50586402</v>
      </c>
      <c r="L3083" s="455">
        <f t="shared" ca="1" si="162"/>
        <v>143795419934.91324</v>
      </c>
      <c r="M3083" s="471">
        <f t="shared" si="164"/>
        <v>0.05</v>
      </c>
      <c r="N3083" s="475">
        <f t="shared" si="165"/>
        <v>144882</v>
      </c>
    </row>
    <row r="3084" spans="7:14" ht="11.25" customHeight="1" x14ac:dyDescent="0.3">
      <c r="G3084" s="470"/>
      <c r="H3084" s="470">
        <v>3077</v>
      </c>
      <c r="I3084" s="455">
        <f t="shared" ca="1" si="163"/>
        <v>143795419934.91324</v>
      </c>
      <c r="J3084" s="455">
        <f t="array" ref="J3084">IFERROR(INDEX('Retirement Calculator'!J:J,MATCH('Isaac 401k'!N3084,'Retirement Calculator'!A:A,0),0),0)</f>
        <v>0</v>
      </c>
      <c r="K3084" s="455">
        <f t="shared" ca="1" si="161"/>
        <v>599147583.06213844</v>
      </c>
      <c r="L3084" s="455">
        <f t="shared" ca="1" si="162"/>
        <v>144394567517.97537</v>
      </c>
      <c r="M3084" s="471">
        <f t="shared" si="164"/>
        <v>0.05</v>
      </c>
      <c r="N3084" s="475">
        <f t="shared" si="165"/>
        <v>144912</v>
      </c>
    </row>
    <row r="3085" spans="7:14" ht="11.25" customHeight="1" x14ac:dyDescent="0.3">
      <c r="G3085" s="470"/>
      <c r="H3085" s="470">
        <v>3078</v>
      </c>
      <c r="I3085" s="455">
        <f t="shared" ca="1" si="163"/>
        <v>144394567517.97537</v>
      </c>
      <c r="J3085" s="455">
        <f t="array" ref="J3085">IFERROR(INDEX('Retirement Calculator'!J:J,MATCH('Isaac 401k'!N3085,'Retirement Calculator'!A:A,0),0),0)</f>
        <v>0</v>
      </c>
      <c r="K3085" s="455">
        <f t="shared" ca="1" si="161"/>
        <v>601644031.32489741</v>
      </c>
      <c r="L3085" s="455">
        <f t="shared" ca="1" si="162"/>
        <v>144996211549.30026</v>
      </c>
      <c r="M3085" s="471">
        <f t="shared" si="164"/>
        <v>0.05</v>
      </c>
      <c r="N3085" s="475">
        <f t="shared" si="165"/>
        <v>144943</v>
      </c>
    </row>
    <row r="3086" spans="7:14" ht="11.25" customHeight="1" x14ac:dyDescent="0.3">
      <c r="G3086" s="470"/>
      <c r="H3086" s="470">
        <v>3079</v>
      </c>
      <c r="I3086" s="455">
        <f t="shared" ca="1" si="163"/>
        <v>144996211549.30026</v>
      </c>
      <c r="J3086" s="455">
        <f t="array" ref="J3086">IFERROR(INDEX('Retirement Calculator'!J:J,MATCH('Isaac 401k'!N3086,'Retirement Calculator'!A:A,0),0),0)</f>
        <v>0</v>
      </c>
      <c r="K3086" s="455">
        <f t="shared" ca="1" si="161"/>
        <v>604150881.45541775</v>
      </c>
      <c r="L3086" s="455">
        <f t="shared" ca="1" si="162"/>
        <v>145600362430.75568</v>
      </c>
      <c r="M3086" s="471">
        <f t="shared" si="164"/>
        <v>0.05</v>
      </c>
      <c r="N3086" s="475">
        <f t="shared" si="165"/>
        <v>144973</v>
      </c>
    </row>
    <row r="3087" spans="7:14" ht="11.25" customHeight="1" x14ac:dyDescent="0.3">
      <c r="G3087" s="470"/>
      <c r="H3087" s="470">
        <v>3080</v>
      </c>
      <c r="I3087" s="455">
        <f t="shared" ca="1" si="163"/>
        <v>145600362430.75568</v>
      </c>
      <c r="J3087" s="455">
        <f t="array" ref="J3087">IFERROR(INDEX('Retirement Calculator'!J:J,MATCH('Isaac 401k'!N3087,'Retirement Calculator'!A:A,0),0),0)</f>
        <v>0</v>
      </c>
      <c r="K3087" s="455">
        <f t="shared" ca="1" si="161"/>
        <v>606668176.7948153</v>
      </c>
      <c r="L3087" s="455">
        <f t="shared" ca="1" si="162"/>
        <v>146207030607.55051</v>
      </c>
      <c r="M3087" s="471">
        <f t="shared" si="164"/>
        <v>0.05</v>
      </c>
      <c r="N3087" s="475">
        <f t="shared" si="165"/>
        <v>145004</v>
      </c>
    </row>
    <row r="3088" spans="7:14" ht="11.25" customHeight="1" x14ac:dyDescent="0.3">
      <c r="G3088" s="470"/>
      <c r="H3088" s="470">
        <v>3081</v>
      </c>
      <c r="I3088" s="455">
        <f t="shared" ca="1" si="163"/>
        <v>146207030607.55051</v>
      </c>
      <c r="J3088" s="455">
        <f t="array" ref="J3088">IFERROR(INDEX('Retirement Calculator'!J:J,MATCH('Isaac 401k'!N3088,'Retirement Calculator'!A:A,0),0),0)</f>
        <v>0</v>
      </c>
      <c r="K3088" s="455">
        <f t="shared" ca="1" si="161"/>
        <v>609195960.86479378</v>
      </c>
      <c r="L3088" s="455">
        <f t="shared" ca="1" si="162"/>
        <v>146816226568.41531</v>
      </c>
      <c r="M3088" s="471">
        <f t="shared" si="164"/>
        <v>0.05</v>
      </c>
      <c r="N3088" s="475">
        <f t="shared" si="165"/>
        <v>145035</v>
      </c>
    </row>
    <row r="3089" spans="7:14" ht="11.25" customHeight="1" x14ac:dyDescent="0.3">
      <c r="G3089" s="470"/>
      <c r="H3089" s="470">
        <v>3082</v>
      </c>
      <c r="I3089" s="455">
        <f t="shared" ca="1" si="163"/>
        <v>146816226568.41531</v>
      </c>
      <c r="J3089" s="455">
        <f t="array" ref="J3089">IFERROR(INDEX('Retirement Calculator'!J:J,MATCH('Isaac 401k'!N3089,'Retirement Calculator'!A:A,0),0),0)</f>
        <v>0</v>
      </c>
      <c r="K3089" s="455">
        <f t="shared" ca="1" si="161"/>
        <v>611734277.36839712</v>
      </c>
      <c r="L3089" s="455">
        <f t="shared" ca="1" si="162"/>
        <v>147427960845.78372</v>
      </c>
      <c r="M3089" s="471">
        <f t="shared" si="164"/>
        <v>0.05</v>
      </c>
      <c r="N3089" s="475">
        <f t="shared" si="165"/>
        <v>145063</v>
      </c>
    </row>
    <row r="3090" spans="7:14" ht="11.25" customHeight="1" x14ac:dyDescent="0.3">
      <c r="G3090" s="470"/>
      <c r="H3090" s="470">
        <v>3083</v>
      </c>
      <c r="I3090" s="455">
        <f t="shared" ca="1" si="163"/>
        <v>147427960845.78372</v>
      </c>
      <c r="J3090" s="455">
        <f t="array" ref="J3090">IFERROR(INDEX('Retirement Calculator'!J:J,MATCH('Isaac 401k'!N3090,'Retirement Calculator'!A:A,0),0),0)</f>
        <v>0</v>
      </c>
      <c r="K3090" s="455">
        <f t="shared" ca="1" si="161"/>
        <v>614283170.1907655</v>
      </c>
      <c r="L3090" s="455">
        <f t="shared" ca="1" si="162"/>
        <v>148042244015.97449</v>
      </c>
      <c r="M3090" s="471">
        <f t="shared" si="164"/>
        <v>0.05</v>
      </c>
      <c r="N3090" s="475">
        <f t="shared" si="165"/>
        <v>145094</v>
      </c>
    </row>
    <row r="3091" spans="7:14" ht="11.25" customHeight="1" x14ac:dyDescent="0.3">
      <c r="G3091" s="470"/>
      <c r="H3091" s="470">
        <v>3084</v>
      </c>
      <c r="I3091" s="455">
        <f t="shared" ca="1" si="163"/>
        <v>148042244015.97449</v>
      </c>
      <c r="J3091" s="455">
        <f t="array" ref="J3091">IFERROR(INDEX('Retirement Calculator'!J:J,MATCH('Isaac 401k'!N3091,'Retirement Calculator'!A:A,0),0),0)</f>
        <v>0</v>
      </c>
      <c r="K3091" s="455">
        <f t="shared" ca="1" si="161"/>
        <v>616842683.39989364</v>
      </c>
      <c r="L3091" s="455">
        <f t="shared" ca="1" si="162"/>
        <v>148659086699.37439</v>
      </c>
      <c r="M3091" s="471">
        <f t="shared" si="164"/>
        <v>0.05</v>
      </c>
      <c r="N3091" s="475">
        <f t="shared" si="165"/>
        <v>145124</v>
      </c>
    </row>
    <row r="3092" spans="7:14" ht="11.25" customHeight="1" x14ac:dyDescent="0.3">
      <c r="G3092" s="470"/>
      <c r="H3092" s="470">
        <v>3085</v>
      </c>
      <c r="I3092" s="455">
        <f t="shared" ca="1" si="163"/>
        <v>148659086699.37439</v>
      </c>
      <c r="J3092" s="455">
        <f t="array" ref="J3092">IFERROR(INDEX('Retirement Calculator'!J:J,MATCH('Isaac 401k'!N3092,'Retirement Calculator'!A:A,0),0),0)</f>
        <v>0</v>
      </c>
      <c r="K3092" s="455">
        <f t="shared" ca="1" si="161"/>
        <v>619412861.24739325</v>
      </c>
      <c r="L3092" s="455">
        <f t="shared" ca="1" si="162"/>
        <v>149278499560.6218</v>
      </c>
      <c r="M3092" s="471">
        <f t="shared" si="164"/>
        <v>0.05</v>
      </c>
      <c r="N3092" s="475">
        <f t="shared" si="165"/>
        <v>145155</v>
      </c>
    </row>
    <row r="3093" spans="7:14" ht="11.25" customHeight="1" x14ac:dyDescent="0.3">
      <c r="G3093" s="470"/>
      <c r="H3093" s="470">
        <v>3086</v>
      </c>
      <c r="I3093" s="455">
        <f t="shared" ca="1" si="163"/>
        <v>149278499560.6218</v>
      </c>
      <c r="J3093" s="455">
        <f t="array" ref="J3093">IFERROR(INDEX('Retirement Calculator'!J:J,MATCH('Isaac 401k'!N3093,'Retirement Calculator'!A:A,0),0),0)</f>
        <v>0</v>
      </c>
      <c r="K3093" s="455">
        <f t="shared" ca="1" si="161"/>
        <v>621993748.16925752</v>
      </c>
      <c r="L3093" s="455">
        <f t="shared" ca="1" si="162"/>
        <v>149900493308.79105</v>
      </c>
      <c r="M3093" s="471">
        <f t="shared" si="164"/>
        <v>0.05</v>
      </c>
      <c r="N3093" s="475">
        <f t="shared" si="165"/>
        <v>145185</v>
      </c>
    </row>
    <row r="3094" spans="7:14" ht="11.25" customHeight="1" x14ac:dyDescent="0.3">
      <c r="G3094" s="470"/>
      <c r="H3094" s="470">
        <v>3087</v>
      </c>
      <c r="I3094" s="455">
        <f t="shared" ca="1" si="163"/>
        <v>149900493308.79105</v>
      </c>
      <c r="J3094" s="455">
        <f t="array" ref="J3094">IFERROR(INDEX('Retirement Calculator'!J:J,MATCH('Isaac 401k'!N3094,'Retirement Calculator'!A:A,0),0),0)</f>
        <v>0</v>
      </c>
      <c r="K3094" s="455">
        <f t="shared" ca="1" si="161"/>
        <v>624585388.78662932</v>
      </c>
      <c r="L3094" s="455">
        <f t="shared" ca="1" si="162"/>
        <v>150525078697.57767</v>
      </c>
      <c r="M3094" s="471">
        <f t="shared" si="164"/>
        <v>0.05</v>
      </c>
      <c r="N3094" s="475">
        <f t="shared" si="165"/>
        <v>145216</v>
      </c>
    </row>
    <row r="3095" spans="7:14" ht="11.25" customHeight="1" x14ac:dyDescent="0.3">
      <c r="G3095" s="470"/>
      <c r="H3095" s="470">
        <v>3088</v>
      </c>
      <c r="I3095" s="455">
        <f t="shared" ca="1" si="163"/>
        <v>150525078697.57767</v>
      </c>
      <c r="J3095" s="455">
        <f t="array" ref="J3095">IFERROR(INDEX('Retirement Calculator'!J:J,MATCH('Isaac 401k'!N3095,'Retirement Calculator'!A:A,0),0),0)</f>
        <v>0</v>
      </c>
      <c r="K3095" s="455">
        <f t="shared" ca="1" si="161"/>
        <v>627187827.90657365</v>
      </c>
      <c r="L3095" s="455">
        <f t="shared" ca="1" si="162"/>
        <v>151152266525.48425</v>
      </c>
      <c r="M3095" s="471">
        <f t="shared" si="164"/>
        <v>0.05</v>
      </c>
      <c r="N3095" s="475">
        <f t="shared" si="165"/>
        <v>145247</v>
      </c>
    </row>
    <row r="3096" spans="7:14" ht="11.25" customHeight="1" x14ac:dyDescent="0.3">
      <c r="G3096" s="470"/>
      <c r="H3096" s="470">
        <v>3089</v>
      </c>
      <c r="I3096" s="455">
        <f t="shared" ca="1" si="163"/>
        <v>151152266525.48425</v>
      </c>
      <c r="J3096" s="455">
        <f t="array" ref="J3096">IFERROR(INDEX('Retirement Calculator'!J:J,MATCH('Isaac 401k'!N3096,'Retirement Calculator'!A:A,0),0),0)</f>
        <v>0</v>
      </c>
      <c r="K3096" s="455">
        <f t="shared" ca="1" si="161"/>
        <v>629801110.52285099</v>
      </c>
      <c r="L3096" s="455">
        <f t="shared" ca="1" si="162"/>
        <v>151782067636.00711</v>
      </c>
      <c r="M3096" s="471">
        <f t="shared" si="164"/>
        <v>0.05</v>
      </c>
      <c r="N3096" s="475">
        <f t="shared" si="165"/>
        <v>145277</v>
      </c>
    </row>
    <row r="3097" spans="7:14" ht="11.25" customHeight="1" x14ac:dyDescent="0.3">
      <c r="G3097" s="470"/>
      <c r="H3097" s="470">
        <v>3090</v>
      </c>
      <c r="I3097" s="455">
        <f t="shared" ca="1" si="163"/>
        <v>151782067636.00711</v>
      </c>
      <c r="J3097" s="455">
        <f t="array" ref="J3097">IFERROR(INDEX('Retirement Calculator'!J:J,MATCH('Isaac 401k'!N3097,'Retirement Calculator'!A:A,0),0),0)</f>
        <v>0</v>
      </c>
      <c r="K3097" s="455">
        <f t="shared" ca="1" si="161"/>
        <v>632425281.81669629</v>
      </c>
      <c r="L3097" s="455">
        <f t="shared" ca="1" si="162"/>
        <v>152414492917.82382</v>
      </c>
      <c r="M3097" s="471">
        <f t="shared" si="164"/>
        <v>0.05</v>
      </c>
      <c r="N3097" s="475">
        <f t="shared" si="165"/>
        <v>145308</v>
      </c>
    </row>
    <row r="3098" spans="7:14" ht="11.25" customHeight="1" x14ac:dyDescent="0.3">
      <c r="G3098" s="470"/>
      <c r="H3098" s="470">
        <v>3091</v>
      </c>
      <c r="I3098" s="455">
        <f t="shared" ca="1" si="163"/>
        <v>152414492917.82382</v>
      </c>
      <c r="J3098" s="455">
        <f t="array" ref="J3098">IFERROR(INDEX('Retirement Calculator'!J:J,MATCH('Isaac 401k'!N3098,'Retirement Calculator'!A:A,0),0),0)</f>
        <v>0</v>
      </c>
      <c r="K3098" s="455">
        <f t="shared" ca="1" si="161"/>
        <v>635060387.15759921</v>
      </c>
      <c r="L3098" s="455">
        <f t="shared" ca="1" si="162"/>
        <v>153049553304.98141</v>
      </c>
      <c r="M3098" s="471">
        <f t="shared" si="164"/>
        <v>0.05</v>
      </c>
      <c r="N3098" s="475">
        <f t="shared" si="165"/>
        <v>145338</v>
      </c>
    </row>
    <row r="3099" spans="7:14" ht="11.25" customHeight="1" x14ac:dyDescent="0.3">
      <c r="G3099" s="470"/>
      <c r="H3099" s="470">
        <v>3092</v>
      </c>
      <c r="I3099" s="455">
        <f t="shared" ca="1" si="163"/>
        <v>153049553304.98141</v>
      </c>
      <c r="J3099" s="455">
        <f t="array" ref="J3099">IFERROR(INDEX('Retirement Calculator'!J:J,MATCH('Isaac 401k'!N3099,'Retirement Calculator'!A:A,0),0),0)</f>
        <v>0</v>
      </c>
      <c r="K3099" s="455">
        <f t="shared" ca="1" si="161"/>
        <v>637706472.10408926</v>
      </c>
      <c r="L3099" s="455">
        <f t="shared" ca="1" si="162"/>
        <v>153687259777.08551</v>
      </c>
      <c r="M3099" s="471">
        <f t="shared" si="164"/>
        <v>0.05</v>
      </c>
      <c r="N3099" s="475">
        <f t="shared" si="165"/>
        <v>145369</v>
      </c>
    </row>
    <row r="3100" spans="7:14" ht="11.25" customHeight="1" x14ac:dyDescent="0.3">
      <c r="G3100" s="470"/>
      <c r="H3100" s="470">
        <v>3093</v>
      </c>
      <c r="I3100" s="455">
        <f t="shared" ca="1" si="163"/>
        <v>153687259777.08551</v>
      </c>
      <c r="J3100" s="455">
        <f t="array" ref="J3100">IFERROR(INDEX('Retirement Calculator'!J:J,MATCH('Isaac 401k'!N3100,'Retirement Calculator'!A:A,0),0),0)</f>
        <v>0</v>
      </c>
      <c r="K3100" s="455">
        <f t="shared" ca="1" si="161"/>
        <v>640363582.4045229</v>
      </c>
      <c r="L3100" s="455">
        <f t="shared" ca="1" si="162"/>
        <v>154327623359.49002</v>
      </c>
      <c r="M3100" s="471">
        <f t="shared" si="164"/>
        <v>0.05</v>
      </c>
      <c r="N3100" s="475">
        <f t="shared" si="165"/>
        <v>145400</v>
      </c>
    </row>
    <row r="3101" spans="7:14" ht="11.25" customHeight="1" x14ac:dyDescent="0.3">
      <c r="G3101" s="470"/>
      <c r="H3101" s="470">
        <v>3094</v>
      </c>
      <c r="I3101" s="455">
        <f t="shared" ca="1" si="163"/>
        <v>154327623359.49002</v>
      </c>
      <c r="J3101" s="455">
        <f t="array" ref="J3101">IFERROR(INDEX('Retirement Calculator'!J:J,MATCH('Isaac 401k'!N3101,'Retirement Calculator'!A:A,0),0),0)</f>
        <v>0</v>
      </c>
      <c r="K3101" s="455">
        <f t="shared" ca="1" si="161"/>
        <v>643031763.99787509</v>
      </c>
      <c r="L3101" s="455">
        <f t="shared" ca="1" si="162"/>
        <v>154970655123.48788</v>
      </c>
      <c r="M3101" s="471">
        <f t="shared" si="164"/>
        <v>0.05</v>
      </c>
      <c r="N3101" s="475">
        <f t="shared" si="165"/>
        <v>145428</v>
      </c>
    </row>
    <row r="3102" spans="7:14" ht="11.25" customHeight="1" x14ac:dyDescent="0.3">
      <c r="G3102" s="470"/>
      <c r="H3102" s="470">
        <v>3095</v>
      </c>
      <c r="I3102" s="455">
        <f t="shared" ca="1" si="163"/>
        <v>154970655123.48788</v>
      </c>
      <c r="J3102" s="455">
        <f t="array" ref="J3102">IFERROR(INDEX('Retirement Calculator'!J:J,MATCH('Isaac 401k'!N3102,'Retirement Calculator'!A:A,0),0),0)</f>
        <v>0</v>
      </c>
      <c r="K3102" s="455">
        <f t="shared" ca="1" si="161"/>
        <v>645711063.0145328</v>
      </c>
      <c r="L3102" s="455">
        <f t="shared" ca="1" si="162"/>
        <v>155616366186.50241</v>
      </c>
      <c r="M3102" s="471">
        <f t="shared" si="164"/>
        <v>0.05</v>
      </c>
      <c r="N3102" s="475">
        <f t="shared" si="165"/>
        <v>145459</v>
      </c>
    </row>
    <row r="3103" spans="7:14" ht="11.25" customHeight="1" x14ac:dyDescent="0.3">
      <c r="G3103" s="470"/>
      <c r="H3103" s="470">
        <v>3096</v>
      </c>
      <c r="I3103" s="455">
        <f t="shared" ca="1" si="163"/>
        <v>155616366186.50241</v>
      </c>
      <c r="J3103" s="455">
        <f t="array" ref="J3103">IFERROR(INDEX('Retirement Calculator'!J:J,MATCH('Isaac 401k'!N3103,'Retirement Calculator'!A:A,0),0),0)</f>
        <v>0</v>
      </c>
      <c r="K3103" s="455">
        <f t="shared" ca="1" si="161"/>
        <v>648401525.77709341</v>
      </c>
      <c r="L3103" s="455">
        <f t="shared" ca="1" si="162"/>
        <v>156264767712.27951</v>
      </c>
      <c r="M3103" s="471">
        <f t="shared" si="164"/>
        <v>0.05</v>
      </c>
      <c r="N3103" s="475">
        <f t="shared" si="165"/>
        <v>145489</v>
      </c>
    </row>
    <row r="3104" spans="7:14" ht="11.25" customHeight="1" x14ac:dyDescent="0.3">
      <c r="G3104" s="470"/>
      <c r="H3104" s="470">
        <v>3097</v>
      </c>
      <c r="I3104" s="455">
        <f t="shared" ca="1" si="163"/>
        <v>156264767712.27951</v>
      </c>
      <c r="J3104" s="455">
        <f t="array" ref="J3104">IFERROR(INDEX('Retirement Calculator'!J:J,MATCH('Isaac 401k'!N3104,'Retirement Calculator'!A:A,0),0),0)</f>
        <v>0</v>
      </c>
      <c r="K3104" s="455">
        <f t="shared" ca="1" si="161"/>
        <v>651103198.80116463</v>
      </c>
      <c r="L3104" s="455">
        <f t="shared" ca="1" si="162"/>
        <v>156915870911.08069</v>
      </c>
      <c r="M3104" s="471">
        <f t="shared" si="164"/>
        <v>0.05</v>
      </c>
      <c r="N3104" s="475">
        <f t="shared" si="165"/>
        <v>145520</v>
      </c>
    </row>
    <row r="3105" spans="7:14" ht="11.25" customHeight="1" x14ac:dyDescent="0.3">
      <c r="G3105" s="470"/>
      <c r="H3105" s="470">
        <v>3098</v>
      </c>
      <c r="I3105" s="455">
        <f t="shared" ca="1" si="163"/>
        <v>156915870911.08069</v>
      </c>
      <c r="J3105" s="455">
        <f t="array" ref="J3105">IFERROR(INDEX('Retirement Calculator'!J:J,MATCH('Isaac 401k'!N3105,'Retirement Calculator'!A:A,0),0),0)</f>
        <v>0</v>
      </c>
      <c r="K3105" s="455">
        <f t="shared" ca="1" si="161"/>
        <v>653816128.79616952</v>
      </c>
      <c r="L3105" s="455">
        <f t="shared" ca="1" si="162"/>
        <v>157569687039.87686</v>
      </c>
      <c r="M3105" s="471">
        <f t="shared" si="164"/>
        <v>0.05</v>
      </c>
      <c r="N3105" s="475">
        <f t="shared" si="165"/>
        <v>145550</v>
      </c>
    </row>
    <row r="3106" spans="7:14" ht="11.25" customHeight="1" x14ac:dyDescent="0.3">
      <c r="G3106" s="470"/>
      <c r="H3106" s="470">
        <v>3099</v>
      </c>
      <c r="I3106" s="455">
        <f t="shared" ca="1" si="163"/>
        <v>157569687039.87686</v>
      </c>
      <c r="J3106" s="455">
        <f t="array" ref="J3106">IFERROR(INDEX('Retirement Calculator'!J:J,MATCH('Isaac 401k'!N3106,'Retirement Calculator'!A:A,0),0),0)</f>
        <v>0</v>
      </c>
      <c r="K3106" s="455">
        <f t="shared" ca="1" si="161"/>
        <v>656540362.66615355</v>
      </c>
      <c r="L3106" s="455">
        <f t="shared" ca="1" si="162"/>
        <v>158226227402.54303</v>
      </c>
      <c r="M3106" s="471">
        <f t="shared" si="164"/>
        <v>0.05</v>
      </c>
      <c r="N3106" s="475">
        <f t="shared" si="165"/>
        <v>145581</v>
      </c>
    </row>
    <row r="3107" spans="7:14" ht="11.25" customHeight="1" x14ac:dyDescent="0.3">
      <c r="G3107" s="470"/>
      <c r="H3107" s="470">
        <v>3100</v>
      </c>
      <c r="I3107" s="455">
        <f t="shared" ca="1" si="163"/>
        <v>158226227402.54303</v>
      </c>
      <c r="J3107" s="455">
        <f t="array" ref="J3107">IFERROR(INDEX('Retirement Calculator'!J:J,MATCH('Isaac 401k'!N3107,'Retirement Calculator'!A:A,0),0),0)</f>
        <v>0</v>
      </c>
      <c r="K3107" s="455">
        <f t="shared" ca="1" si="161"/>
        <v>659275947.51059592</v>
      </c>
      <c r="L3107" s="455">
        <f t="shared" ca="1" si="162"/>
        <v>158885503350.05362</v>
      </c>
      <c r="M3107" s="471">
        <f t="shared" si="164"/>
        <v>0.05</v>
      </c>
      <c r="N3107" s="475">
        <f t="shared" si="165"/>
        <v>145612</v>
      </c>
    </row>
    <row r="3108" spans="7:14" ht="11.25" customHeight="1" x14ac:dyDescent="0.3">
      <c r="G3108" s="470"/>
      <c r="H3108" s="470">
        <v>3101</v>
      </c>
      <c r="I3108" s="455">
        <f t="shared" ca="1" si="163"/>
        <v>158885503350.05362</v>
      </c>
      <c r="J3108" s="455">
        <f t="array" ref="J3108">IFERROR(INDEX('Retirement Calculator'!J:J,MATCH('Isaac 401k'!N3108,'Retirement Calculator'!A:A,0),0),0)</f>
        <v>0</v>
      </c>
      <c r="K3108" s="455">
        <f t="shared" ca="1" si="161"/>
        <v>662022930.6252234</v>
      </c>
      <c r="L3108" s="455">
        <f t="shared" ca="1" si="162"/>
        <v>159547526280.67883</v>
      </c>
      <c r="M3108" s="471">
        <f t="shared" si="164"/>
        <v>0.05</v>
      </c>
      <c r="N3108" s="475">
        <f t="shared" si="165"/>
        <v>145642</v>
      </c>
    </row>
    <row r="3109" spans="7:14" ht="11.25" customHeight="1" x14ac:dyDescent="0.3">
      <c r="G3109" s="470"/>
      <c r="H3109" s="470">
        <v>3102</v>
      </c>
      <c r="I3109" s="455">
        <f t="shared" ca="1" si="163"/>
        <v>159547526280.67883</v>
      </c>
      <c r="J3109" s="455">
        <f t="array" ref="J3109">IFERROR(INDEX('Retirement Calculator'!J:J,MATCH('Isaac 401k'!N3109,'Retirement Calculator'!A:A,0),0),0)</f>
        <v>0</v>
      </c>
      <c r="K3109" s="455">
        <f t="shared" ca="1" si="161"/>
        <v>664781359.50282848</v>
      </c>
      <c r="L3109" s="455">
        <f t="shared" ca="1" si="162"/>
        <v>160212307640.18167</v>
      </c>
      <c r="M3109" s="471">
        <f t="shared" si="164"/>
        <v>0.05</v>
      </c>
      <c r="N3109" s="475">
        <f t="shared" si="165"/>
        <v>145673</v>
      </c>
    </row>
    <row r="3110" spans="7:14" ht="11.25" customHeight="1" x14ac:dyDescent="0.3">
      <c r="G3110" s="470"/>
      <c r="H3110" s="470">
        <v>3103</v>
      </c>
      <c r="I3110" s="455">
        <f t="shared" ca="1" si="163"/>
        <v>160212307640.18167</v>
      </c>
      <c r="J3110" s="455">
        <f t="array" ref="J3110">IFERROR(INDEX('Retirement Calculator'!J:J,MATCH('Isaac 401k'!N3110,'Retirement Calculator'!A:A,0),0),0)</f>
        <v>0</v>
      </c>
      <c r="K3110" s="455">
        <f t="shared" ca="1" si="161"/>
        <v>667551281.83409023</v>
      </c>
      <c r="L3110" s="455">
        <f t="shared" ca="1" si="162"/>
        <v>160879858922.01575</v>
      </c>
      <c r="M3110" s="471">
        <f t="shared" si="164"/>
        <v>0.05</v>
      </c>
      <c r="N3110" s="475">
        <f t="shared" si="165"/>
        <v>145703</v>
      </c>
    </row>
    <row r="3111" spans="7:14" ht="11.25" customHeight="1" x14ac:dyDescent="0.3">
      <c r="G3111" s="470"/>
      <c r="H3111" s="470">
        <v>3104</v>
      </c>
      <c r="I3111" s="455">
        <f t="shared" ca="1" si="163"/>
        <v>160879858922.01575</v>
      </c>
      <c r="J3111" s="455">
        <f t="array" ref="J3111">IFERROR(INDEX('Retirement Calculator'!J:J,MATCH('Isaac 401k'!N3111,'Retirement Calculator'!A:A,0),0),0)</f>
        <v>0</v>
      </c>
      <c r="K3111" s="455">
        <f t="shared" ca="1" si="161"/>
        <v>670332745.50839889</v>
      </c>
      <c r="L3111" s="455">
        <f t="shared" ca="1" si="162"/>
        <v>161550191667.52414</v>
      </c>
      <c r="M3111" s="471">
        <f t="shared" si="164"/>
        <v>0.05</v>
      </c>
      <c r="N3111" s="475">
        <f t="shared" si="165"/>
        <v>145734</v>
      </c>
    </row>
    <row r="3112" spans="7:14" ht="11.25" customHeight="1" x14ac:dyDescent="0.3">
      <c r="G3112" s="470"/>
      <c r="H3112" s="470">
        <v>3105</v>
      </c>
      <c r="I3112" s="455">
        <f t="shared" ca="1" si="163"/>
        <v>161550191667.52414</v>
      </c>
      <c r="J3112" s="455">
        <f t="array" ref="J3112">IFERROR(INDEX('Retirement Calculator'!J:J,MATCH('Isaac 401k'!N3112,'Retirement Calculator'!A:A,0),0),0)</f>
        <v>0</v>
      </c>
      <c r="K3112" s="455">
        <f t="shared" ca="1" si="161"/>
        <v>673125798.61468387</v>
      </c>
      <c r="L3112" s="455">
        <f t="shared" ca="1" si="162"/>
        <v>162223317466.13882</v>
      </c>
      <c r="M3112" s="471">
        <f t="shared" si="164"/>
        <v>0.05</v>
      </c>
      <c r="N3112" s="475">
        <f t="shared" si="165"/>
        <v>145765</v>
      </c>
    </row>
    <row r="3113" spans="7:14" ht="11.25" customHeight="1" x14ac:dyDescent="0.3">
      <c r="G3113" s="470"/>
      <c r="H3113" s="470">
        <v>3106</v>
      </c>
      <c r="I3113" s="455">
        <f t="shared" ca="1" si="163"/>
        <v>162223317466.13882</v>
      </c>
      <c r="J3113" s="455">
        <f t="array" ref="J3113">IFERROR(INDEX('Retirement Calculator'!J:J,MATCH('Isaac 401k'!N3113,'Retirement Calculator'!A:A,0),0),0)</f>
        <v>0</v>
      </c>
      <c r="K3113" s="455">
        <f t="shared" ca="1" si="161"/>
        <v>675930489.44224513</v>
      </c>
      <c r="L3113" s="455">
        <f t="shared" ca="1" si="162"/>
        <v>162899247955.58105</v>
      </c>
      <c r="M3113" s="471">
        <f t="shared" si="164"/>
        <v>0.05</v>
      </c>
      <c r="N3113" s="475">
        <f t="shared" si="165"/>
        <v>145793</v>
      </c>
    </row>
    <row r="3114" spans="7:14" ht="11.25" customHeight="1" x14ac:dyDescent="0.3">
      <c r="G3114" s="470"/>
      <c r="H3114" s="470">
        <v>3107</v>
      </c>
      <c r="I3114" s="455">
        <f t="shared" ca="1" si="163"/>
        <v>162899247955.58105</v>
      </c>
      <c r="J3114" s="455">
        <f t="array" ref="J3114">IFERROR(INDEX('Retirement Calculator'!J:J,MATCH('Isaac 401k'!N3114,'Retirement Calculator'!A:A,0),0),0)</f>
        <v>0</v>
      </c>
      <c r="K3114" s="455">
        <f t="shared" ca="1" si="161"/>
        <v>678746866.48158777</v>
      </c>
      <c r="L3114" s="455">
        <f t="shared" ca="1" si="162"/>
        <v>163577994822.06265</v>
      </c>
      <c r="M3114" s="471">
        <f t="shared" si="164"/>
        <v>0.05</v>
      </c>
      <c r="N3114" s="475">
        <f t="shared" si="165"/>
        <v>145824</v>
      </c>
    </row>
    <row r="3115" spans="7:14" ht="11.25" customHeight="1" x14ac:dyDescent="0.3">
      <c r="G3115" s="470"/>
      <c r="H3115" s="470">
        <v>3108</v>
      </c>
      <c r="I3115" s="455">
        <f t="shared" ca="1" si="163"/>
        <v>163577994822.06265</v>
      </c>
      <c r="J3115" s="455">
        <f t="array" ref="J3115">IFERROR(INDEX('Retirement Calculator'!J:J,MATCH('Isaac 401k'!N3115,'Retirement Calculator'!A:A,0),0),0)</f>
        <v>0</v>
      </c>
      <c r="K3115" s="455">
        <f t="shared" ca="1" si="161"/>
        <v>681574978.42526102</v>
      </c>
      <c r="L3115" s="455">
        <f t="shared" ca="1" si="162"/>
        <v>164259569800.48792</v>
      </c>
      <c r="M3115" s="471">
        <f t="shared" si="164"/>
        <v>0.05</v>
      </c>
      <c r="N3115" s="475">
        <f t="shared" si="165"/>
        <v>145854</v>
      </c>
    </row>
    <row r="3116" spans="7:14" ht="11.25" customHeight="1" x14ac:dyDescent="0.3">
      <c r="G3116" s="470"/>
      <c r="H3116" s="470">
        <v>3109</v>
      </c>
      <c r="I3116" s="455">
        <f t="shared" ca="1" si="163"/>
        <v>164259569800.48792</v>
      </c>
      <c r="J3116" s="455">
        <f t="array" ref="J3116">IFERROR(INDEX('Retirement Calculator'!J:J,MATCH('Isaac 401k'!N3116,'Retirement Calculator'!A:A,0),0),0)</f>
        <v>0</v>
      </c>
      <c r="K3116" s="455">
        <f t="shared" ca="1" si="161"/>
        <v>684414874.16869962</v>
      </c>
      <c r="L3116" s="455">
        <f t="shared" ca="1" si="162"/>
        <v>164943984674.65662</v>
      </c>
      <c r="M3116" s="471">
        <f t="shared" si="164"/>
        <v>0.05</v>
      </c>
      <c r="N3116" s="475">
        <f t="shared" si="165"/>
        <v>145885</v>
      </c>
    </row>
    <row r="3117" spans="7:14" ht="11.25" customHeight="1" x14ac:dyDescent="0.3">
      <c r="G3117" s="470"/>
      <c r="H3117" s="470">
        <v>3110</v>
      </c>
      <c r="I3117" s="455">
        <f t="shared" ca="1" si="163"/>
        <v>164943984674.65662</v>
      </c>
      <c r="J3117" s="455">
        <f t="array" ref="J3117">IFERROR(INDEX('Retirement Calculator'!J:J,MATCH('Isaac 401k'!N3117,'Retirement Calculator'!A:A,0),0),0)</f>
        <v>0</v>
      </c>
      <c r="K3117" s="455">
        <f t="shared" ca="1" si="161"/>
        <v>687266602.81106925</v>
      </c>
      <c r="L3117" s="455">
        <f t="shared" ca="1" si="162"/>
        <v>165631251277.46768</v>
      </c>
      <c r="M3117" s="471">
        <f t="shared" si="164"/>
        <v>0.05</v>
      </c>
      <c r="N3117" s="475">
        <f t="shared" si="165"/>
        <v>145915</v>
      </c>
    </row>
    <row r="3118" spans="7:14" ht="11.25" customHeight="1" x14ac:dyDescent="0.3">
      <c r="G3118" s="470"/>
      <c r="H3118" s="470">
        <v>3111</v>
      </c>
      <c r="I3118" s="455">
        <f t="shared" ca="1" si="163"/>
        <v>165631251277.46768</v>
      </c>
      <c r="J3118" s="455">
        <f t="array" ref="J3118">IFERROR(INDEX('Retirement Calculator'!J:J,MATCH('Isaac 401k'!N3118,'Retirement Calculator'!A:A,0),0),0)</f>
        <v>0</v>
      </c>
      <c r="K3118" s="455">
        <f t="shared" ca="1" si="161"/>
        <v>690130213.65611529</v>
      </c>
      <c r="L3118" s="455">
        <f t="shared" ca="1" si="162"/>
        <v>166321381491.12381</v>
      </c>
      <c r="M3118" s="471">
        <f t="shared" si="164"/>
        <v>0.05</v>
      </c>
      <c r="N3118" s="475">
        <f t="shared" si="165"/>
        <v>145946</v>
      </c>
    </row>
    <row r="3119" spans="7:14" ht="11.25" customHeight="1" x14ac:dyDescent="0.3">
      <c r="G3119" s="470"/>
      <c r="H3119" s="470">
        <v>3112</v>
      </c>
      <c r="I3119" s="455">
        <f t="shared" ca="1" si="163"/>
        <v>166321381491.12381</v>
      </c>
      <c r="J3119" s="455">
        <f t="array" ref="J3119">IFERROR(INDEX('Retirement Calculator'!J:J,MATCH('Isaac 401k'!N3119,'Retirement Calculator'!A:A,0),0),0)</f>
        <v>0</v>
      </c>
      <c r="K3119" s="455">
        <f t="shared" ca="1" si="161"/>
        <v>693005756.21301591</v>
      </c>
      <c r="L3119" s="455">
        <f t="shared" ca="1" si="162"/>
        <v>167014387247.33682</v>
      </c>
      <c r="M3119" s="471">
        <f t="shared" si="164"/>
        <v>0.05</v>
      </c>
      <c r="N3119" s="475">
        <f t="shared" si="165"/>
        <v>145977</v>
      </c>
    </row>
    <row r="3120" spans="7:14" ht="11.25" customHeight="1" x14ac:dyDescent="0.3">
      <c r="G3120" s="470"/>
      <c r="H3120" s="470">
        <v>3113</v>
      </c>
      <c r="I3120" s="455">
        <f t="shared" ca="1" si="163"/>
        <v>167014387247.33682</v>
      </c>
      <c r="J3120" s="455">
        <f t="array" ref="J3120">IFERROR(INDEX('Retirement Calculator'!J:J,MATCH('Isaac 401k'!N3120,'Retirement Calculator'!A:A,0),0),0)</f>
        <v>0</v>
      </c>
      <c r="K3120" s="455">
        <f t="shared" ca="1" si="161"/>
        <v>695893280.19723678</v>
      </c>
      <c r="L3120" s="455">
        <f t="shared" ca="1" si="162"/>
        <v>167710280527.53406</v>
      </c>
      <c r="M3120" s="471">
        <f t="shared" si="164"/>
        <v>0.05</v>
      </c>
      <c r="N3120" s="475">
        <f t="shared" si="165"/>
        <v>146007</v>
      </c>
    </row>
    <row r="3121" spans="7:14" ht="11.25" customHeight="1" x14ac:dyDescent="0.3">
      <c r="G3121" s="470"/>
      <c r="H3121" s="470">
        <v>3114</v>
      </c>
      <c r="I3121" s="455">
        <f t="shared" ca="1" si="163"/>
        <v>167710280527.53406</v>
      </c>
      <c r="J3121" s="455">
        <f t="array" ref="J3121">IFERROR(INDEX('Retirement Calculator'!J:J,MATCH('Isaac 401k'!N3121,'Retirement Calculator'!A:A,0),0),0)</f>
        <v>0</v>
      </c>
      <c r="K3121" s="455">
        <f t="shared" ca="1" si="161"/>
        <v>698792835.53139186</v>
      </c>
      <c r="L3121" s="455">
        <f t="shared" ca="1" si="162"/>
        <v>168409073363.06546</v>
      </c>
      <c r="M3121" s="471">
        <f t="shared" si="164"/>
        <v>0.05</v>
      </c>
      <c r="N3121" s="475">
        <f t="shared" si="165"/>
        <v>146038</v>
      </c>
    </row>
    <row r="3122" spans="7:14" ht="11.25" customHeight="1" x14ac:dyDescent="0.3">
      <c r="G3122" s="470"/>
      <c r="H3122" s="470">
        <v>3115</v>
      </c>
      <c r="I3122" s="455">
        <f t="shared" ca="1" si="163"/>
        <v>168409073363.06546</v>
      </c>
      <c r="J3122" s="455">
        <f t="array" ref="J3122">IFERROR(INDEX('Retirement Calculator'!J:J,MATCH('Isaac 401k'!N3122,'Retirement Calculator'!A:A,0),0),0)</f>
        <v>0</v>
      </c>
      <c r="K3122" s="455">
        <f t="shared" ca="1" si="161"/>
        <v>701704472.34610605</v>
      </c>
      <c r="L3122" s="455">
        <f t="shared" ca="1" si="162"/>
        <v>169110777835.41156</v>
      </c>
      <c r="M3122" s="471">
        <f t="shared" si="164"/>
        <v>0.05</v>
      </c>
      <c r="N3122" s="475">
        <f t="shared" si="165"/>
        <v>146068</v>
      </c>
    </row>
    <row r="3123" spans="7:14" ht="11.25" customHeight="1" x14ac:dyDescent="0.3">
      <c r="G3123" s="470"/>
      <c r="H3123" s="470">
        <v>3116</v>
      </c>
      <c r="I3123" s="455">
        <f t="shared" ca="1" si="163"/>
        <v>169110777835.41156</v>
      </c>
      <c r="J3123" s="455">
        <f t="array" ref="J3123">IFERROR(INDEX('Retirement Calculator'!J:J,MATCH('Isaac 401k'!N3123,'Retirement Calculator'!A:A,0),0),0)</f>
        <v>0</v>
      </c>
      <c r="K3123" s="455">
        <f t="shared" ca="1" si="161"/>
        <v>704628240.98088145</v>
      </c>
      <c r="L3123" s="455">
        <f t="shared" ca="1" si="162"/>
        <v>169815406076.39246</v>
      </c>
      <c r="M3123" s="471">
        <f t="shared" si="164"/>
        <v>0.05</v>
      </c>
      <c r="N3123" s="475">
        <f t="shared" si="165"/>
        <v>146099</v>
      </c>
    </row>
    <row r="3124" spans="7:14" ht="11.25" customHeight="1" x14ac:dyDescent="0.3">
      <c r="G3124" s="470"/>
      <c r="H3124" s="470">
        <v>3117</v>
      </c>
      <c r="I3124" s="455">
        <f t="shared" ca="1" si="163"/>
        <v>169815406076.39246</v>
      </c>
      <c r="J3124" s="455">
        <f t="array" ref="J3124">IFERROR(INDEX('Retirement Calculator'!J:J,MATCH('Isaac 401k'!N3124,'Retirement Calculator'!A:A,0),0),0)</f>
        <v>0</v>
      </c>
      <c r="K3124" s="455">
        <f t="shared" ca="1" si="161"/>
        <v>707564191.98496854</v>
      </c>
      <c r="L3124" s="455">
        <f t="shared" ca="1" si="162"/>
        <v>170522970268.37741</v>
      </c>
      <c r="M3124" s="471">
        <f t="shared" si="164"/>
        <v>0.05</v>
      </c>
      <c r="N3124" s="475">
        <f t="shared" si="165"/>
        <v>146130</v>
      </c>
    </row>
    <row r="3125" spans="7:14" ht="11.25" customHeight="1" x14ac:dyDescent="0.3">
      <c r="G3125" s="470"/>
      <c r="H3125" s="470">
        <v>3118</v>
      </c>
      <c r="I3125" s="455">
        <f t="shared" ca="1" si="163"/>
        <v>170522970268.37741</v>
      </c>
      <c r="J3125" s="455">
        <f t="array" ref="J3125">IFERROR(INDEX('Retirement Calculator'!J:J,MATCH('Isaac 401k'!N3125,'Retirement Calculator'!A:A,0),0),0)</f>
        <v>0</v>
      </c>
      <c r="K3125" s="455">
        <f t="shared" ca="1" si="161"/>
        <v>710512376.11823916</v>
      </c>
      <c r="L3125" s="455">
        <f t="shared" ca="1" si="162"/>
        <v>171233482644.49564</v>
      </c>
      <c r="M3125" s="471">
        <f t="shared" si="164"/>
        <v>0.05</v>
      </c>
      <c r="N3125" s="475">
        <f t="shared" si="165"/>
        <v>146158</v>
      </c>
    </row>
    <row r="3126" spans="7:14" ht="11.25" customHeight="1" x14ac:dyDescent="0.3">
      <c r="G3126" s="470"/>
      <c r="H3126" s="470">
        <v>3119</v>
      </c>
      <c r="I3126" s="455">
        <f t="shared" ca="1" si="163"/>
        <v>171233482644.49564</v>
      </c>
      <c r="J3126" s="455">
        <f t="array" ref="J3126">IFERROR(INDEX('Retirement Calculator'!J:J,MATCH('Isaac 401k'!N3126,'Retirement Calculator'!A:A,0),0),0)</f>
        <v>0</v>
      </c>
      <c r="K3126" s="455">
        <f t="shared" ca="1" si="161"/>
        <v>713472844.35206509</v>
      </c>
      <c r="L3126" s="455">
        <f t="shared" ca="1" si="162"/>
        <v>171946955488.84769</v>
      </c>
      <c r="M3126" s="471">
        <f t="shared" si="164"/>
        <v>0.05</v>
      </c>
      <c r="N3126" s="475">
        <f t="shared" si="165"/>
        <v>146189</v>
      </c>
    </row>
    <row r="3127" spans="7:14" ht="11.25" customHeight="1" x14ac:dyDescent="0.3">
      <c r="G3127" s="470"/>
      <c r="H3127" s="470">
        <v>3120</v>
      </c>
      <c r="I3127" s="455">
        <f t="shared" ca="1" si="163"/>
        <v>171946955488.84769</v>
      </c>
      <c r="J3127" s="455">
        <f t="array" ref="J3127">IFERROR(INDEX('Retirement Calculator'!J:J,MATCH('Isaac 401k'!N3127,'Retirement Calculator'!A:A,0),0),0)</f>
        <v>0</v>
      </c>
      <c r="K3127" s="455">
        <f t="shared" ca="1" si="161"/>
        <v>716445647.87019873</v>
      </c>
      <c r="L3127" s="455">
        <f t="shared" ca="1" si="162"/>
        <v>172663401136.7179</v>
      </c>
      <c r="M3127" s="471">
        <f t="shared" si="164"/>
        <v>0.05</v>
      </c>
      <c r="N3127" s="475">
        <f t="shared" si="165"/>
        <v>146219</v>
      </c>
    </row>
    <row r="3128" spans="7:14" ht="11.25" customHeight="1" x14ac:dyDescent="0.3">
      <c r="G3128" s="470"/>
      <c r="H3128" s="470">
        <v>3121</v>
      </c>
      <c r="I3128" s="455">
        <f t="shared" ca="1" si="163"/>
        <v>172663401136.7179</v>
      </c>
      <c r="J3128" s="455">
        <f t="array" ref="J3128">IFERROR(INDEX('Retirement Calculator'!J:J,MATCH('Isaac 401k'!N3128,'Retirement Calculator'!A:A,0),0),0)</f>
        <v>0</v>
      </c>
      <c r="K3128" s="455">
        <f t="shared" ca="1" si="161"/>
        <v>719430838.06965792</v>
      </c>
      <c r="L3128" s="455">
        <f t="shared" ca="1" si="162"/>
        <v>173382831974.78757</v>
      </c>
      <c r="M3128" s="471">
        <f t="shared" si="164"/>
        <v>0.05</v>
      </c>
      <c r="N3128" s="475">
        <f t="shared" si="165"/>
        <v>146250</v>
      </c>
    </row>
    <row r="3129" spans="7:14" ht="11.25" customHeight="1" x14ac:dyDescent="0.3">
      <c r="G3129" s="470"/>
      <c r="H3129" s="470">
        <v>3122</v>
      </c>
      <c r="I3129" s="455">
        <f t="shared" ca="1" si="163"/>
        <v>173382831974.78757</v>
      </c>
      <c r="J3129" s="455">
        <f t="array" ref="J3129">IFERROR(INDEX('Retirement Calculator'!J:J,MATCH('Isaac 401k'!N3129,'Retirement Calculator'!A:A,0),0),0)</f>
        <v>0</v>
      </c>
      <c r="K3129" s="455">
        <f t="shared" ca="1" si="161"/>
        <v>722428466.56161487</v>
      </c>
      <c r="L3129" s="455">
        <f t="shared" ca="1" si="162"/>
        <v>174105260441.34918</v>
      </c>
      <c r="M3129" s="471">
        <f t="shared" si="164"/>
        <v>0.05</v>
      </c>
      <c r="N3129" s="475">
        <f t="shared" si="165"/>
        <v>146280</v>
      </c>
    </row>
    <row r="3130" spans="7:14" ht="11.25" customHeight="1" x14ac:dyDescent="0.3">
      <c r="G3130" s="470"/>
      <c r="H3130" s="470">
        <v>3123</v>
      </c>
      <c r="I3130" s="455">
        <f t="shared" ca="1" si="163"/>
        <v>174105260441.34918</v>
      </c>
      <c r="J3130" s="455">
        <f t="array" ref="J3130">IFERROR(INDEX('Retirement Calculator'!J:J,MATCH('Isaac 401k'!N3130,'Retirement Calculator'!A:A,0),0),0)</f>
        <v>0</v>
      </c>
      <c r="K3130" s="455">
        <f t="shared" ca="1" si="161"/>
        <v>725438585.1722883</v>
      </c>
      <c r="L3130" s="455">
        <f t="shared" ca="1" si="162"/>
        <v>174830699026.52148</v>
      </c>
      <c r="M3130" s="471">
        <f t="shared" si="164"/>
        <v>0.05</v>
      </c>
      <c r="N3130" s="475">
        <f t="shared" si="165"/>
        <v>146311</v>
      </c>
    </row>
    <row r="3131" spans="7:14" ht="11.25" customHeight="1" x14ac:dyDescent="0.3">
      <c r="G3131" s="470"/>
      <c r="H3131" s="470">
        <v>3124</v>
      </c>
      <c r="I3131" s="455">
        <f t="shared" ca="1" si="163"/>
        <v>174830699026.52148</v>
      </c>
      <c r="J3131" s="455">
        <f t="array" ref="J3131">IFERROR(INDEX('Retirement Calculator'!J:J,MATCH('Isaac 401k'!N3131,'Retirement Calculator'!A:A,0),0),0)</f>
        <v>0</v>
      </c>
      <c r="K3131" s="455">
        <f t="shared" ca="1" si="161"/>
        <v>728461245.94383955</v>
      </c>
      <c r="L3131" s="455">
        <f t="shared" ca="1" si="162"/>
        <v>175559160272.46533</v>
      </c>
      <c r="M3131" s="471">
        <f t="shared" si="164"/>
        <v>0.05</v>
      </c>
      <c r="N3131" s="475">
        <f t="shared" si="165"/>
        <v>146342</v>
      </c>
    </row>
    <row r="3132" spans="7:14" ht="11.25" customHeight="1" x14ac:dyDescent="0.3">
      <c r="G3132" s="470"/>
      <c r="H3132" s="470">
        <v>3125</v>
      </c>
      <c r="I3132" s="455">
        <f t="shared" ca="1" si="163"/>
        <v>175559160272.46533</v>
      </c>
      <c r="J3132" s="455">
        <f t="array" ref="J3132">IFERROR(INDEX('Retirement Calculator'!J:J,MATCH('Isaac 401k'!N3132,'Retirement Calculator'!A:A,0),0),0)</f>
        <v>0</v>
      </c>
      <c r="K3132" s="455">
        <f t="shared" ca="1" si="161"/>
        <v>731496501.13527226</v>
      </c>
      <c r="L3132" s="455">
        <f t="shared" ca="1" si="162"/>
        <v>176290656773.60062</v>
      </c>
      <c r="M3132" s="471">
        <f t="shared" si="164"/>
        <v>0.05</v>
      </c>
      <c r="N3132" s="475">
        <f t="shared" si="165"/>
        <v>146372</v>
      </c>
    </row>
    <row r="3133" spans="7:14" ht="11.25" customHeight="1" x14ac:dyDescent="0.3">
      <c r="G3133" s="470"/>
      <c r="H3133" s="470">
        <v>3126</v>
      </c>
      <c r="I3133" s="455">
        <f t="shared" ca="1" si="163"/>
        <v>176290656773.60062</v>
      </c>
      <c r="J3133" s="455">
        <f t="array" ref="J3133">IFERROR(INDEX('Retirement Calculator'!J:J,MATCH('Isaac 401k'!N3133,'Retirement Calculator'!A:A,0),0),0)</f>
        <v>0</v>
      </c>
      <c r="K3133" s="455">
        <f t="shared" ca="1" si="161"/>
        <v>734544403.22333586</v>
      </c>
      <c r="L3133" s="455">
        <f t="shared" ca="1" si="162"/>
        <v>177025201176.82394</v>
      </c>
      <c r="M3133" s="471">
        <f t="shared" si="164"/>
        <v>0.05</v>
      </c>
      <c r="N3133" s="475">
        <f t="shared" si="165"/>
        <v>146403</v>
      </c>
    </row>
    <row r="3134" spans="7:14" ht="11.25" customHeight="1" x14ac:dyDescent="0.3">
      <c r="G3134" s="470"/>
      <c r="H3134" s="470">
        <v>3127</v>
      </c>
      <c r="I3134" s="455">
        <f t="shared" ca="1" si="163"/>
        <v>177025201176.82394</v>
      </c>
      <c r="J3134" s="455">
        <f t="array" ref="J3134">IFERROR(INDEX('Retirement Calculator'!J:J,MATCH('Isaac 401k'!N3134,'Retirement Calculator'!A:A,0),0),0)</f>
        <v>0</v>
      </c>
      <c r="K3134" s="455">
        <f t="shared" ca="1" si="161"/>
        <v>737605004.90343308</v>
      </c>
      <c r="L3134" s="455">
        <f t="shared" ca="1" si="162"/>
        <v>177762806181.72739</v>
      </c>
      <c r="M3134" s="471">
        <f t="shared" si="164"/>
        <v>0.05</v>
      </c>
      <c r="N3134" s="475">
        <f t="shared" si="165"/>
        <v>146433</v>
      </c>
    </row>
    <row r="3135" spans="7:14" ht="11.25" customHeight="1" x14ac:dyDescent="0.3">
      <c r="G3135" s="470"/>
      <c r="H3135" s="470">
        <v>3128</v>
      </c>
      <c r="I3135" s="455">
        <f t="shared" ca="1" si="163"/>
        <v>177762806181.72739</v>
      </c>
      <c r="J3135" s="455">
        <f t="array" ref="J3135">IFERROR(INDEX('Retirement Calculator'!J:J,MATCH('Isaac 401k'!N3135,'Retirement Calculator'!A:A,0),0),0)</f>
        <v>0</v>
      </c>
      <c r="K3135" s="455">
        <f t="shared" ca="1" si="161"/>
        <v>740678359.09053075</v>
      </c>
      <c r="L3135" s="455">
        <f t="shared" ca="1" si="162"/>
        <v>178503484540.81793</v>
      </c>
      <c r="M3135" s="471">
        <f t="shared" si="164"/>
        <v>0.05</v>
      </c>
      <c r="N3135" s="475">
        <f t="shared" si="165"/>
        <v>146464</v>
      </c>
    </row>
    <row r="3136" spans="7:14" ht="11.25" customHeight="1" x14ac:dyDescent="0.3">
      <c r="G3136" s="470"/>
      <c r="H3136" s="470">
        <v>3129</v>
      </c>
      <c r="I3136" s="455">
        <f t="shared" ca="1" si="163"/>
        <v>178503484540.81793</v>
      </c>
      <c r="J3136" s="455">
        <f t="array" ref="J3136">IFERROR(INDEX('Retirement Calculator'!J:J,MATCH('Isaac 401k'!N3136,'Retirement Calculator'!A:A,0),0),0)</f>
        <v>0</v>
      </c>
      <c r="K3136" s="455">
        <f t="shared" ca="1" si="161"/>
        <v>743764518.9200747</v>
      </c>
      <c r="L3136" s="455">
        <f t="shared" ca="1" si="162"/>
        <v>179247249059.73801</v>
      </c>
      <c r="M3136" s="471">
        <f t="shared" si="164"/>
        <v>0.05</v>
      </c>
      <c r="N3136" s="475">
        <f t="shared" si="165"/>
        <v>146495</v>
      </c>
    </row>
    <row r="3137" spans="7:14" ht="11.25" customHeight="1" x14ac:dyDescent="0.3">
      <c r="G3137" s="470"/>
      <c r="H3137" s="470">
        <v>3130</v>
      </c>
      <c r="I3137" s="455">
        <f t="shared" ca="1" si="163"/>
        <v>179247249059.73801</v>
      </c>
      <c r="J3137" s="455">
        <f t="array" ref="J3137">IFERROR(INDEX('Retirement Calculator'!J:J,MATCH('Isaac 401k'!N3137,'Retirement Calculator'!A:A,0),0),0)</f>
        <v>0</v>
      </c>
      <c r="K3137" s="455">
        <f t="shared" ca="1" si="161"/>
        <v>746863537.7489084</v>
      </c>
      <c r="L3137" s="455">
        <f t="shared" ca="1" si="162"/>
        <v>179994112597.48691</v>
      </c>
      <c r="M3137" s="471">
        <f t="shared" si="164"/>
        <v>0.05</v>
      </c>
      <c r="N3137" s="475">
        <f t="shared" si="165"/>
        <v>146523</v>
      </c>
    </row>
    <row r="3138" spans="7:14" ht="11.25" customHeight="1" x14ac:dyDescent="0.3">
      <c r="G3138" s="470"/>
      <c r="H3138" s="470">
        <v>3131</v>
      </c>
      <c r="I3138" s="455">
        <f t="shared" ca="1" si="163"/>
        <v>179994112597.48691</v>
      </c>
      <c r="J3138" s="455">
        <f t="array" ref="J3138">IFERROR(INDEX('Retirement Calculator'!J:J,MATCH('Isaac 401k'!N3138,'Retirement Calculator'!A:A,0),0),0)</f>
        <v>0</v>
      </c>
      <c r="K3138" s="455">
        <f t="shared" ca="1" si="161"/>
        <v>749975469.1561954</v>
      </c>
      <c r="L3138" s="455">
        <f t="shared" ca="1" si="162"/>
        <v>180744088066.6431</v>
      </c>
      <c r="M3138" s="471">
        <f t="shared" si="164"/>
        <v>0.05</v>
      </c>
      <c r="N3138" s="475">
        <f t="shared" si="165"/>
        <v>146554</v>
      </c>
    </row>
    <row r="3139" spans="7:14" ht="11.25" customHeight="1" x14ac:dyDescent="0.3">
      <c r="G3139" s="470"/>
      <c r="H3139" s="470">
        <v>3132</v>
      </c>
      <c r="I3139" s="455">
        <f t="shared" ca="1" si="163"/>
        <v>180744088066.6431</v>
      </c>
      <c r="J3139" s="455">
        <f t="array" ref="J3139">IFERROR(INDEX('Retirement Calculator'!J:J,MATCH('Isaac 401k'!N3139,'Retirement Calculator'!A:A,0),0),0)</f>
        <v>0</v>
      </c>
      <c r="K3139" s="455">
        <f t="shared" ca="1" si="161"/>
        <v>753100366.94434619</v>
      </c>
      <c r="L3139" s="455">
        <f t="shared" ca="1" si="162"/>
        <v>181497188433.58743</v>
      </c>
      <c r="M3139" s="471">
        <f t="shared" si="164"/>
        <v>0.05</v>
      </c>
      <c r="N3139" s="475">
        <f t="shared" si="165"/>
        <v>146584</v>
      </c>
    </row>
    <row r="3140" spans="7:14" ht="11.25" customHeight="1" x14ac:dyDescent="0.3">
      <c r="G3140" s="470"/>
      <c r="H3140" s="470">
        <v>3133</v>
      </c>
      <c r="I3140" s="455">
        <f t="shared" ca="1" si="163"/>
        <v>181497188433.58743</v>
      </c>
      <c r="J3140" s="455">
        <f t="array" ref="J3140">IFERROR(INDEX('Retirement Calculator'!J:J,MATCH('Isaac 401k'!N3140,'Retirement Calculator'!A:A,0),0),0)</f>
        <v>0</v>
      </c>
      <c r="K3140" s="455">
        <f t="shared" ca="1" si="161"/>
        <v>756238285.13994765</v>
      </c>
      <c r="L3140" s="455">
        <f t="shared" ca="1" si="162"/>
        <v>182253426718.72739</v>
      </c>
      <c r="M3140" s="471">
        <f t="shared" si="164"/>
        <v>0.05</v>
      </c>
      <c r="N3140" s="475">
        <f t="shared" si="165"/>
        <v>146615</v>
      </c>
    </row>
    <row r="3141" spans="7:14" ht="11.25" customHeight="1" x14ac:dyDescent="0.3">
      <c r="G3141" s="470"/>
      <c r="H3141" s="470">
        <v>3134</v>
      </c>
      <c r="I3141" s="455">
        <f t="shared" ca="1" si="163"/>
        <v>182253426718.72739</v>
      </c>
      <c r="J3141" s="455">
        <f t="array" ref="J3141">IFERROR(INDEX('Retirement Calculator'!J:J,MATCH('Isaac 401k'!N3141,'Retirement Calculator'!A:A,0),0),0)</f>
        <v>0</v>
      </c>
      <c r="K3141" s="455">
        <f t="shared" ca="1" si="161"/>
        <v>759389277.99469745</v>
      </c>
      <c r="L3141" s="455">
        <f t="shared" ca="1" si="162"/>
        <v>183012815996.72208</v>
      </c>
      <c r="M3141" s="471">
        <f t="shared" si="164"/>
        <v>0.05</v>
      </c>
      <c r="N3141" s="475">
        <f t="shared" si="165"/>
        <v>146645</v>
      </c>
    </row>
    <row r="3142" spans="7:14" ht="11.25" customHeight="1" x14ac:dyDescent="0.3">
      <c r="G3142" s="470"/>
      <c r="H3142" s="470">
        <v>3135</v>
      </c>
      <c r="I3142" s="455">
        <f t="shared" ca="1" si="163"/>
        <v>183012815996.72208</v>
      </c>
      <c r="J3142" s="455">
        <f t="array" ref="J3142">IFERROR(INDEX('Retirement Calculator'!J:J,MATCH('Isaac 401k'!N3142,'Retirement Calculator'!A:A,0),0),0)</f>
        <v>0</v>
      </c>
      <c r="K3142" s="455">
        <f t="shared" ca="1" si="161"/>
        <v>762553399.98634195</v>
      </c>
      <c r="L3142" s="455">
        <f t="shared" ca="1" si="162"/>
        <v>183775369396.7084</v>
      </c>
      <c r="M3142" s="471">
        <f t="shared" si="164"/>
        <v>0.05</v>
      </c>
      <c r="N3142" s="475">
        <f t="shared" si="165"/>
        <v>146676</v>
      </c>
    </row>
    <row r="3143" spans="7:14" ht="11.25" customHeight="1" x14ac:dyDescent="0.3">
      <c r="G3143" s="470"/>
      <c r="H3143" s="470">
        <v>3136</v>
      </c>
      <c r="I3143" s="455">
        <f t="shared" ca="1" si="163"/>
        <v>183775369396.7084</v>
      </c>
      <c r="J3143" s="455">
        <f t="array" ref="J3143">IFERROR(INDEX('Retirement Calculator'!J:J,MATCH('Isaac 401k'!N3143,'Retirement Calculator'!A:A,0),0),0)</f>
        <v>0</v>
      </c>
      <c r="K3143" s="455">
        <f t="shared" ca="1" si="161"/>
        <v>765730705.81961834</v>
      </c>
      <c r="L3143" s="455">
        <f t="shared" ca="1" si="162"/>
        <v>184541100102.52802</v>
      </c>
      <c r="M3143" s="471">
        <f t="shared" si="164"/>
        <v>0.05</v>
      </c>
      <c r="N3143" s="475">
        <f t="shared" si="165"/>
        <v>146707</v>
      </c>
    </row>
    <row r="3144" spans="7:14" ht="11.25" customHeight="1" x14ac:dyDescent="0.3">
      <c r="G3144" s="470"/>
      <c r="H3144" s="470">
        <v>3137</v>
      </c>
      <c r="I3144" s="455">
        <f t="shared" ca="1" si="163"/>
        <v>184541100102.52802</v>
      </c>
      <c r="J3144" s="455">
        <f t="array" ref="J3144">IFERROR(INDEX('Retirement Calculator'!J:J,MATCH('Isaac 401k'!N3144,'Retirement Calculator'!A:A,0),0),0)</f>
        <v>0</v>
      </c>
      <c r="K3144" s="455">
        <f t="shared" ca="1" si="161"/>
        <v>768921250.42720008</v>
      </c>
      <c r="L3144" s="455">
        <f t="shared" ca="1" si="162"/>
        <v>185310021352.9552</v>
      </c>
      <c r="M3144" s="471">
        <f t="shared" si="164"/>
        <v>0.05</v>
      </c>
      <c r="N3144" s="475">
        <f t="shared" si="165"/>
        <v>146737</v>
      </c>
    </row>
    <row r="3145" spans="7:14" ht="11.25" customHeight="1" x14ac:dyDescent="0.3">
      <c r="G3145" s="470"/>
      <c r="H3145" s="470">
        <v>3138</v>
      </c>
      <c r="I3145" s="455">
        <f t="shared" ca="1" si="163"/>
        <v>185310021352.9552</v>
      </c>
      <c r="J3145" s="455">
        <f t="array" ref="J3145">IFERROR(INDEX('Retirement Calculator'!J:J,MATCH('Isaac 401k'!N3145,'Retirement Calculator'!A:A,0),0),0)</f>
        <v>0</v>
      </c>
      <c r="K3145" s="455">
        <f t="shared" ca="1" si="161"/>
        <v>772125088.97064662</v>
      </c>
      <c r="L3145" s="455">
        <f t="shared" ca="1" si="162"/>
        <v>186082146441.92584</v>
      </c>
      <c r="M3145" s="471">
        <f t="shared" si="164"/>
        <v>0.05</v>
      </c>
      <c r="N3145" s="475">
        <f t="shared" si="165"/>
        <v>146768</v>
      </c>
    </row>
    <row r="3146" spans="7:14" ht="11.25" customHeight="1" x14ac:dyDescent="0.3">
      <c r="G3146" s="470"/>
      <c r="H3146" s="470">
        <v>3139</v>
      </c>
      <c r="I3146" s="455">
        <f t="shared" ca="1" si="163"/>
        <v>186082146441.92584</v>
      </c>
      <c r="J3146" s="455">
        <f t="array" ref="J3146">IFERROR(INDEX('Retirement Calculator'!J:J,MATCH('Isaac 401k'!N3146,'Retirement Calculator'!A:A,0),0),0)</f>
        <v>0</v>
      </c>
      <c r="K3146" s="455">
        <f t="shared" ca="1" si="161"/>
        <v>775342276.84135771</v>
      </c>
      <c r="L3146" s="455">
        <f t="shared" ca="1" si="162"/>
        <v>186857488718.76721</v>
      </c>
      <c r="M3146" s="471">
        <f t="shared" si="164"/>
        <v>0.05</v>
      </c>
      <c r="N3146" s="475">
        <f t="shared" si="165"/>
        <v>146798</v>
      </c>
    </row>
    <row r="3147" spans="7:14" ht="11.25" customHeight="1" x14ac:dyDescent="0.3">
      <c r="G3147" s="470"/>
      <c r="H3147" s="470">
        <v>3140</v>
      </c>
      <c r="I3147" s="455">
        <f t="shared" ca="1" si="163"/>
        <v>186857488718.76721</v>
      </c>
      <c r="J3147" s="455">
        <f t="array" ref="J3147">IFERROR(INDEX('Retirement Calculator'!J:J,MATCH('Isaac 401k'!N3147,'Retirement Calculator'!A:A,0),0),0)</f>
        <v>0</v>
      </c>
      <c r="K3147" s="455">
        <f t="shared" ca="1" si="161"/>
        <v>778572869.66153002</v>
      </c>
      <c r="L3147" s="455">
        <f t="shared" ca="1" si="162"/>
        <v>187636061588.42874</v>
      </c>
      <c r="M3147" s="471">
        <f t="shared" si="164"/>
        <v>0.05</v>
      </c>
      <c r="N3147" s="475">
        <f t="shared" si="165"/>
        <v>146829</v>
      </c>
    </row>
    <row r="3148" spans="7:14" ht="11.25" customHeight="1" x14ac:dyDescent="0.3">
      <c r="G3148" s="470"/>
      <c r="H3148" s="470">
        <v>3141</v>
      </c>
      <c r="I3148" s="455">
        <f t="shared" ca="1" si="163"/>
        <v>187636061588.42874</v>
      </c>
      <c r="J3148" s="455">
        <f t="array" ref="J3148">IFERROR(INDEX('Retirement Calculator'!J:J,MATCH('Isaac 401k'!N3148,'Retirement Calculator'!A:A,0),0),0)</f>
        <v>0</v>
      </c>
      <c r="K3148" s="455">
        <f t="shared" ca="1" si="161"/>
        <v>781816923.28511977</v>
      </c>
      <c r="L3148" s="455">
        <f t="shared" ca="1" si="162"/>
        <v>188417878511.71387</v>
      </c>
      <c r="M3148" s="471">
        <f t="shared" si="164"/>
        <v>0.05</v>
      </c>
      <c r="N3148" s="475">
        <f t="shared" si="165"/>
        <v>146860</v>
      </c>
    </row>
    <row r="3149" spans="7:14" ht="11.25" customHeight="1" x14ac:dyDescent="0.3">
      <c r="G3149" s="470"/>
      <c r="H3149" s="470">
        <v>3142</v>
      </c>
      <c r="I3149" s="455">
        <f t="shared" ca="1" si="163"/>
        <v>188417878511.71387</v>
      </c>
      <c r="J3149" s="455">
        <f t="array" ref="J3149">IFERROR(INDEX('Retirement Calculator'!J:J,MATCH('Isaac 401k'!N3149,'Retirement Calculator'!A:A,0),0),0)</f>
        <v>0</v>
      </c>
      <c r="K3149" s="455">
        <f t="shared" ca="1" si="161"/>
        <v>785074493.79880774</v>
      </c>
      <c r="L3149" s="455">
        <f t="shared" ca="1" si="162"/>
        <v>189202953005.51266</v>
      </c>
      <c r="M3149" s="471">
        <f t="shared" si="164"/>
        <v>0.05</v>
      </c>
      <c r="N3149" s="475">
        <f t="shared" si="165"/>
        <v>146888</v>
      </c>
    </row>
    <row r="3150" spans="7:14" ht="11.25" customHeight="1" x14ac:dyDescent="0.3">
      <c r="G3150" s="470"/>
      <c r="H3150" s="470">
        <v>3143</v>
      </c>
      <c r="I3150" s="455">
        <f t="shared" ca="1" si="163"/>
        <v>189202953005.51266</v>
      </c>
      <c r="J3150" s="455">
        <f t="array" ref="J3150">IFERROR(INDEX('Retirement Calculator'!J:J,MATCH('Isaac 401k'!N3150,'Retirement Calculator'!A:A,0),0),0)</f>
        <v>0</v>
      </c>
      <c r="K3150" s="455">
        <f t="shared" ca="1" si="161"/>
        <v>788345637.52296948</v>
      </c>
      <c r="L3150" s="455">
        <f t="shared" ca="1" si="162"/>
        <v>189991298643.03564</v>
      </c>
      <c r="M3150" s="471">
        <f t="shared" si="164"/>
        <v>0.05</v>
      </c>
      <c r="N3150" s="475">
        <f t="shared" si="165"/>
        <v>146919</v>
      </c>
    </row>
    <row r="3151" spans="7:14" ht="11.25" customHeight="1" x14ac:dyDescent="0.3">
      <c r="G3151" s="470"/>
      <c r="H3151" s="470">
        <v>3144</v>
      </c>
      <c r="I3151" s="455">
        <f t="shared" ca="1" si="163"/>
        <v>189991298643.03564</v>
      </c>
      <c r="J3151" s="455">
        <f t="array" ref="J3151">IFERROR(INDEX('Retirement Calculator'!J:J,MATCH('Isaac 401k'!N3151,'Retirement Calculator'!A:A,0),0),0)</f>
        <v>0</v>
      </c>
      <c r="K3151" s="455">
        <f t="shared" ca="1" si="161"/>
        <v>791630411.01264846</v>
      </c>
      <c r="L3151" s="455">
        <f t="shared" ca="1" si="162"/>
        <v>190782929054.04828</v>
      </c>
      <c r="M3151" s="471">
        <f t="shared" si="164"/>
        <v>0.05</v>
      </c>
      <c r="N3151" s="475">
        <f t="shared" si="165"/>
        <v>146949</v>
      </c>
    </row>
    <row r="3152" spans="7:14" ht="11.25" customHeight="1" x14ac:dyDescent="0.3">
      <c r="G3152" s="470"/>
      <c r="H3152" s="470">
        <v>3145</v>
      </c>
      <c r="I3152" s="455">
        <f t="shared" ca="1" si="163"/>
        <v>190782929054.04828</v>
      </c>
      <c r="J3152" s="455">
        <f t="array" ref="J3152">IFERROR(INDEX('Retirement Calculator'!J:J,MATCH('Isaac 401k'!N3152,'Retirement Calculator'!A:A,0),0),0)</f>
        <v>0</v>
      </c>
      <c r="K3152" s="455">
        <f t="shared" ca="1" si="161"/>
        <v>794928871.0585345</v>
      </c>
      <c r="L3152" s="455">
        <f t="shared" ca="1" si="162"/>
        <v>191577857925.10681</v>
      </c>
      <c r="M3152" s="471">
        <f t="shared" si="164"/>
        <v>0.05</v>
      </c>
      <c r="N3152" s="475">
        <f t="shared" si="165"/>
        <v>146980</v>
      </c>
    </row>
    <row r="3153" spans="7:14" ht="11.25" customHeight="1" x14ac:dyDescent="0.3">
      <c r="G3153" s="470"/>
      <c r="H3153" s="470">
        <v>3146</v>
      </c>
      <c r="I3153" s="455">
        <f t="shared" ca="1" si="163"/>
        <v>191577857925.10681</v>
      </c>
      <c r="J3153" s="455">
        <f t="array" ref="J3153">IFERROR(INDEX('Retirement Calculator'!J:J,MATCH('Isaac 401k'!N3153,'Retirement Calculator'!A:A,0),0),0)</f>
        <v>0</v>
      </c>
      <c r="K3153" s="455">
        <f t="shared" ca="1" si="161"/>
        <v>798241074.68794501</v>
      </c>
      <c r="L3153" s="455">
        <f t="shared" ca="1" si="162"/>
        <v>192376098999.79477</v>
      </c>
      <c r="M3153" s="471">
        <f t="shared" si="164"/>
        <v>0.05</v>
      </c>
      <c r="N3153" s="475">
        <f t="shared" si="165"/>
        <v>147010</v>
      </c>
    </row>
    <row r="3154" spans="7:14" ht="11.25" customHeight="1" x14ac:dyDescent="0.3">
      <c r="G3154" s="470"/>
      <c r="H3154" s="470">
        <v>3147</v>
      </c>
      <c r="I3154" s="455">
        <f t="shared" ca="1" si="163"/>
        <v>192376098999.79477</v>
      </c>
      <c r="J3154" s="455">
        <f t="array" ref="J3154">IFERROR(INDEX('Retirement Calculator'!J:J,MATCH('Isaac 401k'!N3154,'Retirement Calculator'!A:A,0),0),0)</f>
        <v>0</v>
      </c>
      <c r="K3154" s="455">
        <f t="shared" ca="1" si="161"/>
        <v>801567079.16581154</v>
      </c>
      <c r="L3154" s="455">
        <f t="shared" ca="1" si="162"/>
        <v>193177666078.96057</v>
      </c>
      <c r="M3154" s="471">
        <f t="shared" si="164"/>
        <v>0.05</v>
      </c>
      <c r="N3154" s="475">
        <f t="shared" si="165"/>
        <v>147041</v>
      </c>
    </row>
    <row r="3155" spans="7:14" ht="11.25" customHeight="1" x14ac:dyDescent="0.3">
      <c r="G3155" s="470"/>
      <c r="H3155" s="470">
        <v>3148</v>
      </c>
      <c r="I3155" s="455">
        <f t="shared" ca="1" si="163"/>
        <v>193177666078.96057</v>
      </c>
      <c r="J3155" s="455">
        <f t="array" ref="J3155">IFERROR(INDEX('Retirement Calculator'!J:J,MATCH('Isaac 401k'!N3155,'Retirement Calculator'!A:A,0),0),0)</f>
        <v>0</v>
      </c>
      <c r="K3155" s="455">
        <f t="shared" ca="1" si="161"/>
        <v>804906941.99566901</v>
      </c>
      <c r="L3155" s="455">
        <f t="shared" ca="1" si="162"/>
        <v>193982573020.95624</v>
      </c>
      <c r="M3155" s="471">
        <f t="shared" si="164"/>
        <v>0.05</v>
      </c>
      <c r="N3155" s="475">
        <f t="shared" si="165"/>
        <v>147072</v>
      </c>
    </row>
    <row r="3156" spans="7:14" ht="11.25" customHeight="1" x14ac:dyDescent="0.3">
      <c r="G3156" s="470"/>
      <c r="H3156" s="470">
        <v>3149</v>
      </c>
      <c r="I3156" s="455">
        <f t="shared" ca="1" si="163"/>
        <v>193982573020.95624</v>
      </c>
      <c r="J3156" s="455">
        <f t="array" ref="J3156">IFERROR(INDEX('Retirement Calculator'!J:J,MATCH('Isaac 401k'!N3156,'Retirement Calculator'!A:A,0),0),0)</f>
        <v>0</v>
      </c>
      <c r="K3156" s="455">
        <f t="shared" ca="1" si="161"/>
        <v>808260720.92065096</v>
      </c>
      <c r="L3156" s="455">
        <f t="shared" ca="1" si="162"/>
        <v>194790833741.87689</v>
      </c>
      <c r="M3156" s="471">
        <f t="shared" si="164"/>
        <v>0.05</v>
      </c>
      <c r="N3156" s="475">
        <f t="shared" si="165"/>
        <v>147102</v>
      </c>
    </row>
    <row r="3157" spans="7:14" ht="11.25" customHeight="1" x14ac:dyDescent="0.3">
      <c r="G3157" s="470"/>
      <c r="H3157" s="470">
        <v>3150</v>
      </c>
      <c r="I3157" s="455">
        <f t="shared" ca="1" si="163"/>
        <v>194790833741.87689</v>
      </c>
      <c r="J3157" s="455">
        <f t="array" ref="J3157">IFERROR(INDEX('Retirement Calculator'!J:J,MATCH('Isaac 401k'!N3157,'Retirement Calculator'!A:A,0),0),0)</f>
        <v>0</v>
      </c>
      <c r="K3157" s="455">
        <f t="shared" ca="1" si="161"/>
        <v>811628473.92448699</v>
      </c>
      <c r="L3157" s="455">
        <f t="shared" ca="1" si="162"/>
        <v>195602462215.80139</v>
      </c>
      <c r="M3157" s="471">
        <f t="shared" si="164"/>
        <v>0.05</v>
      </c>
      <c r="N3157" s="475">
        <f t="shared" si="165"/>
        <v>147133</v>
      </c>
    </row>
    <row r="3158" spans="7:14" ht="11.25" customHeight="1" x14ac:dyDescent="0.3">
      <c r="G3158" s="470"/>
      <c r="H3158" s="470">
        <v>3151</v>
      </c>
      <c r="I3158" s="455">
        <f t="shared" ca="1" si="163"/>
        <v>195602462215.80139</v>
      </c>
      <c r="J3158" s="455">
        <f t="array" ref="J3158">IFERROR(INDEX('Retirement Calculator'!J:J,MATCH('Isaac 401k'!N3158,'Retirement Calculator'!A:A,0),0),0)</f>
        <v>0</v>
      </c>
      <c r="K3158" s="455">
        <f t="shared" ca="1" si="161"/>
        <v>815010259.2325058</v>
      </c>
      <c r="L3158" s="455">
        <f t="shared" ca="1" si="162"/>
        <v>196417472475.03391</v>
      </c>
      <c r="M3158" s="471">
        <f t="shared" si="164"/>
        <v>0.05</v>
      </c>
      <c r="N3158" s="475">
        <f t="shared" si="165"/>
        <v>147163</v>
      </c>
    </row>
    <row r="3159" spans="7:14" ht="11.25" customHeight="1" x14ac:dyDescent="0.3">
      <c r="G3159" s="470"/>
      <c r="H3159" s="470">
        <v>3152</v>
      </c>
      <c r="I3159" s="455">
        <f t="shared" ca="1" si="163"/>
        <v>196417472475.03391</v>
      </c>
      <c r="J3159" s="455">
        <f t="array" ref="J3159">IFERROR(INDEX('Retirement Calculator'!J:J,MATCH('Isaac 401k'!N3159,'Retirement Calculator'!A:A,0),0),0)</f>
        <v>0</v>
      </c>
      <c r="K3159" s="455">
        <f t="shared" ca="1" si="161"/>
        <v>818406135.31264126</v>
      </c>
      <c r="L3159" s="455">
        <f t="shared" ca="1" si="162"/>
        <v>197235878610.34656</v>
      </c>
      <c r="M3159" s="471">
        <f t="shared" si="164"/>
        <v>0.05</v>
      </c>
      <c r="N3159" s="475">
        <f t="shared" si="165"/>
        <v>147194</v>
      </c>
    </row>
    <row r="3160" spans="7:14" ht="11.25" customHeight="1" x14ac:dyDescent="0.3">
      <c r="G3160" s="470"/>
      <c r="H3160" s="470">
        <v>3153</v>
      </c>
      <c r="I3160" s="455">
        <f t="shared" ca="1" si="163"/>
        <v>197235878610.34656</v>
      </c>
      <c r="J3160" s="455">
        <f t="array" ref="J3160">IFERROR(INDEX('Retirement Calculator'!J:J,MATCH('Isaac 401k'!N3160,'Retirement Calculator'!A:A,0),0),0)</f>
        <v>0</v>
      </c>
      <c r="K3160" s="455">
        <f t="shared" ca="1" si="161"/>
        <v>821816160.87644398</v>
      </c>
      <c r="L3160" s="455">
        <f t="shared" ca="1" si="162"/>
        <v>198057694771.22299</v>
      </c>
      <c r="M3160" s="471">
        <f t="shared" si="164"/>
        <v>0.05</v>
      </c>
      <c r="N3160" s="475">
        <f t="shared" si="165"/>
        <v>147225</v>
      </c>
    </row>
    <row r="3161" spans="7:14" ht="11.25" customHeight="1" x14ac:dyDescent="0.3">
      <c r="G3161" s="470"/>
      <c r="H3161" s="470">
        <v>3154</v>
      </c>
      <c r="I3161" s="455">
        <f t="shared" ca="1" si="163"/>
        <v>198057694771.22299</v>
      </c>
      <c r="J3161" s="455">
        <f t="array" ref="J3161">IFERROR(INDEX('Retirement Calculator'!J:J,MATCH('Isaac 401k'!N3161,'Retirement Calculator'!A:A,0),0),0)</f>
        <v>0</v>
      </c>
      <c r="K3161" s="455">
        <f t="shared" ca="1" si="161"/>
        <v>825240394.88009584</v>
      </c>
      <c r="L3161" s="455">
        <f t="shared" ca="1" si="162"/>
        <v>198882935166.10309</v>
      </c>
      <c r="M3161" s="471">
        <f t="shared" si="164"/>
        <v>0.05</v>
      </c>
      <c r="N3161" s="475">
        <f t="shared" si="165"/>
        <v>147253</v>
      </c>
    </row>
    <row r="3162" spans="7:14" ht="11.25" customHeight="1" x14ac:dyDescent="0.3">
      <c r="G3162" s="470"/>
      <c r="H3162" s="470">
        <v>3155</v>
      </c>
      <c r="I3162" s="455">
        <f t="shared" ca="1" si="163"/>
        <v>198882935166.10309</v>
      </c>
      <c r="J3162" s="455">
        <f t="array" ref="J3162">IFERROR(INDEX('Retirement Calculator'!J:J,MATCH('Isaac 401k'!N3162,'Retirement Calculator'!A:A,0),0),0)</f>
        <v>0</v>
      </c>
      <c r="K3162" s="455">
        <f t="shared" ca="1" si="161"/>
        <v>828678896.52542949</v>
      </c>
      <c r="L3162" s="455">
        <f t="shared" ca="1" si="162"/>
        <v>199711614062.62851</v>
      </c>
      <c r="M3162" s="471">
        <f t="shared" si="164"/>
        <v>0.05</v>
      </c>
      <c r="N3162" s="475">
        <f t="shared" si="165"/>
        <v>147284</v>
      </c>
    </row>
    <row r="3163" spans="7:14" ht="11.25" customHeight="1" x14ac:dyDescent="0.3">
      <c r="G3163" s="470"/>
      <c r="H3163" s="470">
        <v>3156</v>
      </c>
      <c r="I3163" s="455">
        <f t="shared" ca="1" si="163"/>
        <v>199711614062.62851</v>
      </c>
      <c r="J3163" s="455">
        <f t="array" ref="J3163">IFERROR(INDEX('Retirement Calculator'!J:J,MATCH('Isaac 401k'!N3163,'Retirement Calculator'!A:A,0),0),0)</f>
        <v>0</v>
      </c>
      <c r="K3163" s="455">
        <f t="shared" ca="1" si="161"/>
        <v>832131725.26095212</v>
      </c>
      <c r="L3163" s="455">
        <f t="shared" ca="1" si="162"/>
        <v>200543745787.88947</v>
      </c>
      <c r="M3163" s="471">
        <f t="shared" si="164"/>
        <v>0.05</v>
      </c>
      <c r="N3163" s="475">
        <f t="shared" si="165"/>
        <v>147314</v>
      </c>
    </row>
    <row r="3164" spans="7:14" ht="11.25" customHeight="1" x14ac:dyDescent="0.3">
      <c r="G3164" s="470"/>
      <c r="H3164" s="470">
        <v>3157</v>
      </c>
      <c r="I3164" s="455">
        <f t="shared" ca="1" si="163"/>
        <v>200543745787.88947</v>
      </c>
      <c r="J3164" s="455">
        <f t="array" ref="J3164">IFERROR(INDEX('Retirement Calculator'!J:J,MATCH('Isaac 401k'!N3164,'Retirement Calculator'!A:A,0),0),0)</f>
        <v>0</v>
      </c>
      <c r="K3164" s="455">
        <f t="shared" ca="1" si="161"/>
        <v>835598940.7828728</v>
      </c>
      <c r="L3164" s="455">
        <f t="shared" ca="1" si="162"/>
        <v>201379344728.67233</v>
      </c>
      <c r="M3164" s="471">
        <f t="shared" si="164"/>
        <v>0.05</v>
      </c>
      <c r="N3164" s="475">
        <f t="shared" si="165"/>
        <v>147345</v>
      </c>
    </row>
    <row r="3165" spans="7:14" ht="11.25" customHeight="1" x14ac:dyDescent="0.3">
      <c r="G3165" s="470"/>
      <c r="H3165" s="470">
        <v>3158</v>
      </c>
      <c r="I3165" s="455">
        <f t="shared" ca="1" si="163"/>
        <v>201379344728.67233</v>
      </c>
      <c r="J3165" s="455">
        <f t="array" ref="J3165">IFERROR(INDEX('Retirement Calculator'!J:J,MATCH('Isaac 401k'!N3165,'Retirement Calculator'!A:A,0),0),0)</f>
        <v>0</v>
      </c>
      <c r="K3165" s="455">
        <f t="shared" ca="1" si="161"/>
        <v>839080603.03613472</v>
      </c>
      <c r="L3165" s="455">
        <f t="shared" ca="1" si="162"/>
        <v>202218425331.70847</v>
      </c>
      <c r="M3165" s="471">
        <f t="shared" si="164"/>
        <v>0.05</v>
      </c>
      <c r="N3165" s="475">
        <f t="shared" si="165"/>
        <v>147375</v>
      </c>
    </row>
    <row r="3166" spans="7:14" ht="11.25" customHeight="1" x14ac:dyDescent="0.3">
      <c r="G3166" s="470"/>
      <c r="H3166" s="470">
        <v>3159</v>
      </c>
      <c r="I3166" s="455">
        <f t="shared" ca="1" si="163"/>
        <v>202218425331.70847</v>
      </c>
      <c r="J3166" s="455">
        <f t="array" ref="J3166">IFERROR(INDEX('Retirement Calculator'!J:J,MATCH('Isaac 401k'!N3166,'Retirement Calculator'!A:A,0),0),0)</f>
        <v>0</v>
      </c>
      <c r="K3166" s="455">
        <f t="shared" ca="1" si="161"/>
        <v>842576772.21545196</v>
      </c>
      <c r="L3166" s="455">
        <f t="shared" ca="1" si="162"/>
        <v>203061002103.92392</v>
      </c>
      <c r="M3166" s="471">
        <f t="shared" si="164"/>
        <v>0.05</v>
      </c>
      <c r="N3166" s="475">
        <f t="shared" si="165"/>
        <v>147406</v>
      </c>
    </row>
    <row r="3167" spans="7:14" ht="11.25" customHeight="1" x14ac:dyDescent="0.3">
      <c r="G3167" s="470"/>
      <c r="H3167" s="470">
        <v>3160</v>
      </c>
      <c r="I3167" s="455">
        <f t="shared" ca="1" si="163"/>
        <v>203061002103.92392</v>
      </c>
      <c r="J3167" s="455">
        <f t="array" ref="J3167">IFERROR(INDEX('Retirement Calculator'!J:J,MATCH('Isaac 401k'!N3167,'Retirement Calculator'!A:A,0),0),0)</f>
        <v>0</v>
      </c>
      <c r="K3167" s="455">
        <f t="shared" ca="1" si="161"/>
        <v>846087508.76634967</v>
      </c>
      <c r="L3167" s="455">
        <f t="shared" ca="1" si="162"/>
        <v>203907089612.69028</v>
      </c>
      <c r="M3167" s="471">
        <f t="shared" si="164"/>
        <v>0.05</v>
      </c>
      <c r="N3167" s="475">
        <f t="shared" si="165"/>
        <v>147437</v>
      </c>
    </row>
    <row r="3168" spans="7:14" ht="11.25" customHeight="1" x14ac:dyDescent="0.3">
      <c r="G3168" s="470"/>
      <c r="H3168" s="470">
        <v>3161</v>
      </c>
      <c r="I3168" s="455">
        <f t="shared" ca="1" si="163"/>
        <v>203907089612.69028</v>
      </c>
      <c r="J3168" s="455">
        <f t="array" ref="J3168">IFERROR(INDEX('Retirement Calculator'!J:J,MATCH('Isaac 401k'!N3168,'Retirement Calculator'!A:A,0),0),0)</f>
        <v>0</v>
      </c>
      <c r="K3168" s="455">
        <f t="shared" ca="1" si="161"/>
        <v>849612873.38620949</v>
      </c>
      <c r="L3168" s="455">
        <f t="shared" ca="1" si="162"/>
        <v>204756702486.07648</v>
      </c>
      <c r="M3168" s="471">
        <f t="shared" si="164"/>
        <v>0.05</v>
      </c>
      <c r="N3168" s="475">
        <f t="shared" si="165"/>
        <v>147467</v>
      </c>
    </row>
    <row r="3169" spans="7:14" ht="11.25" customHeight="1" x14ac:dyDescent="0.3">
      <c r="G3169" s="470"/>
      <c r="H3169" s="470">
        <v>3162</v>
      </c>
      <c r="I3169" s="455">
        <f t="shared" ca="1" si="163"/>
        <v>204756702486.07648</v>
      </c>
      <c r="J3169" s="455">
        <f t="array" ref="J3169">IFERROR(INDEX('Retirement Calculator'!J:J,MATCH('Isaac 401k'!N3169,'Retirement Calculator'!A:A,0),0),0)</f>
        <v>0</v>
      </c>
      <c r="K3169" s="455">
        <f t="shared" ca="1" si="161"/>
        <v>853152927.02531862</v>
      </c>
      <c r="L3169" s="455">
        <f t="shared" ca="1" si="162"/>
        <v>205609855413.10181</v>
      </c>
      <c r="M3169" s="471">
        <f t="shared" si="164"/>
        <v>0.05</v>
      </c>
      <c r="N3169" s="475">
        <f t="shared" si="165"/>
        <v>147498</v>
      </c>
    </row>
    <row r="3170" spans="7:14" ht="11.25" customHeight="1" x14ac:dyDescent="0.3">
      <c r="G3170" s="470"/>
      <c r="H3170" s="470">
        <v>3163</v>
      </c>
      <c r="I3170" s="455">
        <f t="shared" ca="1" si="163"/>
        <v>205609855413.10181</v>
      </c>
      <c r="J3170" s="455">
        <f t="array" ref="J3170">IFERROR(INDEX('Retirement Calculator'!J:J,MATCH('Isaac 401k'!N3170,'Retirement Calculator'!A:A,0),0),0)</f>
        <v>0</v>
      </c>
      <c r="K3170" s="455">
        <f t="shared" ca="1" si="161"/>
        <v>856707730.88792419</v>
      </c>
      <c r="L3170" s="455">
        <f t="shared" ca="1" si="162"/>
        <v>206466563143.98975</v>
      </c>
      <c r="M3170" s="471">
        <f t="shared" si="164"/>
        <v>0.05</v>
      </c>
      <c r="N3170" s="475">
        <f t="shared" si="165"/>
        <v>147528</v>
      </c>
    </row>
    <row r="3171" spans="7:14" ht="11.25" customHeight="1" x14ac:dyDescent="0.3">
      <c r="G3171" s="470"/>
      <c r="H3171" s="470">
        <v>3164</v>
      </c>
      <c r="I3171" s="455">
        <f t="shared" ca="1" si="163"/>
        <v>206466563143.98975</v>
      </c>
      <c r="J3171" s="455">
        <f t="array" ref="J3171">IFERROR(INDEX('Retirement Calculator'!J:J,MATCH('Isaac 401k'!N3171,'Retirement Calculator'!A:A,0),0),0)</f>
        <v>0</v>
      </c>
      <c r="K3171" s="455">
        <f t="shared" ca="1" si="161"/>
        <v>860277346.4332906</v>
      </c>
      <c r="L3171" s="455">
        <f t="shared" ca="1" si="162"/>
        <v>207326840490.42303</v>
      </c>
      <c r="M3171" s="471">
        <f t="shared" si="164"/>
        <v>0.05</v>
      </c>
      <c r="N3171" s="475">
        <f t="shared" si="165"/>
        <v>147559</v>
      </c>
    </row>
    <row r="3172" spans="7:14" ht="11.25" customHeight="1" x14ac:dyDescent="0.3">
      <c r="G3172" s="470"/>
      <c r="H3172" s="470">
        <v>3165</v>
      </c>
      <c r="I3172" s="455">
        <f t="shared" ca="1" si="163"/>
        <v>207326840490.42303</v>
      </c>
      <c r="J3172" s="455">
        <f t="array" ref="J3172">IFERROR(INDEX('Retirement Calculator'!J:J,MATCH('Isaac 401k'!N3172,'Retirement Calculator'!A:A,0),0),0)</f>
        <v>0</v>
      </c>
      <c r="K3172" s="455">
        <f t="shared" ca="1" si="161"/>
        <v>863861835.37676263</v>
      </c>
      <c r="L3172" s="455">
        <f t="shared" ca="1" si="162"/>
        <v>208190702325.7998</v>
      </c>
      <c r="M3172" s="471">
        <f t="shared" si="164"/>
        <v>0.05</v>
      </c>
      <c r="N3172" s="475">
        <f t="shared" si="165"/>
        <v>147590</v>
      </c>
    </row>
    <row r="3173" spans="7:14" ht="11.25" customHeight="1" x14ac:dyDescent="0.3">
      <c r="G3173" s="470"/>
      <c r="H3173" s="470">
        <v>3166</v>
      </c>
      <c r="I3173" s="455">
        <f t="shared" ca="1" si="163"/>
        <v>208190702325.7998</v>
      </c>
      <c r="J3173" s="455">
        <f t="array" ref="J3173">IFERROR(INDEX('Retirement Calculator'!J:J,MATCH('Isaac 401k'!N3173,'Retirement Calculator'!A:A,0),0),0)</f>
        <v>0</v>
      </c>
      <c r="K3173" s="455">
        <f t="shared" ca="1" si="161"/>
        <v>867461259.6908325</v>
      </c>
      <c r="L3173" s="455">
        <f t="shared" ca="1" si="162"/>
        <v>209058163585.49063</v>
      </c>
      <c r="M3173" s="471">
        <f t="shared" si="164"/>
        <v>0.05</v>
      </c>
      <c r="N3173" s="475">
        <f t="shared" si="165"/>
        <v>147619</v>
      </c>
    </row>
    <row r="3174" spans="7:14" ht="11.25" customHeight="1" x14ac:dyDescent="0.3">
      <c r="G3174" s="470"/>
      <c r="H3174" s="470">
        <v>3167</v>
      </c>
      <c r="I3174" s="455">
        <f t="shared" ca="1" si="163"/>
        <v>209058163585.49063</v>
      </c>
      <c r="J3174" s="455">
        <f t="array" ref="J3174">IFERROR(INDEX('Retirement Calculator'!J:J,MATCH('Isaac 401k'!N3174,'Retirement Calculator'!A:A,0),0),0)</f>
        <v>0</v>
      </c>
      <c r="K3174" s="455">
        <f t="shared" ca="1" si="161"/>
        <v>871075681.60621095</v>
      </c>
      <c r="L3174" s="455">
        <f t="shared" ca="1" si="162"/>
        <v>209929239267.09683</v>
      </c>
      <c r="M3174" s="471">
        <f t="shared" si="164"/>
        <v>0.05</v>
      </c>
      <c r="N3174" s="475">
        <f t="shared" si="165"/>
        <v>147650</v>
      </c>
    </row>
    <row r="3175" spans="7:14" ht="11.25" customHeight="1" x14ac:dyDescent="0.3">
      <c r="G3175" s="470"/>
      <c r="H3175" s="470">
        <v>3168</v>
      </c>
      <c r="I3175" s="455">
        <f t="shared" ca="1" si="163"/>
        <v>209929239267.09683</v>
      </c>
      <c r="J3175" s="455">
        <f t="array" ref="J3175">IFERROR(INDEX('Retirement Calculator'!J:J,MATCH('Isaac 401k'!N3175,'Retirement Calculator'!A:A,0),0),0)</f>
        <v>0</v>
      </c>
      <c r="K3175" s="455">
        <f t="shared" ca="1" si="161"/>
        <v>874705163.61290348</v>
      </c>
      <c r="L3175" s="455">
        <f t="shared" ca="1" si="162"/>
        <v>210803944430.70975</v>
      </c>
      <c r="M3175" s="471">
        <f t="shared" si="164"/>
        <v>0.05</v>
      </c>
      <c r="N3175" s="475">
        <f t="shared" si="165"/>
        <v>147680</v>
      </c>
    </row>
    <row r="3176" spans="7:14" ht="11.25" customHeight="1" x14ac:dyDescent="0.3">
      <c r="G3176" s="470"/>
      <c r="H3176" s="470">
        <v>3169</v>
      </c>
      <c r="I3176" s="455">
        <f t="shared" ca="1" si="163"/>
        <v>210803944430.70975</v>
      </c>
      <c r="J3176" s="455">
        <f t="array" ref="J3176">IFERROR(INDEX('Retirement Calculator'!J:J,MATCH('Isaac 401k'!N3176,'Retirement Calculator'!A:A,0),0),0)</f>
        <v>0</v>
      </c>
      <c r="K3176" s="455">
        <f t="shared" ca="1" si="161"/>
        <v>878349768.4612906</v>
      </c>
      <c r="L3176" s="455">
        <f t="shared" ca="1" si="162"/>
        <v>211682294199.17105</v>
      </c>
      <c r="M3176" s="471">
        <f t="shared" si="164"/>
        <v>0.05</v>
      </c>
      <c r="N3176" s="475">
        <f t="shared" si="165"/>
        <v>147711</v>
      </c>
    </row>
    <row r="3177" spans="7:14" ht="11.25" customHeight="1" x14ac:dyDescent="0.3">
      <c r="G3177" s="470"/>
      <c r="H3177" s="470">
        <v>3170</v>
      </c>
      <c r="I3177" s="455">
        <f t="shared" ca="1" si="163"/>
        <v>211682294199.17105</v>
      </c>
      <c r="J3177" s="455">
        <f t="array" ref="J3177">IFERROR(INDEX('Retirement Calculator'!J:J,MATCH('Isaac 401k'!N3177,'Retirement Calculator'!A:A,0),0),0)</f>
        <v>0</v>
      </c>
      <c r="K3177" s="455">
        <f t="shared" ca="1" si="161"/>
        <v>882009559.16321266</v>
      </c>
      <c r="L3177" s="455">
        <f t="shared" ca="1" si="162"/>
        <v>212564303758.33426</v>
      </c>
      <c r="M3177" s="471">
        <f t="shared" si="164"/>
        <v>0.05</v>
      </c>
      <c r="N3177" s="475">
        <f t="shared" si="165"/>
        <v>147741</v>
      </c>
    </row>
    <row r="3178" spans="7:14" ht="11.25" customHeight="1" x14ac:dyDescent="0.3">
      <c r="G3178" s="470"/>
      <c r="H3178" s="470">
        <v>3171</v>
      </c>
      <c r="I3178" s="455">
        <f t="shared" ca="1" si="163"/>
        <v>212564303758.33426</v>
      </c>
      <c r="J3178" s="455">
        <f t="array" ref="J3178">IFERROR(INDEX('Retirement Calculator'!J:J,MATCH('Isaac 401k'!N3178,'Retirement Calculator'!A:A,0),0),0)</f>
        <v>0</v>
      </c>
      <c r="K3178" s="455">
        <f t="shared" ca="1" si="161"/>
        <v>885684598.9930594</v>
      </c>
      <c r="L3178" s="455">
        <f t="shared" ca="1" si="162"/>
        <v>213449988357.32733</v>
      </c>
      <c r="M3178" s="471">
        <f t="shared" si="164"/>
        <v>0.05</v>
      </c>
      <c r="N3178" s="475">
        <f t="shared" si="165"/>
        <v>147772</v>
      </c>
    </row>
    <row r="3179" spans="7:14" ht="11.25" customHeight="1" x14ac:dyDescent="0.3">
      <c r="G3179" s="470"/>
      <c r="H3179" s="470">
        <v>3172</v>
      </c>
      <c r="I3179" s="455">
        <f t="shared" ca="1" si="163"/>
        <v>213449988357.32733</v>
      </c>
      <c r="J3179" s="455">
        <f t="array" ref="J3179">IFERROR(INDEX('Retirement Calculator'!J:J,MATCH('Isaac 401k'!N3179,'Retirement Calculator'!A:A,0),0),0)</f>
        <v>0</v>
      </c>
      <c r="K3179" s="455">
        <f t="shared" ca="1" si="161"/>
        <v>889374951.48886383</v>
      </c>
      <c r="L3179" s="455">
        <f t="shared" ca="1" si="162"/>
        <v>214339363308.81619</v>
      </c>
      <c r="M3179" s="471">
        <f t="shared" si="164"/>
        <v>0.05</v>
      </c>
      <c r="N3179" s="475">
        <f t="shared" si="165"/>
        <v>147803</v>
      </c>
    </row>
    <row r="3180" spans="7:14" ht="11.25" customHeight="1" x14ac:dyDescent="0.3">
      <c r="G3180" s="470"/>
      <c r="H3180" s="470">
        <v>3173</v>
      </c>
      <c r="I3180" s="455">
        <f t="shared" ca="1" si="163"/>
        <v>214339363308.81619</v>
      </c>
      <c r="J3180" s="455">
        <f t="array" ref="J3180">IFERROR(INDEX('Retirement Calculator'!J:J,MATCH('Isaac 401k'!N3180,'Retirement Calculator'!A:A,0),0),0)</f>
        <v>0</v>
      </c>
      <c r="K3180" s="455">
        <f t="shared" ca="1" si="161"/>
        <v>893080680.45340073</v>
      </c>
      <c r="L3180" s="455">
        <f t="shared" ca="1" si="162"/>
        <v>215232443989.26959</v>
      </c>
      <c r="M3180" s="471">
        <f t="shared" si="164"/>
        <v>0.05</v>
      </c>
      <c r="N3180" s="475">
        <f t="shared" si="165"/>
        <v>147833</v>
      </c>
    </row>
    <row r="3181" spans="7:14" ht="11.25" customHeight="1" x14ac:dyDescent="0.3">
      <c r="G3181" s="470"/>
      <c r="H3181" s="470">
        <v>3174</v>
      </c>
      <c r="I3181" s="455">
        <f t="shared" ca="1" si="163"/>
        <v>215232443989.26959</v>
      </c>
      <c r="J3181" s="455">
        <f t="array" ref="J3181">IFERROR(INDEX('Retirement Calculator'!J:J,MATCH('Isaac 401k'!N3181,'Retirement Calculator'!A:A,0),0),0)</f>
        <v>0</v>
      </c>
      <c r="K3181" s="455">
        <f t="shared" ca="1" si="161"/>
        <v>896801849.95529008</v>
      </c>
      <c r="L3181" s="455">
        <f t="shared" ca="1" si="162"/>
        <v>216129245839.22488</v>
      </c>
      <c r="M3181" s="471">
        <f t="shared" si="164"/>
        <v>0.05</v>
      </c>
      <c r="N3181" s="475">
        <f t="shared" si="165"/>
        <v>147864</v>
      </c>
    </row>
    <row r="3182" spans="7:14" ht="11.25" customHeight="1" x14ac:dyDescent="0.3">
      <c r="G3182" s="470"/>
      <c r="H3182" s="470">
        <v>3175</v>
      </c>
      <c r="I3182" s="455">
        <f t="shared" ca="1" si="163"/>
        <v>216129245839.22488</v>
      </c>
      <c r="J3182" s="455">
        <f t="array" ref="J3182">IFERROR(INDEX('Retirement Calculator'!J:J,MATCH('Isaac 401k'!N3182,'Retirement Calculator'!A:A,0),0),0)</f>
        <v>0</v>
      </c>
      <c r="K3182" s="455">
        <f t="shared" ca="1" si="161"/>
        <v>900538524.33010364</v>
      </c>
      <c r="L3182" s="455">
        <f t="shared" ca="1" si="162"/>
        <v>217029784363.55499</v>
      </c>
      <c r="M3182" s="471">
        <f t="shared" si="164"/>
        <v>0.05</v>
      </c>
      <c r="N3182" s="475">
        <f t="shared" si="165"/>
        <v>147894</v>
      </c>
    </row>
    <row r="3183" spans="7:14" ht="11.25" customHeight="1" x14ac:dyDescent="0.3">
      <c r="G3183" s="470"/>
      <c r="H3183" s="470">
        <v>3176</v>
      </c>
      <c r="I3183" s="455">
        <f t="shared" ca="1" si="163"/>
        <v>217029784363.55499</v>
      </c>
      <c r="J3183" s="455">
        <f t="array" ref="J3183">IFERROR(INDEX('Retirement Calculator'!J:J,MATCH('Isaac 401k'!N3183,'Retirement Calculator'!A:A,0),0),0)</f>
        <v>0</v>
      </c>
      <c r="K3183" s="455">
        <f t="shared" ca="1" si="161"/>
        <v>904290768.1814791</v>
      </c>
      <c r="L3183" s="455">
        <f t="shared" ca="1" si="162"/>
        <v>217934075131.73648</v>
      </c>
      <c r="M3183" s="471">
        <f t="shared" si="164"/>
        <v>0.05</v>
      </c>
      <c r="N3183" s="475">
        <f t="shared" si="165"/>
        <v>147925</v>
      </c>
    </row>
    <row r="3184" spans="7:14" ht="11.25" customHeight="1" x14ac:dyDescent="0.3">
      <c r="G3184" s="470"/>
      <c r="H3184" s="470">
        <v>3177</v>
      </c>
      <c r="I3184" s="455">
        <f t="shared" ca="1" si="163"/>
        <v>217934075131.73648</v>
      </c>
      <c r="J3184" s="455">
        <f t="array" ref="J3184">IFERROR(INDEX('Retirement Calculator'!J:J,MATCH('Isaac 401k'!N3184,'Retirement Calculator'!A:A,0),0),0)</f>
        <v>0</v>
      </c>
      <c r="K3184" s="455">
        <f t="shared" ca="1" si="161"/>
        <v>908058646.38223529</v>
      </c>
      <c r="L3184" s="455">
        <f t="shared" ca="1" si="162"/>
        <v>218842133778.11871</v>
      </c>
      <c r="M3184" s="471">
        <f t="shared" si="164"/>
        <v>0.05</v>
      </c>
      <c r="N3184" s="475">
        <f t="shared" si="165"/>
        <v>147956</v>
      </c>
    </row>
    <row r="3185" spans="7:14" ht="11.25" customHeight="1" x14ac:dyDescent="0.3">
      <c r="G3185" s="470"/>
      <c r="H3185" s="470">
        <v>3178</v>
      </c>
      <c r="I3185" s="455">
        <f t="shared" ca="1" si="163"/>
        <v>218842133778.11871</v>
      </c>
      <c r="J3185" s="455">
        <f t="array" ref="J3185">IFERROR(INDEX('Retirement Calculator'!J:J,MATCH('Isaac 401k'!N3185,'Retirement Calculator'!A:A,0),0),0)</f>
        <v>0</v>
      </c>
      <c r="K3185" s="455">
        <f t="shared" ca="1" si="161"/>
        <v>911842224.07549477</v>
      </c>
      <c r="L3185" s="455">
        <f t="shared" ca="1" si="162"/>
        <v>219753976002.19421</v>
      </c>
      <c r="M3185" s="471">
        <f t="shared" si="164"/>
        <v>0.05</v>
      </c>
      <c r="N3185" s="475">
        <f t="shared" si="165"/>
        <v>147984</v>
      </c>
    </row>
    <row r="3186" spans="7:14" ht="11.25" customHeight="1" x14ac:dyDescent="0.3">
      <c r="G3186" s="470"/>
      <c r="H3186" s="470">
        <v>3179</v>
      </c>
      <c r="I3186" s="455">
        <f t="shared" ca="1" si="163"/>
        <v>219753976002.19421</v>
      </c>
      <c r="J3186" s="455">
        <f t="array" ref="J3186">IFERROR(INDEX('Retirement Calculator'!J:J,MATCH('Isaac 401k'!N3186,'Retirement Calculator'!A:A,0),0),0)</f>
        <v>0</v>
      </c>
      <c r="K3186" s="455">
        <f t="shared" ca="1" si="161"/>
        <v>915641566.67580903</v>
      </c>
      <c r="L3186" s="455">
        <f t="shared" ca="1" si="162"/>
        <v>220669617568.87003</v>
      </c>
      <c r="M3186" s="471">
        <f t="shared" si="164"/>
        <v>0.05</v>
      </c>
      <c r="N3186" s="475">
        <f t="shared" si="165"/>
        <v>148015</v>
      </c>
    </row>
    <row r="3187" spans="7:14" ht="11.25" customHeight="1" x14ac:dyDescent="0.3">
      <c r="G3187" s="470"/>
      <c r="H3187" s="470">
        <v>3180</v>
      </c>
      <c r="I3187" s="455">
        <f t="shared" ca="1" si="163"/>
        <v>220669617568.87003</v>
      </c>
      <c r="J3187" s="455">
        <f t="array" ref="J3187">IFERROR(INDEX('Retirement Calculator'!J:J,MATCH('Isaac 401k'!N3187,'Retirement Calculator'!A:A,0),0),0)</f>
        <v>0</v>
      </c>
      <c r="K3187" s="455">
        <f t="shared" ca="1" si="161"/>
        <v>919456739.87029171</v>
      </c>
      <c r="L3187" s="455">
        <f t="shared" ca="1" si="162"/>
        <v>221589074308.74033</v>
      </c>
      <c r="M3187" s="471">
        <f t="shared" si="164"/>
        <v>0.05</v>
      </c>
      <c r="N3187" s="475">
        <f t="shared" si="165"/>
        <v>148045</v>
      </c>
    </row>
    <row r="3188" spans="7:14" ht="11.25" customHeight="1" x14ac:dyDescent="0.3">
      <c r="G3188" s="470"/>
      <c r="H3188" s="470">
        <v>3181</v>
      </c>
      <c r="I3188" s="455">
        <f t="shared" ca="1" si="163"/>
        <v>221589074308.74033</v>
      </c>
      <c r="J3188" s="455">
        <f t="array" ref="J3188">IFERROR(INDEX('Retirement Calculator'!J:J,MATCH('Isaac 401k'!N3188,'Retirement Calculator'!A:A,0),0),0)</f>
        <v>0</v>
      </c>
      <c r="K3188" s="455">
        <f t="shared" ca="1" si="161"/>
        <v>923287809.61975133</v>
      </c>
      <c r="L3188" s="455">
        <f t="shared" ca="1" si="162"/>
        <v>222512362118.36008</v>
      </c>
      <c r="M3188" s="471">
        <f t="shared" si="164"/>
        <v>0.05</v>
      </c>
      <c r="N3188" s="475">
        <f t="shared" si="165"/>
        <v>148076</v>
      </c>
    </row>
    <row r="3189" spans="7:14" ht="11.25" customHeight="1" x14ac:dyDescent="0.3">
      <c r="G3189" s="470"/>
      <c r="H3189" s="470">
        <v>3182</v>
      </c>
      <c r="I3189" s="455">
        <f t="shared" ca="1" si="163"/>
        <v>222512362118.36008</v>
      </c>
      <c r="J3189" s="455">
        <f t="array" ref="J3189">IFERROR(INDEX('Retirement Calculator'!J:J,MATCH('Isaac 401k'!N3189,'Retirement Calculator'!A:A,0),0),0)</f>
        <v>0</v>
      </c>
      <c r="K3189" s="455">
        <f t="shared" ca="1" si="161"/>
        <v>927134842.15983379</v>
      </c>
      <c r="L3189" s="455">
        <f t="shared" ca="1" si="162"/>
        <v>223439496960.5199</v>
      </c>
      <c r="M3189" s="471">
        <f t="shared" si="164"/>
        <v>0.05</v>
      </c>
      <c r="N3189" s="475">
        <f t="shared" si="165"/>
        <v>148106</v>
      </c>
    </row>
    <row r="3190" spans="7:14" ht="11.25" customHeight="1" x14ac:dyDescent="0.3">
      <c r="G3190" s="470"/>
      <c r="H3190" s="470">
        <v>3183</v>
      </c>
      <c r="I3190" s="455">
        <f t="shared" ca="1" si="163"/>
        <v>223439496960.5199</v>
      </c>
      <c r="J3190" s="455">
        <f t="array" ref="J3190">IFERROR(INDEX('Retirement Calculator'!J:J,MATCH('Isaac 401k'!N3190,'Retirement Calculator'!A:A,0),0),0)</f>
        <v>0</v>
      </c>
      <c r="K3190" s="455">
        <f t="shared" ca="1" si="161"/>
        <v>930997904.00216627</v>
      </c>
      <c r="L3190" s="455">
        <f t="shared" ca="1" si="162"/>
        <v>224370494864.52206</v>
      </c>
      <c r="M3190" s="471">
        <f t="shared" si="164"/>
        <v>0.05</v>
      </c>
      <c r="N3190" s="475">
        <f t="shared" si="165"/>
        <v>148137</v>
      </c>
    </row>
    <row r="3191" spans="7:14" ht="11.25" customHeight="1" x14ac:dyDescent="0.3">
      <c r="G3191" s="470"/>
      <c r="H3191" s="470">
        <v>3184</v>
      </c>
      <c r="I3191" s="455">
        <f t="shared" ca="1" si="163"/>
        <v>224370494864.52206</v>
      </c>
      <c r="J3191" s="455">
        <f t="array" ref="J3191">IFERROR(INDEX('Retirement Calculator'!J:J,MATCH('Isaac 401k'!N3191,'Retirement Calculator'!A:A,0),0),0)</f>
        <v>0</v>
      </c>
      <c r="K3191" s="455">
        <f t="shared" ca="1" si="161"/>
        <v>934877061.93550861</v>
      </c>
      <c r="L3191" s="455">
        <f t="shared" ca="1" si="162"/>
        <v>225305371926.45758</v>
      </c>
      <c r="M3191" s="471">
        <f t="shared" si="164"/>
        <v>0.05</v>
      </c>
      <c r="N3191" s="475">
        <f t="shared" si="165"/>
        <v>148168</v>
      </c>
    </row>
    <row r="3192" spans="7:14" ht="11.25" customHeight="1" x14ac:dyDescent="0.3">
      <c r="G3192" s="470"/>
      <c r="H3192" s="470">
        <v>3185</v>
      </c>
      <c r="I3192" s="455">
        <f t="shared" ca="1" si="163"/>
        <v>225305371926.45758</v>
      </c>
      <c r="J3192" s="455">
        <f t="array" ref="J3192">IFERROR(INDEX('Retirement Calculator'!J:J,MATCH('Isaac 401k'!N3192,'Retirement Calculator'!A:A,0),0),0)</f>
        <v>0</v>
      </c>
      <c r="K3192" s="455">
        <f t="shared" ca="1" si="161"/>
        <v>938772383.02690649</v>
      </c>
      <c r="L3192" s="455">
        <f t="shared" ca="1" si="162"/>
        <v>226244144309.4845</v>
      </c>
      <c r="M3192" s="471">
        <f t="shared" si="164"/>
        <v>0.05</v>
      </c>
      <c r="N3192" s="475">
        <f t="shared" si="165"/>
        <v>148198</v>
      </c>
    </row>
    <row r="3193" spans="7:14" ht="11.25" customHeight="1" x14ac:dyDescent="0.3">
      <c r="G3193" s="470"/>
      <c r="H3193" s="470">
        <v>3186</v>
      </c>
      <c r="I3193" s="455">
        <f t="shared" ca="1" si="163"/>
        <v>226244144309.4845</v>
      </c>
      <c r="J3193" s="455">
        <f t="array" ref="J3193">IFERROR(INDEX('Retirement Calculator'!J:J,MATCH('Isaac 401k'!N3193,'Retirement Calculator'!A:A,0),0),0)</f>
        <v>0</v>
      </c>
      <c r="K3193" s="455">
        <f t="shared" ca="1" si="161"/>
        <v>942683934.62285221</v>
      </c>
      <c r="L3193" s="455">
        <f t="shared" ca="1" si="162"/>
        <v>227186828244.10736</v>
      </c>
      <c r="M3193" s="471">
        <f t="shared" si="164"/>
        <v>0.05</v>
      </c>
      <c r="N3193" s="475">
        <f t="shared" si="165"/>
        <v>148229</v>
      </c>
    </row>
    <row r="3194" spans="7:14" ht="11.25" customHeight="1" x14ac:dyDescent="0.3">
      <c r="G3194" s="470"/>
      <c r="H3194" s="470">
        <v>3187</v>
      </c>
      <c r="I3194" s="455">
        <f t="shared" ca="1" si="163"/>
        <v>227186828244.10736</v>
      </c>
      <c r="J3194" s="455">
        <f t="array" ref="J3194">IFERROR(INDEX('Retirement Calculator'!J:J,MATCH('Isaac 401k'!N3194,'Retirement Calculator'!A:A,0),0),0)</f>
        <v>0</v>
      </c>
      <c r="K3194" s="455">
        <f t="shared" ca="1" si="161"/>
        <v>946611784.35044742</v>
      </c>
      <c r="L3194" s="455">
        <f t="shared" ca="1" si="162"/>
        <v>228133440028.45779</v>
      </c>
      <c r="M3194" s="471">
        <f t="shared" si="164"/>
        <v>0.05</v>
      </c>
      <c r="N3194" s="475">
        <f t="shared" si="165"/>
        <v>148259</v>
      </c>
    </row>
    <row r="3195" spans="7:14" ht="11.25" customHeight="1" x14ac:dyDescent="0.3">
      <c r="G3195" s="470"/>
      <c r="H3195" s="470">
        <v>3188</v>
      </c>
      <c r="I3195" s="455">
        <f t="shared" ca="1" si="163"/>
        <v>228133440028.45779</v>
      </c>
      <c r="J3195" s="455">
        <f t="array" ref="J3195">IFERROR(INDEX('Retirement Calculator'!J:J,MATCH('Isaac 401k'!N3195,'Retirement Calculator'!A:A,0),0),0)</f>
        <v>0</v>
      </c>
      <c r="K3195" s="455">
        <f t="shared" ca="1" si="161"/>
        <v>950556000.11857414</v>
      </c>
      <c r="L3195" s="455">
        <f t="shared" ca="1" si="162"/>
        <v>229083996028.57635</v>
      </c>
      <c r="M3195" s="471">
        <f t="shared" si="164"/>
        <v>0.05</v>
      </c>
      <c r="N3195" s="475">
        <f t="shared" si="165"/>
        <v>148290</v>
      </c>
    </row>
    <row r="3196" spans="7:14" ht="11.25" customHeight="1" x14ac:dyDescent="0.3">
      <c r="G3196" s="470"/>
      <c r="H3196" s="470">
        <v>3189</v>
      </c>
      <c r="I3196" s="455">
        <f t="shared" ca="1" si="163"/>
        <v>229083996028.57635</v>
      </c>
      <c r="J3196" s="455">
        <f t="array" ref="J3196">IFERROR(INDEX('Retirement Calculator'!J:J,MATCH('Isaac 401k'!N3196,'Retirement Calculator'!A:A,0),0),0)</f>
        <v>0</v>
      </c>
      <c r="K3196" s="455">
        <f t="shared" ca="1" si="161"/>
        <v>954516650.11906815</v>
      </c>
      <c r="L3196" s="455">
        <f t="shared" ca="1" si="162"/>
        <v>230038512678.69543</v>
      </c>
      <c r="M3196" s="471">
        <f t="shared" si="164"/>
        <v>0.05</v>
      </c>
      <c r="N3196" s="475">
        <f t="shared" si="165"/>
        <v>148321</v>
      </c>
    </row>
    <row r="3197" spans="7:14" ht="11.25" customHeight="1" x14ac:dyDescent="0.3">
      <c r="G3197" s="470"/>
      <c r="H3197" s="470">
        <v>3190</v>
      </c>
      <c r="I3197" s="455">
        <f t="shared" ca="1" si="163"/>
        <v>230038512678.69543</v>
      </c>
      <c r="J3197" s="455">
        <f t="array" ref="J3197">IFERROR(INDEX('Retirement Calculator'!J:J,MATCH('Isaac 401k'!N3197,'Retirement Calculator'!A:A,0),0),0)</f>
        <v>0</v>
      </c>
      <c r="K3197" s="455">
        <f t="shared" ca="1" si="161"/>
        <v>958493802.82789767</v>
      </c>
      <c r="L3197" s="455">
        <f t="shared" ca="1" si="162"/>
        <v>230997006481.52335</v>
      </c>
      <c r="M3197" s="471">
        <f t="shared" si="164"/>
        <v>0.05</v>
      </c>
      <c r="N3197" s="475">
        <f t="shared" si="165"/>
        <v>148349</v>
      </c>
    </row>
    <row r="3198" spans="7:14" ht="11.25" customHeight="1" x14ac:dyDescent="0.3">
      <c r="G3198" s="470"/>
      <c r="H3198" s="470">
        <v>3191</v>
      </c>
      <c r="I3198" s="455">
        <f t="shared" ca="1" si="163"/>
        <v>230997006481.52335</v>
      </c>
      <c r="J3198" s="455">
        <f t="array" ref="J3198">IFERROR(INDEX('Retirement Calculator'!J:J,MATCH('Isaac 401k'!N3198,'Retirement Calculator'!A:A,0),0),0)</f>
        <v>0</v>
      </c>
      <c r="K3198" s="455">
        <f t="shared" ca="1" si="161"/>
        <v>962487527.0063473</v>
      </c>
      <c r="L3198" s="455">
        <f t="shared" ca="1" si="162"/>
        <v>231959494008.52969</v>
      </c>
      <c r="M3198" s="471">
        <f t="shared" si="164"/>
        <v>0.05</v>
      </c>
      <c r="N3198" s="475">
        <f t="shared" si="165"/>
        <v>148380</v>
      </c>
    </row>
    <row r="3199" spans="7:14" ht="11.25" customHeight="1" x14ac:dyDescent="0.3">
      <c r="G3199" s="470"/>
      <c r="H3199" s="470">
        <v>3192</v>
      </c>
      <c r="I3199" s="455">
        <f t="shared" ca="1" si="163"/>
        <v>231959494008.52969</v>
      </c>
      <c r="J3199" s="455">
        <f t="array" ref="J3199">IFERROR(INDEX('Retirement Calculator'!J:J,MATCH('Isaac 401k'!N3199,'Retirement Calculator'!A:A,0),0),0)</f>
        <v>0</v>
      </c>
      <c r="K3199" s="455">
        <f t="shared" ca="1" si="161"/>
        <v>966497891.70220721</v>
      </c>
      <c r="L3199" s="455">
        <f t="shared" ca="1" si="162"/>
        <v>232925991900.2319</v>
      </c>
      <c r="M3199" s="471">
        <f t="shared" si="164"/>
        <v>0.05</v>
      </c>
      <c r="N3199" s="475">
        <f t="shared" si="165"/>
        <v>148410</v>
      </c>
    </row>
    <row r="3200" spans="7:14" ht="11.25" customHeight="1" x14ac:dyDescent="0.3">
      <c r="G3200" s="470"/>
      <c r="H3200" s="470">
        <v>3193</v>
      </c>
      <c r="I3200" s="455">
        <f t="shared" ca="1" si="163"/>
        <v>232925991900.2319</v>
      </c>
      <c r="J3200" s="455">
        <f t="array" ref="J3200">IFERROR(INDEX('Retirement Calculator'!J:J,MATCH('Isaac 401k'!N3200,'Retirement Calculator'!A:A,0),0),0)</f>
        <v>0</v>
      </c>
      <c r="K3200" s="455">
        <f t="shared" ca="1" si="161"/>
        <v>970524966.25096619</v>
      </c>
      <c r="L3200" s="455">
        <f t="shared" ca="1" si="162"/>
        <v>233896516866.48288</v>
      </c>
      <c r="M3200" s="471">
        <f t="shared" si="164"/>
        <v>0.05</v>
      </c>
      <c r="N3200" s="475">
        <f t="shared" si="165"/>
        <v>148441</v>
      </c>
    </row>
    <row r="3201" spans="7:14" ht="11.25" customHeight="1" x14ac:dyDescent="0.3">
      <c r="G3201" s="470"/>
      <c r="H3201" s="470">
        <v>3194</v>
      </c>
      <c r="I3201" s="455">
        <f t="shared" ca="1" si="163"/>
        <v>233896516866.48288</v>
      </c>
      <c r="J3201" s="455">
        <f t="array" ref="J3201">IFERROR(INDEX('Retirement Calculator'!J:J,MATCH('Isaac 401k'!N3201,'Retirement Calculator'!A:A,0),0),0)</f>
        <v>0</v>
      </c>
      <c r="K3201" s="455">
        <f t="shared" ca="1" si="161"/>
        <v>974568820.27701211</v>
      </c>
      <c r="L3201" s="455">
        <f t="shared" ca="1" si="162"/>
        <v>234871085686.75989</v>
      </c>
      <c r="M3201" s="471">
        <f t="shared" si="164"/>
        <v>0.05</v>
      </c>
      <c r="N3201" s="475">
        <f t="shared" si="165"/>
        <v>148471</v>
      </c>
    </row>
    <row r="3202" spans="7:14" ht="11.25" customHeight="1" x14ac:dyDescent="0.3">
      <c r="G3202" s="470"/>
      <c r="H3202" s="470">
        <v>3195</v>
      </c>
      <c r="I3202" s="455">
        <f t="shared" ca="1" si="163"/>
        <v>234871085686.75989</v>
      </c>
      <c r="J3202" s="455">
        <f t="array" ref="J3202">IFERROR(INDEX('Retirement Calculator'!J:J,MATCH('Isaac 401k'!N3202,'Retirement Calculator'!A:A,0),0),0)</f>
        <v>0</v>
      </c>
      <c r="K3202" s="455">
        <f t="shared" ca="1" si="161"/>
        <v>978629523.6948328</v>
      </c>
      <c r="L3202" s="455">
        <f t="shared" ca="1" si="162"/>
        <v>235849715210.45471</v>
      </c>
      <c r="M3202" s="471">
        <f t="shared" si="164"/>
        <v>0.05</v>
      </c>
      <c r="N3202" s="475">
        <f t="shared" si="165"/>
        <v>148502</v>
      </c>
    </row>
    <row r="3203" spans="7:14" ht="11.25" customHeight="1" x14ac:dyDescent="0.3">
      <c r="G3203" s="470"/>
      <c r="H3203" s="470">
        <v>3196</v>
      </c>
      <c r="I3203" s="455">
        <f t="shared" ca="1" si="163"/>
        <v>235849715210.45471</v>
      </c>
      <c r="J3203" s="455">
        <f t="array" ref="J3203">IFERROR(INDEX('Retirement Calculator'!J:J,MATCH('Isaac 401k'!N3203,'Retirement Calculator'!A:A,0),0),0)</f>
        <v>0</v>
      </c>
      <c r="K3203" s="455">
        <f t="shared" ca="1" si="161"/>
        <v>982707146.71022797</v>
      </c>
      <c r="L3203" s="455">
        <f t="shared" ca="1" si="162"/>
        <v>236832422357.16495</v>
      </c>
      <c r="M3203" s="471">
        <f t="shared" si="164"/>
        <v>0.05</v>
      </c>
      <c r="N3203" s="475">
        <f t="shared" si="165"/>
        <v>148533</v>
      </c>
    </row>
    <row r="3204" spans="7:14" ht="11.25" customHeight="1" x14ac:dyDescent="0.3">
      <c r="G3204" s="470"/>
      <c r="H3204" s="470">
        <v>3197</v>
      </c>
      <c r="I3204" s="455">
        <f t="shared" ca="1" si="163"/>
        <v>236832422357.16495</v>
      </c>
      <c r="J3204" s="455">
        <f t="array" ref="J3204">IFERROR(INDEX('Retirement Calculator'!J:J,MATCH('Isaac 401k'!N3204,'Retirement Calculator'!A:A,0),0),0)</f>
        <v>0</v>
      </c>
      <c r="K3204" s="455">
        <f t="shared" ca="1" si="161"/>
        <v>986801759.82152057</v>
      </c>
      <c r="L3204" s="455">
        <f t="shared" ca="1" si="162"/>
        <v>237819224116.98648</v>
      </c>
      <c r="M3204" s="471">
        <f t="shared" si="164"/>
        <v>0.05</v>
      </c>
      <c r="N3204" s="475">
        <f t="shared" si="165"/>
        <v>148563</v>
      </c>
    </row>
    <row r="3205" spans="7:14" ht="11.25" customHeight="1" x14ac:dyDescent="0.3">
      <c r="G3205" s="470"/>
      <c r="H3205" s="470">
        <v>3198</v>
      </c>
      <c r="I3205" s="455">
        <f t="shared" ca="1" si="163"/>
        <v>237819224116.98648</v>
      </c>
      <c r="J3205" s="455">
        <f t="array" ref="J3205">IFERROR(INDEX('Retirement Calculator'!J:J,MATCH('Isaac 401k'!N3205,'Retirement Calculator'!A:A,0),0),0)</f>
        <v>0</v>
      </c>
      <c r="K3205" s="455">
        <f t="shared" ca="1" si="161"/>
        <v>990913433.82077682</v>
      </c>
      <c r="L3205" s="455">
        <f t="shared" ca="1" si="162"/>
        <v>238810137550.80725</v>
      </c>
      <c r="M3205" s="471">
        <f t="shared" si="164"/>
        <v>0.05</v>
      </c>
      <c r="N3205" s="475">
        <f t="shared" si="165"/>
        <v>148594</v>
      </c>
    </row>
    <row r="3206" spans="7:14" ht="11.25" customHeight="1" x14ac:dyDescent="0.3">
      <c r="G3206" s="470"/>
      <c r="H3206" s="470">
        <v>3199</v>
      </c>
      <c r="I3206" s="455">
        <f t="shared" ca="1" si="163"/>
        <v>238810137550.80725</v>
      </c>
      <c r="J3206" s="455">
        <f t="array" ref="J3206">IFERROR(INDEX('Retirement Calculator'!J:J,MATCH('Isaac 401k'!N3206,'Retirement Calculator'!A:A,0),0),0)</f>
        <v>0</v>
      </c>
      <c r="K3206" s="455">
        <f t="shared" ca="1" si="161"/>
        <v>995042239.79503036</v>
      </c>
      <c r="L3206" s="455">
        <f t="shared" ca="1" si="162"/>
        <v>239805179790.60229</v>
      </c>
      <c r="M3206" s="471">
        <f t="shared" si="164"/>
        <v>0.05</v>
      </c>
      <c r="N3206" s="475">
        <f t="shared" si="165"/>
        <v>148624</v>
      </c>
    </row>
    <row r="3207" spans="7:14" ht="11.25" customHeight="1" x14ac:dyDescent="0.3">
      <c r="G3207" s="470"/>
      <c r="H3207" s="470">
        <v>3200</v>
      </c>
      <c r="I3207" s="455">
        <f t="shared" ca="1" si="163"/>
        <v>239805179790.60229</v>
      </c>
      <c r="J3207" s="455">
        <f t="array" ref="J3207">IFERROR(INDEX('Retirement Calculator'!J:J,MATCH('Isaac 401k'!N3207,'Retirement Calculator'!A:A,0),0),0)</f>
        <v>0</v>
      </c>
      <c r="K3207" s="455">
        <f t="shared" ca="1" si="161"/>
        <v>999188249.12750971</v>
      </c>
      <c r="L3207" s="455">
        <f t="shared" ca="1" si="162"/>
        <v>240804368039.7298</v>
      </c>
      <c r="M3207" s="471">
        <f t="shared" si="164"/>
        <v>0.05</v>
      </c>
      <c r="N3207" s="475">
        <f t="shared" si="165"/>
        <v>148655</v>
      </c>
    </row>
    <row r="3208" spans="7:14" ht="11.25" customHeight="1" x14ac:dyDescent="0.3">
      <c r="G3208" s="470"/>
      <c r="H3208" s="470">
        <v>3201</v>
      </c>
      <c r="I3208" s="455">
        <f t="shared" ca="1" si="163"/>
        <v>240804368039.7298</v>
      </c>
      <c r="J3208" s="455">
        <f t="array" ref="J3208">IFERROR(INDEX('Retirement Calculator'!J:J,MATCH('Isaac 401k'!N3208,'Retirement Calculator'!A:A,0),0),0)</f>
        <v>0</v>
      </c>
      <c r="K3208" s="455">
        <f t="shared" ca="1" si="161"/>
        <v>1003351533.4988741</v>
      </c>
      <c r="L3208" s="455">
        <f t="shared" ca="1" si="162"/>
        <v>241807719573.22867</v>
      </c>
      <c r="M3208" s="471">
        <f t="shared" si="164"/>
        <v>0.05</v>
      </c>
      <c r="N3208" s="475">
        <f t="shared" si="165"/>
        <v>148686</v>
      </c>
    </row>
    <row r="3209" spans="7:14" ht="11.25" customHeight="1" x14ac:dyDescent="0.3">
      <c r="G3209" s="470"/>
      <c r="H3209" s="470">
        <v>3202</v>
      </c>
      <c r="I3209" s="455">
        <f t="shared" ca="1" si="163"/>
        <v>241807719573.22867</v>
      </c>
      <c r="J3209" s="455">
        <f t="array" ref="J3209">IFERROR(INDEX('Retirement Calculator'!J:J,MATCH('Isaac 401k'!N3209,'Retirement Calculator'!A:A,0),0),0)</f>
        <v>0</v>
      </c>
      <c r="K3209" s="455">
        <f t="shared" ca="1" si="161"/>
        <v>1007532164.8884528</v>
      </c>
      <c r="L3209" s="455">
        <f t="shared" ca="1" si="162"/>
        <v>242815251738.11713</v>
      </c>
      <c r="M3209" s="471">
        <f t="shared" si="164"/>
        <v>0.05</v>
      </c>
      <c r="N3209" s="475">
        <f t="shared" si="165"/>
        <v>148714</v>
      </c>
    </row>
    <row r="3210" spans="7:14" ht="11.25" customHeight="1" x14ac:dyDescent="0.3">
      <c r="G3210" s="470"/>
      <c r="H3210" s="470">
        <v>3203</v>
      </c>
      <c r="I3210" s="455">
        <f t="shared" ca="1" si="163"/>
        <v>242815251738.11713</v>
      </c>
      <c r="J3210" s="455">
        <f t="array" ref="J3210">IFERROR(INDEX('Retirement Calculator'!J:J,MATCH('Isaac 401k'!N3210,'Retirement Calculator'!A:A,0),0),0)</f>
        <v>0</v>
      </c>
      <c r="K3210" s="455">
        <f t="shared" ca="1" si="161"/>
        <v>1011730215.575488</v>
      </c>
      <c r="L3210" s="455">
        <f t="shared" ca="1" si="162"/>
        <v>243826981953.69263</v>
      </c>
      <c r="M3210" s="471">
        <f t="shared" si="164"/>
        <v>0.05</v>
      </c>
      <c r="N3210" s="475">
        <f t="shared" si="165"/>
        <v>148745</v>
      </c>
    </row>
    <row r="3211" spans="7:14" ht="11.25" customHeight="1" x14ac:dyDescent="0.3">
      <c r="G3211" s="470"/>
      <c r="H3211" s="470">
        <v>3204</v>
      </c>
      <c r="I3211" s="455">
        <f t="shared" ca="1" si="163"/>
        <v>243826981953.69263</v>
      </c>
      <c r="J3211" s="455">
        <f t="array" ref="J3211">IFERROR(INDEX('Retirement Calculator'!J:J,MATCH('Isaac 401k'!N3211,'Retirement Calculator'!A:A,0),0),0)</f>
        <v>0</v>
      </c>
      <c r="K3211" s="455">
        <f t="shared" ca="1" si="161"/>
        <v>1015945758.1403861</v>
      </c>
      <c r="L3211" s="455">
        <f t="shared" ca="1" si="162"/>
        <v>244842927711.83301</v>
      </c>
      <c r="M3211" s="471">
        <f t="shared" si="164"/>
        <v>0.05</v>
      </c>
      <c r="N3211" s="475">
        <f t="shared" si="165"/>
        <v>148775</v>
      </c>
    </row>
    <row r="3212" spans="7:14" ht="11.25" customHeight="1" x14ac:dyDescent="0.3">
      <c r="G3212" s="470"/>
      <c r="H3212" s="470">
        <v>3205</v>
      </c>
      <c r="I3212" s="455">
        <f t="shared" ca="1" si="163"/>
        <v>244842927711.83301</v>
      </c>
      <c r="J3212" s="455">
        <f t="array" ref="J3212">IFERROR(INDEX('Retirement Calculator'!J:J,MATCH('Isaac 401k'!N3212,'Retirement Calculator'!A:A,0),0),0)</f>
        <v>0</v>
      </c>
      <c r="K3212" s="455">
        <f t="shared" ca="1" si="161"/>
        <v>1020178865.4659708</v>
      </c>
      <c r="L3212" s="455">
        <f t="shared" ca="1" si="162"/>
        <v>245863106577.29898</v>
      </c>
      <c r="M3212" s="471">
        <f t="shared" si="164"/>
        <v>0.05</v>
      </c>
      <c r="N3212" s="475">
        <f t="shared" si="165"/>
        <v>148806</v>
      </c>
    </row>
    <row r="3213" spans="7:14" ht="11.25" customHeight="1" x14ac:dyDescent="0.3">
      <c r="G3213" s="470"/>
      <c r="H3213" s="470">
        <v>3206</v>
      </c>
      <c r="I3213" s="455">
        <f t="shared" ca="1" si="163"/>
        <v>245863106577.29898</v>
      </c>
      <c r="J3213" s="455">
        <f t="array" ref="J3213">IFERROR(INDEX('Retirement Calculator'!J:J,MATCH('Isaac 401k'!N3213,'Retirement Calculator'!A:A,0),0),0)</f>
        <v>0</v>
      </c>
      <c r="K3213" s="455">
        <f t="shared" ca="1" si="161"/>
        <v>1024429610.7387457</v>
      </c>
      <c r="L3213" s="455">
        <f t="shared" ca="1" si="162"/>
        <v>246887536188.03772</v>
      </c>
      <c r="M3213" s="471">
        <f t="shared" si="164"/>
        <v>0.05</v>
      </c>
      <c r="N3213" s="475">
        <f t="shared" si="165"/>
        <v>148836</v>
      </c>
    </row>
    <row r="3214" spans="7:14" ht="11.25" customHeight="1" x14ac:dyDescent="0.3">
      <c r="G3214" s="470"/>
      <c r="H3214" s="470">
        <v>3207</v>
      </c>
      <c r="I3214" s="455">
        <f t="shared" ca="1" si="163"/>
        <v>246887536188.03772</v>
      </c>
      <c r="J3214" s="455">
        <f t="array" ref="J3214">IFERROR(INDEX('Retirement Calculator'!J:J,MATCH('Isaac 401k'!N3214,'Retirement Calculator'!A:A,0),0),0)</f>
        <v>0</v>
      </c>
      <c r="K3214" s="455">
        <f t="shared" ca="1" si="161"/>
        <v>1028698067.4501572</v>
      </c>
      <c r="L3214" s="455">
        <f t="shared" ca="1" si="162"/>
        <v>247916234255.48788</v>
      </c>
      <c r="M3214" s="471">
        <f t="shared" si="164"/>
        <v>0.05</v>
      </c>
      <c r="N3214" s="475">
        <f t="shared" si="165"/>
        <v>148867</v>
      </c>
    </row>
    <row r="3215" spans="7:14" ht="11.25" customHeight="1" x14ac:dyDescent="0.3">
      <c r="G3215" s="470"/>
      <c r="H3215" s="470">
        <v>3208</v>
      </c>
      <c r="I3215" s="455">
        <f t="shared" ca="1" si="163"/>
        <v>247916234255.48788</v>
      </c>
      <c r="J3215" s="455">
        <f t="array" ref="J3215">IFERROR(INDEX('Retirement Calculator'!J:J,MATCH('Isaac 401k'!N3215,'Retirement Calculator'!A:A,0),0),0)</f>
        <v>0</v>
      </c>
      <c r="K3215" s="455">
        <f t="shared" ca="1" si="161"/>
        <v>1032984309.3978661</v>
      </c>
      <c r="L3215" s="455">
        <f t="shared" ca="1" si="162"/>
        <v>248949218564.88574</v>
      </c>
      <c r="M3215" s="471">
        <f t="shared" si="164"/>
        <v>0.05</v>
      </c>
      <c r="N3215" s="475">
        <f t="shared" si="165"/>
        <v>148898</v>
      </c>
    </row>
    <row r="3216" spans="7:14" ht="11.25" customHeight="1" x14ac:dyDescent="0.3">
      <c r="G3216" s="470"/>
      <c r="H3216" s="470">
        <v>3209</v>
      </c>
      <c r="I3216" s="455">
        <f t="shared" ca="1" si="163"/>
        <v>248949218564.88574</v>
      </c>
      <c r="J3216" s="455">
        <f t="array" ref="J3216">IFERROR(INDEX('Retirement Calculator'!J:J,MATCH('Isaac 401k'!N3216,'Retirement Calculator'!A:A,0),0),0)</f>
        <v>0</v>
      </c>
      <c r="K3216" s="455">
        <f t="shared" ca="1" si="161"/>
        <v>1037288410.6870239</v>
      </c>
      <c r="L3216" s="455">
        <f t="shared" ca="1" si="162"/>
        <v>249986506975.57275</v>
      </c>
      <c r="M3216" s="471">
        <f t="shared" si="164"/>
        <v>0.05</v>
      </c>
      <c r="N3216" s="475">
        <f t="shared" si="165"/>
        <v>148928</v>
      </c>
    </row>
    <row r="3217" spans="7:14" ht="11.25" customHeight="1" x14ac:dyDescent="0.3">
      <c r="G3217" s="470"/>
      <c r="H3217" s="470">
        <v>3210</v>
      </c>
      <c r="I3217" s="455">
        <f t="shared" ca="1" si="163"/>
        <v>249986506975.57275</v>
      </c>
      <c r="J3217" s="455">
        <f t="array" ref="J3217">IFERROR(INDEX('Retirement Calculator'!J:J,MATCH('Isaac 401k'!N3217,'Retirement Calculator'!A:A,0),0),0)</f>
        <v>0</v>
      </c>
      <c r="K3217" s="455">
        <f t="shared" ca="1" si="161"/>
        <v>1041610445.7315531</v>
      </c>
      <c r="L3217" s="455">
        <f t="shared" ca="1" si="162"/>
        <v>251028117421.30432</v>
      </c>
      <c r="M3217" s="471">
        <f t="shared" si="164"/>
        <v>0.05</v>
      </c>
      <c r="N3217" s="475">
        <f t="shared" si="165"/>
        <v>148959</v>
      </c>
    </row>
    <row r="3218" spans="7:14" ht="11.25" customHeight="1" x14ac:dyDescent="0.3">
      <c r="G3218" s="470"/>
      <c r="H3218" s="470">
        <v>3211</v>
      </c>
      <c r="I3218" s="455">
        <f t="shared" ca="1" si="163"/>
        <v>251028117421.30432</v>
      </c>
      <c r="J3218" s="455">
        <f t="array" ref="J3218">IFERROR(INDEX('Retirement Calculator'!J:J,MATCH('Isaac 401k'!N3218,'Retirement Calculator'!A:A,0),0),0)</f>
        <v>0</v>
      </c>
      <c r="K3218" s="455">
        <f t="shared" ca="1" si="161"/>
        <v>1045950489.2554345</v>
      </c>
      <c r="L3218" s="455">
        <f t="shared" ca="1" si="162"/>
        <v>252074067910.55975</v>
      </c>
      <c r="M3218" s="471">
        <f t="shared" si="164"/>
        <v>0.05</v>
      </c>
      <c r="N3218" s="475">
        <f t="shared" si="165"/>
        <v>148989</v>
      </c>
    </row>
    <row r="3219" spans="7:14" ht="11.25" customHeight="1" x14ac:dyDescent="0.3">
      <c r="G3219" s="470"/>
      <c r="H3219" s="470">
        <v>3212</v>
      </c>
      <c r="I3219" s="455">
        <f t="shared" ca="1" si="163"/>
        <v>252074067910.55975</v>
      </c>
      <c r="J3219" s="455">
        <f t="array" ref="J3219">IFERROR(INDEX('Retirement Calculator'!J:J,MATCH('Isaac 401k'!N3219,'Retirement Calculator'!A:A,0),0),0)</f>
        <v>0</v>
      </c>
      <c r="K3219" s="455">
        <f t="shared" ca="1" si="161"/>
        <v>1050308616.293999</v>
      </c>
      <c r="L3219" s="455">
        <f t="shared" ca="1" si="162"/>
        <v>253124376526.85376</v>
      </c>
      <c r="M3219" s="471">
        <f t="shared" si="164"/>
        <v>0.05</v>
      </c>
      <c r="N3219" s="475">
        <f t="shared" si="165"/>
        <v>149020</v>
      </c>
    </row>
    <row r="3220" spans="7:14" ht="11.25" customHeight="1" x14ac:dyDescent="0.3">
      <c r="G3220" s="470"/>
      <c r="H3220" s="470">
        <v>3213</v>
      </c>
      <c r="I3220" s="455">
        <f t="shared" ca="1" si="163"/>
        <v>253124376526.85376</v>
      </c>
      <c r="J3220" s="455">
        <f t="array" ref="J3220">IFERROR(INDEX('Retirement Calculator'!J:J,MATCH('Isaac 401k'!N3220,'Retirement Calculator'!A:A,0),0),0)</f>
        <v>0</v>
      </c>
      <c r="K3220" s="455">
        <f t="shared" ca="1" si="161"/>
        <v>1054684902.1952239</v>
      </c>
      <c r="L3220" s="455">
        <f t="shared" ca="1" si="162"/>
        <v>254179061429.04898</v>
      </c>
      <c r="M3220" s="471">
        <f t="shared" si="164"/>
        <v>0.05</v>
      </c>
      <c r="N3220" s="475">
        <f t="shared" si="165"/>
        <v>149051</v>
      </c>
    </row>
    <row r="3221" spans="7:14" ht="11.25" customHeight="1" x14ac:dyDescent="0.3">
      <c r="G3221" s="470"/>
      <c r="H3221" s="470">
        <v>3214</v>
      </c>
      <c r="I3221" s="455">
        <f t="shared" ca="1" si="163"/>
        <v>254179061429.04898</v>
      </c>
      <c r="J3221" s="455">
        <f t="array" ref="J3221">IFERROR(INDEX('Retirement Calculator'!J:J,MATCH('Isaac 401k'!N3221,'Retirement Calculator'!A:A,0),0),0)</f>
        <v>0</v>
      </c>
      <c r="K3221" s="455">
        <f t="shared" ca="1" si="161"/>
        <v>1059079422.6210372</v>
      </c>
      <c r="L3221" s="455">
        <f t="shared" ca="1" si="162"/>
        <v>255238140851.67001</v>
      </c>
      <c r="M3221" s="471">
        <f t="shared" si="164"/>
        <v>0.05</v>
      </c>
      <c r="N3221" s="475">
        <f t="shared" si="165"/>
        <v>149080</v>
      </c>
    </row>
    <row r="3222" spans="7:14" ht="11.25" customHeight="1" x14ac:dyDescent="0.3">
      <c r="G3222" s="470"/>
      <c r="H3222" s="470">
        <v>3215</v>
      </c>
      <c r="I3222" s="455">
        <f t="shared" ca="1" si="163"/>
        <v>255238140851.67001</v>
      </c>
      <c r="J3222" s="455">
        <f t="array" ref="J3222">IFERROR(INDEX('Retirement Calculator'!J:J,MATCH('Isaac 401k'!N3222,'Retirement Calculator'!A:A,0),0),0)</f>
        <v>0</v>
      </c>
      <c r="K3222" s="455">
        <f t="shared" ca="1" si="161"/>
        <v>1063492253.5486249</v>
      </c>
      <c r="L3222" s="455">
        <f t="shared" ca="1" si="162"/>
        <v>256301633105.21863</v>
      </c>
      <c r="M3222" s="471">
        <f t="shared" si="164"/>
        <v>0.05</v>
      </c>
      <c r="N3222" s="475">
        <f t="shared" si="165"/>
        <v>149111</v>
      </c>
    </row>
    <row r="3223" spans="7:14" ht="11.25" customHeight="1" x14ac:dyDescent="0.3">
      <c r="G3223" s="470"/>
      <c r="H3223" s="470">
        <v>3216</v>
      </c>
      <c r="I3223" s="455">
        <f t="shared" ca="1" si="163"/>
        <v>256301633105.21863</v>
      </c>
      <c r="J3223" s="455">
        <f t="array" ref="J3223">IFERROR(INDEX('Retirement Calculator'!J:J,MATCH('Isaac 401k'!N3223,'Retirement Calculator'!A:A,0),0),0)</f>
        <v>0</v>
      </c>
      <c r="K3223" s="455">
        <f t="shared" ca="1" si="161"/>
        <v>1067923471.2717443</v>
      </c>
      <c r="L3223" s="455">
        <f t="shared" ca="1" si="162"/>
        <v>257369556576.49039</v>
      </c>
      <c r="M3223" s="471">
        <f t="shared" si="164"/>
        <v>0.05</v>
      </c>
      <c r="N3223" s="475">
        <f t="shared" si="165"/>
        <v>149141</v>
      </c>
    </row>
    <row r="3224" spans="7:14" ht="11.25" customHeight="1" x14ac:dyDescent="0.3">
      <c r="G3224" s="470"/>
      <c r="H3224" s="470">
        <v>3217</v>
      </c>
      <c r="I3224" s="455">
        <f t="shared" ca="1" si="163"/>
        <v>257369556576.49039</v>
      </c>
      <c r="J3224" s="455">
        <f t="array" ref="J3224">IFERROR(INDEX('Retirement Calculator'!J:J,MATCH('Isaac 401k'!N3224,'Retirement Calculator'!A:A,0),0),0)</f>
        <v>0</v>
      </c>
      <c r="K3224" s="455">
        <f t="shared" ca="1" si="161"/>
        <v>1072373152.4020433</v>
      </c>
      <c r="L3224" s="455">
        <f t="shared" ca="1" si="162"/>
        <v>258441929728.89243</v>
      </c>
      <c r="M3224" s="471">
        <f t="shared" si="164"/>
        <v>0.05</v>
      </c>
      <c r="N3224" s="475">
        <f t="shared" si="165"/>
        <v>149172</v>
      </c>
    </row>
    <row r="3225" spans="7:14" ht="11.25" customHeight="1" x14ac:dyDescent="0.3">
      <c r="G3225" s="470"/>
      <c r="H3225" s="470">
        <v>3218</v>
      </c>
      <c r="I3225" s="455">
        <f t="shared" ca="1" si="163"/>
        <v>258441929728.89243</v>
      </c>
      <c r="J3225" s="455">
        <f t="array" ref="J3225">IFERROR(INDEX('Retirement Calculator'!J:J,MATCH('Isaac 401k'!N3225,'Retirement Calculator'!A:A,0),0),0)</f>
        <v>0</v>
      </c>
      <c r="K3225" s="455">
        <f t="shared" ca="1" si="161"/>
        <v>1076841373.8703852</v>
      </c>
      <c r="L3225" s="455">
        <f t="shared" ca="1" si="162"/>
        <v>259518771102.76282</v>
      </c>
      <c r="M3225" s="471">
        <f t="shared" si="164"/>
        <v>0.05</v>
      </c>
      <c r="N3225" s="475">
        <f t="shared" si="165"/>
        <v>149202</v>
      </c>
    </row>
    <row r="3226" spans="7:14" ht="11.25" customHeight="1" x14ac:dyDescent="0.3">
      <c r="G3226" s="470"/>
      <c r="H3226" s="470">
        <v>3219</v>
      </c>
      <c r="I3226" s="455">
        <f t="shared" ca="1" si="163"/>
        <v>259518771102.76282</v>
      </c>
      <c r="J3226" s="455">
        <f t="array" ref="J3226">IFERROR(INDEX('Retirement Calculator'!J:J,MATCH('Isaac 401k'!N3226,'Retirement Calculator'!A:A,0),0),0)</f>
        <v>0</v>
      </c>
      <c r="K3226" s="455">
        <f t="shared" ca="1" si="161"/>
        <v>1081328212.9281783</v>
      </c>
      <c r="L3226" s="455">
        <f t="shared" ca="1" si="162"/>
        <v>260600099315.69101</v>
      </c>
      <c r="M3226" s="471">
        <f t="shared" si="164"/>
        <v>0.05</v>
      </c>
      <c r="N3226" s="475">
        <f t="shared" si="165"/>
        <v>149233</v>
      </c>
    </row>
    <row r="3227" spans="7:14" ht="11.25" customHeight="1" x14ac:dyDescent="0.3">
      <c r="G3227" s="470"/>
      <c r="H3227" s="470">
        <v>3220</v>
      </c>
      <c r="I3227" s="455">
        <f t="shared" ca="1" si="163"/>
        <v>260600099315.69101</v>
      </c>
      <c r="J3227" s="455">
        <f t="array" ref="J3227">IFERROR(INDEX('Retirement Calculator'!J:J,MATCH('Isaac 401k'!N3227,'Retirement Calculator'!A:A,0),0),0)</f>
        <v>0</v>
      </c>
      <c r="K3227" s="455">
        <f t="shared" ca="1" si="161"/>
        <v>1085833747.1487126</v>
      </c>
      <c r="L3227" s="455">
        <f t="shared" ca="1" si="162"/>
        <v>261685933062.83972</v>
      </c>
      <c r="M3227" s="471">
        <f t="shared" si="164"/>
        <v>0.05</v>
      </c>
      <c r="N3227" s="475">
        <f t="shared" si="165"/>
        <v>149264</v>
      </c>
    </row>
    <row r="3228" spans="7:14" ht="11.25" customHeight="1" x14ac:dyDescent="0.3">
      <c r="G3228" s="470"/>
      <c r="H3228" s="470">
        <v>3221</v>
      </c>
      <c r="I3228" s="455">
        <f t="shared" ca="1" si="163"/>
        <v>261685933062.83972</v>
      </c>
      <c r="J3228" s="455">
        <f t="array" ref="J3228">IFERROR(INDEX('Retirement Calculator'!J:J,MATCH('Isaac 401k'!N3228,'Retirement Calculator'!A:A,0),0),0)</f>
        <v>0</v>
      </c>
      <c r="K3228" s="455">
        <f t="shared" ca="1" si="161"/>
        <v>1090358054.428499</v>
      </c>
      <c r="L3228" s="455">
        <f t="shared" ca="1" si="162"/>
        <v>262776291117.26822</v>
      </c>
      <c r="M3228" s="471">
        <f t="shared" si="164"/>
        <v>0.05</v>
      </c>
      <c r="N3228" s="475">
        <f t="shared" si="165"/>
        <v>149294</v>
      </c>
    </row>
    <row r="3229" spans="7:14" ht="11.25" customHeight="1" x14ac:dyDescent="0.3">
      <c r="G3229" s="470"/>
      <c r="H3229" s="470">
        <v>3222</v>
      </c>
      <c r="I3229" s="455">
        <f t="shared" ca="1" si="163"/>
        <v>262776291117.26822</v>
      </c>
      <c r="J3229" s="455">
        <f t="array" ref="J3229">IFERROR(INDEX('Retirement Calculator'!J:J,MATCH('Isaac 401k'!N3229,'Retirement Calculator'!A:A,0),0),0)</f>
        <v>0</v>
      </c>
      <c r="K3229" s="455">
        <f t="shared" ca="1" si="161"/>
        <v>1094901212.9886177</v>
      </c>
      <c r="L3229" s="455">
        <f t="shared" ca="1" si="162"/>
        <v>263871192330.25684</v>
      </c>
      <c r="M3229" s="471">
        <f t="shared" si="164"/>
        <v>0.05</v>
      </c>
      <c r="N3229" s="475">
        <f t="shared" si="165"/>
        <v>149325</v>
      </c>
    </row>
    <row r="3230" spans="7:14" ht="11.25" customHeight="1" x14ac:dyDescent="0.3">
      <c r="G3230" s="470"/>
      <c r="H3230" s="470">
        <v>3223</v>
      </c>
      <c r="I3230" s="455">
        <f t="shared" ca="1" si="163"/>
        <v>263871192330.25684</v>
      </c>
      <c r="J3230" s="455">
        <f t="array" ref="J3230">IFERROR(INDEX('Retirement Calculator'!J:J,MATCH('Isaac 401k'!N3230,'Retirement Calculator'!A:A,0),0),0)</f>
        <v>0</v>
      </c>
      <c r="K3230" s="455">
        <f t="shared" ca="1" si="161"/>
        <v>1099463301.37607</v>
      </c>
      <c r="L3230" s="455">
        <f t="shared" ca="1" si="162"/>
        <v>264970655631.6329</v>
      </c>
      <c r="M3230" s="471">
        <f t="shared" si="164"/>
        <v>0.05</v>
      </c>
      <c r="N3230" s="475">
        <f t="shared" si="165"/>
        <v>149355</v>
      </c>
    </row>
    <row r="3231" spans="7:14" ht="11.25" customHeight="1" x14ac:dyDescent="0.3">
      <c r="G3231" s="470"/>
      <c r="H3231" s="470">
        <v>3224</v>
      </c>
      <c r="I3231" s="455">
        <f t="shared" ca="1" si="163"/>
        <v>264970655631.6329</v>
      </c>
      <c r="J3231" s="455">
        <f t="array" ref="J3231">IFERROR(INDEX('Retirement Calculator'!J:J,MATCH('Isaac 401k'!N3231,'Retirement Calculator'!A:A,0),0),0)</f>
        <v>0</v>
      </c>
      <c r="K3231" s="455">
        <f t="shared" ca="1" si="161"/>
        <v>1104044398.465137</v>
      </c>
      <c r="L3231" s="455">
        <f t="shared" ca="1" si="162"/>
        <v>266074700030.09805</v>
      </c>
      <c r="M3231" s="471">
        <f t="shared" si="164"/>
        <v>0.05</v>
      </c>
      <c r="N3231" s="475">
        <f t="shared" si="165"/>
        <v>149386</v>
      </c>
    </row>
    <row r="3232" spans="7:14" ht="11.25" customHeight="1" x14ac:dyDescent="0.3">
      <c r="G3232" s="470"/>
      <c r="H3232" s="470">
        <v>3225</v>
      </c>
      <c r="I3232" s="455">
        <f t="shared" ca="1" si="163"/>
        <v>266074700030.09805</v>
      </c>
      <c r="J3232" s="455">
        <f t="array" ref="J3232">IFERROR(INDEX('Retirement Calculator'!J:J,MATCH('Isaac 401k'!N3232,'Retirement Calculator'!A:A,0),0),0)</f>
        <v>0</v>
      </c>
      <c r="K3232" s="455">
        <f t="shared" ca="1" si="161"/>
        <v>1108644583.4587419</v>
      </c>
      <c r="L3232" s="455">
        <f t="shared" ca="1" si="162"/>
        <v>267183344613.55679</v>
      </c>
      <c r="M3232" s="471">
        <f t="shared" si="164"/>
        <v>0.05</v>
      </c>
      <c r="N3232" s="475">
        <f t="shared" si="165"/>
        <v>149417</v>
      </c>
    </row>
    <row r="3233" spans="7:14" ht="11.25" customHeight="1" x14ac:dyDescent="0.3">
      <c r="G3233" s="470"/>
      <c r="H3233" s="470">
        <v>3226</v>
      </c>
      <c r="I3233" s="455">
        <f t="shared" ca="1" si="163"/>
        <v>267183344613.55679</v>
      </c>
      <c r="J3233" s="455">
        <f t="array" ref="J3233">IFERROR(INDEX('Retirement Calculator'!J:J,MATCH('Isaac 401k'!N3233,'Retirement Calculator'!A:A,0),0),0)</f>
        <v>0</v>
      </c>
      <c r="K3233" s="455">
        <f t="shared" ca="1" si="161"/>
        <v>1113263935.8898199</v>
      </c>
      <c r="L3233" s="455">
        <f t="shared" ca="1" si="162"/>
        <v>268296608549.44662</v>
      </c>
      <c r="M3233" s="471">
        <f t="shared" si="164"/>
        <v>0.05</v>
      </c>
      <c r="N3233" s="475">
        <f t="shared" si="165"/>
        <v>149445</v>
      </c>
    </row>
    <row r="3234" spans="7:14" ht="11.25" customHeight="1" x14ac:dyDescent="0.3">
      <c r="G3234" s="470"/>
      <c r="H3234" s="470">
        <v>3227</v>
      </c>
      <c r="I3234" s="455">
        <f t="shared" ca="1" si="163"/>
        <v>268296608549.44662</v>
      </c>
      <c r="J3234" s="455">
        <f t="array" ref="J3234">IFERROR(INDEX('Retirement Calculator'!J:J,MATCH('Isaac 401k'!N3234,'Retirement Calculator'!A:A,0),0),0)</f>
        <v>0</v>
      </c>
      <c r="K3234" s="455">
        <f t="shared" ca="1" si="161"/>
        <v>1117902535.6226945</v>
      </c>
      <c r="L3234" s="455">
        <f t="shared" ca="1" si="162"/>
        <v>269414511085.06931</v>
      </c>
      <c r="M3234" s="471">
        <f t="shared" si="164"/>
        <v>0.05</v>
      </c>
      <c r="N3234" s="475">
        <f t="shared" si="165"/>
        <v>149476</v>
      </c>
    </row>
    <row r="3235" spans="7:14" ht="11.25" customHeight="1" x14ac:dyDescent="0.3">
      <c r="G3235" s="470"/>
      <c r="H3235" s="470">
        <v>3228</v>
      </c>
      <c r="I3235" s="455">
        <f t="shared" ca="1" si="163"/>
        <v>269414511085.06931</v>
      </c>
      <c r="J3235" s="455">
        <f t="array" ref="J3235">IFERROR(INDEX('Retirement Calculator'!J:J,MATCH('Isaac 401k'!N3235,'Retirement Calculator'!A:A,0),0),0)</f>
        <v>0</v>
      </c>
      <c r="K3235" s="455">
        <f t="shared" ca="1" si="161"/>
        <v>1122560462.8544555</v>
      </c>
      <c r="L3235" s="455">
        <f t="shared" ca="1" si="162"/>
        <v>270537071547.92377</v>
      </c>
      <c r="M3235" s="471">
        <f t="shared" si="164"/>
        <v>0.05</v>
      </c>
      <c r="N3235" s="475">
        <f t="shared" si="165"/>
        <v>149506</v>
      </c>
    </row>
    <row r="3236" spans="7:14" ht="11.25" customHeight="1" x14ac:dyDescent="0.3">
      <c r="G3236" s="470"/>
      <c r="H3236" s="470">
        <v>3229</v>
      </c>
      <c r="I3236" s="455">
        <f t="shared" ca="1" si="163"/>
        <v>270537071547.92377</v>
      </c>
      <c r="J3236" s="455">
        <f t="array" ref="J3236">IFERROR(INDEX('Retirement Calculator'!J:J,MATCH('Isaac 401k'!N3236,'Retirement Calculator'!A:A,0),0),0)</f>
        <v>0</v>
      </c>
      <c r="K3236" s="455">
        <f t="shared" ca="1" si="161"/>
        <v>1127237798.116349</v>
      </c>
      <c r="L3236" s="455">
        <f t="shared" ca="1" si="162"/>
        <v>271664309346.04013</v>
      </c>
      <c r="M3236" s="471">
        <f t="shared" si="164"/>
        <v>0.05</v>
      </c>
      <c r="N3236" s="475">
        <f t="shared" si="165"/>
        <v>149537</v>
      </c>
    </row>
    <row r="3237" spans="7:14" ht="11.25" customHeight="1" x14ac:dyDescent="0.3">
      <c r="G3237" s="470"/>
      <c r="H3237" s="470">
        <v>3230</v>
      </c>
      <c r="I3237" s="455">
        <f t="shared" ca="1" si="163"/>
        <v>271664309346.04013</v>
      </c>
      <c r="J3237" s="455">
        <f t="array" ref="J3237">IFERROR(INDEX('Retirement Calculator'!J:J,MATCH('Isaac 401k'!N3237,'Retirement Calculator'!A:A,0),0),0)</f>
        <v>0</v>
      </c>
      <c r="K3237" s="455">
        <f t="shared" ca="1" si="161"/>
        <v>1131934622.2751672</v>
      </c>
      <c r="L3237" s="455">
        <f t="shared" ca="1" si="162"/>
        <v>272796243968.31531</v>
      </c>
      <c r="M3237" s="471">
        <f t="shared" si="164"/>
        <v>0.05</v>
      </c>
      <c r="N3237" s="475">
        <f t="shared" si="165"/>
        <v>149567</v>
      </c>
    </row>
    <row r="3238" spans="7:14" ht="11.25" customHeight="1" x14ac:dyDescent="0.3">
      <c r="G3238" s="470"/>
      <c r="H3238" s="470">
        <v>3231</v>
      </c>
      <c r="I3238" s="455">
        <f t="shared" ca="1" si="163"/>
        <v>272796243968.31531</v>
      </c>
      <c r="J3238" s="455">
        <f t="array" ref="J3238">IFERROR(INDEX('Retirement Calculator'!J:J,MATCH('Isaac 401k'!N3238,'Retirement Calculator'!A:A,0),0),0)</f>
        <v>0</v>
      </c>
      <c r="K3238" s="455">
        <f t="shared" ca="1" si="161"/>
        <v>1136651016.534647</v>
      </c>
      <c r="L3238" s="455">
        <f t="shared" ca="1" si="162"/>
        <v>273932894984.84995</v>
      </c>
      <c r="M3238" s="471">
        <f t="shared" si="164"/>
        <v>0.05</v>
      </c>
      <c r="N3238" s="475">
        <f t="shared" si="165"/>
        <v>149598</v>
      </c>
    </row>
    <row r="3239" spans="7:14" ht="11.25" customHeight="1" x14ac:dyDescent="0.3">
      <c r="G3239" s="470"/>
      <c r="H3239" s="470">
        <v>3232</v>
      </c>
      <c r="I3239" s="455">
        <f t="shared" ca="1" si="163"/>
        <v>273932894984.84995</v>
      </c>
      <c r="J3239" s="455">
        <f t="array" ref="J3239">IFERROR(INDEX('Retirement Calculator'!J:J,MATCH('Isaac 401k'!N3239,'Retirement Calculator'!A:A,0),0),0)</f>
        <v>0</v>
      </c>
      <c r="K3239" s="455">
        <f t="shared" ca="1" si="161"/>
        <v>1141387062.4368749</v>
      </c>
      <c r="L3239" s="455">
        <f t="shared" ca="1" si="162"/>
        <v>275074282047.2868</v>
      </c>
      <c r="M3239" s="471">
        <f t="shared" si="164"/>
        <v>0.05</v>
      </c>
      <c r="N3239" s="475">
        <f t="shared" si="165"/>
        <v>149629</v>
      </c>
    </row>
    <row r="3240" spans="7:14" ht="11.25" customHeight="1" x14ac:dyDescent="0.3">
      <c r="G3240" s="470"/>
      <c r="H3240" s="470">
        <v>3233</v>
      </c>
      <c r="I3240" s="455">
        <f t="shared" ca="1" si="163"/>
        <v>275074282047.2868</v>
      </c>
      <c r="J3240" s="455">
        <f t="array" ref="J3240">IFERROR(INDEX('Retirement Calculator'!J:J,MATCH('Isaac 401k'!N3240,'Retirement Calculator'!A:A,0),0),0)</f>
        <v>0</v>
      </c>
      <c r="K3240" s="455">
        <f t="shared" ca="1" si="161"/>
        <v>1146142841.8636949</v>
      </c>
      <c r="L3240" s="455">
        <f t="shared" ca="1" si="162"/>
        <v>276220424889.15051</v>
      </c>
      <c r="M3240" s="471">
        <f t="shared" si="164"/>
        <v>0.05</v>
      </c>
      <c r="N3240" s="475">
        <f t="shared" si="165"/>
        <v>149659</v>
      </c>
    </row>
    <row r="3241" spans="7:14" ht="11.25" customHeight="1" x14ac:dyDescent="0.3">
      <c r="G3241" s="470"/>
      <c r="H3241" s="470">
        <v>3234</v>
      </c>
      <c r="I3241" s="455">
        <f t="shared" ca="1" si="163"/>
        <v>276220424889.15051</v>
      </c>
      <c r="J3241" s="455">
        <f t="array" ref="J3241">IFERROR(INDEX('Retirement Calculator'!J:J,MATCH('Isaac 401k'!N3241,'Retirement Calculator'!A:A,0),0),0)</f>
        <v>0</v>
      </c>
      <c r="K3241" s="455">
        <f t="shared" ca="1" si="161"/>
        <v>1150918437.0381272</v>
      </c>
      <c r="L3241" s="455">
        <f t="shared" ca="1" si="162"/>
        <v>277371343326.18866</v>
      </c>
      <c r="M3241" s="471">
        <f t="shared" si="164"/>
        <v>0.05</v>
      </c>
      <c r="N3241" s="475">
        <f t="shared" si="165"/>
        <v>149690</v>
      </c>
    </row>
    <row r="3242" spans="7:14" ht="11.25" customHeight="1" x14ac:dyDescent="0.3">
      <c r="G3242" s="470"/>
      <c r="H3242" s="470">
        <v>3235</v>
      </c>
      <c r="I3242" s="455">
        <f t="shared" ca="1" si="163"/>
        <v>277371343326.18866</v>
      </c>
      <c r="J3242" s="455">
        <f t="array" ref="J3242">IFERROR(INDEX('Retirement Calculator'!J:J,MATCH('Isaac 401k'!N3242,'Retirement Calculator'!A:A,0),0),0)</f>
        <v>0</v>
      </c>
      <c r="K3242" s="455">
        <f t="shared" ca="1" si="161"/>
        <v>1155713930.5257862</v>
      </c>
      <c r="L3242" s="455">
        <f t="shared" ca="1" si="162"/>
        <v>278527057256.71442</v>
      </c>
      <c r="M3242" s="471">
        <f t="shared" si="164"/>
        <v>0.05</v>
      </c>
      <c r="N3242" s="475">
        <f t="shared" si="165"/>
        <v>149720</v>
      </c>
    </row>
    <row r="3243" spans="7:14" ht="11.25" customHeight="1" x14ac:dyDescent="0.3">
      <c r="G3243" s="470"/>
      <c r="H3243" s="470">
        <v>3236</v>
      </c>
      <c r="I3243" s="455">
        <f t="shared" ca="1" si="163"/>
        <v>278527057256.71442</v>
      </c>
      <c r="J3243" s="455">
        <f t="array" ref="J3243">IFERROR(INDEX('Retirement Calculator'!J:J,MATCH('Isaac 401k'!N3243,'Retirement Calculator'!A:A,0),0),0)</f>
        <v>0</v>
      </c>
      <c r="K3243" s="455">
        <f t="shared" ca="1" si="161"/>
        <v>1160529405.23631</v>
      </c>
      <c r="L3243" s="455">
        <f t="shared" ca="1" si="162"/>
        <v>279687586661.95074</v>
      </c>
      <c r="M3243" s="471">
        <f t="shared" si="164"/>
        <v>0.05</v>
      </c>
      <c r="N3243" s="475">
        <f t="shared" si="165"/>
        <v>149751</v>
      </c>
    </row>
    <row r="3244" spans="7:14" ht="11.25" customHeight="1" x14ac:dyDescent="0.3">
      <c r="G3244" s="470"/>
      <c r="H3244" s="470">
        <v>3237</v>
      </c>
      <c r="I3244" s="455">
        <f t="shared" ca="1" si="163"/>
        <v>279687586661.95074</v>
      </c>
      <c r="J3244" s="455">
        <f t="array" ref="J3244">IFERROR(INDEX('Retirement Calculator'!J:J,MATCH('Isaac 401k'!N3244,'Retirement Calculator'!A:A,0),0),0)</f>
        <v>0</v>
      </c>
      <c r="K3244" s="455">
        <f t="shared" ca="1" si="161"/>
        <v>1165364944.4247947</v>
      </c>
      <c r="L3244" s="455">
        <f t="shared" ca="1" si="162"/>
        <v>280852951606.37555</v>
      </c>
      <c r="M3244" s="471">
        <f t="shared" si="164"/>
        <v>0.05</v>
      </c>
      <c r="N3244" s="475">
        <f t="shared" si="165"/>
        <v>149782</v>
      </c>
    </row>
    <row r="3245" spans="7:14" ht="11.25" customHeight="1" x14ac:dyDescent="0.3">
      <c r="G3245" s="470"/>
      <c r="H3245" s="470">
        <v>3238</v>
      </c>
      <c r="I3245" s="455">
        <f t="shared" ca="1" si="163"/>
        <v>280852951606.37555</v>
      </c>
      <c r="J3245" s="455">
        <f t="array" ref="J3245">IFERROR(INDEX('Retirement Calculator'!J:J,MATCH('Isaac 401k'!N3245,'Retirement Calculator'!A:A,0),0),0)</f>
        <v>0</v>
      </c>
      <c r="K3245" s="455">
        <f t="shared" ca="1" si="161"/>
        <v>1170220631.6932313</v>
      </c>
      <c r="L3245" s="455">
        <f t="shared" ca="1" si="162"/>
        <v>282023172238.06879</v>
      </c>
      <c r="M3245" s="471">
        <f t="shared" si="164"/>
        <v>0.05</v>
      </c>
      <c r="N3245" s="475">
        <f t="shared" si="165"/>
        <v>149810</v>
      </c>
    </row>
    <row r="3246" spans="7:14" ht="11.25" customHeight="1" x14ac:dyDescent="0.3">
      <c r="G3246" s="470"/>
      <c r="H3246" s="470">
        <v>3239</v>
      </c>
      <c r="I3246" s="455">
        <f t="shared" ca="1" si="163"/>
        <v>282023172238.06879</v>
      </c>
      <c r="J3246" s="455">
        <f t="array" ref="J3246">IFERROR(INDEX('Retirement Calculator'!J:J,MATCH('Isaac 401k'!N3246,'Retirement Calculator'!A:A,0),0),0)</f>
        <v>0</v>
      </c>
      <c r="K3246" s="455">
        <f t="shared" ca="1" si="161"/>
        <v>1175096550.9919534</v>
      </c>
      <c r="L3246" s="455">
        <f t="shared" ca="1" si="162"/>
        <v>283198268789.06073</v>
      </c>
      <c r="M3246" s="471">
        <f t="shared" si="164"/>
        <v>0.05</v>
      </c>
      <c r="N3246" s="475">
        <f t="shared" si="165"/>
        <v>149841</v>
      </c>
    </row>
    <row r="3247" spans="7:14" ht="11.25" customHeight="1" x14ac:dyDescent="0.3">
      <c r="G3247" s="470"/>
      <c r="H3247" s="470">
        <v>3240</v>
      </c>
      <c r="I3247" s="455">
        <f t="shared" ca="1" si="163"/>
        <v>283198268789.06073</v>
      </c>
      <c r="J3247" s="455">
        <f t="array" ref="J3247">IFERROR(INDEX('Retirement Calculator'!J:J,MATCH('Isaac 401k'!N3247,'Retirement Calculator'!A:A,0),0),0)</f>
        <v>0</v>
      </c>
      <c r="K3247" s="455">
        <f t="shared" ca="1" si="161"/>
        <v>1179992786.6210864</v>
      </c>
      <c r="L3247" s="455">
        <f t="shared" ca="1" si="162"/>
        <v>284378261575.68182</v>
      </c>
      <c r="M3247" s="471">
        <f t="shared" si="164"/>
        <v>0.05</v>
      </c>
      <c r="N3247" s="475">
        <f t="shared" si="165"/>
        <v>149871</v>
      </c>
    </row>
    <row r="3248" spans="7:14" ht="11.25" customHeight="1" x14ac:dyDescent="0.3">
      <c r="G3248" s="470"/>
      <c r="H3248" s="470">
        <v>3241</v>
      </c>
      <c r="I3248" s="455">
        <f t="shared" ca="1" si="163"/>
        <v>284378261575.68182</v>
      </c>
      <c r="J3248" s="455">
        <f t="array" ref="J3248">IFERROR(INDEX('Retirement Calculator'!J:J,MATCH('Isaac 401k'!N3248,'Retirement Calculator'!A:A,0),0),0)</f>
        <v>0</v>
      </c>
      <c r="K3248" s="455">
        <f t="shared" ca="1" si="161"/>
        <v>1184909423.2320075</v>
      </c>
      <c r="L3248" s="455">
        <f t="shared" ca="1" si="162"/>
        <v>285563170998.91382</v>
      </c>
      <c r="M3248" s="471">
        <f t="shared" si="164"/>
        <v>0.05</v>
      </c>
      <c r="N3248" s="475">
        <f t="shared" si="165"/>
        <v>149902</v>
      </c>
    </row>
    <row r="3249" spans="7:14" ht="11.25" customHeight="1" x14ac:dyDescent="0.3">
      <c r="G3249" s="470"/>
      <c r="H3249" s="470">
        <v>3242</v>
      </c>
      <c r="I3249" s="455">
        <f t="shared" ca="1" si="163"/>
        <v>285563170998.91382</v>
      </c>
      <c r="J3249" s="455">
        <f t="array" ref="J3249">IFERROR(INDEX('Retirement Calculator'!J:J,MATCH('Isaac 401k'!N3249,'Retirement Calculator'!A:A,0),0),0)</f>
        <v>0</v>
      </c>
      <c r="K3249" s="455">
        <f t="shared" ca="1" si="161"/>
        <v>1189846545.8288076</v>
      </c>
      <c r="L3249" s="455">
        <f t="shared" ca="1" si="162"/>
        <v>286753017544.74261</v>
      </c>
      <c r="M3249" s="471">
        <f t="shared" si="164"/>
        <v>0.05</v>
      </c>
      <c r="N3249" s="475">
        <f t="shared" si="165"/>
        <v>149932</v>
      </c>
    </row>
    <row r="3250" spans="7:14" ht="11.25" customHeight="1" x14ac:dyDescent="0.3">
      <c r="G3250" s="470"/>
      <c r="H3250" s="470">
        <v>3243</v>
      </c>
      <c r="I3250" s="455">
        <f t="shared" ca="1" si="163"/>
        <v>286753017544.74261</v>
      </c>
      <c r="J3250" s="455">
        <f t="array" ref="J3250">IFERROR(INDEX('Retirement Calculator'!J:J,MATCH('Isaac 401k'!N3250,'Retirement Calculator'!A:A,0),0),0)</f>
        <v>0</v>
      </c>
      <c r="K3250" s="455">
        <f t="shared" ca="1" si="161"/>
        <v>1194804239.7697608</v>
      </c>
      <c r="L3250" s="455">
        <f t="shared" ca="1" si="162"/>
        <v>287947821784.51239</v>
      </c>
      <c r="M3250" s="471">
        <f t="shared" si="164"/>
        <v>0.05</v>
      </c>
      <c r="N3250" s="475">
        <f t="shared" si="165"/>
        <v>149963</v>
      </c>
    </row>
    <row r="3251" spans="7:14" ht="11.25" customHeight="1" x14ac:dyDescent="0.3">
      <c r="G3251" s="470"/>
      <c r="H3251" s="470">
        <v>3244</v>
      </c>
      <c r="I3251" s="455">
        <f t="shared" ca="1" si="163"/>
        <v>287947821784.51239</v>
      </c>
      <c r="J3251" s="455">
        <f t="array" ref="J3251">IFERROR(INDEX('Retirement Calculator'!J:J,MATCH('Isaac 401k'!N3251,'Retirement Calculator'!A:A,0),0),0)</f>
        <v>0</v>
      </c>
      <c r="K3251" s="455">
        <f t="shared" ca="1" si="161"/>
        <v>1199782590.7688017</v>
      </c>
      <c r="L3251" s="455">
        <f t="shared" ca="1" si="162"/>
        <v>289147604375.28119</v>
      </c>
      <c r="M3251" s="471">
        <f t="shared" si="164"/>
        <v>0.05</v>
      </c>
      <c r="N3251" s="475">
        <f t="shared" si="165"/>
        <v>149994</v>
      </c>
    </row>
    <row r="3252" spans="7:14" ht="11.25" customHeight="1" x14ac:dyDescent="0.3">
      <c r="G3252" s="470"/>
      <c r="H3252" s="470">
        <v>3245</v>
      </c>
      <c r="I3252" s="455">
        <f t="shared" ca="1" si="163"/>
        <v>289147604375.28119</v>
      </c>
      <c r="J3252" s="455">
        <f t="array" ref="J3252">IFERROR(INDEX('Retirement Calculator'!J:J,MATCH('Isaac 401k'!N3252,'Retirement Calculator'!A:A,0),0),0)</f>
        <v>0</v>
      </c>
      <c r="K3252" s="455">
        <f t="shared" ca="1" si="161"/>
        <v>1204781684.8970048</v>
      </c>
      <c r="L3252" s="455">
        <f t="shared" ca="1" si="162"/>
        <v>290352386060.17822</v>
      </c>
      <c r="M3252" s="471">
        <f t="shared" si="164"/>
        <v>0.05</v>
      </c>
      <c r="N3252" s="475">
        <f t="shared" si="165"/>
        <v>150024</v>
      </c>
    </row>
    <row r="3253" spans="7:14" ht="11.25" customHeight="1" x14ac:dyDescent="0.3">
      <c r="G3253" s="470"/>
      <c r="H3253" s="470">
        <v>3246</v>
      </c>
      <c r="I3253" s="455">
        <f t="shared" ca="1" si="163"/>
        <v>290352386060.17822</v>
      </c>
      <c r="J3253" s="455">
        <f t="array" ref="J3253">IFERROR(INDEX('Retirement Calculator'!J:J,MATCH('Isaac 401k'!N3253,'Retirement Calculator'!A:A,0),0),0)</f>
        <v>0</v>
      </c>
      <c r="K3253" s="455">
        <f t="shared" ca="1" si="161"/>
        <v>1209801608.5840759</v>
      </c>
      <c r="L3253" s="455">
        <f t="shared" ca="1" si="162"/>
        <v>291562187668.76233</v>
      </c>
      <c r="M3253" s="471">
        <f t="shared" si="164"/>
        <v>0.05</v>
      </c>
      <c r="N3253" s="475">
        <f t="shared" si="165"/>
        <v>150055</v>
      </c>
    </row>
    <row r="3254" spans="7:14" ht="11.25" customHeight="1" x14ac:dyDescent="0.3">
      <c r="G3254" s="470"/>
      <c r="H3254" s="470">
        <v>3247</v>
      </c>
      <c r="I3254" s="455">
        <f t="shared" ca="1" si="163"/>
        <v>291562187668.76233</v>
      </c>
      <c r="J3254" s="455">
        <f t="array" ref="J3254">IFERROR(INDEX('Retirement Calculator'!J:J,MATCH('Isaac 401k'!N3254,'Retirement Calculator'!A:A,0),0),0)</f>
        <v>0</v>
      </c>
      <c r="K3254" s="455">
        <f t="shared" ca="1" si="161"/>
        <v>1214842448.619843</v>
      </c>
      <c r="L3254" s="455">
        <f t="shared" ca="1" si="162"/>
        <v>292777030117.3822</v>
      </c>
      <c r="M3254" s="471">
        <f t="shared" si="164"/>
        <v>0.05</v>
      </c>
      <c r="N3254" s="475">
        <f t="shared" si="165"/>
        <v>150085</v>
      </c>
    </row>
    <row r="3255" spans="7:14" ht="11.25" customHeight="1" x14ac:dyDescent="0.3">
      <c r="G3255" s="470"/>
      <c r="H3255" s="470">
        <v>3248</v>
      </c>
      <c r="I3255" s="455">
        <f t="shared" ca="1" si="163"/>
        <v>292777030117.3822</v>
      </c>
      <c r="J3255" s="455">
        <f t="array" ref="J3255">IFERROR(INDEX('Retirement Calculator'!J:J,MATCH('Isaac 401k'!N3255,'Retirement Calculator'!A:A,0),0),0)</f>
        <v>0</v>
      </c>
      <c r="K3255" s="455">
        <f t="shared" ca="1" si="161"/>
        <v>1219904292.1557591</v>
      </c>
      <c r="L3255" s="455">
        <f t="shared" ca="1" si="162"/>
        <v>293996934409.53796</v>
      </c>
      <c r="M3255" s="471">
        <f t="shared" si="164"/>
        <v>0.05</v>
      </c>
      <c r="N3255" s="475">
        <f t="shared" si="165"/>
        <v>150116</v>
      </c>
    </row>
    <row r="3256" spans="7:14" ht="11.25" customHeight="1" x14ac:dyDescent="0.3">
      <c r="G3256" s="470"/>
      <c r="H3256" s="470">
        <v>3249</v>
      </c>
      <c r="I3256" s="455">
        <f t="shared" ca="1" si="163"/>
        <v>293996934409.53796</v>
      </c>
      <c r="J3256" s="455">
        <f t="array" ref="J3256">IFERROR(INDEX('Retirement Calculator'!J:J,MATCH('Isaac 401k'!N3256,'Retirement Calculator'!A:A,0),0),0)</f>
        <v>0</v>
      </c>
      <c r="K3256" s="455">
        <f t="shared" ca="1" si="161"/>
        <v>1224987226.7064083</v>
      </c>
      <c r="L3256" s="455">
        <f t="shared" ca="1" si="162"/>
        <v>295221921636.24438</v>
      </c>
      <c r="M3256" s="471">
        <f t="shared" si="164"/>
        <v>0.05</v>
      </c>
      <c r="N3256" s="475">
        <f t="shared" si="165"/>
        <v>150147</v>
      </c>
    </row>
    <row r="3257" spans="7:14" ht="11.25" customHeight="1" x14ac:dyDescent="0.3">
      <c r="G3257" s="470"/>
      <c r="H3257" s="470">
        <v>3250</v>
      </c>
      <c r="I3257" s="455">
        <f t="shared" ca="1" si="163"/>
        <v>295221921636.24438</v>
      </c>
      <c r="J3257" s="455">
        <f t="array" ref="J3257">IFERROR(INDEX('Retirement Calculator'!J:J,MATCH('Isaac 401k'!N3257,'Retirement Calculator'!A:A,0),0),0)</f>
        <v>0</v>
      </c>
      <c r="K3257" s="455">
        <f t="shared" ca="1" si="161"/>
        <v>1230091340.1510181</v>
      </c>
      <c r="L3257" s="455">
        <f t="shared" ca="1" si="162"/>
        <v>296452012976.39539</v>
      </c>
      <c r="M3257" s="471">
        <f t="shared" si="164"/>
        <v>0.05</v>
      </c>
      <c r="N3257" s="475">
        <f t="shared" si="165"/>
        <v>150175</v>
      </c>
    </row>
    <row r="3258" spans="7:14" ht="11.25" customHeight="1" x14ac:dyDescent="0.3">
      <c r="G3258" s="470"/>
      <c r="H3258" s="470">
        <v>3251</v>
      </c>
      <c r="I3258" s="455">
        <f t="shared" ca="1" si="163"/>
        <v>296452012976.39539</v>
      </c>
      <c r="J3258" s="455">
        <f t="array" ref="J3258">IFERROR(INDEX('Retirement Calculator'!J:J,MATCH('Isaac 401k'!N3258,'Retirement Calculator'!A:A,0),0),0)</f>
        <v>0</v>
      </c>
      <c r="K3258" s="455">
        <f t="shared" ca="1" si="161"/>
        <v>1235216720.7349808</v>
      </c>
      <c r="L3258" s="455">
        <f t="shared" ca="1" si="162"/>
        <v>297687229697.13037</v>
      </c>
      <c r="M3258" s="471">
        <f t="shared" si="164"/>
        <v>0.05</v>
      </c>
      <c r="N3258" s="475">
        <f t="shared" si="165"/>
        <v>150206</v>
      </c>
    </row>
    <row r="3259" spans="7:14" ht="11.25" customHeight="1" x14ac:dyDescent="0.3">
      <c r="G3259" s="470"/>
      <c r="H3259" s="470">
        <v>3252</v>
      </c>
      <c r="I3259" s="455">
        <f t="shared" ca="1" si="163"/>
        <v>297687229697.13037</v>
      </c>
      <c r="J3259" s="455">
        <f t="array" ref="J3259">IFERROR(INDEX('Retirement Calculator'!J:J,MATCH('Isaac 401k'!N3259,'Retirement Calculator'!A:A,0),0),0)</f>
        <v>0</v>
      </c>
      <c r="K3259" s="455">
        <f t="shared" ca="1" si="161"/>
        <v>1240363457.0713766</v>
      </c>
      <c r="L3259" s="455">
        <f t="shared" ca="1" si="162"/>
        <v>298927593154.20172</v>
      </c>
      <c r="M3259" s="471">
        <f t="shared" si="164"/>
        <v>0.05</v>
      </c>
      <c r="N3259" s="475">
        <f t="shared" si="165"/>
        <v>150236</v>
      </c>
    </row>
    <row r="3260" spans="7:14" ht="11.25" customHeight="1" x14ac:dyDescent="0.3">
      <c r="G3260" s="470"/>
      <c r="H3260" s="470">
        <v>3253</v>
      </c>
      <c r="I3260" s="455">
        <f t="shared" ca="1" si="163"/>
        <v>298927593154.20172</v>
      </c>
      <c r="J3260" s="455">
        <f t="array" ref="J3260">IFERROR(INDEX('Retirement Calculator'!J:J,MATCH('Isaac 401k'!N3260,'Retirement Calculator'!A:A,0),0),0)</f>
        <v>0</v>
      </c>
      <c r="K3260" s="455">
        <f t="shared" ca="1" si="161"/>
        <v>1245531638.1425071</v>
      </c>
      <c r="L3260" s="455">
        <f t="shared" ca="1" si="162"/>
        <v>300173124792.34424</v>
      </c>
      <c r="M3260" s="471">
        <f t="shared" si="164"/>
        <v>0.05</v>
      </c>
      <c r="N3260" s="475">
        <f t="shared" si="165"/>
        <v>150267</v>
      </c>
    </row>
    <row r="3261" spans="7:14" ht="11.25" customHeight="1" x14ac:dyDescent="0.3">
      <c r="G3261" s="470"/>
      <c r="H3261" s="470">
        <v>3254</v>
      </c>
      <c r="I3261" s="455">
        <f t="shared" ca="1" si="163"/>
        <v>300173124792.34424</v>
      </c>
      <c r="J3261" s="455">
        <f t="array" ref="J3261">IFERROR(INDEX('Retirement Calculator'!J:J,MATCH('Isaac 401k'!N3261,'Retirement Calculator'!A:A,0),0),0)</f>
        <v>0</v>
      </c>
      <c r="K3261" s="455">
        <f t="shared" ca="1" si="161"/>
        <v>1250721353.3014343</v>
      </c>
      <c r="L3261" s="455">
        <f t="shared" ca="1" si="162"/>
        <v>301423846145.64569</v>
      </c>
      <c r="M3261" s="471">
        <f t="shared" si="164"/>
        <v>0.05</v>
      </c>
      <c r="N3261" s="475">
        <f t="shared" si="165"/>
        <v>150297</v>
      </c>
    </row>
    <row r="3262" spans="7:14" ht="11.25" customHeight="1" x14ac:dyDescent="0.3">
      <c r="G3262" s="470"/>
      <c r="H3262" s="470">
        <v>3255</v>
      </c>
      <c r="I3262" s="455">
        <f t="shared" ca="1" si="163"/>
        <v>301423846145.64569</v>
      </c>
      <c r="J3262" s="455">
        <f t="array" ref="J3262">IFERROR(INDEX('Retirement Calculator'!J:J,MATCH('Isaac 401k'!N3262,'Retirement Calculator'!A:A,0),0),0)</f>
        <v>0</v>
      </c>
      <c r="K3262" s="455">
        <f t="shared" ca="1" si="161"/>
        <v>1255932692.2735238</v>
      </c>
      <c r="L3262" s="455">
        <f t="shared" ca="1" si="162"/>
        <v>302679778837.91919</v>
      </c>
      <c r="M3262" s="471">
        <f t="shared" si="164"/>
        <v>0.05</v>
      </c>
      <c r="N3262" s="475">
        <f t="shared" si="165"/>
        <v>150328</v>
      </c>
    </row>
    <row r="3263" spans="7:14" ht="11.25" customHeight="1" x14ac:dyDescent="0.3">
      <c r="G3263" s="470"/>
      <c r="H3263" s="470">
        <v>3256</v>
      </c>
      <c r="I3263" s="455">
        <f t="shared" ca="1" si="163"/>
        <v>302679778837.91919</v>
      </c>
      <c r="J3263" s="455">
        <f t="array" ref="J3263">IFERROR(INDEX('Retirement Calculator'!J:J,MATCH('Isaac 401k'!N3263,'Retirement Calculator'!A:A,0),0),0)</f>
        <v>0</v>
      </c>
      <c r="K3263" s="455">
        <f t="shared" ca="1" si="161"/>
        <v>1261165745.1579967</v>
      </c>
      <c r="L3263" s="455">
        <f t="shared" ca="1" si="162"/>
        <v>303940944583.07721</v>
      </c>
      <c r="M3263" s="471">
        <f t="shared" si="164"/>
        <v>0.05</v>
      </c>
      <c r="N3263" s="475">
        <f t="shared" si="165"/>
        <v>150359</v>
      </c>
    </row>
    <row r="3264" spans="7:14" ht="11.25" customHeight="1" x14ac:dyDescent="0.3">
      <c r="G3264" s="470"/>
      <c r="H3264" s="470">
        <v>3257</v>
      </c>
      <c r="I3264" s="455">
        <f t="shared" ca="1" si="163"/>
        <v>303940944583.07721</v>
      </c>
      <c r="J3264" s="455">
        <f t="array" ref="J3264">IFERROR(INDEX('Retirement Calculator'!J:J,MATCH('Isaac 401k'!N3264,'Retirement Calculator'!A:A,0),0),0)</f>
        <v>0</v>
      </c>
      <c r="K3264" s="455">
        <f t="shared" ca="1" si="161"/>
        <v>1266420602.4294884</v>
      </c>
      <c r="L3264" s="455">
        <f t="shared" ca="1" si="162"/>
        <v>305207365185.50671</v>
      </c>
      <c r="M3264" s="471">
        <f t="shared" si="164"/>
        <v>0.05</v>
      </c>
      <c r="N3264" s="475">
        <f t="shared" si="165"/>
        <v>150389</v>
      </c>
    </row>
    <row r="3265" spans="7:14" ht="11.25" customHeight="1" x14ac:dyDescent="0.3">
      <c r="G3265" s="470"/>
      <c r="H3265" s="470">
        <v>3258</v>
      </c>
      <c r="I3265" s="455">
        <f t="shared" ca="1" si="163"/>
        <v>305207365185.50671</v>
      </c>
      <c r="J3265" s="455">
        <f t="array" ref="J3265">IFERROR(INDEX('Retirement Calculator'!J:J,MATCH('Isaac 401k'!N3265,'Retirement Calculator'!A:A,0),0),0)</f>
        <v>0</v>
      </c>
      <c r="K3265" s="455">
        <f t="shared" ca="1" si="161"/>
        <v>1271697354.9396112</v>
      </c>
      <c r="L3265" s="455">
        <f t="shared" ca="1" si="162"/>
        <v>306479062540.44635</v>
      </c>
      <c r="M3265" s="471">
        <f t="shared" si="164"/>
        <v>0.05</v>
      </c>
      <c r="N3265" s="475">
        <f t="shared" si="165"/>
        <v>150420</v>
      </c>
    </row>
    <row r="3266" spans="7:14" ht="11.25" customHeight="1" x14ac:dyDescent="0.3">
      <c r="G3266" s="470"/>
      <c r="H3266" s="470">
        <v>3259</v>
      </c>
      <c r="I3266" s="455">
        <f t="shared" ca="1" si="163"/>
        <v>306479062540.44635</v>
      </c>
      <c r="J3266" s="455">
        <f t="array" ref="J3266">IFERROR(INDEX('Retirement Calculator'!J:J,MATCH('Isaac 401k'!N3266,'Retirement Calculator'!A:A,0),0),0)</f>
        <v>0</v>
      </c>
      <c r="K3266" s="455">
        <f t="shared" ca="1" si="161"/>
        <v>1276996093.9185264</v>
      </c>
      <c r="L3266" s="455">
        <f t="shared" ca="1" si="162"/>
        <v>307756058634.36487</v>
      </c>
      <c r="M3266" s="471">
        <f t="shared" si="164"/>
        <v>0.05</v>
      </c>
      <c r="N3266" s="475">
        <f t="shared" si="165"/>
        <v>150450</v>
      </c>
    </row>
    <row r="3267" spans="7:14" ht="11.25" customHeight="1" x14ac:dyDescent="0.3">
      <c r="G3267" s="470"/>
      <c r="H3267" s="470">
        <v>3260</v>
      </c>
      <c r="I3267" s="455">
        <f t="shared" ca="1" si="163"/>
        <v>307756058634.36487</v>
      </c>
      <c r="J3267" s="455">
        <f t="array" ref="J3267">IFERROR(INDEX('Retirement Calculator'!J:J,MATCH('Isaac 401k'!N3267,'Retirement Calculator'!A:A,0),0),0)</f>
        <v>0</v>
      </c>
      <c r="K3267" s="455">
        <f t="shared" ca="1" si="161"/>
        <v>1282316910.9765203</v>
      </c>
      <c r="L3267" s="455">
        <f t="shared" ca="1" si="162"/>
        <v>309038375545.34137</v>
      </c>
      <c r="M3267" s="471">
        <f t="shared" si="164"/>
        <v>0.05</v>
      </c>
      <c r="N3267" s="475">
        <f t="shared" si="165"/>
        <v>150481</v>
      </c>
    </row>
    <row r="3268" spans="7:14" ht="11.25" customHeight="1" x14ac:dyDescent="0.3">
      <c r="G3268" s="470"/>
      <c r="H3268" s="470">
        <v>3261</v>
      </c>
      <c r="I3268" s="455">
        <f t="shared" ca="1" si="163"/>
        <v>309038375545.34137</v>
      </c>
      <c r="J3268" s="455">
        <f t="array" ref="J3268">IFERROR(INDEX('Retirement Calculator'!J:J,MATCH('Isaac 401k'!N3268,'Retirement Calculator'!A:A,0),0),0)</f>
        <v>0</v>
      </c>
      <c r="K3268" s="455">
        <f t="shared" ca="1" si="161"/>
        <v>1287659898.1055889</v>
      </c>
      <c r="L3268" s="455">
        <f t="shared" ca="1" si="162"/>
        <v>310326035443.44696</v>
      </c>
      <c r="M3268" s="471">
        <f t="shared" si="164"/>
        <v>0.05</v>
      </c>
      <c r="N3268" s="475">
        <f t="shared" si="165"/>
        <v>150512</v>
      </c>
    </row>
    <row r="3269" spans="7:14" ht="11.25" customHeight="1" x14ac:dyDescent="0.3">
      <c r="G3269" s="470"/>
      <c r="H3269" s="470">
        <v>3262</v>
      </c>
      <c r="I3269" s="455">
        <f t="shared" ca="1" si="163"/>
        <v>310326035443.44696</v>
      </c>
      <c r="J3269" s="455">
        <f t="array" ref="J3269">IFERROR(INDEX('Retirement Calculator'!J:J,MATCH('Isaac 401k'!N3269,'Retirement Calculator'!A:A,0),0),0)</f>
        <v>0</v>
      </c>
      <c r="K3269" s="455">
        <f t="shared" ca="1" si="161"/>
        <v>1293025147.6810291</v>
      </c>
      <c r="L3269" s="455">
        <f t="shared" ca="1" si="162"/>
        <v>311619060591.12799</v>
      </c>
      <c r="M3269" s="471">
        <f t="shared" si="164"/>
        <v>0.05</v>
      </c>
      <c r="N3269" s="475">
        <f t="shared" si="165"/>
        <v>150541</v>
      </c>
    </row>
    <row r="3270" spans="7:14" ht="11.25" customHeight="1" x14ac:dyDescent="0.3">
      <c r="G3270" s="470"/>
      <c r="H3270" s="470">
        <v>3263</v>
      </c>
      <c r="I3270" s="455">
        <f t="shared" ca="1" si="163"/>
        <v>311619060591.12799</v>
      </c>
      <c r="J3270" s="455">
        <f t="array" ref="J3270">IFERROR(INDEX('Retirement Calculator'!J:J,MATCH('Isaac 401k'!N3270,'Retirement Calculator'!A:A,0),0),0)</f>
        <v>0</v>
      </c>
      <c r="K3270" s="455">
        <f t="shared" ca="1" si="161"/>
        <v>1298412752.4630332</v>
      </c>
      <c r="L3270" s="455">
        <f t="shared" ca="1" si="162"/>
        <v>312917473343.591</v>
      </c>
      <c r="M3270" s="471">
        <f t="shared" si="164"/>
        <v>0.05</v>
      </c>
      <c r="N3270" s="475">
        <f t="shared" si="165"/>
        <v>150572</v>
      </c>
    </row>
    <row r="3271" spans="7:14" ht="11.25" customHeight="1" x14ac:dyDescent="0.3">
      <c r="G3271" s="470"/>
      <c r="H3271" s="470">
        <v>3264</v>
      </c>
      <c r="I3271" s="455">
        <f t="shared" ca="1" si="163"/>
        <v>312917473343.591</v>
      </c>
      <c r="J3271" s="455">
        <f t="array" ref="J3271">IFERROR(INDEX('Retirement Calculator'!J:J,MATCH('Isaac 401k'!N3271,'Retirement Calculator'!A:A,0),0),0)</f>
        <v>0</v>
      </c>
      <c r="K3271" s="455">
        <f t="shared" ca="1" si="161"/>
        <v>1303822805.5982959</v>
      </c>
      <c r="L3271" s="455">
        <f t="shared" ca="1" si="162"/>
        <v>314221296149.18927</v>
      </c>
      <c r="M3271" s="471">
        <f t="shared" si="164"/>
        <v>0.05</v>
      </c>
      <c r="N3271" s="475">
        <f t="shared" si="165"/>
        <v>150602</v>
      </c>
    </row>
    <row r="3272" spans="7:14" ht="11.25" customHeight="1" x14ac:dyDescent="0.3">
      <c r="G3272" s="470"/>
      <c r="H3272" s="470">
        <v>3265</v>
      </c>
      <c r="I3272" s="455">
        <f t="shared" ca="1" si="163"/>
        <v>314221296149.18927</v>
      </c>
      <c r="J3272" s="455">
        <f t="array" ref="J3272">IFERROR(INDEX('Retirement Calculator'!J:J,MATCH('Isaac 401k'!N3272,'Retirement Calculator'!A:A,0),0),0)</f>
        <v>0</v>
      </c>
      <c r="K3272" s="455">
        <f t="shared" ca="1" si="161"/>
        <v>1309255400.6216218</v>
      </c>
      <c r="L3272" s="455">
        <f t="shared" ca="1" si="162"/>
        <v>315530551549.81091</v>
      </c>
      <c r="M3272" s="471">
        <f t="shared" si="164"/>
        <v>0.05</v>
      </c>
      <c r="N3272" s="475">
        <f t="shared" si="165"/>
        <v>150633</v>
      </c>
    </row>
    <row r="3273" spans="7:14" ht="11.25" customHeight="1" x14ac:dyDescent="0.3">
      <c r="G3273" s="470"/>
      <c r="H3273" s="470">
        <v>3266</v>
      </c>
      <c r="I3273" s="455">
        <f t="shared" ca="1" si="163"/>
        <v>315530551549.81091</v>
      </c>
      <c r="J3273" s="455">
        <f t="array" ref="J3273">IFERROR(INDEX('Retirement Calculator'!J:J,MATCH('Isaac 401k'!N3273,'Retirement Calculator'!A:A,0),0),0)</f>
        <v>0</v>
      </c>
      <c r="K3273" s="455">
        <f t="shared" ca="1" si="161"/>
        <v>1314710631.4575455</v>
      </c>
      <c r="L3273" s="455">
        <f t="shared" ca="1" si="162"/>
        <v>316845262181.26843</v>
      </c>
      <c r="M3273" s="471">
        <f t="shared" si="164"/>
        <v>0.05</v>
      </c>
      <c r="N3273" s="475">
        <f t="shared" si="165"/>
        <v>150663</v>
      </c>
    </row>
    <row r="3274" spans="7:14" ht="11.25" customHeight="1" x14ac:dyDescent="0.3">
      <c r="G3274" s="470"/>
      <c r="H3274" s="470">
        <v>3267</v>
      </c>
      <c r="I3274" s="455">
        <f t="shared" ca="1" si="163"/>
        <v>316845262181.26843</v>
      </c>
      <c r="J3274" s="455">
        <f t="array" ref="J3274">IFERROR(INDEX('Retirement Calculator'!J:J,MATCH('Isaac 401k'!N3274,'Retirement Calculator'!A:A,0),0),0)</f>
        <v>0</v>
      </c>
      <c r="K3274" s="455">
        <f t="shared" ca="1" si="161"/>
        <v>1320188592.4219518</v>
      </c>
      <c r="L3274" s="455">
        <f t="shared" ca="1" si="162"/>
        <v>318165450773.69037</v>
      </c>
      <c r="M3274" s="471">
        <f t="shared" si="164"/>
        <v>0.05</v>
      </c>
      <c r="N3274" s="475">
        <f t="shared" si="165"/>
        <v>150694</v>
      </c>
    </row>
    <row r="3275" spans="7:14" ht="11.25" customHeight="1" x14ac:dyDescent="0.3">
      <c r="G3275" s="470"/>
      <c r="H3275" s="470">
        <v>3268</v>
      </c>
      <c r="I3275" s="455">
        <f t="shared" ca="1" si="163"/>
        <v>318165450773.69037</v>
      </c>
      <c r="J3275" s="455">
        <f t="array" ref="J3275">IFERROR(INDEX('Retirement Calculator'!J:J,MATCH('Isaac 401k'!N3275,'Retirement Calculator'!A:A,0),0),0)</f>
        <v>0</v>
      </c>
      <c r="K3275" s="455">
        <f t="shared" ca="1" si="161"/>
        <v>1325689378.2237098</v>
      </c>
      <c r="L3275" s="455">
        <f t="shared" ca="1" si="162"/>
        <v>319491140151.91406</v>
      </c>
      <c r="M3275" s="471">
        <f t="shared" si="164"/>
        <v>0.05</v>
      </c>
      <c r="N3275" s="475">
        <f t="shared" si="165"/>
        <v>150725</v>
      </c>
    </row>
    <row r="3276" spans="7:14" ht="11.25" customHeight="1" x14ac:dyDescent="0.3">
      <c r="G3276" s="470"/>
      <c r="H3276" s="470">
        <v>3269</v>
      </c>
      <c r="I3276" s="455">
        <f t="shared" ca="1" si="163"/>
        <v>319491140151.91406</v>
      </c>
      <c r="J3276" s="455">
        <f t="array" ref="J3276">IFERROR(INDEX('Retirement Calculator'!J:J,MATCH('Isaac 401k'!N3276,'Retirement Calculator'!A:A,0),0),0)</f>
        <v>0</v>
      </c>
      <c r="K3276" s="455">
        <f t="shared" ca="1" si="161"/>
        <v>1331213083.9663086</v>
      </c>
      <c r="L3276" s="455">
        <f t="shared" ca="1" si="162"/>
        <v>320822353235.88037</v>
      </c>
      <c r="M3276" s="471">
        <f t="shared" si="164"/>
        <v>0.05</v>
      </c>
      <c r="N3276" s="475">
        <f t="shared" si="165"/>
        <v>150755</v>
      </c>
    </row>
    <row r="3277" spans="7:14" ht="11.25" customHeight="1" x14ac:dyDescent="0.3">
      <c r="G3277" s="470"/>
      <c r="H3277" s="470">
        <v>3270</v>
      </c>
      <c r="I3277" s="455">
        <f t="shared" ca="1" si="163"/>
        <v>320822353235.88037</v>
      </c>
      <c r="J3277" s="455">
        <f t="array" ref="J3277">IFERROR(INDEX('Retirement Calculator'!J:J,MATCH('Isaac 401k'!N3277,'Retirement Calculator'!A:A,0),0),0)</f>
        <v>0</v>
      </c>
      <c r="K3277" s="455">
        <f t="shared" ca="1" si="161"/>
        <v>1336759805.1495016</v>
      </c>
      <c r="L3277" s="455">
        <f t="shared" ca="1" si="162"/>
        <v>322159113041.02985</v>
      </c>
      <c r="M3277" s="471">
        <f t="shared" si="164"/>
        <v>0.05</v>
      </c>
      <c r="N3277" s="475">
        <f t="shared" si="165"/>
        <v>150786</v>
      </c>
    </row>
    <row r="3278" spans="7:14" ht="11.25" customHeight="1" x14ac:dyDescent="0.3">
      <c r="G3278" s="470"/>
      <c r="H3278" s="470">
        <v>3271</v>
      </c>
      <c r="I3278" s="455">
        <f t="shared" ca="1" si="163"/>
        <v>322159113041.02985</v>
      </c>
      <c r="J3278" s="455">
        <f t="array" ref="J3278">IFERROR(INDEX('Retirement Calculator'!J:J,MATCH('Isaac 401k'!N3278,'Retirement Calculator'!A:A,0),0),0)</f>
        <v>0</v>
      </c>
      <c r="K3278" s="455">
        <f t="shared" ca="1" si="161"/>
        <v>1342329637.6709576</v>
      </c>
      <c r="L3278" s="455">
        <f t="shared" ca="1" si="162"/>
        <v>323501442678.70081</v>
      </c>
      <c r="M3278" s="471">
        <f t="shared" si="164"/>
        <v>0.05</v>
      </c>
      <c r="N3278" s="475">
        <f t="shared" si="165"/>
        <v>150816</v>
      </c>
    </row>
    <row r="3279" spans="7:14" ht="11.25" customHeight="1" x14ac:dyDescent="0.3">
      <c r="G3279" s="470"/>
      <c r="H3279" s="470">
        <v>3272</v>
      </c>
      <c r="I3279" s="455">
        <f t="shared" ca="1" si="163"/>
        <v>323501442678.70081</v>
      </c>
      <c r="J3279" s="455">
        <f t="array" ref="J3279">IFERROR(INDEX('Retirement Calculator'!J:J,MATCH('Isaac 401k'!N3279,'Retirement Calculator'!A:A,0),0),0)</f>
        <v>0</v>
      </c>
      <c r="K3279" s="455">
        <f t="shared" ca="1" si="161"/>
        <v>1347922677.82792</v>
      </c>
      <c r="L3279" s="455">
        <f t="shared" ca="1" si="162"/>
        <v>324849365356.52875</v>
      </c>
      <c r="M3279" s="471">
        <f t="shared" si="164"/>
        <v>0.05</v>
      </c>
      <c r="N3279" s="475">
        <f t="shared" si="165"/>
        <v>150847</v>
      </c>
    </row>
    <row r="3280" spans="7:14" ht="11.25" customHeight="1" x14ac:dyDescent="0.3">
      <c r="G3280" s="470"/>
      <c r="H3280" s="470">
        <v>3273</v>
      </c>
      <c r="I3280" s="455">
        <f t="shared" ca="1" si="163"/>
        <v>324849365356.52875</v>
      </c>
      <c r="J3280" s="455">
        <f t="array" ref="J3280">IFERROR(INDEX('Retirement Calculator'!J:J,MATCH('Isaac 401k'!N3280,'Retirement Calculator'!A:A,0),0),0)</f>
        <v>0</v>
      </c>
      <c r="K3280" s="455">
        <f t="shared" ca="1" si="161"/>
        <v>1353539022.3188698</v>
      </c>
      <c r="L3280" s="455">
        <f t="shared" ca="1" si="162"/>
        <v>326202904378.8476</v>
      </c>
      <c r="M3280" s="471">
        <f t="shared" si="164"/>
        <v>0.05</v>
      </c>
      <c r="N3280" s="475">
        <f t="shared" si="165"/>
        <v>150878</v>
      </c>
    </row>
    <row r="3281" spans="7:14" ht="11.25" customHeight="1" x14ac:dyDescent="0.3">
      <c r="G3281" s="470"/>
      <c r="H3281" s="470">
        <v>3274</v>
      </c>
      <c r="I3281" s="455">
        <f t="shared" ca="1" si="163"/>
        <v>326202904378.8476</v>
      </c>
      <c r="J3281" s="455">
        <f t="array" ref="J3281">IFERROR(INDEX('Retirement Calculator'!J:J,MATCH('Isaac 401k'!N3281,'Retirement Calculator'!A:A,0),0),0)</f>
        <v>0</v>
      </c>
      <c r="K3281" s="455">
        <f t="shared" ca="1" si="161"/>
        <v>1359178768.2451982</v>
      </c>
      <c r="L3281" s="455">
        <f t="shared" ca="1" si="162"/>
        <v>327562083147.09277</v>
      </c>
      <c r="M3281" s="471">
        <f t="shared" si="164"/>
        <v>0.05</v>
      </c>
      <c r="N3281" s="475">
        <f t="shared" si="165"/>
        <v>150906</v>
      </c>
    </row>
    <row r="3282" spans="7:14" ht="11.25" customHeight="1" x14ac:dyDescent="0.3">
      <c r="G3282" s="470"/>
      <c r="H3282" s="470">
        <v>3275</v>
      </c>
      <c r="I3282" s="455">
        <f t="shared" ca="1" si="163"/>
        <v>327562083147.09277</v>
      </c>
      <c r="J3282" s="455">
        <f t="array" ref="J3282">IFERROR(INDEX('Retirement Calculator'!J:J,MATCH('Isaac 401k'!N3282,'Retirement Calculator'!A:A,0),0),0)</f>
        <v>0</v>
      </c>
      <c r="K3282" s="455">
        <f t="shared" ca="1" si="161"/>
        <v>1364842013.1128864</v>
      </c>
      <c r="L3282" s="455">
        <f t="shared" ca="1" si="162"/>
        <v>328926925160.20569</v>
      </c>
      <c r="M3282" s="471">
        <f t="shared" si="164"/>
        <v>0.05</v>
      </c>
      <c r="N3282" s="475">
        <f t="shared" si="165"/>
        <v>150937</v>
      </c>
    </row>
    <row r="3283" spans="7:14" ht="11.25" customHeight="1" x14ac:dyDescent="0.3">
      <c r="G3283" s="470"/>
      <c r="H3283" s="470">
        <v>3276</v>
      </c>
      <c r="I3283" s="455">
        <f t="shared" ca="1" si="163"/>
        <v>328926925160.20569</v>
      </c>
      <c r="J3283" s="455">
        <f t="array" ref="J3283">IFERROR(INDEX('Retirement Calculator'!J:J,MATCH('Isaac 401k'!N3283,'Retirement Calculator'!A:A,0),0),0)</f>
        <v>0</v>
      </c>
      <c r="K3283" s="455">
        <f t="shared" ca="1" si="161"/>
        <v>1370528854.8341904</v>
      </c>
      <c r="L3283" s="455">
        <f t="shared" ca="1" si="162"/>
        <v>330297454015.03986</v>
      </c>
      <c r="M3283" s="471">
        <f t="shared" si="164"/>
        <v>0.05</v>
      </c>
      <c r="N3283" s="475">
        <f t="shared" si="165"/>
        <v>150967</v>
      </c>
    </row>
    <row r="3284" spans="7:14" ht="11.25" customHeight="1" x14ac:dyDescent="0.3">
      <c r="G3284" s="470"/>
      <c r="H3284" s="470">
        <v>3277</v>
      </c>
      <c r="I3284" s="455">
        <f t="shared" ca="1" si="163"/>
        <v>330297454015.03986</v>
      </c>
      <c r="J3284" s="455">
        <f t="array" ref="J3284">IFERROR(INDEX('Retirement Calculator'!J:J,MATCH('Isaac 401k'!N3284,'Retirement Calculator'!A:A,0),0),0)</f>
        <v>0</v>
      </c>
      <c r="K3284" s="455">
        <f t="shared" ca="1" si="161"/>
        <v>1376239391.7293327</v>
      </c>
      <c r="L3284" s="455">
        <f t="shared" ca="1" si="162"/>
        <v>331673693406.76917</v>
      </c>
      <c r="M3284" s="471">
        <f t="shared" si="164"/>
        <v>0.05</v>
      </c>
      <c r="N3284" s="475">
        <f t="shared" si="165"/>
        <v>150998</v>
      </c>
    </row>
    <row r="3285" spans="7:14" ht="11.25" customHeight="1" x14ac:dyDescent="0.3">
      <c r="G3285" s="470"/>
      <c r="H3285" s="470">
        <v>3278</v>
      </c>
      <c r="I3285" s="455">
        <f t="shared" ca="1" si="163"/>
        <v>331673693406.76917</v>
      </c>
      <c r="J3285" s="455">
        <f t="array" ref="J3285">IFERROR(INDEX('Retirement Calculator'!J:J,MATCH('Isaac 401k'!N3285,'Retirement Calculator'!A:A,0),0),0)</f>
        <v>0</v>
      </c>
      <c r="K3285" s="455">
        <f t="shared" ca="1" si="161"/>
        <v>1381973722.5282049</v>
      </c>
      <c r="L3285" s="455">
        <f t="shared" ca="1" si="162"/>
        <v>333055667129.29736</v>
      </c>
      <c r="M3285" s="471">
        <f t="shared" si="164"/>
        <v>0.05</v>
      </c>
      <c r="N3285" s="475">
        <f t="shared" si="165"/>
        <v>151028</v>
      </c>
    </row>
    <row r="3286" spans="7:14" ht="11.25" customHeight="1" x14ac:dyDescent="0.3">
      <c r="G3286" s="470"/>
      <c r="H3286" s="470">
        <v>3279</v>
      </c>
      <c r="I3286" s="455">
        <f t="shared" ca="1" si="163"/>
        <v>333055667129.29736</v>
      </c>
      <c r="J3286" s="455">
        <f t="array" ref="J3286">IFERROR(INDEX('Retirement Calculator'!J:J,MATCH('Isaac 401k'!N3286,'Retirement Calculator'!A:A,0),0),0)</f>
        <v>0</v>
      </c>
      <c r="K3286" s="455">
        <f t="shared" ca="1" si="161"/>
        <v>1387731946.3720722</v>
      </c>
      <c r="L3286" s="455">
        <f t="shared" ca="1" si="162"/>
        <v>334443399075.66943</v>
      </c>
      <c r="M3286" s="471">
        <f t="shared" si="164"/>
        <v>0.05</v>
      </c>
      <c r="N3286" s="475">
        <f t="shared" si="165"/>
        <v>151059</v>
      </c>
    </row>
    <row r="3287" spans="7:14" ht="11.25" customHeight="1" x14ac:dyDescent="0.3">
      <c r="G3287" s="470"/>
      <c r="H3287" s="470">
        <v>3280</v>
      </c>
      <c r="I3287" s="455">
        <f t="shared" ca="1" si="163"/>
        <v>334443399075.66943</v>
      </c>
      <c r="J3287" s="455">
        <f t="array" ref="J3287">IFERROR(INDEX('Retirement Calculator'!J:J,MATCH('Isaac 401k'!N3287,'Retirement Calculator'!A:A,0),0),0)</f>
        <v>0</v>
      </c>
      <c r="K3287" s="455">
        <f t="shared" ca="1" si="161"/>
        <v>1393514162.8152893</v>
      </c>
      <c r="L3287" s="455">
        <f t="shared" ca="1" si="162"/>
        <v>335836913238.48474</v>
      </c>
      <c r="M3287" s="471">
        <f t="shared" si="164"/>
        <v>0.05</v>
      </c>
      <c r="N3287" s="475">
        <f t="shared" si="165"/>
        <v>151090</v>
      </c>
    </row>
    <row r="3288" spans="7:14" ht="11.25" customHeight="1" x14ac:dyDescent="0.3">
      <c r="G3288" s="470"/>
      <c r="H3288" s="470">
        <v>3281</v>
      </c>
      <c r="I3288" s="455">
        <f t="shared" ca="1" si="163"/>
        <v>335836913238.48474</v>
      </c>
      <c r="J3288" s="455">
        <f t="array" ref="J3288">IFERROR(INDEX('Retirement Calculator'!J:J,MATCH('Isaac 401k'!N3288,'Retirement Calculator'!A:A,0),0),0)</f>
        <v>0</v>
      </c>
      <c r="K3288" s="455">
        <f t="shared" ca="1" si="161"/>
        <v>1399320471.8270197</v>
      </c>
      <c r="L3288" s="455">
        <f t="shared" ca="1" si="162"/>
        <v>337236233710.31177</v>
      </c>
      <c r="M3288" s="471">
        <f t="shared" si="164"/>
        <v>0.05</v>
      </c>
      <c r="N3288" s="475">
        <f t="shared" si="165"/>
        <v>151120</v>
      </c>
    </row>
    <row r="3289" spans="7:14" ht="11.25" customHeight="1" x14ac:dyDescent="0.3">
      <c r="G3289" s="470"/>
      <c r="H3289" s="470">
        <v>3282</v>
      </c>
      <c r="I3289" s="455">
        <f t="shared" ca="1" si="163"/>
        <v>337236233710.31177</v>
      </c>
      <c r="J3289" s="455">
        <f t="array" ref="J3289">IFERROR(INDEX('Retirement Calculator'!J:J,MATCH('Isaac 401k'!N3289,'Retirement Calculator'!A:A,0),0),0)</f>
        <v>0</v>
      </c>
      <c r="K3289" s="455">
        <f t="shared" ca="1" si="161"/>
        <v>1405150973.7929657</v>
      </c>
      <c r="L3289" s="455">
        <f t="shared" ca="1" si="162"/>
        <v>338641384684.10474</v>
      </c>
      <c r="M3289" s="471">
        <f t="shared" si="164"/>
        <v>0.05</v>
      </c>
      <c r="N3289" s="475">
        <f t="shared" si="165"/>
        <v>151151</v>
      </c>
    </row>
    <row r="3290" spans="7:14" ht="11.25" customHeight="1" x14ac:dyDescent="0.3">
      <c r="G3290" s="470"/>
      <c r="H3290" s="470">
        <v>3283</v>
      </c>
      <c r="I3290" s="455">
        <f t="shared" ca="1" si="163"/>
        <v>338641384684.10474</v>
      </c>
      <c r="J3290" s="455">
        <f t="array" ref="J3290">IFERROR(INDEX('Retirement Calculator'!J:J,MATCH('Isaac 401k'!N3290,'Retirement Calculator'!A:A,0),0),0)</f>
        <v>0</v>
      </c>
      <c r="K3290" s="455">
        <f t="shared" ca="1" si="161"/>
        <v>1411005769.517103</v>
      </c>
      <c r="L3290" s="455">
        <f t="shared" ca="1" si="162"/>
        <v>340052390453.62183</v>
      </c>
      <c r="M3290" s="471">
        <f t="shared" si="164"/>
        <v>0.05</v>
      </c>
      <c r="N3290" s="475">
        <f t="shared" si="165"/>
        <v>151181</v>
      </c>
    </row>
    <row r="3291" spans="7:14" ht="11.25" customHeight="1" x14ac:dyDescent="0.3">
      <c r="G3291" s="470"/>
      <c r="H3291" s="470">
        <v>3284</v>
      </c>
      <c r="I3291" s="455">
        <f t="shared" ca="1" si="163"/>
        <v>340052390453.62183</v>
      </c>
      <c r="J3291" s="455">
        <f t="array" ref="J3291">IFERROR(INDEX('Retirement Calculator'!J:J,MATCH('Isaac 401k'!N3291,'Retirement Calculator'!A:A,0),0),0)</f>
        <v>0</v>
      </c>
      <c r="K3291" s="455">
        <f t="shared" ca="1" si="161"/>
        <v>1416884960.2234242</v>
      </c>
      <c r="L3291" s="455">
        <f t="shared" ca="1" si="162"/>
        <v>341469275413.84528</v>
      </c>
      <c r="M3291" s="471">
        <f t="shared" si="164"/>
        <v>0.05</v>
      </c>
      <c r="N3291" s="475">
        <f t="shared" si="165"/>
        <v>151212</v>
      </c>
    </row>
    <row r="3292" spans="7:14" ht="11.25" customHeight="1" x14ac:dyDescent="0.3">
      <c r="G3292" s="470"/>
      <c r="H3292" s="470">
        <v>3285</v>
      </c>
      <c r="I3292" s="455">
        <f t="shared" ca="1" si="163"/>
        <v>341469275413.84528</v>
      </c>
      <c r="J3292" s="455">
        <f t="array" ref="J3292">IFERROR(INDEX('Retirement Calculator'!J:J,MATCH('Isaac 401k'!N3292,'Retirement Calculator'!A:A,0),0),0)</f>
        <v>0</v>
      </c>
      <c r="K3292" s="455">
        <f t="shared" ca="1" si="161"/>
        <v>1422788647.5576887</v>
      </c>
      <c r="L3292" s="455">
        <f t="shared" ca="1" si="162"/>
        <v>342892064061.40295</v>
      </c>
      <c r="M3292" s="471">
        <f t="shared" si="164"/>
        <v>0.05</v>
      </c>
      <c r="N3292" s="475">
        <f t="shared" si="165"/>
        <v>151243</v>
      </c>
    </row>
    <row r="3293" spans="7:14" ht="11.25" customHeight="1" x14ac:dyDescent="0.3">
      <c r="G3293" s="470"/>
      <c r="H3293" s="470">
        <v>3286</v>
      </c>
      <c r="I3293" s="455">
        <f t="shared" ca="1" si="163"/>
        <v>342892064061.40295</v>
      </c>
      <c r="J3293" s="455">
        <f t="array" ref="J3293">IFERROR(INDEX('Retirement Calculator'!J:J,MATCH('Isaac 401k'!N3293,'Retirement Calculator'!A:A,0),0),0)</f>
        <v>0</v>
      </c>
      <c r="K3293" s="455">
        <f t="shared" ca="1" si="161"/>
        <v>1428716933.589179</v>
      </c>
      <c r="L3293" s="455">
        <f t="shared" ca="1" si="162"/>
        <v>344320780994.99213</v>
      </c>
      <c r="M3293" s="471">
        <f t="shared" si="164"/>
        <v>0.05</v>
      </c>
      <c r="N3293" s="475">
        <f t="shared" si="165"/>
        <v>151271</v>
      </c>
    </row>
    <row r="3294" spans="7:14" ht="11.25" customHeight="1" x14ac:dyDescent="0.3">
      <c r="G3294" s="470"/>
      <c r="H3294" s="470">
        <v>3287</v>
      </c>
      <c r="I3294" s="455">
        <f t="shared" ca="1" si="163"/>
        <v>344320780994.99213</v>
      </c>
      <c r="J3294" s="455">
        <f t="array" ref="J3294">IFERROR(INDEX('Retirement Calculator'!J:J,MATCH('Isaac 401k'!N3294,'Retirement Calculator'!A:A,0),0),0)</f>
        <v>0</v>
      </c>
      <c r="K3294" s="455">
        <f t="shared" ca="1" si="161"/>
        <v>1434669920.8124671</v>
      </c>
      <c r="L3294" s="455">
        <f t="shared" ca="1" si="162"/>
        <v>345755450915.80457</v>
      </c>
      <c r="M3294" s="471">
        <f t="shared" si="164"/>
        <v>0.05</v>
      </c>
      <c r="N3294" s="475">
        <f t="shared" si="165"/>
        <v>151302</v>
      </c>
    </row>
    <row r="3295" spans="7:14" ht="11.25" customHeight="1" x14ac:dyDescent="0.3">
      <c r="G3295" s="470"/>
      <c r="H3295" s="470">
        <v>3288</v>
      </c>
      <c r="I3295" s="455">
        <f t="shared" ca="1" si="163"/>
        <v>345755450915.80457</v>
      </c>
      <c r="J3295" s="455">
        <f t="array" ref="J3295">IFERROR(INDEX('Retirement Calculator'!J:J,MATCH('Isaac 401k'!N3295,'Retirement Calculator'!A:A,0),0),0)</f>
        <v>0</v>
      </c>
      <c r="K3295" s="455">
        <f t="shared" ca="1" si="161"/>
        <v>1440647712.1491857</v>
      </c>
      <c r="L3295" s="455">
        <f t="shared" ca="1" si="162"/>
        <v>347196098627.95374</v>
      </c>
      <c r="M3295" s="471">
        <f t="shared" si="164"/>
        <v>0.05</v>
      </c>
      <c r="N3295" s="475">
        <f t="shared" si="165"/>
        <v>151332</v>
      </c>
    </row>
    <row r="3296" spans="7:14" ht="11.25" customHeight="1" x14ac:dyDescent="0.3">
      <c r="G3296" s="470"/>
      <c r="H3296" s="470">
        <v>3289</v>
      </c>
      <c r="I3296" s="455">
        <f t="shared" ca="1" si="163"/>
        <v>347196098627.95374</v>
      </c>
      <c r="J3296" s="455">
        <f t="array" ref="J3296">IFERROR(INDEX('Retirement Calculator'!J:J,MATCH('Isaac 401k'!N3296,'Retirement Calculator'!A:A,0),0),0)</f>
        <v>0</v>
      </c>
      <c r="K3296" s="455">
        <f t="shared" ca="1" si="161"/>
        <v>1446650410.9498072</v>
      </c>
      <c r="L3296" s="455">
        <f t="shared" ca="1" si="162"/>
        <v>348642749038.90356</v>
      </c>
      <c r="M3296" s="471">
        <f t="shared" si="164"/>
        <v>0.05</v>
      </c>
      <c r="N3296" s="475">
        <f t="shared" si="165"/>
        <v>151363</v>
      </c>
    </row>
    <row r="3297" spans="7:14" ht="11.25" customHeight="1" x14ac:dyDescent="0.3">
      <c r="G3297" s="470"/>
      <c r="H3297" s="470">
        <v>3290</v>
      </c>
      <c r="I3297" s="455">
        <f t="shared" ca="1" si="163"/>
        <v>348642749038.90356</v>
      </c>
      <c r="J3297" s="455">
        <f t="array" ref="J3297">IFERROR(INDEX('Retirement Calculator'!J:J,MATCH('Isaac 401k'!N3297,'Retirement Calculator'!A:A,0),0),0)</f>
        <v>0</v>
      </c>
      <c r="K3297" s="455">
        <f t="shared" ca="1" si="161"/>
        <v>1452678120.9954314</v>
      </c>
      <c r="L3297" s="455">
        <f t="shared" ca="1" si="162"/>
        <v>350095427159.89899</v>
      </c>
      <c r="M3297" s="471">
        <f t="shared" si="164"/>
        <v>0.05</v>
      </c>
      <c r="N3297" s="475">
        <f t="shared" si="165"/>
        <v>151393</v>
      </c>
    </row>
    <row r="3298" spans="7:14" ht="11.25" customHeight="1" x14ac:dyDescent="0.3">
      <c r="G3298" s="470"/>
      <c r="H3298" s="470">
        <v>3291</v>
      </c>
      <c r="I3298" s="455">
        <f t="shared" ca="1" si="163"/>
        <v>350095427159.89899</v>
      </c>
      <c r="J3298" s="455">
        <f t="array" ref="J3298">IFERROR(INDEX('Retirement Calculator'!J:J,MATCH('Isaac 401k'!N3298,'Retirement Calculator'!A:A,0),0),0)</f>
        <v>0</v>
      </c>
      <c r="K3298" s="455">
        <f t="shared" ca="1" si="161"/>
        <v>1458730946.4995792</v>
      </c>
      <c r="L3298" s="455">
        <f t="shared" ca="1" si="162"/>
        <v>351554158106.39856</v>
      </c>
      <c r="M3298" s="471">
        <f t="shared" si="164"/>
        <v>0.05</v>
      </c>
      <c r="N3298" s="475">
        <f t="shared" si="165"/>
        <v>151424</v>
      </c>
    </row>
    <row r="3299" spans="7:14" ht="11.25" customHeight="1" x14ac:dyDescent="0.3">
      <c r="G3299" s="470"/>
      <c r="H3299" s="470">
        <v>3292</v>
      </c>
      <c r="I3299" s="455">
        <f t="shared" ca="1" si="163"/>
        <v>351554158106.39856</v>
      </c>
      <c r="J3299" s="455">
        <f t="array" ref="J3299">IFERROR(INDEX('Retirement Calculator'!J:J,MATCH('Isaac 401k'!N3299,'Retirement Calculator'!A:A,0),0),0)</f>
        <v>0</v>
      </c>
      <c r="K3299" s="455">
        <f t="shared" ca="1" si="161"/>
        <v>1464808992.1099939</v>
      </c>
      <c r="L3299" s="455">
        <f t="shared" ca="1" si="162"/>
        <v>353018967098.50854</v>
      </c>
      <c r="M3299" s="471">
        <f t="shared" si="164"/>
        <v>0.05</v>
      </c>
      <c r="N3299" s="475">
        <f t="shared" si="165"/>
        <v>151455</v>
      </c>
    </row>
    <row r="3300" spans="7:14" ht="11.25" customHeight="1" x14ac:dyDescent="0.3">
      <c r="G3300" s="470"/>
      <c r="H3300" s="470">
        <v>3293</v>
      </c>
      <c r="I3300" s="455">
        <f t="shared" ca="1" si="163"/>
        <v>353018967098.50854</v>
      </c>
      <c r="J3300" s="455">
        <f t="array" ref="J3300">IFERROR(INDEX('Retirement Calculator'!J:J,MATCH('Isaac 401k'!N3300,'Retirement Calculator'!A:A,0),0),0)</f>
        <v>0</v>
      </c>
      <c r="K3300" s="455">
        <f t="shared" ca="1" si="161"/>
        <v>1470912362.9104524</v>
      </c>
      <c r="L3300" s="455">
        <f t="shared" ca="1" si="162"/>
        <v>354489879461.41901</v>
      </c>
      <c r="M3300" s="471">
        <f t="shared" si="164"/>
        <v>0.05</v>
      </c>
      <c r="N3300" s="475">
        <f t="shared" si="165"/>
        <v>151485</v>
      </c>
    </row>
    <row r="3301" spans="7:14" ht="11.25" customHeight="1" x14ac:dyDescent="0.3">
      <c r="G3301" s="470"/>
      <c r="H3301" s="470">
        <v>3294</v>
      </c>
      <c r="I3301" s="455">
        <f t="shared" ca="1" si="163"/>
        <v>354489879461.41901</v>
      </c>
      <c r="J3301" s="455">
        <f t="array" ref="J3301">IFERROR(INDEX('Retirement Calculator'!J:J,MATCH('Isaac 401k'!N3301,'Retirement Calculator'!A:A,0),0),0)</f>
        <v>0</v>
      </c>
      <c r="K3301" s="455">
        <f t="shared" ca="1" si="161"/>
        <v>1477041164.4225793</v>
      </c>
      <c r="L3301" s="455">
        <f t="shared" ca="1" si="162"/>
        <v>355966920625.84161</v>
      </c>
      <c r="M3301" s="471">
        <f t="shared" si="164"/>
        <v>0.05</v>
      </c>
      <c r="N3301" s="475">
        <f t="shared" si="165"/>
        <v>151516</v>
      </c>
    </row>
    <row r="3302" spans="7:14" ht="11.25" customHeight="1" x14ac:dyDescent="0.3">
      <c r="G3302" s="470"/>
      <c r="H3302" s="470">
        <v>3295</v>
      </c>
      <c r="I3302" s="455">
        <f t="shared" ca="1" si="163"/>
        <v>355966920625.84161</v>
      </c>
      <c r="J3302" s="455">
        <f t="array" ref="J3302">IFERROR(INDEX('Retirement Calculator'!J:J,MATCH('Isaac 401k'!N3302,'Retirement Calculator'!A:A,0),0),0)</f>
        <v>0</v>
      </c>
      <c r="K3302" s="455">
        <f t="shared" ca="1" si="161"/>
        <v>1483195502.6076734</v>
      </c>
      <c r="L3302" s="455">
        <f t="shared" ca="1" si="162"/>
        <v>357450116128.44928</v>
      </c>
      <c r="M3302" s="471">
        <f t="shared" si="164"/>
        <v>0.05</v>
      </c>
      <c r="N3302" s="475">
        <f t="shared" si="165"/>
        <v>151546</v>
      </c>
    </row>
    <row r="3303" spans="7:14" ht="11.25" customHeight="1" x14ac:dyDescent="0.3">
      <c r="G3303" s="470"/>
      <c r="H3303" s="470">
        <v>3296</v>
      </c>
      <c r="I3303" s="455">
        <f t="shared" ca="1" si="163"/>
        <v>357450116128.44928</v>
      </c>
      <c r="J3303" s="455">
        <f t="array" ref="J3303">IFERROR(INDEX('Retirement Calculator'!J:J,MATCH('Isaac 401k'!N3303,'Retirement Calculator'!A:A,0),0),0)</f>
        <v>0</v>
      </c>
      <c r="K3303" s="455">
        <f t="shared" ca="1" si="161"/>
        <v>1489375483.8685386</v>
      </c>
      <c r="L3303" s="455">
        <f t="shared" ca="1" si="162"/>
        <v>358939491612.31781</v>
      </c>
      <c r="M3303" s="471">
        <f t="shared" si="164"/>
        <v>0.05</v>
      </c>
      <c r="N3303" s="475">
        <f t="shared" si="165"/>
        <v>151577</v>
      </c>
    </row>
    <row r="3304" spans="7:14" ht="11.25" customHeight="1" x14ac:dyDescent="0.3">
      <c r="G3304" s="470"/>
      <c r="H3304" s="470">
        <v>3297</v>
      </c>
      <c r="I3304" s="455">
        <f t="shared" ca="1" si="163"/>
        <v>358939491612.31781</v>
      </c>
      <c r="J3304" s="455">
        <f t="array" ref="J3304">IFERROR(INDEX('Retirement Calculator'!J:J,MATCH('Isaac 401k'!N3304,'Retirement Calculator'!A:A,0),0),0)</f>
        <v>0</v>
      </c>
      <c r="K3304" s="455">
        <f t="shared" ca="1" si="161"/>
        <v>1495581215.0513241</v>
      </c>
      <c r="L3304" s="455">
        <f t="shared" ca="1" si="162"/>
        <v>360435072827.36914</v>
      </c>
      <c r="M3304" s="471">
        <f t="shared" si="164"/>
        <v>0.05</v>
      </c>
      <c r="N3304" s="475">
        <f t="shared" si="165"/>
        <v>151608</v>
      </c>
    </row>
    <row r="3305" spans="7:14" ht="11.25" customHeight="1" x14ac:dyDescent="0.3">
      <c r="G3305" s="470"/>
      <c r="H3305" s="470">
        <v>3298</v>
      </c>
      <c r="I3305" s="455">
        <f t="shared" ca="1" si="163"/>
        <v>360435072827.36914</v>
      </c>
      <c r="J3305" s="455">
        <f t="array" ref="J3305">IFERROR(INDEX('Retirement Calculator'!J:J,MATCH('Isaac 401k'!N3305,'Retirement Calculator'!A:A,0),0),0)</f>
        <v>0</v>
      </c>
      <c r="K3305" s="455">
        <f t="shared" ca="1" si="161"/>
        <v>1501812803.4473715</v>
      </c>
      <c r="L3305" s="455">
        <f t="shared" ca="1" si="162"/>
        <v>361936885630.81653</v>
      </c>
      <c r="M3305" s="471">
        <f t="shared" si="164"/>
        <v>0.05</v>
      </c>
      <c r="N3305" s="475">
        <f t="shared" si="165"/>
        <v>151636</v>
      </c>
    </row>
    <row r="3306" spans="7:14" ht="11.25" customHeight="1" x14ac:dyDescent="0.3">
      <c r="G3306" s="470"/>
      <c r="H3306" s="470">
        <v>3299</v>
      </c>
      <c r="I3306" s="455">
        <f t="shared" ca="1" si="163"/>
        <v>361936885630.81653</v>
      </c>
      <c r="J3306" s="455">
        <f t="array" ref="J3306">IFERROR(INDEX('Retirement Calculator'!J:J,MATCH('Isaac 401k'!N3306,'Retirement Calculator'!A:A,0),0),0)</f>
        <v>0</v>
      </c>
      <c r="K3306" s="455">
        <f t="shared" ca="1" si="161"/>
        <v>1508070356.7950687</v>
      </c>
      <c r="L3306" s="455">
        <f t="shared" ca="1" si="162"/>
        <v>363444955987.61157</v>
      </c>
      <c r="M3306" s="471">
        <f t="shared" si="164"/>
        <v>0.05</v>
      </c>
      <c r="N3306" s="475">
        <f t="shared" si="165"/>
        <v>151667</v>
      </c>
    </row>
    <row r="3307" spans="7:14" ht="11.25" customHeight="1" x14ac:dyDescent="0.3">
      <c r="G3307" s="470"/>
      <c r="H3307" s="470">
        <v>3300</v>
      </c>
      <c r="I3307" s="455">
        <f t="shared" ca="1" si="163"/>
        <v>363444955987.61157</v>
      </c>
      <c r="J3307" s="455">
        <f t="array" ref="J3307">IFERROR(INDEX('Retirement Calculator'!J:J,MATCH('Isaac 401k'!N3307,'Retirement Calculator'!A:A,0),0),0)</f>
        <v>0</v>
      </c>
      <c r="K3307" s="455">
        <f t="shared" ca="1" si="161"/>
        <v>1514353983.2817149</v>
      </c>
      <c r="L3307" s="455">
        <f t="shared" ca="1" si="162"/>
        <v>364959309970.89331</v>
      </c>
      <c r="M3307" s="471">
        <f t="shared" si="164"/>
        <v>0.05</v>
      </c>
      <c r="N3307" s="475">
        <f t="shared" si="165"/>
        <v>151697</v>
      </c>
    </row>
    <row r="3308" spans="7:14" ht="11.25" customHeight="1" x14ac:dyDescent="0.3">
      <c r="G3308" s="470"/>
      <c r="H3308" s="470">
        <v>3301</v>
      </c>
      <c r="I3308" s="455">
        <f t="shared" ca="1" si="163"/>
        <v>364959309970.89331</v>
      </c>
      <c r="J3308" s="455">
        <f t="array" ref="J3308">IFERROR(INDEX('Retirement Calculator'!J:J,MATCH('Isaac 401k'!N3308,'Retirement Calculator'!A:A,0),0),0)</f>
        <v>0</v>
      </c>
      <c r="K3308" s="455">
        <f t="shared" ca="1" si="161"/>
        <v>1520663791.5453887</v>
      </c>
      <c r="L3308" s="455">
        <f t="shared" ca="1" si="162"/>
        <v>366479973762.43872</v>
      </c>
      <c r="M3308" s="471">
        <f t="shared" si="164"/>
        <v>0.05</v>
      </c>
      <c r="N3308" s="475">
        <f t="shared" si="165"/>
        <v>151728</v>
      </c>
    </row>
    <row r="3309" spans="7:14" ht="11.25" customHeight="1" x14ac:dyDescent="0.3">
      <c r="G3309" s="470"/>
      <c r="H3309" s="470">
        <v>3302</v>
      </c>
      <c r="I3309" s="455">
        <f t="shared" ca="1" si="163"/>
        <v>366479973762.43872</v>
      </c>
      <c r="J3309" s="455">
        <f t="array" ref="J3309">IFERROR(INDEX('Retirement Calculator'!J:J,MATCH('Isaac 401k'!N3309,'Retirement Calculator'!A:A,0),0),0)</f>
        <v>0</v>
      </c>
      <c r="K3309" s="455">
        <f t="shared" ca="1" si="161"/>
        <v>1526999890.6768279</v>
      </c>
      <c r="L3309" s="455">
        <f t="shared" ca="1" si="162"/>
        <v>368006973653.11554</v>
      </c>
      <c r="M3309" s="471">
        <f t="shared" si="164"/>
        <v>0.05</v>
      </c>
      <c r="N3309" s="475">
        <f t="shared" si="165"/>
        <v>151758</v>
      </c>
    </row>
    <row r="3310" spans="7:14" ht="11.25" customHeight="1" x14ac:dyDescent="0.3">
      <c r="G3310" s="470"/>
      <c r="H3310" s="470">
        <v>3303</v>
      </c>
      <c r="I3310" s="455">
        <f t="shared" ca="1" si="163"/>
        <v>368006973653.11554</v>
      </c>
      <c r="J3310" s="455">
        <f t="array" ref="J3310">IFERROR(INDEX('Retirement Calculator'!J:J,MATCH('Isaac 401k'!N3310,'Retirement Calculator'!A:A,0),0),0)</f>
        <v>0</v>
      </c>
      <c r="K3310" s="455">
        <f t="shared" ca="1" si="161"/>
        <v>1533362390.2213147</v>
      </c>
      <c r="L3310" s="455">
        <f t="shared" ca="1" si="162"/>
        <v>369540336043.33685</v>
      </c>
      <c r="M3310" s="471">
        <f t="shared" si="164"/>
        <v>0.05</v>
      </c>
      <c r="N3310" s="475">
        <f t="shared" si="165"/>
        <v>151789</v>
      </c>
    </row>
    <row r="3311" spans="7:14" ht="11.25" customHeight="1" x14ac:dyDescent="0.3">
      <c r="G3311" s="470"/>
      <c r="H3311" s="470">
        <v>3304</v>
      </c>
      <c r="I3311" s="455">
        <f t="shared" ca="1" si="163"/>
        <v>369540336043.33685</v>
      </c>
      <c r="J3311" s="455">
        <f t="array" ref="J3311">IFERROR(INDEX('Retirement Calculator'!J:J,MATCH('Isaac 401k'!N3311,'Retirement Calculator'!A:A,0),0),0)</f>
        <v>0</v>
      </c>
      <c r="K3311" s="455">
        <f t="shared" ca="1" si="161"/>
        <v>1539751400.1805701</v>
      </c>
      <c r="L3311" s="455">
        <f t="shared" ca="1" si="162"/>
        <v>371080087443.5174</v>
      </c>
      <c r="M3311" s="471">
        <f t="shared" si="164"/>
        <v>0.05</v>
      </c>
      <c r="N3311" s="475">
        <f t="shared" si="165"/>
        <v>151820</v>
      </c>
    </row>
    <row r="3312" spans="7:14" ht="11.25" customHeight="1" x14ac:dyDescent="0.3">
      <c r="G3312" s="470"/>
      <c r="H3312" s="470">
        <v>3305</v>
      </c>
      <c r="I3312" s="455">
        <f t="shared" ca="1" si="163"/>
        <v>371080087443.5174</v>
      </c>
      <c r="J3312" s="455">
        <f t="array" ref="J3312">IFERROR(INDEX('Retirement Calculator'!J:J,MATCH('Isaac 401k'!N3312,'Retirement Calculator'!A:A,0),0),0)</f>
        <v>0</v>
      </c>
      <c r="K3312" s="455">
        <f t="shared" ca="1" si="161"/>
        <v>1546167031.0146558</v>
      </c>
      <c r="L3312" s="455">
        <f t="shared" ca="1" si="162"/>
        <v>372626254474.53204</v>
      </c>
      <c r="M3312" s="471">
        <f t="shared" si="164"/>
        <v>0.05</v>
      </c>
      <c r="N3312" s="475">
        <f t="shared" si="165"/>
        <v>151850</v>
      </c>
    </row>
    <row r="3313" spans="7:14" ht="11.25" customHeight="1" x14ac:dyDescent="0.3">
      <c r="G3313" s="470"/>
      <c r="H3313" s="470">
        <v>3306</v>
      </c>
      <c r="I3313" s="455">
        <f t="shared" ca="1" si="163"/>
        <v>372626254474.53204</v>
      </c>
      <c r="J3313" s="455">
        <f t="array" ref="J3313">IFERROR(INDEX('Retirement Calculator'!J:J,MATCH('Isaac 401k'!N3313,'Retirement Calculator'!A:A,0),0),0)</f>
        <v>0</v>
      </c>
      <c r="K3313" s="455">
        <f t="shared" ca="1" si="161"/>
        <v>1552609393.6438835</v>
      </c>
      <c r="L3313" s="455">
        <f t="shared" ca="1" si="162"/>
        <v>374178863868.1759</v>
      </c>
      <c r="M3313" s="471">
        <f t="shared" si="164"/>
        <v>0.05</v>
      </c>
      <c r="N3313" s="475">
        <f t="shared" si="165"/>
        <v>151881</v>
      </c>
    </row>
    <row r="3314" spans="7:14" ht="11.25" customHeight="1" x14ac:dyDescent="0.3">
      <c r="G3314" s="470"/>
      <c r="H3314" s="470">
        <v>3307</v>
      </c>
      <c r="I3314" s="455">
        <f t="shared" ca="1" si="163"/>
        <v>374178863868.1759</v>
      </c>
      <c r="J3314" s="455">
        <f t="array" ref="J3314">IFERROR(INDEX('Retirement Calculator'!J:J,MATCH('Isaac 401k'!N3314,'Retirement Calculator'!A:A,0),0),0)</f>
        <v>0</v>
      </c>
      <c r="K3314" s="455">
        <f t="shared" ca="1" si="161"/>
        <v>1559078599.4507329</v>
      </c>
      <c r="L3314" s="455">
        <f t="shared" ca="1" si="162"/>
        <v>375737942467.62665</v>
      </c>
      <c r="M3314" s="471">
        <f t="shared" si="164"/>
        <v>0.05</v>
      </c>
      <c r="N3314" s="475">
        <f t="shared" si="165"/>
        <v>151911</v>
      </c>
    </row>
    <row r="3315" spans="7:14" ht="11.25" customHeight="1" x14ac:dyDescent="0.3">
      <c r="G3315" s="470"/>
      <c r="H3315" s="470">
        <v>3308</v>
      </c>
      <c r="I3315" s="455">
        <f t="shared" ca="1" si="163"/>
        <v>375737942467.62665</v>
      </c>
      <c r="J3315" s="455">
        <f t="array" ref="J3315">IFERROR(INDEX('Retirement Calculator'!J:J,MATCH('Isaac 401k'!N3315,'Retirement Calculator'!A:A,0),0),0)</f>
        <v>0</v>
      </c>
      <c r="K3315" s="455">
        <f t="shared" ca="1" si="161"/>
        <v>1565574760.2817776</v>
      </c>
      <c r="L3315" s="455">
        <f t="shared" ca="1" si="162"/>
        <v>377303517227.90845</v>
      </c>
      <c r="M3315" s="471">
        <f t="shared" si="164"/>
        <v>0.05</v>
      </c>
      <c r="N3315" s="475">
        <f t="shared" si="165"/>
        <v>151942</v>
      </c>
    </row>
    <row r="3316" spans="7:14" ht="11.25" customHeight="1" x14ac:dyDescent="0.3">
      <c r="G3316" s="470"/>
      <c r="H3316" s="470">
        <v>3309</v>
      </c>
      <c r="I3316" s="455">
        <f t="shared" ca="1" si="163"/>
        <v>377303517227.90845</v>
      </c>
      <c r="J3316" s="455">
        <f t="array" ref="J3316">IFERROR(INDEX('Retirement Calculator'!J:J,MATCH('Isaac 401k'!N3316,'Retirement Calculator'!A:A,0),0),0)</f>
        <v>0</v>
      </c>
      <c r="K3316" s="455">
        <f t="shared" ca="1" si="161"/>
        <v>1572097988.4496186</v>
      </c>
      <c r="L3316" s="455">
        <f t="shared" ca="1" si="162"/>
        <v>378875615216.35809</v>
      </c>
      <c r="M3316" s="471">
        <f t="shared" si="164"/>
        <v>0.05</v>
      </c>
      <c r="N3316" s="475">
        <f t="shared" si="165"/>
        <v>151973</v>
      </c>
    </row>
    <row r="3317" spans="7:14" ht="11.25" customHeight="1" x14ac:dyDescent="0.3">
      <c r="G3317" s="470"/>
      <c r="H3317" s="470">
        <v>3310</v>
      </c>
      <c r="I3317" s="455">
        <f t="shared" ca="1" si="163"/>
        <v>378875615216.35809</v>
      </c>
      <c r="J3317" s="455">
        <f t="array" ref="J3317">IFERROR(INDEX('Retirement Calculator'!J:J,MATCH('Isaac 401k'!N3317,'Retirement Calculator'!A:A,0),0),0)</f>
        <v>0</v>
      </c>
      <c r="K3317" s="455">
        <f t="shared" ca="1" si="161"/>
        <v>1578648396.7348254</v>
      </c>
      <c r="L3317" s="455">
        <f t="shared" ca="1" si="162"/>
        <v>380454263613.0929</v>
      </c>
      <c r="M3317" s="471">
        <f t="shared" si="164"/>
        <v>0.05</v>
      </c>
      <c r="N3317" s="475">
        <f t="shared" si="165"/>
        <v>152002</v>
      </c>
    </row>
    <row r="3318" spans="7:14" ht="11.25" customHeight="1" x14ac:dyDescent="0.3">
      <c r="G3318" s="470"/>
      <c r="H3318" s="470">
        <v>3311</v>
      </c>
      <c r="I3318" s="455">
        <f t="shared" ca="1" si="163"/>
        <v>380454263613.0929</v>
      </c>
      <c r="J3318" s="455">
        <f t="array" ref="J3318">IFERROR(INDEX('Retirement Calculator'!J:J,MATCH('Isaac 401k'!N3318,'Retirement Calculator'!A:A,0),0),0)</f>
        <v>0</v>
      </c>
      <c r="K3318" s="455">
        <f t="shared" ca="1" si="161"/>
        <v>1585226098.387887</v>
      </c>
      <c r="L3318" s="455">
        <f t="shared" ca="1" si="162"/>
        <v>382039489711.48077</v>
      </c>
      <c r="M3318" s="471">
        <f t="shared" si="164"/>
        <v>0.05</v>
      </c>
      <c r="N3318" s="475">
        <f t="shared" si="165"/>
        <v>152033</v>
      </c>
    </row>
    <row r="3319" spans="7:14" ht="11.25" customHeight="1" x14ac:dyDescent="0.3">
      <c r="G3319" s="470"/>
      <c r="H3319" s="470">
        <v>3312</v>
      </c>
      <c r="I3319" s="455">
        <f t="shared" ca="1" si="163"/>
        <v>382039489711.48077</v>
      </c>
      <c r="J3319" s="455">
        <f t="array" ref="J3319">IFERROR(INDEX('Retirement Calculator'!J:J,MATCH('Isaac 401k'!N3319,'Retirement Calculator'!A:A,0),0),0)</f>
        <v>0</v>
      </c>
      <c r="K3319" s="455">
        <f t="shared" ca="1" si="161"/>
        <v>1591831207.1311698</v>
      </c>
      <c r="L3319" s="455">
        <f t="shared" ca="1" si="162"/>
        <v>383631320918.61194</v>
      </c>
      <c r="M3319" s="471">
        <f t="shared" si="164"/>
        <v>0.05</v>
      </c>
      <c r="N3319" s="475">
        <f t="shared" si="165"/>
        <v>152063</v>
      </c>
    </row>
    <row r="3320" spans="7:14" ht="11.25" customHeight="1" x14ac:dyDescent="0.3">
      <c r="G3320" s="470"/>
      <c r="H3320" s="470">
        <v>3313</v>
      </c>
      <c r="I3320" s="455">
        <f t="shared" ca="1" si="163"/>
        <v>383631320918.61194</v>
      </c>
      <c r="J3320" s="455">
        <f t="array" ref="J3320">IFERROR(INDEX('Retirement Calculator'!J:J,MATCH('Isaac 401k'!N3320,'Retirement Calculator'!A:A,0),0),0)</f>
        <v>0</v>
      </c>
      <c r="K3320" s="455">
        <f t="shared" ca="1" si="161"/>
        <v>1598463837.1608829</v>
      </c>
      <c r="L3320" s="455">
        <f t="shared" ca="1" si="162"/>
        <v>385229784755.77283</v>
      </c>
      <c r="M3320" s="471">
        <f t="shared" si="164"/>
        <v>0.05</v>
      </c>
      <c r="N3320" s="475">
        <f t="shared" si="165"/>
        <v>152094</v>
      </c>
    </row>
    <row r="3321" spans="7:14" ht="11.25" customHeight="1" x14ac:dyDescent="0.3">
      <c r="G3321" s="470"/>
      <c r="H3321" s="470">
        <v>3314</v>
      </c>
      <c r="I3321" s="455">
        <f t="shared" ca="1" si="163"/>
        <v>385229784755.77283</v>
      </c>
      <c r="J3321" s="455">
        <f t="array" ref="J3321">IFERROR(INDEX('Retirement Calculator'!J:J,MATCH('Isaac 401k'!N3321,'Retirement Calculator'!A:A,0),0),0)</f>
        <v>0</v>
      </c>
      <c r="K3321" s="455">
        <f t="shared" ca="1" si="161"/>
        <v>1605124103.1490533</v>
      </c>
      <c r="L3321" s="455">
        <f t="shared" ca="1" si="162"/>
        <v>386834908858.92188</v>
      </c>
      <c r="M3321" s="471">
        <f t="shared" si="164"/>
        <v>0.05</v>
      </c>
      <c r="N3321" s="475">
        <f t="shared" si="165"/>
        <v>152124</v>
      </c>
    </row>
    <row r="3322" spans="7:14" ht="11.25" customHeight="1" x14ac:dyDescent="0.3">
      <c r="G3322" s="470"/>
      <c r="H3322" s="470">
        <v>3315</v>
      </c>
      <c r="I3322" s="455">
        <f t="shared" ca="1" si="163"/>
        <v>386834908858.92188</v>
      </c>
      <c r="J3322" s="455">
        <f t="array" ref="J3322">IFERROR(INDEX('Retirement Calculator'!J:J,MATCH('Isaac 401k'!N3322,'Retirement Calculator'!A:A,0),0),0)</f>
        <v>0</v>
      </c>
      <c r="K3322" s="455">
        <f t="shared" ca="1" si="161"/>
        <v>1611812120.2455077</v>
      </c>
      <c r="L3322" s="455">
        <f t="shared" ca="1" si="162"/>
        <v>388446720979.16736</v>
      </c>
      <c r="M3322" s="471">
        <f t="shared" si="164"/>
        <v>0.05</v>
      </c>
      <c r="N3322" s="475">
        <f t="shared" si="165"/>
        <v>152155</v>
      </c>
    </row>
    <row r="3323" spans="7:14" ht="11.25" customHeight="1" x14ac:dyDescent="0.3">
      <c r="G3323" s="470"/>
      <c r="H3323" s="470">
        <v>3316</v>
      </c>
      <c r="I3323" s="455">
        <f t="shared" ca="1" si="163"/>
        <v>388446720979.16736</v>
      </c>
      <c r="J3323" s="455">
        <f t="array" ref="J3323">IFERROR(INDEX('Retirement Calculator'!J:J,MATCH('Isaac 401k'!N3323,'Retirement Calculator'!A:A,0),0),0)</f>
        <v>0</v>
      </c>
      <c r="K3323" s="455">
        <f t="shared" ref="K3323:K3577" ca="1" si="166">IPMT(M3323/12,1,12,-I3323+J3323,,0)</f>
        <v>1618528004.079864</v>
      </c>
      <c r="L3323" s="455">
        <f t="shared" ref="L3323:L3577" ca="1" si="167">I3323-J3323+K3323</f>
        <v>390065248983.24719</v>
      </c>
      <c r="M3323" s="471">
        <f t="shared" si="164"/>
        <v>0.05</v>
      </c>
      <c r="N3323" s="475">
        <f t="shared" si="165"/>
        <v>152186</v>
      </c>
    </row>
    <row r="3324" spans="7:14" ht="11.25" customHeight="1" x14ac:dyDescent="0.3">
      <c r="G3324" s="470"/>
      <c r="H3324" s="470">
        <v>3317</v>
      </c>
      <c r="I3324" s="455">
        <f t="shared" ref="I3324:I3578" ca="1" si="168">L3323</f>
        <v>390065248983.24719</v>
      </c>
      <c r="J3324" s="455">
        <f t="array" ref="J3324">IFERROR(INDEX('Retirement Calculator'!J:J,MATCH('Isaac 401k'!N3324,'Retirement Calculator'!A:A,0),0),0)</f>
        <v>0</v>
      </c>
      <c r="K3324" s="455">
        <f t="shared" ca="1" si="166"/>
        <v>1625271870.76353</v>
      </c>
      <c r="L3324" s="455">
        <f t="shared" ca="1" si="167"/>
        <v>391690520854.01074</v>
      </c>
      <c r="M3324" s="471">
        <f t="shared" ref="M3324:M3578" si="169">M3323</f>
        <v>0.05</v>
      </c>
      <c r="N3324" s="475">
        <f t="shared" ref="N3324:N3578" si="170">EDATE(N3323,1)</f>
        <v>152216</v>
      </c>
    </row>
    <row r="3325" spans="7:14" ht="11.25" customHeight="1" x14ac:dyDescent="0.3">
      <c r="G3325" s="470"/>
      <c r="H3325" s="470">
        <v>3318</v>
      </c>
      <c r="I3325" s="455">
        <f t="shared" ca="1" si="168"/>
        <v>391690520854.01074</v>
      </c>
      <c r="J3325" s="455">
        <f t="array" ref="J3325">IFERROR(INDEX('Retirement Calculator'!J:J,MATCH('Isaac 401k'!N3325,'Retirement Calculator'!A:A,0),0),0)</f>
        <v>0</v>
      </c>
      <c r="K3325" s="455">
        <f t="shared" ca="1" si="166"/>
        <v>1632043836.8917115</v>
      </c>
      <c r="L3325" s="455">
        <f t="shared" ca="1" si="167"/>
        <v>393322564690.90247</v>
      </c>
      <c r="M3325" s="471">
        <f t="shared" si="169"/>
        <v>0.05</v>
      </c>
      <c r="N3325" s="475">
        <f t="shared" si="170"/>
        <v>152247</v>
      </c>
    </row>
    <row r="3326" spans="7:14" ht="11.25" customHeight="1" x14ac:dyDescent="0.3">
      <c r="G3326" s="470"/>
      <c r="H3326" s="470">
        <v>3319</v>
      </c>
      <c r="I3326" s="455">
        <f t="shared" ca="1" si="168"/>
        <v>393322564690.90247</v>
      </c>
      <c r="J3326" s="455">
        <f t="array" ref="J3326">IFERROR(INDEX('Retirement Calculator'!J:J,MATCH('Isaac 401k'!N3326,'Retirement Calculator'!A:A,0),0),0)</f>
        <v>0</v>
      </c>
      <c r="K3326" s="455">
        <f t="shared" ca="1" si="166"/>
        <v>1638844019.5454268</v>
      </c>
      <c r="L3326" s="455">
        <f t="shared" ca="1" si="167"/>
        <v>394961408710.44788</v>
      </c>
      <c r="M3326" s="471">
        <f t="shared" si="169"/>
        <v>0.05</v>
      </c>
      <c r="N3326" s="475">
        <f t="shared" si="170"/>
        <v>152277</v>
      </c>
    </row>
    <row r="3327" spans="7:14" ht="11.25" customHeight="1" x14ac:dyDescent="0.3">
      <c r="G3327" s="470"/>
      <c r="H3327" s="470">
        <v>3320</v>
      </c>
      <c r="I3327" s="455">
        <f t="shared" ca="1" si="168"/>
        <v>394961408710.44788</v>
      </c>
      <c r="J3327" s="455">
        <f t="array" ref="J3327">IFERROR(INDEX('Retirement Calculator'!J:J,MATCH('Isaac 401k'!N3327,'Retirement Calculator'!A:A,0),0),0)</f>
        <v>0</v>
      </c>
      <c r="K3327" s="455">
        <f t="shared" ca="1" si="166"/>
        <v>1645672536.2935328</v>
      </c>
      <c r="L3327" s="455">
        <f t="shared" ca="1" si="167"/>
        <v>396607081246.74139</v>
      </c>
      <c r="M3327" s="471">
        <f t="shared" si="169"/>
        <v>0.05</v>
      </c>
      <c r="N3327" s="475">
        <f t="shared" si="170"/>
        <v>152308</v>
      </c>
    </row>
    <row r="3328" spans="7:14" ht="11.25" customHeight="1" x14ac:dyDescent="0.3">
      <c r="G3328" s="470"/>
      <c r="H3328" s="470">
        <v>3321</v>
      </c>
      <c r="I3328" s="455">
        <f t="shared" ca="1" si="168"/>
        <v>396607081246.74139</v>
      </c>
      <c r="J3328" s="455">
        <f t="array" ref="J3328">IFERROR(INDEX('Retirement Calculator'!J:J,MATCH('Isaac 401k'!N3328,'Retirement Calculator'!A:A,0),0),0)</f>
        <v>0</v>
      </c>
      <c r="K3328" s="455">
        <f t="shared" ca="1" si="166"/>
        <v>1652529505.1947558</v>
      </c>
      <c r="L3328" s="455">
        <f t="shared" ca="1" si="167"/>
        <v>398259610751.93616</v>
      </c>
      <c r="M3328" s="471">
        <f t="shared" si="169"/>
        <v>0.05</v>
      </c>
      <c r="N3328" s="475">
        <f t="shared" si="170"/>
        <v>152339</v>
      </c>
    </row>
    <row r="3329" spans="7:14" ht="11.25" customHeight="1" x14ac:dyDescent="0.3">
      <c r="G3329" s="470"/>
      <c r="H3329" s="470">
        <v>3322</v>
      </c>
      <c r="I3329" s="455">
        <f t="shared" ca="1" si="168"/>
        <v>398259610751.93616</v>
      </c>
      <c r="J3329" s="455">
        <f t="array" ref="J3329">IFERROR(INDEX('Retirement Calculator'!J:J,MATCH('Isaac 401k'!N3329,'Retirement Calculator'!A:A,0),0),0)</f>
        <v>0</v>
      </c>
      <c r="K3329" s="455">
        <f t="shared" ca="1" si="166"/>
        <v>1659415044.7997339</v>
      </c>
      <c r="L3329" s="455">
        <f t="shared" ca="1" si="167"/>
        <v>399919025796.7359</v>
      </c>
      <c r="M3329" s="471">
        <f t="shared" si="169"/>
        <v>0.05</v>
      </c>
      <c r="N3329" s="475">
        <f t="shared" si="170"/>
        <v>152367</v>
      </c>
    </row>
    <row r="3330" spans="7:14" ht="11.25" customHeight="1" x14ac:dyDescent="0.3">
      <c r="G3330" s="470"/>
      <c r="H3330" s="470">
        <v>3323</v>
      </c>
      <c r="I3330" s="455">
        <f t="shared" ca="1" si="168"/>
        <v>399919025796.7359</v>
      </c>
      <c r="J3330" s="455">
        <f t="array" ref="J3330">IFERROR(INDEX('Retirement Calculator'!J:J,MATCH('Isaac 401k'!N3330,'Retirement Calculator'!A:A,0),0),0)</f>
        <v>0</v>
      </c>
      <c r="K3330" s="455">
        <f t="shared" ca="1" si="166"/>
        <v>1666329274.1530662</v>
      </c>
      <c r="L3330" s="455">
        <f t="shared" ca="1" si="167"/>
        <v>401585355070.88898</v>
      </c>
      <c r="M3330" s="471">
        <f t="shared" si="169"/>
        <v>0.05</v>
      </c>
      <c r="N3330" s="475">
        <f t="shared" si="170"/>
        <v>152398</v>
      </c>
    </row>
    <row r="3331" spans="7:14" ht="11.25" customHeight="1" x14ac:dyDescent="0.3">
      <c r="G3331" s="470"/>
      <c r="H3331" s="470">
        <v>3324</v>
      </c>
      <c r="I3331" s="455">
        <f t="shared" ca="1" si="168"/>
        <v>401585355070.88898</v>
      </c>
      <c r="J3331" s="455">
        <f t="array" ref="J3331">IFERROR(INDEX('Retirement Calculator'!J:J,MATCH('Isaac 401k'!N3331,'Retirement Calculator'!A:A,0),0),0)</f>
        <v>0</v>
      </c>
      <c r="K3331" s="455">
        <f t="shared" ca="1" si="166"/>
        <v>1673272312.7953708</v>
      </c>
      <c r="L3331" s="455">
        <f t="shared" ca="1" si="167"/>
        <v>403258627383.68433</v>
      </c>
      <c r="M3331" s="471">
        <f t="shared" si="169"/>
        <v>0.05</v>
      </c>
      <c r="N3331" s="475">
        <f t="shared" si="170"/>
        <v>152428</v>
      </c>
    </row>
    <row r="3332" spans="7:14" ht="11.25" customHeight="1" x14ac:dyDescent="0.3">
      <c r="G3332" s="470"/>
      <c r="H3332" s="470">
        <v>3325</v>
      </c>
      <c r="I3332" s="455">
        <f t="shared" ca="1" si="168"/>
        <v>403258627383.68433</v>
      </c>
      <c r="J3332" s="455">
        <f t="array" ref="J3332">IFERROR(INDEX('Retirement Calculator'!J:J,MATCH('Isaac 401k'!N3332,'Retirement Calculator'!A:A,0),0),0)</f>
        <v>0</v>
      </c>
      <c r="K3332" s="455">
        <f t="shared" ca="1" si="166"/>
        <v>1680244280.7653513</v>
      </c>
      <c r="L3332" s="455">
        <f t="shared" ca="1" si="167"/>
        <v>404938871664.44971</v>
      </c>
      <c r="M3332" s="471">
        <f t="shared" si="169"/>
        <v>0.05</v>
      </c>
      <c r="N3332" s="475">
        <f t="shared" si="170"/>
        <v>152459</v>
      </c>
    </row>
    <row r="3333" spans="7:14" ht="11.25" customHeight="1" x14ac:dyDescent="0.3">
      <c r="G3333" s="470"/>
      <c r="H3333" s="470">
        <v>3326</v>
      </c>
      <c r="I3333" s="455">
        <f t="shared" ca="1" si="168"/>
        <v>404938871664.44971</v>
      </c>
      <c r="J3333" s="455">
        <f t="array" ref="J3333">IFERROR(INDEX('Retirement Calculator'!J:J,MATCH('Isaac 401k'!N3333,'Retirement Calculator'!A:A,0),0),0)</f>
        <v>0</v>
      </c>
      <c r="K3333" s="455">
        <f t="shared" ca="1" si="166"/>
        <v>1687245298.6018739</v>
      </c>
      <c r="L3333" s="455">
        <f t="shared" ca="1" si="167"/>
        <v>406626116963.05157</v>
      </c>
      <c r="M3333" s="471">
        <f t="shared" si="169"/>
        <v>0.05</v>
      </c>
      <c r="N3333" s="475">
        <f t="shared" si="170"/>
        <v>152489</v>
      </c>
    </row>
    <row r="3334" spans="7:14" ht="11.25" customHeight="1" x14ac:dyDescent="0.3">
      <c r="G3334" s="470"/>
      <c r="H3334" s="470">
        <v>3327</v>
      </c>
      <c r="I3334" s="455">
        <f t="shared" ca="1" si="168"/>
        <v>406626116963.05157</v>
      </c>
      <c r="J3334" s="455">
        <f t="array" ref="J3334">IFERROR(INDEX('Retirement Calculator'!J:J,MATCH('Isaac 401k'!N3334,'Retirement Calculator'!A:A,0),0),0)</f>
        <v>0</v>
      </c>
      <c r="K3334" s="455">
        <f t="shared" ca="1" si="166"/>
        <v>1694275487.3460481</v>
      </c>
      <c r="L3334" s="455">
        <f t="shared" ca="1" si="167"/>
        <v>408320392450.39764</v>
      </c>
      <c r="M3334" s="471">
        <f t="shared" si="169"/>
        <v>0.05</v>
      </c>
      <c r="N3334" s="475">
        <f t="shared" si="170"/>
        <v>152520</v>
      </c>
    </row>
    <row r="3335" spans="7:14" ht="11.25" customHeight="1" x14ac:dyDescent="0.3">
      <c r="G3335" s="470"/>
      <c r="H3335" s="470">
        <v>3328</v>
      </c>
      <c r="I3335" s="455">
        <f t="shared" ca="1" si="168"/>
        <v>408320392450.39764</v>
      </c>
      <c r="J3335" s="455">
        <f t="array" ref="J3335">IFERROR(INDEX('Retirement Calculator'!J:J,MATCH('Isaac 401k'!N3335,'Retirement Calculator'!A:A,0),0),0)</f>
        <v>0</v>
      </c>
      <c r="K3335" s="455">
        <f t="shared" ca="1" si="166"/>
        <v>1701334968.5433235</v>
      </c>
      <c r="L3335" s="455">
        <f t="shared" ca="1" si="167"/>
        <v>410021727418.94098</v>
      </c>
      <c r="M3335" s="471">
        <f t="shared" si="169"/>
        <v>0.05</v>
      </c>
      <c r="N3335" s="475">
        <f t="shared" si="170"/>
        <v>152551</v>
      </c>
    </row>
    <row r="3336" spans="7:14" ht="11.25" customHeight="1" x14ac:dyDescent="0.3">
      <c r="G3336" s="470"/>
      <c r="H3336" s="470">
        <v>3329</v>
      </c>
      <c r="I3336" s="455">
        <f t="shared" ca="1" si="168"/>
        <v>410021727418.94098</v>
      </c>
      <c r="J3336" s="455">
        <f t="array" ref="J3336">IFERROR(INDEX('Retirement Calculator'!J:J,MATCH('Isaac 401k'!N3336,'Retirement Calculator'!A:A,0),0),0)</f>
        <v>0</v>
      </c>
      <c r="K3336" s="455">
        <f t="shared" ca="1" si="166"/>
        <v>1708423864.2455873</v>
      </c>
      <c r="L3336" s="455">
        <f t="shared" ca="1" si="167"/>
        <v>411730151283.18658</v>
      </c>
      <c r="M3336" s="471">
        <f t="shared" si="169"/>
        <v>0.05</v>
      </c>
      <c r="N3336" s="475">
        <f t="shared" si="170"/>
        <v>152581</v>
      </c>
    </row>
    <row r="3337" spans="7:14" ht="11.25" customHeight="1" x14ac:dyDescent="0.3">
      <c r="G3337" s="470"/>
      <c r="H3337" s="470">
        <v>3330</v>
      </c>
      <c r="I3337" s="455">
        <f t="shared" ca="1" si="168"/>
        <v>411730151283.18658</v>
      </c>
      <c r="J3337" s="455">
        <f t="array" ref="J3337">IFERROR(INDEX('Retirement Calculator'!J:J,MATCH('Isaac 401k'!N3337,'Retirement Calculator'!A:A,0),0),0)</f>
        <v>0</v>
      </c>
      <c r="K3337" s="455">
        <f t="shared" ca="1" si="166"/>
        <v>1715542297.0132775</v>
      </c>
      <c r="L3337" s="455">
        <f t="shared" ca="1" si="167"/>
        <v>413445693580.19989</v>
      </c>
      <c r="M3337" s="471">
        <f t="shared" si="169"/>
        <v>0.05</v>
      </c>
      <c r="N3337" s="475">
        <f t="shared" si="170"/>
        <v>152612</v>
      </c>
    </row>
    <row r="3338" spans="7:14" ht="11.25" customHeight="1" x14ac:dyDescent="0.3">
      <c r="G3338" s="470"/>
      <c r="H3338" s="470">
        <v>3331</v>
      </c>
      <c r="I3338" s="455">
        <f t="shared" ca="1" si="168"/>
        <v>413445693580.19989</v>
      </c>
      <c r="J3338" s="455">
        <f t="array" ref="J3338">IFERROR(INDEX('Retirement Calculator'!J:J,MATCH('Isaac 401k'!N3338,'Retirement Calculator'!A:A,0),0),0)</f>
        <v>0</v>
      </c>
      <c r="K3338" s="455">
        <f t="shared" ca="1" si="166"/>
        <v>1722690389.9174995</v>
      </c>
      <c r="L3338" s="455">
        <f t="shared" ca="1" si="167"/>
        <v>415168383970.11737</v>
      </c>
      <c r="M3338" s="471">
        <f t="shared" si="169"/>
        <v>0.05</v>
      </c>
      <c r="N3338" s="475">
        <f t="shared" si="170"/>
        <v>152642</v>
      </c>
    </row>
    <row r="3339" spans="7:14" ht="11.25" customHeight="1" x14ac:dyDescent="0.3">
      <c r="G3339" s="470"/>
      <c r="H3339" s="470">
        <v>3332</v>
      </c>
      <c r="I3339" s="455">
        <f t="shared" ca="1" si="168"/>
        <v>415168383970.11737</v>
      </c>
      <c r="J3339" s="455">
        <f t="array" ref="J3339">IFERROR(INDEX('Retirement Calculator'!J:J,MATCH('Isaac 401k'!N3339,'Retirement Calculator'!A:A,0),0),0)</f>
        <v>0</v>
      </c>
      <c r="K3339" s="455">
        <f t="shared" ca="1" si="166"/>
        <v>1729868266.5421557</v>
      </c>
      <c r="L3339" s="455">
        <f t="shared" ca="1" si="167"/>
        <v>416898252236.65955</v>
      </c>
      <c r="M3339" s="471">
        <f t="shared" si="169"/>
        <v>0.05</v>
      </c>
      <c r="N3339" s="475">
        <f t="shared" si="170"/>
        <v>152673</v>
      </c>
    </row>
    <row r="3340" spans="7:14" ht="11.25" customHeight="1" x14ac:dyDescent="0.3">
      <c r="G3340" s="470"/>
      <c r="H3340" s="470">
        <v>3333</v>
      </c>
      <c r="I3340" s="455">
        <f t="shared" ca="1" si="168"/>
        <v>416898252236.65955</v>
      </c>
      <c r="J3340" s="455">
        <f t="array" ref="J3340">IFERROR(INDEX('Retirement Calculator'!J:J,MATCH('Isaac 401k'!N3340,'Retirement Calculator'!A:A,0),0),0)</f>
        <v>0</v>
      </c>
      <c r="K3340" s="455">
        <f t="shared" ca="1" si="166"/>
        <v>1737076050.9860814</v>
      </c>
      <c r="L3340" s="455">
        <f t="shared" ca="1" si="167"/>
        <v>418635328287.64563</v>
      </c>
      <c r="M3340" s="471">
        <f t="shared" si="169"/>
        <v>0.05</v>
      </c>
      <c r="N3340" s="475">
        <f t="shared" si="170"/>
        <v>152704</v>
      </c>
    </row>
    <row r="3341" spans="7:14" ht="11.25" customHeight="1" x14ac:dyDescent="0.3">
      <c r="G3341" s="470"/>
      <c r="H3341" s="470">
        <v>3334</v>
      </c>
      <c r="I3341" s="455">
        <f t="shared" ca="1" si="168"/>
        <v>418635328287.64563</v>
      </c>
      <c r="J3341" s="455">
        <f t="array" ref="J3341">IFERROR(INDEX('Retirement Calculator'!J:J,MATCH('Isaac 401k'!N3341,'Retirement Calculator'!A:A,0),0),0)</f>
        <v>0</v>
      </c>
      <c r="K3341" s="455">
        <f t="shared" ca="1" si="166"/>
        <v>1744313867.86519</v>
      </c>
      <c r="L3341" s="455">
        <f t="shared" ca="1" si="167"/>
        <v>420379642155.5108</v>
      </c>
      <c r="M3341" s="471">
        <f t="shared" si="169"/>
        <v>0.05</v>
      </c>
      <c r="N3341" s="475">
        <f t="shared" si="170"/>
        <v>152732</v>
      </c>
    </row>
    <row r="3342" spans="7:14" ht="11.25" customHeight="1" x14ac:dyDescent="0.3">
      <c r="G3342" s="470"/>
      <c r="H3342" s="470">
        <v>3335</v>
      </c>
      <c r="I3342" s="455">
        <f t="shared" ca="1" si="168"/>
        <v>420379642155.5108</v>
      </c>
      <c r="J3342" s="455">
        <f t="array" ref="J3342">IFERROR(INDEX('Retirement Calculator'!J:J,MATCH('Isaac 401k'!N3342,'Retirement Calculator'!A:A,0),0),0)</f>
        <v>0</v>
      </c>
      <c r="K3342" s="455">
        <f t="shared" ca="1" si="166"/>
        <v>1751581842.3146284</v>
      </c>
      <c r="L3342" s="455">
        <f t="shared" ca="1" si="167"/>
        <v>422131223997.82544</v>
      </c>
      <c r="M3342" s="471">
        <f t="shared" si="169"/>
        <v>0.05</v>
      </c>
      <c r="N3342" s="475">
        <f t="shared" si="170"/>
        <v>152763</v>
      </c>
    </row>
    <row r="3343" spans="7:14" ht="11.25" customHeight="1" x14ac:dyDescent="0.3">
      <c r="G3343" s="470"/>
      <c r="H3343" s="470">
        <v>3336</v>
      </c>
      <c r="I3343" s="455">
        <f t="shared" ca="1" si="168"/>
        <v>422131223997.82544</v>
      </c>
      <c r="J3343" s="455">
        <f t="array" ref="J3343">IFERROR(INDEX('Retirement Calculator'!J:J,MATCH('Isaac 401k'!N3343,'Retirement Calculator'!A:A,0),0),0)</f>
        <v>0</v>
      </c>
      <c r="K3343" s="455">
        <f t="shared" ca="1" si="166"/>
        <v>1758880099.9909394</v>
      </c>
      <c r="L3343" s="455">
        <f t="shared" ca="1" si="167"/>
        <v>423890104097.81641</v>
      </c>
      <c r="M3343" s="471">
        <f t="shared" si="169"/>
        <v>0.05</v>
      </c>
      <c r="N3343" s="475">
        <f t="shared" si="170"/>
        <v>152793</v>
      </c>
    </row>
    <row r="3344" spans="7:14" ht="11.25" customHeight="1" x14ac:dyDescent="0.3">
      <c r="G3344" s="470"/>
      <c r="H3344" s="470">
        <v>3337</v>
      </c>
      <c r="I3344" s="455">
        <f t="shared" ca="1" si="168"/>
        <v>423890104097.81641</v>
      </c>
      <c r="J3344" s="455">
        <f t="array" ref="J3344">IFERROR(INDEX('Retirement Calculator'!J:J,MATCH('Isaac 401k'!N3344,'Retirement Calculator'!A:A,0),0),0)</f>
        <v>0</v>
      </c>
      <c r="K3344" s="455">
        <f t="shared" ca="1" si="166"/>
        <v>1766208767.074235</v>
      </c>
      <c r="L3344" s="455">
        <f t="shared" ca="1" si="167"/>
        <v>425656312864.89063</v>
      </c>
      <c r="M3344" s="471">
        <f t="shared" si="169"/>
        <v>0.05</v>
      </c>
      <c r="N3344" s="475">
        <f t="shared" si="170"/>
        <v>152824</v>
      </c>
    </row>
    <row r="3345" spans="7:14" ht="11.25" customHeight="1" x14ac:dyDescent="0.3">
      <c r="G3345" s="470"/>
      <c r="H3345" s="470">
        <v>3338</v>
      </c>
      <c r="I3345" s="455">
        <f t="shared" ca="1" si="168"/>
        <v>425656312864.89063</v>
      </c>
      <c r="J3345" s="455">
        <f t="array" ref="J3345">IFERROR(INDEX('Retirement Calculator'!J:J,MATCH('Isaac 401k'!N3345,'Retirement Calculator'!A:A,0),0),0)</f>
        <v>0</v>
      </c>
      <c r="K3345" s="455">
        <f t="shared" ca="1" si="166"/>
        <v>1773567970.2703776</v>
      </c>
      <c r="L3345" s="455">
        <f t="shared" ca="1" si="167"/>
        <v>427429880835.16101</v>
      </c>
      <c r="M3345" s="471">
        <f t="shared" si="169"/>
        <v>0.05</v>
      </c>
      <c r="N3345" s="475">
        <f t="shared" si="170"/>
        <v>152854</v>
      </c>
    </row>
    <row r="3346" spans="7:14" ht="11.25" customHeight="1" x14ac:dyDescent="0.3">
      <c r="G3346" s="470"/>
      <c r="H3346" s="470">
        <v>3339</v>
      </c>
      <c r="I3346" s="455">
        <f t="shared" ca="1" si="168"/>
        <v>427429880835.16101</v>
      </c>
      <c r="J3346" s="455">
        <f t="array" ref="J3346">IFERROR(INDEX('Retirement Calculator'!J:J,MATCH('Isaac 401k'!N3346,'Retirement Calculator'!A:A,0),0),0)</f>
        <v>0</v>
      </c>
      <c r="K3346" s="455">
        <f t="shared" ca="1" si="166"/>
        <v>1780957836.8131709</v>
      </c>
      <c r="L3346" s="455">
        <f t="shared" ca="1" si="167"/>
        <v>429210838671.97418</v>
      </c>
      <c r="M3346" s="471">
        <f t="shared" si="169"/>
        <v>0.05</v>
      </c>
      <c r="N3346" s="475">
        <f t="shared" si="170"/>
        <v>152885</v>
      </c>
    </row>
    <row r="3347" spans="7:14" ht="11.25" customHeight="1" x14ac:dyDescent="0.3">
      <c r="G3347" s="470"/>
      <c r="H3347" s="470">
        <v>3340</v>
      </c>
      <c r="I3347" s="455">
        <f t="shared" ca="1" si="168"/>
        <v>429210838671.97418</v>
      </c>
      <c r="J3347" s="455">
        <f t="array" ref="J3347">IFERROR(INDEX('Retirement Calculator'!J:J,MATCH('Isaac 401k'!N3347,'Retirement Calculator'!A:A,0),0),0)</f>
        <v>0</v>
      </c>
      <c r="K3347" s="455">
        <f t="shared" ca="1" si="166"/>
        <v>1788378494.4665592</v>
      </c>
      <c r="L3347" s="455">
        <f t="shared" ca="1" si="167"/>
        <v>430999217166.44073</v>
      </c>
      <c r="M3347" s="471">
        <f t="shared" si="169"/>
        <v>0.05</v>
      </c>
      <c r="N3347" s="475">
        <f t="shared" si="170"/>
        <v>152916</v>
      </c>
    </row>
    <row r="3348" spans="7:14" ht="11.25" customHeight="1" x14ac:dyDescent="0.3">
      <c r="G3348" s="470"/>
      <c r="H3348" s="470">
        <v>3341</v>
      </c>
      <c r="I3348" s="455">
        <f t="shared" ca="1" si="168"/>
        <v>430999217166.44073</v>
      </c>
      <c r="J3348" s="455">
        <f t="array" ref="J3348">IFERROR(INDEX('Retirement Calculator'!J:J,MATCH('Isaac 401k'!N3348,'Retirement Calculator'!A:A,0),0),0)</f>
        <v>0</v>
      </c>
      <c r="K3348" s="455">
        <f t="shared" ca="1" si="166"/>
        <v>1795830071.5268362</v>
      </c>
      <c r="L3348" s="455">
        <f t="shared" ca="1" si="167"/>
        <v>432795047237.96759</v>
      </c>
      <c r="M3348" s="471">
        <f t="shared" si="169"/>
        <v>0.05</v>
      </c>
      <c r="N3348" s="475">
        <f t="shared" si="170"/>
        <v>152946</v>
      </c>
    </row>
    <row r="3349" spans="7:14" ht="11.25" customHeight="1" x14ac:dyDescent="0.3">
      <c r="G3349" s="470"/>
      <c r="H3349" s="470">
        <v>3342</v>
      </c>
      <c r="I3349" s="455">
        <f t="shared" ca="1" si="168"/>
        <v>432795047237.96759</v>
      </c>
      <c r="J3349" s="455">
        <f t="array" ref="J3349">IFERROR(INDEX('Retirement Calculator'!J:J,MATCH('Isaac 401k'!N3349,'Retirement Calculator'!A:A,0),0),0)</f>
        <v>0</v>
      </c>
      <c r="K3349" s="455">
        <f t="shared" ca="1" si="166"/>
        <v>1803312696.8248646</v>
      </c>
      <c r="L3349" s="455">
        <f t="shared" ca="1" si="167"/>
        <v>434598359934.79248</v>
      </c>
      <c r="M3349" s="471">
        <f t="shared" si="169"/>
        <v>0.05</v>
      </c>
      <c r="N3349" s="475">
        <f t="shared" si="170"/>
        <v>152977</v>
      </c>
    </row>
    <row r="3350" spans="7:14" ht="11.25" customHeight="1" x14ac:dyDescent="0.3">
      <c r="G3350" s="470"/>
      <c r="H3350" s="470">
        <v>3343</v>
      </c>
      <c r="I3350" s="455">
        <f t="shared" ca="1" si="168"/>
        <v>434598359934.79248</v>
      </c>
      <c r="J3350" s="455">
        <f t="array" ref="J3350">IFERROR(INDEX('Retirement Calculator'!J:J,MATCH('Isaac 401k'!N3350,'Retirement Calculator'!A:A,0),0),0)</f>
        <v>0</v>
      </c>
      <c r="K3350" s="455">
        <f t="shared" ca="1" si="166"/>
        <v>1810826499.728302</v>
      </c>
      <c r="L3350" s="455">
        <f t="shared" ca="1" si="167"/>
        <v>436409186434.52075</v>
      </c>
      <c r="M3350" s="471">
        <f t="shared" si="169"/>
        <v>0.05</v>
      </c>
      <c r="N3350" s="475">
        <f t="shared" si="170"/>
        <v>153007</v>
      </c>
    </row>
    <row r="3351" spans="7:14" ht="11.25" customHeight="1" x14ac:dyDescent="0.3">
      <c r="G3351" s="470"/>
      <c r="H3351" s="470">
        <v>3344</v>
      </c>
      <c r="I3351" s="455">
        <f t="shared" ca="1" si="168"/>
        <v>436409186434.52075</v>
      </c>
      <c r="J3351" s="455">
        <f t="array" ref="J3351">IFERROR(INDEX('Retirement Calculator'!J:J,MATCH('Isaac 401k'!N3351,'Retirement Calculator'!A:A,0),0),0)</f>
        <v>0</v>
      </c>
      <c r="K3351" s="455">
        <f t="shared" ca="1" si="166"/>
        <v>1818371610.1438363</v>
      </c>
      <c r="L3351" s="455">
        <f t="shared" ca="1" si="167"/>
        <v>438227558044.66461</v>
      </c>
      <c r="M3351" s="471">
        <f t="shared" si="169"/>
        <v>0.05</v>
      </c>
      <c r="N3351" s="475">
        <f t="shared" si="170"/>
        <v>153038</v>
      </c>
    </row>
    <row r="3352" spans="7:14" ht="11.25" customHeight="1" x14ac:dyDescent="0.3">
      <c r="G3352" s="470"/>
      <c r="H3352" s="470">
        <v>3345</v>
      </c>
      <c r="I3352" s="455">
        <f t="shared" ca="1" si="168"/>
        <v>438227558044.66461</v>
      </c>
      <c r="J3352" s="455">
        <f t="array" ref="J3352">IFERROR(INDEX('Retirement Calculator'!J:J,MATCH('Isaac 401k'!N3352,'Retirement Calculator'!A:A,0),0),0)</f>
        <v>0</v>
      </c>
      <c r="K3352" s="455">
        <f t="shared" ca="1" si="166"/>
        <v>1825948158.5194359</v>
      </c>
      <c r="L3352" s="455">
        <f t="shared" ca="1" si="167"/>
        <v>440053506203.18402</v>
      </c>
      <c r="M3352" s="471">
        <f t="shared" si="169"/>
        <v>0.05</v>
      </c>
      <c r="N3352" s="475">
        <f t="shared" si="170"/>
        <v>153069</v>
      </c>
    </row>
    <row r="3353" spans="7:14" ht="11.25" customHeight="1" x14ac:dyDescent="0.3">
      <c r="G3353" s="470"/>
      <c r="H3353" s="470">
        <v>3346</v>
      </c>
      <c r="I3353" s="455">
        <f t="shared" ca="1" si="168"/>
        <v>440053506203.18402</v>
      </c>
      <c r="J3353" s="455">
        <f t="array" ref="J3353">IFERROR(INDEX('Retirement Calculator'!J:J,MATCH('Isaac 401k'!N3353,'Retirement Calculator'!A:A,0),0),0)</f>
        <v>0</v>
      </c>
      <c r="K3353" s="455">
        <f t="shared" ca="1" si="166"/>
        <v>1833556275.8466001</v>
      </c>
      <c r="L3353" s="455">
        <f t="shared" ca="1" si="167"/>
        <v>441887062479.03064</v>
      </c>
      <c r="M3353" s="471">
        <f t="shared" si="169"/>
        <v>0.05</v>
      </c>
      <c r="N3353" s="475">
        <f t="shared" si="170"/>
        <v>153097</v>
      </c>
    </row>
    <row r="3354" spans="7:14" ht="11.25" customHeight="1" x14ac:dyDescent="0.3">
      <c r="G3354" s="470"/>
      <c r="H3354" s="470">
        <v>3347</v>
      </c>
      <c r="I3354" s="455">
        <f t="shared" ca="1" si="168"/>
        <v>441887062479.03064</v>
      </c>
      <c r="J3354" s="455">
        <f t="array" ref="J3354">IFERROR(INDEX('Retirement Calculator'!J:J,MATCH('Isaac 401k'!N3354,'Retirement Calculator'!A:A,0),0),0)</f>
        <v>0</v>
      </c>
      <c r="K3354" s="455">
        <f t="shared" ca="1" si="166"/>
        <v>1841196093.6626277</v>
      </c>
      <c r="L3354" s="455">
        <f t="shared" ca="1" si="167"/>
        <v>443728258572.69324</v>
      </c>
      <c r="M3354" s="471">
        <f t="shared" si="169"/>
        <v>0.05</v>
      </c>
      <c r="N3354" s="475">
        <f t="shared" si="170"/>
        <v>153128</v>
      </c>
    </row>
    <row r="3355" spans="7:14" ht="11.25" customHeight="1" x14ac:dyDescent="0.3">
      <c r="G3355" s="470"/>
      <c r="H3355" s="470">
        <v>3348</v>
      </c>
      <c r="I3355" s="455">
        <f t="shared" ca="1" si="168"/>
        <v>443728258572.69324</v>
      </c>
      <c r="J3355" s="455">
        <f t="array" ref="J3355">IFERROR(INDEX('Retirement Calculator'!J:J,MATCH('Isaac 401k'!N3355,'Retirement Calculator'!A:A,0),0),0)</f>
        <v>0</v>
      </c>
      <c r="K3355" s="455">
        <f t="shared" ca="1" si="166"/>
        <v>1848867744.0528884</v>
      </c>
      <c r="L3355" s="455">
        <f t="shared" ca="1" si="167"/>
        <v>445577126316.74615</v>
      </c>
      <c r="M3355" s="471">
        <f t="shared" si="169"/>
        <v>0.05</v>
      </c>
      <c r="N3355" s="475">
        <f t="shared" si="170"/>
        <v>153158</v>
      </c>
    </row>
    <row r="3356" spans="7:14" ht="11.25" customHeight="1" x14ac:dyDescent="0.3">
      <c r="G3356" s="470"/>
      <c r="H3356" s="470">
        <v>3349</v>
      </c>
      <c r="I3356" s="455">
        <f t="shared" ca="1" si="168"/>
        <v>445577126316.74615</v>
      </c>
      <c r="J3356" s="455">
        <f t="array" ref="J3356">IFERROR(INDEX('Retirement Calculator'!J:J,MATCH('Isaac 401k'!N3356,'Retirement Calculator'!A:A,0),0),0)</f>
        <v>0</v>
      </c>
      <c r="K3356" s="455">
        <f t="shared" ca="1" si="166"/>
        <v>1856571359.6531093</v>
      </c>
      <c r="L3356" s="455">
        <f t="shared" ca="1" si="167"/>
        <v>447433697676.39929</v>
      </c>
      <c r="M3356" s="471">
        <f t="shared" si="169"/>
        <v>0.05</v>
      </c>
      <c r="N3356" s="475">
        <f t="shared" si="170"/>
        <v>153189</v>
      </c>
    </row>
    <row r="3357" spans="7:14" ht="11.25" customHeight="1" x14ac:dyDescent="0.3">
      <c r="G3357" s="470"/>
      <c r="H3357" s="470">
        <v>3350</v>
      </c>
      <c r="I3357" s="455">
        <f t="shared" ca="1" si="168"/>
        <v>447433697676.39929</v>
      </c>
      <c r="J3357" s="455">
        <f t="array" ref="J3357">IFERROR(INDEX('Retirement Calculator'!J:J,MATCH('Isaac 401k'!N3357,'Retirement Calculator'!A:A,0),0),0)</f>
        <v>0</v>
      </c>
      <c r="K3357" s="455">
        <f t="shared" ca="1" si="166"/>
        <v>1864307073.6516638</v>
      </c>
      <c r="L3357" s="455">
        <f t="shared" ca="1" si="167"/>
        <v>449298004750.05096</v>
      </c>
      <c r="M3357" s="471">
        <f t="shared" si="169"/>
        <v>0.05</v>
      </c>
      <c r="N3357" s="475">
        <f t="shared" si="170"/>
        <v>153219</v>
      </c>
    </row>
    <row r="3358" spans="7:14" ht="11.25" customHeight="1" x14ac:dyDescent="0.3">
      <c r="G3358" s="470"/>
      <c r="H3358" s="470">
        <v>3351</v>
      </c>
      <c r="I3358" s="455">
        <f t="shared" ca="1" si="168"/>
        <v>449298004750.05096</v>
      </c>
      <c r="J3358" s="455">
        <f t="array" ref="J3358">IFERROR(INDEX('Retirement Calculator'!J:J,MATCH('Isaac 401k'!N3358,'Retirement Calculator'!A:A,0),0),0)</f>
        <v>0</v>
      </c>
      <c r="K3358" s="455">
        <f t="shared" ca="1" si="166"/>
        <v>1872075019.7918787</v>
      </c>
      <c r="L3358" s="455">
        <f t="shared" ca="1" si="167"/>
        <v>451170079769.84283</v>
      </c>
      <c r="M3358" s="471">
        <f t="shared" si="169"/>
        <v>0.05</v>
      </c>
      <c r="N3358" s="475">
        <f t="shared" si="170"/>
        <v>153250</v>
      </c>
    </row>
    <row r="3359" spans="7:14" ht="11.25" customHeight="1" x14ac:dyDescent="0.3">
      <c r="G3359" s="470"/>
      <c r="H3359" s="470">
        <v>3352</v>
      </c>
      <c r="I3359" s="455">
        <f t="shared" ca="1" si="168"/>
        <v>451170079769.84283</v>
      </c>
      <c r="J3359" s="455">
        <f t="array" ref="J3359">IFERROR(INDEX('Retirement Calculator'!J:J,MATCH('Isaac 401k'!N3359,'Retirement Calculator'!A:A,0),0),0)</f>
        <v>0</v>
      </c>
      <c r="K3359" s="455">
        <f t="shared" ca="1" si="166"/>
        <v>1879875332.3743448</v>
      </c>
      <c r="L3359" s="455">
        <f t="shared" ca="1" si="167"/>
        <v>453049955102.21716</v>
      </c>
      <c r="M3359" s="471">
        <f t="shared" si="169"/>
        <v>0.05</v>
      </c>
      <c r="N3359" s="475">
        <f t="shared" si="170"/>
        <v>153281</v>
      </c>
    </row>
    <row r="3360" spans="7:14" ht="11.25" customHeight="1" x14ac:dyDescent="0.3">
      <c r="G3360" s="470"/>
      <c r="H3360" s="470">
        <v>3353</v>
      </c>
      <c r="I3360" s="455">
        <f t="shared" ca="1" si="168"/>
        <v>453049955102.21716</v>
      </c>
      <c r="J3360" s="455">
        <f t="array" ref="J3360">IFERROR(INDEX('Retirement Calculator'!J:J,MATCH('Isaac 401k'!N3360,'Retirement Calculator'!A:A,0),0),0)</f>
        <v>0</v>
      </c>
      <c r="K3360" s="455">
        <f t="shared" ca="1" si="166"/>
        <v>1887708146.2592382</v>
      </c>
      <c r="L3360" s="455">
        <f t="shared" ca="1" si="167"/>
        <v>454937663248.47638</v>
      </c>
      <c r="M3360" s="471">
        <f t="shared" si="169"/>
        <v>0.05</v>
      </c>
      <c r="N3360" s="475">
        <f t="shared" si="170"/>
        <v>153311</v>
      </c>
    </row>
    <row r="3361" spans="7:14" ht="11.25" customHeight="1" x14ac:dyDescent="0.3">
      <c r="G3361" s="470"/>
      <c r="H3361" s="470">
        <v>3354</v>
      </c>
      <c r="I3361" s="455">
        <f t="shared" ca="1" si="168"/>
        <v>454937663248.47638</v>
      </c>
      <c r="J3361" s="455">
        <f t="array" ref="J3361">IFERROR(INDEX('Retirement Calculator'!J:J,MATCH('Isaac 401k'!N3361,'Retirement Calculator'!A:A,0),0),0)</f>
        <v>0</v>
      </c>
      <c r="K3361" s="455">
        <f t="shared" ca="1" si="166"/>
        <v>1895573596.8686514</v>
      </c>
      <c r="L3361" s="455">
        <f t="shared" ca="1" si="167"/>
        <v>456833236845.34503</v>
      </c>
      <c r="M3361" s="471">
        <f t="shared" si="169"/>
        <v>0.05</v>
      </c>
      <c r="N3361" s="475">
        <f t="shared" si="170"/>
        <v>153342</v>
      </c>
    </row>
    <row r="3362" spans="7:14" ht="11.25" customHeight="1" x14ac:dyDescent="0.3">
      <c r="G3362" s="470"/>
      <c r="H3362" s="470">
        <v>3355</v>
      </c>
      <c r="I3362" s="455">
        <f t="shared" ca="1" si="168"/>
        <v>456833236845.34503</v>
      </c>
      <c r="J3362" s="455">
        <f t="array" ref="J3362">IFERROR(INDEX('Retirement Calculator'!J:J,MATCH('Isaac 401k'!N3362,'Retirement Calculator'!A:A,0),0),0)</f>
        <v>0</v>
      </c>
      <c r="K3362" s="455">
        <f t="shared" ca="1" si="166"/>
        <v>1903471820.1889374</v>
      </c>
      <c r="L3362" s="455">
        <f t="shared" ca="1" si="167"/>
        <v>458736708665.534</v>
      </c>
      <c r="M3362" s="471">
        <f t="shared" si="169"/>
        <v>0.05</v>
      </c>
      <c r="N3362" s="475">
        <f t="shared" si="170"/>
        <v>153372</v>
      </c>
    </row>
    <row r="3363" spans="7:14" ht="11.25" customHeight="1" x14ac:dyDescent="0.3">
      <c r="G3363" s="470"/>
      <c r="H3363" s="470">
        <v>3356</v>
      </c>
      <c r="I3363" s="455">
        <f t="shared" ca="1" si="168"/>
        <v>458736708665.534</v>
      </c>
      <c r="J3363" s="455">
        <f t="array" ref="J3363">IFERROR(INDEX('Retirement Calculator'!J:J,MATCH('Isaac 401k'!N3363,'Retirement Calculator'!A:A,0),0),0)</f>
        <v>0</v>
      </c>
      <c r="K3363" s="455">
        <f t="shared" ca="1" si="166"/>
        <v>1911402952.7730582</v>
      </c>
      <c r="L3363" s="455">
        <f t="shared" ca="1" si="167"/>
        <v>460648111618.30707</v>
      </c>
      <c r="M3363" s="471">
        <f t="shared" si="169"/>
        <v>0.05</v>
      </c>
      <c r="N3363" s="475">
        <f t="shared" si="170"/>
        <v>153403</v>
      </c>
    </row>
    <row r="3364" spans="7:14" ht="11.25" customHeight="1" x14ac:dyDescent="0.3">
      <c r="G3364" s="470"/>
      <c r="H3364" s="470">
        <v>3357</v>
      </c>
      <c r="I3364" s="455">
        <f t="shared" ca="1" si="168"/>
        <v>460648111618.30707</v>
      </c>
      <c r="J3364" s="455">
        <f t="array" ref="J3364">IFERROR(INDEX('Retirement Calculator'!J:J,MATCH('Isaac 401k'!N3364,'Retirement Calculator'!A:A,0),0),0)</f>
        <v>0</v>
      </c>
      <c r="K3364" s="455">
        <f t="shared" ca="1" si="166"/>
        <v>1919367131.7429461</v>
      </c>
      <c r="L3364" s="455">
        <f t="shared" ca="1" si="167"/>
        <v>462567478750.04999</v>
      </c>
      <c r="M3364" s="471">
        <f t="shared" si="169"/>
        <v>0.05</v>
      </c>
      <c r="N3364" s="475">
        <f t="shared" si="170"/>
        <v>153434</v>
      </c>
    </row>
    <row r="3365" spans="7:14" ht="11.25" customHeight="1" x14ac:dyDescent="0.3">
      <c r="G3365" s="470"/>
      <c r="H3365" s="470">
        <v>3358</v>
      </c>
      <c r="I3365" s="455">
        <f t="shared" ca="1" si="168"/>
        <v>462567478750.04999</v>
      </c>
      <c r="J3365" s="455">
        <f t="array" ref="J3365">IFERROR(INDEX('Retirement Calculator'!J:J,MATCH('Isaac 401k'!N3365,'Retirement Calculator'!A:A,0),0),0)</f>
        <v>0</v>
      </c>
      <c r="K3365" s="455">
        <f t="shared" ca="1" si="166"/>
        <v>1927364494.7918751</v>
      </c>
      <c r="L3365" s="455">
        <f t="shared" ca="1" si="167"/>
        <v>464494843244.84186</v>
      </c>
      <c r="M3365" s="471">
        <f t="shared" si="169"/>
        <v>0.05</v>
      </c>
      <c r="N3365" s="475">
        <f t="shared" si="170"/>
        <v>153463</v>
      </c>
    </row>
    <row r="3366" spans="7:14" ht="11.25" customHeight="1" x14ac:dyDescent="0.3">
      <c r="G3366" s="470"/>
      <c r="H3366" s="470">
        <v>3359</v>
      </c>
      <c r="I3366" s="455">
        <f t="shared" ca="1" si="168"/>
        <v>464494843244.84186</v>
      </c>
      <c r="J3366" s="455">
        <f t="array" ref="J3366">IFERROR(INDEX('Retirement Calculator'!J:J,MATCH('Isaac 401k'!N3366,'Retirement Calculator'!A:A,0),0),0)</f>
        <v>0</v>
      </c>
      <c r="K3366" s="455">
        <f t="shared" ca="1" si="166"/>
        <v>1935395180.186841</v>
      </c>
      <c r="L3366" s="455">
        <f t="shared" ca="1" si="167"/>
        <v>466430238425.02869</v>
      </c>
      <c r="M3366" s="471">
        <f t="shared" si="169"/>
        <v>0.05</v>
      </c>
      <c r="N3366" s="475">
        <f t="shared" si="170"/>
        <v>153494</v>
      </c>
    </row>
    <row r="3367" spans="7:14" ht="11.25" customHeight="1" x14ac:dyDescent="0.3">
      <c r="G3367" s="470"/>
      <c r="H3367" s="470">
        <v>3360</v>
      </c>
      <c r="I3367" s="455">
        <f t="shared" ca="1" si="168"/>
        <v>466430238425.02869</v>
      </c>
      <c r="J3367" s="455">
        <f t="array" ref="J3367">IFERROR(INDEX('Retirement Calculator'!J:J,MATCH('Isaac 401k'!N3367,'Retirement Calculator'!A:A,0),0),0)</f>
        <v>0</v>
      </c>
      <c r="K3367" s="455">
        <f t="shared" ca="1" si="166"/>
        <v>1943459326.7709532</v>
      </c>
      <c r="L3367" s="455">
        <f t="shared" ca="1" si="167"/>
        <v>468373697751.79962</v>
      </c>
      <c r="M3367" s="471">
        <f t="shared" si="169"/>
        <v>0.05</v>
      </c>
      <c r="N3367" s="475">
        <f t="shared" si="170"/>
        <v>153524</v>
      </c>
    </row>
    <row r="3368" spans="7:14" ht="11.25" customHeight="1" x14ac:dyDescent="0.3">
      <c r="G3368" s="470"/>
      <c r="H3368" s="470">
        <v>3361</v>
      </c>
      <c r="I3368" s="455">
        <f t="shared" ca="1" si="168"/>
        <v>468373697751.79962</v>
      </c>
      <c r="J3368" s="455">
        <f t="array" ref="J3368">IFERROR(INDEX('Retirement Calculator'!J:J,MATCH('Isaac 401k'!N3368,'Retirement Calculator'!A:A,0),0),0)</f>
        <v>0</v>
      </c>
      <c r="K3368" s="455">
        <f t="shared" ca="1" si="166"/>
        <v>1951557073.9658318</v>
      </c>
      <c r="L3368" s="455">
        <f t="shared" ca="1" si="167"/>
        <v>470325254825.76544</v>
      </c>
      <c r="M3368" s="471">
        <f t="shared" si="169"/>
        <v>0.05</v>
      </c>
      <c r="N3368" s="475">
        <f t="shared" si="170"/>
        <v>153555</v>
      </c>
    </row>
    <row r="3369" spans="7:14" ht="11.25" customHeight="1" x14ac:dyDescent="0.3">
      <c r="G3369" s="470"/>
      <c r="H3369" s="470">
        <v>3362</v>
      </c>
      <c r="I3369" s="455">
        <f t="shared" ca="1" si="168"/>
        <v>470325254825.76544</v>
      </c>
      <c r="J3369" s="455">
        <f t="array" ref="J3369">IFERROR(INDEX('Retirement Calculator'!J:J,MATCH('Isaac 401k'!N3369,'Retirement Calculator'!A:A,0),0),0)</f>
        <v>0</v>
      </c>
      <c r="K3369" s="455">
        <f t="shared" ca="1" si="166"/>
        <v>1959688561.7740228</v>
      </c>
      <c r="L3369" s="455">
        <f t="shared" ca="1" si="167"/>
        <v>472284943387.53949</v>
      </c>
      <c r="M3369" s="471">
        <f t="shared" si="169"/>
        <v>0.05</v>
      </c>
      <c r="N3369" s="475">
        <f t="shared" si="170"/>
        <v>153585</v>
      </c>
    </row>
    <row r="3370" spans="7:14" ht="11.25" customHeight="1" x14ac:dyDescent="0.3">
      <c r="G3370" s="470"/>
      <c r="H3370" s="470">
        <v>3363</v>
      </c>
      <c r="I3370" s="455">
        <f t="shared" ca="1" si="168"/>
        <v>472284943387.53949</v>
      </c>
      <c r="J3370" s="455">
        <f t="array" ref="J3370">IFERROR(INDEX('Retirement Calculator'!J:J,MATCH('Isaac 401k'!N3370,'Retirement Calculator'!A:A,0),0),0)</f>
        <v>0</v>
      </c>
      <c r="K3370" s="455">
        <f t="shared" ca="1" si="166"/>
        <v>1967853930.7814145</v>
      </c>
      <c r="L3370" s="455">
        <f t="shared" ca="1" si="167"/>
        <v>474252797318.32092</v>
      </c>
      <c r="M3370" s="471">
        <f t="shared" si="169"/>
        <v>0.05</v>
      </c>
      <c r="N3370" s="475">
        <f t="shared" si="170"/>
        <v>153616</v>
      </c>
    </row>
    <row r="3371" spans="7:14" ht="11.25" customHeight="1" x14ac:dyDescent="0.3">
      <c r="G3371" s="470"/>
      <c r="H3371" s="470">
        <v>3364</v>
      </c>
      <c r="I3371" s="455">
        <f t="shared" ca="1" si="168"/>
        <v>474252797318.32092</v>
      </c>
      <c r="J3371" s="455">
        <f t="array" ref="J3371">IFERROR(INDEX('Retirement Calculator'!J:J,MATCH('Isaac 401k'!N3371,'Retirement Calculator'!A:A,0),0),0)</f>
        <v>0</v>
      </c>
      <c r="K3371" s="455">
        <f t="shared" ca="1" si="166"/>
        <v>1976053322.1596701</v>
      </c>
      <c r="L3371" s="455">
        <f t="shared" ca="1" si="167"/>
        <v>476228850640.48059</v>
      </c>
      <c r="M3371" s="471">
        <f t="shared" si="169"/>
        <v>0.05</v>
      </c>
      <c r="N3371" s="475">
        <f t="shared" si="170"/>
        <v>153647</v>
      </c>
    </row>
    <row r="3372" spans="7:14" ht="11.25" customHeight="1" x14ac:dyDescent="0.3">
      <c r="G3372" s="470"/>
      <c r="H3372" s="470">
        <v>3365</v>
      </c>
      <c r="I3372" s="455">
        <f t="shared" ca="1" si="168"/>
        <v>476228850640.48059</v>
      </c>
      <c r="J3372" s="455">
        <f t="array" ref="J3372">IFERROR(INDEX('Retirement Calculator'!J:J,MATCH('Isaac 401k'!N3372,'Retirement Calculator'!A:A,0),0),0)</f>
        <v>0</v>
      </c>
      <c r="K3372" s="455">
        <f t="shared" ca="1" si="166"/>
        <v>1984286877.668669</v>
      </c>
      <c r="L3372" s="455">
        <f t="shared" ca="1" si="167"/>
        <v>478213137518.14923</v>
      </c>
      <c r="M3372" s="471">
        <f t="shared" si="169"/>
        <v>0.05</v>
      </c>
      <c r="N3372" s="475">
        <f t="shared" si="170"/>
        <v>153677</v>
      </c>
    </row>
    <row r="3373" spans="7:14" ht="11.25" customHeight="1" x14ac:dyDescent="0.3">
      <c r="G3373" s="470"/>
      <c r="H3373" s="470">
        <v>3366</v>
      </c>
      <c r="I3373" s="455">
        <f t="shared" ca="1" si="168"/>
        <v>478213137518.14923</v>
      </c>
      <c r="J3373" s="455">
        <f t="array" ref="J3373">IFERROR(INDEX('Retirement Calculator'!J:J,MATCH('Isaac 401k'!N3373,'Retirement Calculator'!A:A,0),0),0)</f>
        <v>0</v>
      </c>
      <c r="K3373" s="455">
        <f t="shared" ca="1" si="166"/>
        <v>1992554739.6589553</v>
      </c>
      <c r="L3373" s="455">
        <f t="shared" ca="1" si="167"/>
        <v>480205692257.80817</v>
      </c>
      <c r="M3373" s="471">
        <f t="shared" si="169"/>
        <v>0.05</v>
      </c>
      <c r="N3373" s="475">
        <f t="shared" si="170"/>
        <v>153708</v>
      </c>
    </row>
    <row r="3374" spans="7:14" ht="11.25" customHeight="1" x14ac:dyDescent="0.3">
      <c r="G3374" s="470"/>
      <c r="H3374" s="470">
        <v>3367</v>
      </c>
      <c r="I3374" s="455">
        <f t="shared" ca="1" si="168"/>
        <v>480205692257.80817</v>
      </c>
      <c r="J3374" s="455">
        <f t="array" ref="J3374">IFERROR(INDEX('Retirement Calculator'!J:J,MATCH('Isaac 401k'!N3374,'Retirement Calculator'!A:A,0),0),0)</f>
        <v>0</v>
      </c>
      <c r="K3374" s="455">
        <f t="shared" ca="1" si="166"/>
        <v>2000857051.0742006</v>
      </c>
      <c r="L3374" s="455">
        <f t="shared" ca="1" si="167"/>
        <v>482206549308.88239</v>
      </c>
      <c r="M3374" s="471">
        <f t="shared" si="169"/>
        <v>0.05</v>
      </c>
      <c r="N3374" s="475">
        <f t="shared" si="170"/>
        <v>153738</v>
      </c>
    </row>
    <row r="3375" spans="7:14" ht="11.25" customHeight="1" x14ac:dyDescent="0.3">
      <c r="G3375" s="470"/>
      <c r="H3375" s="470">
        <v>3368</v>
      </c>
      <c r="I3375" s="455">
        <f t="shared" ca="1" si="168"/>
        <v>482206549308.88239</v>
      </c>
      <c r="J3375" s="455">
        <f t="array" ref="J3375">IFERROR(INDEX('Retirement Calculator'!J:J,MATCH('Isaac 401k'!N3375,'Retirement Calculator'!A:A,0),0),0)</f>
        <v>0</v>
      </c>
      <c r="K3375" s="455">
        <f t="shared" ca="1" si="166"/>
        <v>2009193955.4536762</v>
      </c>
      <c r="L3375" s="455">
        <f t="shared" ca="1" si="167"/>
        <v>484215743264.33606</v>
      </c>
      <c r="M3375" s="471">
        <f t="shared" si="169"/>
        <v>0.05</v>
      </c>
      <c r="N3375" s="475">
        <f t="shared" si="170"/>
        <v>153769</v>
      </c>
    </row>
    <row r="3376" spans="7:14" ht="11.25" customHeight="1" x14ac:dyDescent="0.3">
      <c r="G3376" s="470"/>
      <c r="H3376" s="470">
        <v>3369</v>
      </c>
      <c r="I3376" s="455">
        <f t="shared" ca="1" si="168"/>
        <v>484215743264.33606</v>
      </c>
      <c r="J3376" s="455">
        <f t="array" ref="J3376">IFERROR(INDEX('Retirement Calculator'!J:J,MATCH('Isaac 401k'!N3376,'Retirement Calculator'!A:A,0),0),0)</f>
        <v>0</v>
      </c>
      <c r="K3376" s="455">
        <f t="shared" ca="1" si="166"/>
        <v>2017565596.9347336</v>
      </c>
      <c r="L3376" s="455">
        <f t="shared" ca="1" si="167"/>
        <v>486233308861.27081</v>
      </c>
      <c r="M3376" s="471">
        <f t="shared" si="169"/>
        <v>0.05</v>
      </c>
      <c r="N3376" s="475">
        <f t="shared" si="170"/>
        <v>153800</v>
      </c>
    </row>
    <row r="3377" spans="7:14" ht="11.25" customHeight="1" x14ac:dyDescent="0.3">
      <c r="G3377" s="470"/>
      <c r="H3377" s="470">
        <v>3370</v>
      </c>
      <c r="I3377" s="455">
        <f t="shared" ca="1" si="168"/>
        <v>486233308861.27081</v>
      </c>
      <c r="J3377" s="455">
        <f t="array" ref="J3377">IFERROR(INDEX('Retirement Calculator'!J:J,MATCH('Isaac 401k'!N3377,'Retirement Calculator'!A:A,0),0),0)</f>
        <v>0</v>
      </c>
      <c r="K3377" s="455">
        <f t="shared" ca="1" si="166"/>
        <v>2025972120.255295</v>
      </c>
      <c r="L3377" s="455">
        <f t="shared" ca="1" si="167"/>
        <v>488259280981.52612</v>
      </c>
      <c r="M3377" s="471">
        <f t="shared" si="169"/>
        <v>0.05</v>
      </c>
      <c r="N3377" s="475">
        <f t="shared" si="170"/>
        <v>153828</v>
      </c>
    </row>
    <row r="3378" spans="7:14" ht="11.25" customHeight="1" x14ac:dyDescent="0.3">
      <c r="G3378" s="470"/>
      <c r="H3378" s="470">
        <v>3371</v>
      </c>
      <c r="I3378" s="455">
        <f t="shared" ca="1" si="168"/>
        <v>488259280981.52612</v>
      </c>
      <c r="J3378" s="455">
        <f t="array" ref="J3378">IFERROR(INDEX('Retirement Calculator'!J:J,MATCH('Isaac 401k'!N3378,'Retirement Calculator'!A:A,0),0),0)</f>
        <v>0</v>
      </c>
      <c r="K3378" s="455">
        <f t="shared" ca="1" si="166"/>
        <v>2034413670.7563586</v>
      </c>
      <c r="L3378" s="455">
        <f t="shared" ca="1" si="167"/>
        <v>490293694652.28247</v>
      </c>
      <c r="M3378" s="471">
        <f t="shared" si="169"/>
        <v>0.05</v>
      </c>
      <c r="N3378" s="475">
        <f t="shared" si="170"/>
        <v>153859</v>
      </c>
    </row>
    <row r="3379" spans="7:14" ht="11.25" customHeight="1" x14ac:dyDescent="0.3">
      <c r="G3379" s="470"/>
      <c r="H3379" s="470">
        <v>3372</v>
      </c>
      <c r="I3379" s="455">
        <f t="shared" ca="1" si="168"/>
        <v>490293694652.28247</v>
      </c>
      <c r="J3379" s="455">
        <f t="array" ref="J3379">IFERROR(INDEX('Retirement Calculator'!J:J,MATCH('Isaac 401k'!N3379,'Retirement Calculator'!A:A,0),0),0)</f>
        <v>0</v>
      </c>
      <c r="K3379" s="455">
        <f t="shared" ca="1" si="166"/>
        <v>2042890394.38451</v>
      </c>
      <c r="L3379" s="455">
        <f t="shared" ca="1" si="167"/>
        <v>492336585046.66699</v>
      </c>
      <c r="M3379" s="471">
        <f t="shared" si="169"/>
        <v>0.05</v>
      </c>
      <c r="N3379" s="475">
        <f t="shared" si="170"/>
        <v>153889</v>
      </c>
    </row>
    <row r="3380" spans="7:14" ht="11.25" customHeight="1" x14ac:dyDescent="0.3">
      <c r="G3380" s="470"/>
      <c r="H3380" s="470">
        <v>3373</v>
      </c>
      <c r="I3380" s="455">
        <f t="shared" ca="1" si="168"/>
        <v>492336585046.66699</v>
      </c>
      <c r="J3380" s="455">
        <f t="array" ref="J3380">IFERROR(INDEX('Retirement Calculator'!J:J,MATCH('Isaac 401k'!N3380,'Retirement Calculator'!A:A,0),0),0)</f>
        <v>0</v>
      </c>
      <c r="K3380" s="455">
        <f t="shared" ca="1" si="166"/>
        <v>2051402437.6944461</v>
      </c>
      <c r="L3380" s="455">
        <f t="shared" ca="1" si="167"/>
        <v>494387987484.36145</v>
      </c>
      <c r="M3380" s="471">
        <f t="shared" si="169"/>
        <v>0.05</v>
      </c>
      <c r="N3380" s="475">
        <f t="shared" si="170"/>
        <v>153920</v>
      </c>
    </row>
    <row r="3381" spans="7:14" ht="11.25" customHeight="1" x14ac:dyDescent="0.3">
      <c r="G3381" s="470"/>
      <c r="H3381" s="470">
        <v>3374</v>
      </c>
      <c r="I3381" s="455">
        <f t="shared" ca="1" si="168"/>
        <v>494387987484.36145</v>
      </c>
      <c r="J3381" s="455">
        <f t="array" ref="J3381">IFERROR(INDEX('Retirement Calculator'!J:J,MATCH('Isaac 401k'!N3381,'Retirement Calculator'!A:A,0),0),0)</f>
        <v>0</v>
      </c>
      <c r="K3381" s="455">
        <f t="shared" ca="1" si="166"/>
        <v>2059949947.851506</v>
      </c>
      <c r="L3381" s="455">
        <f t="shared" ca="1" si="167"/>
        <v>496447937432.21295</v>
      </c>
      <c r="M3381" s="471">
        <f t="shared" si="169"/>
        <v>0.05</v>
      </c>
      <c r="N3381" s="475">
        <f t="shared" si="170"/>
        <v>153950</v>
      </c>
    </row>
    <row r="3382" spans="7:14" ht="11.25" customHeight="1" x14ac:dyDescent="0.3">
      <c r="G3382" s="470"/>
      <c r="H3382" s="470">
        <v>3375</v>
      </c>
      <c r="I3382" s="455">
        <f t="shared" ca="1" si="168"/>
        <v>496447937432.21295</v>
      </c>
      <c r="J3382" s="455">
        <f t="array" ref="J3382">IFERROR(INDEX('Retirement Calculator'!J:J,MATCH('Isaac 401k'!N3382,'Retirement Calculator'!A:A,0),0),0)</f>
        <v>0</v>
      </c>
      <c r="K3382" s="455">
        <f t="shared" ca="1" si="166"/>
        <v>2068533072.6342204</v>
      </c>
      <c r="L3382" s="455">
        <f t="shared" ca="1" si="167"/>
        <v>498516470504.84717</v>
      </c>
      <c r="M3382" s="471">
        <f t="shared" si="169"/>
        <v>0.05</v>
      </c>
      <c r="N3382" s="475">
        <f t="shared" si="170"/>
        <v>153981</v>
      </c>
    </row>
    <row r="3383" spans="7:14" ht="11.25" customHeight="1" x14ac:dyDescent="0.3">
      <c r="G3383" s="470"/>
      <c r="H3383" s="470">
        <v>3376</v>
      </c>
      <c r="I3383" s="455">
        <f t="shared" ca="1" si="168"/>
        <v>498516470504.84717</v>
      </c>
      <c r="J3383" s="455">
        <f t="array" ref="J3383">IFERROR(INDEX('Retirement Calculator'!J:J,MATCH('Isaac 401k'!N3383,'Retirement Calculator'!A:A,0),0),0)</f>
        <v>0</v>
      </c>
      <c r="K3383" s="455">
        <f t="shared" ca="1" si="166"/>
        <v>2077151960.4368632</v>
      </c>
      <c r="L3383" s="455">
        <f t="shared" ca="1" si="167"/>
        <v>500593622465.28406</v>
      </c>
      <c r="M3383" s="471">
        <f t="shared" si="169"/>
        <v>0.05</v>
      </c>
      <c r="N3383" s="475">
        <f t="shared" si="170"/>
        <v>154012</v>
      </c>
    </row>
    <row r="3384" spans="7:14" ht="11.25" customHeight="1" x14ac:dyDescent="0.3">
      <c r="G3384" s="470"/>
      <c r="H3384" s="470">
        <v>3377</v>
      </c>
      <c r="I3384" s="455">
        <f t="shared" ca="1" si="168"/>
        <v>500593622465.28406</v>
      </c>
      <c r="J3384" s="455">
        <f t="array" ref="J3384">IFERROR(INDEX('Retirement Calculator'!J:J,MATCH('Isaac 401k'!N3384,'Retirement Calculator'!A:A,0),0),0)</f>
        <v>0</v>
      </c>
      <c r="K3384" s="455">
        <f t="shared" ca="1" si="166"/>
        <v>2085806760.2720168</v>
      </c>
      <c r="L3384" s="455">
        <f t="shared" ca="1" si="167"/>
        <v>502679429225.55609</v>
      </c>
      <c r="M3384" s="471">
        <f t="shared" si="169"/>
        <v>0.05</v>
      </c>
      <c r="N3384" s="475">
        <f t="shared" si="170"/>
        <v>154042</v>
      </c>
    </row>
    <row r="3385" spans="7:14" ht="11.25" customHeight="1" x14ac:dyDescent="0.3">
      <c r="G3385" s="470"/>
      <c r="H3385" s="470">
        <v>3378</v>
      </c>
      <c r="I3385" s="455">
        <f t="shared" ca="1" si="168"/>
        <v>502679429225.55609</v>
      </c>
      <c r="J3385" s="455">
        <f t="array" ref="J3385">IFERROR(INDEX('Retirement Calculator'!J:J,MATCH('Isaac 401k'!N3385,'Retirement Calculator'!A:A,0),0),0)</f>
        <v>0</v>
      </c>
      <c r="K3385" s="455">
        <f t="shared" ca="1" si="166"/>
        <v>2094497621.7731504</v>
      </c>
      <c r="L3385" s="455">
        <f t="shared" ca="1" si="167"/>
        <v>504773926847.32922</v>
      </c>
      <c r="M3385" s="471">
        <f t="shared" si="169"/>
        <v>0.05</v>
      </c>
      <c r="N3385" s="475">
        <f t="shared" si="170"/>
        <v>154073</v>
      </c>
    </row>
    <row r="3386" spans="7:14" ht="11.25" customHeight="1" x14ac:dyDescent="0.3">
      <c r="G3386" s="470"/>
      <c r="H3386" s="470">
        <v>3379</v>
      </c>
      <c r="I3386" s="455">
        <f t="shared" ca="1" si="168"/>
        <v>504773926847.32922</v>
      </c>
      <c r="J3386" s="455">
        <f t="array" ref="J3386">IFERROR(INDEX('Retirement Calculator'!J:J,MATCH('Isaac 401k'!N3386,'Retirement Calculator'!A:A,0),0),0)</f>
        <v>0</v>
      </c>
      <c r="K3386" s="455">
        <f t="shared" ca="1" si="166"/>
        <v>2103224695.1972051</v>
      </c>
      <c r="L3386" s="455">
        <f t="shared" ca="1" si="167"/>
        <v>506877151542.52643</v>
      </c>
      <c r="M3386" s="471">
        <f t="shared" si="169"/>
        <v>0.05</v>
      </c>
      <c r="N3386" s="475">
        <f t="shared" si="170"/>
        <v>154103</v>
      </c>
    </row>
    <row r="3387" spans="7:14" ht="11.25" customHeight="1" x14ac:dyDescent="0.3">
      <c r="G3387" s="470"/>
      <c r="H3387" s="470">
        <v>3380</v>
      </c>
      <c r="I3387" s="455">
        <f t="shared" ca="1" si="168"/>
        <v>506877151542.52643</v>
      </c>
      <c r="J3387" s="455">
        <f t="array" ref="J3387">IFERROR(INDEX('Retirement Calculator'!J:J,MATCH('Isaac 401k'!N3387,'Retirement Calculator'!A:A,0),0),0)</f>
        <v>0</v>
      </c>
      <c r="K3387" s="455">
        <f t="shared" ca="1" si="166"/>
        <v>2111988131.4271934</v>
      </c>
      <c r="L3387" s="455">
        <f t="shared" ca="1" si="167"/>
        <v>508989139673.95361</v>
      </c>
      <c r="M3387" s="471">
        <f t="shared" si="169"/>
        <v>0.05</v>
      </c>
      <c r="N3387" s="475">
        <f t="shared" si="170"/>
        <v>154134</v>
      </c>
    </row>
    <row r="3388" spans="7:14" ht="11.25" customHeight="1" x14ac:dyDescent="0.3">
      <c r="G3388" s="470"/>
      <c r="H3388" s="470">
        <v>3381</v>
      </c>
      <c r="I3388" s="455">
        <f t="shared" ca="1" si="168"/>
        <v>508989139673.95361</v>
      </c>
      <c r="J3388" s="455">
        <f t="array" ref="J3388">IFERROR(INDEX('Retirement Calculator'!J:J,MATCH('Isaac 401k'!N3388,'Retirement Calculator'!A:A,0),0),0)</f>
        <v>0</v>
      </c>
      <c r="K3388" s="455">
        <f t="shared" ca="1" si="166"/>
        <v>2120788081.9748068</v>
      </c>
      <c r="L3388" s="455">
        <f t="shared" ca="1" si="167"/>
        <v>511109927755.92841</v>
      </c>
      <c r="M3388" s="471">
        <f t="shared" si="169"/>
        <v>0.05</v>
      </c>
      <c r="N3388" s="475">
        <f t="shared" si="170"/>
        <v>154165</v>
      </c>
    </row>
    <row r="3389" spans="7:14" ht="11.25" customHeight="1" x14ac:dyDescent="0.3">
      <c r="G3389" s="470"/>
      <c r="H3389" s="470">
        <v>3382</v>
      </c>
      <c r="I3389" s="455">
        <f t="shared" ca="1" si="168"/>
        <v>511109927755.92841</v>
      </c>
      <c r="J3389" s="455">
        <f t="array" ref="J3389">IFERROR(INDEX('Retirement Calculator'!J:J,MATCH('Isaac 401k'!N3389,'Retirement Calculator'!A:A,0),0),0)</f>
        <v>0</v>
      </c>
      <c r="K3389" s="455">
        <f t="shared" ca="1" si="166"/>
        <v>2129624698.9830353</v>
      </c>
      <c r="L3389" s="455">
        <f t="shared" ca="1" si="167"/>
        <v>513239552454.91144</v>
      </c>
      <c r="M3389" s="471">
        <f t="shared" si="169"/>
        <v>0.05</v>
      </c>
      <c r="N3389" s="475">
        <f t="shared" si="170"/>
        <v>154193</v>
      </c>
    </row>
    <row r="3390" spans="7:14" ht="11.25" customHeight="1" x14ac:dyDescent="0.3">
      <c r="G3390" s="470"/>
      <c r="H3390" s="470">
        <v>3383</v>
      </c>
      <c r="I3390" s="455">
        <f t="shared" ca="1" si="168"/>
        <v>513239552454.91144</v>
      </c>
      <c r="J3390" s="455">
        <f t="array" ref="J3390">IFERROR(INDEX('Retirement Calculator'!J:J,MATCH('Isaac 401k'!N3390,'Retirement Calculator'!A:A,0),0),0)</f>
        <v>0</v>
      </c>
      <c r="K3390" s="455">
        <f t="shared" ca="1" si="166"/>
        <v>2138498135.2287977</v>
      </c>
      <c r="L3390" s="455">
        <f t="shared" ca="1" si="167"/>
        <v>515378050590.14026</v>
      </c>
      <c r="M3390" s="471">
        <f t="shared" si="169"/>
        <v>0.05</v>
      </c>
      <c r="N3390" s="475">
        <f t="shared" si="170"/>
        <v>154224</v>
      </c>
    </row>
    <row r="3391" spans="7:14" ht="11.25" customHeight="1" x14ac:dyDescent="0.3">
      <c r="G3391" s="470"/>
      <c r="H3391" s="470">
        <v>3384</v>
      </c>
      <c r="I3391" s="455">
        <f t="shared" ca="1" si="168"/>
        <v>515378050590.14026</v>
      </c>
      <c r="J3391" s="455">
        <f t="array" ref="J3391">IFERROR(INDEX('Retirement Calculator'!J:J,MATCH('Isaac 401k'!N3391,'Retirement Calculator'!A:A,0),0),0)</f>
        <v>0</v>
      </c>
      <c r="K3391" s="455">
        <f t="shared" ca="1" si="166"/>
        <v>2147408544.1255846</v>
      </c>
      <c r="L3391" s="455">
        <f t="shared" ca="1" si="167"/>
        <v>517525459134.26587</v>
      </c>
      <c r="M3391" s="471">
        <f t="shared" si="169"/>
        <v>0.05</v>
      </c>
      <c r="N3391" s="475">
        <f t="shared" si="170"/>
        <v>154254</v>
      </c>
    </row>
    <row r="3392" spans="7:14" ht="11.25" customHeight="1" x14ac:dyDescent="0.3">
      <c r="G3392" s="470"/>
      <c r="H3392" s="470">
        <v>3385</v>
      </c>
      <c r="I3392" s="455">
        <f t="shared" ca="1" si="168"/>
        <v>517525459134.26587</v>
      </c>
      <c r="J3392" s="455">
        <f t="array" ref="J3392">IFERROR(INDEX('Retirement Calculator'!J:J,MATCH('Isaac 401k'!N3392,'Retirement Calculator'!A:A,0),0),0)</f>
        <v>0</v>
      </c>
      <c r="K3392" s="455">
        <f t="shared" ca="1" si="166"/>
        <v>2156356079.7261076</v>
      </c>
      <c r="L3392" s="455">
        <f t="shared" ca="1" si="167"/>
        <v>519681815213.992</v>
      </c>
      <c r="M3392" s="471">
        <f t="shared" si="169"/>
        <v>0.05</v>
      </c>
      <c r="N3392" s="475">
        <f t="shared" si="170"/>
        <v>154285</v>
      </c>
    </row>
    <row r="3393" spans="7:14" ht="11.25" customHeight="1" x14ac:dyDescent="0.3">
      <c r="G3393" s="470"/>
      <c r="H3393" s="470">
        <v>3386</v>
      </c>
      <c r="I3393" s="455">
        <f t="shared" ca="1" si="168"/>
        <v>519681815213.992</v>
      </c>
      <c r="J3393" s="455">
        <f t="array" ref="J3393">IFERROR(INDEX('Retirement Calculator'!J:J,MATCH('Isaac 401k'!N3393,'Retirement Calculator'!A:A,0),0),0)</f>
        <v>0</v>
      </c>
      <c r="K3393" s="455">
        <f t="shared" ca="1" si="166"/>
        <v>2165340896.7249665</v>
      </c>
      <c r="L3393" s="455">
        <f t="shared" ca="1" si="167"/>
        <v>521847156110.71698</v>
      </c>
      <c r="M3393" s="471">
        <f t="shared" si="169"/>
        <v>0.05</v>
      </c>
      <c r="N3393" s="475">
        <f t="shared" si="170"/>
        <v>154315</v>
      </c>
    </row>
    <row r="3394" spans="7:14" ht="11.25" customHeight="1" x14ac:dyDescent="0.3">
      <c r="G3394" s="470"/>
      <c r="H3394" s="470">
        <v>3387</v>
      </c>
      <c r="I3394" s="455">
        <f t="shared" ca="1" si="168"/>
        <v>521847156110.71698</v>
      </c>
      <c r="J3394" s="455">
        <f t="array" ref="J3394">IFERROR(INDEX('Retirement Calculator'!J:J,MATCH('Isaac 401k'!N3394,'Retirement Calculator'!A:A,0),0),0)</f>
        <v>0</v>
      </c>
      <c r="K3394" s="455">
        <f t="shared" ca="1" si="166"/>
        <v>2174363150.4613204</v>
      </c>
      <c r="L3394" s="455">
        <f t="shared" ca="1" si="167"/>
        <v>524021519261.17828</v>
      </c>
      <c r="M3394" s="471">
        <f t="shared" si="169"/>
        <v>0.05</v>
      </c>
      <c r="N3394" s="475">
        <f t="shared" si="170"/>
        <v>154346</v>
      </c>
    </row>
    <row r="3395" spans="7:14" ht="11.25" customHeight="1" x14ac:dyDescent="0.3">
      <c r="G3395" s="470"/>
      <c r="H3395" s="470">
        <v>3388</v>
      </c>
      <c r="I3395" s="455">
        <f t="shared" ca="1" si="168"/>
        <v>524021519261.17828</v>
      </c>
      <c r="J3395" s="455">
        <f t="array" ref="J3395">IFERROR(INDEX('Retirement Calculator'!J:J,MATCH('Isaac 401k'!N3395,'Retirement Calculator'!A:A,0),0),0)</f>
        <v>0</v>
      </c>
      <c r="K3395" s="455">
        <f t="shared" ca="1" si="166"/>
        <v>2183422996.921576</v>
      </c>
      <c r="L3395" s="455">
        <f t="shared" ca="1" si="167"/>
        <v>526204942258.09985</v>
      </c>
      <c r="M3395" s="471">
        <f t="shared" si="169"/>
        <v>0.05</v>
      </c>
      <c r="N3395" s="475">
        <f t="shared" si="170"/>
        <v>154377</v>
      </c>
    </row>
    <row r="3396" spans="7:14" ht="11.25" customHeight="1" x14ac:dyDescent="0.3">
      <c r="G3396" s="470"/>
      <c r="H3396" s="470">
        <v>3389</v>
      </c>
      <c r="I3396" s="455">
        <f t="shared" ca="1" si="168"/>
        <v>526204942258.09985</v>
      </c>
      <c r="J3396" s="455">
        <f t="array" ref="J3396">IFERROR(INDEX('Retirement Calculator'!J:J,MATCH('Isaac 401k'!N3396,'Retirement Calculator'!A:A,0),0),0)</f>
        <v>0</v>
      </c>
      <c r="K3396" s="455">
        <f t="shared" ca="1" si="166"/>
        <v>2192520592.7420826</v>
      </c>
      <c r="L3396" s="455">
        <f t="shared" ca="1" si="167"/>
        <v>528397462850.84192</v>
      </c>
      <c r="M3396" s="471">
        <f t="shared" si="169"/>
        <v>0.05</v>
      </c>
      <c r="N3396" s="475">
        <f t="shared" si="170"/>
        <v>154407</v>
      </c>
    </row>
    <row r="3397" spans="7:14" ht="11.25" customHeight="1" x14ac:dyDescent="0.3">
      <c r="G3397" s="470"/>
      <c r="H3397" s="470">
        <v>3390</v>
      </c>
      <c r="I3397" s="455">
        <f t="shared" ca="1" si="168"/>
        <v>528397462850.84192</v>
      </c>
      <c r="J3397" s="455">
        <f t="array" ref="J3397">IFERROR(INDEX('Retirement Calculator'!J:J,MATCH('Isaac 401k'!N3397,'Retirement Calculator'!A:A,0),0),0)</f>
        <v>0</v>
      </c>
      <c r="K3397" s="455">
        <f t="shared" ca="1" si="166"/>
        <v>2201656095.2118411</v>
      </c>
      <c r="L3397" s="455">
        <f t="shared" ca="1" si="167"/>
        <v>530599118946.05377</v>
      </c>
      <c r="M3397" s="471">
        <f t="shared" si="169"/>
        <v>0.05</v>
      </c>
      <c r="N3397" s="475">
        <f t="shared" si="170"/>
        <v>154438</v>
      </c>
    </row>
    <row r="3398" spans="7:14" ht="11.25" customHeight="1" x14ac:dyDescent="0.3">
      <c r="G3398" s="470"/>
      <c r="H3398" s="470">
        <v>3391</v>
      </c>
      <c r="I3398" s="455">
        <f t="shared" ca="1" si="168"/>
        <v>530599118946.05377</v>
      </c>
      <c r="J3398" s="455">
        <f t="array" ref="J3398">IFERROR(INDEX('Retirement Calculator'!J:J,MATCH('Isaac 401k'!N3398,'Retirement Calculator'!A:A,0),0),0)</f>
        <v>0</v>
      </c>
      <c r="K3398" s="455">
        <f t="shared" ca="1" si="166"/>
        <v>2210829662.2752242</v>
      </c>
      <c r="L3398" s="455">
        <f t="shared" ca="1" si="167"/>
        <v>532809948608.32898</v>
      </c>
      <c r="M3398" s="471">
        <f t="shared" si="169"/>
        <v>0.05</v>
      </c>
      <c r="N3398" s="475">
        <f t="shared" si="170"/>
        <v>154468</v>
      </c>
    </row>
    <row r="3399" spans="7:14" ht="11.25" customHeight="1" x14ac:dyDescent="0.3">
      <c r="G3399" s="470"/>
      <c r="H3399" s="470">
        <v>3392</v>
      </c>
      <c r="I3399" s="455">
        <f t="shared" ca="1" si="168"/>
        <v>532809948608.32898</v>
      </c>
      <c r="J3399" s="455">
        <f t="array" ref="J3399">IFERROR(INDEX('Retirement Calculator'!J:J,MATCH('Isaac 401k'!N3399,'Retirement Calculator'!A:A,0),0),0)</f>
        <v>0</v>
      </c>
      <c r="K3399" s="455">
        <f t="shared" ca="1" si="166"/>
        <v>2220041452.5347037</v>
      </c>
      <c r="L3399" s="455">
        <f t="shared" ca="1" si="167"/>
        <v>535029990060.86371</v>
      </c>
      <c r="M3399" s="471">
        <f t="shared" si="169"/>
        <v>0.05</v>
      </c>
      <c r="N3399" s="475">
        <f t="shared" si="170"/>
        <v>154499</v>
      </c>
    </row>
    <row r="3400" spans="7:14" ht="11.25" customHeight="1" x14ac:dyDescent="0.3">
      <c r="G3400" s="470"/>
      <c r="H3400" s="470">
        <v>3393</v>
      </c>
      <c r="I3400" s="455">
        <f t="shared" ca="1" si="168"/>
        <v>535029990060.86371</v>
      </c>
      <c r="J3400" s="455">
        <f t="array" ref="J3400">IFERROR(INDEX('Retirement Calculator'!J:J,MATCH('Isaac 401k'!N3400,'Retirement Calculator'!A:A,0),0),0)</f>
        <v>0</v>
      </c>
      <c r="K3400" s="455">
        <f t="shared" ca="1" si="166"/>
        <v>2229291625.2535987</v>
      </c>
      <c r="L3400" s="455">
        <f t="shared" ca="1" si="167"/>
        <v>537259281686.11731</v>
      </c>
      <c r="M3400" s="471">
        <f t="shared" si="169"/>
        <v>0.05</v>
      </c>
      <c r="N3400" s="475">
        <f t="shared" si="170"/>
        <v>154530</v>
      </c>
    </row>
    <row r="3401" spans="7:14" ht="11.25" customHeight="1" x14ac:dyDescent="0.3">
      <c r="G3401" s="470"/>
      <c r="H3401" s="470">
        <v>3394</v>
      </c>
      <c r="I3401" s="455">
        <f t="shared" ca="1" si="168"/>
        <v>537259281686.11731</v>
      </c>
      <c r="J3401" s="455">
        <f t="array" ref="J3401">IFERROR(INDEX('Retirement Calculator'!J:J,MATCH('Isaac 401k'!N3401,'Retirement Calculator'!A:A,0),0),0)</f>
        <v>0</v>
      </c>
      <c r="K3401" s="455">
        <f t="shared" ca="1" si="166"/>
        <v>2238580340.3588219</v>
      </c>
      <c r="L3401" s="455">
        <f t="shared" ca="1" si="167"/>
        <v>539497862026.47614</v>
      </c>
      <c r="M3401" s="471">
        <f t="shared" si="169"/>
        <v>0.05</v>
      </c>
      <c r="N3401" s="475">
        <f t="shared" si="170"/>
        <v>154558</v>
      </c>
    </row>
    <row r="3402" spans="7:14" ht="11.25" customHeight="1" x14ac:dyDescent="0.3">
      <c r="G3402" s="470"/>
      <c r="H3402" s="470">
        <v>3395</v>
      </c>
      <c r="I3402" s="455">
        <f t="shared" ca="1" si="168"/>
        <v>539497862026.47614</v>
      </c>
      <c r="J3402" s="455">
        <f t="array" ref="J3402">IFERROR(INDEX('Retirement Calculator'!J:J,MATCH('Isaac 401k'!N3402,'Retirement Calculator'!A:A,0),0),0)</f>
        <v>0</v>
      </c>
      <c r="K3402" s="455">
        <f t="shared" ca="1" si="166"/>
        <v>2247907758.4436507</v>
      </c>
      <c r="L3402" s="455">
        <f t="shared" ca="1" si="167"/>
        <v>541745769784.9198</v>
      </c>
      <c r="M3402" s="471">
        <f t="shared" si="169"/>
        <v>0.05</v>
      </c>
      <c r="N3402" s="475">
        <f t="shared" si="170"/>
        <v>154589</v>
      </c>
    </row>
    <row r="3403" spans="7:14" ht="11.25" customHeight="1" x14ac:dyDescent="0.3">
      <c r="G3403" s="470"/>
      <c r="H3403" s="470">
        <v>3396</v>
      </c>
      <c r="I3403" s="455">
        <f t="shared" ca="1" si="168"/>
        <v>541745769784.9198</v>
      </c>
      <c r="J3403" s="455">
        <f t="array" ref="J3403">IFERROR(INDEX('Retirement Calculator'!J:J,MATCH('Isaac 401k'!N3403,'Retirement Calculator'!A:A,0),0),0)</f>
        <v>0</v>
      </c>
      <c r="K3403" s="455">
        <f t="shared" ca="1" si="166"/>
        <v>2257274040.7704992</v>
      </c>
      <c r="L3403" s="455">
        <f t="shared" ca="1" si="167"/>
        <v>544003043825.69031</v>
      </c>
      <c r="M3403" s="471">
        <f t="shared" si="169"/>
        <v>0.05</v>
      </c>
      <c r="N3403" s="475">
        <f t="shared" si="170"/>
        <v>154619</v>
      </c>
    </row>
    <row r="3404" spans="7:14" ht="11.25" customHeight="1" x14ac:dyDescent="0.3">
      <c r="G3404" s="470"/>
      <c r="H3404" s="470">
        <v>3397</v>
      </c>
      <c r="I3404" s="455">
        <f t="shared" ca="1" si="168"/>
        <v>544003043825.69031</v>
      </c>
      <c r="J3404" s="455">
        <f t="array" ref="J3404">IFERROR(INDEX('Retirement Calculator'!J:J,MATCH('Isaac 401k'!N3404,'Retirement Calculator'!A:A,0),0),0)</f>
        <v>0</v>
      </c>
      <c r="K3404" s="455">
        <f t="shared" ca="1" si="166"/>
        <v>2266679349.2737098</v>
      </c>
      <c r="L3404" s="455">
        <f t="shared" ca="1" si="167"/>
        <v>546269723174.96399</v>
      </c>
      <c r="M3404" s="471">
        <f t="shared" si="169"/>
        <v>0.05</v>
      </c>
      <c r="N3404" s="475">
        <f t="shared" si="170"/>
        <v>154650</v>
      </c>
    </row>
    <row r="3405" spans="7:14" ht="11.25" customHeight="1" x14ac:dyDescent="0.3">
      <c r="G3405" s="470"/>
      <c r="H3405" s="470">
        <v>3398</v>
      </c>
      <c r="I3405" s="455">
        <f t="shared" ca="1" si="168"/>
        <v>546269723174.96399</v>
      </c>
      <c r="J3405" s="455">
        <f t="array" ref="J3405">IFERROR(INDEX('Retirement Calculator'!J:J,MATCH('Isaac 401k'!N3405,'Retirement Calculator'!A:A,0),0),0)</f>
        <v>0</v>
      </c>
      <c r="K3405" s="455">
        <f t="shared" ca="1" si="166"/>
        <v>2276123846.5623498</v>
      </c>
      <c r="L3405" s="455">
        <f t="shared" ca="1" si="167"/>
        <v>548545847021.52637</v>
      </c>
      <c r="M3405" s="471">
        <f t="shared" si="169"/>
        <v>0.05</v>
      </c>
      <c r="N3405" s="475">
        <f t="shared" si="170"/>
        <v>154680</v>
      </c>
    </row>
    <row r="3406" spans="7:14" ht="11.25" customHeight="1" x14ac:dyDescent="0.3">
      <c r="G3406" s="470"/>
      <c r="H3406" s="470">
        <v>3399</v>
      </c>
      <c r="I3406" s="455">
        <f t="shared" ca="1" si="168"/>
        <v>548545847021.52637</v>
      </c>
      <c r="J3406" s="455">
        <f t="array" ref="J3406">IFERROR(INDEX('Retirement Calculator'!J:J,MATCH('Isaac 401k'!N3406,'Retirement Calculator'!A:A,0),0),0)</f>
        <v>0</v>
      </c>
      <c r="K3406" s="455">
        <f t="shared" ca="1" si="166"/>
        <v>2285607695.9230266</v>
      </c>
      <c r="L3406" s="455">
        <f t="shared" ca="1" si="167"/>
        <v>550831454717.44934</v>
      </c>
      <c r="M3406" s="471">
        <f t="shared" si="169"/>
        <v>0.05</v>
      </c>
      <c r="N3406" s="475">
        <f t="shared" si="170"/>
        <v>154711</v>
      </c>
    </row>
    <row r="3407" spans="7:14" ht="11.25" customHeight="1" x14ac:dyDescent="0.3">
      <c r="G3407" s="470"/>
      <c r="H3407" s="470">
        <v>3400</v>
      </c>
      <c r="I3407" s="455">
        <f t="shared" ca="1" si="168"/>
        <v>550831454717.44934</v>
      </c>
      <c r="J3407" s="455">
        <f t="array" ref="J3407">IFERROR(INDEX('Retirement Calculator'!J:J,MATCH('Isaac 401k'!N3407,'Retirement Calculator'!A:A,0),0),0)</f>
        <v>0</v>
      </c>
      <c r="K3407" s="455">
        <f t="shared" ca="1" si="166"/>
        <v>2295131061.3227057</v>
      </c>
      <c r="L3407" s="455">
        <f t="shared" ca="1" si="167"/>
        <v>553126585778.77209</v>
      </c>
      <c r="M3407" s="471">
        <f t="shared" si="169"/>
        <v>0.05</v>
      </c>
      <c r="N3407" s="475">
        <f t="shared" si="170"/>
        <v>154742</v>
      </c>
    </row>
    <row r="3408" spans="7:14" ht="11.25" customHeight="1" x14ac:dyDescent="0.3">
      <c r="G3408" s="470"/>
      <c r="H3408" s="470">
        <v>3401</v>
      </c>
      <c r="I3408" s="455">
        <f t="shared" ca="1" si="168"/>
        <v>553126585778.77209</v>
      </c>
      <c r="J3408" s="455">
        <f t="array" ref="J3408">IFERROR(INDEX('Retirement Calculator'!J:J,MATCH('Isaac 401k'!N3408,'Retirement Calculator'!A:A,0),0),0)</f>
        <v>0</v>
      </c>
      <c r="K3408" s="455">
        <f t="shared" ca="1" si="166"/>
        <v>2304694107.4115505</v>
      </c>
      <c r="L3408" s="455">
        <f t="shared" ca="1" si="167"/>
        <v>555431279886.18359</v>
      </c>
      <c r="M3408" s="471">
        <f t="shared" si="169"/>
        <v>0.05</v>
      </c>
      <c r="N3408" s="475">
        <f t="shared" si="170"/>
        <v>154772</v>
      </c>
    </row>
    <row r="3409" spans="7:14" ht="11.25" customHeight="1" x14ac:dyDescent="0.3">
      <c r="G3409" s="470"/>
      <c r="H3409" s="470">
        <v>3402</v>
      </c>
      <c r="I3409" s="455">
        <f t="shared" ca="1" si="168"/>
        <v>555431279886.18359</v>
      </c>
      <c r="J3409" s="455">
        <f t="array" ref="J3409">IFERROR(INDEX('Retirement Calculator'!J:J,MATCH('Isaac 401k'!N3409,'Retirement Calculator'!A:A,0),0),0)</f>
        <v>0</v>
      </c>
      <c r="K3409" s="455">
        <f t="shared" ca="1" si="166"/>
        <v>2314296999.5257649</v>
      </c>
      <c r="L3409" s="455">
        <f t="shared" ca="1" si="167"/>
        <v>557745576885.70935</v>
      </c>
      <c r="M3409" s="471">
        <f t="shared" si="169"/>
        <v>0.05</v>
      </c>
      <c r="N3409" s="475">
        <f t="shared" si="170"/>
        <v>154803</v>
      </c>
    </row>
    <row r="3410" spans="7:14" ht="11.25" customHeight="1" x14ac:dyDescent="0.3">
      <c r="G3410" s="470"/>
      <c r="H3410" s="470">
        <v>3403</v>
      </c>
      <c r="I3410" s="455">
        <f t="shared" ca="1" si="168"/>
        <v>557745576885.70935</v>
      </c>
      <c r="J3410" s="455">
        <f t="array" ref="J3410">IFERROR(INDEX('Retirement Calculator'!J:J,MATCH('Isaac 401k'!N3410,'Retirement Calculator'!A:A,0),0),0)</f>
        <v>0</v>
      </c>
      <c r="K3410" s="455">
        <f t="shared" ca="1" si="166"/>
        <v>2323939903.6904554</v>
      </c>
      <c r="L3410" s="455">
        <f t="shared" ca="1" si="167"/>
        <v>560069516789.39978</v>
      </c>
      <c r="M3410" s="471">
        <f t="shared" si="169"/>
        <v>0.05</v>
      </c>
      <c r="N3410" s="475">
        <f t="shared" si="170"/>
        <v>154833</v>
      </c>
    </row>
    <row r="3411" spans="7:14" ht="11.25" customHeight="1" x14ac:dyDescent="0.3">
      <c r="G3411" s="470"/>
      <c r="H3411" s="470">
        <v>3404</v>
      </c>
      <c r="I3411" s="455">
        <f t="shared" ca="1" si="168"/>
        <v>560069516789.39978</v>
      </c>
      <c r="J3411" s="455">
        <f t="array" ref="J3411">IFERROR(INDEX('Retirement Calculator'!J:J,MATCH('Isaac 401k'!N3411,'Retirement Calculator'!A:A,0),0),0)</f>
        <v>0</v>
      </c>
      <c r="K3411" s="455">
        <f t="shared" ca="1" si="166"/>
        <v>2333622986.622499</v>
      </c>
      <c r="L3411" s="455">
        <f t="shared" ca="1" si="167"/>
        <v>562403139776.02234</v>
      </c>
      <c r="M3411" s="471">
        <f t="shared" si="169"/>
        <v>0.05</v>
      </c>
      <c r="N3411" s="475">
        <f t="shared" si="170"/>
        <v>154864</v>
      </c>
    </row>
    <row r="3412" spans="7:14" ht="11.25" customHeight="1" x14ac:dyDescent="0.3">
      <c r="G3412" s="470"/>
      <c r="H3412" s="470">
        <v>3405</v>
      </c>
      <c r="I3412" s="455">
        <f t="shared" ca="1" si="168"/>
        <v>562403139776.02234</v>
      </c>
      <c r="J3412" s="455">
        <f t="array" ref="J3412">IFERROR(INDEX('Retirement Calculator'!J:J,MATCH('Isaac 401k'!N3412,'Retirement Calculator'!A:A,0),0),0)</f>
        <v>0</v>
      </c>
      <c r="K3412" s="455">
        <f t="shared" ca="1" si="166"/>
        <v>2343346415.7334266</v>
      </c>
      <c r="L3412" s="455">
        <f t="shared" ca="1" si="167"/>
        <v>564746486191.75574</v>
      </c>
      <c r="M3412" s="471">
        <f t="shared" si="169"/>
        <v>0.05</v>
      </c>
      <c r="N3412" s="475">
        <f t="shared" si="170"/>
        <v>154895</v>
      </c>
    </row>
    <row r="3413" spans="7:14" ht="11.25" customHeight="1" x14ac:dyDescent="0.3">
      <c r="G3413" s="470"/>
      <c r="H3413" s="470">
        <v>3406</v>
      </c>
      <c r="I3413" s="455">
        <f t="shared" ca="1" si="168"/>
        <v>564746486191.75574</v>
      </c>
      <c r="J3413" s="455">
        <f t="array" ref="J3413">IFERROR(INDEX('Retirement Calculator'!J:J,MATCH('Isaac 401k'!N3413,'Retirement Calculator'!A:A,0),0),0)</f>
        <v>0</v>
      </c>
      <c r="K3413" s="455">
        <f t="shared" ca="1" si="166"/>
        <v>2353110359.1323156</v>
      </c>
      <c r="L3413" s="455">
        <f t="shared" ca="1" si="167"/>
        <v>567099596550.88806</v>
      </c>
      <c r="M3413" s="471">
        <f t="shared" si="169"/>
        <v>0.05</v>
      </c>
      <c r="N3413" s="475">
        <f t="shared" si="170"/>
        <v>154924</v>
      </c>
    </row>
    <row r="3414" spans="7:14" ht="11.25" customHeight="1" x14ac:dyDescent="0.3">
      <c r="G3414" s="470"/>
      <c r="H3414" s="470">
        <v>3407</v>
      </c>
      <c r="I3414" s="455">
        <f t="shared" ca="1" si="168"/>
        <v>567099596550.88806</v>
      </c>
      <c r="J3414" s="455">
        <f t="array" ref="J3414">IFERROR(INDEX('Retirement Calculator'!J:J,MATCH('Isaac 401k'!N3414,'Retirement Calculator'!A:A,0),0),0)</f>
        <v>0</v>
      </c>
      <c r="K3414" s="455">
        <f t="shared" ca="1" si="166"/>
        <v>2362914985.6287003</v>
      </c>
      <c r="L3414" s="455">
        <f t="shared" ca="1" si="167"/>
        <v>569462511536.51672</v>
      </c>
      <c r="M3414" s="471">
        <f t="shared" si="169"/>
        <v>0.05</v>
      </c>
      <c r="N3414" s="475">
        <f t="shared" si="170"/>
        <v>154955</v>
      </c>
    </row>
    <row r="3415" spans="7:14" ht="11.25" customHeight="1" x14ac:dyDescent="0.3">
      <c r="G3415" s="470"/>
      <c r="H3415" s="470">
        <v>3408</v>
      </c>
      <c r="I3415" s="455">
        <f t="shared" ca="1" si="168"/>
        <v>569462511536.51672</v>
      </c>
      <c r="J3415" s="455">
        <f t="array" ref="J3415">IFERROR(INDEX('Retirement Calculator'!J:J,MATCH('Isaac 401k'!N3415,'Retirement Calculator'!A:A,0),0),0)</f>
        <v>0</v>
      </c>
      <c r="K3415" s="455">
        <f t="shared" ca="1" si="166"/>
        <v>2372760464.7354865</v>
      </c>
      <c r="L3415" s="455">
        <f t="shared" ca="1" si="167"/>
        <v>571835272001.2522</v>
      </c>
      <c r="M3415" s="471">
        <f t="shared" si="169"/>
        <v>0.05</v>
      </c>
      <c r="N3415" s="475">
        <f t="shared" si="170"/>
        <v>154985</v>
      </c>
    </row>
    <row r="3416" spans="7:14" ht="11.25" customHeight="1" x14ac:dyDescent="0.3">
      <c r="G3416" s="470"/>
      <c r="H3416" s="470">
        <v>3409</v>
      </c>
      <c r="I3416" s="455">
        <f t="shared" ca="1" si="168"/>
        <v>571835272001.2522</v>
      </c>
      <c r="J3416" s="455">
        <f t="array" ref="J3416">IFERROR(INDEX('Retirement Calculator'!J:J,MATCH('Isaac 401k'!N3416,'Retirement Calculator'!A:A,0),0),0)</f>
        <v>0</v>
      </c>
      <c r="K3416" s="455">
        <f t="shared" ca="1" si="166"/>
        <v>2382646966.6718841</v>
      </c>
      <c r="L3416" s="455">
        <f t="shared" ca="1" si="167"/>
        <v>574217918967.92407</v>
      </c>
      <c r="M3416" s="471">
        <f t="shared" si="169"/>
        <v>0.05</v>
      </c>
      <c r="N3416" s="475">
        <f t="shared" si="170"/>
        <v>155016</v>
      </c>
    </row>
    <row r="3417" spans="7:14" ht="11.25" customHeight="1" x14ac:dyDescent="0.3">
      <c r="G3417" s="470"/>
      <c r="H3417" s="470">
        <v>3410</v>
      </c>
      <c r="I3417" s="455">
        <f t="shared" ca="1" si="168"/>
        <v>574217918967.92407</v>
      </c>
      <c r="J3417" s="455">
        <f t="array" ref="J3417">IFERROR(INDEX('Retirement Calculator'!J:J,MATCH('Isaac 401k'!N3417,'Retirement Calculator'!A:A,0),0),0)</f>
        <v>0</v>
      </c>
      <c r="K3417" s="455">
        <f t="shared" ca="1" si="166"/>
        <v>2392574662.3663502</v>
      </c>
      <c r="L3417" s="455">
        <f t="shared" ca="1" si="167"/>
        <v>576610493630.29041</v>
      </c>
      <c r="M3417" s="471">
        <f t="shared" si="169"/>
        <v>0.05</v>
      </c>
      <c r="N3417" s="475">
        <f t="shared" si="170"/>
        <v>155046</v>
      </c>
    </row>
    <row r="3418" spans="7:14" ht="11.25" customHeight="1" x14ac:dyDescent="0.3">
      <c r="G3418" s="470"/>
      <c r="H3418" s="470">
        <v>3411</v>
      </c>
      <c r="I3418" s="455">
        <f t="shared" ca="1" si="168"/>
        <v>576610493630.29041</v>
      </c>
      <c r="J3418" s="455">
        <f t="array" ref="J3418">IFERROR(INDEX('Retirement Calculator'!J:J,MATCH('Isaac 401k'!N3418,'Retirement Calculator'!A:A,0),0),0)</f>
        <v>0</v>
      </c>
      <c r="K3418" s="455">
        <f t="shared" ca="1" si="166"/>
        <v>2402543723.4595432</v>
      </c>
      <c r="L3418" s="455">
        <f t="shared" ca="1" si="167"/>
        <v>579013037353.75</v>
      </c>
      <c r="M3418" s="471">
        <f t="shared" si="169"/>
        <v>0.05</v>
      </c>
      <c r="N3418" s="475">
        <f t="shared" si="170"/>
        <v>155077</v>
      </c>
    </row>
    <row r="3419" spans="7:14" ht="11.25" customHeight="1" x14ac:dyDescent="0.3">
      <c r="G3419" s="470"/>
      <c r="H3419" s="470">
        <v>3412</v>
      </c>
      <c r="I3419" s="455">
        <f t="shared" ca="1" si="168"/>
        <v>579013037353.75</v>
      </c>
      <c r="J3419" s="455">
        <f t="array" ref="J3419">IFERROR(INDEX('Retirement Calculator'!J:J,MATCH('Isaac 401k'!N3419,'Retirement Calculator'!A:A,0),0),0)</f>
        <v>0</v>
      </c>
      <c r="K3419" s="455">
        <f t="shared" ca="1" si="166"/>
        <v>2412554322.3072915</v>
      </c>
      <c r="L3419" s="455">
        <f t="shared" ca="1" si="167"/>
        <v>581425591676.05725</v>
      </c>
      <c r="M3419" s="471">
        <f t="shared" si="169"/>
        <v>0.05</v>
      </c>
      <c r="N3419" s="475">
        <f t="shared" si="170"/>
        <v>155108</v>
      </c>
    </row>
    <row r="3420" spans="7:14" ht="11.25" customHeight="1" x14ac:dyDescent="0.3">
      <c r="G3420" s="470"/>
      <c r="H3420" s="470">
        <v>3413</v>
      </c>
      <c r="I3420" s="455">
        <f t="shared" ca="1" si="168"/>
        <v>581425591676.05725</v>
      </c>
      <c r="J3420" s="455">
        <f t="array" ref="J3420">IFERROR(INDEX('Retirement Calculator'!J:J,MATCH('Isaac 401k'!N3420,'Retirement Calculator'!A:A,0),0),0)</f>
        <v>0</v>
      </c>
      <c r="K3420" s="455">
        <f t="shared" ca="1" si="166"/>
        <v>2422606631.983572</v>
      </c>
      <c r="L3420" s="455">
        <f t="shared" ca="1" si="167"/>
        <v>583848198308.04077</v>
      </c>
      <c r="M3420" s="471">
        <f t="shared" si="169"/>
        <v>0.05</v>
      </c>
      <c r="N3420" s="475">
        <f t="shared" si="170"/>
        <v>155138</v>
      </c>
    </row>
    <row r="3421" spans="7:14" ht="11.25" customHeight="1" x14ac:dyDescent="0.3">
      <c r="G3421" s="470"/>
      <c r="H3421" s="470">
        <v>3414</v>
      </c>
      <c r="I3421" s="455">
        <f t="shared" ca="1" si="168"/>
        <v>583848198308.04077</v>
      </c>
      <c r="J3421" s="455">
        <f t="array" ref="J3421">IFERROR(INDEX('Retirement Calculator'!J:J,MATCH('Isaac 401k'!N3421,'Retirement Calculator'!A:A,0),0),0)</f>
        <v>0</v>
      </c>
      <c r="K3421" s="455">
        <f t="shared" ca="1" si="166"/>
        <v>2432700826.2835031</v>
      </c>
      <c r="L3421" s="455">
        <f t="shared" ca="1" si="167"/>
        <v>586280899134.32422</v>
      </c>
      <c r="M3421" s="471">
        <f t="shared" si="169"/>
        <v>0.05</v>
      </c>
      <c r="N3421" s="475">
        <f t="shared" si="170"/>
        <v>155169</v>
      </c>
    </row>
    <row r="3422" spans="7:14" ht="11.25" customHeight="1" x14ac:dyDescent="0.3">
      <c r="G3422" s="470"/>
      <c r="H3422" s="470">
        <v>3415</v>
      </c>
      <c r="I3422" s="455">
        <f t="shared" ca="1" si="168"/>
        <v>586280899134.32422</v>
      </c>
      <c r="J3422" s="455">
        <f t="array" ref="J3422">IFERROR(INDEX('Retirement Calculator'!J:J,MATCH('Isaac 401k'!N3422,'Retirement Calculator'!A:A,0),0),0)</f>
        <v>0</v>
      </c>
      <c r="K3422" s="455">
        <f t="shared" ca="1" si="166"/>
        <v>2442837079.7263508</v>
      </c>
      <c r="L3422" s="455">
        <f t="shared" ca="1" si="167"/>
        <v>588723736214.05054</v>
      </c>
      <c r="M3422" s="471">
        <f t="shared" si="169"/>
        <v>0.05</v>
      </c>
      <c r="N3422" s="475">
        <f t="shared" si="170"/>
        <v>155199</v>
      </c>
    </row>
    <row r="3423" spans="7:14" ht="11.25" customHeight="1" x14ac:dyDescent="0.3">
      <c r="G3423" s="470"/>
      <c r="H3423" s="470">
        <v>3416</v>
      </c>
      <c r="I3423" s="455">
        <f t="shared" ca="1" si="168"/>
        <v>588723736214.05054</v>
      </c>
      <c r="J3423" s="455">
        <f t="array" ref="J3423">IFERROR(INDEX('Retirement Calculator'!J:J,MATCH('Isaac 401k'!N3423,'Retirement Calculator'!A:A,0),0),0)</f>
        <v>0</v>
      </c>
      <c r="K3423" s="455">
        <f t="shared" ca="1" si="166"/>
        <v>2453015567.5585437</v>
      </c>
      <c r="L3423" s="455">
        <f t="shared" ca="1" si="167"/>
        <v>591176751781.60913</v>
      </c>
      <c r="M3423" s="471">
        <f t="shared" si="169"/>
        <v>0.05</v>
      </c>
      <c r="N3423" s="475">
        <f t="shared" si="170"/>
        <v>155230</v>
      </c>
    </row>
    <row r="3424" spans="7:14" ht="11.25" customHeight="1" x14ac:dyDescent="0.3">
      <c r="G3424" s="470"/>
      <c r="H3424" s="470">
        <v>3417</v>
      </c>
      <c r="I3424" s="455">
        <f t="shared" ca="1" si="168"/>
        <v>591176751781.60913</v>
      </c>
      <c r="J3424" s="455">
        <f t="array" ref="J3424">IFERROR(INDEX('Retirement Calculator'!J:J,MATCH('Isaac 401k'!N3424,'Retirement Calculator'!A:A,0),0),0)</f>
        <v>0</v>
      </c>
      <c r="K3424" s="455">
        <f t="shared" ca="1" si="166"/>
        <v>2463236465.7567048</v>
      </c>
      <c r="L3424" s="455">
        <f t="shared" ca="1" si="167"/>
        <v>593639988247.36584</v>
      </c>
      <c r="M3424" s="471">
        <f t="shared" si="169"/>
        <v>0.05</v>
      </c>
      <c r="N3424" s="475">
        <f t="shared" si="170"/>
        <v>155261</v>
      </c>
    </row>
    <row r="3425" spans="7:14" ht="11.25" customHeight="1" x14ac:dyDescent="0.3">
      <c r="G3425" s="470"/>
      <c r="H3425" s="470">
        <v>3418</v>
      </c>
      <c r="I3425" s="455">
        <f t="shared" ca="1" si="168"/>
        <v>593639988247.36584</v>
      </c>
      <c r="J3425" s="455">
        <f t="array" ref="J3425">IFERROR(INDEX('Retirement Calculator'!J:J,MATCH('Isaac 401k'!N3425,'Retirement Calculator'!A:A,0),0),0)</f>
        <v>0</v>
      </c>
      <c r="K3425" s="455">
        <f t="shared" ca="1" si="166"/>
        <v>2473499951.0306911</v>
      </c>
      <c r="L3425" s="455">
        <f t="shared" ca="1" si="167"/>
        <v>596113488198.39648</v>
      </c>
      <c r="M3425" s="471">
        <f t="shared" si="169"/>
        <v>0.05</v>
      </c>
      <c r="N3425" s="475">
        <f t="shared" si="170"/>
        <v>155289</v>
      </c>
    </row>
    <row r="3426" spans="7:14" ht="11.25" customHeight="1" x14ac:dyDescent="0.3">
      <c r="G3426" s="470"/>
      <c r="H3426" s="470">
        <v>3419</v>
      </c>
      <c r="I3426" s="455">
        <f t="shared" ca="1" si="168"/>
        <v>596113488198.39648</v>
      </c>
      <c r="J3426" s="455">
        <f t="array" ref="J3426">IFERROR(INDEX('Retirement Calculator'!J:J,MATCH('Isaac 401k'!N3426,'Retirement Calculator'!A:A,0),0),0)</f>
        <v>0</v>
      </c>
      <c r="K3426" s="455">
        <f t="shared" ca="1" si="166"/>
        <v>2483806200.8266521</v>
      </c>
      <c r="L3426" s="455">
        <f t="shared" ca="1" si="167"/>
        <v>598597294399.22314</v>
      </c>
      <c r="M3426" s="471">
        <f t="shared" si="169"/>
        <v>0.05</v>
      </c>
      <c r="N3426" s="475">
        <f t="shared" si="170"/>
        <v>155320</v>
      </c>
    </row>
    <row r="3427" spans="7:14" ht="11.25" customHeight="1" x14ac:dyDescent="0.3">
      <c r="G3427" s="470"/>
      <c r="H3427" s="470">
        <v>3420</v>
      </c>
      <c r="I3427" s="455">
        <f t="shared" ca="1" si="168"/>
        <v>598597294399.22314</v>
      </c>
      <c r="J3427" s="455">
        <f t="array" ref="J3427">IFERROR(INDEX('Retirement Calculator'!J:J,MATCH('Isaac 401k'!N3427,'Retirement Calculator'!A:A,0),0),0)</f>
        <v>0</v>
      </c>
      <c r="K3427" s="455">
        <f t="shared" ca="1" si="166"/>
        <v>2494155393.3300962</v>
      </c>
      <c r="L3427" s="455">
        <f t="shared" ca="1" si="167"/>
        <v>601091449792.55322</v>
      </c>
      <c r="M3427" s="471">
        <f t="shared" si="169"/>
        <v>0.05</v>
      </c>
      <c r="N3427" s="475">
        <f t="shared" si="170"/>
        <v>155350</v>
      </c>
    </row>
    <row r="3428" spans="7:14" ht="11.25" customHeight="1" x14ac:dyDescent="0.3">
      <c r="G3428" s="470"/>
      <c r="H3428" s="470">
        <v>3421</v>
      </c>
      <c r="I3428" s="455">
        <f t="shared" ca="1" si="168"/>
        <v>601091449792.55322</v>
      </c>
      <c r="J3428" s="455">
        <f t="array" ref="J3428">IFERROR(INDEX('Retirement Calculator'!J:J,MATCH('Isaac 401k'!N3428,'Retirement Calculator'!A:A,0),0),0)</f>
        <v>0</v>
      </c>
      <c r="K3428" s="455">
        <f t="shared" ca="1" si="166"/>
        <v>2504547707.4689717</v>
      </c>
      <c r="L3428" s="455">
        <f t="shared" ca="1" si="167"/>
        <v>603595997500.02222</v>
      </c>
      <c r="M3428" s="471">
        <f t="shared" si="169"/>
        <v>0.05</v>
      </c>
      <c r="N3428" s="475">
        <f t="shared" si="170"/>
        <v>155381</v>
      </c>
    </row>
    <row r="3429" spans="7:14" ht="11.25" customHeight="1" x14ac:dyDescent="0.3">
      <c r="G3429" s="470"/>
      <c r="H3429" s="470">
        <v>3422</v>
      </c>
      <c r="I3429" s="455">
        <f t="shared" ca="1" si="168"/>
        <v>603595997500.02222</v>
      </c>
      <c r="J3429" s="455">
        <f t="array" ref="J3429">IFERROR(INDEX('Retirement Calculator'!J:J,MATCH('Isaac 401k'!N3429,'Retirement Calculator'!A:A,0),0),0)</f>
        <v>0</v>
      </c>
      <c r="K3429" s="455">
        <f t="shared" ca="1" si="166"/>
        <v>2514983322.916759</v>
      </c>
      <c r="L3429" s="455">
        <f t="shared" ca="1" si="167"/>
        <v>606110980822.93896</v>
      </c>
      <c r="M3429" s="471">
        <f t="shared" si="169"/>
        <v>0.05</v>
      </c>
      <c r="N3429" s="475">
        <f t="shared" si="170"/>
        <v>155411</v>
      </c>
    </row>
    <row r="3430" spans="7:14" ht="11.25" customHeight="1" x14ac:dyDescent="0.3">
      <c r="G3430" s="470"/>
      <c r="H3430" s="470">
        <v>3423</v>
      </c>
      <c r="I3430" s="455">
        <f t="shared" ca="1" si="168"/>
        <v>606110980822.93896</v>
      </c>
      <c r="J3430" s="455">
        <f t="array" ref="J3430">IFERROR(INDEX('Retirement Calculator'!J:J,MATCH('Isaac 401k'!N3430,'Retirement Calculator'!A:A,0),0),0)</f>
        <v>0</v>
      </c>
      <c r="K3430" s="455">
        <f t="shared" ca="1" si="166"/>
        <v>2525462420.0955791</v>
      </c>
      <c r="L3430" s="455">
        <f t="shared" ca="1" si="167"/>
        <v>608636443243.03455</v>
      </c>
      <c r="M3430" s="471">
        <f t="shared" si="169"/>
        <v>0.05</v>
      </c>
      <c r="N3430" s="475">
        <f t="shared" si="170"/>
        <v>155442</v>
      </c>
    </row>
    <row r="3431" spans="7:14" ht="11.25" customHeight="1" x14ac:dyDescent="0.3">
      <c r="G3431" s="470"/>
      <c r="H3431" s="470">
        <v>3424</v>
      </c>
      <c r="I3431" s="455">
        <f t="shared" ca="1" si="168"/>
        <v>608636443243.03455</v>
      </c>
      <c r="J3431" s="455">
        <f t="array" ref="J3431">IFERROR(INDEX('Retirement Calculator'!J:J,MATCH('Isaac 401k'!N3431,'Retirement Calculator'!A:A,0),0),0)</f>
        <v>0</v>
      </c>
      <c r="K3431" s="455">
        <f t="shared" ca="1" si="166"/>
        <v>2535985180.1793108</v>
      </c>
      <c r="L3431" s="455">
        <f t="shared" ca="1" si="167"/>
        <v>611172428423.21387</v>
      </c>
      <c r="M3431" s="471">
        <f t="shared" si="169"/>
        <v>0.05</v>
      </c>
      <c r="N3431" s="475">
        <f t="shared" si="170"/>
        <v>155473</v>
      </c>
    </row>
    <row r="3432" spans="7:14" ht="11.25" customHeight="1" x14ac:dyDescent="0.3">
      <c r="G3432" s="470"/>
      <c r="H3432" s="470">
        <v>3425</v>
      </c>
      <c r="I3432" s="455">
        <f t="shared" ca="1" si="168"/>
        <v>611172428423.21387</v>
      </c>
      <c r="J3432" s="455">
        <f t="array" ref="J3432">IFERROR(INDEX('Retirement Calculator'!J:J,MATCH('Isaac 401k'!N3432,'Retirement Calculator'!A:A,0),0),0)</f>
        <v>0</v>
      </c>
      <c r="K3432" s="455">
        <f t="shared" ca="1" si="166"/>
        <v>2546551785.0967245</v>
      </c>
      <c r="L3432" s="455">
        <f t="shared" ca="1" si="167"/>
        <v>613718980208.31055</v>
      </c>
      <c r="M3432" s="471">
        <f t="shared" si="169"/>
        <v>0.05</v>
      </c>
      <c r="N3432" s="475">
        <f t="shared" si="170"/>
        <v>155503</v>
      </c>
    </row>
    <row r="3433" spans="7:14" ht="11.25" customHeight="1" x14ac:dyDescent="0.3">
      <c r="G3433" s="470"/>
      <c r="H3433" s="470">
        <v>3426</v>
      </c>
      <c r="I3433" s="455">
        <f t="shared" ca="1" si="168"/>
        <v>613718980208.31055</v>
      </c>
      <c r="J3433" s="455">
        <f t="array" ref="J3433">IFERROR(INDEX('Retirement Calculator'!J:J,MATCH('Isaac 401k'!N3433,'Retirement Calculator'!A:A,0),0),0)</f>
        <v>0</v>
      </c>
      <c r="K3433" s="455">
        <f t="shared" ca="1" si="166"/>
        <v>2557162417.5346274</v>
      </c>
      <c r="L3433" s="455">
        <f t="shared" ca="1" si="167"/>
        <v>616276142625.84521</v>
      </c>
      <c r="M3433" s="471">
        <f t="shared" si="169"/>
        <v>0.05</v>
      </c>
      <c r="N3433" s="475">
        <f t="shared" si="170"/>
        <v>155534</v>
      </c>
    </row>
    <row r="3434" spans="7:14" ht="11.25" customHeight="1" x14ac:dyDescent="0.3">
      <c r="G3434" s="470"/>
      <c r="H3434" s="470">
        <v>3427</v>
      </c>
      <c r="I3434" s="455">
        <f t="shared" ca="1" si="168"/>
        <v>616276142625.84521</v>
      </c>
      <c r="J3434" s="455">
        <f t="array" ref="J3434">IFERROR(INDEX('Retirement Calculator'!J:J,MATCH('Isaac 401k'!N3434,'Retirement Calculator'!A:A,0),0),0)</f>
        <v>0</v>
      </c>
      <c r="K3434" s="455">
        <f t="shared" ca="1" si="166"/>
        <v>2567817260.9410219</v>
      </c>
      <c r="L3434" s="455">
        <f t="shared" ca="1" si="167"/>
        <v>618843959886.78625</v>
      </c>
      <c r="M3434" s="471">
        <f t="shared" si="169"/>
        <v>0.05</v>
      </c>
      <c r="N3434" s="475">
        <f t="shared" si="170"/>
        <v>155564</v>
      </c>
    </row>
    <row r="3435" spans="7:14" ht="11.25" customHeight="1" x14ac:dyDescent="0.3">
      <c r="G3435" s="470"/>
      <c r="H3435" s="470">
        <v>3428</v>
      </c>
      <c r="I3435" s="455">
        <f t="shared" ca="1" si="168"/>
        <v>618843959886.78625</v>
      </c>
      <c r="J3435" s="455">
        <f t="array" ref="J3435">IFERROR(INDEX('Retirement Calculator'!J:J,MATCH('Isaac 401k'!N3435,'Retirement Calculator'!A:A,0),0),0)</f>
        <v>0</v>
      </c>
      <c r="K3435" s="455">
        <f t="shared" ca="1" si="166"/>
        <v>2578516499.528276</v>
      </c>
      <c r="L3435" s="455">
        <f t="shared" ca="1" si="167"/>
        <v>621422476386.31458</v>
      </c>
      <c r="M3435" s="471">
        <f t="shared" si="169"/>
        <v>0.05</v>
      </c>
      <c r="N3435" s="475">
        <f t="shared" si="170"/>
        <v>155595</v>
      </c>
    </row>
    <row r="3436" spans="7:14" ht="11.25" customHeight="1" x14ac:dyDescent="0.3">
      <c r="G3436" s="470"/>
      <c r="H3436" s="470">
        <v>3429</v>
      </c>
      <c r="I3436" s="455">
        <f t="shared" ca="1" si="168"/>
        <v>621422476386.31458</v>
      </c>
      <c r="J3436" s="455">
        <f t="array" ref="J3436">IFERROR(INDEX('Retirement Calculator'!J:J,MATCH('Isaac 401k'!N3436,'Retirement Calculator'!A:A,0),0),0)</f>
        <v>0</v>
      </c>
      <c r="K3436" s="455">
        <f t="shared" ca="1" si="166"/>
        <v>2589260318.2763109</v>
      </c>
      <c r="L3436" s="455">
        <f t="shared" ca="1" si="167"/>
        <v>624011736704.59094</v>
      </c>
      <c r="M3436" s="471">
        <f t="shared" si="169"/>
        <v>0.05</v>
      </c>
      <c r="N3436" s="475">
        <f t="shared" si="170"/>
        <v>155626</v>
      </c>
    </row>
    <row r="3437" spans="7:14" ht="11.25" customHeight="1" x14ac:dyDescent="0.3">
      <c r="G3437" s="470"/>
      <c r="H3437" s="470">
        <v>3430</v>
      </c>
      <c r="I3437" s="455">
        <f t="shared" ca="1" si="168"/>
        <v>624011736704.59094</v>
      </c>
      <c r="J3437" s="455">
        <f t="array" ref="J3437">IFERROR(INDEX('Retirement Calculator'!J:J,MATCH('Isaac 401k'!N3437,'Retirement Calculator'!A:A,0),0),0)</f>
        <v>0</v>
      </c>
      <c r="K3437" s="455">
        <f t="shared" ca="1" si="166"/>
        <v>2600048902.9357958</v>
      </c>
      <c r="L3437" s="455">
        <f t="shared" ca="1" si="167"/>
        <v>626611785607.52673</v>
      </c>
      <c r="M3437" s="471">
        <f t="shared" si="169"/>
        <v>0.05</v>
      </c>
      <c r="N3437" s="475">
        <f t="shared" si="170"/>
        <v>155654</v>
      </c>
    </row>
    <row r="3438" spans="7:14" ht="11.25" customHeight="1" x14ac:dyDescent="0.3">
      <c r="G3438" s="470"/>
      <c r="H3438" s="470">
        <v>3431</v>
      </c>
      <c r="I3438" s="455">
        <f t="shared" ca="1" si="168"/>
        <v>626611785607.52673</v>
      </c>
      <c r="J3438" s="455">
        <f t="array" ref="J3438">IFERROR(INDEX('Retirement Calculator'!J:J,MATCH('Isaac 401k'!N3438,'Retirement Calculator'!A:A,0),0),0)</f>
        <v>0</v>
      </c>
      <c r="K3438" s="455">
        <f t="shared" ca="1" si="166"/>
        <v>2610882440.0313616</v>
      </c>
      <c r="L3438" s="455">
        <f t="shared" ca="1" si="167"/>
        <v>629222668047.55811</v>
      </c>
      <c r="M3438" s="471">
        <f t="shared" si="169"/>
        <v>0.05</v>
      </c>
      <c r="N3438" s="475">
        <f t="shared" si="170"/>
        <v>155685</v>
      </c>
    </row>
    <row r="3439" spans="7:14" ht="11.25" customHeight="1" x14ac:dyDescent="0.3">
      <c r="G3439" s="470"/>
      <c r="H3439" s="470">
        <v>3432</v>
      </c>
      <c r="I3439" s="455">
        <f t="shared" ca="1" si="168"/>
        <v>629222668047.55811</v>
      </c>
      <c r="J3439" s="455">
        <f t="array" ref="J3439">IFERROR(INDEX('Retirement Calculator'!J:J,MATCH('Isaac 401k'!N3439,'Retirement Calculator'!A:A,0),0),0)</f>
        <v>0</v>
      </c>
      <c r="K3439" s="455">
        <f t="shared" ca="1" si="166"/>
        <v>2621761116.8648252</v>
      </c>
      <c r="L3439" s="455">
        <f t="shared" ca="1" si="167"/>
        <v>631844429164.42297</v>
      </c>
      <c r="M3439" s="471">
        <f t="shared" si="169"/>
        <v>0.05</v>
      </c>
      <c r="N3439" s="475">
        <f t="shared" si="170"/>
        <v>155715</v>
      </c>
    </row>
    <row r="3440" spans="7:14" ht="11.25" customHeight="1" x14ac:dyDescent="0.3">
      <c r="G3440" s="470"/>
      <c r="H3440" s="470">
        <v>3433</v>
      </c>
      <c r="I3440" s="455">
        <f t="shared" ca="1" si="168"/>
        <v>631844429164.42297</v>
      </c>
      <c r="J3440" s="455">
        <f t="array" ref="J3440">IFERROR(INDEX('Retirement Calculator'!J:J,MATCH('Isaac 401k'!N3440,'Retirement Calculator'!A:A,0),0),0)</f>
        <v>0</v>
      </c>
      <c r="K3440" s="455">
        <f t="shared" ca="1" si="166"/>
        <v>2632685121.5184288</v>
      </c>
      <c r="L3440" s="455">
        <f t="shared" ca="1" si="167"/>
        <v>634477114285.94141</v>
      </c>
      <c r="M3440" s="471">
        <f t="shared" si="169"/>
        <v>0.05</v>
      </c>
      <c r="N3440" s="475">
        <f t="shared" si="170"/>
        <v>155746</v>
      </c>
    </row>
    <row r="3441" spans="7:14" ht="11.25" customHeight="1" x14ac:dyDescent="0.3">
      <c r="G3441" s="470"/>
      <c r="H3441" s="470">
        <v>3434</v>
      </c>
      <c r="I3441" s="455">
        <f t="shared" ca="1" si="168"/>
        <v>634477114285.94141</v>
      </c>
      <c r="J3441" s="455">
        <f t="array" ref="J3441">IFERROR(INDEX('Retirement Calculator'!J:J,MATCH('Isaac 401k'!N3441,'Retirement Calculator'!A:A,0),0),0)</f>
        <v>0</v>
      </c>
      <c r="K3441" s="455">
        <f t="shared" ca="1" si="166"/>
        <v>2643654642.858089</v>
      </c>
      <c r="L3441" s="455">
        <f t="shared" ca="1" si="167"/>
        <v>637120768928.79944</v>
      </c>
      <c r="M3441" s="471">
        <f t="shared" si="169"/>
        <v>0.05</v>
      </c>
      <c r="N3441" s="475">
        <f t="shared" si="170"/>
        <v>155776</v>
      </c>
    </row>
    <row r="3442" spans="7:14" ht="11.25" customHeight="1" x14ac:dyDescent="0.3">
      <c r="G3442" s="470"/>
      <c r="H3442" s="470">
        <v>3435</v>
      </c>
      <c r="I3442" s="455">
        <f t="shared" ca="1" si="168"/>
        <v>637120768928.79944</v>
      </c>
      <c r="J3442" s="455">
        <f t="array" ref="J3442">IFERROR(INDEX('Retirement Calculator'!J:J,MATCH('Isaac 401k'!N3442,'Retirement Calculator'!A:A,0),0),0)</f>
        <v>0</v>
      </c>
      <c r="K3442" s="455">
        <f t="shared" ca="1" si="166"/>
        <v>2654669870.5366645</v>
      </c>
      <c r="L3442" s="455">
        <f t="shared" ca="1" si="167"/>
        <v>639775438799.33606</v>
      </c>
      <c r="M3442" s="471">
        <f t="shared" si="169"/>
        <v>0.05</v>
      </c>
      <c r="N3442" s="475">
        <f t="shared" si="170"/>
        <v>155807</v>
      </c>
    </row>
    <row r="3443" spans="7:14" ht="11.25" customHeight="1" x14ac:dyDescent="0.3">
      <c r="G3443" s="470"/>
      <c r="H3443" s="470">
        <v>3436</v>
      </c>
      <c r="I3443" s="455">
        <f t="shared" ca="1" si="168"/>
        <v>639775438799.33606</v>
      </c>
      <c r="J3443" s="455">
        <f t="array" ref="J3443">IFERROR(INDEX('Retirement Calculator'!J:J,MATCH('Isaac 401k'!N3443,'Retirement Calculator'!A:A,0),0),0)</f>
        <v>0</v>
      </c>
      <c r="K3443" s="455">
        <f t="shared" ca="1" si="166"/>
        <v>2665730994.9972334</v>
      </c>
      <c r="L3443" s="455">
        <f t="shared" ca="1" si="167"/>
        <v>642441169794.33325</v>
      </c>
      <c r="M3443" s="471">
        <f t="shared" si="169"/>
        <v>0.05</v>
      </c>
      <c r="N3443" s="475">
        <f t="shared" si="170"/>
        <v>155838</v>
      </c>
    </row>
    <row r="3444" spans="7:14" ht="11.25" customHeight="1" x14ac:dyDescent="0.3">
      <c r="G3444" s="470"/>
      <c r="H3444" s="470">
        <v>3437</v>
      </c>
      <c r="I3444" s="455">
        <f t="shared" ca="1" si="168"/>
        <v>642441169794.33325</v>
      </c>
      <c r="J3444" s="455">
        <f t="array" ref="J3444">IFERROR(INDEX('Retirement Calculator'!J:J,MATCH('Isaac 401k'!N3444,'Retirement Calculator'!A:A,0),0),0)</f>
        <v>0</v>
      </c>
      <c r="K3444" s="455">
        <f t="shared" ca="1" si="166"/>
        <v>2676838207.4763885</v>
      </c>
      <c r="L3444" s="455">
        <f t="shared" ca="1" si="167"/>
        <v>645118008001.80969</v>
      </c>
      <c r="M3444" s="471">
        <f t="shared" si="169"/>
        <v>0.05</v>
      </c>
      <c r="N3444" s="475">
        <f t="shared" si="170"/>
        <v>155868</v>
      </c>
    </row>
    <row r="3445" spans="7:14" ht="11.25" customHeight="1" x14ac:dyDescent="0.3">
      <c r="G3445" s="470"/>
      <c r="H3445" s="470">
        <v>3438</v>
      </c>
      <c r="I3445" s="455">
        <f t="shared" ca="1" si="168"/>
        <v>645118008001.80969</v>
      </c>
      <c r="J3445" s="455">
        <f t="array" ref="J3445">IFERROR(INDEX('Retirement Calculator'!J:J,MATCH('Isaac 401k'!N3445,'Retirement Calculator'!A:A,0),0),0)</f>
        <v>0</v>
      </c>
      <c r="K3445" s="455">
        <f t="shared" ca="1" si="166"/>
        <v>2687991700.0075402</v>
      </c>
      <c r="L3445" s="455">
        <f t="shared" ca="1" si="167"/>
        <v>647805999701.81726</v>
      </c>
      <c r="M3445" s="471">
        <f t="shared" si="169"/>
        <v>0.05</v>
      </c>
      <c r="N3445" s="475">
        <f t="shared" si="170"/>
        <v>155899</v>
      </c>
    </row>
    <row r="3446" spans="7:14" ht="11.25" customHeight="1" x14ac:dyDescent="0.3">
      <c r="G3446" s="470"/>
      <c r="H3446" s="470">
        <v>3439</v>
      </c>
      <c r="I3446" s="455">
        <f t="shared" ca="1" si="168"/>
        <v>647805999701.81726</v>
      </c>
      <c r="J3446" s="455">
        <f t="array" ref="J3446">IFERROR(INDEX('Retirement Calculator'!J:J,MATCH('Isaac 401k'!N3446,'Retirement Calculator'!A:A,0),0),0)</f>
        <v>0</v>
      </c>
      <c r="K3446" s="455">
        <f t="shared" ca="1" si="166"/>
        <v>2699191665.4242387</v>
      </c>
      <c r="L3446" s="455">
        <f t="shared" ca="1" si="167"/>
        <v>650505191367.24146</v>
      </c>
      <c r="M3446" s="471">
        <f t="shared" si="169"/>
        <v>0.05</v>
      </c>
      <c r="N3446" s="475">
        <f t="shared" si="170"/>
        <v>155929</v>
      </c>
    </row>
    <row r="3447" spans="7:14" ht="11.25" customHeight="1" x14ac:dyDescent="0.3">
      <c r="G3447" s="470"/>
      <c r="H3447" s="470">
        <v>3440</v>
      </c>
      <c r="I3447" s="455">
        <f t="shared" ca="1" si="168"/>
        <v>650505191367.24146</v>
      </c>
      <c r="J3447" s="455">
        <f t="array" ref="J3447">IFERROR(INDEX('Retirement Calculator'!J:J,MATCH('Isaac 401k'!N3447,'Retirement Calculator'!A:A,0),0),0)</f>
        <v>0</v>
      </c>
      <c r="K3447" s="455">
        <f t="shared" ca="1" si="166"/>
        <v>2710438297.3635058</v>
      </c>
      <c r="L3447" s="455">
        <f t="shared" ca="1" si="167"/>
        <v>653215629664.60498</v>
      </c>
      <c r="M3447" s="471">
        <f t="shared" si="169"/>
        <v>0.05</v>
      </c>
      <c r="N3447" s="475">
        <f t="shared" si="170"/>
        <v>155960</v>
      </c>
    </row>
    <row r="3448" spans="7:14" ht="11.25" customHeight="1" x14ac:dyDescent="0.3">
      <c r="G3448" s="470"/>
      <c r="H3448" s="470">
        <v>3441</v>
      </c>
      <c r="I3448" s="455">
        <f t="shared" ca="1" si="168"/>
        <v>653215629664.60498</v>
      </c>
      <c r="J3448" s="455">
        <f t="array" ref="J3448">IFERROR(INDEX('Retirement Calculator'!J:J,MATCH('Isaac 401k'!N3448,'Retirement Calculator'!A:A,0),0),0)</f>
        <v>0</v>
      </c>
      <c r="K3448" s="455">
        <f t="shared" ca="1" si="166"/>
        <v>2721731790.2691875</v>
      </c>
      <c r="L3448" s="455">
        <f t="shared" ca="1" si="167"/>
        <v>655937361454.87415</v>
      </c>
      <c r="M3448" s="471">
        <f t="shared" si="169"/>
        <v>0.05</v>
      </c>
      <c r="N3448" s="475">
        <f t="shared" si="170"/>
        <v>155991</v>
      </c>
    </row>
    <row r="3449" spans="7:14" ht="11.25" customHeight="1" x14ac:dyDescent="0.3">
      <c r="G3449" s="470"/>
      <c r="H3449" s="470">
        <v>3442</v>
      </c>
      <c r="I3449" s="455">
        <f t="shared" ca="1" si="168"/>
        <v>655937361454.87415</v>
      </c>
      <c r="J3449" s="455">
        <f t="array" ref="J3449">IFERROR(INDEX('Retirement Calculator'!J:J,MATCH('Isaac 401k'!N3449,'Retirement Calculator'!A:A,0),0),0)</f>
        <v>0</v>
      </c>
      <c r="K3449" s="455">
        <f t="shared" ca="1" si="166"/>
        <v>2733072339.395309</v>
      </c>
      <c r="L3449" s="455">
        <f t="shared" ca="1" si="167"/>
        <v>658670433794.26941</v>
      </c>
      <c r="M3449" s="471">
        <f t="shared" si="169"/>
        <v>0.05</v>
      </c>
      <c r="N3449" s="475">
        <f t="shared" si="170"/>
        <v>156019</v>
      </c>
    </row>
    <row r="3450" spans="7:14" ht="11.25" customHeight="1" x14ac:dyDescent="0.3">
      <c r="G3450" s="470"/>
      <c r="H3450" s="470">
        <v>3443</v>
      </c>
      <c r="I3450" s="455">
        <f t="shared" ca="1" si="168"/>
        <v>658670433794.26941</v>
      </c>
      <c r="J3450" s="455">
        <f t="array" ref="J3450">IFERROR(INDEX('Retirement Calculator'!J:J,MATCH('Isaac 401k'!N3450,'Retirement Calculator'!A:A,0),0),0)</f>
        <v>0</v>
      </c>
      <c r="K3450" s="455">
        <f t="shared" ca="1" si="166"/>
        <v>2744460140.8094559</v>
      </c>
      <c r="L3450" s="455">
        <f t="shared" ca="1" si="167"/>
        <v>661414893935.07886</v>
      </c>
      <c r="M3450" s="471">
        <f t="shared" si="169"/>
        <v>0.05</v>
      </c>
      <c r="N3450" s="475">
        <f t="shared" si="170"/>
        <v>156050</v>
      </c>
    </row>
    <row r="3451" spans="7:14" ht="11.25" customHeight="1" x14ac:dyDescent="0.3">
      <c r="G3451" s="470"/>
      <c r="H3451" s="470">
        <v>3444</v>
      </c>
      <c r="I3451" s="455">
        <f t="shared" ca="1" si="168"/>
        <v>661414893935.07886</v>
      </c>
      <c r="J3451" s="455">
        <f t="array" ref="J3451">IFERROR(INDEX('Retirement Calculator'!J:J,MATCH('Isaac 401k'!N3451,'Retirement Calculator'!A:A,0),0),0)</f>
        <v>0</v>
      </c>
      <c r="K3451" s="455">
        <f t="shared" ca="1" si="166"/>
        <v>2755895391.396162</v>
      </c>
      <c r="L3451" s="455">
        <f t="shared" ca="1" si="167"/>
        <v>664170789326.47498</v>
      </c>
      <c r="M3451" s="471">
        <f t="shared" si="169"/>
        <v>0.05</v>
      </c>
      <c r="N3451" s="475">
        <f t="shared" si="170"/>
        <v>156080</v>
      </c>
    </row>
    <row r="3452" spans="7:14" ht="11.25" customHeight="1" x14ac:dyDescent="0.3">
      <c r="G3452" s="470"/>
      <c r="H3452" s="470">
        <v>3445</v>
      </c>
      <c r="I3452" s="455">
        <f t="shared" ca="1" si="168"/>
        <v>664170789326.47498</v>
      </c>
      <c r="J3452" s="455">
        <f t="array" ref="J3452">IFERROR(INDEX('Retirement Calculator'!J:J,MATCH('Isaac 401k'!N3452,'Retirement Calculator'!A:A,0),0),0)</f>
        <v>0</v>
      </c>
      <c r="K3452" s="455">
        <f t="shared" ca="1" si="166"/>
        <v>2767378288.8603125</v>
      </c>
      <c r="L3452" s="455">
        <f t="shared" ca="1" si="167"/>
        <v>666938167615.33533</v>
      </c>
      <c r="M3452" s="471">
        <f t="shared" si="169"/>
        <v>0.05</v>
      </c>
      <c r="N3452" s="475">
        <f t="shared" si="170"/>
        <v>156111</v>
      </c>
    </row>
    <row r="3453" spans="7:14" ht="11.25" customHeight="1" x14ac:dyDescent="0.3">
      <c r="G3453" s="470"/>
      <c r="H3453" s="470">
        <v>3446</v>
      </c>
      <c r="I3453" s="455">
        <f t="shared" ca="1" si="168"/>
        <v>666938167615.33533</v>
      </c>
      <c r="J3453" s="455">
        <f t="array" ref="J3453">IFERROR(INDEX('Retirement Calculator'!J:J,MATCH('Isaac 401k'!N3453,'Retirement Calculator'!A:A,0),0),0)</f>
        <v>0</v>
      </c>
      <c r="K3453" s="455">
        <f t="shared" ca="1" si="166"/>
        <v>2778909031.7305636</v>
      </c>
      <c r="L3453" s="455">
        <f t="shared" ca="1" si="167"/>
        <v>669717076647.06592</v>
      </c>
      <c r="M3453" s="471">
        <f t="shared" si="169"/>
        <v>0.05</v>
      </c>
      <c r="N3453" s="475">
        <f t="shared" si="170"/>
        <v>156141</v>
      </c>
    </row>
    <row r="3454" spans="7:14" ht="11.25" customHeight="1" x14ac:dyDescent="0.3">
      <c r="G3454" s="470"/>
      <c r="H3454" s="470">
        <v>3447</v>
      </c>
      <c r="I3454" s="455">
        <f t="shared" ca="1" si="168"/>
        <v>669717076647.06592</v>
      </c>
      <c r="J3454" s="455">
        <f t="array" ref="J3454">IFERROR(INDEX('Retirement Calculator'!J:J,MATCH('Isaac 401k'!N3454,'Retirement Calculator'!A:A,0),0),0)</f>
        <v>0</v>
      </c>
      <c r="K3454" s="455">
        <f t="shared" ca="1" si="166"/>
        <v>2790487819.3627748</v>
      </c>
      <c r="L3454" s="455">
        <f t="shared" ca="1" si="167"/>
        <v>672507564466.42871</v>
      </c>
      <c r="M3454" s="471">
        <f t="shared" si="169"/>
        <v>0.05</v>
      </c>
      <c r="N3454" s="475">
        <f t="shared" si="170"/>
        <v>156172</v>
      </c>
    </row>
    <row r="3455" spans="7:14" ht="11.25" customHeight="1" x14ac:dyDescent="0.3">
      <c r="G3455" s="470"/>
      <c r="H3455" s="470">
        <v>3448</v>
      </c>
      <c r="I3455" s="455">
        <f t="shared" ca="1" si="168"/>
        <v>672507564466.42871</v>
      </c>
      <c r="J3455" s="455">
        <f t="array" ref="J3455">IFERROR(INDEX('Retirement Calculator'!J:J,MATCH('Isaac 401k'!N3455,'Retirement Calculator'!A:A,0),0),0)</f>
        <v>0</v>
      </c>
      <c r="K3455" s="455">
        <f t="shared" ca="1" si="166"/>
        <v>2802114851.9434528</v>
      </c>
      <c r="L3455" s="455">
        <f t="shared" ca="1" si="167"/>
        <v>675309679318.37219</v>
      </c>
      <c r="M3455" s="471">
        <f t="shared" si="169"/>
        <v>0.05</v>
      </c>
      <c r="N3455" s="475">
        <f t="shared" si="170"/>
        <v>156203</v>
      </c>
    </row>
    <row r="3456" spans="7:14" ht="11.25" customHeight="1" x14ac:dyDescent="0.3">
      <c r="G3456" s="470"/>
      <c r="H3456" s="470">
        <v>3449</v>
      </c>
      <c r="I3456" s="455">
        <f t="shared" ca="1" si="168"/>
        <v>675309679318.37219</v>
      </c>
      <c r="J3456" s="455">
        <f t="array" ref="J3456">IFERROR(INDEX('Retirement Calculator'!J:J,MATCH('Isaac 401k'!N3456,'Retirement Calculator'!A:A,0),0),0)</f>
        <v>0</v>
      </c>
      <c r="K3456" s="455">
        <f t="shared" ca="1" si="166"/>
        <v>2813790330.4932175</v>
      </c>
      <c r="L3456" s="455">
        <f t="shared" ca="1" si="167"/>
        <v>678123469648.86536</v>
      </c>
      <c r="M3456" s="471">
        <f t="shared" si="169"/>
        <v>0.05</v>
      </c>
      <c r="N3456" s="475">
        <f t="shared" si="170"/>
        <v>156233</v>
      </c>
    </row>
    <row r="3457" spans="7:14" ht="11.25" customHeight="1" x14ac:dyDescent="0.3">
      <c r="G3457" s="470"/>
      <c r="H3457" s="470">
        <v>3450</v>
      </c>
      <c r="I3457" s="455">
        <f t="shared" ca="1" si="168"/>
        <v>678123469648.86536</v>
      </c>
      <c r="J3457" s="455">
        <f t="array" ref="J3457">IFERROR(INDEX('Retirement Calculator'!J:J,MATCH('Isaac 401k'!N3457,'Retirement Calculator'!A:A,0),0),0)</f>
        <v>0</v>
      </c>
      <c r="K3457" s="455">
        <f t="shared" ca="1" si="166"/>
        <v>2825514456.8702722</v>
      </c>
      <c r="L3457" s="455">
        <f t="shared" ca="1" si="167"/>
        <v>680948984105.7356</v>
      </c>
      <c r="M3457" s="471">
        <f t="shared" si="169"/>
        <v>0.05</v>
      </c>
      <c r="N3457" s="475">
        <f t="shared" si="170"/>
        <v>156264</v>
      </c>
    </row>
    <row r="3458" spans="7:14" ht="11.25" customHeight="1" x14ac:dyDescent="0.3">
      <c r="G3458" s="470"/>
      <c r="H3458" s="470">
        <v>3451</v>
      </c>
      <c r="I3458" s="455">
        <f t="shared" ca="1" si="168"/>
        <v>680948984105.7356</v>
      </c>
      <c r="J3458" s="455">
        <f t="array" ref="J3458">IFERROR(INDEX('Retirement Calculator'!J:J,MATCH('Isaac 401k'!N3458,'Retirement Calculator'!A:A,0),0),0)</f>
        <v>0</v>
      </c>
      <c r="K3458" s="455">
        <f t="shared" ca="1" si="166"/>
        <v>2837287433.7738981</v>
      </c>
      <c r="L3458" s="455">
        <f t="shared" ca="1" si="167"/>
        <v>683786271539.50952</v>
      </c>
      <c r="M3458" s="471">
        <f t="shared" si="169"/>
        <v>0.05</v>
      </c>
      <c r="N3458" s="475">
        <f t="shared" si="170"/>
        <v>156294</v>
      </c>
    </row>
    <row r="3459" spans="7:14" ht="11.25" customHeight="1" x14ac:dyDescent="0.3">
      <c r="G3459" s="470"/>
      <c r="H3459" s="470">
        <v>3452</v>
      </c>
      <c r="I3459" s="455">
        <f t="shared" ca="1" si="168"/>
        <v>683786271539.50952</v>
      </c>
      <c r="J3459" s="455">
        <f t="array" ref="J3459">IFERROR(INDEX('Retirement Calculator'!J:J,MATCH('Isaac 401k'!N3459,'Retirement Calculator'!A:A,0),0),0)</f>
        <v>0</v>
      </c>
      <c r="K3459" s="455">
        <f t="shared" ca="1" si="166"/>
        <v>2849109464.7479563</v>
      </c>
      <c r="L3459" s="455">
        <f t="shared" ca="1" si="167"/>
        <v>686635381004.25745</v>
      </c>
      <c r="M3459" s="471">
        <f t="shared" si="169"/>
        <v>0.05</v>
      </c>
      <c r="N3459" s="475">
        <f t="shared" si="170"/>
        <v>156325</v>
      </c>
    </row>
    <row r="3460" spans="7:14" ht="11.25" customHeight="1" x14ac:dyDescent="0.3">
      <c r="G3460" s="470"/>
      <c r="H3460" s="470">
        <v>3453</v>
      </c>
      <c r="I3460" s="455">
        <f t="shared" ca="1" si="168"/>
        <v>686635381004.25745</v>
      </c>
      <c r="J3460" s="455">
        <f t="array" ref="J3460">IFERROR(INDEX('Retirement Calculator'!J:J,MATCH('Isaac 401k'!N3460,'Retirement Calculator'!A:A,0),0),0)</f>
        <v>0</v>
      </c>
      <c r="K3460" s="455">
        <f t="shared" ca="1" si="166"/>
        <v>2860980754.1844058</v>
      </c>
      <c r="L3460" s="455">
        <f t="shared" ca="1" si="167"/>
        <v>689496361758.44189</v>
      </c>
      <c r="M3460" s="471">
        <f t="shared" si="169"/>
        <v>0.05</v>
      </c>
      <c r="N3460" s="475">
        <f t="shared" si="170"/>
        <v>156356</v>
      </c>
    </row>
    <row r="3461" spans="7:14" ht="11.25" customHeight="1" x14ac:dyDescent="0.3">
      <c r="G3461" s="470"/>
      <c r="H3461" s="470">
        <v>3454</v>
      </c>
      <c r="I3461" s="455">
        <f t="shared" ca="1" si="168"/>
        <v>689496361758.44189</v>
      </c>
      <c r="J3461" s="455">
        <f t="array" ref="J3461">IFERROR(INDEX('Retirement Calculator'!J:J,MATCH('Isaac 401k'!N3461,'Retirement Calculator'!A:A,0),0),0)</f>
        <v>0</v>
      </c>
      <c r="K3461" s="455">
        <f t="shared" ca="1" si="166"/>
        <v>2872901507.3268414</v>
      </c>
      <c r="L3461" s="455">
        <f t="shared" ca="1" si="167"/>
        <v>692369263265.76868</v>
      </c>
      <c r="M3461" s="471">
        <f t="shared" si="169"/>
        <v>0.05</v>
      </c>
      <c r="N3461" s="475">
        <f t="shared" si="170"/>
        <v>156385</v>
      </c>
    </row>
    <row r="3462" spans="7:14" ht="11.25" customHeight="1" x14ac:dyDescent="0.3">
      <c r="G3462" s="470"/>
      <c r="H3462" s="470">
        <v>3455</v>
      </c>
      <c r="I3462" s="455">
        <f t="shared" ca="1" si="168"/>
        <v>692369263265.76868</v>
      </c>
      <c r="J3462" s="455">
        <f t="array" ref="J3462">IFERROR(INDEX('Retirement Calculator'!J:J,MATCH('Isaac 401k'!N3462,'Retirement Calculator'!A:A,0),0),0)</f>
        <v>0</v>
      </c>
      <c r="K3462" s="455">
        <f t="shared" ca="1" si="166"/>
        <v>2884871930.2740359</v>
      </c>
      <c r="L3462" s="455">
        <f t="shared" ca="1" si="167"/>
        <v>695254135196.04272</v>
      </c>
      <c r="M3462" s="471">
        <f t="shared" si="169"/>
        <v>0.05</v>
      </c>
      <c r="N3462" s="475">
        <f t="shared" si="170"/>
        <v>156416</v>
      </c>
    </row>
    <row r="3463" spans="7:14" ht="11.25" customHeight="1" x14ac:dyDescent="0.3">
      <c r="G3463" s="470"/>
      <c r="H3463" s="470">
        <v>3456</v>
      </c>
      <c r="I3463" s="455">
        <f t="shared" ca="1" si="168"/>
        <v>695254135196.04272</v>
      </c>
      <c r="J3463" s="455">
        <f t="array" ref="J3463">IFERROR(INDEX('Retirement Calculator'!J:J,MATCH('Isaac 401k'!N3463,'Retirement Calculator'!A:A,0),0),0)</f>
        <v>0</v>
      </c>
      <c r="K3463" s="455">
        <f t="shared" ca="1" si="166"/>
        <v>2896892229.9835114</v>
      </c>
      <c r="L3463" s="455">
        <f t="shared" ca="1" si="167"/>
        <v>698151027426.02625</v>
      </c>
      <c r="M3463" s="471">
        <f t="shared" si="169"/>
        <v>0.05</v>
      </c>
      <c r="N3463" s="475">
        <f t="shared" si="170"/>
        <v>156446</v>
      </c>
    </row>
    <row r="3464" spans="7:14" ht="11.25" customHeight="1" x14ac:dyDescent="0.3">
      <c r="G3464" s="470"/>
      <c r="H3464" s="470">
        <v>3457</v>
      </c>
      <c r="I3464" s="455">
        <f t="shared" ca="1" si="168"/>
        <v>698151027426.02625</v>
      </c>
      <c r="J3464" s="455">
        <f t="array" ref="J3464">IFERROR(INDEX('Retirement Calculator'!J:J,MATCH('Isaac 401k'!N3464,'Retirement Calculator'!A:A,0),0),0)</f>
        <v>0</v>
      </c>
      <c r="K3464" s="455">
        <f t="shared" ca="1" si="166"/>
        <v>2908962614.2751093</v>
      </c>
      <c r="L3464" s="455">
        <f t="shared" ca="1" si="167"/>
        <v>701059990040.30139</v>
      </c>
      <c r="M3464" s="471">
        <f t="shared" si="169"/>
        <v>0.05</v>
      </c>
      <c r="N3464" s="475">
        <f t="shared" si="170"/>
        <v>156477</v>
      </c>
    </row>
    <row r="3465" spans="7:14" ht="11.25" customHeight="1" x14ac:dyDescent="0.3">
      <c r="G3465" s="470"/>
      <c r="H3465" s="470">
        <v>3458</v>
      </c>
      <c r="I3465" s="455">
        <f t="shared" ca="1" si="168"/>
        <v>701059990040.30139</v>
      </c>
      <c r="J3465" s="455">
        <f t="array" ref="J3465">IFERROR(INDEX('Retirement Calculator'!J:J,MATCH('Isaac 401k'!N3465,'Retirement Calculator'!A:A,0),0),0)</f>
        <v>0</v>
      </c>
      <c r="K3465" s="455">
        <f t="shared" ca="1" si="166"/>
        <v>2921083291.834589</v>
      </c>
      <c r="L3465" s="455">
        <f t="shared" ca="1" si="167"/>
        <v>703981073332.13599</v>
      </c>
      <c r="M3465" s="471">
        <f t="shared" si="169"/>
        <v>0.05</v>
      </c>
      <c r="N3465" s="475">
        <f t="shared" si="170"/>
        <v>156507</v>
      </c>
    </row>
    <row r="3466" spans="7:14" ht="11.25" customHeight="1" x14ac:dyDescent="0.3">
      <c r="G3466" s="470"/>
      <c r="H3466" s="470">
        <v>3459</v>
      </c>
      <c r="I3466" s="455">
        <f t="shared" ca="1" si="168"/>
        <v>703981073332.13599</v>
      </c>
      <c r="J3466" s="455">
        <f t="array" ref="J3466">IFERROR(INDEX('Retirement Calculator'!J:J,MATCH('Isaac 401k'!N3466,'Retirement Calculator'!A:A,0),0),0)</f>
        <v>0</v>
      </c>
      <c r="K3466" s="455">
        <f t="shared" ca="1" si="166"/>
        <v>2933254472.2172332</v>
      </c>
      <c r="L3466" s="455">
        <f t="shared" ca="1" si="167"/>
        <v>706914327804.35327</v>
      </c>
      <c r="M3466" s="471">
        <f t="shared" si="169"/>
        <v>0.05</v>
      </c>
      <c r="N3466" s="475">
        <f t="shared" si="170"/>
        <v>156538</v>
      </c>
    </row>
    <row r="3467" spans="7:14" ht="11.25" customHeight="1" x14ac:dyDescent="0.3">
      <c r="G3467" s="470"/>
      <c r="H3467" s="470">
        <v>3460</v>
      </c>
      <c r="I3467" s="455">
        <f t="shared" ca="1" si="168"/>
        <v>706914327804.35327</v>
      </c>
      <c r="J3467" s="455">
        <f t="array" ref="J3467">IFERROR(INDEX('Retirement Calculator'!J:J,MATCH('Isaac 401k'!N3467,'Retirement Calculator'!A:A,0),0),0)</f>
        <v>0</v>
      </c>
      <c r="K3467" s="455">
        <f t="shared" ca="1" si="166"/>
        <v>2945476365.8514719</v>
      </c>
      <c r="L3467" s="455">
        <f t="shared" ca="1" si="167"/>
        <v>709859804170.20471</v>
      </c>
      <c r="M3467" s="471">
        <f t="shared" si="169"/>
        <v>0.05</v>
      </c>
      <c r="N3467" s="475">
        <f t="shared" si="170"/>
        <v>156569</v>
      </c>
    </row>
    <row r="3468" spans="7:14" ht="11.25" customHeight="1" x14ac:dyDescent="0.3">
      <c r="G3468" s="470"/>
      <c r="H3468" s="470">
        <v>3461</v>
      </c>
      <c r="I3468" s="455">
        <f t="shared" ca="1" si="168"/>
        <v>709859804170.20471</v>
      </c>
      <c r="J3468" s="455">
        <f t="array" ref="J3468">IFERROR(INDEX('Retirement Calculator'!J:J,MATCH('Isaac 401k'!N3468,'Retirement Calculator'!A:A,0),0),0)</f>
        <v>0</v>
      </c>
      <c r="K3468" s="455">
        <f t="shared" ca="1" si="166"/>
        <v>2957749184.0425196</v>
      </c>
      <c r="L3468" s="455">
        <f t="shared" ca="1" si="167"/>
        <v>712817553354.24719</v>
      </c>
      <c r="M3468" s="471">
        <f t="shared" si="169"/>
        <v>0.05</v>
      </c>
      <c r="N3468" s="475">
        <f t="shared" si="170"/>
        <v>156599</v>
      </c>
    </row>
    <row r="3469" spans="7:14" ht="11.25" customHeight="1" x14ac:dyDescent="0.3">
      <c r="G3469" s="470"/>
      <c r="H3469" s="470">
        <v>3462</v>
      </c>
      <c r="I3469" s="455">
        <f t="shared" ca="1" si="168"/>
        <v>712817553354.24719</v>
      </c>
      <c r="J3469" s="455">
        <f t="array" ref="J3469">IFERROR(INDEX('Retirement Calculator'!J:J,MATCH('Isaac 401k'!N3469,'Retirement Calculator'!A:A,0),0),0)</f>
        <v>0</v>
      </c>
      <c r="K3469" s="455">
        <f t="shared" ca="1" si="166"/>
        <v>2970073138.9760299</v>
      </c>
      <c r="L3469" s="455">
        <f t="shared" ca="1" si="167"/>
        <v>715787626493.22327</v>
      </c>
      <c r="M3469" s="471">
        <f t="shared" si="169"/>
        <v>0.05</v>
      </c>
      <c r="N3469" s="475">
        <f t="shared" si="170"/>
        <v>156630</v>
      </c>
    </row>
    <row r="3470" spans="7:14" ht="11.25" customHeight="1" x14ac:dyDescent="0.3">
      <c r="G3470" s="470"/>
      <c r="H3470" s="470">
        <v>3463</v>
      </c>
      <c r="I3470" s="455">
        <f t="shared" ca="1" si="168"/>
        <v>715787626493.22327</v>
      </c>
      <c r="J3470" s="455">
        <f t="array" ref="J3470">IFERROR(INDEX('Retirement Calculator'!J:J,MATCH('Isaac 401k'!N3470,'Retirement Calculator'!A:A,0),0),0)</f>
        <v>0</v>
      </c>
      <c r="K3470" s="455">
        <f t="shared" ca="1" si="166"/>
        <v>2982448443.7217636</v>
      </c>
      <c r="L3470" s="455">
        <f t="shared" ca="1" si="167"/>
        <v>718770074936.94507</v>
      </c>
      <c r="M3470" s="471">
        <f t="shared" si="169"/>
        <v>0.05</v>
      </c>
      <c r="N3470" s="475">
        <f t="shared" si="170"/>
        <v>156660</v>
      </c>
    </row>
    <row r="3471" spans="7:14" ht="11.25" customHeight="1" x14ac:dyDescent="0.3">
      <c r="G3471" s="470"/>
      <c r="H3471" s="470">
        <v>3464</v>
      </c>
      <c r="I3471" s="455">
        <f t="shared" ca="1" si="168"/>
        <v>718770074936.94507</v>
      </c>
      <c r="J3471" s="455">
        <f t="array" ref="J3471">IFERROR(INDEX('Retirement Calculator'!J:J,MATCH('Isaac 401k'!N3471,'Retirement Calculator'!A:A,0),0),0)</f>
        <v>0</v>
      </c>
      <c r="K3471" s="455">
        <f t="shared" ca="1" si="166"/>
        <v>2994875312.2372713</v>
      </c>
      <c r="L3471" s="455">
        <f t="shared" ca="1" si="167"/>
        <v>721764950249.18237</v>
      </c>
      <c r="M3471" s="471">
        <f t="shared" si="169"/>
        <v>0.05</v>
      </c>
      <c r="N3471" s="475">
        <f t="shared" si="170"/>
        <v>156691</v>
      </c>
    </row>
    <row r="3472" spans="7:14" ht="11.25" customHeight="1" x14ac:dyDescent="0.3">
      <c r="G3472" s="470"/>
      <c r="H3472" s="470">
        <v>3465</v>
      </c>
      <c r="I3472" s="455">
        <f t="shared" ca="1" si="168"/>
        <v>721764950249.18237</v>
      </c>
      <c r="J3472" s="455">
        <f t="array" ref="J3472">IFERROR(INDEX('Retirement Calculator'!J:J,MATCH('Isaac 401k'!N3472,'Retirement Calculator'!A:A,0),0),0)</f>
        <v>0</v>
      </c>
      <c r="K3472" s="455">
        <f t="shared" ca="1" si="166"/>
        <v>3007353959.371593</v>
      </c>
      <c r="L3472" s="455">
        <f t="shared" ca="1" si="167"/>
        <v>724772304208.55396</v>
      </c>
      <c r="M3472" s="471">
        <f t="shared" si="169"/>
        <v>0.05</v>
      </c>
      <c r="N3472" s="475">
        <f t="shared" si="170"/>
        <v>156722</v>
      </c>
    </row>
    <row r="3473" spans="7:14" ht="11.25" customHeight="1" x14ac:dyDescent="0.3">
      <c r="G3473" s="470"/>
      <c r="H3473" s="470">
        <v>3466</v>
      </c>
      <c r="I3473" s="455">
        <f t="shared" ca="1" si="168"/>
        <v>724772304208.55396</v>
      </c>
      <c r="J3473" s="455">
        <f t="array" ref="J3473">IFERROR(INDEX('Retirement Calculator'!J:J,MATCH('Isaac 401k'!N3473,'Retirement Calculator'!A:A,0),0),0)</f>
        <v>0</v>
      </c>
      <c r="K3473" s="455">
        <f t="shared" ca="1" si="166"/>
        <v>3019884600.8689747</v>
      </c>
      <c r="L3473" s="455">
        <f t="shared" ca="1" si="167"/>
        <v>727792188809.42297</v>
      </c>
      <c r="M3473" s="471">
        <f t="shared" si="169"/>
        <v>0.05</v>
      </c>
      <c r="N3473" s="475">
        <f t="shared" si="170"/>
        <v>156750</v>
      </c>
    </row>
    <row r="3474" spans="7:14" ht="11.25" customHeight="1" x14ac:dyDescent="0.3">
      <c r="G3474" s="470"/>
      <c r="H3474" s="470">
        <v>3467</v>
      </c>
      <c r="I3474" s="455">
        <f t="shared" ca="1" si="168"/>
        <v>727792188809.42297</v>
      </c>
      <c r="J3474" s="455">
        <f t="array" ref="J3474">IFERROR(INDEX('Retirement Calculator'!J:J,MATCH('Isaac 401k'!N3474,'Retirement Calculator'!A:A,0),0),0)</f>
        <v>0</v>
      </c>
      <c r="K3474" s="455">
        <f t="shared" ca="1" si="166"/>
        <v>3032467453.3725958</v>
      </c>
      <c r="L3474" s="455">
        <f t="shared" ca="1" si="167"/>
        <v>730824656262.79553</v>
      </c>
      <c r="M3474" s="471">
        <f t="shared" si="169"/>
        <v>0.05</v>
      </c>
      <c r="N3474" s="475">
        <f t="shared" si="170"/>
        <v>156781</v>
      </c>
    </row>
    <row r="3475" spans="7:14" ht="11.25" customHeight="1" x14ac:dyDescent="0.3">
      <c r="G3475" s="470"/>
      <c r="H3475" s="470">
        <v>3468</v>
      </c>
      <c r="I3475" s="455">
        <f t="shared" ca="1" si="168"/>
        <v>730824656262.79553</v>
      </c>
      <c r="J3475" s="455">
        <f t="array" ref="J3475">IFERROR(INDEX('Retirement Calculator'!J:J,MATCH('Isaac 401k'!N3475,'Retirement Calculator'!A:A,0),0),0)</f>
        <v>0</v>
      </c>
      <c r="K3475" s="455">
        <f t="shared" ca="1" si="166"/>
        <v>3045102734.4283147</v>
      </c>
      <c r="L3475" s="455">
        <f t="shared" ca="1" si="167"/>
        <v>733869758997.22388</v>
      </c>
      <c r="M3475" s="471">
        <f t="shared" si="169"/>
        <v>0.05</v>
      </c>
      <c r="N3475" s="475">
        <f t="shared" si="170"/>
        <v>156811</v>
      </c>
    </row>
    <row r="3476" spans="7:14" ht="11.25" customHeight="1" x14ac:dyDescent="0.3">
      <c r="G3476" s="470"/>
      <c r="H3476" s="470">
        <v>3469</v>
      </c>
      <c r="I3476" s="455">
        <f t="shared" ca="1" si="168"/>
        <v>733869758997.22388</v>
      </c>
      <c r="J3476" s="455">
        <f t="array" ref="J3476">IFERROR(INDEX('Retirement Calculator'!J:J,MATCH('Isaac 401k'!N3476,'Retirement Calculator'!A:A,0),0),0)</f>
        <v>0</v>
      </c>
      <c r="K3476" s="455">
        <f t="shared" ca="1" si="166"/>
        <v>3057790662.4884329</v>
      </c>
      <c r="L3476" s="455">
        <f t="shared" ca="1" si="167"/>
        <v>736927549659.71228</v>
      </c>
      <c r="M3476" s="471">
        <f t="shared" si="169"/>
        <v>0.05</v>
      </c>
      <c r="N3476" s="475">
        <f t="shared" si="170"/>
        <v>156842</v>
      </c>
    </row>
    <row r="3477" spans="7:14" ht="11.25" customHeight="1" x14ac:dyDescent="0.3">
      <c r="G3477" s="470"/>
      <c r="H3477" s="470">
        <v>3470</v>
      </c>
      <c r="I3477" s="455">
        <f t="shared" ca="1" si="168"/>
        <v>736927549659.71228</v>
      </c>
      <c r="J3477" s="455">
        <f t="array" ref="J3477">IFERROR(INDEX('Retirement Calculator'!J:J,MATCH('Isaac 401k'!N3477,'Retirement Calculator'!A:A,0),0),0)</f>
        <v>0</v>
      </c>
      <c r="K3477" s="455">
        <f t="shared" ca="1" si="166"/>
        <v>3070531456.9154677</v>
      </c>
      <c r="L3477" s="455">
        <f t="shared" ca="1" si="167"/>
        <v>739998081116.62781</v>
      </c>
      <c r="M3477" s="471">
        <f t="shared" si="169"/>
        <v>0.05</v>
      </c>
      <c r="N3477" s="475">
        <f t="shared" si="170"/>
        <v>156872</v>
      </c>
    </row>
    <row r="3478" spans="7:14" ht="11.25" customHeight="1" x14ac:dyDescent="0.3">
      <c r="G3478" s="470"/>
      <c r="H3478" s="470">
        <v>3471</v>
      </c>
      <c r="I3478" s="455">
        <f t="shared" ca="1" si="168"/>
        <v>739998081116.62781</v>
      </c>
      <c r="J3478" s="455">
        <f t="array" ref="J3478">IFERROR(INDEX('Retirement Calculator'!J:J,MATCH('Isaac 401k'!N3478,'Retirement Calculator'!A:A,0),0),0)</f>
        <v>0</v>
      </c>
      <c r="K3478" s="455">
        <f t="shared" ca="1" si="166"/>
        <v>3083325337.985949</v>
      </c>
      <c r="L3478" s="455">
        <f t="shared" ca="1" si="167"/>
        <v>743081406454.61377</v>
      </c>
      <c r="M3478" s="471">
        <f t="shared" si="169"/>
        <v>0.05</v>
      </c>
      <c r="N3478" s="475">
        <f t="shared" si="170"/>
        <v>156903</v>
      </c>
    </row>
    <row r="3479" spans="7:14" ht="11.25" customHeight="1" x14ac:dyDescent="0.3">
      <c r="G3479" s="470"/>
      <c r="H3479" s="470">
        <v>3472</v>
      </c>
      <c r="I3479" s="455">
        <f t="shared" ca="1" si="168"/>
        <v>743081406454.61377</v>
      </c>
      <c r="J3479" s="455">
        <f t="array" ref="J3479">IFERROR(INDEX('Retirement Calculator'!J:J,MATCH('Isaac 401k'!N3479,'Retirement Calculator'!A:A,0),0),0)</f>
        <v>0</v>
      </c>
      <c r="K3479" s="455">
        <f t="shared" ca="1" si="166"/>
        <v>3096172526.8942242</v>
      </c>
      <c r="L3479" s="455">
        <f t="shared" ca="1" si="167"/>
        <v>746177578981.50793</v>
      </c>
      <c r="M3479" s="471">
        <f t="shared" si="169"/>
        <v>0.05</v>
      </c>
      <c r="N3479" s="475">
        <f t="shared" si="170"/>
        <v>156934</v>
      </c>
    </row>
    <row r="3480" spans="7:14" ht="11.25" customHeight="1" x14ac:dyDescent="0.3">
      <c r="G3480" s="470"/>
      <c r="H3480" s="470">
        <v>3473</v>
      </c>
      <c r="I3480" s="455">
        <f t="shared" ca="1" si="168"/>
        <v>746177578981.50793</v>
      </c>
      <c r="J3480" s="455">
        <f t="array" ref="J3480">IFERROR(INDEX('Retirement Calculator'!J:J,MATCH('Isaac 401k'!N3480,'Retirement Calculator'!A:A,0),0),0)</f>
        <v>0</v>
      </c>
      <c r="K3480" s="455">
        <f t="shared" ca="1" si="166"/>
        <v>3109073245.7562828</v>
      </c>
      <c r="L3480" s="455">
        <f t="shared" ca="1" si="167"/>
        <v>749286652227.26416</v>
      </c>
      <c r="M3480" s="471">
        <f t="shared" si="169"/>
        <v>0.05</v>
      </c>
      <c r="N3480" s="475">
        <f t="shared" si="170"/>
        <v>156964</v>
      </c>
    </row>
    <row r="3481" spans="7:14" ht="11.25" customHeight="1" x14ac:dyDescent="0.3">
      <c r="G3481" s="470"/>
      <c r="H3481" s="470">
        <v>3474</v>
      </c>
      <c r="I3481" s="455">
        <f t="shared" ca="1" si="168"/>
        <v>749286652227.26416</v>
      </c>
      <c r="J3481" s="455">
        <f t="array" ref="J3481">IFERROR(INDEX('Retirement Calculator'!J:J,MATCH('Isaac 401k'!N3481,'Retirement Calculator'!A:A,0),0),0)</f>
        <v>0</v>
      </c>
      <c r="K3481" s="455">
        <f t="shared" ca="1" si="166"/>
        <v>3122027717.6136007</v>
      </c>
      <c r="L3481" s="455">
        <f t="shared" ca="1" si="167"/>
        <v>752408679944.87781</v>
      </c>
      <c r="M3481" s="471">
        <f t="shared" si="169"/>
        <v>0.05</v>
      </c>
      <c r="N3481" s="475">
        <f t="shared" si="170"/>
        <v>156995</v>
      </c>
    </row>
    <row r="3482" spans="7:14" ht="11.25" customHeight="1" x14ac:dyDescent="0.3">
      <c r="G3482" s="470"/>
      <c r="H3482" s="470">
        <v>3475</v>
      </c>
      <c r="I3482" s="455">
        <f t="shared" ca="1" si="168"/>
        <v>752408679944.87781</v>
      </c>
      <c r="J3482" s="455">
        <f t="array" ref="J3482">IFERROR(INDEX('Retirement Calculator'!J:J,MATCH('Isaac 401k'!N3482,'Retirement Calculator'!A:A,0),0),0)</f>
        <v>0</v>
      </c>
      <c r="K3482" s="455">
        <f t="shared" ca="1" si="166"/>
        <v>3135036166.4369907</v>
      </c>
      <c r="L3482" s="455">
        <f t="shared" ca="1" si="167"/>
        <v>755543716111.31482</v>
      </c>
      <c r="M3482" s="471">
        <f t="shared" si="169"/>
        <v>0.05</v>
      </c>
      <c r="N3482" s="475">
        <f t="shared" si="170"/>
        <v>157025</v>
      </c>
    </row>
    <row r="3483" spans="7:14" ht="11.25" customHeight="1" x14ac:dyDescent="0.3">
      <c r="G3483" s="470"/>
      <c r="H3483" s="470">
        <v>3476</v>
      </c>
      <c r="I3483" s="455">
        <f t="shared" ca="1" si="168"/>
        <v>755543716111.31482</v>
      </c>
      <c r="J3483" s="455">
        <f t="array" ref="J3483">IFERROR(INDEX('Retirement Calculator'!J:J,MATCH('Isaac 401k'!N3483,'Retirement Calculator'!A:A,0),0),0)</f>
        <v>0</v>
      </c>
      <c r="K3483" s="455">
        <f t="shared" ca="1" si="166"/>
        <v>3148098817.1304784</v>
      </c>
      <c r="L3483" s="455">
        <f t="shared" ca="1" si="167"/>
        <v>758691814928.44531</v>
      </c>
      <c r="M3483" s="471">
        <f t="shared" si="169"/>
        <v>0.05</v>
      </c>
      <c r="N3483" s="475">
        <f t="shared" si="170"/>
        <v>157056</v>
      </c>
    </row>
    <row r="3484" spans="7:14" ht="11.25" customHeight="1" x14ac:dyDescent="0.3">
      <c r="G3484" s="470"/>
      <c r="H3484" s="470">
        <v>3477</v>
      </c>
      <c r="I3484" s="455">
        <f t="shared" ca="1" si="168"/>
        <v>758691814928.44531</v>
      </c>
      <c r="J3484" s="455">
        <f t="array" ref="J3484">IFERROR(INDEX('Retirement Calculator'!J:J,MATCH('Isaac 401k'!N3484,'Retirement Calculator'!A:A,0),0),0)</f>
        <v>0</v>
      </c>
      <c r="K3484" s="455">
        <f t="shared" ca="1" si="166"/>
        <v>3161215895.5351887</v>
      </c>
      <c r="L3484" s="455">
        <f t="shared" ca="1" si="167"/>
        <v>761853030823.98047</v>
      </c>
      <c r="M3484" s="471">
        <f t="shared" si="169"/>
        <v>0.05</v>
      </c>
      <c r="N3484" s="475">
        <f t="shared" si="170"/>
        <v>157087</v>
      </c>
    </row>
    <row r="3485" spans="7:14" ht="11.25" customHeight="1" x14ac:dyDescent="0.3">
      <c r="G3485" s="470"/>
      <c r="H3485" s="470">
        <v>3478</v>
      </c>
      <c r="I3485" s="455">
        <f t="shared" ca="1" si="168"/>
        <v>761853030823.98047</v>
      </c>
      <c r="J3485" s="455">
        <f t="array" ref="J3485">IFERROR(INDEX('Retirement Calculator'!J:J,MATCH('Isaac 401k'!N3485,'Retirement Calculator'!A:A,0),0),0)</f>
        <v>0</v>
      </c>
      <c r="K3485" s="455">
        <f t="shared" ca="1" si="166"/>
        <v>3174387628.4332519</v>
      </c>
      <c r="L3485" s="455">
        <f t="shared" ca="1" si="167"/>
        <v>765027418452.4137</v>
      </c>
      <c r="M3485" s="471">
        <f t="shared" si="169"/>
        <v>0.05</v>
      </c>
      <c r="N3485" s="475">
        <f t="shared" si="170"/>
        <v>157115</v>
      </c>
    </row>
    <row r="3486" spans="7:14" ht="11.25" customHeight="1" x14ac:dyDescent="0.3">
      <c r="G3486" s="470"/>
      <c r="H3486" s="470">
        <v>3479</v>
      </c>
      <c r="I3486" s="455">
        <f t="shared" ca="1" si="168"/>
        <v>765027418452.4137</v>
      </c>
      <c r="J3486" s="455">
        <f t="array" ref="J3486">IFERROR(INDEX('Retirement Calculator'!J:J,MATCH('Isaac 401k'!N3486,'Retirement Calculator'!A:A,0),0),0)</f>
        <v>0</v>
      </c>
      <c r="K3486" s="455">
        <f t="shared" ca="1" si="166"/>
        <v>3187614243.5517235</v>
      </c>
      <c r="L3486" s="455">
        <f t="shared" ca="1" si="167"/>
        <v>768215032695.96545</v>
      </c>
      <c r="M3486" s="471">
        <f t="shared" si="169"/>
        <v>0.05</v>
      </c>
      <c r="N3486" s="475">
        <f t="shared" si="170"/>
        <v>157146</v>
      </c>
    </row>
    <row r="3487" spans="7:14" ht="11.25" customHeight="1" x14ac:dyDescent="0.3">
      <c r="G3487" s="470"/>
      <c r="H3487" s="470">
        <v>3480</v>
      </c>
      <c r="I3487" s="455">
        <f t="shared" ca="1" si="168"/>
        <v>768215032695.96545</v>
      </c>
      <c r="J3487" s="455">
        <f t="array" ref="J3487">IFERROR(INDEX('Retirement Calculator'!J:J,MATCH('Isaac 401k'!N3487,'Retirement Calculator'!A:A,0),0),0)</f>
        <v>0</v>
      </c>
      <c r="K3487" s="455">
        <f t="shared" ca="1" si="166"/>
        <v>3200895969.5665226</v>
      </c>
      <c r="L3487" s="455">
        <f t="shared" ca="1" si="167"/>
        <v>771415928665.53198</v>
      </c>
      <c r="M3487" s="471">
        <f t="shared" si="169"/>
        <v>0.05</v>
      </c>
      <c r="N3487" s="475">
        <f t="shared" si="170"/>
        <v>157176</v>
      </c>
    </row>
    <row r="3488" spans="7:14" ht="11.25" customHeight="1" x14ac:dyDescent="0.3">
      <c r="G3488" s="470"/>
      <c r="H3488" s="470">
        <v>3481</v>
      </c>
      <c r="I3488" s="455">
        <f t="shared" ca="1" si="168"/>
        <v>771415928665.53198</v>
      </c>
      <c r="J3488" s="455">
        <f t="array" ref="J3488">IFERROR(INDEX('Retirement Calculator'!J:J,MATCH('Isaac 401k'!N3488,'Retirement Calculator'!A:A,0),0),0)</f>
        <v>0</v>
      </c>
      <c r="K3488" s="455">
        <f t="shared" ca="1" si="166"/>
        <v>3214233036.1063833</v>
      </c>
      <c r="L3488" s="455">
        <f t="shared" ca="1" si="167"/>
        <v>774630161701.63831</v>
      </c>
      <c r="M3488" s="471">
        <f t="shared" si="169"/>
        <v>0.05</v>
      </c>
      <c r="N3488" s="475">
        <f t="shared" si="170"/>
        <v>157207</v>
      </c>
    </row>
    <row r="3489" spans="7:14" ht="11.25" customHeight="1" x14ac:dyDescent="0.3">
      <c r="G3489" s="470"/>
      <c r="H3489" s="470">
        <v>3482</v>
      </c>
      <c r="I3489" s="455">
        <f t="shared" ca="1" si="168"/>
        <v>774630161701.63831</v>
      </c>
      <c r="J3489" s="455">
        <f t="array" ref="J3489">IFERROR(INDEX('Retirement Calculator'!J:J,MATCH('Isaac 401k'!N3489,'Retirement Calculator'!A:A,0),0),0)</f>
        <v>0</v>
      </c>
      <c r="K3489" s="455">
        <f t="shared" ca="1" si="166"/>
        <v>3227625673.7568264</v>
      </c>
      <c r="L3489" s="455">
        <f t="shared" ca="1" si="167"/>
        <v>777857787375.39514</v>
      </c>
      <c r="M3489" s="471">
        <f t="shared" si="169"/>
        <v>0.05</v>
      </c>
      <c r="N3489" s="475">
        <f t="shared" si="170"/>
        <v>157237</v>
      </c>
    </row>
    <row r="3490" spans="7:14" ht="11.25" customHeight="1" x14ac:dyDescent="0.3">
      <c r="G3490" s="470"/>
      <c r="H3490" s="470">
        <v>3483</v>
      </c>
      <c r="I3490" s="455">
        <f t="shared" ca="1" si="168"/>
        <v>777857787375.39514</v>
      </c>
      <c r="J3490" s="455">
        <f t="array" ref="J3490">IFERROR(INDEX('Retirement Calculator'!J:J,MATCH('Isaac 401k'!N3490,'Retirement Calculator'!A:A,0),0),0)</f>
        <v>0</v>
      </c>
      <c r="K3490" s="455">
        <f t="shared" ca="1" si="166"/>
        <v>3241074114.0641465</v>
      </c>
      <c r="L3490" s="455">
        <f t="shared" ca="1" si="167"/>
        <v>781098861489.45923</v>
      </c>
      <c r="M3490" s="471">
        <f t="shared" si="169"/>
        <v>0.05</v>
      </c>
      <c r="N3490" s="475">
        <f t="shared" si="170"/>
        <v>157268</v>
      </c>
    </row>
    <row r="3491" spans="7:14" ht="11.25" customHeight="1" x14ac:dyDescent="0.3">
      <c r="G3491" s="470"/>
      <c r="H3491" s="470">
        <v>3484</v>
      </c>
      <c r="I3491" s="455">
        <f t="shared" ca="1" si="168"/>
        <v>781098861489.45923</v>
      </c>
      <c r="J3491" s="455">
        <f t="array" ref="J3491">IFERROR(INDEX('Retirement Calculator'!J:J,MATCH('Isaac 401k'!N3491,'Retirement Calculator'!A:A,0),0),0)</f>
        <v>0</v>
      </c>
      <c r="K3491" s="455">
        <f t="shared" ca="1" si="166"/>
        <v>3254578589.5394135</v>
      </c>
      <c r="L3491" s="455">
        <f t="shared" ca="1" si="167"/>
        <v>784353440078.99866</v>
      </c>
      <c r="M3491" s="471">
        <f t="shared" si="169"/>
        <v>0.05</v>
      </c>
      <c r="N3491" s="475">
        <f t="shared" si="170"/>
        <v>157299</v>
      </c>
    </row>
    <row r="3492" spans="7:14" ht="11.25" customHeight="1" x14ac:dyDescent="0.3">
      <c r="G3492" s="470"/>
      <c r="H3492" s="470">
        <v>3485</v>
      </c>
      <c r="I3492" s="455">
        <f t="shared" ca="1" si="168"/>
        <v>784353440078.99866</v>
      </c>
      <c r="J3492" s="455">
        <f t="array" ref="J3492">IFERROR(INDEX('Retirement Calculator'!J:J,MATCH('Isaac 401k'!N3492,'Retirement Calculator'!A:A,0),0),0)</f>
        <v>0</v>
      </c>
      <c r="K3492" s="455">
        <f t="shared" ca="1" si="166"/>
        <v>3268139333.6624942</v>
      </c>
      <c r="L3492" s="455">
        <f t="shared" ca="1" si="167"/>
        <v>787621579412.66113</v>
      </c>
      <c r="M3492" s="471">
        <f t="shared" si="169"/>
        <v>0.05</v>
      </c>
      <c r="N3492" s="475">
        <f t="shared" si="170"/>
        <v>157329</v>
      </c>
    </row>
    <row r="3493" spans="7:14" ht="11.25" customHeight="1" x14ac:dyDescent="0.3">
      <c r="G3493" s="470"/>
      <c r="H3493" s="470">
        <v>3486</v>
      </c>
      <c r="I3493" s="455">
        <f t="shared" ca="1" si="168"/>
        <v>787621579412.66113</v>
      </c>
      <c r="J3493" s="455">
        <f t="array" ref="J3493">IFERROR(INDEX('Retirement Calculator'!J:J,MATCH('Isaac 401k'!N3493,'Retirement Calculator'!A:A,0),0),0)</f>
        <v>0</v>
      </c>
      <c r="K3493" s="455">
        <f t="shared" ca="1" si="166"/>
        <v>3281756580.8860879</v>
      </c>
      <c r="L3493" s="455">
        <f t="shared" ca="1" si="167"/>
        <v>790903335993.54724</v>
      </c>
      <c r="M3493" s="471">
        <f t="shared" si="169"/>
        <v>0.05</v>
      </c>
      <c r="N3493" s="475">
        <f t="shared" si="170"/>
        <v>157360</v>
      </c>
    </row>
    <row r="3494" spans="7:14" ht="11.25" customHeight="1" x14ac:dyDescent="0.3">
      <c r="G3494" s="470"/>
      <c r="H3494" s="470">
        <v>3487</v>
      </c>
      <c r="I3494" s="455">
        <f t="shared" ca="1" si="168"/>
        <v>790903335993.54724</v>
      </c>
      <c r="J3494" s="455">
        <f t="array" ref="J3494">IFERROR(INDEX('Retirement Calculator'!J:J,MATCH('Isaac 401k'!N3494,'Retirement Calculator'!A:A,0),0),0)</f>
        <v>0</v>
      </c>
      <c r="K3494" s="455">
        <f t="shared" ca="1" si="166"/>
        <v>3295430566.63978</v>
      </c>
      <c r="L3494" s="455">
        <f t="shared" ca="1" si="167"/>
        <v>794198766560.18701</v>
      </c>
      <c r="M3494" s="471">
        <f t="shared" si="169"/>
        <v>0.05</v>
      </c>
      <c r="N3494" s="475">
        <f t="shared" si="170"/>
        <v>157390</v>
      </c>
    </row>
    <row r="3495" spans="7:14" ht="11.25" customHeight="1" x14ac:dyDescent="0.3">
      <c r="G3495" s="470"/>
      <c r="H3495" s="470">
        <v>3488</v>
      </c>
      <c r="I3495" s="455">
        <f t="shared" ca="1" si="168"/>
        <v>794198766560.18701</v>
      </c>
      <c r="J3495" s="455">
        <f t="array" ref="J3495">IFERROR(INDEX('Retirement Calculator'!J:J,MATCH('Isaac 401k'!N3495,'Retirement Calculator'!A:A,0),0),0)</f>
        <v>0</v>
      </c>
      <c r="K3495" s="455">
        <f t="shared" ca="1" si="166"/>
        <v>3309161527.3341126</v>
      </c>
      <c r="L3495" s="455">
        <f t="shared" ca="1" si="167"/>
        <v>797507928087.52112</v>
      </c>
      <c r="M3495" s="471">
        <f t="shared" si="169"/>
        <v>0.05</v>
      </c>
      <c r="N3495" s="475">
        <f t="shared" si="170"/>
        <v>157421</v>
      </c>
    </row>
    <row r="3496" spans="7:14" ht="11.25" customHeight="1" x14ac:dyDescent="0.3">
      <c r="G3496" s="470"/>
      <c r="H3496" s="470">
        <v>3489</v>
      </c>
      <c r="I3496" s="455">
        <f t="shared" ca="1" si="168"/>
        <v>797507928087.52112</v>
      </c>
      <c r="J3496" s="455">
        <f t="array" ref="J3496">IFERROR(INDEX('Retirement Calculator'!J:J,MATCH('Isaac 401k'!N3496,'Retirement Calculator'!A:A,0),0),0)</f>
        <v>0</v>
      </c>
      <c r="K3496" s="455">
        <f t="shared" ca="1" si="166"/>
        <v>3322949700.3646712</v>
      </c>
      <c r="L3496" s="455">
        <f t="shared" ca="1" si="167"/>
        <v>800830877787.88574</v>
      </c>
      <c r="M3496" s="471">
        <f t="shared" si="169"/>
        <v>0.05</v>
      </c>
      <c r="N3496" s="475">
        <f t="shared" si="170"/>
        <v>157452</v>
      </c>
    </row>
    <row r="3497" spans="7:14" ht="11.25" customHeight="1" x14ac:dyDescent="0.3">
      <c r="G3497" s="470"/>
      <c r="H3497" s="470">
        <v>3490</v>
      </c>
      <c r="I3497" s="455">
        <f t="shared" ca="1" si="168"/>
        <v>800830877787.88574</v>
      </c>
      <c r="J3497" s="455">
        <f t="array" ref="J3497">IFERROR(INDEX('Retirement Calculator'!J:J,MATCH('Isaac 401k'!N3497,'Retirement Calculator'!A:A,0),0),0)</f>
        <v>0</v>
      </c>
      <c r="K3497" s="455">
        <f t="shared" ca="1" si="166"/>
        <v>3336795324.1161904</v>
      </c>
      <c r="L3497" s="455">
        <f t="shared" ca="1" si="167"/>
        <v>804167673112.00195</v>
      </c>
      <c r="M3497" s="471">
        <f t="shared" si="169"/>
        <v>0.05</v>
      </c>
      <c r="N3497" s="475">
        <f t="shared" si="170"/>
        <v>157480</v>
      </c>
    </row>
    <row r="3498" spans="7:14" ht="11.25" customHeight="1" x14ac:dyDescent="0.3">
      <c r="G3498" s="470"/>
      <c r="H3498" s="470">
        <v>3491</v>
      </c>
      <c r="I3498" s="455">
        <f t="shared" ca="1" si="168"/>
        <v>804167673112.00195</v>
      </c>
      <c r="J3498" s="455">
        <f t="array" ref="J3498">IFERROR(INDEX('Retirement Calculator'!J:J,MATCH('Isaac 401k'!N3498,'Retirement Calculator'!A:A,0),0),0)</f>
        <v>0</v>
      </c>
      <c r="K3498" s="455">
        <f t="shared" ca="1" si="166"/>
        <v>3350698637.9666748</v>
      </c>
      <c r="L3498" s="455">
        <f t="shared" ca="1" si="167"/>
        <v>807518371749.96863</v>
      </c>
      <c r="M3498" s="471">
        <f t="shared" si="169"/>
        <v>0.05</v>
      </c>
      <c r="N3498" s="475">
        <f t="shared" si="170"/>
        <v>157511</v>
      </c>
    </row>
    <row r="3499" spans="7:14" ht="11.25" customHeight="1" x14ac:dyDescent="0.3">
      <c r="G3499" s="470"/>
      <c r="H3499" s="470">
        <v>3492</v>
      </c>
      <c r="I3499" s="455">
        <f t="shared" ca="1" si="168"/>
        <v>807518371749.96863</v>
      </c>
      <c r="J3499" s="455">
        <f t="array" ref="J3499">IFERROR(INDEX('Retirement Calculator'!J:J,MATCH('Isaac 401k'!N3499,'Retirement Calculator'!A:A,0),0),0)</f>
        <v>0</v>
      </c>
      <c r="K3499" s="455">
        <f t="shared" ca="1" si="166"/>
        <v>3364659882.2915359</v>
      </c>
      <c r="L3499" s="455">
        <f t="shared" ca="1" si="167"/>
        <v>810883031632.26013</v>
      </c>
      <c r="M3499" s="471">
        <f t="shared" si="169"/>
        <v>0.05</v>
      </c>
      <c r="N3499" s="475">
        <f t="shared" si="170"/>
        <v>157541</v>
      </c>
    </row>
    <row r="3500" spans="7:14" ht="11.25" customHeight="1" x14ac:dyDescent="0.3">
      <c r="G3500" s="470"/>
      <c r="H3500" s="470">
        <v>3493</v>
      </c>
      <c r="I3500" s="455">
        <f t="shared" ca="1" si="168"/>
        <v>810883031632.26013</v>
      </c>
      <c r="J3500" s="455">
        <f t="array" ref="J3500">IFERROR(INDEX('Retirement Calculator'!J:J,MATCH('Isaac 401k'!N3500,'Retirement Calculator'!A:A,0),0),0)</f>
        <v>0</v>
      </c>
      <c r="K3500" s="455">
        <f t="shared" ca="1" si="166"/>
        <v>3378679298.4677505</v>
      </c>
      <c r="L3500" s="455">
        <f t="shared" ca="1" si="167"/>
        <v>814261710930.72791</v>
      </c>
      <c r="M3500" s="471">
        <f t="shared" si="169"/>
        <v>0.05</v>
      </c>
      <c r="N3500" s="475">
        <f t="shared" si="170"/>
        <v>157572</v>
      </c>
    </row>
    <row r="3501" spans="7:14" ht="11.25" customHeight="1" x14ac:dyDescent="0.3">
      <c r="G3501" s="470"/>
      <c r="H3501" s="470">
        <v>3494</v>
      </c>
      <c r="I3501" s="455">
        <f t="shared" ca="1" si="168"/>
        <v>814261710930.72791</v>
      </c>
      <c r="J3501" s="455">
        <f t="array" ref="J3501">IFERROR(INDEX('Retirement Calculator'!J:J,MATCH('Isaac 401k'!N3501,'Retirement Calculator'!A:A,0),0),0)</f>
        <v>0</v>
      </c>
      <c r="K3501" s="455">
        <f t="shared" ca="1" si="166"/>
        <v>3392757128.8780327</v>
      </c>
      <c r="L3501" s="455">
        <f t="shared" ca="1" si="167"/>
        <v>817654468059.60596</v>
      </c>
      <c r="M3501" s="471">
        <f t="shared" si="169"/>
        <v>0.05</v>
      </c>
      <c r="N3501" s="475">
        <f t="shared" si="170"/>
        <v>157602</v>
      </c>
    </row>
    <row r="3502" spans="7:14" ht="11.25" customHeight="1" x14ac:dyDescent="0.3">
      <c r="G3502" s="470"/>
      <c r="H3502" s="470">
        <v>3495</v>
      </c>
      <c r="I3502" s="455">
        <f t="shared" ca="1" si="168"/>
        <v>817654468059.60596</v>
      </c>
      <c r="J3502" s="455">
        <f t="array" ref="J3502">IFERROR(INDEX('Retirement Calculator'!J:J,MATCH('Isaac 401k'!N3502,'Retirement Calculator'!A:A,0),0),0)</f>
        <v>0</v>
      </c>
      <c r="K3502" s="455">
        <f t="shared" ca="1" si="166"/>
        <v>3406893616.9150248</v>
      </c>
      <c r="L3502" s="455">
        <f t="shared" ca="1" si="167"/>
        <v>821061361676.521</v>
      </c>
      <c r="M3502" s="471">
        <f t="shared" si="169"/>
        <v>0.05</v>
      </c>
      <c r="N3502" s="475">
        <f t="shared" si="170"/>
        <v>157633</v>
      </c>
    </row>
    <row r="3503" spans="7:14" ht="11.25" customHeight="1" x14ac:dyDescent="0.3">
      <c r="G3503" s="470"/>
      <c r="H3503" s="470">
        <v>3496</v>
      </c>
      <c r="I3503" s="455">
        <f t="shared" ca="1" si="168"/>
        <v>821061361676.521</v>
      </c>
      <c r="J3503" s="455">
        <f t="array" ref="J3503">IFERROR(INDEX('Retirement Calculator'!J:J,MATCH('Isaac 401k'!N3503,'Retirement Calculator'!A:A,0),0),0)</f>
        <v>0</v>
      </c>
      <c r="K3503" s="455">
        <f t="shared" ca="1" si="166"/>
        <v>3421089006.9855042</v>
      </c>
      <c r="L3503" s="455">
        <f t="shared" ca="1" si="167"/>
        <v>824482450683.50647</v>
      </c>
      <c r="M3503" s="471">
        <f t="shared" si="169"/>
        <v>0.05</v>
      </c>
      <c r="N3503" s="475">
        <f t="shared" si="170"/>
        <v>157664</v>
      </c>
    </row>
    <row r="3504" spans="7:14" ht="11.25" customHeight="1" x14ac:dyDescent="0.3">
      <c r="G3504" s="470"/>
      <c r="H3504" s="470">
        <v>3497</v>
      </c>
      <c r="I3504" s="455">
        <f t="shared" ca="1" si="168"/>
        <v>824482450683.50647</v>
      </c>
      <c r="J3504" s="455">
        <f t="array" ref="J3504">IFERROR(INDEX('Retirement Calculator'!J:J,MATCH('Isaac 401k'!N3504,'Retirement Calculator'!A:A,0),0),0)</f>
        <v>0</v>
      </c>
      <c r="K3504" s="455">
        <f t="shared" ca="1" si="166"/>
        <v>3435343544.5146103</v>
      </c>
      <c r="L3504" s="455">
        <f t="shared" ca="1" si="167"/>
        <v>827917794228.02112</v>
      </c>
      <c r="M3504" s="471">
        <f t="shared" si="169"/>
        <v>0.05</v>
      </c>
      <c r="N3504" s="475">
        <f t="shared" si="170"/>
        <v>157694</v>
      </c>
    </row>
    <row r="3505" spans="7:14" ht="11.25" customHeight="1" x14ac:dyDescent="0.3">
      <c r="G3505" s="470"/>
      <c r="H3505" s="470">
        <v>3498</v>
      </c>
      <c r="I3505" s="455">
        <f t="shared" ca="1" si="168"/>
        <v>827917794228.02112</v>
      </c>
      <c r="J3505" s="455">
        <f t="array" ref="J3505">IFERROR(INDEX('Retirement Calculator'!J:J,MATCH('Isaac 401k'!N3505,'Retirement Calculator'!A:A,0),0),0)</f>
        <v>0</v>
      </c>
      <c r="K3505" s="455">
        <f t="shared" ca="1" si="166"/>
        <v>3449657475.950088</v>
      </c>
      <c r="L3505" s="455">
        <f t="shared" ca="1" si="167"/>
        <v>831367451703.97119</v>
      </c>
      <c r="M3505" s="471">
        <f t="shared" si="169"/>
        <v>0.05</v>
      </c>
      <c r="N3505" s="475">
        <f t="shared" si="170"/>
        <v>157725</v>
      </c>
    </row>
    <row r="3506" spans="7:14" ht="11.25" customHeight="1" x14ac:dyDescent="0.3">
      <c r="G3506" s="470"/>
      <c r="H3506" s="470">
        <v>3499</v>
      </c>
      <c r="I3506" s="455">
        <f t="shared" ca="1" si="168"/>
        <v>831367451703.97119</v>
      </c>
      <c r="J3506" s="455">
        <f t="array" ref="J3506">IFERROR(INDEX('Retirement Calculator'!J:J,MATCH('Isaac 401k'!N3506,'Retirement Calculator'!A:A,0),0),0)</f>
        <v>0</v>
      </c>
      <c r="K3506" s="455">
        <f t="shared" ca="1" si="166"/>
        <v>3464031048.7665467</v>
      </c>
      <c r="L3506" s="455">
        <f t="shared" ca="1" si="167"/>
        <v>834831482752.73779</v>
      </c>
      <c r="M3506" s="471">
        <f t="shared" si="169"/>
        <v>0.05</v>
      </c>
      <c r="N3506" s="475">
        <f t="shared" si="170"/>
        <v>157755</v>
      </c>
    </row>
    <row r="3507" spans="7:14" ht="11.25" customHeight="1" x14ac:dyDescent="0.3">
      <c r="G3507" s="470"/>
      <c r="H3507" s="470">
        <v>3500</v>
      </c>
      <c r="I3507" s="455">
        <f t="shared" ca="1" si="168"/>
        <v>834831482752.73779</v>
      </c>
      <c r="J3507" s="455">
        <f t="array" ref="J3507">IFERROR(INDEX('Retirement Calculator'!J:J,MATCH('Isaac 401k'!N3507,'Retirement Calculator'!A:A,0),0),0)</f>
        <v>0</v>
      </c>
      <c r="K3507" s="455">
        <f t="shared" ca="1" si="166"/>
        <v>3478464511.4697409</v>
      </c>
      <c r="L3507" s="455">
        <f t="shared" ca="1" si="167"/>
        <v>838309947264.20752</v>
      </c>
      <c r="M3507" s="471">
        <f t="shared" si="169"/>
        <v>0.05</v>
      </c>
      <c r="N3507" s="475">
        <f t="shared" si="170"/>
        <v>157786</v>
      </c>
    </row>
    <row r="3508" spans="7:14" ht="11.25" customHeight="1" x14ac:dyDescent="0.3">
      <c r="G3508" s="470"/>
      <c r="H3508" s="470">
        <v>3501</v>
      </c>
      <c r="I3508" s="455">
        <f t="shared" ca="1" si="168"/>
        <v>838309947264.20752</v>
      </c>
      <c r="J3508" s="455">
        <f t="array" ref="J3508">IFERROR(INDEX('Retirement Calculator'!J:J,MATCH('Isaac 401k'!N3508,'Retirement Calculator'!A:A,0),0),0)</f>
        <v>0</v>
      </c>
      <c r="K3508" s="455">
        <f t="shared" ca="1" si="166"/>
        <v>3492958113.6008644</v>
      </c>
      <c r="L3508" s="455">
        <f t="shared" ca="1" si="167"/>
        <v>841802905377.80835</v>
      </c>
      <c r="M3508" s="471">
        <f t="shared" si="169"/>
        <v>0.05</v>
      </c>
      <c r="N3508" s="475">
        <f t="shared" si="170"/>
        <v>157817</v>
      </c>
    </row>
    <row r="3509" spans="7:14" ht="11.25" customHeight="1" x14ac:dyDescent="0.3">
      <c r="G3509" s="470"/>
      <c r="H3509" s="470">
        <v>3502</v>
      </c>
      <c r="I3509" s="455">
        <f t="shared" ca="1" si="168"/>
        <v>841802905377.80835</v>
      </c>
      <c r="J3509" s="455">
        <f t="array" ref="J3509">IFERROR(INDEX('Retirement Calculator'!J:J,MATCH('Isaac 401k'!N3509,'Retirement Calculator'!A:A,0),0),0)</f>
        <v>0</v>
      </c>
      <c r="K3509" s="455">
        <f t="shared" ca="1" si="166"/>
        <v>3507512105.7408681</v>
      </c>
      <c r="L3509" s="455">
        <f t="shared" ca="1" si="167"/>
        <v>845310417483.54919</v>
      </c>
      <c r="M3509" s="471">
        <f t="shared" si="169"/>
        <v>0.05</v>
      </c>
      <c r="N3509" s="475">
        <f t="shared" si="170"/>
        <v>157846</v>
      </c>
    </row>
    <row r="3510" spans="7:14" ht="11.25" customHeight="1" x14ac:dyDescent="0.3">
      <c r="G3510" s="470"/>
      <c r="H3510" s="470">
        <v>3503</v>
      </c>
      <c r="I3510" s="455">
        <f t="shared" ca="1" si="168"/>
        <v>845310417483.54919</v>
      </c>
      <c r="J3510" s="455">
        <f t="array" ref="J3510">IFERROR(INDEX('Retirement Calculator'!J:J,MATCH('Isaac 401k'!N3510,'Retirement Calculator'!A:A,0),0),0)</f>
        <v>0</v>
      </c>
      <c r="K3510" s="455">
        <f t="shared" ca="1" si="166"/>
        <v>3522126739.5147882</v>
      </c>
      <c r="L3510" s="455">
        <f t="shared" ca="1" si="167"/>
        <v>848832544223.06396</v>
      </c>
      <c r="M3510" s="471">
        <f t="shared" si="169"/>
        <v>0.05</v>
      </c>
      <c r="N3510" s="475">
        <f t="shared" si="170"/>
        <v>157877</v>
      </c>
    </row>
    <row r="3511" spans="7:14" ht="11.25" customHeight="1" x14ac:dyDescent="0.3">
      <c r="G3511" s="470"/>
      <c r="H3511" s="470">
        <v>3504</v>
      </c>
      <c r="I3511" s="455">
        <f t="shared" ca="1" si="168"/>
        <v>848832544223.06396</v>
      </c>
      <c r="J3511" s="455">
        <f t="array" ref="J3511">IFERROR(INDEX('Retirement Calculator'!J:J,MATCH('Isaac 401k'!N3511,'Retirement Calculator'!A:A,0),0),0)</f>
        <v>0</v>
      </c>
      <c r="K3511" s="455">
        <f t="shared" ca="1" si="166"/>
        <v>3536802267.5960999</v>
      </c>
      <c r="L3511" s="455">
        <f t="shared" ca="1" si="167"/>
        <v>852369346490.66003</v>
      </c>
      <c r="M3511" s="471">
        <f t="shared" si="169"/>
        <v>0.05</v>
      </c>
      <c r="N3511" s="475">
        <f t="shared" si="170"/>
        <v>157907</v>
      </c>
    </row>
    <row r="3512" spans="7:14" ht="11.25" customHeight="1" x14ac:dyDescent="0.3">
      <c r="G3512" s="470"/>
      <c r="H3512" s="470">
        <v>3505</v>
      </c>
      <c r="I3512" s="455">
        <f t="shared" ca="1" si="168"/>
        <v>852369346490.66003</v>
      </c>
      <c r="J3512" s="455">
        <f t="array" ref="J3512">IFERROR(INDEX('Retirement Calculator'!J:J,MATCH('Isaac 401k'!N3512,'Retirement Calculator'!A:A,0),0),0)</f>
        <v>0</v>
      </c>
      <c r="K3512" s="455">
        <f t="shared" ca="1" si="166"/>
        <v>3551538943.7110834</v>
      </c>
      <c r="L3512" s="455">
        <f t="shared" ca="1" si="167"/>
        <v>855920885434.37109</v>
      </c>
      <c r="M3512" s="471">
        <f t="shared" si="169"/>
        <v>0.05</v>
      </c>
      <c r="N3512" s="475">
        <f t="shared" si="170"/>
        <v>157938</v>
      </c>
    </row>
    <row r="3513" spans="7:14" ht="11.25" customHeight="1" x14ac:dyDescent="0.3">
      <c r="G3513" s="470"/>
      <c r="H3513" s="470">
        <v>3506</v>
      </c>
      <c r="I3513" s="455">
        <f t="shared" ca="1" si="168"/>
        <v>855920885434.37109</v>
      </c>
      <c r="J3513" s="455">
        <f t="array" ref="J3513">IFERROR(INDEX('Retirement Calculator'!J:J,MATCH('Isaac 401k'!N3513,'Retirement Calculator'!A:A,0),0),0)</f>
        <v>0</v>
      </c>
      <c r="K3513" s="455">
        <f t="shared" ca="1" si="166"/>
        <v>3566337022.6432128</v>
      </c>
      <c r="L3513" s="455">
        <f t="shared" ca="1" si="167"/>
        <v>859487222457.01428</v>
      </c>
      <c r="M3513" s="471">
        <f t="shared" si="169"/>
        <v>0.05</v>
      </c>
      <c r="N3513" s="475">
        <f t="shared" si="170"/>
        <v>157968</v>
      </c>
    </row>
    <row r="3514" spans="7:14" ht="11.25" customHeight="1" x14ac:dyDescent="0.3">
      <c r="G3514" s="470"/>
      <c r="H3514" s="470">
        <v>3507</v>
      </c>
      <c r="I3514" s="455">
        <f t="shared" ca="1" si="168"/>
        <v>859487222457.01428</v>
      </c>
      <c r="J3514" s="455">
        <f t="array" ref="J3514">IFERROR(INDEX('Retirement Calculator'!J:J,MATCH('Isaac 401k'!N3514,'Retirement Calculator'!A:A,0),0),0)</f>
        <v>0</v>
      </c>
      <c r="K3514" s="455">
        <f t="shared" ca="1" si="166"/>
        <v>3581196760.2375593</v>
      </c>
      <c r="L3514" s="455">
        <f t="shared" ca="1" si="167"/>
        <v>863068419217.25183</v>
      </c>
      <c r="M3514" s="471">
        <f t="shared" si="169"/>
        <v>0.05</v>
      </c>
      <c r="N3514" s="475">
        <f t="shared" si="170"/>
        <v>157999</v>
      </c>
    </row>
    <row r="3515" spans="7:14" ht="11.25" customHeight="1" x14ac:dyDescent="0.3">
      <c r="G3515" s="470"/>
      <c r="H3515" s="470">
        <v>3508</v>
      </c>
      <c r="I3515" s="455">
        <f t="shared" ca="1" si="168"/>
        <v>863068419217.25183</v>
      </c>
      <c r="J3515" s="455">
        <f t="array" ref="J3515">IFERROR(INDEX('Retirement Calculator'!J:J,MATCH('Isaac 401k'!N3515,'Retirement Calculator'!A:A,0),0),0)</f>
        <v>0</v>
      </c>
      <c r="K3515" s="455">
        <f t="shared" ca="1" si="166"/>
        <v>3596118413.4052153</v>
      </c>
      <c r="L3515" s="455">
        <f t="shared" ca="1" si="167"/>
        <v>866664537630.6571</v>
      </c>
      <c r="M3515" s="471">
        <f t="shared" si="169"/>
        <v>0.05</v>
      </c>
      <c r="N3515" s="475">
        <f t="shared" si="170"/>
        <v>158030</v>
      </c>
    </row>
    <row r="3516" spans="7:14" ht="11.25" customHeight="1" x14ac:dyDescent="0.3">
      <c r="G3516" s="470"/>
      <c r="H3516" s="470">
        <v>3509</v>
      </c>
      <c r="I3516" s="455">
        <f t="shared" ca="1" si="168"/>
        <v>866664537630.6571</v>
      </c>
      <c r="J3516" s="455">
        <f t="array" ref="J3516">IFERROR(INDEX('Retirement Calculator'!J:J,MATCH('Isaac 401k'!N3516,'Retirement Calculator'!A:A,0),0),0)</f>
        <v>0</v>
      </c>
      <c r="K3516" s="455">
        <f t="shared" ca="1" si="166"/>
        <v>3611102240.1277375</v>
      </c>
      <c r="L3516" s="455">
        <f t="shared" ca="1" si="167"/>
        <v>870275639870.78479</v>
      </c>
      <c r="M3516" s="471">
        <f t="shared" si="169"/>
        <v>0.05</v>
      </c>
      <c r="N3516" s="475">
        <f t="shared" si="170"/>
        <v>158060</v>
      </c>
    </row>
    <row r="3517" spans="7:14" ht="11.25" customHeight="1" x14ac:dyDescent="0.3">
      <c r="G3517" s="470"/>
      <c r="H3517" s="470">
        <v>3510</v>
      </c>
      <c r="I3517" s="455">
        <f t="shared" ca="1" si="168"/>
        <v>870275639870.78479</v>
      </c>
      <c r="J3517" s="455">
        <f t="array" ref="J3517">IFERROR(INDEX('Retirement Calculator'!J:J,MATCH('Isaac 401k'!N3517,'Retirement Calculator'!A:A,0),0),0)</f>
        <v>0</v>
      </c>
      <c r="K3517" s="455">
        <f t="shared" ca="1" si="166"/>
        <v>3626148499.4616032</v>
      </c>
      <c r="L3517" s="455">
        <f t="shared" ca="1" si="167"/>
        <v>873901788370.24634</v>
      </c>
      <c r="M3517" s="471">
        <f t="shared" si="169"/>
        <v>0.05</v>
      </c>
      <c r="N3517" s="475">
        <f t="shared" si="170"/>
        <v>158091</v>
      </c>
    </row>
    <row r="3518" spans="7:14" ht="11.25" customHeight="1" x14ac:dyDescent="0.3">
      <c r="G3518" s="470"/>
      <c r="H3518" s="470">
        <v>3511</v>
      </c>
      <c r="I3518" s="455">
        <f t="shared" ca="1" si="168"/>
        <v>873901788370.24634</v>
      </c>
      <c r="J3518" s="455">
        <f t="array" ref="J3518">IFERROR(INDEX('Retirement Calculator'!J:J,MATCH('Isaac 401k'!N3518,'Retirement Calculator'!A:A,0),0),0)</f>
        <v>0</v>
      </c>
      <c r="K3518" s="455">
        <f t="shared" ca="1" si="166"/>
        <v>3641257451.5426927</v>
      </c>
      <c r="L3518" s="455">
        <f t="shared" ca="1" si="167"/>
        <v>877543045821.78906</v>
      </c>
      <c r="M3518" s="471">
        <f t="shared" si="169"/>
        <v>0.05</v>
      </c>
      <c r="N3518" s="475">
        <f t="shared" si="170"/>
        <v>158121</v>
      </c>
    </row>
    <row r="3519" spans="7:14" ht="11.25" customHeight="1" x14ac:dyDescent="0.3">
      <c r="G3519" s="470"/>
      <c r="H3519" s="470">
        <v>3512</v>
      </c>
      <c r="I3519" s="455">
        <f t="shared" ca="1" si="168"/>
        <v>877543045821.78906</v>
      </c>
      <c r="J3519" s="455">
        <f t="array" ref="J3519">IFERROR(INDEX('Retirement Calculator'!J:J,MATCH('Isaac 401k'!N3519,'Retirement Calculator'!A:A,0),0),0)</f>
        <v>0</v>
      </c>
      <c r="K3519" s="455">
        <f t="shared" ca="1" si="166"/>
        <v>3656429357.5907879</v>
      </c>
      <c r="L3519" s="455">
        <f t="shared" ca="1" si="167"/>
        <v>881199475179.37988</v>
      </c>
      <c r="M3519" s="471">
        <f t="shared" si="169"/>
        <v>0.05</v>
      </c>
      <c r="N3519" s="475">
        <f t="shared" si="170"/>
        <v>158152</v>
      </c>
    </row>
    <row r="3520" spans="7:14" ht="11.25" customHeight="1" x14ac:dyDescent="0.3">
      <c r="G3520" s="470"/>
      <c r="H3520" s="470">
        <v>3513</v>
      </c>
      <c r="I3520" s="455">
        <f t="shared" ca="1" si="168"/>
        <v>881199475179.37988</v>
      </c>
      <c r="J3520" s="455">
        <f t="array" ref="J3520">IFERROR(INDEX('Retirement Calculator'!J:J,MATCH('Isaac 401k'!N3520,'Retirement Calculator'!A:A,0),0),0)</f>
        <v>0</v>
      </c>
      <c r="K3520" s="455">
        <f t="shared" ca="1" si="166"/>
        <v>3671664479.914083</v>
      </c>
      <c r="L3520" s="455">
        <f t="shared" ca="1" si="167"/>
        <v>884871139659.29395</v>
      </c>
      <c r="M3520" s="471">
        <f t="shared" si="169"/>
        <v>0.05</v>
      </c>
      <c r="N3520" s="475">
        <f t="shared" si="170"/>
        <v>158183</v>
      </c>
    </row>
    <row r="3521" spans="7:14" ht="11.25" customHeight="1" x14ac:dyDescent="0.3">
      <c r="G3521" s="470"/>
      <c r="H3521" s="470">
        <v>3514</v>
      </c>
      <c r="I3521" s="455">
        <f t="shared" ca="1" si="168"/>
        <v>884871139659.29395</v>
      </c>
      <c r="J3521" s="455">
        <f t="array" ref="J3521">IFERROR(INDEX('Retirement Calculator'!J:J,MATCH('Isaac 401k'!N3521,'Retirement Calculator'!A:A,0),0),0)</f>
        <v>0</v>
      </c>
      <c r="K3521" s="455">
        <f t="shared" ca="1" si="166"/>
        <v>3686963081.9137249</v>
      </c>
      <c r="L3521" s="455">
        <f t="shared" ca="1" si="167"/>
        <v>888558102741.20764</v>
      </c>
      <c r="M3521" s="471">
        <f t="shared" si="169"/>
        <v>0.05</v>
      </c>
      <c r="N3521" s="475">
        <f t="shared" si="170"/>
        <v>158211</v>
      </c>
    </row>
    <row r="3522" spans="7:14" ht="11.25" customHeight="1" x14ac:dyDescent="0.3">
      <c r="G3522" s="470"/>
      <c r="H3522" s="470">
        <v>3515</v>
      </c>
      <c r="I3522" s="455">
        <f t="shared" ca="1" si="168"/>
        <v>888558102741.20764</v>
      </c>
      <c r="J3522" s="455">
        <f t="array" ref="J3522">IFERROR(INDEX('Retirement Calculator'!J:J,MATCH('Isaac 401k'!N3522,'Retirement Calculator'!A:A,0),0),0)</f>
        <v>0</v>
      </c>
      <c r="K3522" s="455">
        <f t="shared" ca="1" si="166"/>
        <v>3702325428.0883651</v>
      </c>
      <c r="L3522" s="455">
        <f t="shared" ca="1" si="167"/>
        <v>892260428169.29602</v>
      </c>
      <c r="M3522" s="471">
        <f t="shared" si="169"/>
        <v>0.05</v>
      </c>
      <c r="N3522" s="475">
        <f t="shared" si="170"/>
        <v>158242</v>
      </c>
    </row>
    <row r="3523" spans="7:14" ht="11.25" customHeight="1" x14ac:dyDescent="0.3">
      <c r="G3523" s="470"/>
      <c r="H3523" s="470">
        <v>3516</v>
      </c>
      <c r="I3523" s="455">
        <f t="shared" ca="1" si="168"/>
        <v>892260428169.29602</v>
      </c>
      <c r="J3523" s="455">
        <f t="array" ref="J3523">IFERROR(INDEX('Retirement Calculator'!J:J,MATCH('Isaac 401k'!N3523,'Retirement Calculator'!A:A,0),0),0)</f>
        <v>0</v>
      </c>
      <c r="K3523" s="455">
        <f t="shared" ca="1" si="166"/>
        <v>3717751784.038734</v>
      </c>
      <c r="L3523" s="455">
        <f t="shared" ca="1" si="167"/>
        <v>895978179953.33472</v>
      </c>
      <c r="M3523" s="471">
        <f t="shared" si="169"/>
        <v>0.05</v>
      </c>
      <c r="N3523" s="475">
        <f t="shared" si="170"/>
        <v>158272</v>
      </c>
    </row>
    <row r="3524" spans="7:14" ht="11.25" customHeight="1" x14ac:dyDescent="0.3">
      <c r="G3524" s="470"/>
      <c r="H3524" s="470">
        <v>3517</v>
      </c>
      <c r="I3524" s="455">
        <f t="shared" ca="1" si="168"/>
        <v>895978179953.33472</v>
      </c>
      <c r="J3524" s="455">
        <f t="array" ref="J3524">IFERROR(INDEX('Retirement Calculator'!J:J,MATCH('Isaac 401k'!N3524,'Retirement Calculator'!A:A,0),0),0)</f>
        <v>0</v>
      </c>
      <c r="K3524" s="455">
        <f t="shared" ca="1" si="166"/>
        <v>3733242416.4722281</v>
      </c>
      <c r="L3524" s="455">
        <f t="shared" ca="1" si="167"/>
        <v>899711422369.80688</v>
      </c>
      <c r="M3524" s="471">
        <f t="shared" si="169"/>
        <v>0.05</v>
      </c>
      <c r="N3524" s="475">
        <f t="shared" si="170"/>
        <v>158303</v>
      </c>
    </row>
    <row r="3525" spans="7:14" ht="11.25" customHeight="1" x14ac:dyDescent="0.3">
      <c r="G3525" s="470"/>
      <c r="H3525" s="470">
        <v>3518</v>
      </c>
      <c r="I3525" s="455">
        <f t="shared" ca="1" si="168"/>
        <v>899711422369.80688</v>
      </c>
      <c r="J3525" s="455">
        <f t="array" ref="J3525">IFERROR(INDEX('Retirement Calculator'!J:J,MATCH('Isaac 401k'!N3525,'Retirement Calculator'!A:A,0),0),0)</f>
        <v>0</v>
      </c>
      <c r="K3525" s="455">
        <f t="shared" ca="1" si="166"/>
        <v>3748797593.2075286</v>
      </c>
      <c r="L3525" s="455">
        <f t="shared" ca="1" si="167"/>
        <v>903460219963.0144</v>
      </c>
      <c r="M3525" s="471">
        <f t="shared" si="169"/>
        <v>0.05</v>
      </c>
      <c r="N3525" s="475">
        <f t="shared" si="170"/>
        <v>158333</v>
      </c>
    </row>
    <row r="3526" spans="7:14" ht="11.25" customHeight="1" x14ac:dyDescent="0.3">
      <c r="G3526" s="470"/>
      <c r="H3526" s="470">
        <v>3519</v>
      </c>
      <c r="I3526" s="455">
        <f t="shared" ca="1" si="168"/>
        <v>903460219963.0144</v>
      </c>
      <c r="J3526" s="455">
        <f t="array" ref="J3526">IFERROR(INDEX('Retirement Calculator'!J:J,MATCH('Isaac 401k'!N3526,'Retirement Calculator'!A:A,0),0),0)</f>
        <v>0</v>
      </c>
      <c r="K3526" s="455">
        <f t="shared" ca="1" si="166"/>
        <v>3764417583.1792264</v>
      </c>
      <c r="L3526" s="455">
        <f t="shared" ca="1" si="167"/>
        <v>907224637546.1936</v>
      </c>
      <c r="M3526" s="471">
        <f t="shared" si="169"/>
        <v>0.05</v>
      </c>
      <c r="N3526" s="475">
        <f t="shared" si="170"/>
        <v>158364</v>
      </c>
    </row>
    <row r="3527" spans="7:14" ht="11.25" customHeight="1" x14ac:dyDescent="0.3">
      <c r="G3527" s="470"/>
      <c r="H3527" s="470">
        <v>3520</v>
      </c>
      <c r="I3527" s="455">
        <f t="shared" ca="1" si="168"/>
        <v>907224637546.1936</v>
      </c>
      <c r="J3527" s="455">
        <f t="array" ref="J3527">IFERROR(INDEX('Retirement Calculator'!J:J,MATCH('Isaac 401k'!N3527,'Retirement Calculator'!A:A,0),0),0)</f>
        <v>0</v>
      </c>
      <c r="K3527" s="455">
        <f t="shared" ca="1" si="166"/>
        <v>3780102656.4424734</v>
      </c>
      <c r="L3527" s="455">
        <f t="shared" ca="1" si="167"/>
        <v>911004740202.63611</v>
      </c>
      <c r="M3527" s="471">
        <f t="shared" si="169"/>
        <v>0.05</v>
      </c>
      <c r="N3527" s="475">
        <f t="shared" si="170"/>
        <v>158395</v>
      </c>
    </row>
    <row r="3528" spans="7:14" ht="11.25" customHeight="1" x14ac:dyDescent="0.3">
      <c r="G3528" s="470"/>
      <c r="H3528" s="470">
        <v>3521</v>
      </c>
      <c r="I3528" s="455">
        <f t="shared" ca="1" si="168"/>
        <v>911004740202.63611</v>
      </c>
      <c r="J3528" s="455">
        <f t="array" ref="J3528">IFERROR(INDEX('Retirement Calculator'!J:J,MATCH('Isaac 401k'!N3528,'Retirement Calculator'!A:A,0),0),0)</f>
        <v>0</v>
      </c>
      <c r="K3528" s="455">
        <f t="shared" ca="1" si="166"/>
        <v>3795853084.1776505</v>
      </c>
      <c r="L3528" s="455">
        <f t="shared" ca="1" si="167"/>
        <v>914800593286.81372</v>
      </c>
      <c r="M3528" s="471">
        <f t="shared" si="169"/>
        <v>0.05</v>
      </c>
      <c r="N3528" s="475">
        <f t="shared" si="170"/>
        <v>158425</v>
      </c>
    </row>
    <row r="3529" spans="7:14" ht="11.25" customHeight="1" x14ac:dyDescent="0.3">
      <c r="G3529" s="470"/>
      <c r="H3529" s="470">
        <v>3522</v>
      </c>
      <c r="I3529" s="455">
        <f t="shared" ca="1" si="168"/>
        <v>914800593286.81372</v>
      </c>
      <c r="J3529" s="455">
        <f t="array" ref="J3529">IFERROR(INDEX('Retirement Calculator'!J:J,MATCH('Isaac 401k'!N3529,'Retirement Calculator'!A:A,0),0),0)</f>
        <v>0</v>
      </c>
      <c r="K3529" s="455">
        <f t="shared" ca="1" si="166"/>
        <v>3811669138.6950569</v>
      </c>
      <c r="L3529" s="455">
        <f t="shared" ca="1" si="167"/>
        <v>918612262425.50879</v>
      </c>
      <c r="M3529" s="471">
        <f t="shared" si="169"/>
        <v>0.05</v>
      </c>
      <c r="N3529" s="475">
        <f t="shared" si="170"/>
        <v>158456</v>
      </c>
    </row>
    <row r="3530" spans="7:14" ht="11.25" customHeight="1" x14ac:dyDescent="0.3">
      <c r="G3530" s="470"/>
      <c r="H3530" s="470">
        <v>3523</v>
      </c>
      <c r="I3530" s="455">
        <f t="shared" ca="1" si="168"/>
        <v>918612262425.50879</v>
      </c>
      <c r="J3530" s="455">
        <f t="array" ref="J3530">IFERROR(INDEX('Retirement Calculator'!J:J,MATCH('Isaac 401k'!N3530,'Retirement Calculator'!A:A,0),0),0)</f>
        <v>0</v>
      </c>
      <c r="K3530" s="455">
        <f t="shared" ca="1" si="166"/>
        <v>3827551093.43962</v>
      </c>
      <c r="L3530" s="455">
        <f t="shared" ca="1" si="167"/>
        <v>922439813518.94836</v>
      </c>
      <c r="M3530" s="471">
        <f t="shared" si="169"/>
        <v>0.05</v>
      </c>
      <c r="N3530" s="475">
        <f t="shared" si="170"/>
        <v>158486</v>
      </c>
    </row>
    <row r="3531" spans="7:14" ht="11.25" customHeight="1" x14ac:dyDescent="0.3">
      <c r="G3531" s="470"/>
      <c r="H3531" s="470">
        <v>3524</v>
      </c>
      <c r="I3531" s="455">
        <f t="shared" ca="1" si="168"/>
        <v>922439813518.94836</v>
      </c>
      <c r="J3531" s="455">
        <f t="array" ref="J3531">IFERROR(INDEX('Retirement Calculator'!J:J,MATCH('Isaac 401k'!N3531,'Retirement Calculator'!A:A,0),0),0)</f>
        <v>0</v>
      </c>
      <c r="K3531" s="455">
        <f t="shared" ca="1" si="166"/>
        <v>3843499222.9956183</v>
      </c>
      <c r="L3531" s="455">
        <f t="shared" ca="1" si="167"/>
        <v>926283312741.94397</v>
      </c>
      <c r="M3531" s="471">
        <f t="shared" si="169"/>
        <v>0.05</v>
      </c>
      <c r="N3531" s="475">
        <f t="shared" si="170"/>
        <v>158517</v>
      </c>
    </row>
    <row r="3532" spans="7:14" ht="11.25" customHeight="1" x14ac:dyDescent="0.3">
      <c r="G3532" s="470"/>
      <c r="H3532" s="470">
        <v>3525</v>
      </c>
      <c r="I3532" s="455">
        <f t="shared" ca="1" si="168"/>
        <v>926283312741.94397</v>
      </c>
      <c r="J3532" s="455">
        <f t="array" ref="J3532">IFERROR(INDEX('Retirement Calculator'!J:J,MATCH('Isaac 401k'!N3532,'Retirement Calculator'!A:A,0),0),0)</f>
        <v>0</v>
      </c>
      <c r="K3532" s="455">
        <f t="shared" ca="1" si="166"/>
        <v>3859513803.091433</v>
      </c>
      <c r="L3532" s="455">
        <f t="shared" ca="1" si="167"/>
        <v>930142826545.0354</v>
      </c>
      <c r="M3532" s="471">
        <f t="shared" si="169"/>
        <v>0.05</v>
      </c>
      <c r="N3532" s="475">
        <f t="shared" si="170"/>
        <v>158548</v>
      </c>
    </row>
    <row r="3533" spans="7:14" ht="11.25" customHeight="1" x14ac:dyDescent="0.3">
      <c r="G3533" s="470"/>
      <c r="H3533" s="470">
        <v>3526</v>
      </c>
      <c r="I3533" s="455">
        <f t="shared" ca="1" si="168"/>
        <v>930142826545.0354</v>
      </c>
      <c r="J3533" s="455">
        <f t="array" ref="J3533">IFERROR(INDEX('Retirement Calculator'!J:J,MATCH('Isaac 401k'!N3533,'Retirement Calculator'!A:A,0),0),0)</f>
        <v>0</v>
      </c>
      <c r="K3533" s="455">
        <f t="shared" ca="1" si="166"/>
        <v>3875595110.6043143</v>
      </c>
      <c r="L3533" s="455">
        <f t="shared" ca="1" si="167"/>
        <v>934018421655.63977</v>
      </c>
      <c r="M3533" s="471">
        <f t="shared" si="169"/>
        <v>0.05</v>
      </c>
      <c r="N3533" s="475">
        <f t="shared" si="170"/>
        <v>158576</v>
      </c>
    </row>
    <row r="3534" spans="7:14" ht="11.25" customHeight="1" x14ac:dyDescent="0.3">
      <c r="G3534" s="470"/>
      <c r="H3534" s="470">
        <v>3527</v>
      </c>
      <c r="I3534" s="455">
        <f t="shared" ca="1" si="168"/>
        <v>934018421655.63977</v>
      </c>
      <c r="J3534" s="455">
        <f t="array" ref="J3534">IFERROR(INDEX('Retirement Calculator'!J:J,MATCH('Isaac 401k'!N3534,'Retirement Calculator'!A:A,0),0),0)</f>
        <v>0</v>
      </c>
      <c r="K3534" s="455">
        <f t="shared" ca="1" si="166"/>
        <v>3891743423.5651655</v>
      </c>
      <c r="L3534" s="455">
        <f t="shared" ca="1" si="167"/>
        <v>937910165079.20496</v>
      </c>
      <c r="M3534" s="471">
        <f t="shared" si="169"/>
        <v>0.05</v>
      </c>
      <c r="N3534" s="475">
        <f t="shared" si="170"/>
        <v>158607</v>
      </c>
    </row>
    <row r="3535" spans="7:14" ht="11.25" customHeight="1" x14ac:dyDescent="0.3">
      <c r="G3535" s="470"/>
      <c r="H3535" s="470">
        <v>3528</v>
      </c>
      <c r="I3535" s="455">
        <f t="shared" ca="1" si="168"/>
        <v>937910165079.20496</v>
      </c>
      <c r="J3535" s="455">
        <f t="array" ref="J3535">IFERROR(INDEX('Retirement Calculator'!J:J,MATCH('Isaac 401k'!N3535,'Retirement Calculator'!A:A,0),0),0)</f>
        <v>0</v>
      </c>
      <c r="K3535" s="455">
        <f t="shared" ca="1" si="166"/>
        <v>3907959021.1633534</v>
      </c>
      <c r="L3535" s="455">
        <f t="shared" ca="1" si="167"/>
        <v>941818124100.36829</v>
      </c>
      <c r="M3535" s="471">
        <f t="shared" si="169"/>
        <v>0.05</v>
      </c>
      <c r="N3535" s="475">
        <f t="shared" si="170"/>
        <v>158637</v>
      </c>
    </row>
    <row r="3536" spans="7:14" ht="11.25" customHeight="1" x14ac:dyDescent="0.3">
      <c r="G3536" s="470"/>
      <c r="H3536" s="470">
        <v>3529</v>
      </c>
      <c r="I3536" s="455">
        <f t="shared" ca="1" si="168"/>
        <v>941818124100.36829</v>
      </c>
      <c r="J3536" s="455">
        <f t="array" ref="J3536">IFERROR(INDEX('Retirement Calculator'!J:J,MATCH('Isaac 401k'!N3536,'Retirement Calculator'!A:A,0),0),0)</f>
        <v>0</v>
      </c>
      <c r="K3536" s="455">
        <f t="shared" ca="1" si="166"/>
        <v>3924242183.7515345</v>
      </c>
      <c r="L3536" s="455">
        <f t="shared" ca="1" si="167"/>
        <v>945742366284.11987</v>
      </c>
      <c r="M3536" s="471">
        <f t="shared" si="169"/>
        <v>0.05</v>
      </c>
      <c r="N3536" s="475">
        <f t="shared" si="170"/>
        <v>158668</v>
      </c>
    </row>
    <row r="3537" spans="7:14" ht="11.25" customHeight="1" x14ac:dyDescent="0.3">
      <c r="G3537" s="470"/>
      <c r="H3537" s="470">
        <v>3530</v>
      </c>
      <c r="I3537" s="455">
        <f t="shared" ca="1" si="168"/>
        <v>945742366284.11987</v>
      </c>
      <c r="J3537" s="455">
        <f t="array" ref="J3537">IFERROR(INDEX('Retirement Calculator'!J:J,MATCH('Isaac 401k'!N3537,'Retirement Calculator'!A:A,0),0),0)</f>
        <v>0</v>
      </c>
      <c r="K3537" s="455">
        <f t="shared" ca="1" si="166"/>
        <v>3940593192.8505001</v>
      </c>
      <c r="L3537" s="455">
        <f t="shared" ca="1" si="167"/>
        <v>949682959476.97034</v>
      </c>
      <c r="M3537" s="471">
        <f t="shared" si="169"/>
        <v>0.05</v>
      </c>
      <c r="N3537" s="475">
        <f t="shared" si="170"/>
        <v>158698</v>
      </c>
    </row>
    <row r="3538" spans="7:14" ht="11.25" customHeight="1" x14ac:dyDescent="0.3">
      <c r="G3538" s="470"/>
      <c r="H3538" s="470">
        <v>3531</v>
      </c>
      <c r="I3538" s="455">
        <f t="shared" ca="1" si="168"/>
        <v>949682959476.97034</v>
      </c>
      <c r="J3538" s="455">
        <f t="array" ref="J3538">IFERROR(INDEX('Retirement Calculator'!J:J,MATCH('Isaac 401k'!N3538,'Retirement Calculator'!A:A,0),0),0)</f>
        <v>0</v>
      </c>
      <c r="K3538" s="455">
        <f t="shared" ca="1" si="166"/>
        <v>3957012331.1540432</v>
      </c>
      <c r="L3538" s="455">
        <f t="shared" ca="1" si="167"/>
        <v>953639971808.12439</v>
      </c>
      <c r="M3538" s="471">
        <f t="shared" si="169"/>
        <v>0.05</v>
      </c>
      <c r="N3538" s="475">
        <f t="shared" si="170"/>
        <v>158729</v>
      </c>
    </row>
    <row r="3539" spans="7:14" ht="11.25" customHeight="1" x14ac:dyDescent="0.3">
      <c r="G3539" s="470"/>
      <c r="H3539" s="470">
        <v>3532</v>
      </c>
      <c r="I3539" s="455">
        <f t="shared" ca="1" si="168"/>
        <v>953639971808.12439</v>
      </c>
      <c r="J3539" s="455">
        <f t="array" ref="J3539">IFERROR(INDEX('Retirement Calculator'!J:J,MATCH('Isaac 401k'!N3539,'Retirement Calculator'!A:A,0),0),0)</f>
        <v>0</v>
      </c>
      <c r="K3539" s="455">
        <f t="shared" ca="1" si="166"/>
        <v>3973499882.5338516</v>
      </c>
      <c r="L3539" s="455">
        <f t="shared" ca="1" si="167"/>
        <v>957613471690.6582</v>
      </c>
      <c r="M3539" s="471">
        <f t="shared" si="169"/>
        <v>0.05</v>
      </c>
      <c r="N3539" s="475">
        <f t="shared" si="170"/>
        <v>158760</v>
      </c>
    </row>
    <row r="3540" spans="7:14" ht="11.25" customHeight="1" x14ac:dyDescent="0.3">
      <c r="G3540" s="470"/>
      <c r="H3540" s="470">
        <v>3533</v>
      </c>
      <c r="I3540" s="455">
        <f t="shared" ca="1" si="168"/>
        <v>957613471690.6582</v>
      </c>
      <c r="J3540" s="455">
        <f t="array" ref="J3540">IFERROR(INDEX('Retirement Calculator'!J:J,MATCH('Isaac 401k'!N3540,'Retirement Calculator'!A:A,0),0),0)</f>
        <v>0</v>
      </c>
      <c r="K3540" s="455">
        <f t="shared" ca="1" si="166"/>
        <v>3990056132.0444098</v>
      </c>
      <c r="L3540" s="455">
        <f t="shared" ca="1" si="167"/>
        <v>961603527822.70264</v>
      </c>
      <c r="M3540" s="471">
        <f t="shared" si="169"/>
        <v>0.05</v>
      </c>
      <c r="N3540" s="475">
        <f t="shared" si="170"/>
        <v>158790</v>
      </c>
    </row>
    <row r="3541" spans="7:14" ht="11.25" customHeight="1" x14ac:dyDescent="0.3">
      <c r="G3541" s="470"/>
      <c r="H3541" s="470">
        <v>3534</v>
      </c>
      <c r="I3541" s="455">
        <f t="shared" ca="1" si="168"/>
        <v>961603527822.70264</v>
      </c>
      <c r="J3541" s="455">
        <f t="array" ref="J3541">IFERROR(INDEX('Retirement Calculator'!J:J,MATCH('Isaac 401k'!N3541,'Retirement Calculator'!A:A,0),0),0)</f>
        <v>0</v>
      </c>
      <c r="K3541" s="455">
        <f t="shared" ca="1" si="166"/>
        <v>4006681365.9279275</v>
      </c>
      <c r="L3541" s="455">
        <f t="shared" ca="1" si="167"/>
        <v>965610209188.63062</v>
      </c>
      <c r="M3541" s="471">
        <f t="shared" si="169"/>
        <v>0.05</v>
      </c>
      <c r="N3541" s="475">
        <f t="shared" si="170"/>
        <v>158821</v>
      </c>
    </row>
    <row r="3542" spans="7:14" ht="11.25" customHeight="1" x14ac:dyDescent="0.3">
      <c r="G3542" s="470"/>
      <c r="H3542" s="470">
        <v>3535</v>
      </c>
      <c r="I3542" s="455">
        <f t="shared" ca="1" si="168"/>
        <v>965610209188.63062</v>
      </c>
      <c r="J3542" s="455">
        <f t="array" ref="J3542">IFERROR(INDEX('Retirement Calculator'!J:J,MATCH('Isaac 401k'!N3542,'Retirement Calculator'!A:A,0),0),0)</f>
        <v>0</v>
      </c>
      <c r="K3542" s="455">
        <f t="shared" ca="1" si="166"/>
        <v>4023375871.6192942</v>
      </c>
      <c r="L3542" s="455">
        <f t="shared" ca="1" si="167"/>
        <v>969633585060.24988</v>
      </c>
      <c r="M3542" s="471">
        <f t="shared" si="169"/>
        <v>0.05</v>
      </c>
      <c r="N3542" s="475">
        <f t="shared" si="170"/>
        <v>158851</v>
      </c>
    </row>
    <row r="3543" spans="7:14" ht="11.25" customHeight="1" x14ac:dyDescent="0.3">
      <c r="G3543" s="470"/>
      <c r="H3543" s="470">
        <v>3536</v>
      </c>
      <c r="I3543" s="455">
        <f t="shared" ca="1" si="168"/>
        <v>969633585060.24988</v>
      </c>
      <c r="J3543" s="455">
        <f t="array" ref="J3543">IFERROR(INDEX('Retirement Calculator'!J:J,MATCH('Isaac 401k'!N3543,'Retirement Calculator'!A:A,0),0),0)</f>
        <v>0</v>
      </c>
      <c r="K3543" s="455">
        <f t="shared" ca="1" si="166"/>
        <v>4040139937.7510405</v>
      </c>
      <c r="L3543" s="455">
        <f t="shared" ca="1" si="167"/>
        <v>973673724998.00098</v>
      </c>
      <c r="M3543" s="471">
        <f t="shared" si="169"/>
        <v>0.05</v>
      </c>
      <c r="N3543" s="475">
        <f t="shared" si="170"/>
        <v>158882</v>
      </c>
    </row>
    <row r="3544" spans="7:14" ht="11.25" customHeight="1" x14ac:dyDescent="0.3">
      <c r="G3544" s="470"/>
      <c r="H3544" s="470">
        <v>3537</v>
      </c>
      <c r="I3544" s="455">
        <f t="shared" ca="1" si="168"/>
        <v>973673724998.00098</v>
      </c>
      <c r="J3544" s="455">
        <f t="array" ref="J3544">IFERROR(INDEX('Retirement Calculator'!J:J,MATCH('Isaac 401k'!N3544,'Retirement Calculator'!A:A,0),0),0)</f>
        <v>0</v>
      </c>
      <c r="K3544" s="455">
        <f t="shared" ca="1" si="166"/>
        <v>4056973854.1583371</v>
      </c>
      <c r="L3544" s="455">
        <f t="shared" ca="1" si="167"/>
        <v>977730698852.1593</v>
      </c>
      <c r="M3544" s="471">
        <f t="shared" si="169"/>
        <v>0.05</v>
      </c>
      <c r="N3544" s="475">
        <f t="shared" si="170"/>
        <v>158913</v>
      </c>
    </row>
    <row r="3545" spans="7:14" ht="11.25" customHeight="1" x14ac:dyDescent="0.3">
      <c r="G3545" s="470"/>
      <c r="H3545" s="470">
        <v>3538</v>
      </c>
      <c r="I3545" s="455">
        <f t="shared" ca="1" si="168"/>
        <v>977730698852.1593</v>
      </c>
      <c r="J3545" s="455">
        <f t="array" ref="J3545">IFERROR(INDEX('Retirement Calculator'!J:J,MATCH('Isaac 401k'!N3545,'Retirement Calculator'!A:A,0),0),0)</f>
        <v>0</v>
      </c>
      <c r="K3545" s="455">
        <f t="shared" ca="1" si="166"/>
        <v>4073877911.8839974</v>
      </c>
      <c r="L3545" s="455">
        <f t="shared" ca="1" si="167"/>
        <v>981804576764.04333</v>
      </c>
      <c r="M3545" s="471">
        <f t="shared" si="169"/>
        <v>0.05</v>
      </c>
      <c r="N3545" s="475">
        <f t="shared" si="170"/>
        <v>158941</v>
      </c>
    </row>
    <row r="3546" spans="7:14" ht="11.25" customHeight="1" x14ac:dyDescent="0.3">
      <c r="G3546" s="470"/>
      <c r="H3546" s="470">
        <v>3539</v>
      </c>
      <c r="I3546" s="455">
        <f t="shared" ca="1" si="168"/>
        <v>981804576764.04333</v>
      </c>
      <c r="J3546" s="455">
        <f t="array" ref="J3546">IFERROR(INDEX('Retirement Calculator'!J:J,MATCH('Isaac 401k'!N3546,'Retirement Calculator'!A:A,0),0),0)</f>
        <v>0</v>
      </c>
      <c r="K3546" s="455">
        <f t="shared" ca="1" si="166"/>
        <v>4090852403.1835141</v>
      </c>
      <c r="L3546" s="455">
        <f t="shared" ca="1" si="167"/>
        <v>985895429167.22681</v>
      </c>
      <c r="M3546" s="471">
        <f t="shared" si="169"/>
        <v>0.05</v>
      </c>
      <c r="N3546" s="475">
        <f t="shared" si="170"/>
        <v>158972</v>
      </c>
    </row>
    <row r="3547" spans="7:14" ht="11.25" customHeight="1" x14ac:dyDescent="0.3">
      <c r="G3547" s="470"/>
      <c r="H3547" s="470">
        <v>3540</v>
      </c>
      <c r="I3547" s="455">
        <f t="shared" ca="1" si="168"/>
        <v>985895429167.22681</v>
      </c>
      <c r="J3547" s="455">
        <f t="array" ref="J3547">IFERROR(INDEX('Retirement Calculator'!J:J,MATCH('Isaac 401k'!N3547,'Retirement Calculator'!A:A,0),0),0)</f>
        <v>0</v>
      </c>
      <c r="K3547" s="455">
        <f t="shared" ca="1" si="166"/>
        <v>4107897621.5301118</v>
      </c>
      <c r="L3547" s="455">
        <f t="shared" ca="1" si="167"/>
        <v>990003326788.75696</v>
      </c>
      <c r="M3547" s="471">
        <f t="shared" si="169"/>
        <v>0.05</v>
      </c>
      <c r="N3547" s="475">
        <f t="shared" si="170"/>
        <v>159002</v>
      </c>
    </row>
    <row r="3548" spans="7:14" ht="11.25" customHeight="1" x14ac:dyDescent="0.3">
      <c r="G3548" s="470"/>
      <c r="H3548" s="470">
        <v>3541</v>
      </c>
      <c r="I3548" s="455">
        <f t="shared" ca="1" si="168"/>
        <v>990003326788.75696</v>
      </c>
      <c r="J3548" s="455">
        <f t="array" ref="J3548">IFERROR(INDEX('Retirement Calculator'!J:J,MATCH('Isaac 401k'!N3548,'Retirement Calculator'!A:A,0),0),0)</f>
        <v>0</v>
      </c>
      <c r="K3548" s="455">
        <f t="shared" ca="1" si="166"/>
        <v>4125013861.6198206</v>
      </c>
      <c r="L3548" s="455">
        <f t="shared" ca="1" si="167"/>
        <v>994128340650.37683</v>
      </c>
      <c r="M3548" s="471">
        <f t="shared" si="169"/>
        <v>0.05</v>
      </c>
      <c r="N3548" s="475">
        <f t="shared" si="170"/>
        <v>159033</v>
      </c>
    </row>
    <row r="3549" spans="7:14" ht="11.25" customHeight="1" x14ac:dyDescent="0.3">
      <c r="G3549" s="470"/>
      <c r="H3549" s="470">
        <v>3542</v>
      </c>
      <c r="I3549" s="455">
        <f t="shared" ca="1" si="168"/>
        <v>994128340650.37683</v>
      </c>
      <c r="J3549" s="455">
        <f t="array" ref="J3549">IFERROR(INDEX('Retirement Calculator'!J:J,MATCH('Isaac 401k'!N3549,'Retirement Calculator'!A:A,0),0),0)</f>
        <v>0</v>
      </c>
      <c r="K3549" s="455">
        <f t="shared" ca="1" si="166"/>
        <v>4142201419.3765707</v>
      </c>
      <c r="L3549" s="455">
        <f t="shared" ca="1" si="167"/>
        <v>998270542069.75342</v>
      </c>
      <c r="M3549" s="471">
        <f t="shared" si="169"/>
        <v>0.05</v>
      </c>
      <c r="N3549" s="475">
        <f t="shared" si="170"/>
        <v>159063</v>
      </c>
    </row>
    <row r="3550" spans="7:14" ht="11.25" customHeight="1" x14ac:dyDescent="0.3">
      <c r="G3550" s="470"/>
      <c r="H3550" s="470">
        <v>3543</v>
      </c>
      <c r="I3550" s="455">
        <f t="shared" ca="1" si="168"/>
        <v>998270542069.75342</v>
      </c>
      <c r="J3550" s="455">
        <f t="array" ref="J3550">IFERROR(INDEX('Retirement Calculator'!J:J,MATCH('Isaac 401k'!N3550,'Retirement Calculator'!A:A,0),0),0)</f>
        <v>0</v>
      </c>
      <c r="K3550" s="455">
        <f t="shared" ca="1" si="166"/>
        <v>4159460591.9573059</v>
      </c>
      <c r="L3550" s="455">
        <f t="shared" ca="1" si="167"/>
        <v>1002430002661.7107</v>
      </c>
      <c r="M3550" s="471">
        <f t="shared" si="169"/>
        <v>0.05</v>
      </c>
      <c r="N3550" s="475">
        <f t="shared" si="170"/>
        <v>159094</v>
      </c>
    </row>
    <row r="3551" spans="7:14" ht="11.25" customHeight="1" x14ac:dyDescent="0.3">
      <c r="G3551" s="470"/>
      <c r="H3551" s="470">
        <v>3544</v>
      </c>
      <c r="I3551" s="455">
        <f t="shared" ca="1" si="168"/>
        <v>1002430002661.7107</v>
      </c>
      <c r="J3551" s="455">
        <f t="array" ref="J3551">IFERROR(INDEX('Retirement Calculator'!J:J,MATCH('Isaac 401k'!N3551,'Retirement Calculator'!A:A,0),0),0)</f>
        <v>0</v>
      </c>
      <c r="K3551" s="455">
        <f t="shared" ca="1" si="166"/>
        <v>4176791677.7571278</v>
      </c>
      <c r="L3551" s="455">
        <f t="shared" ca="1" si="167"/>
        <v>1006606794339.4678</v>
      </c>
      <c r="M3551" s="471">
        <f t="shared" si="169"/>
        <v>0.05</v>
      </c>
      <c r="N3551" s="475">
        <f t="shared" si="170"/>
        <v>159125</v>
      </c>
    </row>
    <row r="3552" spans="7:14" ht="11.25" customHeight="1" x14ac:dyDescent="0.3">
      <c r="G3552" s="470"/>
      <c r="H3552" s="470">
        <v>3545</v>
      </c>
      <c r="I3552" s="455">
        <f t="shared" ca="1" si="168"/>
        <v>1006606794339.4678</v>
      </c>
      <c r="J3552" s="455">
        <f t="array" ref="J3552">IFERROR(INDEX('Retirement Calculator'!J:J,MATCH('Isaac 401k'!N3552,'Retirement Calculator'!A:A,0),0),0)</f>
        <v>0</v>
      </c>
      <c r="K3552" s="455">
        <f t="shared" ca="1" si="166"/>
        <v>4194194976.4144492</v>
      </c>
      <c r="L3552" s="455">
        <f t="shared" ca="1" si="167"/>
        <v>1010800989315.8822</v>
      </c>
      <c r="M3552" s="471">
        <f t="shared" si="169"/>
        <v>0.05</v>
      </c>
      <c r="N3552" s="475">
        <f t="shared" si="170"/>
        <v>159155</v>
      </c>
    </row>
    <row r="3553" spans="7:14" ht="11.25" customHeight="1" x14ac:dyDescent="0.3">
      <c r="G3553" s="470"/>
      <c r="H3553" s="470">
        <v>3546</v>
      </c>
      <c r="I3553" s="455">
        <f t="shared" ca="1" si="168"/>
        <v>1010800989315.8822</v>
      </c>
      <c r="J3553" s="455">
        <f t="array" ref="J3553">IFERROR(INDEX('Retirement Calculator'!J:J,MATCH('Isaac 401k'!N3553,'Retirement Calculator'!A:A,0),0),0)</f>
        <v>0</v>
      </c>
      <c r="K3553" s="455">
        <f t="shared" ca="1" si="166"/>
        <v>4211670788.8161759</v>
      </c>
      <c r="L3553" s="455">
        <f t="shared" ca="1" si="167"/>
        <v>1015012660104.6984</v>
      </c>
      <c r="M3553" s="471">
        <f t="shared" si="169"/>
        <v>0.05</v>
      </c>
      <c r="N3553" s="475">
        <f t="shared" si="170"/>
        <v>159186</v>
      </c>
    </row>
    <row r="3554" spans="7:14" ht="11.25" customHeight="1" x14ac:dyDescent="0.3">
      <c r="G3554" s="470"/>
      <c r="H3554" s="470">
        <v>3547</v>
      </c>
      <c r="I3554" s="455">
        <f t="shared" ca="1" si="168"/>
        <v>1015012660104.6984</v>
      </c>
      <c r="J3554" s="455">
        <f t="array" ref="J3554">IFERROR(INDEX('Retirement Calculator'!J:J,MATCH('Isaac 401k'!N3554,'Retirement Calculator'!A:A,0),0),0)</f>
        <v>0</v>
      </c>
      <c r="K3554" s="455">
        <f t="shared" ca="1" si="166"/>
        <v>4229219417.1029096</v>
      </c>
      <c r="L3554" s="455">
        <f t="shared" ca="1" si="167"/>
        <v>1019241879521.8013</v>
      </c>
      <c r="M3554" s="471">
        <f t="shared" si="169"/>
        <v>0.05</v>
      </c>
      <c r="N3554" s="475">
        <f t="shared" si="170"/>
        <v>159216</v>
      </c>
    </row>
    <row r="3555" spans="7:14" ht="11.25" customHeight="1" x14ac:dyDescent="0.3">
      <c r="G3555" s="470"/>
      <c r="H3555" s="470">
        <v>3548</v>
      </c>
      <c r="I3555" s="455">
        <f t="shared" ca="1" si="168"/>
        <v>1019241879521.8013</v>
      </c>
      <c r="J3555" s="455">
        <f t="array" ref="J3555">IFERROR(INDEX('Retirement Calculator'!J:J,MATCH('Isaac 401k'!N3555,'Retirement Calculator'!A:A,0),0),0)</f>
        <v>0</v>
      </c>
      <c r="K3555" s="455">
        <f t="shared" ca="1" si="166"/>
        <v>4246841164.6741719</v>
      </c>
      <c r="L3555" s="455">
        <f t="shared" ca="1" si="167"/>
        <v>1023488720686.4755</v>
      </c>
      <c r="M3555" s="471">
        <f t="shared" si="169"/>
        <v>0.05</v>
      </c>
      <c r="N3555" s="475">
        <f t="shared" si="170"/>
        <v>159247</v>
      </c>
    </row>
    <row r="3556" spans="7:14" ht="11.25" customHeight="1" x14ac:dyDescent="0.3">
      <c r="G3556" s="470"/>
      <c r="H3556" s="470">
        <v>3549</v>
      </c>
      <c r="I3556" s="455">
        <f t="shared" ca="1" si="168"/>
        <v>1023488720686.4755</v>
      </c>
      <c r="J3556" s="455">
        <f t="array" ref="J3556">IFERROR(INDEX('Retirement Calculator'!J:J,MATCH('Isaac 401k'!N3556,'Retirement Calculator'!A:A,0),0),0)</f>
        <v>0</v>
      </c>
      <c r="K3556" s="455">
        <f t="shared" ca="1" si="166"/>
        <v>4264536336.1936474</v>
      </c>
      <c r="L3556" s="455">
        <f t="shared" ca="1" si="167"/>
        <v>1027753257022.6691</v>
      </c>
      <c r="M3556" s="471">
        <f t="shared" si="169"/>
        <v>0.05</v>
      </c>
      <c r="N3556" s="475">
        <f t="shared" si="170"/>
        <v>159278</v>
      </c>
    </row>
    <row r="3557" spans="7:14" ht="11.25" customHeight="1" x14ac:dyDescent="0.3">
      <c r="G3557" s="470"/>
      <c r="H3557" s="470">
        <v>3550</v>
      </c>
      <c r="I3557" s="455">
        <f t="shared" ca="1" si="168"/>
        <v>1027753257022.6691</v>
      </c>
      <c r="J3557" s="455">
        <f t="array" ref="J3557">IFERROR(INDEX('Retirement Calculator'!J:J,MATCH('Isaac 401k'!N3557,'Retirement Calculator'!A:A,0),0),0)</f>
        <v>0</v>
      </c>
      <c r="K3557" s="455">
        <f t="shared" ca="1" si="166"/>
        <v>4282305237.5944548</v>
      </c>
      <c r="L3557" s="455">
        <f t="shared" ca="1" si="167"/>
        <v>1032035562260.2635</v>
      </c>
      <c r="M3557" s="471">
        <f t="shared" si="169"/>
        <v>0.05</v>
      </c>
      <c r="N3557" s="475">
        <f t="shared" si="170"/>
        <v>159307</v>
      </c>
    </row>
    <row r="3558" spans="7:14" ht="11.25" customHeight="1" x14ac:dyDescent="0.3">
      <c r="G3558" s="470"/>
      <c r="H3558" s="470">
        <v>3551</v>
      </c>
      <c r="I3558" s="455">
        <f t="shared" ca="1" si="168"/>
        <v>1032035562260.2635</v>
      </c>
      <c r="J3558" s="455">
        <f t="array" ref="J3558">IFERROR(INDEX('Retirement Calculator'!J:J,MATCH('Isaac 401k'!N3558,'Retirement Calculator'!A:A,0),0),0)</f>
        <v>0</v>
      </c>
      <c r="K3558" s="455">
        <f t="shared" ca="1" si="166"/>
        <v>4300148176.0844316</v>
      </c>
      <c r="L3558" s="455">
        <f t="shared" ca="1" si="167"/>
        <v>1036335710436.348</v>
      </c>
      <c r="M3558" s="471">
        <f t="shared" si="169"/>
        <v>0.05</v>
      </c>
      <c r="N3558" s="475">
        <f t="shared" si="170"/>
        <v>159338</v>
      </c>
    </row>
    <row r="3559" spans="7:14" ht="11.25" customHeight="1" x14ac:dyDescent="0.3">
      <c r="G3559" s="470"/>
      <c r="H3559" s="470">
        <v>3552</v>
      </c>
      <c r="I3559" s="455">
        <f t="shared" ca="1" si="168"/>
        <v>1036335710436.348</v>
      </c>
      <c r="J3559" s="455">
        <f t="array" ref="J3559">IFERROR(INDEX('Retirement Calculator'!J:J,MATCH('Isaac 401k'!N3559,'Retirement Calculator'!A:A,0),0),0)</f>
        <v>0</v>
      </c>
      <c r="K3559" s="455">
        <f t="shared" ca="1" si="166"/>
        <v>4318065460.1514502</v>
      </c>
      <c r="L3559" s="455">
        <f t="shared" ca="1" si="167"/>
        <v>1040653775896.4995</v>
      </c>
      <c r="M3559" s="471">
        <f t="shared" si="169"/>
        <v>0.05</v>
      </c>
      <c r="N3559" s="475">
        <f t="shared" si="170"/>
        <v>159368</v>
      </c>
    </row>
    <row r="3560" spans="7:14" ht="11.25" customHeight="1" x14ac:dyDescent="0.3">
      <c r="G3560" s="470"/>
      <c r="H3560" s="470">
        <v>3553</v>
      </c>
      <c r="I3560" s="455">
        <f t="shared" ca="1" si="168"/>
        <v>1040653775896.4995</v>
      </c>
      <c r="J3560" s="455">
        <f t="array" ref="J3560">IFERROR(INDEX('Retirement Calculator'!J:J,MATCH('Isaac 401k'!N3560,'Retirement Calculator'!A:A,0),0),0)</f>
        <v>0</v>
      </c>
      <c r="K3560" s="455">
        <f t="shared" ca="1" si="166"/>
        <v>4336057399.5687475</v>
      </c>
      <c r="L3560" s="455">
        <f t="shared" ca="1" si="167"/>
        <v>1044989833296.0682</v>
      </c>
      <c r="M3560" s="471">
        <f t="shared" si="169"/>
        <v>0.05</v>
      </c>
      <c r="N3560" s="475">
        <f t="shared" si="170"/>
        <v>159399</v>
      </c>
    </row>
    <row r="3561" spans="7:14" ht="11.25" customHeight="1" x14ac:dyDescent="0.3">
      <c r="G3561" s="470"/>
      <c r="H3561" s="470">
        <v>3554</v>
      </c>
      <c r="I3561" s="455">
        <f t="shared" ca="1" si="168"/>
        <v>1044989833296.0682</v>
      </c>
      <c r="J3561" s="455">
        <f t="array" ref="J3561">IFERROR(INDEX('Retirement Calculator'!J:J,MATCH('Isaac 401k'!N3561,'Retirement Calculator'!A:A,0),0),0)</f>
        <v>0</v>
      </c>
      <c r="K3561" s="455">
        <f t="shared" ca="1" si="166"/>
        <v>4354124305.4002838</v>
      </c>
      <c r="L3561" s="455">
        <f t="shared" ca="1" si="167"/>
        <v>1049343957601.4685</v>
      </c>
      <c r="M3561" s="471">
        <f t="shared" si="169"/>
        <v>0.05</v>
      </c>
      <c r="N3561" s="475">
        <f t="shared" si="170"/>
        <v>159429</v>
      </c>
    </row>
    <row r="3562" spans="7:14" ht="11.25" customHeight="1" x14ac:dyDescent="0.3">
      <c r="G3562" s="470"/>
      <c r="H3562" s="470">
        <v>3555</v>
      </c>
      <c r="I3562" s="455">
        <f t="shared" ca="1" si="168"/>
        <v>1049343957601.4685</v>
      </c>
      <c r="J3562" s="455">
        <f t="array" ref="J3562">IFERROR(INDEX('Retirement Calculator'!J:J,MATCH('Isaac 401k'!N3562,'Retirement Calculator'!A:A,0),0),0)</f>
        <v>0</v>
      </c>
      <c r="K3562" s="455">
        <f t="shared" ca="1" si="166"/>
        <v>4372266490.0061188</v>
      </c>
      <c r="L3562" s="455">
        <f t="shared" ca="1" si="167"/>
        <v>1053716224091.4746</v>
      </c>
      <c r="M3562" s="471">
        <f t="shared" si="169"/>
        <v>0.05</v>
      </c>
      <c r="N3562" s="475">
        <f t="shared" si="170"/>
        <v>159460</v>
      </c>
    </row>
    <row r="3563" spans="7:14" ht="11.25" customHeight="1" x14ac:dyDescent="0.3">
      <c r="G3563" s="470"/>
      <c r="H3563" s="470">
        <v>3556</v>
      </c>
      <c r="I3563" s="455">
        <f t="shared" ca="1" si="168"/>
        <v>1053716224091.4746</v>
      </c>
      <c r="J3563" s="455">
        <f t="array" ref="J3563">IFERROR(INDEX('Retirement Calculator'!J:J,MATCH('Isaac 401k'!N3563,'Retirement Calculator'!A:A,0),0),0)</f>
        <v>0</v>
      </c>
      <c r="K3563" s="455">
        <f t="shared" ca="1" si="166"/>
        <v>4390484267.0478106</v>
      </c>
      <c r="L3563" s="455">
        <f t="shared" ca="1" si="167"/>
        <v>1058106708358.5225</v>
      </c>
      <c r="M3563" s="471">
        <f t="shared" si="169"/>
        <v>0.05</v>
      </c>
      <c r="N3563" s="475">
        <f t="shared" si="170"/>
        <v>159491</v>
      </c>
    </row>
    <row r="3564" spans="7:14" ht="11.25" customHeight="1" x14ac:dyDescent="0.3">
      <c r="G3564" s="470"/>
      <c r="H3564" s="470">
        <v>3557</v>
      </c>
      <c r="I3564" s="455">
        <f t="shared" ca="1" si="168"/>
        <v>1058106708358.5225</v>
      </c>
      <c r="J3564" s="455">
        <f t="array" ref="J3564">IFERROR(INDEX('Retirement Calculator'!J:J,MATCH('Isaac 401k'!N3564,'Retirement Calculator'!A:A,0),0),0)</f>
        <v>0</v>
      </c>
      <c r="K3564" s="455">
        <f t="shared" ca="1" si="166"/>
        <v>4408777951.4938431</v>
      </c>
      <c r="L3564" s="455">
        <f t="shared" ca="1" si="167"/>
        <v>1062515486310.0164</v>
      </c>
      <c r="M3564" s="471">
        <f t="shared" si="169"/>
        <v>0.05</v>
      </c>
      <c r="N3564" s="475">
        <f t="shared" si="170"/>
        <v>159521</v>
      </c>
    </row>
    <row r="3565" spans="7:14" ht="11.25" customHeight="1" x14ac:dyDescent="0.3">
      <c r="G3565" s="470"/>
      <c r="H3565" s="470">
        <v>3558</v>
      </c>
      <c r="I3565" s="455">
        <f t="shared" ca="1" si="168"/>
        <v>1062515486310.0164</v>
      </c>
      <c r="J3565" s="455">
        <f t="array" ref="J3565">IFERROR(INDEX('Retirement Calculator'!J:J,MATCH('Isaac 401k'!N3565,'Retirement Calculator'!A:A,0),0),0)</f>
        <v>0</v>
      </c>
      <c r="K3565" s="455">
        <f t="shared" ca="1" si="166"/>
        <v>4427147859.6250677</v>
      </c>
      <c r="L3565" s="455">
        <f t="shared" ca="1" si="167"/>
        <v>1066942634169.6415</v>
      </c>
      <c r="M3565" s="471">
        <f t="shared" si="169"/>
        <v>0.05</v>
      </c>
      <c r="N3565" s="475">
        <f t="shared" si="170"/>
        <v>159552</v>
      </c>
    </row>
    <row r="3566" spans="7:14" ht="11.25" customHeight="1" x14ac:dyDescent="0.3">
      <c r="G3566" s="470"/>
      <c r="H3566" s="470">
        <v>3559</v>
      </c>
      <c r="I3566" s="455">
        <f t="shared" ca="1" si="168"/>
        <v>1066942634169.6415</v>
      </c>
      <c r="J3566" s="455">
        <f t="array" ref="J3566">IFERROR(INDEX('Retirement Calculator'!J:J,MATCH('Isaac 401k'!N3566,'Retirement Calculator'!A:A,0),0),0)</f>
        <v>0</v>
      </c>
      <c r="K3566" s="455">
        <f t="shared" ca="1" si="166"/>
        <v>4445594309.0401726</v>
      </c>
      <c r="L3566" s="455">
        <f t="shared" ca="1" si="167"/>
        <v>1071388228478.6816</v>
      </c>
      <c r="M3566" s="471">
        <f t="shared" si="169"/>
        <v>0.05</v>
      </c>
      <c r="N3566" s="475">
        <f t="shared" si="170"/>
        <v>159582</v>
      </c>
    </row>
    <row r="3567" spans="7:14" ht="11.25" customHeight="1" x14ac:dyDescent="0.3">
      <c r="G3567" s="470"/>
      <c r="H3567" s="470">
        <v>3560</v>
      </c>
      <c r="I3567" s="455">
        <f t="shared" ca="1" si="168"/>
        <v>1071388228478.6816</v>
      </c>
      <c r="J3567" s="455">
        <f t="array" ref="J3567">IFERROR(INDEX('Retirement Calculator'!J:J,MATCH('Isaac 401k'!N3567,'Retirement Calculator'!A:A,0),0),0)</f>
        <v>0</v>
      </c>
      <c r="K3567" s="455">
        <f t="shared" ca="1" si="166"/>
        <v>4464117618.6611738</v>
      </c>
      <c r="L3567" s="455">
        <f t="shared" ca="1" si="167"/>
        <v>1075852346097.3428</v>
      </c>
      <c r="M3567" s="471">
        <f t="shared" si="169"/>
        <v>0.05</v>
      </c>
      <c r="N3567" s="475">
        <f t="shared" si="170"/>
        <v>159613</v>
      </c>
    </row>
    <row r="3568" spans="7:14" ht="11.25" customHeight="1" x14ac:dyDescent="0.3">
      <c r="G3568" s="470"/>
      <c r="H3568" s="470">
        <v>3561</v>
      </c>
      <c r="I3568" s="455">
        <f t="shared" ca="1" si="168"/>
        <v>1075852346097.3428</v>
      </c>
      <c r="J3568" s="455">
        <f t="array" ref="J3568">IFERROR(INDEX('Retirement Calculator'!J:J,MATCH('Isaac 401k'!N3568,'Retirement Calculator'!A:A,0),0),0)</f>
        <v>0</v>
      </c>
      <c r="K3568" s="455">
        <f t="shared" ca="1" si="166"/>
        <v>4482718108.7389278</v>
      </c>
      <c r="L3568" s="455">
        <f t="shared" ca="1" si="167"/>
        <v>1080335064206.0817</v>
      </c>
      <c r="M3568" s="471">
        <f t="shared" si="169"/>
        <v>0.05</v>
      </c>
      <c r="N3568" s="475">
        <f t="shared" si="170"/>
        <v>159644</v>
      </c>
    </row>
    <row r="3569" spans="7:14" ht="11.25" customHeight="1" x14ac:dyDescent="0.3">
      <c r="G3569" s="470"/>
      <c r="H3569" s="470">
        <v>3562</v>
      </c>
      <c r="I3569" s="455">
        <f t="shared" ca="1" si="168"/>
        <v>1080335064206.0817</v>
      </c>
      <c r="J3569" s="455">
        <f t="array" ref="J3569">IFERROR(INDEX('Retirement Calculator'!J:J,MATCH('Isaac 401k'!N3569,'Retirement Calculator'!A:A,0),0),0)</f>
        <v>0</v>
      </c>
      <c r="K3569" s="455">
        <f t="shared" ca="1" si="166"/>
        <v>4501396100.8586731</v>
      </c>
      <c r="L3569" s="455">
        <f t="shared" ca="1" si="167"/>
        <v>1084836460306.9403</v>
      </c>
      <c r="M3569" s="471">
        <f t="shared" si="169"/>
        <v>0.05</v>
      </c>
      <c r="N3569" s="475">
        <f t="shared" si="170"/>
        <v>159672</v>
      </c>
    </row>
    <row r="3570" spans="7:14" ht="11.25" customHeight="1" x14ac:dyDescent="0.3">
      <c r="G3570" s="470"/>
      <c r="H3570" s="470">
        <v>3563</v>
      </c>
      <c r="I3570" s="455">
        <f t="shared" ca="1" si="168"/>
        <v>1084836460306.9403</v>
      </c>
      <c r="J3570" s="455">
        <f t="array" ref="J3570">IFERROR(INDEX('Retirement Calculator'!J:J,MATCH('Isaac 401k'!N3570,'Retirement Calculator'!A:A,0),0),0)</f>
        <v>0</v>
      </c>
      <c r="K3570" s="455">
        <f t="shared" ca="1" si="166"/>
        <v>4520151917.9455843</v>
      </c>
      <c r="L3570" s="455">
        <f t="shared" ca="1" si="167"/>
        <v>1089356612224.8859</v>
      </c>
      <c r="M3570" s="471">
        <f t="shared" si="169"/>
        <v>0.05</v>
      </c>
      <c r="N3570" s="475">
        <f t="shared" si="170"/>
        <v>159703</v>
      </c>
    </row>
    <row r="3571" spans="7:14" ht="11.25" customHeight="1" x14ac:dyDescent="0.3">
      <c r="G3571" s="470"/>
      <c r="H3571" s="470">
        <v>3564</v>
      </c>
      <c r="I3571" s="455">
        <f t="shared" ca="1" si="168"/>
        <v>1089356612224.8859</v>
      </c>
      <c r="J3571" s="455">
        <f t="array" ref="J3571">IFERROR(INDEX('Retirement Calculator'!J:J,MATCH('Isaac 401k'!N3571,'Retirement Calculator'!A:A,0),0),0)</f>
        <v>0</v>
      </c>
      <c r="K3571" s="455">
        <f t="shared" ca="1" si="166"/>
        <v>4538985884.2703581</v>
      </c>
      <c r="L3571" s="455">
        <f t="shared" ca="1" si="167"/>
        <v>1093895598109.1563</v>
      </c>
      <c r="M3571" s="471">
        <f t="shared" si="169"/>
        <v>0.05</v>
      </c>
      <c r="N3571" s="475">
        <f t="shared" si="170"/>
        <v>159733</v>
      </c>
    </row>
    <row r="3572" spans="7:14" ht="11.25" customHeight="1" x14ac:dyDescent="0.3">
      <c r="G3572" s="470"/>
      <c r="H3572" s="470">
        <v>3565</v>
      </c>
      <c r="I3572" s="455">
        <f t="shared" ca="1" si="168"/>
        <v>1093895598109.1563</v>
      </c>
      <c r="J3572" s="455">
        <f t="array" ref="J3572">IFERROR(INDEX('Retirement Calculator'!J:J,MATCH('Isaac 401k'!N3572,'Retirement Calculator'!A:A,0),0),0)</f>
        <v>0</v>
      </c>
      <c r="K3572" s="455">
        <f t="shared" ca="1" si="166"/>
        <v>4557898325.4548178</v>
      </c>
      <c r="L3572" s="455">
        <f t="shared" ca="1" si="167"/>
        <v>1098453496434.6111</v>
      </c>
      <c r="M3572" s="471">
        <f t="shared" si="169"/>
        <v>0.05</v>
      </c>
      <c r="N3572" s="475">
        <f t="shared" si="170"/>
        <v>159764</v>
      </c>
    </row>
    <row r="3573" spans="7:14" ht="11.25" customHeight="1" x14ac:dyDescent="0.3">
      <c r="G3573" s="470"/>
      <c r="H3573" s="470">
        <v>3566</v>
      </c>
      <c r="I3573" s="455">
        <f t="shared" ca="1" si="168"/>
        <v>1098453496434.6111</v>
      </c>
      <c r="J3573" s="455">
        <f t="array" ref="J3573">IFERROR(INDEX('Retirement Calculator'!J:J,MATCH('Isaac 401k'!N3573,'Retirement Calculator'!A:A,0),0),0)</f>
        <v>0</v>
      </c>
      <c r="K3573" s="455">
        <f t="shared" ca="1" si="166"/>
        <v>4576889568.4775457</v>
      </c>
      <c r="L3573" s="455">
        <f t="shared" ca="1" si="167"/>
        <v>1103030386003.0886</v>
      </c>
      <c r="M3573" s="471">
        <f t="shared" si="169"/>
        <v>0.05</v>
      </c>
      <c r="N3573" s="475">
        <f t="shared" si="170"/>
        <v>159794</v>
      </c>
    </row>
    <row r="3574" spans="7:14" ht="11.25" customHeight="1" x14ac:dyDescent="0.3">
      <c r="G3574" s="470"/>
      <c r="H3574" s="470">
        <v>3567</v>
      </c>
      <c r="I3574" s="455">
        <f t="shared" ca="1" si="168"/>
        <v>1103030386003.0886</v>
      </c>
      <c r="J3574" s="455">
        <f t="array" ref="J3574">IFERROR(INDEX('Retirement Calculator'!J:J,MATCH('Isaac 401k'!N3574,'Retirement Calculator'!A:A,0),0),0)</f>
        <v>0</v>
      </c>
      <c r="K3574" s="455">
        <f t="shared" ca="1" si="166"/>
        <v>4595959941.6795359</v>
      </c>
      <c r="L3574" s="455">
        <f t="shared" ca="1" si="167"/>
        <v>1107626345944.7681</v>
      </c>
      <c r="M3574" s="471">
        <f t="shared" si="169"/>
        <v>0.05</v>
      </c>
      <c r="N3574" s="475">
        <f t="shared" si="170"/>
        <v>159825</v>
      </c>
    </row>
    <row r="3575" spans="7:14" ht="11.25" customHeight="1" x14ac:dyDescent="0.3">
      <c r="G3575" s="470"/>
      <c r="H3575" s="470">
        <v>3568</v>
      </c>
      <c r="I3575" s="455">
        <f t="shared" ca="1" si="168"/>
        <v>1107626345944.7681</v>
      </c>
      <c r="J3575" s="455">
        <f t="array" ref="J3575">IFERROR(INDEX('Retirement Calculator'!J:J,MATCH('Isaac 401k'!N3575,'Retirement Calculator'!A:A,0),0),0)</f>
        <v>0</v>
      </c>
      <c r="K3575" s="455">
        <f t="shared" ca="1" si="166"/>
        <v>4615109774.7698669</v>
      </c>
      <c r="L3575" s="455">
        <f t="shared" ca="1" si="167"/>
        <v>1112241455719.5378</v>
      </c>
      <c r="M3575" s="471">
        <f t="shared" si="169"/>
        <v>0.05</v>
      </c>
      <c r="N3575" s="475">
        <f t="shared" si="170"/>
        <v>159856</v>
      </c>
    </row>
    <row r="3576" spans="7:14" ht="11.25" customHeight="1" x14ac:dyDescent="0.3">
      <c r="G3576" s="470"/>
      <c r="H3576" s="470">
        <v>3569</v>
      </c>
      <c r="I3576" s="455">
        <f t="shared" ca="1" si="168"/>
        <v>1112241455719.5378</v>
      </c>
      <c r="J3576" s="455">
        <f t="array" ref="J3576">IFERROR(INDEX('Retirement Calculator'!J:J,MATCH('Isaac 401k'!N3576,'Retirement Calculator'!A:A,0),0),0)</f>
        <v>0</v>
      </c>
      <c r="K3576" s="455">
        <f t="shared" ca="1" si="166"/>
        <v>4634339398.8314075</v>
      </c>
      <c r="L3576" s="455">
        <f t="shared" ca="1" si="167"/>
        <v>1116875795118.3691</v>
      </c>
      <c r="M3576" s="471">
        <f t="shared" si="169"/>
        <v>0.05</v>
      </c>
      <c r="N3576" s="475">
        <f t="shared" si="170"/>
        <v>159886</v>
      </c>
    </row>
    <row r="3577" spans="7:14" ht="11.25" customHeight="1" x14ac:dyDescent="0.3">
      <c r="G3577" s="470"/>
      <c r="H3577" s="470">
        <v>3570</v>
      </c>
      <c r="I3577" s="455">
        <f t="shared" ca="1" si="168"/>
        <v>1116875795118.3691</v>
      </c>
      <c r="J3577" s="455">
        <f t="array" ref="J3577">IFERROR(INDEX('Retirement Calculator'!J:J,MATCH('Isaac 401k'!N3577,'Retirement Calculator'!A:A,0),0),0)</f>
        <v>0</v>
      </c>
      <c r="K3577" s="455">
        <f t="shared" ca="1" si="166"/>
        <v>4653649146.3265381</v>
      </c>
      <c r="L3577" s="455">
        <f t="shared" ca="1" si="167"/>
        <v>1121529444264.6958</v>
      </c>
      <c r="M3577" s="471">
        <f t="shared" si="169"/>
        <v>0.05</v>
      </c>
      <c r="N3577" s="475">
        <f t="shared" si="170"/>
        <v>159917</v>
      </c>
    </row>
    <row r="3578" spans="7:14" ht="11.25" customHeight="1" x14ac:dyDescent="0.3">
      <c r="G3578" s="470"/>
      <c r="H3578" s="470">
        <v>3571</v>
      </c>
      <c r="I3578" s="455">
        <f t="shared" ca="1" si="168"/>
        <v>1121529444264.6958</v>
      </c>
      <c r="J3578" s="455">
        <f t="array" ref="J3578">IFERROR(INDEX('Retirement Calculator'!J:J,MATCH('Isaac 401k'!N3578,'Retirement Calculator'!A:A,0),0),0)</f>
        <v>0</v>
      </c>
      <c r="K3578" s="455">
        <f t="shared" ref="K3578:K3832" ca="1" si="171">IPMT(M3578/12,1,12,-I3578+J3578,,0)</f>
        <v>4673039351.1028996</v>
      </c>
      <c r="L3578" s="455">
        <f t="shared" ref="L3578:L3832" ca="1" si="172">I3578-J3578+K3578</f>
        <v>1126202483615.7986</v>
      </c>
      <c r="M3578" s="471">
        <f t="shared" si="169"/>
        <v>0.05</v>
      </c>
      <c r="N3578" s="475">
        <f t="shared" si="170"/>
        <v>159947</v>
      </c>
    </row>
    <row r="3579" spans="7:14" ht="11.25" customHeight="1" x14ac:dyDescent="0.3">
      <c r="G3579" s="470"/>
      <c r="H3579" s="470">
        <v>3572</v>
      </c>
      <c r="I3579" s="455">
        <f t="shared" ref="I3579:I3833" ca="1" si="173">L3578</f>
        <v>1126202483615.7986</v>
      </c>
      <c r="J3579" s="455">
        <f t="array" ref="J3579">IFERROR(INDEX('Retirement Calculator'!J:J,MATCH('Isaac 401k'!N3579,'Retirement Calculator'!A:A,0),0),0)</f>
        <v>0</v>
      </c>
      <c r="K3579" s="455">
        <f t="shared" ca="1" si="171"/>
        <v>4692510348.3991604</v>
      </c>
      <c r="L3579" s="455">
        <f t="shared" ca="1" si="172"/>
        <v>1130894993964.1978</v>
      </c>
      <c r="M3579" s="471">
        <f t="shared" ref="M3579:M3833" si="174">M3578</f>
        <v>0.05</v>
      </c>
      <c r="N3579" s="475">
        <f t="shared" ref="N3579:N3833" si="175">EDATE(N3578,1)</f>
        <v>159978</v>
      </c>
    </row>
    <row r="3580" spans="7:14" ht="11.25" customHeight="1" x14ac:dyDescent="0.3">
      <c r="G3580" s="470"/>
      <c r="H3580" s="470">
        <v>3573</v>
      </c>
      <c r="I3580" s="455">
        <f t="shared" ca="1" si="173"/>
        <v>1130894993964.1978</v>
      </c>
      <c r="J3580" s="455">
        <f t="array" ref="J3580">IFERROR(INDEX('Retirement Calculator'!J:J,MATCH('Isaac 401k'!N3580,'Retirement Calculator'!A:A,0),0),0)</f>
        <v>0</v>
      </c>
      <c r="K3580" s="455">
        <f t="shared" ca="1" si="171"/>
        <v>4712062474.8508244</v>
      </c>
      <c r="L3580" s="455">
        <f t="shared" ca="1" si="172"/>
        <v>1135607056439.0486</v>
      </c>
      <c r="M3580" s="471">
        <f t="shared" si="174"/>
        <v>0.05</v>
      </c>
      <c r="N3580" s="475">
        <f t="shared" si="175"/>
        <v>160009</v>
      </c>
    </row>
    <row r="3581" spans="7:14" ht="11.25" customHeight="1" x14ac:dyDescent="0.3">
      <c r="G3581" s="470"/>
      <c r="H3581" s="470">
        <v>3574</v>
      </c>
      <c r="I3581" s="455">
        <f t="shared" ca="1" si="173"/>
        <v>1135607056439.0486</v>
      </c>
      <c r="J3581" s="455">
        <f t="array" ref="J3581">IFERROR(INDEX('Retirement Calculator'!J:J,MATCH('Isaac 401k'!N3581,'Retirement Calculator'!A:A,0),0),0)</f>
        <v>0</v>
      </c>
      <c r="K3581" s="455">
        <f t="shared" ca="1" si="171"/>
        <v>4731696068.4960356</v>
      </c>
      <c r="L3581" s="455">
        <f t="shared" ca="1" si="172"/>
        <v>1140338752507.5447</v>
      </c>
      <c r="M3581" s="471">
        <f t="shared" si="174"/>
        <v>0.05</v>
      </c>
      <c r="N3581" s="475">
        <f t="shared" si="175"/>
        <v>160037</v>
      </c>
    </row>
    <row r="3582" spans="7:14" ht="11.25" customHeight="1" x14ac:dyDescent="0.3">
      <c r="G3582" s="470"/>
      <c r="H3582" s="470">
        <v>3575</v>
      </c>
      <c r="I3582" s="455">
        <f t="shared" ca="1" si="173"/>
        <v>1140338752507.5447</v>
      </c>
      <c r="J3582" s="455">
        <f t="array" ref="J3582">IFERROR(INDEX('Retirement Calculator'!J:J,MATCH('Isaac 401k'!N3582,'Retirement Calculator'!A:A,0),0),0)</f>
        <v>0</v>
      </c>
      <c r="K3582" s="455">
        <f t="shared" ca="1" si="171"/>
        <v>4751411468.781436</v>
      </c>
      <c r="L3582" s="455">
        <f t="shared" ca="1" si="172"/>
        <v>1145090163976.3262</v>
      </c>
      <c r="M3582" s="471">
        <f t="shared" si="174"/>
        <v>0.05</v>
      </c>
      <c r="N3582" s="475">
        <f t="shared" si="175"/>
        <v>160068</v>
      </c>
    </row>
    <row r="3583" spans="7:14" ht="11.25" customHeight="1" x14ac:dyDescent="0.3">
      <c r="G3583" s="470"/>
      <c r="H3583" s="470">
        <v>3576</v>
      </c>
      <c r="I3583" s="455">
        <f t="shared" ca="1" si="173"/>
        <v>1145090163976.3262</v>
      </c>
      <c r="J3583" s="455">
        <f t="array" ref="J3583">IFERROR(INDEX('Retirement Calculator'!J:J,MATCH('Isaac 401k'!N3583,'Retirement Calculator'!A:A,0),0),0)</f>
        <v>0</v>
      </c>
      <c r="K3583" s="455">
        <f t="shared" ca="1" si="171"/>
        <v>4771209016.5680256</v>
      </c>
      <c r="L3583" s="455">
        <f t="shared" ca="1" si="172"/>
        <v>1149861372992.8943</v>
      </c>
      <c r="M3583" s="471">
        <f t="shared" si="174"/>
        <v>0.05</v>
      </c>
      <c r="N3583" s="475">
        <f t="shared" si="175"/>
        <v>160098</v>
      </c>
    </row>
    <row r="3584" spans="7:14" ht="11.25" customHeight="1" x14ac:dyDescent="0.3">
      <c r="G3584" s="470"/>
      <c r="H3584" s="470">
        <v>3577</v>
      </c>
      <c r="I3584" s="455">
        <f t="shared" ca="1" si="173"/>
        <v>1149861372992.8943</v>
      </c>
      <c r="J3584" s="455">
        <f t="array" ref="J3584">IFERROR(INDEX('Retirement Calculator'!J:J,MATCH('Isaac 401k'!N3584,'Retirement Calculator'!A:A,0),0),0)</f>
        <v>0</v>
      </c>
      <c r="K3584" s="455">
        <f t="shared" ca="1" si="171"/>
        <v>4791089054.1370592</v>
      </c>
      <c r="L3584" s="455">
        <f t="shared" ca="1" si="172"/>
        <v>1154652462047.0313</v>
      </c>
      <c r="M3584" s="471">
        <f t="shared" si="174"/>
        <v>0.05</v>
      </c>
      <c r="N3584" s="475">
        <f t="shared" si="175"/>
        <v>160129</v>
      </c>
    </row>
    <row r="3585" spans="7:14" ht="11.25" customHeight="1" x14ac:dyDescent="0.3">
      <c r="G3585" s="470"/>
      <c r="H3585" s="470">
        <v>3578</v>
      </c>
      <c r="I3585" s="455">
        <f t="shared" ca="1" si="173"/>
        <v>1154652462047.0313</v>
      </c>
      <c r="J3585" s="455">
        <f t="array" ref="J3585">IFERROR(INDEX('Retirement Calculator'!J:J,MATCH('Isaac 401k'!N3585,'Retirement Calculator'!A:A,0),0),0)</f>
        <v>0</v>
      </c>
      <c r="K3585" s="455">
        <f t="shared" ca="1" si="171"/>
        <v>4811051925.1959639</v>
      </c>
      <c r="L3585" s="455">
        <f t="shared" ca="1" si="172"/>
        <v>1159463513972.2273</v>
      </c>
      <c r="M3585" s="471">
        <f t="shared" si="174"/>
        <v>0.05</v>
      </c>
      <c r="N3585" s="475">
        <f t="shared" si="175"/>
        <v>160159</v>
      </c>
    </row>
    <row r="3586" spans="7:14" ht="11.25" customHeight="1" x14ac:dyDescent="0.3">
      <c r="G3586" s="470"/>
      <c r="H3586" s="470">
        <v>3579</v>
      </c>
      <c r="I3586" s="455">
        <f t="shared" ca="1" si="173"/>
        <v>1159463513972.2273</v>
      </c>
      <c r="J3586" s="455">
        <f t="array" ref="J3586">IFERROR(INDEX('Retirement Calculator'!J:J,MATCH('Isaac 401k'!N3586,'Retirement Calculator'!A:A,0),0),0)</f>
        <v>0</v>
      </c>
      <c r="K3586" s="455">
        <f t="shared" ca="1" si="171"/>
        <v>4831097974.8842802</v>
      </c>
      <c r="L3586" s="455">
        <f t="shared" ca="1" si="172"/>
        <v>1164294611947.1116</v>
      </c>
      <c r="M3586" s="471">
        <f t="shared" si="174"/>
        <v>0.05</v>
      </c>
      <c r="N3586" s="475">
        <f t="shared" si="175"/>
        <v>160190</v>
      </c>
    </row>
    <row r="3587" spans="7:14" ht="11.25" customHeight="1" x14ac:dyDescent="0.3">
      <c r="G3587" s="470"/>
      <c r="H3587" s="470">
        <v>3580</v>
      </c>
      <c r="I3587" s="455">
        <f t="shared" ca="1" si="173"/>
        <v>1164294611947.1116</v>
      </c>
      <c r="J3587" s="455">
        <f t="array" ref="J3587">IFERROR(INDEX('Retirement Calculator'!J:J,MATCH('Isaac 401k'!N3587,'Retirement Calculator'!A:A,0),0),0)</f>
        <v>0</v>
      </c>
      <c r="K3587" s="455">
        <f t="shared" ca="1" si="171"/>
        <v>4851227549.7796316</v>
      </c>
      <c r="L3587" s="455">
        <f t="shared" ca="1" si="172"/>
        <v>1169145839496.8911</v>
      </c>
      <c r="M3587" s="471">
        <f t="shared" si="174"/>
        <v>0.05</v>
      </c>
      <c r="N3587" s="475">
        <f t="shared" si="175"/>
        <v>160221</v>
      </c>
    </row>
    <row r="3588" spans="7:14" ht="11.25" customHeight="1" x14ac:dyDescent="0.3">
      <c r="G3588" s="470"/>
      <c r="H3588" s="470">
        <v>3581</v>
      </c>
      <c r="I3588" s="455">
        <f t="shared" ca="1" si="173"/>
        <v>1169145839496.8911</v>
      </c>
      <c r="J3588" s="455">
        <f t="array" ref="J3588">IFERROR(INDEX('Retirement Calculator'!J:J,MATCH('Isaac 401k'!N3588,'Retirement Calculator'!A:A,0),0),0)</f>
        <v>0</v>
      </c>
      <c r="K3588" s="455">
        <f t="shared" ca="1" si="171"/>
        <v>4871440997.9037132</v>
      </c>
      <c r="L3588" s="455">
        <f t="shared" ca="1" si="172"/>
        <v>1174017280494.7949</v>
      </c>
      <c r="M3588" s="471">
        <f t="shared" si="174"/>
        <v>0.05</v>
      </c>
      <c r="N3588" s="475">
        <f t="shared" si="175"/>
        <v>160251</v>
      </c>
    </row>
    <row r="3589" spans="7:14" ht="11.25" customHeight="1" x14ac:dyDescent="0.3">
      <c r="G3589" s="470"/>
      <c r="H3589" s="470">
        <v>3582</v>
      </c>
      <c r="I3589" s="455">
        <f t="shared" ca="1" si="173"/>
        <v>1174017280494.7949</v>
      </c>
      <c r="J3589" s="455">
        <f t="array" ref="J3589">IFERROR(INDEX('Retirement Calculator'!J:J,MATCH('Isaac 401k'!N3589,'Retirement Calculator'!A:A,0),0),0)</f>
        <v>0</v>
      </c>
      <c r="K3589" s="455">
        <f t="shared" ca="1" si="171"/>
        <v>4891738668.7283125</v>
      </c>
      <c r="L3589" s="455">
        <f t="shared" ca="1" si="172"/>
        <v>1178909019163.5232</v>
      </c>
      <c r="M3589" s="471">
        <f t="shared" si="174"/>
        <v>0.05</v>
      </c>
      <c r="N3589" s="475">
        <f t="shared" si="175"/>
        <v>160282</v>
      </c>
    </row>
    <row r="3590" spans="7:14" ht="11.25" customHeight="1" x14ac:dyDescent="0.3">
      <c r="G3590" s="470"/>
      <c r="H3590" s="470">
        <v>3583</v>
      </c>
      <c r="I3590" s="455">
        <f t="shared" ca="1" si="173"/>
        <v>1178909019163.5232</v>
      </c>
      <c r="J3590" s="455">
        <f t="array" ref="J3590">IFERROR(INDEX('Retirement Calculator'!J:J,MATCH('Isaac 401k'!N3590,'Retirement Calculator'!A:A,0),0),0)</f>
        <v>0</v>
      </c>
      <c r="K3590" s="455">
        <f t="shared" ca="1" si="171"/>
        <v>4912120913.1813469</v>
      </c>
      <c r="L3590" s="455">
        <f t="shared" ca="1" si="172"/>
        <v>1183821140076.7046</v>
      </c>
      <c r="M3590" s="471">
        <f t="shared" si="174"/>
        <v>0.05</v>
      </c>
      <c r="N3590" s="475">
        <f t="shared" si="175"/>
        <v>160312</v>
      </c>
    </row>
    <row r="3591" spans="7:14" ht="11.25" customHeight="1" x14ac:dyDescent="0.3">
      <c r="G3591" s="470"/>
      <c r="H3591" s="470">
        <v>3584</v>
      </c>
      <c r="I3591" s="455">
        <f t="shared" ca="1" si="173"/>
        <v>1183821140076.7046</v>
      </c>
      <c r="J3591" s="455">
        <f t="array" ref="J3591">IFERROR(INDEX('Retirement Calculator'!J:J,MATCH('Isaac 401k'!N3591,'Retirement Calculator'!A:A,0),0),0)</f>
        <v>0</v>
      </c>
      <c r="K3591" s="455">
        <f t="shared" ca="1" si="171"/>
        <v>4932588083.652936</v>
      </c>
      <c r="L3591" s="455">
        <f t="shared" ca="1" si="172"/>
        <v>1188753728160.3574</v>
      </c>
      <c r="M3591" s="471">
        <f t="shared" si="174"/>
        <v>0.05</v>
      </c>
      <c r="N3591" s="475">
        <f t="shared" si="175"/>
        <v>160343</v>
      </c>
    </row>
    <row r="3592" spans="7:14" ht="11.25" customHeight="1" x14ac:dyDescent="0.3">
      <c r="G3592" s="470"/>
      <c r="H3592" s="470">
        <v>3585</v>
      </c>
      <c r="I3592" s="455">
        <f t="shared" ca="1" si="173"/>
        <v>1188753728160.3574</v>
      </c>
      <c r="J3592" s="455">
        <f t="array" ref="J3592">IFERROR(INDEX('Retirement Calculator'!J:J,MATCH('Isaac 401k'!N3592,'Retirement Calculator'!A:A,0),0),0)</f>
        <v>0</v>
      </c>
      <c r="K3592" s="455">
        <f t="shared" ca="1" si="171"/>
        <v>4953140534.0014896</v>
      </c>
      <c r="L3592" s="455">
        <f t="shared" ca="1" si="172"/>
        <v>1193706868694.3589</v>
      </c>
      <c r="M3592" s="471">
        <f t="shared" si="174"/>
        <v>0.05</v>
      </c>
      <c r="N3592" s="475">
        <f t="shared" si="175"/>
        <v>160374</v>
      </c>
    </row>
    <row r="3593" spans="7:14" ht="11.25" customHeight="1" x14ac:dyDescent="0.3">
      <c r="G3593" s="470"/>
      <c r="H3593" s="470">
        <v>3586</v>
      </c>
      <c r="I3593" s="455">
        <f t="shared" ca="1" si="173"/>
        <v>1193706868694.3589</v>
      </c>
      <c r="J3593" s="455">
        <f t="array" ref="J3593">IFERROR(INDEX('Retirement Calculator'!J:J,MATCH('Isaac 401k'!N3593,'Retirement Calculator'!A:A,0),0),0)</f>
        <v>0</v>
      </c>
      <c r="K3593" s="455">
        <f t="shared" ca="1" si="171"/>
        <v>4973778619.5598288</v>
      </c>
      <c r="L3593" s="455">
        <f t="shared" ca="1" si="172"/>
        <v>1198680647313.9187</v>
      </c>
      <c r="M3593" s="471">
        <f t="shared" si="174"/>
        <v>0.05</v>
      </c>
      <c r="N3593" s="475">
        <f t="shared" si="175"/>
        <v>160402</v>
      </c>
    </row>
    <row r="3594" spans="7:14" ht="11.25" customHeight="1" x14ac:dyDescent="0.3">
      <c r="G3594" s="470"/>
      <c r="H3594" s="470">
        <v>3587</v>
      </c>
      <c r="I3594" s="455">
        <f t="shared" ca="1" si="173"/>
        <v>1198680647313.9187</v>
      </c>
      <c r="J3594" s="455">
        <f t="array" ref="J3594">IFERROR(INDEX('Retirement Calculator'!J:J,MATCH('Isaac 401k'!N3594,'Retirement Calculator'!A:A,0),0),0)</f>
        <v>0</v>
      </c>
      <c r="K3594" s="455">
        <f t="shared" ca="1" si="171"/>
        <v>4994502697.1413279</v>
      </c>
      <c r="L3594" s="455">
        <f t="shared" ca="1" si="172"/>
        <v>1203675150011.0601</v>
      </c>
      <c r="M3594" s="471">
        <f t="shared" si="174"/>
        <v>0.05</v>
      </c>
      <c r="N3594" s="475">
        <f t="shared" si="175"/>
        <v>160433</v>
      </c>
    </row>
    <row r="3595" spans="7:14" ht="11.25" customHeight="1" x14ac:dyDescent="0.3">
      <c r="G3595" s="470"/>
      <c r="H3595" s="470">
        <v>3588</v>
      </c>
      <c r="I3595" s="455">
        <f t="shared" ca="1" si="173"/>
        <v>1203675150011.0601</v>
      </c>
      <c r="J3595" s="455">
        <f t="array" ref="J3595">IFERROR(INDEX('Retirement Calculator'!J:J,MATCH('Isaac 401k'!N3595,'Retirement Calculator'!A:A,0),0),0)</f>
        <v>0</v>
      </c>
      <c r="K3595" s="455">
        <f t="shared" ca="1" si="171"/>
        <v>5015313125.0460835</v>
      </c>
      <c r="L3595" s="455">
        <f t="shared" ca="1" si="172"/>
        <v>1208690463136.1062</v>
      </c>
      <c r="M3595" s="471">
        <f t="shared" si="174"/>
        <v>0.05</v>
      </c>
      <c r="N3595" s="475">
        <f t="shared" si="175"/>
        <v>160463</v>
      </c>
    </row>
    <row r="3596" spans="7:14" ht="11.25" customHeight="1" x14ac:dyDescent="0.3">
      <c r="G3596" s="470"/>
      <c r="H3596" s="470">
        <v>3589</v>
      </c>
      <c r="I3596" s="455">
        <f t="shared" ca="1" si="173"/>
        <v>1208690463136.1062</v>
      </c>
      <c r="J3596" s="455">
        <f t="array" ref="J3596">IFERROR(INDEX('Retirement Calculator'!J:J,MATCH('Isaac 401k'!N3596,'Retirement Calculator'!A:A,0),0),0)</f>
        <v>0</v>
      </c>
      <c r="K3596" s="455">
        <f t="shared" ca="1" si="171"/>
        <v>5036210263.0671091</v>
      </c>
      <c r="L3596" s="455">
        <f t="shared" ca="1" si="172"/>
        <v>1213726673399.1733</v>
      </c>
      <c r="M3596" s="471">
        <f t="shared" si="174"/>
        <v>0.05</v>
      </c>
      <c r="N3596" s="475">
        <f t="shared" si="175"/>
        <v>160494</v>
      </c>
    </row>
    <row r="3597" spans="7:14" ht="11.25" customHeight="1" x14ac:dyDescent="0.3">
      <c r="G3597" s="470"/>
      <c r="H3597" s="470">
        <v>3590</v>
      </c>
      <c r="I3597" s="455">
        <f t="shared" ca="1" si="173"/>
        <v>1213726673399.1733</v>
      </c>
      <c r="J3597" s="455">
        <f t="array" ref="J3597">IFERROR(INDEX('Retirement Calculator'!J:J,MATCH('Isaac 401k'!N3597,'Retirement Calculator'!A:A,0),0),0)</f>
        <v>0</v>
      </c>
      <c r="K3597" s="455">
        <f t="shared" ca="1" si="171"/>
        <v>5057194472.4965553</v>
      </c>
      <c r="L3597" s="455">
        <f t="shared" ca="1" si="172"/>
        <v>1218783867871.6699</v>
      </c>
      <c r="M3597" s="471">
        <f t="shared" si="174"/>
        <v>0.05</v>
      </c>
      <c r="N3597" s="475">
        <f t="shared" si="175"/>
        <v>160524</v>
      </c>
    </row>
    <row r="3598" spans="7:14" ht="11.25" customHeight="1" x14ac:dyDescent="0.3">
      <c r="G3598" s="470"/>
      <c r="H3598" s="470">
        <v>3591</v>
      </c>
      <c r="I3598" s="455">
        <f t="shared" ca="1" si="173"/>
        <v>1218783867871.6699</v>
      </c>
      <c r="J3598" s="455">
        <f t="array" ref="J3598">IFERROR(INDEX('Retirement Calculator'!J:J,MATCH('Isaac 401k'!N3598,'Retirement Calculator'!A:A,0),0),0)</f>
        <v>0</v>
      </c>
      <c r="K3598" s="455">
        <f t="shared" ca="1" si="171"/>
        <v>5078266116.131958</v>
      </c>
      <c r="L3598" s="455">
        <f t="shared" ca="1" si="172"/>
        <v>1223862133987.8018</v>
      </c>
      <c r="M3598" s="471">
        <f t="shared" si="174"/>
        <v>0.05</v>
      </c>
      <c r="N3598" s="475">
        <f t="shared" si="175"/>
        <v>160555</v>
      </c>
    </row>
    <row r="3599" spans="7:14" ht="11.25" customHeight="1" x14ac:dyDescent="0.3">
      <c r="G3599" s="470"/>
      <c r="H3599" s="470">
        <v>3592</v>
      </c>
      <c r="I3599" s="455">
        <f t="shared" ca="1" si="173"/>
        <v>1223862133987.8018</v>
      </c>
      <c r="J3599" s="455">
        <f t="array" ref="J3599">IFERROR(INDEX('Retirement Calculator'!J:J,MATCH('Isaac 401k'!N3599,'Retirement Calculator'!A:A,0),0),0)</f>
        <v>0</v>
      </c>
      <c r="K3599" s="455">
        <f t="shared" ca="1" si="171"/>
        <v>5099425558.2825069</v>
      </c>
      <c r="L3599" s="455">
        <f t="shared" ca="1" si="172"/>
        <v>1228961559546.0842</v>
      </c>
      <c r="M3599" s="471">
        <f t="shared" si="174"/>
        <v>0.05</v>
      </c>
      <c r="N3599" s="475">
        <f t="shared" si="175"/>
        <v>160586</v>
      </c>
    </row>
    <row r="3600" spans="7:14" ht="11.25" customHeight="1" x14ac:dyDescent="0.3">
      <c r="G3600" s="470"/>
      <c r="H3600" s="470">
        <v>3593</v>
      </c>
      <c r="I3600" s="455">
        <f t="shared" ca="1" si="173"/>
        <v>1228961559546.0842</v>
      </c>
      <c r="J3600" s="455">
        <f t="array" ref="J3600">IFERROR(INDEX('Retirement Calculator'!J:J,MATCH('Isaac 401k'!N3600,'Retirement Calculator'!A:A,0),0),0)</f>
        <v>0</v>
      </c>
      <c r="K3600" s="455">
        <f t="shared" ca="1" si="171"/>
        <v>5120673164.7753506</v>
      </c>
      <c r="L3600" s="455">
        <f t="shared" ca="1" si="172"/>
        <v>1234082232710.8596</v>
      </c>
      <c r="M3600" s="471">
        <f t="shared" si="174"/>
        <v>0.05</v>
      </c>
      <c r="N3600" s="475">
        <f t="shared" si="175"/>
        <v>160616</v>
      </c>
    </row>
    <row r="3601" spans="7:14" ht="11.25" customHeight="1" x14ac:dyDescent="0.3">
      <c r="G3601" s="470"/>
      <c r="H3601" s="470">
        <v>3594</v>
      </c>
      <c r="I3601" s="455">
        <f t="shared" ca="1" si="173"/>
        <v>1234082232710.8596</v>
      </c>
      <c r="J3601" s="455">
        <f t="array" ref="J3601">IFERROR(INDEX('Retirement Calculator'!J:J,MATCH('Isaac 401k'!N3601,'Retirement Calculator'!A:A,0),0),0)</f>
        <v>0</v>
      </c>
      <c r="K3601" s="455">
        <f t="shared" ca="1" si="171"/>
        <v>5142009302.961915</v>
      </c>
      <c r="L3601" s="455">
        <f t="shared" ca="1" si="172"/>
        <v>1239224242013.8215</v>
      </c>
      <c r="M3601" s="471">
        <f t="shared" si="174"/>
        <v>0.05</v>
      </c>
      <c r="N3601" s="475">
        <f t="shared" si="175"/>
        <v>160647</v>
      </c>
    </row>
    <row r="3602" spans="7:14" ht="11.25" customHeight="1" x14ac:dyDescent="0.3">
      <c r="G3602" s="470"/>
      <c r="H3602" s="470">
        <v>3595</v>
      </c>
      <c r="I3602" s="455">
        <f t="shared" ca="1" si="173"/>
        <v>1239224242013.8215</v>
      </c>
      <c r="J3602" s="455">
        <f t="array" ref="J3602">IFERROR(INDEX('Retirement Calculator'!J:J,MATCH('Isaac 401k'!N3602,'Retirement Calculator'!A:A,0),0),0)</f>
        <v>0</v>
      </c>
      <c r="K3602" s="455">
        <f t="shared" ca="1" si="171"/>
        <v>5163434341.7242565</v>
      </c>
      <c r="L3602" s="455">
        <f t="shared" ca="1" si="172"/>
        <v>1244387676355.5459</v>
      </c>
      <c r="M3602" s="471">
        <f t="shared" si="174"/>
        <v>0.05</v>
      </c>
      <c r="N3602" s="475">
        <f t="shared" si="175"/>
        <v>160677</v>
      </c>
    </row>
    <row r="3603" spans="7:14" ht="11.25" customHeight="1" x14ac:dyDescent="0.3">
      <c r="G3603" s="470"/>
      <c r="H3603" s="470">
        <v>3596</v>
      </c>
      <c r="I3603" s="455">
        <f t="shared" ca="1" si="173"/>
        <v>1244387676355.5459</v>
      </c>
      <c r="J3603" s="455">
        <f t="array" ref="J3603">IFERROR(INDEX('Retirement Calculator'!J:J,MATCH('Isaac 401k'!N3603,'Retirement Calculator'!A:A,0),0),0)</f>
        <v>0</v>
      </c>
      <c r="K3603" s="455">
        <f t="shared" ca="1" si="171"/>
        <v>5184948651.4814415</v>
      </c>
      <c r="L3603" s="455">
        <f t="shared" ca="1" si="172"/>
        <v>1249572625007.0273</v>
      </c>
      <c r="M3603" s="471">
        <f t="shared" si="174"/>
        <v>0.05</v>
      </c>
      <c r="N3603" s="475">
        <f t="shared" si="175"/>
        <v>160708</v>
      </c>
    </row>
    <row r="3604" spans="7:14" ht="11.25" customHeight="1" x14ac:dyDescent="0.3">
      <c r="G3604" s="470"/>
      <c r="H3604" s="470">
        <v>3597</v>
      </c>
      <c r="I3604" s="455">
        <f t="shared" ca="1" si="173"/>
        <v>1249572625007.0273</v>
      </c>
      <c r="J3604" s="455">
        <f t="array" ref="J3604">IFERROR(INDEX('Retirement Calculator'!J:J,MATCH('Isaac 401k'!N3604,'Retirement Calculator'!A:A,0),0),0)</f>
        <v>0</v>
      </c>
      <c r="K3604" s="455">
        <f t="shared" ca="1" si="171"/>
        <v>5206552604.1959476</v>
      </c>
      <c r="L3604" s="455">
        <f t="shared" ca="1" si="172"/>
        <v>1254779177611.2234</v>
      </c>
      <c r="M3604" s="471">
        <f t="shared" si="174"/>
        <v>0.05</v>
      </c>
      <c r="N3604" s="475">
        <f t="shared" si="175"/>
        <v>160739</v>
      </c>
    </row>
    <row r="3605" spans="7:14" ht="11.25" customHeight="1" x14ac:dyDescent="0.3">
      <c r="G3605" s="470"/>
      <c r="H3605" s="470">
        <v>3598</v>
      </c>
      <c r="I3605" s="455">
        <f t="shared" ca="1" si="173"/>
        <v>1254779177611.2234</v>
      </c>
      <c r="J3605" s="455">
        <f t="array" ref="J3605">IFERROR(INDEX('Retirement Calculator'!J:J,MATCH('Isaac 401k'!N3605,'Retirement Calculator'!A:A,0),0),0)</f>
        <v>0</v>
      </c>
      <c r="K3605" s="455">
        <f t="shared" ca="1" si="171"/>
        <v>5228246573.3800974</v>
      </c>
      <c r="L3605" s="455">
        <f t="shared" ca="1" si="172"/>
        <v>1260007424184.6035</v>
      </c>
      <c r="M3605" s="471">
        <f t="shared" si="174"/>
        <v>0.05</v>
      </c>
      <c r="N3605" s="475">
        <f t="shared" si="175"/>
        <v>160768</v>
      </c>
    </row>
    <row r="3606" spans="7:14" ht="11.25" customHeight="1" x14ac:dyDescent="0.3">
      <c r="G3606" s="470"/>
      <c r="H3606" s="470">
        <v>3599</v>
      </c>
      <c r="I3606" s="455">
        <f t="shared" ca="1" si="173"/>
        <v>1260007424184.6035</v>
      </c>
      <c r="J3606" s="455">
        <f t="array" ref="J3606">IFERROR(INDEX('Retirement Calculator'!J:J,MATCH('Isaac 401k'!N3606,'Retirement Calculator'!A:A,0),0),0)</f>
        <v>0</v>
      </c>
      <c r="K3606" s="455">
        <f t="shared" ca="1" si="171"/>
        <v>5250030934.1025143</v>
      </c>
      <c r="L3606" s="455">
        <f t="shared" ca="1" si="172"/>
        <v>1265257455118.7061</v>
      </c>
      <c r="M3606" s="471">
        <f t="shared" si="174"/>
        <v>0.05</v>
      </c>
      <c r="N3606" s="475">
        <f t="shared" si="175"/>
        <v>160799</v>
      </c>
    </row>
    <row r="3607" spans="7:14" ht="11.25" customHeight="1" x14ac:dyDescent="0.3">
      <c r="G3607" s="470"/>
      <c r="H3607" s="470">
        <v>3600</v>
      </c>
      <c r="I3607" s="455">
        <f t="shared" ca="1" si="173"/>
        <v>1265257455118.7061</v>
      </c>
      <c r="J3607" s="455">
        <f t="array" ref="J3607">IFERROR(INDEX('Retirement Calculator'!J:J,MATCH('Isaac 401k'!N3607,'Retirement Calculator'!A:A,0),0),0)</f>
        <v>0</v>
      </c>
      <c r="K3607" s="455">
        <f t="shared" ca="1" si="171"/>
        <v>5271906062.9946089</v>
      </c>
      <c r="L3607" s="455">
        <f t="shared" ca="1" si="172"/>
        <v>1270529361181.7007</v>
      </c>
      <c r="M3607" s="471">
        <f t="shared" si="174"/>
        <v>0.05</v>
      </c>
      <c r="N3607" s="475">
        <f t="shared" si="175"/>
        <v>160829</v>
      </c>
    </row>
    <row r="3608" spans="7:14" ht="11.25" customHeight="1" x14ac:dyDescent="0.3">
      <c r="G3608" s="470"/>
      <c r="H3608" s="470">
        <v>3601</v>
      </c>
      <c r="I3608" s="455">
        <f t="shared" ca="1" si="173"/>
        <v>1270529361181.7007</v>
      </c>
      <c r="J3608" s="455">
        <f t="array" ref="J3608">IFERROR(INDEX('Retirement Calculator'!J:J,MATCH('Isaac 401k'!N3608,'Retirement Calculator'!A:A,0),0),0)</f>
        <v>0</v>
      </c>
      <c r="K3608" s="455">
        <f t="shared" ca="1" si="171"/>
        <v>5293872338.2570858</v>
      </c>
      <c r="L3608" s="455">
        <f t="shared" ca="1" si="172"/>
        <v>1275823233519.9578</v>
      </c>
      <c r="M3608" s="471">
        <f t="shared" si="174"/>
        <v>0.05</v>
      </c>
      <c r="N3608" s="475">
        <f t="shared" si="175"/>
        <v>160860</v>
      </c>
    </row>
    <row r="3609" spans="7:14" ht="11.25" customHeight="1" x14ac:dyDescent="0.3">
      <c r="G3609" s="470"/>
      <c r="H3609" s="470">
        <v>3602</v>
      </c>
      <c r="I3609" s="455">
        <f t="shared" ca="1" si="173"/>
        <v>1275823233519.9578</v>
      </c>
      <c r="J3609" s="455">
        <f t="array" ref="J3609">IFERROR(INDEX('Retirement Calculator'!J:J,MATCH('Isaac 401k'!N3609,'Retirement Calculator'!A:A,0),0),0)</f>
        <v>0</v>
      </c>
      <c r="K3609" s="455">
        <f t="shared" ca="1" si="171"/>
        <v>5315930139.6664906</v>
      </c>
      <c r="L3609" s="455">
        <f t="shared" ca="1" si="172"/>
        <v>1281139163659.6243</v>
      </c>
      <c r="M3609" s="471">
        <f t="shared" si="174"/>
        <v>0.05</v>
      </c>
      <c r="N3609" s="475">
        <f t="shared" si="175"/>
        <v>160890</v>
      </c>
    </row>
    <row r="3610" spans="7:14" ht="11.25" customHeight="1" x14ac:dyDescent="0.3">
      <c r="G3610" s="470"/>
      <c r="H3610" s="470">
        <v>3603</v>
      </c>
      <c r="I3610" s="455">
        <f t="shared" ca="1" si="173"/>
        <v>1281139163659.6243</v>
      </c>
      <c r="J3610" s="455">
        <f t="array" ref="J3610">IFERROR(INDEX('Retirement Calculator'!J:J,MATCH('Isaac 401k'!N3610,'Retirement Calculator'!A:A,0),0),0)</f>
        <v>0</v>
      </c>
      <c r="K3610" s="455">
        <f t="shared" ca="1" si="171"/>
        <v>5338079848.581768</v>
      </c>
      <c r="L3610" s="455">
        <f t="shared" ca="1" si="172"/>
        <v>1286477243508.2061</v>
      </c>
      <c r="M3610" s="471">
        <f t="shared" si="174"/>
        <v>0.05</v>
      </c>
      <c r="N3610" s="475">
        <f t="shared" si="175"/>
        <v>160921</v>
      </c>
    </row>
    <row r="3611" spans="7:14" ht="11.25" customHeight="1" x14ac:dyDescent="0.3">
      <c r="G3611" s="470"/>
      <c r="H3611" s="470">
        <v>3604</v>
      </c>
      <c r="I3611" s="455">
        <f t="shared" ca="1" si="173"/>
        <v>1286477243508.2061</v>
      </c>
      <c r="J3611" s="455">
        <f t="array" ref="J3611">IFERROR(INDEX('Retirement Calculator'!J:J,MATCH('Isaac 401k'!N3611,'Retirement Calculator'!A:A,0),0),0)</f>
        <v>0</v>
      </c>
      <c r="K3611" s="455">
        <f t="shared" ca="1" si="171"/>
        <v>5360321847.9508581</v>
      </c>
      <c r="L3611" s="455">
        <f t="shared" ca="1" si="172"/>
        <v>1291837565356.157</v>
      </c>
      <c r="M3611" s="471">
        <f t="shared" si="174"/>
        <v>0.05</v>
      </c>
      <c r="N3611" s="475">
        <f t="shared" si="175"/>
        <v>160952</v>
      </c>
    </row>
    <row r="3612" spans="7:14" ht="11.25" customHeight="1" x14ac:dyDescent="0.3">
      <c r="G3612" s="470"/>
      <c r="H3612" s="470">
        <v>3605</v>
      </c>
      <c r="I3612" s="455">
        <f t="shared" ca="1" si="173"/>
        <v>1291837565356.157</v>
      </c>
      <c r="J3612" s="455">
        <f t="array" ref="J3612">IFERROR(INDEX('Retirement Calculator'!J:J,MATCH('Isaac 401k'!N3612,'Retirement Calculator'!A:A,0),0),0)</f>
        <v>0</v>
      </c>
      <c r="K3612" s="455">
        <f t="shared" ca="1" si="171"/>
        <v>5382656522.3173208</v>
      </c>
      <c r="L3612" s="455">
        <f t="shared" ca="1" si="172"/>
        <v>1297220221878.4744</v>
      </c>
      <c r="M3612" s="471">
        <f t="shared" si="174"/>
        <v>0.05</v>
      </c>
      <c r="N3612" s="475">
        <f t="shared" si="175"/>
        <v>160982</v>
      </c>
    </row>
    <row r="3613" spans="7:14" ht="11.25" customHeight="1" x14ac:dyDescent="0.3">
      <c r="G3613" s="470"/>
      <c r="H3613" s="470">
        <v>3606</v>
      </c>
      <c r="I3613" s="455">
        <f t="shared" ca="1" si="173"/>
        <v>1297220221878.4744</v>
      </c>
      <c r="J3613" s="455">
        <f t="array" ref="J3613">IFERROR(INDEX('Retirement Calculator'!J:J,MATCH('Isaac 401k'!N3613,'Retirement Calculator'!A:A,0),0),0)</f>
        <v>0</v>
      </c>
      <c r="K3613" s="455">
        <f t="shared" ca="1" si="171"/>
        <v>5405084257.8269768</v>
      </c>
      <c r="L3613" s="455">
        <f t="shared" ca="1" si="172"/>
        <v>1302625306136.3013</v>
      </c>
      <c r="M3613" s="471">
        <f t="shared" si="174"/>
        <v>0.05</v>
      </c>
      <c r="N3613" s="475">
        <f t="shared" si="175"/>
        <v>161013</v>
      </c>
    </row>
    <row r="3614" spans="7:14" ht="11.25" customHeight="1" x14ac:dyDescent="0.3">
      <c r="G3614" s="470"/>
      <c r="H3614" s="470">
        <v>3607</v>
      </c>
      <c r="I3614" s="455">
        <f t="shared" ca="1" si="173"/>
        <v>1302625306136.3013</v>
      </c>
      <c r="J3614" s="455">
        <f t="array" ref="J3614">IFERROR(INDEX('Retirement Calculator'!J:J,MATCH('Isaac 401k'!N3614,'Retirement Calculator'!A:A,0),0),0)</f>
        <v>0</v>
      </c>
      <c r="K3614" s="455">
        <f t="shared" ca="1" si="171"/>
        <v>5427605442.2345886</v>
      </c>
      <c r="L3614" s="455">
        <f t="shared" ca="1" si="172"/>
        <v>1308052911578.5359</v>
      </c>
      <c r="M3614" s="471">
        <f t="shared" si="174"/>
        <v>0.05</v>
      </c>
      <c r="N3614" s="475">
        <f t="shared" si="175"/>
        <v>161043</v>
      </c>
    </row>
    <row r="3615" spans="7:14" ht="11.25" customHeight="1" x14ac:dyDescent="0.3">
      <c r="G3615" s="470"/>
      <c r="H3615" s="470">
        <v>3608</v>
      </c>
      <c r="I3615" s="455">
        <f t="shared" ca="1" si="173"/>
        <v>1308052911578.5359</v>
      </c>
      <c r="J3615" s="455">
        <f t="array" ref="J3615">IFERROR(INDEX('Retirement Calculator'!J:J,MATCH('Isaac 401k'!N3615,'Retirement Calculator'!A:A,0),0),0)</f>
        <v>0</v>
      </c>
      <c r="K3615" s="455">
        <f t="shared" ca="1" si="171"/>
        <v>5450220464.9105663</v>
      </c>
      <c r="L3615" s="455">
        <f t="shared" ca="1" si="172"/>
        <v>1313503132043.4465</v>
      </c>
      <c r="M3615" s="471">
        <f t="shared" si="174"/>
        <v>0.05</v>
      </c>
      <c r="N3615" s="475">
        <f t="shared" si="175"/>
        <v>161074</v>
      </c>
    </row>
    <row r="3616" spans="7:14" ht="11.25" customHeight="1" x14ac:dyDescent="0.3">
      <c r="G3616" s="470"/>
      <c r="H3616" s="470">
        <v>3609</v>
      </c>
      <c r="I3616" s="455">
        <f t="shared" ca="1" si="173"/>
        <v>1313503132043.4465</v>
      </c>
      <c r="J3616" s="455">
        <f t="array" ref="J3616">IFERROR(INDEX('Retirement Calculator'!J:J,MATCH('Isaac 401k'!N3616,'Retirement Calculator'!A:A,0),0),0)</f>
        <v>0</v>
      </c>
      <c r="K3616" s="455">
        <f t="shared" ca="1" si="171"/>
        <v>5472929716.8476934</v>
      </c>
      <c r="L3616" s="455">
        <f t="shared" ca="1" si="172"/>
        <v>1318976061760.2942</v>
      </c>
      <c r="M3616" s="471">
        <f t="shared" si="174"/>
        <v>0.05</v>
      </c>
      <c r="N3616" s="475">
        <f t="shared" si="175"/>
        <v>161105</v>
      </c>
    </row>
    <row r="3617" spans="7:14" ht="11.25" customHeight="1" x14ac:dyDescent="0.3">
      <c r="G3617" s="470"/>
      <c r="H3617" s="470">
        <v>3610</v>
      </c>
      <c r="I3617" s="455">
        <f t="shared" ca="1" si="173"/>
        <v>1318976061760.2942</v>
      </c>
      <c r="J3617" s="455">
        <f t="array" ref="J3617">IFERROR(INDEX('Retirement Calculator'!J:J,MATCH('Isaac 401k'!N3617,'Retirement Calculator'!A:A,0),0),0)</f>
        <v>0</v>
      </c>
      <c r="K3617" s="455">
        <f t="shared" ca="1" si="171"/>
        <v>5495733590.6678925</v>
      </c>
      <c r="L3617" s="455">
        <f t="shared" ca="1" si="172"/>
        <v>1324471795350.9622</v>
      </c>
      <c r="M3617" s="471">
        <f t="shared" si="174"/>
        <v>0.05</v>
      </c>
      <c r="N3617" s="475">
        <f t="shared" si="175"/>
        <v>161133</v>
      </c>
    </row>
    <row r="3618" spans="7:14" ht="11.25" customHeight="1" x14ac:dyDescent="0.3">
      <c r="G3618" s="470"/>
      <c r="H3618" s="470">
        <v>3611</v>
      </c>
      <c r="I3618" s="455">
        <f t="shared" ca="1" si="173"/>
        <v>1324471795350.9622</v>
      </c>
      <c r="J3618" s="455">
        <f t="array" ref="J3618">IFERROR(INDEX('Retirement Calculator'!J:J,MATCH('Isaac 401k'!N3618,'Retirement Calculator'!A:A,0),0),0)</f>
        <v>0</v>
      </c>
      <c r="K3618" s="455">
        <f t="shared" ca="1" si="171"/>
        <v>5518632480.6290092</v>
      </c>
      <c r="L3618" s="455">
        <f t="shared" ca="1" si="172"/>
        <v>1329990427831.5911</v>
      </c>
      <c r="M3618" s="471">
        <f t="shared" si="174"/>
        <v>0.05</v>
      </c>
      <c r="N3618" s="475">
        <f t="shared" si="175"/>
        <v>161164</v>
      </c>
    </row>
    <row r="3619" spans="7:14" ht="11.25" customHeight="1" x14ac:dyDescent="0.3">
      <c r="G3619" s="470"/>
      <c r="H3619" s="470">
        <v>3612</v>
      </c>
      <c r="I3619" s="455">
        <f t="shared" ca="1" si="173"/>
        <v>1329990427831.5911</v>
      </c>
      <c r="J3619" s="455">
        <f t="array" ref="J3619">IFERROR(INDEX('Retirement Calculator'!J:J,MATCH('Isaac 401k'!N3619,'Retirement Calculator'!A:A,0),0),0)</f>
        <v>0</v>
      </c>
      <c r="K3619" s="455">
        <f t="shared" ca="1" si="171"/>
        <v>5541626782.631629</v>
      </c>
      <c r="L3619" s="455">
        <f t="shared" ca="1" si="172"/>
        <v>1335532054614.2227</v>
      </c>
      <c r="M3619" s="471">
        <f t="shared" si="174"/>
        <v>0.05</v>
      </c>
      <c r="N3619" s="475">
        <f t="shared" si="175"/>
        <v>161194</v>
      </c>
    </row>
    <row r="3620" spans="7:14" ht="11.25" customHeight="1" x14ac:dyDescent="0.3">
      <c r="G3620" s="470"/>
      <c r="H3620" s="470">
        <v>3613</v>
      </c>
      <c r="I3620" s="455">
        <f t="shared" ca="1" si="173"/>
        <v>1335532054614.2227</v>
      </c>
      <c r="J3620" s="455">
        <f t="array" ref="J3620">IFERROR(INDEX('Retirement Calculator'!J:J,MATCH('Isaac 401k'!N3620,'Retirement Calculator'!A:A,0),0),0)</f>
        <v>0</v>
      </c>
      <c r="K3620" s="455">
        <f t="shared" ca="1" si="171"/>
        <v>5564716894.2259274</v>
      </c>
      <c r="L3620" s="455">
        <f t="shared" ca="1" si="172"/>
        <v>1341096771508.4485</v>
      </c>
      <c r="M3620" s="471">
        <f t="shared" si="174"/>
        <v>0.05</v>
      </c>
      <c r="N3620" s="475">
        <f t="shared" si="175"/>
        <v>161225</v>
      </c>
    </row>
    <row r="3621" spans="7:14" ht="11.25" customHeight="1" x14ac:dyDescent="0.3">
      <c r="G3621" s="470"/>
      <c r="H3621" s="470">
        <v>3614</v>
      </c>
      <c r="I3621" s="455">
        <f t="shared" ca="1" si="173"/>
        <v>1341096771508.4485</v>
      </c>
      <c r="J3621" s="455">
        <f t="array" ref="J3621">IFERROR(INDEX('Retirement Calculator'!J:J,MATCH('Isaac 401k'!N3621,'Retirement Calculator'!A:A,0),0),0)</f>
        <v>0</v>
      </c>
      <c r="K3621" s="455">
        <f t="shared" ca="1" si="171"/>
        <v>5587903214.618535</v>
      </c>
      <c r="L3621" s="455">
        <f t="shared" ca="1" si="172"/>
        <v>1346684674723.0671</v>
      </c>
      <c r="M3621" s="471">
        <f t="shared" si="174"/>
        <v>0.05</v>
      </c>
      <c r="N3621" s="475">
        <f t="shared" si="175"/>
        <v>161255</v>
      </c>
    </row>
    <row r="3622" spans="7:14" ht="11.25" customHeight="1" x14ac:dyDescent="0.3">
      <c r="G3622" s="470"/>
      <c r="H3622" s="470">
        <v>3615</v>
      </c>
      <c r="I3622" s="455">
        <f t="shared" ca="1" si="173"/>
        <v>1346684674723.0671</v>
      </c>
      <c r="J3622" s="455">
        <f t="array" ref="J3622">IFERROR(INDEX('Retirement Calculator'!J:J,MATCH('Isaac 401k'!N3622,'Retirement Calculator'!A:A,0),0),0)</f>
        <v>0</v>
      </c>
      <c r="K3622" s="455">
        <f t="shared" ca="1" si="171"/>
        <v>5611186144.6794462</v>
      </c>
      <c r="L3622" s="455">
        <f t="shared" ca="1" si="172"/>
        <v>1352295860867.7466</v>
      </c>
      <c r="M3622" s="471">
        <f t="shared" si="174"/>
        <v>0.05</v>
      </c>
      <c r="N3622" s="475">
        <f t="shared" si="175"/>
        <v>161286</v>
      </c>
    </row>
    <row r="3623" spans="7:14" ht="11.25" customHeight="1" x14ac:dyDescent="0.3">
      <c r="G3623" s="470"/>
      <c r="H3623" s="470">
        <v>3616</v>
      </c>
      <c r="I3623" s="455">
        <f t="shared" ca="1" si="173"/>
        <v>1352295860867.7466</v>
      </c>
      <c r="J3623" s="455">
        <f t="array" ref="J3623">IFERROR(INDEX('Retirement Calculator'!J:J,MATCH('Isaac 401k'!N3623,'Retirement Calculator'!A:A,0),0),0)</f>
        <v>0</v>
      </c>
      <c r="K3623" s="455">
        <f t="shared" ca="1" si="171"/>
        <v>5634566086.9489441</v>
      </c>
      <c r="L3623" s="455">
        <f t="shared" ca="1" si="172"/>
        <v>1357930426954.6956</v>
      </c>
      <c r="M3623" s="471">
        <f t="shared" si="174"/>
        <v>0.05</v>
      </c>
      <c r="N3623" s="475">
        <f t="shared" si="175"/>
        <v>161317</v>
      </c>
    </row>
    <row r="3624" spans="7:14" ht="11.25" customHeight="1" x14ac:dyDescent="0.3">
      <c r="G3624" s="470"/>
      <c r="H3624" s="470">
        <v>3617</v>
      </c>
      <c r="I3624" s="455">
        <f t="shared" ca="1" si="173"/>
        <v>1357930426954.6956</v>
      </c>
      <c r="J3624" s="455">
        <f t="array" ref="J3624">IFERROR(INDEX('Retirement Calculator'!J:J,MATCH('Isaac 401k'!N3624,'Retirement Calculator'!A:A,0),0),0)</f>
        <v>0</v>
      </c>
      <c r="K3624" s="455">
        <f t="shared" ca="1" si="171"/>
        <v>5658043445.6445646</v>
      </c>
      <c r="L3624" s="455">
        <f t="shared" ca="1" si="172"/>
        <v>1363588470400.3401</v>
      </c>
      <c r="M3624" s="471">
        <f t="shared" si="174"/>
        <v>0.05</v>
      </c>
      <c r="N3624" s="475">
        <f t="shared" si="175"/>
        <v>161347</v>
      </c>
    </row>
    <row r="3625" spans="7:14" ht="11.25" customHeight="1" x14ac:dyDescent="0.3">
      <c r="G3625" s="470"/>
      <c r="H3625" s="470">
        <v>3618</v>
      </c>
      <c r="I3625" s="455">
        <f t="shared" ca="1" si="173"/>
        <v>1363588470400.3401</v>
      </c>
      <c r="J3625" s="455">
        <f t="array" ref="J3625">IFERROR(INDEX('Retirement Calculator'!J:J,MATCH('Isaac 401k'!N3625,'Retirement Calculator'!A:A,0),0),0)</f>
        <v>0</v>
      </c>
      <c r="K3625" s="455">
        <f t="shared" ca="1" si="171"/>
        <v>5681618626.6680832</v>
      </c>
      <c r="L3625" s="455">
        <f t="shared" ca="1" si="172"/>
        <v>1369270089027.0081</v>
      </c>
      <c r="M3625" s="471">
        <f t="shared" si="174"/>
        <v>0.05</v>
      </c>
      <c r="N3625" s="475">
        <f t="shared" si="175"/>
        <v>161378</v>
      </c>
    </row>
    <row r="3626" spans="7:14" ht="11.25" customHeight="1" x14ac:dyDescent="0.3">
      <c r="G3626" s="470"/>
      <c r="H3626" s="470">
        <v>3619</v>
      </c>
      <c r="I3626" s="455">
        <f t="shared" ca="1" si="173"/>
        <v>1369270089027.0081</v>
      </c>
      <c r="J3626" s="455">
        <f t="array" ref="J3626">IFERROR(INDEX('Retirement Calculator'!J:J,MATCH('Isaac 401k'!N3626,'Retirement Calculator'!A:A,0),0),0)</f>
        <v>0</v>
      </c>
      <c r="K3626" s="455">
        <f t="shared" ca="1" si="171"/>
        <v>5705292037.6125336</v>
      </c>
      <c r="L3626" s="455">
        <f t="shared" ca="1" si="172"/>
        <v>1374975381064.6206</v>
      </c>
      <c r="M3626" s="471">
        <f t="shared" si="174"/>
        <v>0.05</v>
      </c>
      <c r="N3626" s="475">
        <f t="shared" si="175"/>
        <v>161408</v>
      </c>
    </row>
    <row r="3627" spans="7:14" ht="11.25" customHeight="1" x14ac:dyDescent="0.3">
      <c r="G3627" s="470"/>
      <c r="H3627" s="470">
        <v>3620</v>
      </c>
      <c r="I3627" s="455">
        <f t="shared" ca="1" si="173"/>
        <v>1374975381064.6206</v>
      </c>
      <c r="J3627" s="455">
        <f t="array" ref="J3627">IFERROR(INDEX('Retirement Calculator'!J:J,MATCH('Isaac 401k'!N3627,'Retirement Calculator'!A:A,0),0),0)</f>
        <v>0</v>
      </c>
      <c r="K3627" s="455">
        <f t="shared" ca="1" si="171"/>
        <v>5729064087.7692528</v>
      </c>
      <c r="L3627" s="455">
        <f t="shared" ca="1" si="172"/>
        <v>1380704445152.3899</v>
      </c>
      <c r="M3627" s="471">
        <f t="shared" si="174"/>
        <v>0.05</v>
      </c>
      <c r="N3627" s="475">
        <f t="shared" si="175"/>
        <v>161439</v>
      </c>
    </row>
    <row r="3628" spans="7:14" ht="11.25" customHeight="1" x14ac:dyDescent="0.3">
      <c r="G3628" s="470"/>
      <c r="H3628" s="470">
        <v>3621</v>
      </c>
      <c r="I3628" s="455">
        <f t="shared" ca="1" si="173"/>
        <v>1380704445152.3899</v>
      </c>
      <c r="J3628" s="455">
        <f t="array" ref="J3628">IFERROR(INDEX('Retirement Calculator'!J:J,MATCH('Isaac 401k'!N3628,'Retirement Calculator'!A:A,0),0),0)</f>
        <v>0</v>
      </c>
      <c r="K3628" s="455">
        <f t="shared" ca="1" si="171"/>
        <v>5752935188.1349583</v>
      </c>
      <c r="L3628" s="455">
        <f t="shared" ca="1" si="172"/>
        <v>1386457380340.5249</v>
      </c>
      <c r="M3628" s="471">
        <f t="shared" si="174"/>
        <v>0.05</v>
      </c>
      <c r="N3628" s="475">
        <f t="shared" si="175"/>
        <v>161470</v>
      </c>
    </row>
    <row r="3629" spans="7:14" ht="11.25" customHeight="1" x14ac:dyDescent="0.3">
      <c r="G3629" s="470"/>
      <c r="H3629" s="470">
        <v>3622</v>
      </c>
      <c r="I3629" s="455">
        <f t="shared" ca="1" si="173"/>
        <v>1386457380340.5249</v>
      </c>
      <c r="J3629" s="455">
        <f t="array" ref="J3629">IFERROR(INDEX('Retirement Calculator'!J:J,MATCH('Isaac 401k'!N3629,'Retirement Calculator'!A:A,0),0),0)</f>
        <v>0</v>
      </c>
      <c r="K3629" s="455">
        <f t="shared" ca="1" si="171"/>
        <v>5776905751.4188538</v>
      </c>
      <c r="L3629" s="455">
        <f t="shared" ca="1" si="172"/>
        <v>1392234286091.9438</v>
      </c>
      <c r="M3629" s="471">
        <f t="shared" si="174"/>
        <v>0.05</v>
      </c>
      <c r="N3629" s="475">
        <f t="shared" si="175"/>
        <v>161498</v>
      </c>
    </row>
    <row r="3630" spans="7:14" ht="11.25" customHeight="1" x14ac:dyDescent="0.3">
      <c r="G3630" s="470"/>
      <c r="H3630" s="470">
        <v>3623</v>
      </c>
      <c r="I3630" s="455">
        <f t="shared" ca="1" si="173"/>
        <v>1392234286091.9438</v>
      </c>
      <c r="J3630" s="455">
        <f t="array" ref="J3630">IFERROR(INDEX('Retirement Calculator'!J:J,MATCH('Isaac 401k'!N3630,'Retirement Calculator'!A:A,0),0),0)</f>
        <v>0</v>
      </c>
      <c r="K3630" s="455">
        <f t="shared" ca="1" si="171"/>
        <v>5800976192.0497656</v>
      </c>
      <c r="L3630" s="455">
        <f t="shared" ca="1" si="172"/>
        <v>1398035262283.9937</v>
      </c>
      <c r="M3630" s="471">
        <f t="shared" si="174"/>
        <v>0.05</v>
      </c>
      <c r="N3630" s="475">
        <f t="shared" si="175"/>
        <v>161529</v>
      </c>
    </row>
    <row r="3631" spans="7:14" ht="11.25" customHeight="1" x14ac:dyDescent="0.3">
      <c r="G3631" s="470"/>
      <c r="H3631" s="470">
        <v>3624</v>
      </c>
      <c r="I3631" s="455">
        <f t="shared" ca="1" si="173"/>
        <v>1398035262283.9937</v>
      </c>
      <c r="J3631" s="455">
        <f t="array" ref="J3631">IFERROR(INDEX('Retirement Calculator'!J:J,MATCH('Isaac 401k'!N3631,'Retirement Calculator'!A:A,0),0),0)</f>
        <v>0</v>
      </c>
      <c r="K3631" s="455">
        <f t="shared" ca="1" si="171"/>
        <v>5825146926.1833067</v>
      </c>
      <c r="L3631" s="455">
        <f t="shared" ca="1" si="172"/>
        <v>1403860409210.177</v>
      </c>
      <c r="M3631" s="471">
        <f t="shared" si="174"/>
        <v>0.05</v>
      </c>
      <c r="N3631" s="475">
        <f t="shared" si="175"/>
        <v>161559</v>
      </c>
    </row>
    <row r="3632" spans="7:14" ht="11.25" customHeight="1" x14ac:dyDescent="0.3">
      <c r="G3632" s="470"/>
      <c r="H3632" s="470">
        <v>3625</v>
      </c>
      <c r="I3632" s="455">
        <f t="shared" ca="1" si="173"/>
        <v>1403860409210.177</v>
      </c>
      <c r="J3632" s="455">
        <f t="array" ref="J3632">IFERROR(INDEX('Retirement Calculator'!J:J,MATCH('Isaac 401k'!N3632,'Retirement Calculator'!A:A,0),0),0)</f>
        <v>0</v>
      </c>
      <c r="K3632" s="455">
        <f t="shared" ca="1" si="171"/>
        <v>5849418371.7090712</v>
      </c>
      <c r="L3632" s="455">
        <f t="shared" ca="1" si="172"/>
        <v>1409709827581.886</v>
      </c>
      <c r="M3632" s="471">
        <f t="shared" si="174"/>
        <v>0.05</v>
      </c>
      <c r="N3632" s="475">
        <f t="shared" si="175"/>
        <v>161590</v>
      </c>
    </row>
    <row r="3633" spans="7:14" ht="11.25" customHeight="1" x14ac:dyDescent="0.3">
      <c r="G3633" s="470"/>
      <c r="H3633" s="470">
        <v>3626</v>
      </c>
      <c r="I3633" s="455">
        <f t="shared" ca="1" si="173"/>
        <v>1409709827581.886</v>
      </c>
      <c r="J3633" s="455">
        <f t="array" ref="J3633">IFERROR(INDEX('Retirement Calculator'!J:J,MATCH('Isaac 401k'!N3633,'Retirement Calculator'!A:A,0),0),0)</f>
        <v>0</v>
      </c>
      <c r="K3633" s="455">
        <f t="shared" ca="1" si="171"/>
        <v>5873790948.2578583</v>
      </c>
      <c r="L3633" s="455">
        <f t="shared" ca="1" si="172"/>
        <v>1415583618530.1438</v>
      </c>
      <c r="M3633" s="471">
        <f t="shared" si="174"/>
        <v>0.05</v>
      </c>
      <c r="N3633" s="475">
        <f t="shared" si="175"/>
        <v>161620</v>
      </c>
    </row>
    <row r="3634" spans="7:14" ht="11.25" customHeight="1" x14ac:dyDescent="0.3">
      <c r="G3634" s="470"/>
      <c r="H3634" s="470">
        <v>3627</v>
      </c>
      <c r="I3634" s="455">
        <f t="shared" ca="1" si="173"/>
        <v>1415583618530.1438</v>
      </c>
      <c r="J3634" s="455">
        <f t="array" ref="J3634">IFERROR(INDEX('Retirement Calculator'!J:J,MATCH('Isaac 401k'!N3634,'Retirement Calculator'!A:A,0),0),0)</f>
        <v>0</v>
      </c>
      <c r="K3634" s="455">
        <f t="shared" ca="1" si="171"/>
        <v>5898265077.2089329</v>
      </c>
      <c r="L3634" s="455">
        <f t="shared" ca="1" si="172"/>
        <v>1421481883607.3528</v>
      </c>
      <c r="M3634" s="471">
        <f t="shared" si="174"/>
        <v>0.05</v>
      </c>
      <c r="N3634" s="475">
        <f t="shared" si="175"/>
        <v>161651</v>
      </c>
    </row>
    <row r="3635" spans="7:14" ht="11.25" customHeight="1" x14ac:dyDescent="0.3">
      <c r="G3635" s="470"/>
      <c r="H3635" s="470">
        <v>3628</v>
      </c>
      <c r="I3635" s="455">
        <f t="shared" ca="1" si="173"/>
        <v>1421481883607.3528</v>
      </c>
      <c r="J3635" s="455">
        <f t="array" ref="J3635">IFERROR(INDEX('Retirement Calculator'!J:J,MATCH('Isaac 401k'!N3635,'Retirement Calculator'!A:A,0),0),0)</f>
        <v>0</v>
      </c>
      <c r="K3635" s="455">
        <f t="shared" ca="1" si="171"/>
        <v>5922841181.6973028</v>
      </c>
      <c r="L3635" s="455">
        <f t="shared" ca="1" si="172"/>
        <v>1427404724789.05</v>
      </c>
      <c r="M3635" s="471">
        <f t="shared" si="174"/>
        <v>0.05</v>
      </c>
      <c r="N3635" s="475">
        <f t="shared" si="175"/>
        <v>161682</v>
      </c>
    </row>
    <row r="3636" spans="7:14" ht="11.25" customHeight="1" x14ac:dyDescent="0.3">
      <c r="G3636" s="470"/>
      <c r="H3636" s="470">
        <v>3629</v>
      </c>
      <c r="I3636" s="455">
        <f t="shared" ca="1" si="173"/>
        <v>1427404724789.05</v>
      </c>
      <c r="J3636" s="455">
        <f t="array" ref="J3636">IFERROR(INDEX('Retirement Calculator'!J:J,MATCH('Isaac 401k'!N3636,'Retirement Calculator'!A:A,0),0),0)</f>
        <v>0</v>
      </c>
      <c r="K3636" s="455">
        <f t="shared" ca="1" si="171"/>
        <v>5947519686.6210423</v>
      </c>
      <c r="L3636" s="455">
        <f t="shared" ca="1" si="172"/>
        <v>1433352244475.6711</v>
      </c>
      <c r="M3636" s="471">
        <f t="shared" si="174"/>
        <v>0.05</v>
      </c>
      <c r="N3636" s="475">
        <f t="shared" si="175"/>
        <v>161712</v>
      </c>
    </row>
    <row r="3637" spans="7:14" ht="11.25" customHeight="1" x14ac:dyDescent="0.3">
      <c r="G3637" s="470"/>
      <c r="H3637" s="470">
        <v>3630</v>
      </c>
      <c r="I3637" s="455">
        <f t="shared" ca="1" si="173"/>
        <v>1433352244475.6711</v>
      </c>
      <c r="J3637" s="455">
        <f t="array" ref="J3637">IFERROR(INDEX('Retirement Calculator'!J:J,MATCH('Isaac 401k'!N3637,'Retirement Calculator'!A:A,0),0),0)</f>
        <v>0</v>
      </c>
      <c r="K3637" s="455">
        <f t="shared" ca="1" si="171"/>
        <v>5972301018.6486301</v>
      </c>
      <c r="L3637" s="455">
        <f t="shared" ca="1" si="172"/>
        <v>1439324545494.3198</v>
      </c>
      <c r="M3637" s="471">
        <f t="shared" si="174"/>
        <v>0.05</v>
      </c>
      <c r="N3637" s="475">
        <f t="shared" si="175"/>
        <v>161743</v>
      </c>
    </row>
    <row r="3638" spans="7:14" ht="11.25" customHeight="1" x14ac:dyDescent="0.3">
      <c r="G3638" s="470"/>
      <c r="H3638" s="470">
        <v>3631</v>
      </c>
      <c r="I3638" s="455">
        <f t="shared" ca="1" si="173"/>
        <v>1439324545494.3198</v>
      </c>
      <c r="J3638" s="455">
        <f t="array" ref="J3638">IFERROR(INDEX('Retirement Calculator'!J:J,MATCH('Isaac 401k'!N3638,'Retirement Calculator'!A:A,0),0),0)</f>
        <v>0</v>
      </c>
      <c r="K3638" s="455">
        <f t="shared" ca="1" si="171"/>
        <v>5997185606.2263327</v>
      </c>
      <c r="L3638" s="455">
        <f t="shared" ca="1" si="172"/>
        <v>1445321731100.5461</v>
      </c>
      <c r="M3638" s="471">
        <f t="shared" si="174"/>
        <v>0.05</v>
      </c>
      <c r="N3638" s="475">
        <f t="shared" si="175"/>
        <v>161773</v>
      </c>
    </row>
    <row r="3639" spans="7:14" ht="11.25" customHeight="1" x14ac:dyDescent="0.3">
      <c r="G3639" s="470"/>
      <c r="H3639" s="470">
        <v>3632</v>
      </c>
      <c r="I3639" s="455">
        <f t="shared" ca="1" si="173"/>
        <v>1445321731100.5461</v>
      </c>
      <c r="J3639" s="455">
        <f t="array" ref="J3639">IFERROR(INDEX('Retirement Calculator'!J:J,MATCH('Isaac 401k'!N3639,'Retirement Calculator'!A:A,0),0),0)</f>
        <v>0</v>
      </c>
      <c r="K3639" s="455">
        <f t="shared" ca="1" si="171"/>
        <v>6022173879.5856085</v>
      </c>
      <c r="L3639" s="455">
        <f t="shared" ca="1" si="172"/>
        <v>1451343904980.1318</v>
      </c>
      <c r="M3639" s="471">
        <f t="shared" si="174"/>
        <v>0.05</v>
      </c>
      <c r="N3639" s="475">
        <f t="shared" si="175"/>
        <v>161804</v>
      </c>
    </row>
    <row r="3640" spans="7:14" ht="11.25" customHeight="1" x14ac:dyDescent="0.3">
      <c r="G3640" s="470"/>
      <c r="H3640" s="470">
        <v>3633</v>
      </c>
      <c r="I3640" s="455">
        <f t="shared" ca="1" si="173"/>
        <v>1451343904980.1318</v>
      </c>
      <c r="J3640" s="455">
        <f t="array" ref="J3640">IFERROR(INDEX('Retirement Calculator'!J:J,MATCH('Isaac 401k'!N3640,'Retirement Calculator'!A:A,0),0),0)</f>
        <v>0</v>
      </c>
      <c r="K3640" s="455">
        <f t="shared" ca="1" si="171"/>
        <v>6047266270.7505493</v>
      </c>
      <c r="L3640" s="455">
        <f t="shared" ca="1" si="172"/>
        <v>1457391171250.8823</v>
      </c>
      <c r="M3640" s="471">
        <f t="shared" si="174"/>
        <v>0.05</v>
      </c>
      <c r="N3640" s="475">
        <f t="shared" si="175"/>
        <v>161835</v>
      </c>
    </row>
    <row r="3641" spans="7:14" ht="11.25" customHeight="1" x14ac:dyDescent="0.3">
      <c r="G3641" s="470"/>
      <c r="H3641" s="470">
        <v>3634</v>
      </c>
      <c r="I3641" s="455">
        <f t="shared" ca="1" si="173"/>
        <v>1457391171250.8823</v>
      </c>
      <c r="J3641" s="455">
        <f t="array" ref="J3641">IFERROR(INDEX('Retirement Calculator'!J:J,MATCH('Isaac 401k'!N3641,'Retirement Calculator'!A:A,0),0),0)</f>
        <v>0</v>
      </c>
      <c r="K3641" s="455">
        <f t="shared" ca="1" si="171"/>
        <v>6072463213.5453434</v>
      </c>
      <c r="L3641" s="455">
        <f t="shared" ca="1" si="172"/>
        <v>1463463634464.4277</v>
      </c>
      <c r="M3641" s="471">
        <f t="shared" si="174"/>
        <v>0.05</v>
      </c>
      <c r="N3641" s="475">
        <f t="shared" si="175"/>
        <v>161863</v>
      </c>
    </row>
    <row r="3642" spans="7:14" ht="11.25" customHeight="1" x14ac:dyDescent="0.3">
      <c r="G3642" s="470"/>
      <c r="H3642" s="470">
        <v>3635</v>
      </c>
      <c r="I3642" s="455">
        <f t="shared" ca="1" si="173"/>
        <v>1463463634464.4277</v>
      </c>
      <c r="J3642" s="455">
        <f t="array" ref="J3642">IFERROR(INDEX('Retirement Calculator'!J:J,MATCH('Isaac 401k'!N3642,'Retirement Calculator'!A:A,0),0),0)</f>
        <v>0</v>
      </c>
      <c r="K3642" s="455">
        <f t="shared" ca="1" si="171"/>
        <v>6097765143.6017818</v>
      </c>
      <c r="L3642" s="455">
        <f t="shared" ca="1" si="172"/>
        <v>1469561399608.0295</v>
      </c>
      <c r="M3642" s="471">
        <f t="shared" si="174"/>
        <v>0.05</v>
      </c>
      <c r="N3642" s="475">
        <f t="shared" si="175"/>
        <v>161894</v>
      </c>
    </row>
    <row r="3643" spans="7:14" ht="11.25" customHeight="1" x14ac:dyDescent="0.3">
      <c r="G3643" s="470"/>
      <c r="H3643" s="470">
        <v>3636</v>
      </c>
      <c r="I3643" s="455">
        <f t="shared" ca="1" si="173"/>
        <v>1469561399608.0295</v>
      </c>
      <c r="J3643" s="455">
        <f t="array" ref="J3643">IFERROR(INDEX('Retirement Calculator'!J:J,MATCH('Isaac 401k'!N3643,'Retirement Calculator'!A:A,0),0),0)</f>
        <v>0</v>
      </c>
      <c r="K3643" s="455">
        <f t="shared" ca="1" si="171"/>
        <v>6123172498.3667898</v>
      </c>
      <c r="L3643" s="455">
        <f t="shared" ca="1" si="172"/>
        <v>1475684572106.3962</v>
      </c>
      <c r="M3643" s="471">
        <f t="shared" si="174"/>
        <v>0.05</v>
      </c>
      <c r="N3643" s="475">
        <f t="shared" si="175"/>
        <v>161924</v>
      </c>
    </row>
    <row r="3644" spans="7:14" ht="11.25" customHeight="1" x14ac:dyDescent="0.3">
      <c r="G3644" s="470"/>
      <c r="H3644" s="470">
        <v>3637</v>
      </c>
      <c r="I3644" s="455">
        <f t="shared" ca="1" si="173"/>
        <v>1475684572106.3962</v>
      </c>
      <c r="J3644" s="455">
        <f t="array" ref="J3644">IFERROR(INDEX('Retirement Calculator'!J:J,MATCH('Isaac 401k'!N3644,'Retirement Calculator'!A:A,0),0),0)</f>
        <v>0</v>
      </c>
      <c r="K3644" s="455">
        <f t="shared" ca="1" si="171"/>
        <v>6148685717.1099844</v>
      </c>
      <c r="L3644" s="455">
        <f t="shared" ca="1" si="172"/>
        <v>1481833257823.5061</v>
      </c>
      <c r="M3644" s="471">
        <f t="shared" si="174"/>
        <v>0.05</v>
      </c>
      <c r="N3644" s="475">
        <f t="shared" si="175"/>
        <v>161955</v>
      </c>
    </row>
    <row r="3645" spans="7:14" ht="11.25" customHeight="1" x14ac:dyDescent="0.3">
      <c r="G3645" s="470"/>
      <c r="H3645" s="470">
        <v>3638</v>
      </c>
      <c r="I3645" s="455">
        <f t="shared" ca="1" si="173"/>
        <v>1481833257823.5061</v>
      </c>
      <c r="J3645" s="455">
        <f t="array" ref="J3645">IFERROR(INDEX('Retirement Calculator'!J:J,MATCH('Isaac 401k'!N3645,'Retirement Calculator'!A:A,0),0),0)</f>
        <v>0</v>
      </c>
      <c r="K3645" s="455">
        <f t="shared" ca="1" si="171"/>
        <v>6174305240.9312754</v>
      </c>
      <c r="L3645" s="455">
        <f t="shared" ca="1" si="172"/>
        <v>1488007563064.4375</v>
      </c>
      <c r="M3645" s="471">
        <f t="shared" si="174"/>
        <v>0.05</v>
      </c>
      <c r="N3645" s="475">
        <f t="shared" si="175"/>
        <v>161985</v>
      </c>
    </row>
    <row r="3646" spans="7:14" ht="11.25" customHeight="1" x14ac:dyDescent="0.3">
      <c r="G3646" s="470"/>
      <c r="H3646" s="470">
        <v>3639</v>
      </c>
      <c r="I3646" s="455">
        <f t="shared" ca="1" si="173"/>
        <v>1488007563064.4375</v>
      </c>
      <c r="J3646" s="455">
        <f t="array" ref="J3646">IFERROR(INDEX('Retirement Calculator'!J:J,MATCH('Isaac 401k'!N3646,'Retirement Calculator'!A:A,0),0),0)</f>
        <v>0</v>
      </c>
      <c r="K3646" s="455">
        <f t="shared" ca="1" si="171"/>
        <v>6200031512.7684898</v>
      </c>
      <c r="L3646" s="455">
        <f t="shared" ca="1" si="172"/>
        <v>1494207594577.2061</v>
      </c>
      <c r="M3646" s="471">
        <f t="shared" si="174"/>
        <v>0.05</v>
      </c>
      <c r="N3646" s="475">
        <f t="shared" si="175"/>
        <v>162016</v>
      </c>
    </row>
    <row r="3647" spans="7:14" ht="11.25" customHeight="1" x14ac:dyDescent="0.3">
      <c r="G3647" s="470"/>
      <c r="H3647" s="470">
        <v>3640</v>
      </c>
      <c r="I3647" s="455">
        <f t="shared" ca="1" si="173"/>
        <v>1494207594577.2061</v>
      </c>
      <c r="J3647" s="455">
        <f t="array" ref="J3647">IFERROR(INDEX('Retirement Calculator'!J:J,MATCH('Isaac 401k'!N3647,'Retirement Calculator'!A:A,0),0),0)</f>
        <v>0</v>
      </c>
      <c r="K3647" s="455">
        <f t="shared" ca="1" si="171"/>
        <v>6225864977.4050255</v>
      </c>
      <c r="L3647" s="455">
        <f t="shared" ca="1" si="172"/>
        <v>1500433459554.6111</v>
      </c>
      <c r="M3647" s="471">
        <f t="shared" si="174"/>
        <v>0.05</v>
      </c>
      <c r="N3647" s="475">
        <f t="shared" si="175"/>
        <v>162047</v>
      </c>
    </row>
    <row r="3648" spans="7:14" ht="11.25" customHeight="1" x14ac:dyDescent="0.3">
      <c r="G3648" s="470"/>
      <c r="H3648" s="470">
        <v>3641</v>
      </c>
      <c r="I3648" s="455">
        <f t="shared" ca="1" si="173"/>
        <v>1500433459554.6111</v>
      </c>
      <c r="J3648" s="455">
        <f t="array" ref="J3648">IFERROR(INDEX('Retirement Calculator'!J:J,MATCH('Isaac 401k'!N3648,'Retirement Calculator'!A:A,0),0),0)</f>
        <v>0</v>
      </c>
      <c r="K3648" s="455">
        <f t="shared" ca="1" si="171"/>
        <v>6251806081.4775457</v>
      </c>
      <c r="L3648" s="455">
        <f t="shared" ca="1" si="172"/>
        <v>1506685265636.0886</v>
      </c>
      <c r="M3648" s="471">
        <f t="shared" si="174"/>
        <v>0.05</v>
      </c>
      <c r="N3648" s="475">
        <f t="shared" si="175"/>
        <v>162077</v>
      </c>
    </row>
    <row r="3649" spans="7:14" ht="11.25" customHeight="1" x14ac:dyDescent="0.3">
      <c r="G3649" s="470"/>
      <c r="H3649" s="470">
        <v>3642</v>
      </c>
      <c r="I3649" s="455">
        <f t="shared" ca="1" si="173"/>
        <v>1506685265636.0886</v>
      </c>
      <c r="J3649" s="455">
        <f t="array" ref="J3649">IFERROR(INDEX('Retirement Calculator'!J:J,MATCH('Isaac 401k'!N3649,'Retirement Calculator'!A:A,0),0),0)</f>
        <v>0</v>
      </c>
      <c r="K3649" s="455">
        <f t="shared" ca="1" si="171"/>
        <v>6277855273.4837027</v>
      </c>
      <c r="L3649" s="455">
        <f t="shared" ca="1" si="172"/>
        <v>1512963120909.5723</v>
      </c>
      <c r="M3649" s="471">
        <f t="shared" si="174"/>
        <v>0.05</v>
      </c>
      <c r="N3649" s="475">
        <f t="shared" si="175"/>
        <v>162108</v>
      </c>
    </row>
    <row r="3650" spans="7:14" ht="11.25" customHeight="1" x14ac:dyDescent="0.3">
      <c r="G3650" s="470"/>
      <c r="H3650" s="470">
        <v>3643</v>
      </c>
      <c r="I3650" s="455">
        <f t="shared" ca="1" si="173"/>
        <v>1512963120909.5723</v>
      </c>
      <c r="J3650" s="455">
        <f t="array" ref="J3650">IFERROR(INDEX('Retirement Calculator'!J:J,MATCH('Isaac 401k'!N3650,'Retirement Calculator'!A:A,0),0),0)</f>
        <v>0</v>
      </c>
      <c r="K3650" s="455">
        <f t="shared" ca="1" si="171"/>
        <v>6304013003.7898846</v>
      </c>
      <c r="L3650" s="455">
        <f t="shared" ca="1" si="172"/>
        <v>1519267133913.3621</v>
      </c>
      <c r="M3650" s="471">
        <f t="shared" si="174"/>
        <v>0.05</v>
      </c>
      <c r="N3650" s="475">
        <f t="shared" si="175"/>
        <v>162138</v>
      </c>
    </row>
    <row r="3651" spans="7:14" ht="11.25" customHeight="1" x14ac:dyDescent="0.3">
      <c r="G3651" s="470"/>
      <c r="H3651" s="470">
        <v>3644</v>
      </c>
      <c r="I3651" s="455">
        <f t="shared" ca="1" si="173"/>
        <v>1519267133913.3621</v>
      </c>
      <c r="J3651" s="455">
        <f t="array" ref="J3651">IFERROR(INDEX('Retirement Calculator'!J:J,MATCH('Isaac 401k'!N3651,'Retirement Calculator'!A:A,0),0),0)</f>
        <v>0</v>
      </c>
      <c r="K3651" s="455">
        <f t="shared" ca="1" si="171"/>
        <v>6330279724.6390085</v>
      </c>
      <c r="L3651" s="455">
        <f t="shared" ca="1" si="172"/>
        <v>1525597413638.001</v>
      </c>
      <c r="M3651" s="471">
        <f t="shared" si="174"/>
        <v>0.05</v>
      </c>
      <c r="N3651" s="475">
        <f t="shared" si="175"/>
        <v>162169</v>
      </c>
    </row>
    <row r="3652" spans="7:14" ht="11.25" customHeight="1" x14ac:dyDescent="0.3">
      <c r="G3652" s="470"/>
      <c r="H3652" s="470">
        <v>3645</v>
      </c>
      <c r="I3652" s="455">
        <f t="shared" ca="1" si="173"/>
        <v>1525597413638.001</v>
      </c>
      <c r="J3652" s="455">
        <f t="array" ref="J3652">IFERROR(INDEX('Retirement Calculator'!J:J,MATCH('Isaac 401k'!N3652,'Retirement Calculator'!A:A,0),0),0)</f>
        <v>0</v>
      </c>
      <c r="K3652" s="455">
        <f t="shared" ca="1" si="171"/>
        <v>6356655890.1583376</v>
      </c>
      <c r="L3652" s="455">
        <f t="shared" ca="1" si="172"/>
        <v>1531954069528.1594</v>
      </c>
      <c r="M3652" s="471">
        <f t="shared" si="174"/>
        <v>0.05</v>
      </c>
      <c r="N3652" s="475">
        <f t="shared" si="175"/>
        <v>162200</v>
      </c>
    </row>
    <row r="3653" spans="7:14" ht="11.25" customHeight="1" x14ac:dyDescent="0.3">
      <c r="G3653" s="470"/>
      <c r="H3653" s="470">
        <v>3646</v>
      </c>
      <c r="I3653" s="455">
        <f t="shared" ca="1" si="173"/>
        <v>1531954069528.1594</v>
      </c>
      <c r="J3653" s="455">
        <f t="array" ref="J3653">IFERROR(INDEX('Retirement Calculator'!J:J,MATCH('Isaac 401k'!N3653,'Retirement Calculator'!A:A,0),0),0)</f>
        <v>0</v>
      </c>
      <c r="K3653" s="455">
        <f t="shared" ca="1" si="171"/>
        <v>6383141956.3673306</v>
      </c>
      <c r="L3653" s="455">
        <f t="shared" ca="1" si="172"/>
        <v>1538337211484.5269</v>
      </c>
      <c r="M3653" s="471">
        <f t="shared" si="174"/>
        <v>0.05</v>
      </c>
      <c r="N3653" s="475">
        <f t="shared" si="175"/>
        <v>162229</v>
      </c>
    </row>
    <row r="3654" spans="7:14" ht="11.25" customHeight="1" x14ac:dyDescent="0.3">
      <c r="G3654" s="470"/>
      <c r="H3654" s="470">
        <v>3647</v>
      </c>
      <c r="I3654" s="455">
        <f t="shared" ca="1" si="173"/>
        <v>1538337211484.5269</v>
      </c>
      <c r="J3654" s="455">
        <f t="array" ref="J3654">IFERROR(INDEX('Retirement Calculator'!J:J,MATCH('Isaac 401k'!N3654,'Retirement Calculator'!A:A,0),0),0)</f>
        <v>0</v>
      </c>
      <c r="K3654" s="455">
        <f t="shared" ca="1" si="171"/>
        <v>6409738381.1855288</v>
      </c>
      <c r="L3654" s="455">
        <f t="shared" ca="1" si="172"/>
        <v>1544746949865.7124</v>
      </c>
      <c r="M3654" s="471">
        <f t="shared" si="174"/>
        <v>0.05</v>
      </c>
      <c r="N3654" s="475">
        <f t="shared" si="175"/>
        <v>162260</v>
      </c>
    </row>
    <row r="3655" spans="7:14" ht="11.25" customHeight="1" x14ac:dyDescent="0.3">
      <c r="G3655" s="470"/>
      <c r="H3655" s="470">
        <v>3648</v>
      </c>
      <c r="I3655" s="455">
        <f t="shared" ca="1" si="173"/>
        <v>1544746949865.7124</v>
      </c>
      <c r="J3655" s="455">
        <f t="array" ref="J3655">IFERROR(INDEX('Retirement Calculator'!J:J,MATCH('Isaac 401k'!N3655,'Retirement Calculator'!A:A,0),0),0)</f>
        <v>0</v>
      </c>
      <c r="K3655" s="455">
        <f t="shared" ca="1" si="171"/>
        <v>6436445624.4404678</v>
      </c>
      <c r="L3655" s="455">
        <f t="shared" ca="1" si="172"/>
        <v>1551183395490.1528</v>
      </c>
      <c r="M3655" s="471">
        <f t="shared" si="174"/>
        <v>0.05</v>
      </c>
      <c r="N3655" s="475">
        <f t="shared" si="175"/>
        <v>162290</v>
      </c>
    </row>
    <row r="3656" spans="7:14" ht="11.25" customHeight="1" x14ac:dyDescent="0.3">
      <c r="G3656" s="470"/>
      <c r="H3656" s="470">
        <v>3649</v>
      </c>
      <c r="I3656" s="455">
        <f t="shared" ca="1" si="173"/>
        <v>1551183395490.1528</v>
      </c>
      <c r="J3656" s="455">
        <f t="array" ref="J3656">IFERROR(INDEX('Retirement Calculator'!J:J,MATCH('Isaac 401k'!N3656,'Retirement Calculator'!A:A,0),0),0)</f>
        <v>0</v>
      </c>
      <c r="K3656" s="455">
        <f t="shared" ca="1" si="171"/>
        <v>6463264147.8756371</v>
      </c>
      <c r="L3656" s="455">
        <f t="shared" ca="1" si="172"/>
        <v>1557646659638.0286</v>
      </c>
      <c r="M3656" s="471">
        <f t="shared" si="174"/>
        <v>0.05</v>
      </c>
      <c r="N3656" s="475">
        <f t="shared" si="175"/>
        <v>162321</v>
      </c>
    </row>
    <row r="3657" spans="7:14" ht="11.25" customHeight="1" x14ac:dyDescent="0.3">
      <c r="G3657" s="470"/>
      <c r="H3657" s="470">
        <v>3650</v>
      </c>
      <c r="I3657" s="455">
        <f t="shared" ca="1" si="173"/>
        <v>1557646659638.0286</v>
      </c>
      <c r="J3657" s="455">
        <f t="array" ref="J3657">IFERROR(INDEX('Retirement Calculator'!J:J,MATCH('Isaac 401k'!N3657,'Retirement Calculator'!A:A,0),0),0)</f>
        <v>0</v>
      </c>
      <c r="K3657" s="455">
        <f t="shared" ca="1" si="171"/>
        <v>6490194415.158452</v>
      </c>
      <c r="L3657" s="455">
        <f t="shared" ca="1" si="172"/>
        <v>1564136854053.187</v>
      </c>
      <c r="M3657" s="471">
        <f t="shared" si="174"/>
        <v>0.05</v>
      </c>
      <c r="N3657" s="475">
        <f t="shared" si="175"/>
        <v>162351</v>
      </c>
    </row>
    <row r="3658" spans="7:14" ht="11.25" customHeight="1" x14ac:dyDescent="0.3">
      <c r="G3658" s="470"/>
      <c r="H3658" s="470">
        <v>3651</v>
      </c>
      <c r="I3658" s="455">
        <f t="shared" ca="1" si="173"/>
        <v>1564136854053.187</v>
      </c>
      <c r="J3658" s="455">
        <f t="array" ref="J3658">IFERROR(INDEX('Retirement Calculator'!J:J,MATCH('Isaac 401k'!N3658,'Retirement Calculator'!A:A,0),0),0)</f>
        <v>0</v>
      </c>
      <c r="K3658" s="455">
        <f t="shared" ca="1" si="171"/>
        <v>6517236891.888279</v>
      </c>
      <c r="L3658" s="455">
        <f t="shared" ca="1" si="172"/>
        <v>1570654090945.0752</v>
      </c>
      <c r="M3658" s="471">
        <f t="shared" si="174"/>
        <v>0.05</v>
      </c>
      <c r="N3658" s="475">
        <f t="shared" si="175"/>
        <v>162382</v>
      </c>
    </row>
    <row r="3659" spans="7:14" ht="11.25" customHeight="1" x14ac:dyDescent="0.3">
      <c r="G3659" s="470"/>
      <c r="H3659" s="470">
        <v>3652</v>
      </c>
      <c r="I3659" s="455">
        <f t="shared" ca="1" si="173"/>
        <v>1570654090945.0752</v>
      </c>
      <c r="J3659" s="455">
        <f t="array" ref="J3659">IFERROR(INDEX('Retirement Calculator'!J:J,MATCH('Isaac 401k'!N3659,'Retirement Calculator'!A:A,0),0),0)</f>
        <v>0</v>
      </c>
      <c r="K3659" s="455">
        <f t="shared" ca="1" si="171"/>
        <v>6544392045.6044798</v>
      </c>
      <c r="L3659" s="455">
        <f t="shared" ca="1" si="172"/>
        <v>1577198482990.6797</v>
      </c>
      <c r="M3659" s="471">
        <f t="shared" si="174"/>
        <v>0.05</v>
      </c>
      <c r="N3659" s="475">
        <f t="shared" si="175"/>
        <v>162413</v>
      </c>
    </row>
    <row r="3660" spans="7:14" ht="11.25" customHeight="1" x14ac:dyDescent="0.3">
      <c r="G3660" s="470"/>
      <c r="H3660" s="470">
        <v>3653</v>
      </c>
      <c r="I3660" s="455">
        <f t="shared" ca="1" si="173"/>
        <v>1577198482990.6797</v>
      </c>
      <c r="J3660" s="455">
        <f t="array" ref="J3660">IFERROR(INDEX('Retirement Calculator'!J:J,MATCH('Isaac 401k'!N3660,'Retirement Calculator'!A:A,0),0),0)</f>
        <v>0</v>
      </c>
      <c r="K3660" s="455">
        <f t="shared" ca="1" si="171"/>
        <v>6571660345.7944984</v>
      </c>
      <c r="L3660" s="455">
        <f t="shared" ca="1" si="172"/>
        <v>1583770143336.4741</v>
      </c>
      <c r="M3660" s="471">
        <f t="shared" si="174"/>
        <v>0.05</v>
      </c>
      <c r="N3660" s="475">
        <f t="shared" si="175"/>
        <v>162443</v>
      </c>
    </row>
    <row r="3661" spans="7:14" ht="11.25" customHeight="1" x14ac:dyDescent="0.3">
      <c r="G3661" s="470"/>
      <c r="H3661" s="470">
        <v>3654</v>
      </c>
      <c r="I3661" s="455">
        <f t="shared" ca="1" si="173"/>
        <v>1583770143336.4741</v>
      </c>
      <c r="J3661" s="455">
        <f t="array" ref="J3661">IFERROR(INDEX('Retirement Calculator'!J:J,MATCH('Isaac 401k'!N3661,'Retirement Calculator'!A:A,0),0),0)</f>
        <v>0</v>
      </c>
      <c r="K3661" s="455">
        <f t="shared" ca="1" si="171"/>
        <v>6599042263.9019756</v>
      </c>
      <c r="L3661" s="455">
        <f t="shared" ca="1" si="172"/>
        <v>1590369185600.376</v>
      </c>
      <c r="M3661" s="471">
        <f t="shared" si="174"/>
        <v>0.05</v>
      </c>
      <c r="N3661" s="475">
        <f t="shared" si="175"/>
        <v>162474</v>
      </c>
    </row>
    <row r="3662" spans="7:14" ht="11.25" customHeight="1" x14ac:dyDescent="0.3">
      <c r="G3662" s="470"/>
      <c r="H3662" s="470">
        <v>3655</v>
      </c>
      <c r="I3662" s="455">
        <f t="shared" ca="1" si="173"/>
        <v>1590369185600.376</v>
      </c>
      <c r="J3662" s="455">
        <f t="array" ref="J3662">IFERROR(INDEX('Retirement Calculator'!J:J,MATCH('Isaac 401k'!N3662,'Retirement Calculator'!A:A,0),0),0)</f>
        <v>0</v>
      </c>
      <c r="K3662" s="455">
        <f t="shared" ca="1" si="171"/>
        <v>6626538273.3348999</v>
      </c>
      <c r="L3662" s="455">
        <f t="shared" ca="1" si="172"/>
        <v>1596995723873.7109</v>
      </c>
      <c r="M3662" s="471">
        <f t="shared" si="174"/>
        <v>0.05</v>
      </c>
      <c r="N3662" s="475">
        <f t="shared" si="175"/>
        <v>162504</v>
      </c>
    </row>
    <row r="3663" spans="7:14" ht="11.25" customHeight="1" x14ac:dyDescent="0.3">
      <c r="G3663" s="470"/>
      <c r="H3663" s="470">
        <v>3656</v>
      </c>
      <c r="I3663" s="455">
        <f t="shared" ca="1" si="173"/>
        <v>1596995723873.7109</v>
      </c>
      <c r="J3663" s="455">
        <f t="array" ref="J3663">IFERROR(INDEX('Retirement Calculator'!J:J,MATCH('Isaac 401k'!N3663,'Retirement Calculator'!A:A,0),0),0)</f>
        <v>0</v>
      </c>
      <c r="K3663" s="455">
        <f t="shared" ca="1" si="171"/>
        <v>6654148849.4737959</v>
      </c>
      <c r="L3663" s="455">
        <f t="shared" ca="1" si="172"/>
        <v>1603649872723.1848</v>
      </c>
      <c r="M3663" s="471">
        <f t="shared" si="174"/>
        <v>0.05</v>
      </c>
      <c r="N3663" s="475">
        <f t="shared" si="175"/>
        <v>162535</v>
      </c>
    </row>
    <row r="3664" spans="7:14" ht="11.25" customHeight="1" x14ac:dyDescent="0.3">
      <c r="G3664" s="470"/>
      <c r="H3664" s="470">
        <v>3657</v>
      </c>
      <c r="I3664" s="455">
        <f t="shared" ca="1" si="173"/>
        <v>1603649872723.1848</v>
      </c>
      <c r="J3664" s="455">
        <f t="array" ref="J3664">IFERROR(INDEX('Retirement Calculator'!J:J,MATCH('Isaac 401k'!N3664,'Retirement Calculator'!A:A,0),0),0)</f>
        <v>0</v>
      </c>
      <c r="K3664" s="455">
        <f t="shared" ca="1" si="171"/>
        <v>6681874469.6799364</v>
      </c>
      <c r="L3664" s="455">
        <f t="shared" ca="1" si="172"/>
        <v>1610331747192.8647</v>
      </c>
      <c r="M3664" s="471">
        <f t="shared" si="174"/>
        <v>0.05</v>
      </c>
      <c r="N3664" s="475">
        <f t="shared" si="175"/>
        <v>162566</v>
      </c>
    </row>
    <row r="3665" spans="7:14" ht="11.25" customHeight="1" x14ac:dyDescent="0.3">
      <c r="G3665" s="470"/>
      <c r="H3665" s="470">
        <v>3658</v>
      </c>
      <c r="I3665" s="455">
        <f t="shared" ca="1" si="173"/>
        <v>1610331747192.8647</v>
      </c>
      <c r="J3665" s="455">
        <f t="array" ref="J3665">IFERROR(INDEX('Retirement Calculator'!J:J,MATCH('Isaac 401k'!N3665,'Retirement Calculator'!A:A,0),0),0)</f>
        <v>0</v>
      </c>
      <c r="K3665" s="455">
        <f t="shared" ca="1" si="171"/>
        <v>6709715613.3036032</v>
      </c>
      <c r="L3665" s="455">
        <f t="shared" ca="1" si="172"/>
        <v>1617041462806.1685</v>
      </c>
      <c r="M3665" s="471">
        <f t="shared" si="174"/>
        <v>0.05</v>
      </c>
      <c r="N3665" s="475">
        <f t="shared" si="175"/>
        <v>162594</v>
      </c>
    </row>
    <row r="3666" spans="7:14" ht="11.25" customHeight="1" x14ac:dyDescent="0.3">
      <c r="G3666" s="470"/>
      <c r="H3666" s="470">
        <v>3659</v>
      </c>
      <c r="I3666" s="455">
        <f t="shared" ca="1" si="173"/>
        <v>1617041462806.1685</v>
      </c>
      <c r="J3666" s="455">
        <f t="array" ref="J3666">IFERROR(INDEX('Retirement Calculator'!J:J,MATCH('Isaac 401k'!N3666,'Retirement Calculator'!A:A,0),0),0)</f>
        <v>0</v>
      </c>
      <c r="K3666" s="455">
        <f t="shared" ca="1" si="171"/>
        <v>6737672761.6923685</v>
      </c>
      <c r="L3666" s="455">
        <f t="shared" ca="1" si="172"/>
        <v>1623779135567.8608</v>
      </c>
      <c r="M3666" s="471">
        <f t="shared" si="174"/>
        <v>0.05</v>
      </c>
      <c r="N3666" s="475">
        <f t="shared" si="175"/>
        <v>162625</v>
      </c>
    </row>
    <row r="3667" spans="7:14" ht="11.25" customHeight="1" x14ac:dyDescent="0.3">
      <c r="G3667" s="470"/>
      <c r="H3667" s="470">
        <v>3660</v>
      </c>
      <c r="I3667" s="455">
        <f t="shared" ca="1" si="173"/>
        <v>1623779135567.8608</v>
      </c>
      <c r="J3667" s="455">
        <f t="array" ref="J3667">IFERROR(INDEX('Retirement Calculator'!J:J,MATCH('Isaac 401k'!N3667,'Retirement Calculator'!A:A,0),0),0)</f>
        <v>0</v>
      </c>
      <c r="K3667" s="455">
        <f t="shared" ca="1" si="171"/>
        <v>6765746398.19942</v>
      </c>
      <c r="L3667" s="455">
        <f t="shared" ca="1" si="172"/>
        <v>1630544881966.0603</v>
      </c>
      <c r="M3667" s="471">
        <f t="shared" si="174"/>
        <v>0.05</v>
      </c>
      <c r="N3667" s="475">
        <f t="shared" si="175"/>
        <v>162655</v>
      </c>
    </row>
    <row r="3668" spans="7:14" ht="11.25" customHeight="1" x14ac:dyDescent="0.3">
      <c r="G3668" s="470"/>
      <c r="H3668" s="470">
        <v>3661</v>
      </c>
      <c r="I3668" s="455">
        <f t="shared" ca="1" si="173"/>
        <v>1630544881966.0603</v>
      </c>
      <c r="J3668" s="455">
        <f t="array" ref="J3668">IFERROR(INDEX('Retirement Calculator'!J:J,MATCH('Isaac 401k'!N3668,'Retirement Calculator'!A:A,0),0),0)</f>
        <v>0</v>
      </c>
      <c r="K3668" s="455">
        <f t="shared" ca="1" si="171"/>
        <v>6793937008.1919174</v>
      </c>
      <c r="L3668" s="455">
        <f t="shared" ca="1" si="172"/>
        <v>1637338818974.2522</v>
      </c>
      <c r="M3668" s="471">
        <f t="shared" si="174"/>
        <v>0.05</v>
      </c>
      <c r="N3668" s="475">
        <f t="shared" si="175"/>
        <v>162686</v>
      </c>
    </row>
    <row r="3669" spans="7:14" ht="11.25" customHeight="1" x14ac:dyDescent="0.3">
      <c r="G3669" s="470"/>
      <c r="H3669" s="470">
        <v>3662</v>
      </c>
      <c r="I3669" s="455">
        <f t="shared" ca="1" si="173"/>
        <v>1637338818974.2522</v>
      </c>
      <c r="J3669" s="455">
        <f t="array" ref="J3669">IFERROR(INDEX('Retirement Calculator'!J:J,MATCH('Isaac 401k'!N3669,'Retirement Calculator'!A:A,0),0),0)</f>
        <v>0</v>
      </c>
      <c r="K3669" s="455">
        <f t="shared" ca="1" si="171"/>
        <v>6822245079.0593843</v>
      </c>
      <c r="L3669" s="455">
        <f t="shared" ca="1" si="172"/>
        <v>1644161064053.3115</v>
      </c>
      <c r="M3669" s="471">
        <f t="shared" si="174"/>
        <v>0.05</v>
      </c>
      <c r="N3669" s="475">
        <f t="shared" si="175"/>
        <v>162716</v>
      </c>
    </row>
    <row r="3670" spans="7:14" ht="11.25" customHeight="1" x14ac:dyDescent="0.3">
      <c r="G3670" s="470"/>
      <c r="H3670" s="470">
        <v>3663</v>
      </c>
      <c r="I3670" s="455">
        <f t="shared" ca="1" si="173"/>
        <v>1644161064053.3115</v>
      </c>
      <c r="J3670" s="455">
        <f t="array" ref="J3670">IFERROR(INDEX('Retirement Calculator'!J:J,MATCH('Isaac 401k'!N3670,'Retirement Calculator'!A:A,0),0),0)</f>
        <v>0</v>
      </c>
      <c r="K3670" s="455">
        <f t="shared" ca="1" si="171"/>
        <v>6850671100.2221317</v>
      </c>
      <c r="L3670" s="455">
        <f t="shared" ca="1" si="172"/>
        <v>1651011735153.5337</v>
      </c>
      <c r="M3670" s="471">
        <f t="shared" si="174"/>
        <v>0.05</v>
      </c>
      <c r="N3670" s="475">
        <f t="shared" si="175"/>
        <v>162747</v>
      </c>
    </row>
    <row r="3671" spans="7:14" ht="11.25" customHeight="1" x14ac:dyDescent="0.3">
      <c r="G3671" s="470"/>
      <c r="H3671" s="470">
        <v>3664</v>
      </c>
      <c r="I3671" s="455">
        <f t="shared" ca="1" si="173"/>
        <v>1651011735153.5337</v>
      </c>
      <c r="J3671" s="455">
        <f t="array" ref="J3671">IFERROR(INDEX('Retirement Calculator'!J:J,MATCH('Isaac 401k'!N3671,'Retirement Calculator'!A:A,0),0),0)</f>
        <v>0</v>
      </c>
      <c r="K3671" s="455">
        <f t="shared" ca="1" si="171"/>
        <v>6879215563.1397238</v>
      </c>
      <c r="L3671" s="455">
        <f t="shared" ca="1" si="172"/>
        <v>1657890950716.6733</v>
      </c>
      <c r="M3671" s="471">
        <f t="shared" si="174"/>
        <v>0.05</v>
      </c>
      <c r="N3671" s="475">
        <f t="shared" si="175"/>
        <v>162778</v>
      </c>
    </row>
    <row r="3672" spans="7:14" ht="11.25" customHeight="1" x14ac:dyDescent="0.3">
      <c r="G3672" s="470"/>
      <c r="H3672" s="470">
        <v>3665</v>
      </c>
      <c r="I3672" s="455">
        <f t="shared" ca="1" si="173"/>
        <v>1657890950716.6733</v>
      </c>
      <c r="J3672" s="455">
        <f t="array" ref="J3672">IFERROR(INDEX('Retirement Calculator'!J:J,MATCH('Isaac 401k'!N3672,'Retirement Calculator'!A:A,0),0),0)</f>
        <v>0</v>
      </c>
      <c r="K3672" s="455">
        <f t="shared" ca="1" si="171"/>
        <v>6907878961.3194723</v>
      </c>
      <c r="L3672" s="455">
        <f t="shared" ca="1" si="172"/>
        <v>1664798829677.9929</v>
      </c>
      <c r="M3672" s="471">
        <f t="shared" si="174"/>
        <v>0.05</v>
      </c>
      <c r="N3672" s="475">
        <f t="shared" si="175"/>
        <v>162808</v>
      </c>
    </row>
    <row r="3673" spans="7:14" ht="11.25" customHeight="1" x14ac:dyDescent="0.3">
      <c r="G3673" s="470"/>
      <c r="H3673" s="470">
        <v>3666</v>
      </c>
      <c r="I3673" s="455">
        <f t="shared" ca="1" si="173"/>
        <v>1664798829677.9929</v>
      </c>
      <c r="J3673" s="455">
        <f t="array" ref="J3673">IFERROR(INDEX('Retirement Calculator'!J:J,MATCH('Isaac 401k'!N3673,'Retirement Calculator'!A:A,0),0),0)</f>
        <v>0</v>
      </c>
      <c r="K3673" s="455">
        <f t="shared" ca="1" si="171"/>
        <v>6936661790.3249702</v>
      </c>
      <c r="L3673" s="455">
        <f t="shared" ca="1" si="172"/>
        <v>1671735491468.3179</v>
      </c>
      <c r="M3673" s="471">
        <f t="shared" si="174"/>
        <v>0.05</v>
      </c>
      <c r="N3673" s="475">
        <f t="shared" si="175"/>
        <v>162839</v>
      </c>
    </row>
    <row r="3674" spans="7:14" ht="11.25" customHeight="1" x14ac:dyDescent="0.3">
      <c r="G3674" s="470"/>
      <c r="H3674" s="470">
        <v>3667</v>
      </c>
      <c r="I3674" s="455">
        <f t="shared" ca="1" si="173"/>
        <v>1671735491468.3179</v>
      </c>
      <c r="J3674" s="455">
        <f t="array" ref="J3674">IFERROR(INDEX('Retirement Calculator'!J:J,MATCH('Isaac 401k'!N3674,'Retirement Calculator'!A:A,0),0),0)</f>
        <v>0</v>
      </c>
      <c r="K3674" s="455">
        <f t="shared" ca="1" si="171"/>
        <v>6965564547.7846575</v>
      </c>
      <c r="L3674" s="455">
        <f t="shared" ca="1" si="172"/>
        <v>1678701056016.1025</v>
      </c>
      <c r="M3674" s="471">
        <f t="shared" si="174"/>
        <v>0.05</v>
      </c>
      <c r="N3674" s="475">
        <f t="shared" si="175"/>
        <v>162869</v>
      </c>
    </row>
    <row r="3675" spans="7:14" ht="11.25" customHeight="1" x14ac:dyDescent="0.3">
      <c r="G3675" s="470"/>
      <c r="H3675" s="470">
        <v>3668</v>
      </c>
      <c r="I3675" s="455">
        <f t="shared" ca="1" si="173"/>
        <v>1678701056016.1025</v>
      </c>
      <c r="J3675" s="455">
        <f t="array" ref="J3675">IFERROR(INDEX('Retirement Calculator'!J:J,MATCH('Isaac 401k'!N3675,'Retirement Calculator'!A:A,0),0),0)</f>
        <v>0</v>
      </c>
      <c r="K3675" s="455">
        <f t="shared" ca="1" si="171"/>
        <v>6994587733.4004269</v>
      </c>
      <c r="L3675" s="455">
        <f t="shared" ca="1" si="172"/>
        <v>1685695643749.5029</v>
      </c>
      <c r="M3675" s="471">
        <f t="shared" si="174"/>
        <v>0.05</v>
      </c>
      <c r="N3675" s="475">
        <f t="shared" si="175"/>
        <v>162900</v>
      </c>
    </row>
    <row r="3676" spans="7:14" ht="11.25" customHeight="1" x14ac:dyDescent="0.3">
      <c r="G3676" s="470"/>
      <c r="H3676" s="470">
        <v>3669</v>
      </c>
      <c r="I3676" s="455">
        <f t="shared" ca="1" si="173"/>
        <v>1685695643749.5029</v>
      </c>
      <c r="J3676" s="455">
        <f t="array" ref="J3676">IFERROR(INDEX('Retirement Calculator'!J:J,MATCH('Isaac 401k'!N3676,'Retirement Calculator'!A:A,0),0),0)</f>
        <v>0</v>
      </c>
      <c r="K3676" s="455">
        <f t="shared" ca="1" si="171"/>
        <v>7023731848.9562616</v>
      </c>
      <c r="L3676" s="455">
        <f t="shared" ca="1" si="172"/>
        <v>1692719375598.4592</v>
      </c>
      <c r="M3676" s="471">
        <f t="shared" si="174"/>
        <v>0.05</v>
      </c>
      <c r="N3676" s="475">
        <f t="shared" si="175"/>
        <v>162931</v>
      </c>
    </row>
    <row r="3677" spans="7:14" ht="11.25" customHeight="1" x14ac:dyDescent="0.3">
      <c r="G3677" s="470"/>
      <c r="H3677" s="470">
        <v>3670</v>
      </c>
      <c r="I3677" s="455">
        <f t="shared" ca="1" si="173"/>
        <v>1692719375598.4592</v>
      </c>
      <c r="J3677" s="455">
        <f t="array" ref="J3677">IFERROR(INDEX('Retirement Calculator'!J:J,MATCH('Isaac 401k'!N3677,'Retirement Calculator'!A:A,0),0),0)</f>
        <v>0</v>
      </c>
      <c r="K3677" s="455">
        <f t="shared" ca="1" si="171"/>
        <v>7052997398.3269129</v>
      </c>
      <c r="L3677" s="455">
        <f t="shared" ca="1" si="172"/>
        <v>1699772372996.7861</v>
      </c>
      <c r="M3677" s="471">
        <f t="shared" si="174"/>
        <v>0.05</v>
      </c>
      <c r="N3677" s="475">
        <f t="shared" si="175"/>
        <v>162959</v>
      </c>
    </row>
    <row r="3678" spans="7:14" ht="11.25" customHeight="1" x14ac:dyDescent="0.3">
      <c r="G3678" s="470"/>
      <c r="H3678" s="470">
        <v>3671</v>
      </c>
      <c r="I3678" s="455">
        <f t="shared" ca="1" si="173"/>
        <v>1699772372996.7861</v>
      </c>
      <c r="J3678" s="455">
        <f t="array" ref="J3678">IFERROR(INDEX('Retirement Calculator'!J:J,MATCH('Isaac 401k'!N3678,'Retirement Calculator'!A:A,0),0),0)</f>
        <v>0</v>
      </c>
      <c r="K3678" s="455">
        <f t="shared" ca="1" si="171"/>
        <v>7082384887.4866085</v>
      </c>
      <c r="L3678" s="455">
        <f t="shared" ca="1" si="172"/>
        <v>1706854757884.2727</v>
      </c>
      <c r="M3678" s="471">
        <f t="shared" si="174"/>
        <v>0.05</v>
      </c>
      <c r="N3678" s="475">
        <f t="shared" si="175"/>
        <v>162990</v>
      </c>
    </row>
    <row r="3679" spans="7:14" ht="11.25" customHeight="1" x14ac:dyDescent="0.3">
      <c r="G3679" s="470"/>
      <c r="H3679" s="470">
        <v>3672</v>
      </c>
      <c r="I3679" s="455">
        <f t="shared" ca="1" si="173"/>
        <v>1706854757884.2727</v>
      </c>
      <c r="J3679" s="455">
        <f t="array" ref="J3679">IFERROR(INDEX('Retirement Calculator'!J:J,MATCH('Isaac 401k'!N3679,'Retirement Calculator'!A:A,0),0),0)</f>
        <v>0</v>
      </c>
      <c r="K3679" s="455">
        <f t="shared" ca="1" si="171"/>
        <v>7111894824.5178032</v>
      </c>
      <c r="L3679" s="455">
        <f t="shared" ca="1" si="172"/>
        <v>1713966652708.7905</v>
      </c>
      <c r="M3679" s="471">
        <f t="shared" si="174"/>
        <v>0.05</v>
      </c>
      <c r="N3679" s="475">
        <f t="shared" si="175"/>
        <v>163020</v>
      </c>
    </row>
    <row r="3680" spans="7:14" ht="11.25" customHeight="1" x14ac:dyDescent="0.3">
      <c r="G3680" s="470"/>
      <c r="H3680" s="470">
        <v>3673</v>
      </c>
      <c r="I3680" s="455">
        <f t="shared" ca="1" si="173"/>
        <v>1713966652708.7905</v>
      </c>
      <c r="J3680" s="455">
        <f t="array" ref="J3680">IFERROR(INDEX('Retirement Calculator'!J:J,MATCH('Isaac 401k'!N3680,'Retirement Calculator'!A:A,0),0),0)</f>
        <v>0</v>
      </c>
      <c r="K3680" s="455">
        <f t="shared" ca="1" si="171"/>
        <v>7141527719.6199608</v>
      </c>
      <c r="L3680" s="455">
        <f t="shared" ca="1" si="172"/>
        <v>1721108180428.4104</v>
      </c>
      <c r="M3680" s="471">
        <f t="shared" si="174"/>
        <v>0.05</v>
      </c>
      <c r="N3680" s="475">
        <f t="shared" si="175"/>
        <v>163051</v>
      </c>
    </row>
    <row r="3681" spans="7:14" ht="11.25" customHeight="1" x14ac:dyDescent="0.3">
      <c r="G3681" s="470"/>
      <c r="H3681" s="470">
        <v>3674</v>
      </c>
      <c r="I3681" s="455">
        <f t="shared" ca="1" si="173"/>
        <v>1721108180428.4104</v>
      </c>
      <c r="J3681" s="455">
        <f t="array" ref="J3681">IFERROR(INDEX('Retirement Calculator'!J:J,MATCH('Isaac 401k'!N3681,'Retirement Calculator'!A:A,0),0),0)</f>
        <v>0</v>
      </c>
      <c r="K3681" s="455">
        <f t="shared" ca="1" si="171"/>
        <v>7171284085.1183767</v>
      </c>
      <c r="L3681" s="455">
        <f t="shared" ca="1" si="172"/>
        <v>1728279464513.5288</v>
      </c>
      <c r="M3681" s="471">
        <f t="shared" si="174"/>
        <v>0.05</v>
      </c>
      <c r="N3681" s="475">
        <f t="shared" si="175"/>
        <v>163081</v>
      </c>
    </row>
    <row r="3682" spans="7:14" ht="11.25" customHeight="1" x14ac:dyDescent="0.3">
      <c r="G3682" s="470"/>
      <c r="H3682" s="470">
        <v>3675</v>
      </c>
      <c r="I3682" s="455">
        <f t="shared" ca="1" si="173"/>
        <v>1728279464513.5288</v>
      </c>
      <c r="J3682" s="455">
        <f t="array" ref="J3682">IFERROR(INDEX('Retirement Calculator'!J:J,MATCH('Isaac 401k'!N3682,'Retirement Calculator'!A:A,0),0),0)</f>
        <v>0</v>
      </c>
      <c r="K3682" s="455">
        <f t="shared" ca="1" si="171"/>
        <v>7201164435.4730368</v>
      </c>
      <c r="L3682" s="455">
        <f t="shared" ca="1" si="172"/>
        <v>1735480628949.002</v>
      </c>
      <c r="M3682" s="471">
        <f t="shared" si="174"/>
        <v>0.05</v>
      </c>
      <c r="N3682" s="475">
        <f t="shared" si="175"/>
        <v>163112</v>
      </c>
    </row>
    <row r="3683" spans="7:14" ht="11.25" customHeight="1" x14ac:dyDescent="0.3">
      <c r="G3683" s="470"/>
      <c r="H3683" s="470">
        <v>3676</v>
      </c>
      <c r="I3683" s="455">
        <f t="shared" ca="1" si="173"/>
        <v>1735480628949.002</v>
      </c>
      <c r="J3683" s="455">
        <f t="array" ref="J3683">IFERROR(INDEX('Retirement Calculator'!J:J,MATCH('Isaac 401k'!N3683,'Retirement Calculator'!A:A,0),0),0)</f>
        <v>0</v>
      </c>
      <c r="K3683" s="455">
        <f t="shared" ca="1" si="171"/>
        <v>7231169287.287508</v>
      </c>
      <c r="L3683" s="455">
        <f t="shared" ca="1" si="172"/>
        <v>1742711798236.2896</v>
      </c>
      <c r="M3683" s="471">
        <f t="shared" si="174"/>
        <v>0.05</v>
      </c>
      <c r="N3683" s="475">
        <f t="shared" si="175"/>
        <v>163143</v>
      </c>
    </row>
    <row r="3684" spans="7:14" ht="11.25" customHeight="1" x14ac:dyDescent="0.3">
      <c r="G3684" s="470"/>
      <c r="H3684" s="470">
        <v>3677</v>
      </c>
      <c r="I3684" s="455">
        <f t="shared" ca="1" si="173"/>
        <v>1742711798236.2896</v>
      </c>
      <c r="J3684" s="455">
        <f t="array" ref="J3684">IFERROR(INDEX('Retirement Calculator'!J:J,MATCH('Isaac 401k'!N3684,'Retirement Calculator'!A:A,0),0),0)</f>
        <v>0</v>
      </c>
      <c r="K3684" s="455">
        <f t="shared" ca="1" si="171"/>
        <v>7261299159.317873</v>
      </c>
      <c r="L3684" s="455">
        <f t="shared" ca="1" si="172"/>
        <v>1749973097395.6074</v>
      </c>
      <c r="M3684" s="471">
        <f t="shared" si="174"/>
        <v>0.05</v>
      </c>
      <c r="N3684" s="475">
        <f t="shared" si="175"/>
        <v>163173</v>
      </c>
    </row>
    <row r="3685" spans="7:14" ht="11.25" customHeight="1" x14ac:dyDescent="0.3">
      <c r="G3685" s="470"/>
      <c r="H3685" s="470">
        <v>3678</v>
      </c>
      <c r="I3685" s="455">
        <f t="shared" ca="1" si="173"/>
        <v>1749973097395.6074</v>
      </c>
      <c r="J3685" s="455">
        <f t="array" ref="J3685">IFERROR(INDEX('Retirement Calculator'!J:J,MATCH('Isaac 401k'!N3685,'Retirement Calculator'!A:A,0),0),0)</f>
        <v>0</v>
      </c>
      <c r="K3685" s="455">
        <f t="shared" ca="1" si="171"/>
        <v>7291554572.481698</v>
      </c>
      <c r="L3685" s="455">
        <f t="shared" ca="1" si="172"/>
        <v>1757264651968.0891</v>
      </c>
      <c r="M3685" s="471">
        <f t="shared" si="174"/>
        <v>0.05</v>
      </c>
      <c r="N3685" s="475">
        <f t="shared" si="175"/>
        <v>163204</v>
      </c>
    </row>
    <row r="3686" spans="7:14" ht="11.25" customHeight="1" x14ac:dyDescent="0.3">
      <c r="G3686" s="470"/>
      <c r="H3686" s="470">
        <v>3679</v>
      </c>
      <c r="I3686" s="455">
        <f t="shared" ca="1" si="173"/>
        <v>1757264651968.0891</v>
      </c>
      <c r="J3686" s="455">
        <f t="array" ref="J3686">IFERROR(INDEX('Retirement Calculator'!J:J,MATCH('Isaac 401k'!N3686,'Retirement Calculator'!A:A,0),0),0)</f>
        <v>0</v>
      </c>
      <c r="K3686" s="455">
        <f t="shared" ca="1" si="171"/>
        <v>7321936049.8670387</v>
      </c>
      <c r="L3686" s="455">
        <f t="shared" ca="1" si="172"/>
        <v>1764586588017.9561</v>
      </c>
      <c r="M3686" s="471">
        <f t="shared" si="174"/>
        <v>0.05</v>
      </c>
      <c r="N3686" s="475">
        <f t="shared" si="175"/>
        <v>163234</v>
      </c>
    </row>
    <row r="3687" spans="7:14" ht="11.25" customHeight="1" x14ac:dyDescent="0.3">
      <c r="G3687" s="470"/>
      <c r="H3687" s="470">
        <v>3680</v>
      </c>
      <c r="I3687" s="455">
        <f t="shared" ca="1" si="173"/>
        <v>1764586588017.9561</v>
      </c>
      <c r="J3687" s="455">
        <f t="array" ref="J3687">IFERROR(INDEX('Retirement Calculator'!J:J,MATCH('Isaac 401k'!N3687,'Retirement Calculator'!A:A,0),0),0)</f>
        <v>0</v>
      </c>
      <c r="K3687" s="455">
        <f t="shared" ca="1" si="171"/>
        <v>7352444116.7414827</v>
      </c>
      <c r="L3687" s="455">
        <f t="shared" ca="1" si="172"/>
        <v>1771939032134.6975</v>
      </c>
      <c r="M3687" s="471">
        <f t="shared" si="174"/>
        <v>0.05</v>
      </c>
      <c r="N3687" s="475">
        <f t="shared" si="175"/>
        <v>163265</v>
      </c>
    </row>
    <row r="3688" spans="7:14" ht="11.25" customHeight="1" x14ac:dyDescent="0.3">
      <c r="G3688" s="470"/>
      <c r="H3688" s="470">
        <v>3681</v>
      </c>
      <c r="I3688" s="455">
        <f t="shared" ca="1" si="173"/>
        <v>1771939032134.6975</v>
      </c>
      <c r="J3688" s="455">
        <f t="array" ref="J3688">IFERROR(INDEX('Retirement Calculator'!J:J,MATCH('Isaac 401k'!N3688,'Retirement Calculator'!A:A,0),0),0)</f>
        <v>0</v>
      </c>
      <c r="K3688" s="455">
        <f t="shared" ca="1" si="171"/>
        <v>7383079300.5612392</v>
      </c>
      <c r="L3688" s="455">
        <f t="shared" ca="1" si="172"/>
        <v>1779322111435.2588</v>
      </c>
      <c r="M3688" s="471">
        <f t="shared" si="174"/>
        <v>0.05</v>
      </c>
      <c r="N3688" s="475">
        <f t="shared" si="175"/>
        <v>163296</v>
      </c>
    </row>
    <row r="3689" spans="7:14" ht="11.25" customHeight="1" x14ac:dyDescent="0.3">
      <c r="G3689" s="470"/>
      <c r="H3689" s="470">
        <v>3682</v>
      </c>
      <c r="I3689" s="455">
        <f t="shared" ca="1" si="173"/>
        <v>1779322111435.2588</v>
      </c>
      <c r="J3689" s="455">
        <f t="array" ref="J3689">IFERROR(INDEX('Retirement Calculator'!J:J,MATCH('Isaac 401k'!N3689,'Retirement Calculator'!A:A,0),0),0)</f>
        <v>0</v>
      </c>
      <c r="K3689" s="455">
        <f t="shared" ca="1" si="171"/>
        <v>7413842130.9802446</v>
      </c>
      <c r="L3689" s="455">
        <f t="shared" ca="1" si="172"/>
        <v>1786735953566.239</v>
      </c>
      <c r="M3689" s="471">
        <f t="shared" si="174"/>
        <v>0.05</v>
      </c>
      <c r="N3689" s="475">
        <f t="shared" si="175"/>
        <v>163324</v>
      </c>
    </row>
    <row r="3690" spans="7:14" ht="11.25" customHeight="1" x14ac:dyDescent="0.3">
      <c r="G3690" s="470"/>
      <c r="H3690" s="470">
        <v>3683</v>
      </c>
      <c r="I3690" s="455">
        <f t="shared" ca="1" si="173"/>
        <v>1786735953566.239</v>
      </c>
      <c r="J3690" s="455">
        <f t="array" ref="J3690">IFERROR(INDEX('Retirement Calculator'!J:J,MATCH('Isaac 401k'!N3690,'Retirement Calculator'!A:A,0),0),0)</f>
        <v>0</v>
      </c>
      <c r="K3690" s="455">
        <f t="shared" ca="1" si="171"/>
        <v>7444733139.8593292</v>
      </c>
      <c r="L3690" s="455">
        <f t="shared" ca="1" si="172"/>
        <v>1794180686706.0984</v>
      </c>
      <c r="M3690" s="471">
        <f t="shared" si="174"/>
        <v>0.05</v>
      </c>
      <c r="N3690" s="475">
        <f t="shared" si="175"/>
        <v>163355</v>
      </c>
    </row>
    <row r="3691" spans="7:14" ht="11.25" customHeight="1" x14ac:dyDescent="0.3">
      <c r="G3691" s="470"/>
      <c r="H3691" s="470">
        <v>3684</v>
      </c>
      <c r="I3691" s="455">
        <f t="shared" ca="1" si="173"/>
        <v>1794180686706.0984</v>
      </c>
      <c r="J3691" s="455">
        <f t="array" ref="J3691">IFERROR(INDEX('Retirement Calculator'!J:J,MATCH('Isaac 401k'!N3691,'Retirement Calculator'!A:A,0),0),0)</f>
        <v>0</v>
      </c>
      <c r="K3691" s="455">
        <f t="shared" ca="1" si="171"/>
        <v>7475752861.2754087</v>
      </c>
      <c r="L3691" s="455">
        <f t="shared" ca="1" si="172"/>
        <v>1801656439567.3738</v>
      </c>
      <c r="M3691" s="471">
        <f t="shared" si="174"/>
        <v>0.05</v>
      </c>
      <c r="N3691" s="475">
        <f t="shared" si="175"/>
        <v>163385</v>
      </c>
    </row>
    <row r="3692" spans="7:14" ht="11.25" customHeight="1" x14ac:dyDescent="0.3">
      <c r="G3692" s="470"/>
      <c r="H3692" s="470">
        <v>3685</v>
      </c>
      <c r="I3692" s="455">
        <f t="shared" ca="1" si="173"/>
        <v>1801656439567.3738</v>
      </c>
      <c r="J3692" s="455">
        <f t="array" ref="J3692">IFERROR(INDEX('Retirement Calculator'!J:J,MATCH('Isaac 401k'!N3692,'Retirement Calculator'!A:A,0),0),0)</f>
        <v>0</v>
      </c>
      <c r="K3692" s="455">
        <f t="shared" ca="1" si="171"/>
        <v>7506901831.5307236</v>
      </c>
      <c r="L3692" s="455">
        <f t="shared" ca="1" si="172"/>
        <v>1809163341398.9045</v>
      </c>
      <c r="M3692" s="471">
        <f t="shared" si="174"/>
        <v>0.05</v>
      </c>
      <c r="N3692" s="475">
        <f t="shared" si="175"/>
        <v>163416</v>
      </c>
    </row>
    <row r="3693" spans="7:14" ht="11.25" customHeight="1" x14ac:dyDescent="0.3">
      <c r="G3693" s="470"/>
      <c r="H3693" s="470">
        <v>3686</v>
      </c>
      <c r="I3693" s="455">
        <f t="shared" ca="1" si="173"/>
        <v>1809163341398.9045</v>
      </c>
      <c r="J3693" s="455">
        <f t="array" ref="J3693">IFERROR(INDEX('Retirement Calculator'!J:J,MATCH('Isaac 401k'!N3693,'Retirement Calculator'!A:A,0),0),0)</f>
        <v>0</v>
      </c>
      <c r="K3693" s="455">
        <f t="shared" ca="1" si="171"/>
        <v>7538180589.1621027</v>
      </c>
      <c r="L3693" s="455">
        <f t="shared" ca="1" si="172"/>
        <v>1816701521988.0667</v>
      </c>
      <c r="M3693" s="471">
        <f t="shared" si="174"/>
        <v>0.05</v>
      </c>
      <c r="N3693" s="475">
        <f t="shared" si="175"/>
        <v>163446</v>
      </c>
    </row>
    <row r="3694" spans="7:14" ht="11.25" customHeight="1" x14ac:dyDescent="0.3">
      <c r="G3694" s="470"/>
      <c r="H3694" s="470">
        <v>3687</v>
      </c>
      <c r="I3694" s="455">
        <f t="shared" ca="1" si="173"/>
        <v>1816701521988.0667</v>
      </c>
      <c r="J3694" s="455">
        <f t="array" ref="J3694">IFERROR(INDEX('Retirement Calculator'!J:J,MATCH('Isaac 401k'!N3694,'Retirement Calculator'!A:A,0),0),0)</f>
        <v>0</v>
      </c>
      <c r="K3694" s="455">
        <f t="shared" ca="1" si="171"/>
        <v>7569589674.9502773</v>
      </c>
      <c r="L3694" s="455">
        <f t="shared" ca="1" si="172"/>
        <v>1824271111663.0168</v>
      </c>
      <c r="M3694" s="471">
        <f t="shared" si="174"/>
        <v>0.05</v>
      </c>
      <c r="N3694" s="475">
        <f t="shared" si="175"/>
        <v>163477</v>
      </c>
    </row>
    <row r="3695" spans="7:14" ht="11.25" customHeight="1" x14ac:dyDescent="0.3">
      <c r="G3695" s="470"/>
      <c r="H3695" s="470">
        <v>3688</v>
      </c>
      <c r="I3695" s="455">
        <f t="shared" ca="1" si="173"/>
        <v>1824271111663.0168</v>
      </c>
      <c r="J3695" s="455">
        <f t="array" ref="J3695">IFERROR(INDEX('Retirement Calculator'!J:J,MATCH('Isaac 401k'!N3695,'Retirement Calculator'!A:A,0),0),0)</f>
        <v>0</v>
      </c>
      <c r="K3695" s="455">
        <f t="shared" ca="1" si="171"/>
        <v>7601129631.9292364</v>
      </c>
      <c r="L3695" s="455">
        <f t="shared" ca="1" si="172"/>
        <v>1831872241294.946</v>
      </c>
      <c r="M3695" s="471">
        <f t="shared" si="174"/>
        <v>0.05</v>
      </c>
      <c r="N3695" s="475">
        <f t="shared" si="175"/>
        <v>163508</v>
      </c>
    </row>
    <row r="3696" spans="7:14" ht="11.25" customHeight="1" x14ac:dyDescent="0.3">
      <c r="G3696" s="470"/>
      <c r="H3696" s="470">
        <v>3689</v>
      </c>
      <c r="I3696" s="455">
        <f t="shared" ca="1" si="173"/>
        <v>1831872241294.946</v>
      </c>
      <c r="J3696" s="455">
        <f t="array" ref="J3696">IFERROR(INDEX('Retirement Calculator'!J:J,MATCH('Isaac 401k'!N3696,'Retirement Calculator'!A:A,0),0),0)</f>
        <v>0</v>
      </c>
      <c r="K3696" s="455">
        <f t="shared" ca="1" si="171"/>
        <v>7632801005.3956079</v>
      </c>
      <c r="L3696" s="455">
        <f t="shared" ca="1" si="172"/>
        <v>1839505042300.3416</v>
      </c>
      <c r="M3696" s="471">
        <f t="shared" si="174"/>
        <v>0.05</v>
      </c>
      <c r="N3696" s="475">
        <f t="shared" si="175"/>
        <v>163538</v>
      </c>
    </row>
    <row r="3697" spans="7:14" ht="11.25" customHeight="1" x14ac:dyDescent="0.3">
      <c r="G3697" s="470"/>
      <c r="H3697" s="470">
        <v>3690</v>
      </c>
      <c r="I3697" s="455">
        <f t="shared" ca="1" si="173"/>
        <v>1839505042300.3416</v>
      </c>
      <c r="J3697" s="455">
        <f t="array" ref="J3697">IFERROR(INDEX('Retirement Calculator'!J:J,MATCH('Isaac 401k'!N3697,'Retirement Calculator'!A:A,0),0),0)</f>
        <v>0</v>
      </c>
      <c r="K3697" s="455">
        <f t="shared" ca="1" si="171"/>
        <v>7664604342.9180899</v>
      </c>
      <c r="L3697" s="455">
        <f t="shared" ca="1" si="172"/>
        <v>1847169646643.2595</v>
      </c>
      <c r="M3697" s="471">
        <f t="shared" si="174"/>
        <v>0.05</v>
      </c>
      <c r="N3697" s="475">
        <f t="shared" si="175"/>
        <v>163569</v>
      </c>
    </row>
    <row r="3698" spans="7:14" ht="11.25" customHeight="1" x14ac:dyDescent="0.3">
      <c r="G3698" s="470"/>
      <c r="H3698" s="470">
        <v>3691</v>
      </c>
      <c r="I3698" s="455">
        <f t="shared" ca="1" si="173"/>
        <v>1847169646643.2595</v>
      </c>
      <c r="J3698" s="455">
        <f t="array" ref="J3698">IFERROR(INDEX('Retirement Calculator'!J:J,MATCH('Isaac 401k'!N3698,'Retirement Calculator'!A:A,0),0),0)</f>
        <v>0</v>
      </c>
      <c r="K3698" s="455">
        <f t="shared" ca="1" si="171"/>
        <v>7696540194.3469143</v>
      </c>
      <c r="L3698" s="455">
        <f t="shared" ca="1" si="172"/>
        <v>1854866186837.6064</v>
      </c>
      <c r="M3698" s="471">
        <f t="shared" si="174"/>
        <v>0.05</v>
      </c>
      <c r="N3698" s="475">
        <f t="shared" si="175"/>
        <v>163599</v>
      </c>
    </row>
    <row r="3699" spans="7:14" ht="11.25" customHeight="1" x14ac:dyDescent="0.3">
      <c r="G3699" s="470"/>
      <c r="H3699" s="470">
        <v>3692</v>
      </c>
      <c r="I3699" s="455">
        <f t="shared" ca="1" si="173"/>
        <v>1854866186837.6064</v>
      </c>
      <c r="J3699" s="455">
        <f t="array" ref="J3699">IFERROR(INDEX('Retirement Calculator'!J:J,MATCH('Isaac 401k'!N3699,'Retirement Calculator'!A:A,0),0),0)</f>
        <v>0</v>
      </c>
      <c r="K3699" s="455">
        <f t="shared" ca="1" si="171"/>
        <v>7728609111.8233595</v>
      </c>
      <c r="L3699" s="455">
        <f t="shared" ca="1" si="172"/>
        <v>1862594795949.4297</v>
      </c>
      <c r="M3699" s="471">
        <f t="shared" si="174"/>
        <v>0.05</v>
      </c>
      <c r="N3699" s="475">
        <f t="shared" si="175"/>
        <v>163630</v>
      </c>
    </row>
    <row r="3700" spans="7:14" ht="11.25" customHeight="1" x14ac:dyDescent="0.3">
      <c r="G3700" s="470"/>
      <c r="H3700" s="470">
        <v>3693</v>
      </c>
      <c r="I3700" s="455">
        <f t="shared" ca="1" si="173"/>
        <v>1862594795949.4297</v>
      </c>
      <c r="J3700" s="455">
        <f t="array" ref="J3700">IFERROR(INDEX('Retirement Calculator'!J:J,MATCH('Isaac 401k'!N3700,'Retirement Calculator'!A:A,0),0),0)</f>
        <v>0</v>
      </c>
      <c r="K3700" s="455">
        <f t="shared" ca="1" si="171"/>
        <v>7760811649.7892895</v>
      </c>
      <c r="L3700" s="455">
        <f t="shared" ca="1" si="172"/>
        <v>1870355607599.219</v>
      </c>
      <c r="M3700" s="471">
        <f t="shared" si="174"/>
        <v>0.05</v>
      </c>
      <c r="N3700" s="475">
        <f t="shared" si="175"/>
        <v>163661</v>
      </c>
    </row>
    <row r="3701" spans="7:14" ht="11.25" customHeight="1" x14ac:dyDescent="0.3">
      <c r="G3701" s="470"/>
      <c r="H3701" s="470">
        <v>3694</v>
      </c>
      <c r="I3701" s="455">
        <f t="shared" ca="1" si="173"/>
        <v>1870355607599.219</v>
      </c>
      <c r="J3701" s="455">
        <f t="array" ref="J3701">IFERROR(INDEX('Retirement Calculator'!J:J,MATCH('Isaac 401k'!N3701,'Retirement Calculator'!A:A,0),0),0)</f>
        <v>0</v>
      </c>
      <c r="K3701" s="455">
        <f t="shared" ca="1" si="171"/>
        <v>7793148364.9967461</v>
      </c>
      <c r="L3701" s="455">
        <f t="shared" ca="1" si="172"/>
        <v>1878148755964.2158</v>
      </c>
      <c r="M3701" s="471">
        <f t="shared" si="174"/>
        <v>0.05</v>
      </c>
      <c r="N3701" s="475">
        <f t="shared" si="175"/>
        <v>163690</v>
      </c>
    </row>
    <row r="3702" spans="7:14" ht="11.25" customHeight="1" x14ac:dyDescent="0.3">
      <c r="G3702" s="470"/>
      <c r="H3702" s="470">
        <v>3695</v>
      </c>
      <c r="I3702" s="455">
        <f t="shared" ca="1" si="173"/>
        <v>1878148755964.2158</v>
      </c>
      <c r="J3702" s="455">
        <f t="array" ref="J3702">IFERROR(INDEX('Retirement Calculator'!J:J,MATCH('Isaac 401k'!N3702,'Retirement Calculator'!A:A,0),0),0)</f>
        <v>0</v>
      </c>
      <c r="K3702" s="455">
        <f t="shared" ca="1" si="171"/>
        <v>7825619816.5175657</v>
      </c>
      <c r="L3702" s="455">
        <f t="shared" ca="1" si="172"/>
        <v>1885974375780.7334</v>
      </c>
      <c r="M3702" s="471">
        <f t="shared" si="174"/>
        <v>0.05</v>
      </c>
      <c r="N3702" s="475">
        <f t="shared" si="175"/>
        <v>163721</v>
      </c>
    </row>
    <row r="3703" spans="7:14" ht="11.25" customHeight="1" x14ac:dyDescent="0.3">
      <c r="G3703" s="470"/>
      <c r="H3703" s="470">
        <v>3696</v>
      </c>
      <c r="I3703" s="455">
        <f t="shared" ca="1" si="173"/>
        <v>1885974375780.7334</v>
      </c>
      <c r="J3703" s="455">
        <f t="array" ref="J3703">IFERROR(INDEX('Retirement Calculator'!J:J,MATCH('Isaac 401k'!N3703,'Retirement Calculator'!A:A,0),0),0)</f>
        <v>0</v>
      </c>
      <c r="K3703" s="455">
        <f t="shared" ca="1" si="171"/>
        <v>7858226565.7530565</v>
      </c>
      <c r="L3703" s="455">
        <f t="shared" ca="1" si="172"/>
        <v>1893832602346.4866</v>
      </c>
      <c r="M3703" s="471">
        <f t="shared" si="174"/>
        <v>0.05</v>
      </c>
      <c r="N3703" s="475">
        <f t="shared" si="175"/>
        <v>163751</v>
      </c>
    </row>
    <row r="3704" spans="7:14" ht="11.25" customHeight="1" x14ac:dyDescent="0.3">
      <c r="G3704" s="470"/>
      <c r="H3704" s="470">
        <v>3697</v>
      </c>
      <c r="I3704" s="455">
        <f t="shared" ca="1" si="173"/>
        <v>1893832602346.4866</v>
      </c>
      <c r="J3704" s="455">
        <f t="array" ref="J3704">IFERROR(INDEX('Retirement Calculator'!J:J,MATCH('Isaac 401k'!N3704,'Retirement Calculator'!A:A,0),0),0)</f>
        <v>0</v>
      </c>
      <c r="K3704" s="455">
        <f t="shared" ca="1" si="171"/>
        <v>7890969176.4436941</v>
      </c>
      <c r="L3704" s="455">
        <f t="shared" ca="1" si="172"/>
        <v>1901723571522.9302</v>
      </c>
      <c r="M3704" s="471">
        <f t="shared" si="174"/>
        <v>0.05</v>
      </c>
      <c r="N3704" s="475">
        <f t="shared" si="175"/>
        <v>163782</v>
      </c>
    </row>
    <row r="3705" spans="7:14" ht="11.25" customHeight="1" x14ac:dyDescent="0.3">
      <c r="G3705" s="470"/>
      <c r="H3705" s="470">
        <v>3698</v>
      </c>
      <c r="I3705" s="455">
        <f t="shared" ca="1" si="173"/>
        <v>1901723571522.9302</v>
      </c>
      <c r="J3705" s="455">
        <f t="array" ref="J3705">IFERROR(INDEX('Retirement Calculator'!J:J,MATCH('Isaac 401k'!N3705,'Retirement Calculator'!A:A,0),0),0)</f>
        <v>0</v>
      </c>
      <c r="K3705" s="455">
        <f t="shared" ca="1" si="171"/>
        <v>7923848214.6788759</v>
      </c>
      <c r="L3705" s="455">
        <f t="shared" ca="1" si="172"/>
        <v>1909647419737.6091</v>
      </c>
      <c r="M3705" s="471">
        <f t="shared" si="174"/>
        <v>0.05</v>
      </c>
      <c r="N3705" s="475">
        <f t="shared" si="175"/>
        <v>163812</v>
      </c>
    </row>
    <row r="3706" spans="7:14" ht="11.25" customHeight="1" x14ac:dyDescent="0.3">
      <c r="G3706" s="470"/>
      <c r="H3706" s="470">
        <v>3699</v>
      </c>
      <c r="I3706" s="455">
        <f t="shared" ca="1" si="173"/>
        <v>1909647419737.6091</v>
      </c>
      <c r="J3706" s="455">
        <f t="array" ref="J3706">IFERROR(INDEX('Retirement Calculator'!J:J,MATCH('Isaac 401k'!N3706,'Retirement Calculator'!A:A,0),0),0)</f>
        <v>0</v>
      </c>
      <c r="K3706" s="455">
        <f t="shared" ca="1" si="171"/>
        <v>7956864248.9067059</v>
      </c>
      <c r="L3706" s="455">
        <f t="shared" ca="1" si="172"/>
        <v>1917604283986.5159</v>
      </c>
      <c r="M3706" s="471">
        <f t="shared" si="174"/>
        <v>0.05</v>
      </c>
      <c r="N3706" s="475">
        <f t="shared" si="175"/>
        <v>163843</v>
      </c>
    </row>
    <row r="3707" spans="7:14" ht="11.25" customHeight="1" x14ac:dyDescent="0.3">
      <c r="G3707" s="470"/>
      <c r="H3707" s="470">
        <v>3700</v>
      </c>
      <c r="I3707" s="455">
        <f t="shared" ca="1" si="173"/>
        <v>1917604283986.5159</v>
      </c>
      <c r="J3707" s="455">
        <f t="array" ref="J3707">IFERROR(INDEX('Retirement Calculator'!J:J,MATCH('Isaac 401k'!N3707,'Retirement Calculator'!A:A,0),0),0)</f>
        <v>0</v>
      </c>
      <c r="K3707" s="455">
        <f t="shared" ca="1" si="171"/>
        <v>7990017849.9438162</v>
      </c>
      <c r="L3707" s="455">
        <f t="shared" ca="1" si="172"/>
        <v>1925594301836.4597</v>
      </c>
      <c r="M3707" s="471">
        <f t="shared" si="174"/>
        <v>0.05</v>
      </c>
      <c r="N3707" s="475">
        <f t="shared" si="175"/>
        <v>163874</v>
      </c>
    </row>
    <row r="3708" spans="7:14" ht="11.25" customHeight="1" x14ac:dyDescent="0.3">
      <c r="G3708" s="470"/>
      <c r="H3708" s="470">
        <v>3701</v>
      </c>
      <c r="I3708" s="455">
        <f t="shared" ca="1" si="173"/>
        <v>1925594301836.4597</v>
      </c>
      <c r="J3708" s="455">
        <f t="array" ref="J3708">IFERROR(INDEX('Retirement Calculator'!J:J,MATCH('Isaac 401k'!N3708,'Retirement Calculator'!A:A,0),0),0)</f>
        <v>0</v>
      </c>
      <c r="K3708" s="455">
        <f t="shared" ca="1" si="171"/>
        <v>8023309590.9852476</v>
      </c>
      <c r="L3708" s="455">
        <f t="shared" ca="1" si="172"/>
        <v>1933617611427.4451</v>
      </c>
      <c r="M3708" s="471">
        <f t="shared" si="174"/>
        <v>0.05</v>
      </c>
      <c r="N3708" s="475">
        <f t="shared" si="175"/>
        <v>163904</v>
      </c>
    </row>
    <row r="3709" spans="7:14" ht="11.25" customHeight="1" x14ac:dyDescent="0.3">
      <c r="G3709" s="470"/>
      <c r="H3709" s="470">
        <v>3702</v>
      </c>
      <c r="I3709" s="455">
        <f t="shared" ca="1" si="173"/>
        <v>1933617611427.4451</v>
      </c>
      <c r="J3709" s="455">
        <f t="array" ref="J3709">IFERROR(INDEX('Retirement Calculator'!J:J,MATCH('Isaac 401k'!N3709,'Retirement Calculator'!A:A,0),0),0)</f>
        <v>0</v>
      </c>
      <c r="K3709" s="455">
        <f t="shared" ca="1" si="171"/>
        <v>8056740047.6143541</v>
      </c>
      <c r="L3709" s="455">
        <f t="shared" ca="1" si="172"/>
        <v>1941674351475.0593</v>
      </c>
      <c r="M3709" s="471">
        <f t="shared" si="174"/>
        <v>0.05</v>
      </c>
      <c r="N3709" s="475">
        <f t="shared" si="175"/>
        <v>163935</v>
      </c>
    </row>
    <row r="3710" spans="7:14" ht="11.25" customHeight="1" x14ac:dyDescent="0.3">
      <c r="G3710" s="470"/>
      <c r="H3710" s="470">
        <v>3703</v>
      </c>
      <c r="I3710" s="455">
        <f t="shared" ca="1" si="173"/>
        <v>1941674351475.0593</v>
      </c>
      <c r="J3710" s="455">
        <f t="array" ref="J3710">IFERROR(INDEX('Retirement Calculator'!J:J,MATCH('Isaac 401k'!N3710,'Retirement Calculator'!A:A,0),0),0)</f>
        <v>0</v>
      </c>
      <c r="K3710" s="455">
        <f t="shared" ca="1" si="171"/>
        <v>8090309797.812747</v>
      </c>
      <c r="L3710" s="455">
        <f t="shared" ca="1" si="172"/>
        <v>1949764661272.8721</v>
      </c>
      <c r="M3710" s="471">
        <f t="shared" si="174"/>
        <v>0.05</v>
      </c>
      <c r="N3710" s="475">
        <f t="shared" si="175"/>
        <v>163965</v>
      </c>
    </row>
    <row r="3711" spans="7:14" ht="11.25" customHeight="1" x14ac:dyDescent="0.3">
      <c r="G3711" s="470"/>
      <c r="H3711" s="470">
        <v>3704</v>
      </c>
      <c r="I3711" s="455">
        <f t="shared" ca="1" si="173"/>
        <v>1949764661272.8721</v>
      </c>
      <c r="J3711" s="455">
        <f t="array" ref="J3711">IFERROR(INDEX('Retirement Calculator'!J:J,MATCH('Isaac 401k'!N3711,'Retirement Calculator'!A:A,0),0),0)</f>
        <v>0</v>
      </c>
      <c r="K3711" s="455">
        <f t="shared" ca="1" si="171"/>
        <v>8124019421.9703016</v>
      </c>
      <c r="L3711" s="455">
        <f t="shared" ca="1" si="172"/>
        <v>1957888680694.8423</v>
      </c>
      <c r="M3711" s="471">
        <f t="shared" si="174"/>
        <v>0.05</v>
      </c>
      <c r="N3711" s="475">
        <f t="shared" si="175"/>
        <v>163996</v>
      </c>
    </row>
    <row r="3712" spans="7:14" ht="11.25" customHeight="1" x14ac:dyDescent="0.3">
      <c r="G3712" s="470"/>
      <c r="H3712" s="470">
        <v>3705</v>
      </c>
      <c r="I3712" s="455">
        <f t="shared" ca="1" si="173"/>
        <v>1957888680694.8423</v>
      </c>
      <c r="J3712" s="455">
        <f t="array" ref="J3712">IFERROR(INDEX('Retirement Calculator'!J:J,MATCH('Isaac 401k'!N3712,'Retirement Calculator'!A:A,0),0),0)</f>
        <v>0</v>
      </c>
      <c r="K3712" s="455">
        <f t="shared" ca="1" si="171"/>
        <v>8157869502.8951759</v>
      </c>
      <c r="L3712" s="455">
        <f t="shared" ca="1" si="172"/>
        <v>1966046550197.7375</v>
      </c>
      <c r="M3712" s="471">
        <f t="shared" si="174"/>
        <v>0.05</v>
      </c>
      <c r="N3712" s="475">
        <f t="shared" si="175"/>
        <v>164027</v>
      </c>
    </row>
    <row r="3713" spans="7:14" ht="11.25" customHeight="1" x14ac:dyDescent="0.3">
      <c r="G3713" s="470"/>
      <c r="H3713" s="470">
        <v>3706</v>
      </c>
      <c r="I3713" s="455">
        <f t="shared" ca="1" si="173"/>
        <v>1966046550197.7375</v>
      </c>
      <c r="J3713" s="455">
        <f t="array" ref="J3713">IFERROR(INDEX('Retirement Calculator'!J:J,MATCH('Isaac 401k'!N3713,'Retirement Calculator'!A:A,0),0),0)</f>
        <v>0</v>
      </c>
      <c r="K3713" s="455">
        <f t="shared" ca="1" si="171"/>
        <v>8191860625.8239059</v>
      </c>
      <c r="L3713" s="455">
        <f t="shared" ca="1" si="172"/>
        <v>1974238410823.5615</v>
      </c>
      <c r="M3713" s="471">
        <f t="shared" si="174"/>
        <v>0.05</v>
      </c>
      <c r="N3713" s="475">
        <f t="shared" si="175"/>
        <v>164055</v>
      </c>
    </row>
    <row r="3714" spans="7:14" ht="11.25" customHeight="1" x14ac:dyDescent="0.3">
      <c r="G3714" s="470"/>
      <c r="H3714" s="470">
        <v>3707</v>
      </c>
      <c r="I3714" s="455">
        <f t="shared" ca="1" si="173"/>
        <v>1974238410823.5615</v>
      </c>
      <c r="J3714" s="455">
        <f t="array" ref="J3714">IFERROR(INDEX('Retirement Calculator'!J:J,MATCH('Isaac 401k'!N3714,'Retirement Calculator'!A:A,0),0),0)</f>
        <v>0</v>
      </c>
      <c r="K3714" s="455">
        <f t="shared" ca="1" si="171"/>
        <v>8225993378.4315071</v>
      </c>
      <c r="L3714" s="455">
        <f t="shared" ca="1" si="172"/>
        <v>1982464404201.9929</v>
      </c>
      <c r="M3714" s="471">
        <f t="shared" si="174"/>
        <v>0.05</v>
      </c>
      <c r="N3714" s="475">
        <f t="shared" si="175"/>
        <v>164086</v>
      </c>
    </row>
    <row r="3715" spans="7:14" ht="11.25" customHeight="1" x14ac:dyDescent="0.3">
      <c r="G3715" s="470"/>
      <c r="H3715" s="470">
        <v>3708</v>
      </c>
      <c r="I3715" s="455">
        <f t="shared" ca="1" si="173"/>
        <v>1982464404201.9929</v>
      </c>
      <c r="J3715" s="455">
        <f t="array" ref="J3715">IFERROR(INDEX('Retirement Calculator'!J:J,MATCH('Isaac 401k'!N3715,'Retirement Calculator'!A:A,0),0),0)</f>
        <v>0</v>
      </c>
      <c r="K3715" s="455">
        <f t="shared" ca="1" si="171"/>
        <v>8260268350.8416367</v>
      </c>
      <c r="L3715" s="455">
        <f t="shared" ca="1" si="172"/>
        <v>1990724672552.8345</v>
      </c>
      <c r="M3715" s="471">
        <f t="shared" si="174"/>
        <v>0.05</v>
      </c>
      <c r="N3715" s="475">
        <f t="shared" si="175"/>
        <v>164116</v>
      </c>
    </row>
    <row r="3716" spans="7:14" ht="11.25" customHeight="1" x14ac:dyDescent="0.3">
      <c r="G3716" s="470"/>
      <c r="H3716" s="470">
        <v>3709</v>
      </c>
      <c r="I3716" s="455">
        <f t="shared" ca="1" si="173"/>
        <v>1990724672552.8345</v>
      </c>
      <c r="J3716" s="455">
        <f t="array" ref="J3716">IFERROR(INDEX('Retirement Calculator'!J:J,MATCH('Isaac 401k'!N3716,'Retirement Calculator'!A:A,0),0),0)</f>
        <v>0</v>
      </c>
      <c r="K3716" s="455">
        <f t="shared" ca="1" si="171"/>
        <v>8294686135.6368113</v>
      </c>
      <c r="L3716" s="455">
        <f t="shared" ca="1" si="172"/>
        <v>1999019358688.4712</v>
      </c>
      <c r="M3716" s="471">
        <f t="shared" si="174"/>
        <v>0.05</v>
      </c>
      <c r="N3716" s="475">
        <f t="shared" si="175"/>
        <v>164147</v>
      </c>
    </row>
    <row r="3717" spans="7:14" ht="11.25" customHeight="1" x14ac:dyDescent="0.3">
      <c r="G3717" s="470"/>
      <c r="H3717" s="470">
        <v>3710</v>
      </c>
      <c r="I3717" s="455">
        <f t="shared" ca="1" si="173"/>
        <v>1999019358688.4712</v>
      </c>
      <c r="J3717" s="455">
        <f t="array" ref="J3717">IFERROR(INDEX('Retirement Calculator'!J:J,MATCH('Isaac 401k'!N3717,'Retirement Calculator'!A:A,0),0),0)</f>
        <v>0</v>
      </c>
      <c r="K3717" s="455">
        <f t="shared" ca="1" si="171"/>
        <v>8329247327.8686295</v>
      </c>
      <c r="L3717" s="455">
        <f t="shared" ca="1" si="172"/>
        <v>2007348606016.3398</v>
      </c>
      <c r="M3717" s="471">
        <f t="shared" si="174"/>
        <v>0.05</v>
      </c>
      <c r="N3717" s="475">
        <f t="shared" si="175"/>
        <v>164177</v>
      </c>
    </row>
    <row r="3718" spans="7:14" ht="11.25" customHeight="1" x14ac:dyDescent="0.3">
      <c r="G3718" s="470"/>
      <c r="H3718" s="470">
        <v>3711</v>
      </c>
      <c r="I3718" s="455">
        <f t="shared" ca="1" si="173"/>
        <v>2007348606016.3398</v>
      </c>
      <c r="J3718" s="455">
        <f t="array" ref="J3718">IFERROR(INDEX('Retirement Calculator'!J:J,MATCH('Isaac 401k'!N3718,'Retirement Calculator'!A:A,0),0),0)</f>
        <v>0</v>
      </c>
      <c r="K3718" s="455">
        <f t="shared" ca="1" si="171"/>
        <v>8363952525.0680828</v>
      </c>
      <c r="L3718" s="455">
        <f t="shared" ca="1" si="172"/>
        <v>2015712558541.408</v>
      </c>
      <c r="M3718" s="471">
        <f t="shared" si="174"/>
        <v>0.05</v>
      </c>
      <c r="N3718" s="475">
        <f t="shared" si="175"/>
        <v>164208</v>
      </c>
    </row>
    <row r="3719" spans="7:14" ht="11.25" customHeight="1" x14ac:dyDescent="0.3">
      <c r="G3719" s="470"/>
      <c r="H3719" s="470">
        <v>3712</v>
      </c>
      <c r="I3719" s="455">
        <f t="shared" ca="1" si="173"/>
        <v>2015712558541.408</v>
      </c>
      <c r="J3719" s="455">
        <f t="array" ref="J3719">IFERROR(INDEX('Retirement Calculator'!J:J,MATCH('Isaac 401k'!N3719,'Retirement Calculator'!A:A,0),0),0)</f>
        <v>0</v>
      </c>
      <c r="K3719" s="455">
        <f t="shared" ca="1" si="171"/>
        <v>8398802327.2558661</v>
      </c>
      <c r="L3719" s="455">
        <f t="shared" ca="1" si="172"/>
        <v>2024111360868.6638</v>
      </c>
      <c r="M3719" s="471">
        <f t="shared" si="174"/>
        <v>0.05</v>
      </c>
      <c r="N3719" s="475">
        <f t="shared" si="175"/>
        <v>164239</v>
      </c>
    </row>
    <row r="3720" spans="7:14" ht="11.25" customHeight="1" x14ac:dyDescent="0.3">
      <c r="G3720" s="470"/>
      <c r="H3720" s="470">
        <v>3713</v>
      </c>
      <c r="I3720" s="455">
        <f t="shared" ca="1" si="173"/>
        <v>2024111360868.6638</v>
      </c>
      <c r="J3720" s="455">
        <f t="array" ref="J3720">IFERROR(INDEX('Retirement Calculator'!J:J,MATCH('Isaac 401k'!N3720,'Retirement Calculator'!A:A,0),0),0)</f>
        <v>0</v>
      </c>
      <c r="K3720" s="455">
        <f t="shared" ca="1" si="171"/>
        <v>8433797336.9527655</v>
      </c>
      <c r="L3720" s="455">
        <f t="shared" ca="1" si="172"/>
        <v>2032545158205.6167</v>
      </c>
      <c r="M3720" s="471">
        <f t="shared" si="174"/>
        <v>0.05</v>
      </c>
      <c r="N3720" s="475">
        <f t="shared" si="175"/>
        <v>164269</v>
      </c>
    </row>
    <row r="3721" spans="7:14" ht="11.25" customHeight="1" x14ac:dyDescent="0.3">
      <c r="G3721" s="470"/>
      <c r="H3721" s="470">
        <v>3714</v>
      </c>
      <c r="I3721" s="455">
        <f t="shared" ca="1" si="173"/>
        <v>2032545158205.6167</v>
      </c>
      <c r="J3721" s="455">
        <f t="array" ref="J3721">IFERROR(INDEX('Retirement Calculator'!J:J,MATCH('Isaac 401k'!N3721,'Retirement Calculator'!A:A,0),0),0)</f>
        <v>0</v>
      </c>
      <c r="K3721" s="455">
        <f t="shared" ca="1" si="171"/>
        <v>8468938159.1900692</v>
      </c>
      <c r="L3721" s="455">
        <f t="shared" ca="1" si="172"/>
        <v>2041014096364.8069</v>
      </c>
      <c r="M3721" s="471">
        <f t="shared" si="174"/>
        <v>0.05</v>
      </c>
      <c r="N3721" s="475">
        <f t="shared" si="175"/>
        <v>164300</v>
      </c>
    </row>
    <row r="3722" spans="7:14" ht="11.25" customHeight="1" x14ac:dyDescent="0.3">
      <c r="G3722" s="470"/>
      <c r="H3722" s="470">
        <v>3715</v>
      </c>
      <c r="I3722" s="455">
        <f t="shared" ca="1" si="173"/>
        <v>2041014096364.8069</v>
      </c>
      <c r="J3722" s="455">
        <f t="array" ref="J3722">IFERROR(INDEX('Retirement Calculator'!J:J,MATCH('Isaac 401k'!N3722,'Retirement Calculator'!A:A,0),0),0)</f>
        <v>0</v>
      </c>
      <c r="K3722" s="455">
        <f t="shared" ca="1" si="171"/>
        <v>8504225401.52003</v>
      </c>
      <c r="L3722" s="455">
        <f t="shared" ca="1" si="172"/>
        <v>2049518321766.3269</v>
      </c>
      <c r="M3722" s="471">
        <f t="shared" si="174"/>
        <v>0.05</v>
      </c>
      <c r="N3722" s="475">
        <f t="shared" si="175"/>
        <v>164330</v>
      </c>
    </row>
    <row r="3723" spans="7:14" ht="11.25" customHeight="1" x14ac:dyDescent="0.3">
      <c r="G3723" s="470"/>
      <c r="H3723" s="470">
        <v>3716</v>
      </c>
      <c r="I3723" s="455">
        <f t="shared" ca="1" si="173"/>
        <v>2049518321766.3269</v>
      </c>
      <c r="J3723" s="455">
        <f t="array" ref="J3723">IFERROR(INDEX('Retirement Calculator'!J:J,MATCH('Isaac 401k'!N3723,'Retirement Calculator'!A:A,0),0),0)</f>
        <v>0</v>
      </c>
      <c r="K3723" s="455">
        <f t="shared" ca="1" si="171"/>
        <v>8539659674.0263634</v>
      </c>
      <c r="L3723" s="455">
        <f t="shared" ca="1" si="172"/>
        <v>2058057981440.3533</v>
      </c>
      <c r="M3723" s="471">
        <f t="shared" si="174"/>
        <v>0.05</v>
      </c>
      <c r="N3723" s="475">
        <f t="shared" si="175"/>
        <v>164361</v>
      </c>
    </row>
    <row r="3724" spans="7:14" ht="11.25" customHeight="1" x14ac:dyDescent="0.3">
      <c r="G3724" s="470"/>
      <c r="H3724" s="470">
        <v>3717</v>
      </c>
      <c r="I3724" s="455">
        <f t="shared" ca="1" si="173"/>
        <v>2058057981440.3533</v>
      </c>
      <c r="J3724" s="455">
        <f t="array" ref="J3724">IFERROR(INDEX('Retirement Calculator'!J:J,MATCH('Isaac 401k'!N3724,'Retirement Calculator'!A:A,0),0),0)</f>
        <v>0</v>
      </c>
      <c r="K3724" s="455">
        <f t="shared" ca="1" si="171"/>
        <v>8575241589.3348045</v>
      </c>
      <c r="L3724" s="455">
        <f t="shared" ca="1" si="172"/>
        <v>2066633223029.688</v>
      </c>
      <c r="M3724" s="471">
        <f t="shared" si="174"/>
        <v>0.05</v>
      </c>
      <c r="N3724" s="475">
        <f t="shared" si="175"/>
        <v>164392</v>
      </c>
    </row>
    <row r="3725" spans="7:14" ht="11.25" customHeight="1" x14ac:dyDescent="0.3">
      <c r="G3725" s="470"/>
      <c r="H3725" s="470">
        <v>3718</v>
      </c>
      <c r="I3725" s="455">
        <f t="shared" ca="1" si="173"/>
        <v>2066633223029.688</v>
      </c>
      <c r="J3725" s="455">
        <f t="array" ref="J3725">IFERROR(INDEX('Retirement Calculator'!J:J,MATCH('Isaac 401k'!N3725,'Retirement Calculator'!A:A,0),0),0)</f>
        <v>0</v>
      </c>
      <c r="K3725" s="455">
        <f t="shared" ca="1" si="171"/>
        <v>8610971762.6236992</v>
      </c>
      <c r="L3725" s="455">
        <f t="shared" ca="1" si="172"/>
        <v>2075244194792.3118</v>
      </c>
      <c r="M3725" s="471">
        <f t="shared" si="174"/>
        <v>0.05</v>
      </c>
      <c r="N3725" s="475">
        <f t="shared" si="175"/>
        <v>164420</v>
      </c>
    </row>
    <row r="3726" spans="7:14" ht="11.25" customHeight="1" x14ac:dyDescent="0.3">
      <c r="G3726" s="470"/>
      <c r="H3726" s="470">
        <v>3719</v>
      </c>
      <c r="I3726" s="455">
        <f t="shared" ca="1" si="173"/>
        <v>2075244194792.3118</v>
      </c>
      <c r="J3726" s="455">
        <f t="array" ref="J3726">IFERROR(INDEX('Retirement Calculator'!J:J,MATCH('Isaac 401k'!N3726,'Retirement Calculator'!A:A,0),0),0)</f>
        <v>0</v>
      </c>
      <c r="K3726" s="455">
        <f t="shared" ca="1" si="171"/>
        <v>8646850811.6346321</v>
      </c>
      <c r="L3726" s="455">
        <f t="shared" ca="1" si="172"/>
        <v>2083891045603.9463</v>
      </c>
      <c r="M3726" s="471">
        <f t="shared" si="174"/>
        <v>0.05</v>
      </c>
      <c r="N3726" s="475">
        <f t="shared" si="175"/>
        <v>164451</v>
      </c>
    </row>
    <row r="3727" spans="7:14" ht="11.25" customHeight="1" x14ac:dyDescent="0.3">
      <c r="G3727" s="470"/>
      <c r="H3727" s="470">
        <v>3720</v>
      </c>
      <c r="I3727" s="455">
        <f t="shared" ca="1" si="173"/>
        <v>2083891045603.9463</v>
      </c>
      <c r="J3727" s="455">
        <f t="array" ref="J3727">IFERROR(INDEX('Retirement Calculator'!J:J,MATCH('Isaac 401k'!N3727,'Retirement Calculator'!A:A,0),0),0)</f>
        <v>0</v>
      </c>
      <c r="K3727" s="455">
        <f t="shared" ca="1" si="171"/>
        <v>8682879356.6831093</v>
      </c>
      <c r="L3727" s="455">
        <f t="shared" ca="1" si="172"/>
        <v>2092573924960.6294</v>
      </c>
      <c r="M3727" s="471">
        <f t="shared" si="174"/>
        <v>0.05</v>
      </c>
      <c r="N3727" s="475">
        <f t="shared" si="175"/>
        <v>164481</v>
      </c>
    </row>
    <row r="3728" spans="7:14" ht="11.25" customHeight="1" x14ac:dyDescent="0.3">
      <c r="G3728" s="470"/>
      <c r="H3728" s="470">
        <v>3721</v>
      </c>
      <c r="I3728" s="455">
        <f t="shared" ca="1" si="173"/>
        <v>2092573924960.6294</v>
      </c>
      <c r="J3728" s="455">
        <f t="array" ref="J3728">IFERROR(INDEX('Retirement Calculator'!J:J,MATCH('Isaac 401k'!N3728,'Retirement Calculator'!A:A,0),0),0)</f>
        <v>0</v>
      </c>
      <c r="K3728" s="455">
        <f t="shared" ca="1" si="171"/>
        <v>8719058020.6692886</v>
      </c>
      <c r="L3728" s="455">
        <f t="shared" ca="1" si="172"/>
        <v>2101292982981.2986</v>
      </c>
      <c r="M3728" s="471">
        <f t="shared" si="174"/>
        <v>0.05</v>
      </c>
      <c r="N3728" s="475">
        <f t="shared" si="175"/>
        <v>164512</v>
      </c>
    </row>
    <row r="3729" spans="7:14" ht="11.25" customHeight="1" x14ac:dyDescent="0.3">
      <c r="G3729" s="470"/>
      <c r="H3729" s="470">
        <v>3722</v>
      </c>
      <c r="I3729" s="455">
        <f t="shared" ca="1" si="173"/>
        <v>2101292982981.2986</v>
      </c>
      <c r="J3729" s="455">
        <f t="array" ref="J3729">IFERROR(INDEX('Retirement Calculator'!J:J,MATCH('Isaac 401k'!N3729,'Retirement Calculator'!A:A,0),0),0)</f>
        <v>0</v>
      </c>
      <c r="K3729" s="455">
        <f t="shared" ca="1" si="171"/>
        <v>8755387429.0887432</v>
      </c>
      <c r="L3729" s="455">
        <f t="shared" ca="1" si="172"/>
        <v>2110048370410.3872</v>
      </c>
      <c r="M3729" s="471">
        <f t="shared" si="174"/>
        <v>0.05</v>
      </c>
      <c r="N3729" s="475">
        <f t="shared" si="175"/>
        <v>164542</v>
      </c>
    </row>
    <row r="3730" spans="7:14" ht="11.25" customHeight="1" x14ac:dyDescent="0.3">
      <c r="G3730" s="470"/>
      <c r="H3730" s="470">
        <v>3723</v>
      </c>
      <c r="I3730" s="455">
        <f t="shared" ca="1" si="173"/>
        <v>2110048370410.3872</v>
      </c>
      <c r="J3730" s="455">
        <f t="array" ref="J3730">IFERROR(INDEX('Retirement Calculator'!J:J,MATCH('Isaac 401k'!N3730,'Retirement Calculator'!A:A,0),0),0)</f>
        <v>0</v>
      </c>
      <c r="K3730" s="455">
        <f t="shared" ca="1" si="171"/>
        <v>8791868210.0432796</v>
      </c>
      <c r="L3730" s="455">
        <f t="shared" ca="1" si="172"/>
        <v>2118840238620.4304</v>
      </c>
      <c r="M3730" s="471">
        <f t="shared" si="174"/>
        <v>0.05</v>
      </c>
      <c r="N3730" s="475">
        <f t="shared" si="175"/>
        <v>164573</v>
      </c>
    </row>
    <row r="3731" spans="7:14" ht="11.25" customHeight="1" x14ac:dyDescent="0.3">
      <c r="G3731" s="470"/>
      <c r="H3731" s="470">
        <v>3724</v>
      </c>
      <c r="I3731" s="455">
        <f t="shared" ca="1" si="173"/>
        <v>2118840238620.4304</v>
      </c>
      <c r="J3731" s="455">
        <f t="array" ref="J3731">IFERROR(INDEX('Retirement Calculator'!J:J,MATCH('Isaac 401k'!N3731,'Retirement Calculator'!A:A,0),0),0)</f>
        <v>0</v>
      </c>
      <c r="K3731" s="455">
        <f t="shared" ca="1" si="171"/>
        <v>8828500994.2517948</v>
      </c>
      <c r="L3731" s="455">
        <f t="shared" ca="1" si="172"/>
        <v>2127668739614.6821</v>
      </c>
      <c r="M3731" s="471">
        <f t="shared" si="174"/>
        <v>0.05</v>
      </c>
      <c r="N3731" s="475">
        <f t="shared" si="175"/>
        <v>164604</v>
      </c>
    </row>
    <row r="3732" spans="7:14" ht="11.25" customHeight="1" x14ac:dyDescent="0.3">
      <c r="G3732" s="470"/>
      <c r="H3732" s="470">
        <v>3725</v>
      </c>
      <c r="I3732" s="455">
        <f t="shared" ca="1" si="173"/>
        <v>2127668739614.6821</v>
      </c>
      <c r="J3732" s="455">
        <f t="array" ref="J3732">IFERROR(INDEX('Retirement Calculator'!J:J,MATCH('Isaac 401k'!N3732,'Retirement Calculator'!A:A,0),0),0)</f>
        <v>0</v>
      </c>
      <c r="K3732" s="455">
        <f t="shared" ca="1" si="171"/>
        <v>8865286415.0611763</v>
      </c>
      <c r="L3732" s="455">
        <f t="shared" ca="1" si="172"/>
        <v>2136534026029.7434</v>
      </c>
      <c r="M3732" s="471">
        <f t="shared" si="174"/>
        <v>0.05</v>
      </c>
      <c r="N3732" s="475">
        <f t="shared" si="175"/>
        <v>164634</v>
      </c>
    </row>
    <row r="3733" spans="7:14" ht="11.25" customHeight="1" x14ac:dyDescent="0.3">
      <c r="G3733" s="470"/>
      <c r="H3733" s="470">
        <v>3726</v>
      </c>
      <c r="I3733" s="455">
        <f t="shared" ca="1" si="173"/>
        <v>2136534026029.7434</v>
      </c>
      <c r="J3733" s="455">
        <f t="array" ref="J3733">IFERROR(INDEX('Retirement Calculator'!J:J,MATCH('Isaac 401k'!N3733,'Retirement Calculator'!A:A,0),0),0)</f>
        <v>0</v>
      </c>
      <c r="K3733" s="455">
        <f t="shared" ca="1" si="171"/>
        <v>8902225108.4572639</v>
      </c>
      <c r="L3733" s="455">
        <f t="shared" ca="1" si="172"/>
        <v>2145436251138.2007</v>
      </c>
      <c r="M3733" s="471">
        <f t="shared" si="174"/>
        <v>0.05</v>
      </c>
      <c r="N3733" s="475">
        <f t="shared" si="175"/>
        <v>164665</v>
      </c>
    </row>
    <row r="3734" spans="7:14" ht="11.25" customHeight="1" x14ac:dyDescent="0.3">
      <c r="G3734" s="470"/>
      <c r="H3734" s="470">
        <v>3727</v>
      </c>
      <c r="I3734" s="455">
        <f t="shared" ca="1" si="173"/>
        <v>2145436251138.2007</v>
      </c>
      <c r="J3734" s="455">
        <f t="array" ref="J3734">IFERROR(INDEX('Retirement Calculator'!J:J,MATCH('Isaac 401k'!N3734,'Retirement Calculator'!A:A,0),0),0)</f>
        <v>0</v>
      </c>
      <c r="K3734" s="455">
        <f t="shared" ca="1" si="171"/>
        <v>8939317713.0758362</v>
      </c>
      <c r="L3734" s="455">
        <f t="shared" ca="1" si="172"/>
        <v>2154375568851.2766</v>
      </c>
      <c r="M3734" s="471">
        <f t="shared" si="174"/>
        <v>0.05</v>
      </c>
      <c r="N3734" s="475">
        <f t="shared" si="175"/>
        <v>164695</v>
      </c>
    </row>
    <row r="3735" spans="7:14" ht="11.25" customHeight="1" x14ac:dyDescent="0.3">
      <c r="G3735" s="470"/>
      <c r="H3735" s="470">
        <v>3728</v>
      </c>
      <c r="I3735" s="455">
        <f t="shared" ca="1" si="173"/>
        <v>2154375568851.2766</v>
      </c>
      <c r="J3735" s="455">
        <f t="array" ref="J3735">IFERROR(INDEX('Retirement Calculator'!J:J,MATCH('Isaac 401k'!N3735,'Retirement Calculator'!A:A,0),0),0)</f>
        <v>0</v>
      </c>
      <c r="K3735" s="455">
        <f t="shared" ca="1" si="171"/>
        <v>8976564870.2136517</v>
      </c>
      <c r="L3735" s="455">
        <f t="shared" ca="1" si="172"/>
        <v>2163352133721.4902</v>
      </c>
      <c r="M3735" s="471">
        <f t="shared" si="174"/>
        <v>0.05</v>
      </c>
      <c r="N3735" s="475">
        <f t="shared" si="175"/>
        <v>164726</v>
      </c>
    </row>
    <row r="3736" spans="7:14" ht="11.25" customHeight="1" x14ac:dyDescent="0.3">
      <c r="G3736" s="470"/>
      <c r="H3736" s="470">
        <v>3729</v>
      </c>
      <c r="I3736" s="455">
        <f t="shared" ca="1" si="173"/>
        <v>2163352133721.4902</v>
      </c>
      <c r="J3736" s="455">
        <f t="array" ref="J3736">IFERROR(INDEX('Retirement Calculator'!J:J,MATCH('Isaac 401k'!N3736,'Retirement Calculator'!A:A,0),0),0)</f>
        <v>0</v>
      </c>
      <c r="K3736" s="455">
        <f t="shared" ca="1" si="171"/>
        <v>9013967223.8395424</v>
      </c>
      <c r="L3736" s="455">
        <f t="shared" ca="1" si="172"/>
        <v>2172366100945.3298</v>
      </c>
      <c r="M3736" s="471">
        <f t="shared" si="174"/>
        <v>0.05</v>
      </c>
      <c r="N3736" s="475">
        <f t="shared" si="175"/>
        <v>164757</v>
      </c>
    </row>
    <row r="3737" spans="7:14" ht="11.25" customHeight="1" x14ac:dyDescent="0.3">
      <c r="G3737" s="470"/>
      <c r="H3737" s="470">
        <v>3730</v>
      </c>
      <c r="I3737" s="455">
        <f t="shared" ca="1" si="173"/>
        <v>2172366100945.3298</v>
      </c>
      <c r="J3737" s="455">
        <f t="array" ref="J3737">IFERROR(INDEX('Retirement Calculator'!J:J,MATCH('Isaac 401k'!N3737,'Retirement Calculator'!A:A,0),0),0)</f>
        <v>0</v>
      </c>
      <c r="K3737" s="455">
        <f t="shared" ca="1" si="171"/>
        <v>9051525420.6055412</v>
      </c>
      <c r="L3737" s="455">
        <f t="shared" ca="1" si="172"/>
        <v>2181417626365.9353</v>
      </c>
      <c r="M3737" s="471">
        <f t="shared" si="174"/>
        <v>0.05</v>
      </c>
      <c r="N3737" s="475">
        <f t="shared" si="175"/>
        <v>164785</v>
      </c>
    </row>
    <row r="3738" spans="7:14" ht="11.25" customHeight="1" x14ac:dyDescent="0.3">
      <c r="G3738" s="470"/>
      <c r="H3738" s="470">
        <v>3731</v>
      </c>
      <c r="I3738" s="455">
        <f t="shared" ca="1" si="173"/>
        <v>2181417626365.9353</v>
      </c>
      <c r="J3738" s="455">
        <f t="array" ref="J3738">IFERROR(INDEX('Retirement Calculator'!J:J,MATCH('Isaac 401k'!N3738,'Retirement Calculator'!A:A,0),0),0)</f>
        <v>0</v>
      </c>
      <c r="K3738" s="455">
        <f t="shared" ca="1" si="171"/>
        <v>9089240109.8580627</v>
      </c>
      <c r="L3738" s="455">
        <f t="shared" ca="1" si="172"/>
        <v>2190506866475.7935</v>
      </c>
      <c r="M3738" s="471">
        <f t="shared" si="174"/>
        <v>0.05</v>
      </c>
      <c r="N3738" s="475">
        <f t="shared" si="175"/>
        <v>164816</v>
      </c>
    </row>
    <row r="3739" spans="7:14" ht="11.25" customHeight="1" x14ac:dyDescent="0.3">
      <c r="G3739" s="470"/>
      <c r="H3739" s="470">
        <v>3732</v>
      </c>
      <c r="I3739" s="455">
        <f t="shared" ca="1" si="173"/>
        <v>2190506866475.7935</v>
      </c>
      <c r="J3739" s="455">
        <f t="array" ref="J3739">IFERROR(INDEX('Retirement Calculator'!J:J,MATCH('Isaac 401k'!N3739,'Retirement Calculator'!A:A,0),0),0)</f>
        <v>0</v>
      </c>
      <c r="K3739" s="455">
        <f t="shared" ca="1" si="171"/>
        <v>9127111943.6491375</v>
      </c>
      <c r="L3739" s="455">
        <f t="shared" ca="1" si="172"/>
        <v>2199633978419.4424</v>
      </c>
      <c r="M3739" s="471">
        <f t="shared" si="174"/>
        <v>0.05</v>
      </c>
      <c r="N3739" s="475">
        <f t="shared" si="175"/>
        <v>164846</v>
      </c>
    </row>
    <row r="3740" spans="7:14" ht="11.25" customHeight="1" x14ac:dyDescent="0.3">
      <c r="G3740" s="470"/>
      <c r="H3740" s="470">
        <v>3733</v>
      </c>
      <c r="I3740" s="455">
        <f t="shared" ca="1" si="173"/>
        <v>2199633978419.4424</v>
      </c>
      <c r="J3740" s="455">
        <f t="array" ref="J3740">IFERROR(INDEX('Retirement Calculator'!J:J,MATCH('Isaac 401k'!N3740,'Retirement Calculator'!A:A,0),0),0)</f>
        <v>0</v>
      </c>
      <c r="K3740" s="455">
        <f t="shared" ca="1" si="171"/>
        <v>9165141576.7476768</v>
      </c>
      <c r="L3740" s="455">
        <f t="shared" ca="1" si="172"/>
        <v>2208799119996.1899</v>
      </c>
      <c r="M3740" s="471">
        <f t="shared" si="174"/>
        <v>0.05</v>
      </c>
      <c r="N3740" s="475">
        <f t="shared" si="175"/>
        <v>164877</v>
      </c>
    </row>
    <row r="3741" spans="7:14" ht="11.25" customHeight="1" x14ac:dyDescent="0.3">
      <c r="G3741" s="470"/>
      <c r="H3741" s="470">
        <v>3734</v>
      </c>
      <c r="I3741" s="455">
        <f t="shared" ca="1" si="173"/>
        <v>2208799119996.1899</v>
      </c>
      <c r="J3741" s="455">
        <f t="array" ref="J3741">IFERROR(INDEX('Retirement Calculator'!J:J,MATCH('Isaac 401k'!N3741,'Retirement Calculator'!A:A,0),0),0)</f>
        <v>0</v>
      </c>
      <c r="K3741" s="455">
        <f t="shared" ca="1" si="171"/>
        <v>9203329666.6507912</v>
      </c>
      <c r="L3741" s="455">
        <f t="shared" ca="1" si="172"/>
        <v>2218002449662.8408</v>
      </c>
      <c r="M3741" s="471">
        <f t="shared" si="174"/>
        <v>0.05</v>
      </c>
      <c r="N3741" s="475">
        <f t="shared" si="175"/>
        <v>164907</v>
      </c>
    </row>
    <row r="3742" spans="7:14" ht="11.25" customHeight="1" x14ac:dyDescent="0.3">
      <c r="G3742" s="470"/>
      <c r="H3742" s="470">
        <v>3735</v>
      </c>
      <c r="I3742" s="455">
        <f t="shared" ca="1" si="173"/>
        <v>2218002449662.8408</v>
      </c>
      <c r="J3742" s="455">
        <f t="array" ref="J3742">IFERROR(INDEX('Retirement Calculator'!J:J,MATCH('Isaac 401k'!N3742,'Retirement Calculator'!A:A,0),0),0)</f>
        <v>0</v>
      </c>
      <c r="K3742" s="455">
        <f t="shared" ca="1" si="171"/>
        <v>9241676873.5951691</v>
      </c>
      <c r="L3742" s="455">
        <f t="shared" ca="1" si="172"/>
        <v>2227244126536.436</v>
      </c>
      <c r="M3742" s="471">
        <f t="shared" si="174"/>
        <v>0.05</v>
      </c>
      <c r="N3742" s="475">
        <f t="shared" si="175"/>
        <v>164938</v>
      </c>
    </row>
    <row r="3743" spans="7:14" ht="11.25" customHeight="1" x14ac:dyDescent="0.3">
      <c r="G3743" s="470"/>
      <c r="H3743" s="470">
        <v>3736</v>
      </c>
      <c r="I3743" s="455">
        <f t="shared" ca="1" si="173"/>
        <v>2227244126536.436</v>
      </c>
      <c r="J3743" s="455">
        <f t="array" ref="J3743">IFERROR(INDEX('Retirement Calculator'!J:J,MATCH('Isaac 401k'!N3743,'Retirement Calculator'!A:A,0),0),0)</f>
        <v>0</v>
      </c>
      <c r="K3743" s="455">
        <f t="shared" ca="1" si="171"/>
        <v>9280183860.5684834</v>
      </c>
      <c r="L3743" s="455">
        <f t="shared" ca="1" si="172"/>
        <v>2236524310397.0044</v>
      </c>
      <c r="M3743" s="471">
        <f t="shared" si="174"/>
        <v>0.05</v>
      </c>
      <c r="N3743" s="475">
        <f t="shared" si="175"/>
        <v>164969</v>
      </c>
    </row>
    <row r="3744" spans="7:14" ht="11.25" customHeight="1" x14ac:dyDescent="0.3">
      <c r="G3744" s="470"/>
      <c r="H3744" s="470">
        <v>3737</v>
      </c>
      <c r="I3744" s="455">
        <f t="shared" ca="1" si="173"/>
        <v>2236524310397.0044</v>
      </c>
      <c r="J3744" s="455">
        <f t="array" ref="J3744">IFERROR(INDEX('Retirement Calculator'!J:J,MATCH('Isaac 401k'!N3744,'Retirement Calculator'!A:A,0),0),0)</f>
        <v>0</v>
      </c>
      <c r="K3744" s="455">
        <f t="shared" ca="1" si="171"/>
        <v>9318851293.3208523</v>
      </c>
      <c r="L3744" s="455">
        <f t="shared" ca="1" si="172"/>
        <v>2245843161690.3252</v>
      </c>
      <c r="M3744" s="471">
        <f t="shared" si="174"/>
        <v>0.05</v>
      </c>
      <c r="N3744" s="475">
        <f t="shared" si="175"/>
        <v>164999</v>
      </c>
    </row>
    <row r="3745" spans="7:14" ht="11.25" customHeight="1" x14ac:dyDescent="0.3">
      <c r="G3745" s="470"/>
      <c r="H3745" s="470">
        <v>3738</v>
      </c>
      <c r="I3745" s="455">
        <f t="shared" ca="1" si="173"/>
        <v>2245843161690.3252</v>
      </c>
      <c r="J3745" s="455">
        <f t="array" ref="J3745">IFERROR(INDEX('Retirement Calculator'!J:J,MATCH('Isaac 401k'!N3745,'Retirement Calculator'!A:A,0),0),0)</f>
        <v>0</v>
      </c>
      <c r="K3745" s="455">
        <f t="shared" ca="1" si="171"/>
        <v>9357679840.3763542</v>
      </c>
      <c r="L3745" s="455">
        <f t="shared" ca="1" si="172"/>
        <v>2255200841530.7017</v>
      </c>
      <c r="M3745" s="471">
        <f t="shared" si="174"/>
        <v>0.05</v>
      </c>
      <c r="N3745" s="475">
        <f t="shared" si="175"/>
        <v>165030</v>
      </c>
    </row>
    <row r="3746" spans="7:14" ht="11.25" customHeight="1" x14ac:dyDescent="0.3">
      <c r="G3746" s="470"/>
      <c r="H3746" s="470">
        <v>3739</v>
      </c>
      <c r="I3746" s="455">
        <f t="shared" ca="1" si="173"/>
        <v>2255200841530.7017</v>
      </c>
      <c r="J3746" s="455">
        <f t="array" ref="J3746">IFERROR(INDEX('Retirement Calculator'!J:J,MATCH('Isaac 401k'!N3746,'Retirement Calculator'!A:A,0),0),0)</f>
        <v>0</v>
      </c>
      <c r="K3746" s="455">
        <f t="shared" ca="1" si="171"/>
        <v>9396670173.04459</v>
      </c>
      <c r="L3746" s="455">
        <f t="shared" ca="1" si="172"/>
        <v>2264597511703.7461</v>
      </c>
      <c r="M3746" s="471">
        <f t="shared" si="174"/>
        <v>0.05</v>
      </c>
      <c r="N3746" s="475">
        <f t="shared" si="175"/>
        <v>165060</v>
      </c>
    </row>
    <row r="3747" spans="7:14" ht="11.25" customHeight="1" x14ac:dyDescent="0.3">
      <c r="G3747" s="470"/>
      <c r="H3747" s="470">
        <v>3740</v>
      </c>
      <c r="I3747" s="455">
        <f t="shared" ca="1" si="173"/>
        <v>2264597511703.7461</v>
      </c>
      <c r="J3747" s="455">
        <f t="array" ref="J3747">IFERROR(INDEX('Retirement Calculator'!J:J,MATCH('Isaac 401k'!N3747,'Retirement Calculator'!A:A,0),0),0)</f>
        <v>0</v>
      </c>
      <c r="K3747" s="455">
        <f t="shared" ca="1" si="171"/>
        <v>9435822965.4322758</v>
      </c>
      <c r="L3747" s="455">
        <f t="shared" ca="1" si="172"/>
        <v>2274033334669.1782</v>
      </c>
      <c r="M3747" s="471">
        <f t="shared" si="174"/>
        <v>0.05</v>
      </c>
      <c r="N3747" s="475">
        <f t="shared" si="175"/>
        <v>165091</v>
      </c>
    </row>
    <row r="3748" spans="7:14" ht="11.25" customHeight="1" x14ac:dyDescent="0.3">
      <c r="G3748" s="470"/>
      <c r="H3748" s="470">
        <v>3741</v>
      </c>
      <c r="I3748" s="455">
        <f t="shared" ca="1" si="173"/>
        <v>2274033334669.1782</v>
      </c>
      <c r="J3748" s="455">
        <f t="array" ref="J3748">IFERROR(INDEX('Retirement Calculator'!J:J,MATCH('Isaac 401k'!N3748,'Retirement Calculator'!A:A,0),0),0)</f>
        <v>0</v>
      </c>
      <c r="K3748" s="455">
        <f t="shared" ca="1" si="171"/>
        <v>9475138894.4549084</v>
      </c>
      <c r="L3748" s="455">
        <f t="shared" ca="1" si="172"/>
        <v>2283508473563.6333</v>
      </c>
      <c r="M3748" s="471">
        <f t="shared" si="174"/>
        <v>0.05</v>
      </c>
      <c r="N3748" s="475">
        <f t="shared" si="175"/>
        <v>165122</v>
      </c>
    </row>
    <row r="3749" spans="7:14" ht="11.25" customHeight="1" x14ac:dyDescent="0.3">
      <c r="G3749" s="470"/>
      <c r="H3749" s="470">
        <v>3742</v>
      </c>
      <c r="I3749" s="455">
        <f t="shared" ca="1" si="173"/>
        <v>2283508473563.6333</v>
      </c>
      <c r="J3749" s="455">
        <f t="array" ref="J3749">IFERROR(INDEX('Retirement Calculator'!J:J,MATCH('Isaac 401k'!N3749,'Retirement Calculator'!A:A,0),0),0)</f>
        <v>0</v>
      </c>
      <c r="K3749" s="455">
        <f t="shared" ca="1" si="171"/>
        <v>9514618639.8484726</v>
      </c>
      <c r="L3749" s="455">
        <f t="shared" ca="1" si="172"/>
        <v>2293023092203.4819</v>
      </c>
      <c r="M3749" s="471">
        <f t="shared" si="174"/>
        <v>0.05</v>
      </c>
      <c r="N3749" s="475">
        <f t="shared" si="175"/>
        <v>165151</v>
      </c>
    </row>
    <row r="3750" spans="7:14" ht="11.25" customHeight="1" x14ac:dyDescent="0.3">
      <c r="G3750" s="470"/>
      <c r="H3750" s="470">
        <v>3743</v>
      </c>
      <c r="I3750" s="455">
        <f t="shared" ca="1" si="173"/>
        <v>2293023092203.4819</v>
      </c>
      <c r="J3750" s="455">
        <f t="array" ref="J3750">IFERROR(INDEX('Retirement Calculator'!J:J,MATCH('Isaac 401k'!N3750,'Retirement Calculator'!A:A,0),0),0)</f>
        <v>0</v>
      </c>
      <c r="K3750" s="455">
        <f t="shared" ca="1" si="171"/>
        <v>9554262884.1811752</v>
      </c>
      <c r="L3750" s="455">
        <f t="shared" ca="1" si="172"/>
        <v>2302577355087.6631</v>
      </c>
      <c r="M3750" s="471">
        <f t="shared" si="174"/>
        <v>0.05</v>
      </c>
      <c r="N3750" s="475">
        <f t="shared" si="175"/>
        <v>165182</v>
      </c>
    </row>
    <row r="3751" spans="7:14" ht="11.25" customHeight="1" x14ac:dyDescent="0.3">
      <c r="G3751" s="470"/>
      <c r="H3751" s="470">
        <v>3744</v>
      </c>
      <c r="I3751" s="455">
        <f t="shared" ca="1" si="173"/>
        <v>2302577355087.6631</v>
      </c>
      <c r="J3751" s="455">
        <f t="array" ref="J3751">IFERROR(INDEX('Retirement Calculator'!J:J,MATCH('Isaac 401k'!N3751,'Retirement Calculator'!A:A,0),0),0)</f>
        <v>0</v>
      </c>
      <c r="K3751" s="455">
        <f t="shared" ca="1" si="171"/>
        <v>9594072312.865263</v>
      </c>
      <c r="L3751" s="455">
        <f t="shared" ca="1" si="172"/>
        <v>2312171427400.5283</v>
      </c>
      <c r="M3751" s="471">
        <f t="shared" si="174"/>
        <v>0.05</v>
      </c>
      <c r="N3751" s="475">
        <f t="shared" si="175"/>
        <v>165212</v>
      </c>
    </row>
    <row r="3752" spans="7:14" ht="11.25" customHeight="1" x14ac:dyDescent="0.3">
      <c r="G3752" s="470"/>
      <c r="H3752" s="470">
        <v>3745</v>
      </c>
      <c r="I3752" s="455">
        <f t="shared" ca="1" si="173"/>
        <v>2312171427400.5283</v>
      </c>
      <c r="J3752" s="455">
        <f t="array" ref="J3752">IFERROR(INDEX('Retirement Calculator'!J:J,MATCH('Isaac 401k'!N3752,'Retirement Calculator'!A:A,0),0),0)</f>
        <v>0</v>
      </c>
      <c r="K3752" s="455">
        <f t="shared" ca="1" si="171"/>
        <v>9634047614.1688671</v>
      </c>
      <c r="L3752" s="455">
        <f t="shared" ca="1" si="172"/>
        <v>2321805475014.6973</v>
      </c>
      <c r="M3752" s="471">
        <f t="shared" si="174"/>
        <v>0.05</v>
      </c>
      <c r="N3752" s="475">
        <f t="shared" si="175"/>
        <v>165243</v>
      </c>
    </row>
    <row r="3753" spans="7:14" ht="11.25" customHeight="1" x14ac:dyDescent="0.3">
      <c r="G3753" s="470"/>
      <c r="H3753" s="470">
        <v>3746</v>
      </c>
      <c r="I3753" s="455">
        <f t="shared" ca="1" si="173"/>
        <v>2321805475014.6973</v>
      </c>
      <c r="J3753" s="455">
        <f t="array" ref="J3753">IFERROR(INDEX('Retirement Calculator'!J:J,MATCH('Isaac 401k'!N3753,'Retirement Calculator'!A:A,0),0),0)</f>
        <v>0</v>
      </c>
      <c r="K3753" s="455">
        <f t="shared" ca="1" si="171"/>
        <v>9674189479.2279053</v>
      </c>
      <c r="L3753" s="455">
        <f t="shared" ca="1" si="172"/>
        <v>2331479664493.9253</v>
      </c>
      <c r="M3753" s="471">
        <f t="shared" si="174"/>
        <v>0.05</v>
      </c>
      <c r="N3753" s="475">
        <f t="shared" si="175"/>
        <v>165273</v>
      </c>
    </row>
    <row r="3754" spans="7:14" ht="11.25" customHeight="1" x14ac:dyDescent="0.3">
      <c r="G3754" s="470"/>
      <c r="H3754" s="470">
        <v>3747</v>
      </c>
      <c r="I3754" s="455">
        <f t="shared" ca="1" si="173"/>
        <v>2331479664493.9253</v>
      </c>
      <c r="J3754" s="455">
        <f t="array" ref="J3754">IFERROR(INDEX('Retirement Calculator'!J:J,MATCH('Isaac 401k'!N3754,'Retirement Calculator'!A:A,0),0),0)</f>
        <v>0</v>
      </c>
      <c r="K3754" s="455">
        <f t="shared" ca="1" si="171"/>
        <v>9714498602.0580215</v>
      </c>
      <c r="L3754" s="455">
        <f t="shared" ca="1" si="172"/>
        <v>2341194163095.9834</v>
      </c>
      <c r="M3754" s="471">
        <f t="shared" si="174"/>
        <v>0.05</v>
      </c>
      <c r="N3754" s="475">
        <f t="shared" si="175"/>
        <v>165304</v>
      </c>
    </row>
    <row r="3755" spans="7:14" ht="11.25" customHeight="1" x14ac:dyDescent="0.3">
      <c r="G3755" s="470"/>
      <c r="H3755" s="470">
        <v>3748</v>
      </c>
      <c r="I3755" s="455">
        <f t="shared" ca="1" si="173"/>
        <v>2341194163095.9834</v>
      </c>
      <c r="J3755" s="455">
        <f t="array" ref="J3755">IFERROR(INDEX('Retirement Calculator'!J:J,MATCH('Isaac 401k'!N3755,'Retirement Calculator'!A:A,0),0),0)</f>
        <v>0</v>
      </c>
      <c r="K3755" s="455">
        <f t="shared" ca="1" si="171"/>
        <v>9754975679.566597</v>
      </c>
      <c r="L3755" s="455">
        <f t="shared" ca="1" si="172"/>
        <v>2350949138775.5498</v>
      </c>
      <c r="M3755" s="471">
        <f t="shared" si="174"/>
        <v>0.05</v>
      </c>
      <c r="N3755" s="475">
        <f t="shared" si="175"/>
        <v>165335</v>
      </c>
    </row>
    <row r="3756" spans="7:14" ht="11.25" customHeight="1" x14ac:dyDescent="0.3">
      <c r="G3756" s="470"/>
      <c r="H3756" s="470">
        <v>3749</v>
      </c>
      <c r="I3756" s="455">
        <f t="shared" ca="1" si="173"/>
        <v>2350949138775.5498</v>
      </c>
      <c r="J3756" s="455">
        <f t="array" ref="J3756">IFERROR(INDEX('Retirement Calculator'!J:J,MATCH('Isaac 401k'!N3756,'Retirement Calculator'!A:A,0),0),0)</f>
        <v>0</v>
      </c>
      <c r="K3756" s="455">
        <f t="shared" ca="1" si="171"/>
        <v>9795621411.5647907</v>
      </c>
      <c r="L3756" s="455">
        <f t="shared" ca="1" si="172"/>
        <v>2360744760187.1147</v>
      </c>
      <c r="M3756" s="471">
        <f t="shared" si="174"/>
        <v>0.05</v>
      </c>
      <c r="N3756" s="475">
        <f t="shared" si="175"/>
        <v>165365</v>
      </c>
    </row>
    <row r="3757" spans="7:14" ht="11.25" customHeight="1" x14ac:dyDescent="0.3">
      <c r="G3757" s="470"/>
      <c r="H3757" s="470">
        <v>3750</v>
      </c>
      <c r="I3757" s="455">
        <f t="shared" ca="1" si="173"/>
        <v>2360744760187.1147</v>
      </c>
      <c r="J3757" s="455">
        <f t="array" ref="J3757">IFERROR(INDEX('Retirement Calculator'!J:J,MATCH('Isaac 401k'!N3757,'Retirement Calculator'!A:A,0),0),0)</f>
        <v>0</v>
      </c>
      <c r="K3757" s="455">
        <f t="shared" ca="1" si="171"/>
        <v>9836436500.779644</v>
      </c>
      <c r="L3757" s="455">
        <f t="shared" ca="1" si="172"/>
        <v>2370581196687.8945</v>
      </c>
      <c r="M3757" s="471">
        <f t="shared" si="174"/>
        <v>0.05</v>
      </c>
      <c r="N3757" s="475">
        <f t="shared" si="175"/>
        <v>165396</v>
      </c>
    </row>
    <row r="3758" spans="7:14" ht="11.25" customHeight="1" x14ac:dyDescent="0.3">
      <c r="G3758" s="470"/>
      <c r="H3758" s="470">
        <v>3751</v>
      </c>
      <c r="I3758" s="455">
        <f t="shared" ca="1" si="173"/>
        <v>2370581196687.8945</v>
      </c>
      <c r="J3758" s="455">
        <f t="array" ref="J3758">IFERROR(INDEX('Retirement Calculator'!J:J,MATCH('Isaac 401k'!N3758,'Retirement Calculator'!A:A,0),0),0)</f>
        <v>0</v>
      </c>
      <c r="K3758" s="455">
        <f t="shared" ca="1" si="171"/>
        <v>9877421652.8662262</v>
      </c>
      <c r="L3758" s="455">
        <f t="shared" ca="1" si="172"/>
        <v>2380458618340.7607</v>
      </c>
      <c r="M3758" s="471">
        <f t="shared" si="174"/>
        <v>0.05</v>
      </c>
      <c r="N3758" s="475">
        <f t="shared" si="175"/>
        <v>165426</v>
      </c>
    </row>
    <row r="3759" spans="7:14" ht="11.25" customHeight="1" x14ac:dyDescent="0.3">
      <c r="G3759" s="470"/>
      <c r="H3759" s="470">
        <v>3752</v>
      </c>
      <c r="I3759" s="455">
        <f t="shared" ca="1" si="173"/>
        <v>2380458618340.7607</v>
      </c>
      <c r="J3759" s="455">
        <f t="array" ref="J3759">IFERROR(INDEX('Retirement Calculator'!J:J,MATCH('Isaac 401k'!N3759,'Retirement Calculator'!A:A,0),0),0)</f>
        <v>0</v>
      </c>
      <c r="K3759" s="455">
        <f t="shared" ca="1" si="171"/>
        <v>9918577576.419836</v>
      </c>
      <c r="L3759" s="455">
        <f t="shared" ca="1" si="172"/>
        <v>2390377195917.1807</v>
      </c>
      <c r="M3759" s="471">
        <f t="shared" si="174"/>
        <v>0.05</v>
      </c>
      <c r="N3759" s="475">
        <f t="shared" si="175"/>
        <v>165457</v>
      </c>
    </row>
    <row r="3760" spans="7:14" ht="11.25" customHeight="1" x14ac:dyDescent="0.3">
      <c r="G3760" s="470"/>
      <c r="H3760" s="470">
        <v>3753</v>
      </c>
      <c r="I3760" s="455">
        <f t="shared" ca="1" si="173"/>
        <v>2390377195917.1807</v>
      </c>
      <c r="J3760" s="455">
        <f t="array" ref="J3760">IFERROR(INDEX('Retirement Calculator'!J:J,MATCH('Isaac 401k'!N3760,'Retirement Calculator'!A:A,0),0),0)</f>
        <v>0</v>
      </c>
      <c r="K3760" s="455">
        <f t="shared" ca="1" si="171"/>
        <v>9959904982.9882526</v>
      </c>
      <c r="L3760" s="455">
        <f t="shared" ca="1" si="172"/>
        <v>2400337100900.1689</v>
      </c>
      <c r="M3760" s="471">
        <f t="shared" si="174"/>
        <v>0.05</v>
      </c>
      <c r="N3760" s="475">
        <f t="shared" si="175"/>
        <v>165488</v>
      </c>
    </row>
    <row r="3761" spans="7:14" ht="11.25" customHeight="1" x14ac:dyDescent="0.3">
      <c r="G3761" s="470"/>
      <c r="H3761" s="470">
        <v>3754</v>
      </c>
      <c r="I3761" s="455">
        <f t="shared" ca="1" si="173"/>
        <v>2400337100900.1689</v>
      </c>
      <c r="J3761" s="455">
        <f t="array" ref="J3761">IFERROR(INDEX('Retirement Calculator'!J:J,MATCH('Isaac 401k'!N3761,'Retirement Calculator'!A:A,0),0),0)</f>
        <v>0</v>
      </c>
      <c r="K3761" s="455">
        <f t="shared" ca="1" si="171"/>
        <v>10001404587.084038</v>
      </c>
      <c r="L3761" s="455">
        <f t="shared" ca="1" si="172"/>
        <v>2410338505487.2529</v>
      </c>
      <c r="M3761" s="471">
        <f t="shared" si="174"/>
        <v>0.05</v>
      </c>
      <c r="N3761" s="475">
        <f t="shared" si="175"/>
        <v>165516</v>
      </c>
    </row>
    <row r="3762" spans="7:14" ht="11.25" customHeight="1" x14ac:dyDescent="0.3">
      <c r="G3762" s="470"/>
      <c r="H3762" s="470">
        <v>3755</v>
      </c>
      <c r="I3762" s="455">
        <f t="shared" ca="1" si="173"/>
        <v>2410338505487.2529</v>
      </c>
      <c r="J3762" s="455">
        <f t="array" ref="J3762">IFERROR(INDEX('Retirement Calculator'!J:J,MATCH('Isaac 401k'!N3762,'Retirement Calculator'!A:A,0),0),0)</f>
        <v>0</v>
      </c>
      <c r="K3762" s="455">
        <f t="shared" ca="1" si="171"/>
        <v>10043077106.196888</v>
      </c>
      <c r="L3762" s="455">
        <f t="shared" ca="1" si="172"/>
        <v>2420381582593.4497</v>
      </c>
      <c r="M3762" s="471">
        <f t="shared" si="174"/>
        <v>0.05</v>
      </c>
      <c r="N3762" s="475">
        <f t="shared" si="175"/>
        <v>165547</v>
      </c>
    </row>
    <row r="3763" spans="7:14" ht="11.25" customHeight="1" x14ac:dyDescent="0.3">
      <c r="G3763" s="470"/>
      <c r="H3763" s="470">
        <v>3756</v>
      </c>
      <c r="I3763" s="455">
        <f t="shared" ca="1" si="173"/>
        <v>2420381582593.4497</v>
      </c>
      <c r="J3763" s="455">
        <f t="array" ref="J3763">IFERROR(INDEX('Retirement Calculator'!J:J,MATCH('Isaac 401k'!N3763,'Retirement Calculator'!A:A,0),0),0)</f>
        <v>0</v>
      </c>
      <c r="K3763" s="455">
        <f t="shared" ca="1" si="171"/>
        <v>10084923260.80604</v>
      </c>
      <c r="L3763" s="455">
        <f t="shared" ca="1" si="172"/>
        <v>2430466505854.2559</v>
      </c>
      <c r="M3763" s="471">
        <f t="shared" si="174"/>
        <v>0.05</v>
      </c>
      <c r="N3763" s="475">
        <f t="shared" si="175"/>
        <v>165577</v>
      </c>
    </row>
    <row r="3764" spans="7:14" ht="11.25" customHeight="1" x14ac:dyDescent="0.3">
      <c r="G3764" s="470"/>
      <c r="H3764" s="470">
        <v>3757</v>
      </c>
      <c r="I3764" s="455">
        <f t="shared" ca="1" si="173"/>
        <v>2430466505854.2559</v>
      </c>
      <c r="J3764" s="455">
        <f t="array" ref="J3764">IFERROR(INDEX('Retirement Calculator'!J:J,MATCH('Isaac 401k'!N3764,'Retirement Calculator'!A:A,0),0),0)</f>
        <v>0</v>
      </c>
      <c r="K3764" s="455">
        <f t="shared" ca="1" si="171"/>
        <v>10126943774.392733</v>
      </c>
      <c r="L3764" s="455">
        <f t="shared" ca="1" si="172"/>
        <v>2440593449628.6484</v>
      </c>
      <c r="M3764" s="471">
        <f t="shared" si="174"/>
        <v>0.05</v>
      </c>
      <c r="N3764" s="475">
        <f t="shared" si="175"/>
        <v>165608</v>
      </c>
    </row>
    <row r="3765" spans="7:14" ht="11.25" customHeight="1" x14ac:dyDescent="0.3">
      <c r="G3765" s="470"/>
      <c r="H3765" s="470">
        <v>3758</v>
      </c>
      <c r="I3765" s="455">
        <f t="shared" ca="1" si="173"/>
        <v>2440593449628.6484</v>
      </c>
      <c r="J3765" s="455">
        <f t="array" ref="J3765">IFERROR(INDEX('Retirement Calculator'!J:J,MATCH('Isaac 401k'!N3765,'Retirement Calculator'!A:A,0),0),0)</f>
        <v>0</v>
      </c>
      <c r="K3765" s="455">
        <f t="shared" ca="1" si="171"/>
        <v>10169139373.452702</v>
      </c>
      <c r="L3765" s="455">
        <f t="shared" ca="1" si="172"/>
        <v>2450762589002.1011</v>
      </c>
      <c r="M3765" s="471">
        <f t="shared" si="174"/>
        <v>0.05</v>
      </c>
      <c r="N3765" s="475">
        <f t="shared" si="175"/>
        <v>165638</v>
      </c>
    </row>
    <row r="3766" spans="7:14" ht="11.25" customHeight="1" x14ac:dyDescent="0.3">
      <c r="G3766" s="470"/>
      <c r="H3766" s="470">
        <v>3759</v>
      </c>
      <c r="I3766" s="455">
        <f t="shared" ca="1" si="173"/>
        <v>2450762589002.1011</v>
      </c>
      <c r="J3766" s="455">
        <f t="array" ref="J3766">IFERROR(INDEX('Retirement Calculator'!J:J,MATCH('Isaac 401k'!N3766,'Retirement Calculator'!A:A,0),0),0)</f>
        <v>0</v>
      </c>
      <c r="K3766" s="455">
        <f t="shared" ca="1" si="171"/>
        <v>10211510787.508755</v>
      </c>
      <c r="L3766" s="455">
        <f t="shared" ca="1" si="172"/>
        <v>2460974099789.6099</v>
      </c>
      <c r="M3766" s="471">
        <f t="shared" si="174"/>
        <v>0.05</v>
      </c>
      <c r="N3766" s="475">
        <f t="shared" si="175"/>
        <v>165669</v>
      </c>
    </row>
    <row r="3767" spans="7:14" ht="11.25" customHeight="1" x14ac:dyDescent="0.3">
      <c r="G3767" s="470"/>
      <c r="H3767" s="470">
        <v>3760</v>
      </c>
      <c r="I3767" s="455">
        <f t="shared" ca="1" si="173"/>
        <v>2460974099789.6099</v>
      </c>
      <c r="J3767" s="455">
        <f t="array" ref="J3767">IFERROR(INDEX('Retirement Calculator'!J:J,MATCH('Isaac 401k'!N3767,'Retirement Calculator'!A:A,0),0),0)</f>
        <v>0</v>
      </c>
      <c r="K3767" s="455">
        <f t="shared" ca="1" si="171"/>
        <v>10254058749.123375</v>
      </c>
      <c r="L3767" s="455">
        <f t="shared" ca="1" si="172"/>
        <v>2471228158538.7334</v>
      </c>
      <c r="M3767" s="471">
        <f t="shared" si="174"/>
        <v>0.05</v>
      </c>
      <c r="N3767" s="475">
        <f t="shared" si="175"/>
        <v>165700</v>
      </c>
    </row>
    <row r="3768" spans="7:14" ht="11.25" customHeight="1" x14ac:dyDescent="0.3">
      <c r="G3768" s="470"/>
      <c r="H3768" s="470">
        <v>3761</v>
      </c>
      <c r="I3768" s="455">
        <f t="shared" ca="1" si="173"/>
        <v>2471228158538.7334</v>
      </c>
      <c r="J3768" s="455">
        <f t="array" ref="J3768">IFERROR(INDEX('Retirement Calculator'!J:J,MATCH('Isaac 401k'!N3768,'Retirement Calculator'!A:A,0),0),0)</f>
        <v>0</v>
      </c>
      <c r="K3768" s="455">
        <f t="shared" ca="1" si="171"/>
        <v>10296783993.911388</v>
      </c>
      <c r="L3768" s="455">
        <f t="shared" ca="1" si="172"/>
        <v>2481524942532.645</v>
      </c>
      <c r="M3768" s="471">
        <f t="shared" si="174"/>
        <v>0.05</v>
      </c>
      <c r="N3768" s="475">
        <f t="shared" si="175"/>
        <v>165730</v>
      </c>
    </row>
    <row r="3769" spans="7:14" ht="11.25" customHeight="1" x14ac:dyDescent="0.3">
      <c r="G3769" s="470"/>
      <c r="H3769" s="470">
        <v>3762</v>
      </c>
      <c r="I3769" s="455">
        <f t="shared" ca="1" si="173"/>
        <v>2481524942532.645</v>
      </c>
      <c r="J3769" s="455">
        <f t="array" ref="J3769">IFERROR(INDEX('Retirement Calculator'!J:J,MATCH('Isaac 401k'!N3769,'Retirement Calculator'!A:A,0),0),0)</f>
        <v>0</v>
      </c>
      <c r="K3769" s="455">
        <f t="shared" ca="1" si="171"/>
        <v>10339687260.552687</v>
      </c>
      <c r="L3769" s="455">
        <f t="shared" ca="1" si="172"/>
        <v>2491864629793.1978</v>
      </c>
      <c r="M3769" s="471">
        <f t="shared" si="174"/>
        <v>0.05</v>
      </c>
      <c r="N3769" s="475">
        <f t="shared" si="175"/>
        <v>165761</v>
      </c>
    </row>
    <row r="3770" spans="7:14" ht="11.25" customHeight="1" x14ac:dyDescent="0.3">
      <c r="G3770" s="470"/>
      <c r="H3770" s="470">
        <v>3763</v>
      </c>
      <c r="I3770" s="455">
        <f t="shared" ca="1" si="173"/>
        <v>2491864629793.1978</v>
      </c>
      <c r="J3770" s="455">
        <f t="array" ref="J3770">IFERROR(INDEX('Retirement Calculator'!J:J,MATCH('Isaac 401k'!N3770,'Retirement Calculator'!A:A,0),0),0)</f>
        <v>0</v>
      </c>
      <c r="K3770" s="455">
        <f t="shared" ca="1" si="171"/>
        <v>10382769290.804991</v>
      </c>
      <c r="L3770" s="455">
        <f t="shared" ca="1" si="172"/>
        <v>2502247399084.0029</v>
      </c>
      <c r="M3770" s="471">
        <f t="shared" si="174"/>
        <v>0.05</v>
      </c>
      <c r="N3770" s="475">
        <f t="shared" si="175"/>
        <v>165791</v>
      </c>
    </row>
    <row r="3771" spans="7:14" ht="11.25" customHeight="1" x14ac:dyDescent="0.3">
      <c r="G3771" s="470"/>
      <c r="H3771" s="470">
        <v>3764</v>
      </c>
      <c r="I3771" s="455">
        <f t="shared" ca="1" si="173"/>
        <v>2502247399084.0029</v>
      </c>
      <c r="J3771" s="455">
        <f t="array" ref="J3771">IFERROR(INDEX('Retirement Calculator'!J:J,MATCH('Isaac 401k'!N3771,'Retirement Calculator'!A:A,0),0),0)</f>
        <v>0</v>
      </c>
      <c r="K3771" s="455">
        <f t="shared" ca="1" si="171"/>
        <v>10426030829.516678</v>
      </c>
      <c r="L3771" s="455">
        <f t="shared" ca="1" si="172"/>
        <v>2512673429913.5195</v>
      </c>
      <c r="M3771" s="471">
        <f t="shared" si="174"/>
        <v>0.05</v>
      </c>
      <c r="N3771" s="475">
        <f t="shared" si="175"/>
        <v>165822</v>
      </c>
    </row>
    <row r="3772" spans="7:14" ht="11.25" customHeight="1" x14ac:dyDescent="0.3">
      <c r="G3772" s="470"/>
      <c r="H3772" s="470">
        <v>3765</v>
      </c>
      <c r="I3772" s="455">
        <f t="shared" ca="1" si="173"/>
        <v>2512673429913.5195</v>
      </c>
      <c r="J3772" s="455">
        <f t="array" ref="J3772">IFERROR(INDEX('Retirement Calculator'!J:J,MATCH('Isaac 401k'!N3772,'Retirement Calculator'!A:A,0),0),0)</f>
        <v>0</v>
      </c>
      <c r="K3772" s="455">
        <f t="shared" ca="1" si="171"/>
        <v>10469472624.639664</v>
      </c>
      <c r="L3772" s="455">
        <f t="shared" ca="1" si="172"/>
        <v>2523142902538.1592</v>
      </c>
      <c r="M3772" s="471">
        <f t="shared" si="174"/>
        <v>0.05</v>
      </c>
      <c r="N3772" s="475">
        <f t="shared" si="175"/>
        <v>165853</v>
      </c>
    </row>
    <row r="3773" spans="7:14" ht="11.25" customHeight="1" x14ac:dyDescent="0.3">
      <c r="G3773" s="470"/>
      <c r="H3773" s="470">
        <v>3766</v>
      </c>
      <c r="I3773" s="455">
        <f t="shared" ca="1" si="173"/>
        <v>2523142902538.1592</v>
      </c>
      <c r="J3773" s="455">
        <f t="array" ref="J3773">IFERROR(INDEX('Retirement Calculator'!J:J,MATCH('Isaac 401k'!N3773,'Retirement Calculator'!A:A,0),0),0)</f>
        <v>0</v>
      </c>
      <c r="K3773" s="455">
        <f t="shared" ca="1" si="171"/>
        <v>10513095427.242331</v>
      </c>
      <c r="L3773" s="455">
        <f t="shared" ca="1" si="172"/>
        <v>2533655997965.4014</v>
      </c>
      <c r="M3773" s="471">
        <f t="shared" si="174"/>
        <v>0.05</v>
      </c>
      <c r="N3773" s="475">
        <f t="shared" si="175"/>
        <v>165881</v>
      </c>
    </row>
    <row r="3774" spans="7:14" ht="11.25" customHeight="1" x14ac:dyDescent="0.3">
      <c r="G3774" s="470"/>
      <c r="H3774" s="470">
        <v>3767</v>
      </c>
      <c r="I3774" s="455">
        <f t="shared" ca="1" si="173"/>
        <v>2533655997965.4014</v>
      </c>
      <c r="J3774" s="455">
        <f t="array" ref="J3774">IFERROR(INDEX('Retirement Calculator'!J:J,MATCH('Isaac 401k'!N3774,'Retirement Calculator'!A:A,0),0),0)</f>
        <v>0</v>
      </c>
      <c r="K3774" s="455">
        <f t="shared" ca="1" si="171"/>
        <v>10556899991.522505</v>
      </c>
      <c r="L3774" s="455">
        <f t="shared" ca="1" si="172"/>
        <v>2544212897956.9238</v>
      </c>
      <c r="M3774" s="471">
        <f t="shared" si="174"/>
        <v>0.05</v>
      </c>
      <c r="N3774" s="475">
        <f t="shared" si="175"/>
        <v>165912</v>
      </c>
    </row>
    <row r="3775" spans="7:14" ht="11.25" customHeight="1" x14ac:dyDescent="0.3">
      <c r="G3775" s="470"/>
      <c r="H3775" s="470">
        <v>3768</v>
      </c>
      <c r="I3775" s="455">
        <f t="shared" ca="1" si="173"/>
        <v>2544212897956.9238</v>
      </c>
      <c r="J3775" s="455">
        <f t="array" ref="J3775">IFERROR(INDEX('Retirement Calculator'!J:J,MATCH('Isaac 401k'!N3775,'Retirement Calculator'!A:A,0),0),0)</f>
        <v>0</v>
      </c>
      <c r="K3775" s="455">
        <f t="shared" ca="1" si="171"/>
        <v>10600887074.820517</v>
      </c>
      <c r="L3775" s="455">
        <f t="shared" ca="1" si="172"/>
        <v>2554813785031.7441</v>
      </c>
      <c r="M3775" s="471">
        <f t="shared" si="174"/>
        <v>0.05</v>
      </c>
      <c r="N3775" s="475">
        <f t="shared" si="175"/>
        <v>165942</v>
      </c>
    </row>
    <row r="3776" spans="7:14" ht="11.25" customHeight="1" x14ac:dyDescent="0.3">
      <c r="G3776" s="470"/>
      <c r="H3776" s="470">
        <v>3769</v>
      </c>
      <c r="I3776" s="455">
        <f t="shared" ca="1" si="173"/>
        <v>2554813785031.7441</v>
      </c>
      <c r="J3776" s="455">
        <f t="array" ref="J3776">IFERROR(INDEX('Retirement Calculator'!J:J,MATCH('Isaac 401k'!N3776,'Retirement Calculator'!A:A,0),0),0)</f>
        <v>0</v>
      </c>
      <c r="K3776" s="455">
        <f t="shared" ca="1" si="171"/>
        <v>10645057437.632267</v>
      </c>
      <c r="L3776" s="455">
        <f t="shared" ca="1" si="172"/>
        <v>2565458842469.3765</v>
      </c>
      <c r="M3776" s="471">
        <f t="shared" si="174"/>
        <v>0.05</v>
      </c>
      <c r="N3776" s="475">
        <f t="shared" si="175"/>
        <v>165973</v>
      </c>
    </row>
    <row r="3777" spans="7:14" ht="11.25" customHeight="1" x14ac:dyDescent="0.3">
      <c r="G3777" s="470"/>
      <c r="H3777" s="470">
        <v>3770</v>
      </c>
      <c r="I3777" s="455">
        <f t="shared" ca="1" si="173"/>
        <v>2565458842469.3765</v>
      </c>
      <c r="J3777" s="455">
        <f t="array" ref="J3777">IFERROR(INDEX('Retirement Calculator'!J:J,MATCH('Isaac 401k'!N3777,'Retirement Calculator'!A:A,0),0),0)</f>
        <v>0</v>
      </c>
      <c r="K3777" s="455">
        <f t="shared" ca="1" si="171"/>
        <v>10689411843.622402</v>
      </c>
      <c r="L3777" s="455">
        <f t="shared" ca="1" si="172"/>
        <v>2576148254312.999</v>
      </c>
      <c r="M3777" s="471">
        <f t="shared" si="174"/>
        <v>0.05</v>
      </c>
      <c r="N3777" s="475">
        <f t="shared" si="175"/>
        <v>166003</v>
      </c>
    </row>
    <row r="3778" spans="7:14" ht="11.25" customHeight="1" x14ac:dyDescent="0.3">
      <c r="G3778" s="470"/>
      <c r="H3778" s="470">
        <v>3771</v>
      </c>
      <c r="I3778" s="455">
        <f t="shared" ca="1" si="173"/>
        <v>2576148254312.999</v>
      </c>
      <c r="J3778" s="455">
        <f t="array" ref="J3778">IFERROR(INDEX('Retirement Calculator'!J:J,MATCH('Isaac 401k'!N3778,'Retirement Calculator'!A:A,0),0),0)</f>
        <v>0</v>
      </c>
      <c r="K3778" s="455">
        <f t="shared" ca="1" si="171"/>
        <v>10733951059.637495</v>
      </c>
      <c r="L3778" s="455">
        <f t="shared" ca="1" si="172"/>
        <v>2586882205372.6367</v>
      </c>
      <c r="M3778" s="471">
        <f t="shared" si="174"/>
        <v>0.05</v>
      </c>
      <c r="N3778" s="475">
        <f t="shared" si="175"/>
        <v>166034</v>
      </c>
    </row>
    <row r="3779" spans="7:14" ht="11.25" customHeight="1" x14ac:dyDescent="0.3">
      <c r="G3779" s="470"/>
      <c r="H3779" s="470">
        <v>3772</v>
      </c>
      <c r="I3779" s="455">
        <f t="shared" ca="1" si="173"/>
        <v>2586882205372.6367</v>
      </c>
      <c r="J3779" s="455">
        <f t="array" ref="J3779">IFERROR(INDEX('Retirement Calculator'!J:J,MATCH('Isaac 401k'!N3779,'Retirement Calculator'!A:A,0),0),0)</f>
        <v>0</v>
      </c>
      <c r="K3779" s="455">
        <f t="shared" ca="1" si="171"/>
        <v>10778675855.71932</v>
      </c>
      <c r="L3779" s="455">
        <f t="shared" ca="1" si="172"/>
        <v>2597660881228.356</v>
      </c>
      <c r="M3779" s="471">
        <f t="shared" si="174"/>
        <v>0.05</v>
      </c>
      <c r="N3779" s="475">
        <f t="shared" si="175"/>
        <v>166065</v>
      </c>
    </row>
    <row r="3780" spans="7:14" ht="11.25" customHeight="1" x14ac:dyDescent="0.3">
      <c r="G3780" s="470"/>
      <c r="H3780" s="470">
        <v>3773</v>
      </c>
      <c r="I3780" s="455">
        <f t="shared" ca="1" si="173"/>
        <v>2597660881228.356</v>
      </c>
      <c r="J3780" s="455">
        <f t="array" ref="J3780">IFERROR(INDEX('Retirement Calculator'!J:J,MATCH('Isaac 401k'!N3780,'Retirement Calculator'!A:A,0),0),0)</f>
        <v>0</v>
      </c>
      <c r="K3780" s="455">
        <f t="shared" ca="1" si="171"/>
        <v>10823587005.118149</v>
      </c>
      <c r="L3780" s="455">
        <f t="shared" ca="1" si="172"/>
        <v>2608484468233.4741</v>
      </c>
      <c r="M3780" s="471">
        <f t="shared" si="174"/>
        <v>0.05</v>
      </c>
      <c r="N3780" s="475">
        <f t="shared" si="175"/>
        <v>166095</v>
      </c>
    </row>
    <row r="3781" spans="7:14" ht="11.25" customHeight="1" x14ac:dyDescent="0.3">
      <c r="G3781" s="470"/>
      <c r="H3781" s="470">
        <v>3774</v>
      </c>
      <c r="I3781" s="455">
        <f t="shared" ca="1" si="173"/>
        <v>2608484468233.4741</v>
      </c>
      <c r="J3781" s="455">
        <f t="array" ref="J3781">IFERROR(INDEX('Retirement Calculator'!J:J,MATCH('Isaac 401k'!N3781,'Retirement Calculator'!A:A,0),0),0)</f>
        <v>0</v>
      </c>
      <c r="K3781" s="455">
        <f t="shared" ca="1" si="171"/>
        <v>10868685284.306143</v>
      </c>
      <c r="L3781" s="455">
        <f t="shared" ca="1" si="172"/>
        <v>2619353153517.7803</v>
      </c>
      <c r="M3781" s="471">
        <f t="shared" si="174"/>
        <v>0.05</v>
      </c>
      <c r="N3781" s="475">
        <f t="shared" si="175"/>
        <v>166126</v>
      </c>
    </row>
    <row r="3782" spans="7:14" ht="11.25" customHeight="1" x14ac:dyDescent="0.3">
      <c r="G3782" s="470"/>
      <c r="H3782" s="470">
        <v>3775</v>
      </c>
      <c r="I3782" s="455">
        <f t="shared" ca="1" si="173"/>
        <v>2619353153517.7803</v>
      </c>
      <c r="J3782" s="455">
        <f t="array" ref="J3782">IFERROR(INDEX('Retirement Calculator'!J:J,MATCH('Isaac 401k'!N3782,'Retirement Calculator'!A:A,0),0),0)</f>
        <v>0</v>
      </c>
      <c r="K3782" s="455">
        <f t="shared" ca="1" si="171"/>
        <v>10913971472.990751</v>
      </c>
      <c r="L3782" s="455">
        <f t="shared" ca="1" si="172"/>
        <v>2630267124990.771</v>
      </c>
      <c r="M3782" s="471">
        <f t="shared" si="174"/>
        <v>0.05</v>
      </c>
      <c r="N3782" s="475">
        <f t="shared" si="175"/>
        <v>166156</v>
      </c>
    </row>
    <row r="3783" spans="7:14" ht="11.25" customHeight="1" x14ac:dyDescent="0.3">
      <c r="G3783" s="470"/>
      <c r="H3783" s="470">
        <v>3776</v>
      </c>
      <c r="I3783" s="455">
        <f t="shared" ca="1" si="173"/>
        <v>2630267124990.771</v>
      </c>
      <c r="J3783" s="455">
        <f t="array" ref="J3783">IFERROR(INDEX('Retirement Calculator'!J:J,MATCH('Isaac 401k'!N3783,'Retirement Calculator'!A:A,0),0),0)</f>
        <v>0</v>
      </c>
      <c r="K3783" s="455">
        <f t="shared" ca="1" si="171"/>
        <v>10959446354.128212</v>
      </c>
      <c r="L3783" s="455">
        <f t="shared" ca="1" si="172"/>
        <v>2641226571344.8994</v>
      </c>
      <c r="M3783" s="471">
        <f t="shared" si="174"/>
        <v>0.05</v>
      </c>
      <c r="N3783" s="475">
        <f t="shared" si="175"/>
        <v>166187</v>
      </c>
    </row>
    <row r="3784" spans="7:14" ht="11.25" customHeight="1" x14ac:dyDescent="0.3">
      <c r="G3784" s="470"/>
      <c r="H3784" s="470">
        <v>3777</v>
      </c>
      <c r="I3784" s="455">
        <f t="shared" ca="1" si="173"/>
        <v>2641226571344.8994</v>
      </c>
      <c r="J3784" s="455">
        <f t="array" ref="J3784">IFERROR(INDEX('Retirement Calculator'!J:J,MATCH('Isaac 401k'!N3784,'Retirement Calculator'!A:A,0),0),0)</f>
        <v>0</v>
      </c>
      <c r="K3784" s="455">
        <f t="shared" ca="1" si="171"/>
        <v>11005110713.93708</v>
      </c>
      <c r="L3784" s="455">
        <f t="shared" ca="1" si="172"/>
        <v>2652231682058.8364</v>
      </c>
      <c r="M3784" s="471">
        <f t="shared" si="174"/>
        <v>0.05</v>
      </c>
      <c r="N3784" s="475">
        <f t="shared" si="175"/>
        <v>166218</v>
      </c>
    </row>
    <row r="3785" spans="7:14" ht="11.25" customHeight="1" x14ac:dyDescent="0.3">
      <c r="G3785" s="470"/>
      <c r="H3785" s="470">
        <v>3778</v>
      </c>
      <c r="I3785" s="455">
        <f t="shared" ca="1" si="173"/>
        <v>2652231682058.8364</v>
      </c>
      <c r="J3785" s="455">
        <f t="array" ref="J3785">IFERROR(INDEX('Retirement Calculator'!J:J,MATCH('Isaac 401k'!N3785,'Retirement Calculator'!A:A,0),0),0)</f>
        <v>0</v>
      </c>
      <c r="K3785" s="455">
        <f t="shared" ca="1" si="171"/>
        <v>11050965341.911818</v>
      </c>
      <c r="L3785" s="455">
        <f t="shared" ca="1" si="172"/>
        <v>2663282647400.748</v>
      </c>
      <c r="M3785" s="471">
        <f t="shared" si="174"/>
        <v>0.05</v>
      </c>
      <c r="N3785" s="475">
        <f t="shared" si="175"/>
        <v>166246</v>
      </c>
    </row>
    <row r="3786" spans="7:14" ht="11.25" customHeight="1" x14ac:dyDescent="0.3">
      <c r="G3786" s="470"/>
      <c r="H3786" s="470">
        <v>3779</v>
      </c>
      <c r="I3786" s="455">
        <f t="shared" ca="1" si="173"/>
        <v>2663282647400.748</v>
      </c>
      <c r="J3786" s="455">
        <f t="array" ref="J3786">IFERROR(INDEX('Retirement Calculator'!J:J,MATCH('Isaac 401k'!N3786,'Retirement Calculator'!A:A,0),0),0)</f>
        <v>0</v>
      </c>
      <c r="K3786" s="455">
        <f t="shared" ca="1" si="171"/>
        <v>11097011030.836451</v>
      </c>
      <c r="L3786" s="455">
        <f t="shared" ca="1" si="172"/>
        <v>2674379658431.5845</v>
      </c>
      <c r="M3786" s="471">
        <f t="shared" si="174"/>
        <v>0.05</v>
      </c>
      <c r="N3786" s="475">
        <f t="shared" si="175"/>
        <v>166277</v>
      </c>
    </row>
    <row r="3787" spans="7:14" ht="11.25" customHeight="1" x14ac:dyDescent="0.3">
      <c r="G3787" s="470"/>
      <c r="H3787" s="470">
        <v>3780</v>
      </c>
      <c r="I3787" s="455">
        <f t="shared" ca="1" si="173"/>
        <v>2674379658431.5845</v>
      </c>
      <c r="J3787" s="455">
        <f t="array" ref="J3787">IFERROR(INDEX('Retirement Calculator'!J:J,MATCH('Isaac 401k'!N3787,'Retirement Calculator'!A:A,0),0),0)</f>
        <v>0</v>
      </c>
      <c r="K3787" s="455">
        <f t="shared" ca="1" si="171"/>
        <v>11143248576.798269</v>
      </c>
      <c r="L3787" s="455">
        <f t="shared" ca="1" si="172"/>
        <v>2685522907008.3828</v>
      </c>
      <c r="M3787" s="471">
        <f t="shared" si="174"/>
        <v>0.05</v>
      </c>
      <c r="N3787" s="475">
        <f t="shared" si="175"/>
        <v>166307</v>
      </c>
    </row>
    <row r="3788" spans="7:14" ht="11.25" customHeight="1" x14ac:dyDescent="0.3">
      <c r="G3788" s="470"/>
      <c r="H3788" s="470">
        <v>3781</v>
      </c>
      <c r="I3788" s="455">
        <f t="shared" ca="1" si="173"/>
        <v>2685522907008.3828</v>
      </c>
      <c r="J3788" s="455">
        <f t="array" ref="J3788">IFERROR(INDEX('Retirement Calculator'!J:J,MATCH('Isaac 401k'!N3788,'Retirement Calculator'!A:A,0),0),0)</f>
        <v>0</v>
      </c>
      <c r="K3788" s="455">
        <f t="shared" ca="1" si="171"/>
        <v>11189678779.201595</v>
      </c>
      <c r="L3788" s="455">
        <f t="shared" ca="1" si="172"/>
        <v>2696712585787.5845</v>
      </c>
      <c r="M3788" s="471">
        <f t="shared" si="174"/>
        <v>0.05</v>
      </c>
      <c r="N3788" s="475">
        <f t="shared" si="175"/>
        <v>166338</v>
      </c>
    </row>
    <row r="3789" spans="7:14" ht="11.25" customHeight="1" x14ac:dyDescent="0.3">
      <c r="G3789" s="470"/>
      <c r="H3789" s="470">
        <v>3782</v>
      </c>
      <c r="I3789" s="455">
        <f t="shared" ca="1" si="173"/>
        <v>2696712585787.5845</v>
      </c>
      <c r="J3789" s="455">
        <f t="array" ref="J3789">IFERROR(INDEX('Retirement Calculator'!J:J,MATCH('Isaac 401k'!N3789,'Retirement Calculator'!A:A,0),0),0)</f>
        <v>0</v>
      </c>
      <c r="K3789" s="455">
        <f t="shared" ca="1" si="171"/>
        <v>11236302440.781601</v>
      </c>
      <c r="L3789" s="455">
        <f t="shared" ca="1" si="172"/>
        <v>2707948888228.3662</v>
      </c>
      <c r="M3789" s="471">
        <f t="shared" si="174"/>
        <v>0.05</v>
      </c>
      <c r="N3789" s="475">
        <f t="shared" si="175"/>
        <v>166368</v>
      </c>
    </row>
    <row r="3790" spans="7:14" ht="11.25" customHeight="1" x14ac:dyDescent="0.3">
      <c r="G3790" s="470"/>
      <c r="H3790" s="470">
        <v>3783</v>
      </c>
      <c r="I3790" s="455">
        <f t="shared" ca="1" si="173"/>
        <v>2707948888228.3662</v>
      </c>
      <c r="J3790" s="455">
        <f t="array" ref="J3790">IFERROR(INDEX('Retirement Calculator'!J:J,MATCH('Isaac 401k'!N3790,'Retirement Calculator'!A:A,0),0),0)</f>
        <v>0</v>
      </c>
      <c r="K3790" s="455">
        <f t="shared" ca="1" si="171"/>
        <v>11283120367.618193</v>
      </c>
      <c r="L3790" s="455">
        <f t="shared" ca="1" si="172"/>
        <v>2719232008595.9844</v>
      </c>
      <c r="M3790" s="471">
        <f t="shared" si="174"/>
        <v>0.05</v>
      </c>
      <c r="N3790" s="475">
        <f t="shared" si="175"/>
        <v>166399</v>
      </c>
    </row>
    <row r="3791" spans="7:14" ht="11.25" customHeight="1" x14ac:dyDescent="0.3">
      <c r="G3791" s="470"/>
      <c r="H3791" s="470">
        <v>3784</v>
      </c>
      <c r="I3791" s="455">
        <f t="shared" ca="1" si="173"/>
        <v>2719232008595.9844</v>
      </c>
      <c r="J3791" s="455">
        <f t="array" ref="J3791">IFERROR(INDEX('Retirement Calculator'!J:J,MATCH('Isaac 401k'!N3791,'Retirement Calculator'!A:A,0),0),0)</f>
        <v>0</v>
      </c>
      <c r="K3791" s="455">
        <f t="shared" ca="1" si="171"/>
        <v>11330133369.149935</v>
      </c>
      <c r="L3791" s="455">
        <f t="shared" ca="1" si="172"/>
        <v>2730562141965.1343</v>
      </c>
      <c r="M3791" s="471">
        <f t="shared" si="174"/>
        <v>0.05</v>
      </c>
      <c r="N3791" s="475">
        <f t="shared" si="175"/>
        <v>166430</v>
      </c>
    </row>
    <row r="3792" spans="7:14" ht="11.25" customHeight="1" x14ac:dyDescent="0.3">
      <c r="G3792" s="470"/>
      <c r="H3792" s="470">
        <v>3785</v>
      </c>
      <c r="I3792" s="455">
        <f t="shared" ca="1" si="173"/>
        <v>2730562141965.1343</v>
      </c>
      <c r="J3792" s="455">
        <f t="array" ref="J3792">IFERROR(INDEX('Retirement Calculator'!J:J,MATCH('Isaac 401k'!N3792,'Retirement Calculator'!A:A,0),0),0)</f>
        <v>0</v>
      </c>
      <c r="K3792" s="455">
        <f t="shared" ca="1" si="171"/>
        <v>11377342258.188059</v>
      </c>
      <c r="L3792" s="455">
        <f t="shared" ca="1" si="172"/>
        <v>2741939484223.3223</v>
      </c>
      <c r="M3792" s="471">
        <f t="shared" si="174"/>
        <v>0.05</v>
      </c>
      <c r="N3792" s="475">
        <f t="shared" si="175"/>
        <v>166460</v>
      </c>
    </row>
    <row r="3793" spans="7:14" ht="11.25" customHeight="1" x14ac:dyDescent="0.3">
      <c r="G3793" s="470"/>
      <c r="H3793" s="470">
        <v>3786</v>
      </c>
      <c r="I3793" s="455">
        <f t="shared" ca="1" si="173"/>
        <v>2741939484223.3223</v>
      </c>
      <c r="J3793" s="455">
        <f t="array" ref="J3793">IFERROR(INDEX('Retirement Calculator'!J:J,MATCH('Isaac 401k'!N3793,'Retirement Calculator'!A:A,0),0),0)</f>
        <v>0</v>
      </c>
      <c r="K3793" s="455">
        <f t="shared" ca="1" si="171"/>
        <v>11424747850.93051</v>
      </c>
      <c r="L3793" s="455">
        <f t="shared" ca="1" si="172"/>
        <v>2753364232074.2529</v>
      </c>
      <c r="M3793" s="471">
        <f t="shared" si="174"/>
        <v>0.05</v>
      </c>
      <c r="N3793" s="475">
        <f t="shared" si="175"/>
        <v>166491</v>
      </c>
    </row>
    <row r="3794" spans="7:14" ht="11.25" customHeight="1" x14ac:dyDescent="0.3">
      <c r="G3794" s="470"/>
      <c r="H3794" s="470">
        <v>3787</v>
      </c>
      <c r="I3794" s="455">
        <f t="shared" ca="1" si="173"/>
        <v>2753364232074.2529</v>
      </c>
      <c r="J3794" s="455">
        <f t="array" ref="J3794">IFERROR(INDEX('Retirement Calculator'!J:J,MATCH('Isaac 401k'!N3794,'Retirement Calculator'!A:A,0),0),0)</f>
        <v>0</v>
      </c>
      <c r="K3794" s="455">
        <f t="shared" ca="1" si="171"/>
        <v>11472350966.976053</v>
      </c>
      <c r="L3794" s="455">
        <f t="shared" ca="1" si="172"/>
        <v>2764836583041.229</v>
      </c>
      <c r="M3794" s="471">
        <f t="shared" si="174"/>
        <v>0.05</v>
      </c>
      <c r="N3794" s="475">
        <f t="shared" si="175"/>
        <v>166521</v>
      </c>
    </row>
    <row r="3795" spans="7:14" ht="11.25" customHeight="1" x14ac:dyDescent="0.3">
      <c r="G3795" s="470"/>
      <c r="H3795" s="470">
        <v>3788</v>
      </c>
      <c r="I3795" s="455">
        <f t="shared" ca="1" si="173"/>
        <v>2764836583041.229</v>
      </c>
      <c r="J3795" s="455">
        <f t="array" ref="J3795">IFERROR(INDEX('Retirement Calculator'!J:J,MATCH('Isaac 401k'!N3795,'Retirement Calculator'!A:A,0),0),0)</f>
        <v>0</v>
      </c>
      <c r="K3795" s="455">
        <f t="shared" ca="1" si="171"/>
        <v>11520152429.338453</v>
      </c>
      <c r="L3795" s="455">
        <f t="shared" ca="1" si="172"/>
        <v>2776356735470.5674</v>
      </c>
      <c r="M3795" s="471">
        <f t="shared" si="174"/>
        <v>0.05</v>
      </c>
      <c r="N3795" s="475">
        <f t="shared" si="175"/>
        <v>166552</v>
      </c>
    </row>
    <row r="3796" spans="7:14" ht="11.25" customHeight="1" x14ac:dyDescent="0.3">
      <c r="G3796" s="470"/>
      <c r="H3796" s="470">
        <v>3789</v>
      </c>
      <c r="I3796" s="455">
        <f t="shared" ca="1" si="173"/>
        <v>2776356735470.5674</v>
      </c>
      <c r="J3796" s="455">
        <f t="array" ref="J3796">IFERROR(INDEX('Retirement Calculator'!J:J,MATCH('Isaac 401k'!N3796,'Retirement Calculator'!A:A,0),0),0)</f>
        <v>0</v>
      </c>
      <c r="K3796" s="455">
        <f t="shared" ca="1" si="171"/>
        <v>11568153064.460697</v>
      </c>
      <c r="L3796" s="455">
        <f t="shared" ca="1" si="172"/>
        <v>2787924888535.0283</v>
      </c>
      <c r="M3796" s="471">
        <f t="shared" si="174"/>
        <v>0.05</v>
      </c>
      <c r="N3796" s="475">
        <f t="shared" si="175"/>
        <v>166583</v>
      </c>
    </row>
    <row r="3797" spans="7:14" ht="11.25" customHeight="1" x14ac:dyDescent="0.3">
      <c r="G3797" s="470"/>
      <c r="H3797" s="470">
        <v>3790</v>
      </c>
      <c r="I3797" s="455">
        <f t="shared" ca="1" si="173"/>
        <v>2787924888535.0283</v>
      </c>
      <c r="J3797" s="455">
        <f t="array" ref="J3797">IFERROR(INDEX('Retirement Calculator'!J:J,MATCH('Isaac 401k'!N3797,'Retirement Calculator'!A:A,0),0),0)</f>
        <v>0</v>
      </c>
      <c r="K3797" s="455">
        <f t="shared" ca="1" si="171"/>
        <v>11616353702.229284</v>
      </c>
      <c r="L3797" s="455">
        <f t="shared" ca="1" si="172"/>
        <v>2799541242237.2578</v>
      </c>
      <c r="M3797" s="471">
        <f t="shared" si="174"/>
        <v>0.05</v>
      </c>
      <c r="N3797" s="475">
        <f t="shared" si="175"/>
        <v>166612</v>
      </c>
    </row>
    <row r="3798" spans="7:14" ht="11.25" customHeight="1" x14ac:dyDescent="0.3">
      <c r="G3798" s="470"/>
      <c r="H3798" s="470">
        <v>3791</v>
      </c>
      <c r="I3798" s="455">
        <f t="shared" ca="1" si="173"/>
        <v>2799541242237.2578</v>
      </c>
      <c r="J3798" s="455">
        <f t="array" ref="J3798">IFERROR(INDEX('Retirement Calculator'!J:J,MATCH('Isaac 401k'!N3798,'Retirement Calculator'!A:A,0),0),0)</f>
        <v>0</v>
      </c>
      <c r="K3798" s="455">
        <f t="shared" ca="1" si="171"/>
        <v>11664755175.988575</v>
      </c>
      <c r="L3798" s="455">
        <f t="shared" ca="1" si="172"/>
        <v>2811205997413.2466</v>
      </c>
      <c r="M3798" s="471">
        <f t="shared" si="174"/>
        <v>0.05</v>
      </c>
      <c r="N3798" s="475">
        <f t="shared" si="175"/>
        <v>166643</v>
      </c>
    </row>
    <row r="3799" spans="7:14" ht="11.25" customHeight="1" x14ac:dyDescent="0.3">
      <c r="G3799" s="470"/>
      <c r="H3799" s="470">
        <v>3792</v>
      </c>
      <c r="I3799" s="455">
        <f t="shared" ca="1" si="173"/>
        <v>2811205997413.2466</v>
      </c>
      <c r="J3799" s="455">
        <f t="array" ref="J3799">IFERROR(INDEX('Retirement Calculator'!J:J,MATCH('Isaac 401k'!N3799,'Retirement Calculator'!A:A,0),0),0)</f>
        <v>0</v>
      </c>
      <c r="K3799" s="455">
        <f t="shared" ca="1" si="171"/>
        <v>11713358322.555195</v>
      </c>
      <c r="L3799" s="455">
        <f t="shared" ca="1" si="172"/>
        <v>2822919355735.8018</v>
      </c>
      <c r="M3799" s="471">
        <f t="shared" si="174"/>
        <v>0.05</v>
      </c>
      <c r="N3799" s="475">
        <f t="shared" si="175"/>
        <v>166673</v>
      </c>
    </row>
    <row r="3800" spans="7:14" ht="11.25" customHeight="1" x14ac:dyDescent="0.3">
      <c r="G3800" s="470"/>
      <c r="H3800" s="470">
        <v>3793</v>
      </c>
      <c r="I3800" s="455">
        <f t="shared" ca="1" si="173"/>
        <v>2822919355735.8018</v>
      </c>
      <c r="J3800" s="455">
        <f t="array" ref="J3800">IFERROR(INDEX('Retirement Calculator'!J:J,MATCH('Isaac 401k'!N3800,'Retirement Calculator'!A:A,0),0),0)</f>
        <v>0</v>
      </c>
      <c r="K3800" s="455">
        <f t="shared" ca="1" si="171"/>
        <v>11762163982.232508</v>
      </c>
      <c r="L3800" s="455">
        <f t="shared" ca="1" si="172"/>
        <v>2834681519718.0342</v>
      </c>
      <c r="M3800" s="471">
        <f t="shared" si="174"/>
        <v>0.05</v>
      </c>
      <c r="N3800" s="475">
        <f t="shared" si="175"/>
        <v>166704</v>
      </c>
    </row>
    <row r="3801" spans="7:14" ht="11.25" customHeight="1" x14ac:dyDescent="0.3">
      <c r="G3801" s="470"/>
      <c r="H3801" s="470">
        <v>3794</v>
      </c>
      <c r="I3801" s="455">
        <f t="shared" ca="1" si="173"/>
        <v>2834681519718.0342</v>
      </c>
      <c r="J3801" s="455">
        <f t="array" ref="J3801">IFERROR(INDEX('Retirement Calculator'!J:J,MATCH('Isaac 401k'!N3801,'Retirement Calculator'!A:A,0),0),0)</f>
        <v>0</v>
      </c>
      <c r="K3801" s="455">
        <f t="shared" ca="1" si="171"/>
        <v>11811172998.825142</v>
      </c>
      <c r="L3801" s="455">
        <f t="shared" ca="1" si="172"/>
        <v>2846492692716.8594</v>
      </c>
      <c r="M3801" s="471">
        <f t="shared" si="174"/>
        <v>0.05</v>
      </c>
      <c r="N3801" s="475">
        <f t="shared" si="175"/>
        <v>166734</v>
      </c>
    </row>
    <row r="3802" spans="7:14" ht="11.25" customHeight="1" x14ac:dyDescent="0.3">
      <c r="G3802" s="470"/>
      <c r="H3802" s="470">
        <v>3795</v>
      </c>
      <c r="I3802" s="455">
        <f t="shared" ca="1" si="173"/>
        <v>2846492692716.8594</v>
      </c>
      <c r="J3802" s="455">
        <f t="array" ref="J3802">IFERROR(INDEX('Retirement Calculator'!J:J,MATCH('Isaac 401k'!N3802,'Retirement Calculator'!A:A,0),0),0)</f>
        <v>0</v>
      </c>
      <c r="K3802" s="455">
        <f t="shared" ca="1" si="171"/>
        <v>11860386219.65358</v>
      </c>
      <c r="L3802" s="455">
        <f t="shared" ca="1" si="172"/>
        <v>2858353078936.5132</v>
      </c>
      <c r="M3802" s="471">
        <f t="shared" si="174"/>
        <v>0.05</v>
      </c>
      <c r="N3802" s="475">
        <f t="shared" si="175"/>
        <v>166765</v>
      </c>
    </row>
    <row r="3803" spans="7:14" ht="11.25" customHeight="1" x14ac:dyDescent="0.3">
      <c r="G3803" s="470"/>
      <c r="H3803" s="470">
        <v>3796</v>
      </c>
      <c r="I3803" s="455">
        <f t="shared" ca="1" si="173"/>
        <v>2858353078936.5132</v>
      </c>
      <c r="J3803" s="455">
        <f t="array" ref="J3803">IFERROR(INDEX('Retirement Calculator'!J:J,MATCH('Isaac 401k'!N3803,'Retirement Calculator'!A:A,0),0),0)</f>
        <v>0</v>
      </c>
      <c r="K3803" s="455">
        <f t="shared" ca="1" si="171"/>
        <v>11909804495.568806</v>
      </c>
      <c r="L3803" s="455">
        <f t="shared" ca="1" si="172"/>
        <v>2870262883432.082</v>
      </c>
      <c r="M3803" s="471">
        <f t="shared" si="174"/>
        <v>0.05</v>
      </c>
      <c r="N3803" s="475">
        <f t="shared" si="175"/>
        <v>166796</v>
      </c>
    </row>
    <row r="3804" spans="7:14" ht="11.25" customHeight="1" x14ac:dyDescent="0.3">
      <c r="G3804" s="470"/>
      <c r="H3804" s="470">
        <v>3797</v>
      </c>
      <c r="I3804" s="455">
        <f t="shared" ca="1" si="173"/>
        <v>2870262883432.082</v>
      </c>
      <c r="J3804" s="455">
        <f t="array" ref="J3804">IFERROR(INDEX('Retirement Calculator'!J:J,MATCH('Isaac 401k'!N3804,'Retirement Calculator'!A:A,0),0),0)</f>
        <v>0</v>
      </c>
      <c r="K3804" s="455">
        <f t="shared" ca="1" si="171"/>
        <v>11959428680.967009</v>
      </c>
      <c r="L3804" s="455">
        <f t="shared" ca="1" si="172"/>
        <v>2882222312113.0488</v>
      </c>
      <c r="M3804" s="471">
        <f t="shared" si="174"/>
        <v>0.05</v>
      </c>
      <c r="N3804" s="475">
        <f t="shared" si="175"/>
        <v>166826</v>
      </c>
    </row>
    <row r="3805" spans="7:14" ht="11.25" customHeight="1" x14ac:dyDescent="0.3">
      <c r="G3805" s="470"/>
      <c r="H3805" s="470">
        <v>3798</v>
      </c>
      <c r="I3805" s="455">
        <f t="shared" ca="1" si="173"/>
        <v>2882222312113.0488</v>
      </c>
      <c r="J3805" s="455">
        <f t="array" ref="J3805">IFERROR(INDEX('Retirement Calculator'!J:J,MATCH('Isaac 401k'!N3805,'Retirement Calculator'!A:A,0),0),0)</f>
        <v>0</v>
      </c>
      <c r="K3805" s="455">
        <f t="shared" ca="1" si="171"/>
        <v>12009259633.804371</v>
      </c>
      <c r="L3805" s="455">
        <f t="shared" ca="1" si="172"/>
        <v>2894231571746.853</v>
      </c>
      <c r="M3805" s="471">
        <f t="shared" si="174"/>
        <v>0.05</v>
      </c>
      <c r="N3805" s="475">
        <f t="shared" si="175"/>
        <v>166857</v>
      </c>
    </row>
    <row r="3806" spans="7:14" ht="11.25" customHeight="1" x14ac:dyDescent="0.3">
      <c r="G3806" s="470"/>
      <c r="H3806" s="470">
        <v>3799</v>
      </c>
      <c r="I3806" s="455">
        <f t="shared" ca="1" si="173"/>
        <v>2894231571746.853</v>
      </c>
      <c r="J3806" s="455">
        <f t="array" ref="J3806">IFERROR(INDEX('Retirement Calculator'!J:J,MATCH('Isaac 401k'!N3806,'Retirement Calculator'!A:A,0),0),0)</f>
        <v>0</v>
      </c>
      <c r="K3806" s="455">
        <f t="shared" ca="1" si="171"/>
        <v>12059298215.611887</v>
      </c>
      <c r="L3806" s="455">
        <f t="shared" ca="1" si="172"/>
        <v>2906290869962.4648</v>
      </c>
      <c r="M3806" s="471">
        <f t="shared" si="174"/>
        <v>0.05</v>
      </c>
      <c r="N3806" s="475">
        <f t="shared" si="175"/>
        <v>166887</v>
      </c>
    </row>
    <row r="3807" spans="7:14" ht="11.25" customHeight="1" x14ac:dyDescent="0.3">
      <c r="G3807" s="470"/>
      <c r="H3807" s="470">
        <v>3800</v>
      </c>
      <c r="I3807" s="455">
        <f t="shared" ca="1" si="173"/>
        <v>2906290869962.4648</v>
      </c>
      <c r="J3807" s="455">
        <f t="array" ref="J3807">IFERROR(INDEX('Retirement Calculator'!J:J,MATCH('Isaac 401k'!N3807,'Retirement Calculator'!A:A,0),0),0)</f>
        <v>0</v>
      </c>
      <c r="K3807" s="455">
        <f t="shared" ca="1" si="171"/>
        <v>12109545291.510269</v>
      </c>
      <c r="L3807" s="455">
        <f t="shared" ca="1" si="172"/>
        <v>2918400415253.9751</v>
      </c>
      <c r="M3807" s="471">
        <f t="shared" si="174"/>
        <v>0.05</v>
      </c>
      <c r="N3807" s="475">
        <f t="shared" si="175"/>
        <v>166918</v>
      </c>
    </row>
    <row r="3808" spans="7:14" ht="11.25" customHeight="1" x14ac:dyDescent="0.3">
      <c r="G3808" s="470"/>
      <c r="H3808" s="470">
        <v>3801</v>
      </c>
      <c r="I3808" s="455">
        <f t="shared" ca="1" si="173"/>
        <v>2918400415253.9751</v>
      </c>
      <c r="J3808" s="455">
        <f t="array" ref="J3808">IFERROR(INDEX('Retirement Calculator'!J:J,MATCH('Isaac 401k'!N3808,'Retirement Calculator'!A:A,0),0),0)</f>
        <v>0</v>
      </c>
      <c r="K3808" s="455">
        <f t="shared" ca="1" si="171"/>
        <v>12160001730.224895</v>
      </c>
      <c r="L3808" s="455">
        <f t="shared" ca="1" si="172"/>
        <v>2930560416984.2002</v>
      </c>
      <c r="M3808" s="471">
        <f t="shared" si="174"/>
        <v>0.05</v>
      </c>
      <c r="N3808" s="475">
        <f t="shared" si="175"/>
        <v>166949</v>
      </c>
    </row>
    <row r="3809" spans="7:14" ht="11.25" customHeight="1" x14ac:dyDescent="0.3">
      <c r="G3809" s="470"/>
      <c r="H3809" s="470">
        <v>3802</v>
      </c>
      <c r="I3809" s="455">
        <f t="shared" ca="1" si="173"/>
        <v>2930560416984.2002</v>
      </c>
      <c r="J3809" s="455">
        <f t="array" ref="J3809">IFERROR(INDEX('Retirement Calculator'!J:J,MATCH('Isaac 401k'!N3809,'Retirement Calculator'!A:A,0),0),0)</f>
        <v>0</v>
      </c>
      <c r="K3809" s="455">
        <f t="shared" ca="1" si="171"/>
        <v>12210668404.100834</v>
      </c>
      <c r="L3809" s="455">
        <f t="shared" ca="1" si="172"/>
        <v>2942771085388.3013</v>
      </c>
      <c r="M3809" s="471">
        <f t="shared" si="174"/>
        <v>0.05</v>
      </c>
      <c r="N3809" s="475">
        <f t="shared" si="175"/>
        <v>166977</v>
      </c>
    </row>
    <row r="3810" spans="7:14" ht="11.25" customHeight="1" x14ac:dyDescent="0.3">
      <c r="G3810" s="470"/>
      <c r="H3810" s="470">
        <v>3803</v>
      </c>
      <c r="I3810" s="455">
        <f t="shared" ca="1" si="173"/>
        <v>2942771085388.3013</v>
      </c>
      <c r="J3810" s="455">
        <f t="array" ref="J3810">IFERROR(INDEX('Retirement Calculator'!J:J,MATCH('Isaac 401k'!N3810,'Retirement Calculator'!A:A,0),0),0)</f>
        <v>0</v>
      </c>
      <c r="K3810" s="455">
        <f t="shared" ca="1" si="171"/>
        <v>12261546189.117922</v>
      </c>
      <c r="L3810" s="455">
        <f t="shared" ca="1" si="172"/>
        <v>2955032631577.4194</v>
      </c>
      <c r="M3810" s="471">
        <f t="shared" si="174"/>
        <v>0.05</v>
      </c>
      <c r="N3810" s="475">
        <f t="shared" si="175"/>
        <v>167008</v>
      </c>
    </row>
    <row r="3811" spans="7:14" ht="11.25" customHeight="1" x14ac:dyDescent="0.3">
      <c r="G3811" s="470"/>
      <c r="H3811" s="470">
        <v>3804</v>
      </c>
      <c r="I3811" s="455">
        <f t="shared" ca="1" si="173"/>
        <v>2955032631577.4194</v>
      </c>
      <c r="J3811" s="455">
        <f t="array" ref="J3811">IFERROR(INDEX('Retirement Calculator'!J:J,MATCH('Isaac 401k'!N3811,'Retirement Calculator'!A:A,0),0),0)</f>
        <v>0</v>
      </c>
      <c r="K3811" s="455">
        <f t="shared" ca="1" si="171"/>
        <v>12312635964.905914</v>
      </c>
      <c r="L3811" s="455">
        <f t="shared" ca="1" si="172"/>
        <v>2967345267542.3252</v>
      </c>
      <c r="M3811" s="471">
        <f t="shared" si="174"/>
        <v>0.05</v>
      </c>
      <c r="N3811" s="475">
        <f t="shared" si="175"/>
        <v>167038</v>
      </c>
    </row>
    <row r="3812" spans="7:14" ht="11.25" customHeight="1" x14ac:dyDescent="0.3">
      <c r="G3812" s="470"/>
      <c r="H3812" s="470">
        <v>3805</v>
      </c>
      <c r="I3812" s="455">
        <f t="shared" ca="1" si="173"/>
        <v>2967345267542.3252</v>
      </c>
      <c r="J3812" s="455">
        <f t="array" ref="J3812">IFERROR(INDEX('Retirement Calculator'!J:J,MATCH('Isaac 401k'!N3812,'Retirement Calculator'!A:A,0),0),0)</f>
        <v>0</v>
      </c>
      <c r="K3812" s="455">
        <f t="shared" ca="1" si="171"/>
        <v>12363938614.759687</v>
      </c>
      <c r="L3812" s="455">
        <f t="shared" ca="1" si="172"/>
        <v>2979709206157.085</v>
      </c>
      <c r="M3812" s="471">
        <f t="shared" si="174"/>
        <v>0.05</v>
      </c>
      <c r="N3812" s="475">
        <f t="shared" si="175"/>
        <v>167069</v>
      </c>
    </row>
    <row r="3813" spans="7:14" ht="11.25" customHeight="1" x14ac:dyDescent="0.3">
      <c r="G3813" s="470"/>
      <c r="H3813" s="470">
        <v>3806</v>
      </c>
      <c r="I3813" s="455">
        <f t="shared" ca="1" si="173"/>
        <v>2979709206157.085</v>
      </c>
      <c r="J3813" s="455">
        <f t="array" ref="J3813">IFERROR(INDEX('Retirement Calculator'!J:J,MATCH('Isaac 401k'!N3813,'Retirement Calculator'!A:A,0),0),0)</f>
        <v>0</v>
      </c>
      <c r="K3813" s="455">
        <f t="shared" ca="1" si="171"/>
        <v>12415455025.65452</v>
      </c>
      <c r="L3813" s="455">
        <f t="shared" ca="1" si="172"/>
        <v>2992124661182.7393</v>
      </c>
      <c r="M3813" s="471">
        <f t="shared" si="174"/>
        <v>0.05</v>
      </c>
      <c r="N3813" s="475">
        <f t="shared" si="175"/>
        <v>167099</v>
      </c>
    </row>
    <row r="3814" spans="7:14" ht="11.25" customHeight="1" x14ac:dyDescent="0.3">
      <c r="G3814" s="470"/>
      <c r="H3814" s="470">
        <v>3807</v>
      </c>
      <c r="I3814" s="455">
        <f t="shared" ca="1" si="173"/>
        <v>2992124661182.7393</v>
      </c>
      <c r="J3814" s="455">
        <f t="array" ref="J3814">IFERROR(INDEX('Retirement Calculator'!J:J,MATCH('Isaac 401k'!N3814,'Retirement Calculator'!A:A,0),0),0)</f>
        <v>0</v>
      </c>
      <c r="K3814" s="455">
        <f t="shared" ca="1" si="171"/>
        <v>12467186088.261414</v>
      </c>
      <c r="L3814" s="455">
        <f t="shared" ca="1" si="172"/>
        <v>3004591847271.0005</v>
      </c>
      <c r="M3814" s="471">
        <f t="shared" si="174"/>
        <v>0.05</v>
      </c>
      <c r="N3814" s="475">
        <f t="shared" si="175"/>
        <v>167130</v>
      </c>
    </row>
    <row r="3815" spans="7:14" ht="11.25" customHeight="1" x14ac:dyDescent="0.3">
      <c r="G3815" s="470"/>
      <c r="H3815" s="470">
        <v>3808</v>
      </c>
      <c r="I3815" s="455">
        <f t="shared" ca="1" si="173"/>
        <v>3004591847271.0005</v>
      </c>
      <c r="J3815" s="455">
        <f t="array" ref="J3815">IFERROR(INDEX('Retirement Calculator'!J:J,MATCH('Isaac 401k'!N3815,'Retirement Calculator'!A:A,0),0),0)</f>
        <v>0</v>
      </c>
      <c r="K3815" s="455">
        <f t="shared" ca="1" si="171"/>
        <v>12519132696.962502</v>
      </c>
      <c r="L3815" s="455">
        <f t="shared" ca="1" si="172"/>
        <v>3017110979967.9629</v>
      </c>
      <c r="M3815" s="471">
        <f t="shared" si="174"/>
        <v>0.05</v>
      </c>
      <c r="N3815" s="475">
        <f t="shared" si="175"/>
        <v>167161</v>
      </c>
    </row>
    <row r="3816" spans="7:14" ht="11.25" customHeight="1" x14ac:dyDescent="0.3">
      <c r="G3816" s="470"/>
      <c r="H3816" s="470">
        <v>3809</v>
      </c>
      <c r="I3816" s="455">
        <f t="shared" ca="1" si="173"/>
        <v>3017110979967.9629</v>
      </c>
      <c r="J3816" s="455">
        <f t="array" ref="J3816">IFERROR(INDEX('Retirement Calculator'!J:J,MATCH('Isaac 401k'!N3816,'Retirement Calculator'!A:A,0),0),0)</f>
        <v>0</v>
      </c>
      <c r="K3816" s="455">
        <f t="shared" ca="1" si="171"/>
        <v>12571295749.866512</v>
      </c>
      <c r="L3816" s="455">
        <f t="shared" ca="1" si="172"/>
        <v>3029682275717.8296</v>
      </c>
      <c r="M3816" s="471">
        <f t="shared" si="174"/>
        <v>0.05</v>
      </c>
      <c r="N3816" s="475">
        <f t="shared" si="175"/>
        <v>167191</v>
      </c>
    </row>
    <row r="3817" spans="7:14" ht="11.25" customHeight="1" x14ac:dyDescent="0.3">
      <c r="G3817" s="470"/>
      <c r="H3817" s="470">
        <v>3810</v>
      </c>
      <c r="I3817" s="455">
        <f t="shared" ca="1" si="173"/>
        <v>3029682275717.8296</v>
      </c>
      <c r="J3817" s="455">
        <f t="array" ref="J3817">IFERROR(INDEX('Retirement Calculator'!J:J,MATCH('Isaac 401k'!N3817,'Retirement Calculator'!A:A,0),0),0)</f>
        <v>0</v>
      </c>
      <c r="K3817" s="455">
        <f t="shared" ca="1" si="171"/>
        <v>12623676148.824289</v>
      </c>
      <c r="L3817" s="455">
        <f t="shared" ca="1" si="172"/>
        <v>3042305951866.6538</v>
      </c>
      <c r="M3817" s="471">
        <f t="shared" si="174"/>
        <v>0.05</v>
      </c>
      <c r="N3817" s="475">
        <f t="shared" si="175"/>
        <v>167222</v>
      </c>
    </row>
    <row r="3818" spans="7:14" ht="11.25" customHeight="1" x14ac:dyDescent="0.3">
      <c r="G3818" s="470"/>
      <c r="H3818" s="470">
        <v>3811</v>
      </c>
      <c r="I3818" s="455">
        <f t="shared" ca="1" si="173"/>
        <v>3042305951866.6538</v>
      </c>
      <c r="J3818" s="455">
        <f t="array" ref="J3818">IFERROR(INDEX('Retirement Calculator'!J:J,MATCH('Isaac 401k'!N3818,'Retirement Calculator'!A:A,0),0),0)</f>
        <v>0</v>
      </c>
      <c r="K3818" s="455">
        <f t="shared" ca="1" si="171"/>
        <v>12676274799.444391</v>
      </c>
      <c r="L3818" s="455">
        <f t="shared" ca="1" si="172"/>
        <v>3054982226666.0981</v>
      </c>
      <c r="M3818" s="471">
        <f t="shared" si="174"/>
        <v>0.05</v>
      </c>
      <c r="N3818" s="475">
        <f t="shared" si="175"/>
        <v>167252</v>
      </c>
    </row>
    <row r="3819" spans="7:14" ht="11.25" customHeight="1" x14ac:dyDescent="0.3">
      <c r="G3819" s="470"/>
      <c r="H3819" s="470">
        <v>3812</v>
      </c>
      <c r="I3819" s="455">
        <f t="shared" ca="1" si="173"/>
        <v>3054982226666.0981</v>
      </c>
      <c r="J3819" s="455">
        <f t="array" ref="J3819">IFERROR(INDEX('Retirement Calculator'!J:J,MATCH('Isaac 401k'!N3819,'Retirement Calculator'!A:A,0),0),0)</f>
        <v>0</v>
      </c>
      <c r="K3819" s="455">
        <f t="shared" ca="1" si="171"/>
        <v>12729092611.108742</v>
      </c>
      <c r="L3819" s="455">
        <f t="shared" ca="1" si="172"/>
        <v>3067711319277.207</v>
      </c>
      <c r="M3819" s="471">
        <f t="shared" si="174"/>
        <v>0.05</v>
      </c>
      <c r="N3819" s="475">
        <f t="shared" si="175"/>
        <v>167283</v>
      </c>
    </row>
    <row r="3820" spans="7:14" ht="11.25" customHeight="1" x14ac:dyDescent="0.3">
      <c r="G3820" s="470"/>
      <c r="H3820" s="470">
        <v>3813</v>
      </c>
      <c r="I3820" s="455">
        <f t="shared" ca="1" si="173"/>
        <v>3067711319277.207</v>
      </c>
      <c r="J3820" s="455">
        <f t="array" ref="J3820">IFERROR(INDEX('Retirement Calculator'!J:J,MATCH('Isaac 401k'!N3820,'Retirement Calculator'!A:A,0),0),0)</f>
        <v>0</v>
      </c>
      <c r="K3820" s="455">
        <f t="shared" ca="1" si="171"/>
        <v>12782130496.988363</v>
      </c>
      <c r="L3820" s="455">
        <f t="shared" ca="1" si="172"/>
        <v>3080493449774.1953</v>
      </c>
      <c r="M3820" s="471">
        <f t="shared" si="174"/>
        <v>0.05</v>
      </c>
      <c r="N3820" s="475">
        <f t="shared" si="175"/>
        <v>167314</v>
      </c>
    </row>
    <row r="3821" spans="7:14" ht="11.25" customHeight="1" x14ac:dyDescent="0.3">
      <c r="G3821" s="470"/>
      <c r="H3821" s="470">
        <v>3814</v>
      </c>
      <c r="I3821" s="455">
        <f t="shared" ca="1" si="173"/>
        <v>3080493449774.1953</v>
      </c>
      <c r="J3821" s="455">
        <f t="array" ref="J3821">IFERROR(INDEX('Retirement Calculator'!J:J,MATCH('Isaac 401k'!N3821,'Retirement Calculator'!A:A,0),0),0)</f>
        <v>0</v>
      </c>
      <c r="K3821" s="455">
        <f t="shared" ca="1" si="171"/>
        <v>12835389374.059147</v>
      </c>
      <c r="L3821" s="455">
        <f t="shared" ca="1" si="172"/>
        <v>3093328839148.2544</v>
      </c>
      <c r="M3821" s="471">
        <f t="shared" si="174"/>
        <v>0.05</v>
      </c>
      <c r="N3821" s="475">
        <f t="shared" si="175"/>
        <v>167342</v>
      </c>
    </row>
    <row r="3822" spans="7:14" ht="11.25" customHeight="1" x14ac:dyDescent="0.3">
      <c r="G3822" s="470"/>
      <c r="H3822" s="470">
        <v>3815</v>
      </c>
      <c r="I3822" s="455">
        <f t="shared" ca="1" si="173"/>
        <v>3093328839148.2544</v>
      </c>
      <c r="J3822" s="455">
        <f t="array" ref="J3822">IFERROR(INDEX('Retirement Calculator'!J:J,MATCH('Isaac 401k'!N3822,'Retirement Calculator'!A:A,0),0),0)</f>
        <v>0</v>
      </c>
      <c r="K3822" s="455">
        <f t="shared" ca="1" si="171"/>
        <v>12888870163.117727</v>
      </c>
      <c r="L3822" s="455">
        <f t="shared" ca="1" si="172"/>
        <v>3106217709311.3721</v>
      </c>
      <c r="M3822" s="471">
        <f t="shared" si="174"/>
        <v>0.05</v>
      </c>
      <c r="N3822" s="475">
        <f t="shared" si="175"/>
        <v>167373</v>
      </c>
    </row>
    <row r="3823" spans="7:14" ht="11.25" customHeight="1" x14ac:dyDescent="0.3">
      <c r="G3823" s="470"/>
      <c r="H3823" s="470">
        <v>3816</v>
      </c>
      <c r="I3823" s="455">
        <f t="shared" ca="1" si="173"/>
        <v>3106217709311.3721</v>
      </c>
      <c r="J3823" s="455">
        <f t="array" ref="J3823">IFERROR(INDEX('Retirement Calculator'!J:J,MATCH('Isaac 401k'!N3823,'Retirement Calculator'!A:A,0),0),0)</f>
        <v>0</v>
      </c>
      <c r="K3823" s="455">
        <f t="shared" ca="1" si="171"/>
        <v>12942573788.797384</v>
      </c>
      <c r="L3823" s="455">
        <f t="shared" ca="1" si="172"/>
        <v>3119160283100.1694</v>
      </c>
      <c r="M3823" s="471">
        <f t="shared" si="174"/>
        <v>0.05</v>
      </c>
      <c r="N3823" s="475">
        <f t="shared" si="175"/>
        <v>167403</v>
      </c>
    </row>
    <row r="3824" spans="7:14" ht="11.25" customHeight="1" x14ac:dyDescent="0.3">
      <c r="G3824" s="470"/>
      <c r="H3824" s="470">
        <v>3817</v>
      </c>
      <c r="I3824" s="455">
        <f t="shared" ca="1" si="173"/>
        <v>3119160283100.1694</v>
      </c>
      <c r="J3824" s="455">
        <f t="array" ref="J3824">IFERROR(INDEX('Retirement Calculator'!J:J,MATCH('Isaac 401k'!N3824,'Retirement Calculator'!A:A,0),0),0)</f>
        <v>0</v>
      </c>
      <c r="K3824" s="455">
        <f t="shared" ca="1" si="171"/>
        <v>12996501179.58404</v>
      </c>
      <c r="L3824" s="455">
        <f t="shared" ca="1" si="172"/>
        <v>3132156784279.7534</v>
      </c>
      <c r="M3824" s="471">
        <f t="shared" si="174"/>
        <v>0.05</v>
      </c>
      <c r="N3824" s="475">
        <f t="shared" si="175"/>
        <v>167434</v>
      </c>
    </row>
    <row r="3825" spans="7:14" ht="11.25" customHeight="1" x14ac:dyDescent="0.3">
      <c r="G3825" s="470"/>
      <c r="H3825" s="470">
        <v>3818</v>
      </c>
      <c r="I3825" s="455">
        <f t="shared" ca="1" si="173"/>
        <v>3132156784279.7534</v>
      </c>
      <c r="J3825" s="455">
        <f t="array" ref="J3825">IFERROR(INDEX('Retirement Calculator'!J:J,MATCH('Isaac 401k'!N3825,'Retirement Calculator'!A:A,0),0),0)</f>
        <v>0</v>
      </c>
      <c r="K3825" s="455">
        <f t="shared" ca="1" si="171"/>
        <v>13050653267.832306</v>
      </c>
      <c r="L3825" s="455">
        <f t="shared" ca="1" si="172"/>
        <v>3145207437547.5859</v>
      </c>
      <c r="M3825" s="471">
        <f t="shared" si="174"/>
        <v>0.05</v>
      </c>
      <c r="N3825" s="475">
        <f t="shared" si="175"/>
        <v>167464</v>
      </c>
    </row>
    <row r="3826" spans="7:14" ht="11.25" customHeight="1" x14ac:dyDescent="0.3">
      <c r="G3826" s="470"/>
      <c r="H3826" s="470">
        <v>3819</v>
      </c>
      <c r="I3826" s="455">
        <f t="shared" ca="1" si="173"/>
        <v>3145207437547.5859</v>
      </c>
      <c r="J3826" s="455">
        <f t="array" ref="J3826">IFERROR(INDEX('Retirement Calculator'!J:J,MATCH('Isaac 401k'!N3826,'Retirement Calculator'!A:A,0),0),0)</f>
        <v>0</v>
      </c>
      <c r="K3826" s="455">
        <f t="shared" ca="1" si="171"/>
        <v>13105030989.781609</v>
      </c>
      <c r="L3826" s="455">
        <f t="shared" ca="1" si="172"/>
        <v>3158312468537.3677</v>
      </c>
      <c r="M3826" s="471">
        <f t="shared" si="174"/>
        <v>0.05</v>
      </c>
      <c r="N3826" s="475">
        <f t="shared" si="175"/>
        <v>167495</v>
      </c>
    </row>
    <row r="3827" spans="7:14" ht="11.25" customHeight="1" x14ac:dyDescent="0.3">
      <c r="G3827" s="470"/>
      <c r="H3827" s="470">
        <v>3820</v>
      </c>
      <c r="I3827" s="455">
        <f t="shared" ca="1" si="173"/>
        <v>3158312468537.3677</v>
      </c>
      <c r="J3827" s="455">
        <f t="array" ref="J3827">IFERROR(INDEX('Retirement Calculator'!J:J,MATCH('Isaac 401k'!N3827,'Retirement Calculator'!A:A,0),0),0)</f>
        <v>0</v>
      </c>
      <c r="K3827" s="455">
        <f t="shared" ca="1" si="171"/>
        <v>13159635285.572365</v>
      </c>
      <c r="L3827" s="455">
        <f t="shared" ca="1" si="172"/>
        <v>3171472103822.9399</v>
      </c>
      <c r="M3827" s="471">
        <f t="shared" si="174"/>
        <v>0.05</v>
      </c>
      <c r="N3827" s="475">
        <f t="shared" si="175"/>
        <v>167526</v>
      </c>
    </row>
    <row r="3828" spans="7:14" ht="11.25" customHeight="1" x14ac:dyDescent="0.3">
      <c r="G3828" s="470"/>
      <c r="H3828" s="470">
        <v>3821</v>
      </c>
      <c r="I3828" s="455">
        <f t="shared" ca="1" si="173"/>
        <v>3171472103822.9399</v>
      </c>
      <c r="J3828" s="455">
        <f t="array" ref="J3828">IFERROR(INDEX('Retirement Calculator'!J:J,MATCH('Isaac 401k'!N3828,'Retirement Calculator'!A:A,0),0),0)</f>
        <v>0</v>
      </c>
      <c r="K3828" s="455">
        <f t="shared" ca="1" si="171"/>
        <v>13214467099.262249</v>
      </c>
      <c r="L3828" s="455">
        <f t="shared" ca="1" si="172"/>
        <v>3184686570922.2021</v>
      </c>
      <c r="M3828" s="471">
        <f t="shared" si="174"/>
        <v>0.05</v>
      </c>
      <c r="N3828" s="475">
        <f t="shared" si="175"/>
        <v>167556</v>
      </c>
    </row>
    <row r="3829" spans="7:14" ht="11.25" customHeight="1" x14ac:dyDescent="0.3">
      <c r="G3829" s="470"/>
      <c r="H3829" s="470">
        <v>3822</v>
      </c>
      <c r="I3829" s="455">
        <f t="shared" ca="1" si="173"/>
        <v>3184686570922.2021</v>
      </c>
      <c r="J3829" s="455">
        <f t="array" ref="J3829">IFERROR(INDEX('Retirement Calculator'!J:J,MATCH('Isaac 401k'!N3829,'Retirement Calculator'!A:A,0),0),0)</f>
        <v>0</v>
      </c>
      <c r="K3829" s="455">
        <f t="shared" ca="1" si="171"/>
        <v>13269527378.842508</v>
      </c>
      <c r="L3829" s="455">
        <f t="shared" ca="1" si="172"/>
        <v>3197956098301.0444</v>
      </c>
      <c r="M3829" s="471">
        <f t="shared" si="174"/>
        <v>0.05</v>
      </c>
      <c r="N3829" s="475">
        <f t="shared" si="175"/>
        <v>167587</v>
      </c>
    </row>
    <row r="3830" spans="7:14" ht="11.25" customHeight="1" x14ac:dyDescent="0.3">
      <c r="G3830" s="470"/>
      <c r="H3830" s="470">
        <v>3823</v>
      </c>
      <c r="I3830" s="455">
        <f t="shared" ca="1" si="173"/>
        <v>3197956098301.0444</v>
      </c>
      <c r="J3830" s="455">
        <f t="array" ref="J3830">IFERROR(INDEX('Retirement Calculator'!J:J,MATCH('Isaac 401k'!N3830,'Retirement Calculator'!A:A,0),0),0)</f>
        <v>0</v>
      </c>
      <c r="K3830" s="455">
        <f t="shared" ca="1" si="171"/>
        <v>13324817076.254353</v>
      </c>
      <c r="L3830" s="455">
        <f t="shared" ca="1" si="172"/>
        <v>3211280915377.2988</v>
      </c>
      <c r="M3830" s="471">
        <f t="shared" si="174"/>
        <v>0.05</v>
      </c>
      <c r="N3830" s="475">
        <f t="shared" si="175"/>
        <v>167617</v>
      </c>
    </row>
    <row r="3831" spans="7:14" ht="11.25" customHeight="1" x14ac:dyDescent="0.3">
      <c r="G3831" s="470"/>
      <c r="H3831" s="470">
        <v>3824</v>
      </c>
      <c r="I3831" s="455">
        <f t="shared" ca="1" si="173"/>
        <v>3211280915377.2988</v>
      </c>
      <c r="J3831" s="455">
        <f t="array" ref="J3831">IFERROR(INDEX('Retirement Calculator'!J:J,MATCH('Isaac 401k'!N3831,'Retirement Calculator'!A:A,0),0),0)</f>
        <v>0</v>
      </c>
      <c r="K3831" s="455">
        <f t="shared" ca="1" si="171"/>
        <v>13380337147.405411</v>
      </c>
      <c r="L3831" s="455">
        <f t="shared" ca="1" si="172"/>
        <v>3224661252524.7041</v>
      </c>
      <c r="M3831" s="471">
        <f t="shared" si="174"/>
        <v>0.05</v>
      </c>
      <c r="N3831" s="475">
        <f t="shared" si="175"/>
        <v>167648</v>
      </c>
    </row>
    <row r="3832" spans="7:14" ht="11.25" customHeight="1" x14ac:dyDescent="0.3">
      <c r="G3832" s="470"/>
      <c r="H3832" s="470">
        <v>3825</v>
      </c>
      <c r="I3832" s="455">
        <f t="shared" ca="1" si="173"/>
        <v>3224661252524.7041</v>
      </c>
      <c r="J3832" s="455">
        <f t="array" ref="J3832">IFERROR(INDEX('Retirement Calculator'!J:J,MATCH('Isaac 401k'!N3832,'Retirement Calculator'!A:A,0),0),0)</f>
        <v>0</v>
      </c>
      <c r="K3832" s="455">
        <f t="shared" ca="1" si="171"/>
        <v>13436088552.186268</v>
      </c>
      <c r="L3832" s="455">
        <f t="shared" ca="1" si="172"/>
        <v>3238097341076.8901</v>
      </c>
      <c r="M3832" s="471">
        <f t="shared" si="174"/>
        <v>0.05</v>
      </c>
      <c r="N3832" s="475">
        <f t="shared" si="175"/>
        <v>167679</v>
      </c>
    </row>
    <row r="3833" spans="7:14" ht="11.25" customHeight="1" x14ac:dyDescent="0.3">
      <c r="G3833" s="470"/>
      <c r="H3833" s="470">
        <v>3826</v>
      </c>
      <c r="I3833" s="455">
        <f t="shared" ca="1" si="173"/>
        <v>3238097341076.8901</v>
      </c>
      <c r="J3833" s="455">
        <f t="array" ref="J3833">IFERROR(INDEX('Retirement Calculator'!J:J,MATCH('Isaac 401k'!N3833,'Retirement Calculator'!A:A,0),0),0)</f>
        <v>0</v>
      </c>
      <c r="K3833" s="455">
        <f t="shared" ref="K3833:K4087" ca="1" si="176">IPMT(M3833/12,1,12,-I3833+J3833,,0)</f>
        <v>13492072254.487041</v>
      </c>
      <c r="L3833" s="455">
        <f t="shared" ref="L3833:L4087" ca="1" si="177">I3833-J3833+K3833</f>
        <v>3251589413331.377</v>
      </c>
      <c r="M3833" s="471">
        <f t="shared" si="174"/>
        <v>0.05</v>
      </c>
      <c r="N3833" s="475">
        <f t="shared" si="175"/>
        <v>167707</v>
      </c>
    </row>
    <row r="3834" spans="7:14" ht="11.25" customHeight="1" x14ac:dyDescent="0.3">
      <c r="G3834" s="470"/>
      <c r="H3834" s="470">
        <v>3827</v>
      </c>
      <c r="I3834" s="455">
        <f t="shared" ref="I3834:I4088" ca="1" si="178">L3833</f>
        <v>3251589413331.377</v>
      </c>
      <c r="J3834" s="455">
        <f t="array" ref="J3834">IFERROR(INDEX('Retirement Calculator'!J:J,MATCH('Isaac 401k'!N3834,'Retirement Calculator'!A:A,0),0),0)</f>
        <v>0</v>
      </c>
      <c r="K3834" s="455">
        <f t="shared" ca="1" si="176"/>
        <v>13548289222.214071</v>
      </c>
      <c r="L3834" s="455">
        <f t="shared" ca="1" si="177"/>
        <v>3265137702553.5908</v>
      </c>
      <c r="M3834" s="471">
        <f t="shared" ref="M3834:M4088" si="179">M3833</f>
        <v>0.05</v>
      </c>
      <c r="N3834" s="475">
        <f t="shared" ref="N3834:N4088" si="180">EDATE(N3833,1)</f>
        <v>167738</v>
      </c>
    </row>
    <row r="3835" spans="7:14" ht="11.25" customHeight="1" x14ac:dyDescent="0.3">
      <c r="G3835" s="470"/>
      <c r="H3835" s="470">
        <v>3828</v>
      </c>
      <c r="I3835" s="455">
        <f t="shared" ca="1" si="178"/>
        <v>3265137702553.5908</v>
      </c>
      <c r="J3835" s="455">
        <f t="array" ref="J3835">IFERROR(INDEX('Retirement Calculator'!J:J,MATCH('Isaac 401k'!N3835,'Retirement Calculator'!A:A,0),0),0)</f>
        <v>0</v>
      </c>
      <c r="K3835" s="455">
        <f t="shared" ca="1" si="176"/>
        <v>13604740427.306629</v>
      </c>
      <c r="L3835" s="455">
        <f t="shared" ca="1" si="177"/>
        <v>3278742442980.8975</v>
      </c>
      <c r="M3835" s="471">
        <f t="shared" si="179"/>
        <v>0.05</v>
      </c>
      <c r="N3835" s="475">
        <f t="shared" si="180"/>
        <v>167768</v>
      </c>
    </row>
    <row r="3836" spans="7:14" ht="11.25" customHeight="1" x14ac:dyDescent="0.3">
      <c r="G3836" s="470"/>
      <c r="H3836" s="470">
        <v>3829</v>
      </c>
      <c r="I3836" s="455">
        <f t="shared" ca="1" si="178"/>
        <v>3278742442980.8975</v>
      </c>
      <c r="J3836" s="455">
        <f t="array" ref="J3836">IFERROR(INDEX('Retirement Calculator'!J:J,MATCH('Isaac 401k'!N3836,'Retirement Calculator'!A:A,0),0),0)</f>
        <v>0</v>
      </c>
      <c r="K3836" s="455">
        <f t="shared" ca="1" si="176"/>
        <v>13661426845.753738</v>
      </c>
      <c r="L3836" s="455">
        <f t="shared" ca="1" si="177"/>
        <v>3292403869826.6514</v>
      </c>
      <c r="M3836" s="471">
        <f t="shared" si="179"/>
        <v>0.05</v>
      </c>
      <c r="N3836" s="475">
        <f t="shared" si="180"/>
        <v>167799</v>
      </c>
    </row>
    <row r="3837" spans="7:14" ht="11.25" customHeight="1" x14ac:dyDescent="0.3">
      <c r="G3837" s="470"/>
      <c r="H3837" s="470">
        <v>3830</v>
      </c>
      <c r="I3837" s="455">
        <f t="shared" ca="1" si="178"/>
        <v>3292403869826.6514</v>
      </c>
      <c r="J3837" s="455">
        <f t="array" ref="J3837">IFERROR(INDEX('Retirement Calculator'!J:J,MATCH('Isaac 401k'!N3837,'Retirement Calculator'!A:A,0),0),0)</f>
        <v>0</v>
      </c>
      <c r="K3837" s="455">
        <f t="shared" ca="1" si="176"/>
        <v>13718349457.611048</v>
      </c>
      <c r="L3837" s="455">
        <f t="shared" ca="1" si="177"/>
        <v>3306122219284.2622</v>
      </c>
      <c r="M3837" s="471">
        <f t="shared" si="179"/>
        <v>0.05</v>
      </c>
      <c r="N3837" s="475">
        <f t="shared" si="180"/>
        <v>167829</v>
      </c>
    </row>
    <row r="3838" spans="7:14" ht="11.25" customHeight="1" x14ac:dyDescent="0.3">
      <c r="G3838" s="470"/>
      <c r="H3838" s="470">
        <v>3831</v>
      </c>
      <c r="I3838" s="455">
        <f t="shared" ca="1" si="178"/>
        <v>3306122219284.2622</v>
      </c>
      <c r="J3838" s="455">
        <f t="array" ref="J3838">IFERROR(INDEX('Retirement Calculator'!J:J,MATCH('Isaac 401k'!N3838,'Retirement Calculator'!A:A,0),0),0)</f>
        <v>0</v>
      </c>
      <c r="K3838" s="455">
        <f t="shared" ca="1" si="176"/>
        <v>13775509247.017759</v>
      </c>
      <c r="L3838" s="455">
        <f t="shared" ca="1" si="177"/>
        <v>3319897728531.2798</v>
      </c>
      <c r="M3838" s="471">
        <f t="shared" si="179"/>
        <v>0.05</v>
      </c>
      <c r="N3838" s="475">
        <f t="shared" si="180"/>
        <v>167860</v>
      </c>
    </row>
    <row r="3839" spans="7:14" ht="11.25" customHeight="1" x14ac:dyDescent="0.3">
      <c r="G3839" s="470"/>
      <c r="H3839" s="470">
        <v>3832</v>
      </c>
      <c r="I3839" s="455">
        <f t="shared" ca="1" si="178"/>
        <v>3319897728531.2798</v>
      </c>
      <c r="J3839" s="455">
        <f t="array" ref="J3839">IFERROR(INDEX('Retirement Calculator'!J:J,MATCH('Isaac 401k'!N3839,'Retirement Calculator'!A:A,0),0),0)</f>
        <v>0</v>
      </c>
      <c r="K3839" s="455">
        <f t="shared" ca="1" si="176"/>
        <v>13832907202.213665</v>
      </c>
      <c r="L3839" s="455">
        <f t="shared" ca="1" si="177"/>
        <v>3333730635733.4937</v>
      </c>
      <c r="M3839" s="471">
        <f t="shared" si="179"/>
        <v>0.05</v>
      </c>
      <c r="N3839" s="475">
        <f t="shared" si="180"/>
        <v>167891</v>
      </c>
    </row>
    <row r="3840" spans="7:14" ht="11.25" customHeight="1" x14ac:dyDescent="0.3">
      <c r="G3840" s="470"/>
      <c r="H3840" s="470">
        <v>3833</v>
      </c>
      <c r="I3840" s="455">
        <f t="shared" ca="1" si="178"/>
        <v>3333730635733.4937</v>
      </c>
      <c r="J3840" s="455">
        <f t="array" ref="J3840">IFERROR(INDEX('Retirement Calculator'!J:J,MATCH('Isaac 401k'!N3840,'Retirement Calculator'!A:A,0),0),0)</f>
        <v>0</v>
      </c>
      <c r="K3840" s="455">
        <f t="shared" ca="1" si="176"/>
        <v>13890544315.556223</v>
      </c>
      <c r="L3840" s="455">
        <f t="shared" ca="1" si="177"/>
        <v>3347621180049.0498</v>
      </c>
      <c r="M3840" s="471">
        <f t="shared" si="179"/>
        <v>0.05</v>
      </c>
      <c r="N3840" s="475">
        <f t="shared" si="180"/>
        <v>167921</v>
      </c>
    </row>
    <row r="3841" spans="7:14" ht="11.25" customHeight="1" x14ac:dyDescent="0.3">
      <c r="G3841" s="470"/>
      <c r="H3841" s="470">
        <v>3834</v>
      </c>
      <c r="I3841" s="455">
        <f t="shared" ca="1" si="178"/>
        <v>3347621180049.0498</v>
      </c>
      <c r="J3841" s="455">
        <f t="array" ref="J3841">IFERROR(INDEX('Retirement Calculator'!J:J,MATCH('Isaac 401k'!N3841,'Retirement Calculator'!A:A,0),0),0)</f>
        <v>0</v>
      </c>
      <c r="K3841" s="455">
        <f t="shared" ca="1" si="176"/>
        <v>13948421583.537706</v>
      </c>
      <c r="L3841" s="455">
        <f t="shared" ca="1" si="177"/>
        <v>3361569601632.5874</v>
      </c>
      <c r="M3841" s="471">
        <f t="shared" si="179"/>
        <v>0.05</v>
      </c>
      <c r="N3841" s="475">
        <f t="shared" si="180"/>
        <v>167952</v>
      </c>
    </row>
    <row r="3842" spans="7:14" ht="11.25" customHeight="1" x14ac:dyDescent="0.3">
      <c r="G3842" s="470"/>
      <c r="H3842" s="470">
        <v>3835</v>
      </c>
      <c r="I3842" s="455">
        <f t="shared" ca="1" si="178"/>
        <v>3361569601632.5874</v>
      </c>
      <c r="J3842" s="455">
        <f t="array" ref="J3842">IFERROR(INDEX('Retirement Calculator'!J:J,MATCH('Isaac 401k'!N3842,'Retirement Calculator'!A:A,0),0),0)</f>
        <v>0</v>
      </c>
      <c r="K3842" s="455">
        <f t="shared" ca="1" si="176"/>
        <v>14006540006.802446</v>
      </c>
      <c r="L3842" s="455">
        <f t="shared" ca="1" si="177"/>
        <v>3375576141639.3896</v>
      </c>
      <c r="M3842" s="471">
        <f t="shared" si="179"/>
        <v>0.05</v>
      </c>
      <c r="N3842" s="475">
        <f t="shared" si="180"/>
        <v>167982</v>
      </c>
    </row>
    <row r="3843" spans="7:14" ht="11.25" customHeight="1" x14ac:dyDescent="0.3">
      <c r="G3843" s="470"/>
      <c r="H3843" s="470">
        <v>3836</v>
      </c>
      <c r="I3843" s="455">
        <f t="shared" ca="1" si="178"/>
        <v>3375576141639.3896</v>
      </c>
      <c r="J3843" s="455">
        <f t="array" ref="J3843">IFERROR(INDEX('Retirement Calculator'!J:J,MATCH('Isaac 401k'!N3843,'Retirement Calculator'!A:A,0),0),0)</f>
        <v>0</v>
      </c>
      <c r="K3843" s="455">
        <f t="shared" ca="1" si="176"/>
        <v>14064900590.164124</v>
      </c>
      <c r="L3843" s="455">
        <f t="shared" ca="1" si="177"/>
        <v>3389641042229.5537</v>
      </c>
      <c r="M3843" s="471">
        <f t="shared" si="179"/>
        <v>0.05</v>
      </c>
      <c r="N3843" s="475">
        <f t="shared" si="180"/>
        <v>168013</v>
      </c>
    </row>
    <row r="3844" spans="7:14" ht="11.25" customHeight="1" x14ac:dyDescent="0.3">
      <c r="G3844" s="470"/>
      <c r="H3844" s="470">
        <v>3837</v>
      </c>
      <c r="I3844" s="455">
        <f t="shared" ca="1" si="178"/>
        <v>3389641042229.5537</v>
      </c>
      <c r="J3844" s="455">
        <f t="array" ref="J3844">IFERROR(INDEX('Retirement Calculator'!J:J,MATCH('Isaac 401k'!N3844,'Retirement Calculator'!A:A,0),0),0)</f>
        <v>0</v>
      </c>
      <c r="K3844" s="455">
        <f t="shared" ca="1" si="176"/>
        <v>14123504342.62314</v>
      </c>
      <c r="L3844" s="455">
        <f t="shared" ca="1" si="177"/>
        <v>3403764546572.1768</v>
      </c>
      <c r="M3844" s="471">
        <f t="shared" si="179"/>
        <v>0.05</v>
      </c>
      <c r="N3844" s="475">
        <f t="shared" si="180"/>
        <v>168044</v>
      </c>
    </row>
    <row r="3845" spans="7:14" ht="11.25" customHeight="1" x14ac:dyDescent="0.3">
      <c r="G3845" s="470"/>
      <c r="H3845" s="470">
        <v>3838</v>
      </c>
      <c r="I3845" s="455">
        <f t="shared" ca="1" si="178"/>
        <v>3403764546572.1768</v>
      </c>
      <c r="J3845" s="455">
        <f t="array" ref="J3845">IFERROR(INDEX('Retirement Calculator'!J:J,MATCH('Isaac 401k'!N3845,'Retirement Calculator'!A:A,0),0),0)</f>
        <v>0</v>
      </c>
      <c r="K3845" s="455">
        <f t="shared" ca="1" si="176"/>
        <v>14182352277.384069</v>
      </c>
      <c r="L3845" s="455">
        <f t="shared" ca="1" si="177"/>
        <v>3417946898849.561</v>
      </c>
      <c r="M3845" s="471">
        <f t="shared" si="179"/>
        <v>0.05</v>
      </c>
      <c r="N3845" s="475">
        <f t="shared" si="180"/>
        <v>168073</v>
      </c>
    </row>
    <row r="3846" spans="7:14" ht="11.25" customHeight="1" x14ac:dyDescent="0.3">
      <c r="G3846" s="470"/>
      <c r="H3846" s="470">
        <v>3839</v>
      </c>
      <c r="I3846" s="455">
        <f t="shared" ca="1" si="178"/>
        <v>3417946898849.561</v>
      </c>
      <c r="J3846" s="455">
        <f t="array" ref="J3846">IFERROR(INDEX('Retirement Calculator'!J:J,MATCH('Isaac 401k'!N3846,'Retirement Calculator'!A:A,0),0),0)</f>
        <v>0</v>
      </c>
      <c r="K3846" s="455">
        <f t="shared" ca="1" si="176"/>
        <v>14241445411.873171</v>
      </c>
      <c r="L3846" s="455">
        <f t="shared" ca="1" si="177"/>
        <v>3432188344261.4341</v>
      </c>
      <c r="M3846" s="471">
        <f t="shared" si="179"/>
        <v>0.05</v>
      </c>
      <c r="N3846" s="475">
        <f t="shared" si="180"/>
        <v>168104</v>
      </c>
    </row>
    <row r="3847" spans="7:14" ht="11.25" customHeight="1" x14ac:dyDescent="0.3">
      <c r="G3847" s="470"/>
      <c r="H3847" s="470">
        <v>3840</v>
      </c>
      <c r="I3847" s="455">
        <f t="shared" ca="1" si="178"/>
        <v>3432188344261.4341</v>
      </c>
      <c r="J3847" s="455">
        <f t="array" ref="J3847">IFERROR(INDEX('Retirement Calculator'!J:J,MATCH('Isaac 401k'!N3847,'Retirement Calculator'!A:A,0),0),0)</f>
        <v>0</v>
      </c>
      <c r="K3847" s="455">
        <f t="shared" ca="1" si="176"/>
        <v>14300784767.755976</v>
      </c>
      <c r="L3847" s="455">
        <f t="shared" ca="1" si="177"/>
        <v>3446489129029.1899</v>
      </c>
      <c r="M3847" s="471">
        <f t="shared" si="179"/>
        <v>0.05</v>
      </c>
      <c r="N3847" s="475">
        <f t="shared" si="180"/>
        <v>168134</v>
      </c>
    </row>
    <row r="3848" spans="7:14" ht="11.25" customHeight="1" x14ac:dyDescent="0.3">
      <c r="G3848" s="470"/>
      <c r="H3848" s="470">
        <v>3841</v>
      </c>
      <c r="I3848" s="455">
        <f t="shared" ca="1" si="178"/>
        <v>3446489129029.1899</v>
      </c>
      <c r="J3848" s="455">
        <f t="array" ref="J3848">IFERROR(INDEX('Retirement Calculator'!J:J,MATCH('Isaac 401k'!N3848,'Retirement Calculator'!A:A,0),0),0)</f>
        <v>0</v>
      </c>
      <c r="K3848" s="455">
        <f t="shared" ca="1" si="176"/>
        <v>14360371370.95496</v>
      </c>
      <c r="L3848" s="455">
        <f t="shared" ca="1" si="177"/>
        <v>3460849500400.145</v>
      </c>
      <c r="M3848" s="471">
        <f t="shared" si="179"/>
        <v>0.05</v>
      </c>
      <c r="N3848" s="475">
        <f t="shared" si="180"/>
        <v>168165</v>
      </c>
    </row>
    <row r="3849" spans="7:14" ht="11.25" customHeight="1" x14ac:dyDescent="0.3">
      <c r="G3849" s="470"/>
      <c r="H3849" s="470">
        <v>3842</v>
      </c>
      <c r="I3849" s="455">
        <f t="shared" ca="1" si="178"/>
        <v>3460849500400.145</v>
      </c>
      <c r="J3849" s="455">
        <f t="array" ref="J3849">IFERROR(INDEX('Retirement Calculator'!J:J,MATCH('Isaac 401k'!N3849,'Retirement Calculator'!A:A,0),0),0)</f>
        <v>0</v>
      </c>
      <c r="K3849" s="455">
        <f t="shared" ca="1" si="176"/>
        <v>14420206251.667271</v>
      </c>
      <c r="L3849" s="455">
        <f t="shared" ca="1" si="177"/>
        <v>3475269706651.8125</v>
      </c>
      <c r="M3849" s="471">
        <f t="shared" si="179"/>
        <v>0.05</v>
      </c>
      <c r="N3849" s="475">
        <f t="shared" si="180"/>
        <v>168195</v>
      </c>
    </row>
    <row r="3850" spans="7:14" ht="11.25" customHeight="1" x14ac:dyDescent="0.3">
      <c r="G3850" s="470"/>
      <c r="H3850" s="470">
        <v>3843</v>
      </c>
      <c r="I3850" s="455">
        <f t="shared" ca="1" si="178"/>
        <v>3475269706651.8125</v>
      </c>
      <c r="J3850" s="455">
        <f t="array" ref="J3850">IFERROR(INDEX('Retirement Calculator'!J:J,MATCH('Isaac 401k'!N3850,'Retirement Calculator'!A:A,0),0),0)</f>
        <v>0</v>
      </c>
      <c r="K3850" s="455">
        <f t="shared" ca="1" si="176"/>
        <v>14480290444.382549</v>
      </c>
      <c r="L3850" s="455">
        <f t="shared" ca="1" si="177"/>
        <v>3489749997096.1948</v>
      </c>
      <c r="M3850" s="471">
        <f t="shared" si="179"/>
        <v>0.05</v>
      </c>
      <c r="N3850" s="475">
        <f t="shared" si="180"/>
        <v>168226</v>
      </c>
    </row>
    <row r="3851" spans="7:14" ht="11.25" customHeight="1" x14ac:dyDescent="0.3">
      <c r="G3851" s="470"/>
      <c r="H3851" s="470">
        <v>3844</v>
      </c>
      <c r="I3851" s="455">
        <f t="shared" ca="1" si="178"/>
        <v>3489749997096.1948</v>
      </c>
      <c r="J3851" s="455">
        <f t="array" ref="J3851">IFERROR(INDEX('Retirement Calculator'!J:J,MATCH('Isaac 401k'!N3851,'Retirement Calculator'!A:A,0),0),0)</f>
        <v>0</v>
      </c>
      <c r="K3851" s="455">
        <f t="shared" ca="1" si="176"/>
        <v>14540624987.90081</v>
      </c>
      <c r="L3851" s="455">
        <f t="shared" ca="1" si="177"/>
        <v>3504290622084.0957</v>
      </c>
      <c r="M3851" s="471">
        <f t="shared" si="179"/>
        <v>0.05</v>
      </c>
      <c r="N3851" s="475">
        <f t="shared" si="180"/>
        <v>168257</v>
      </c>
    </row>
    <row r="3852" spans="7:14" ht="11.25" customHeight="1" x14ac:dyDescent="0.3">
      <c r="G3852" s="470"/>
      <c r="H3852" s="470">
        <v>3845</v>
      </c>
      <c r="I3852" s="455">
        <f t="shared" ca="1" si="178"/>
        <v>3504290622084.0957</v>
      </c>
      <c r="J3852" s="455">
        <f t="array" ref="J3852">IFERROR(INDEX('Retirement Calculator'!J:J,MATCH('Isaac 401k'!N3852,'Retirement Calculator'!A:A,0),0),0)</f>
        <v>0</v>
      </c>
      <c r="K3852" s="455">
        <f t="shared" ca="1" si="176"/>
        <v>14601210925.350399</v>
      </c>
      <c r="L3852" s="455">
        <f t="shared" ca="1" si="177"/>
        <v>3518891833009.4463</v>
      </c>
      <c r="M3852" s="471">
        <f t="shared" si="179"/>
        <v>0.05</v>
      </c>
      <c r="N3852" s="475">
        <f t="shared" si="180"/>
        <v>168287</v>
      </c>
    </row>
    <row r="3853" spans="7:14" ht="11.25" customHeight="1" x14ac:dyDescent="0.3">
      <c r="G3853" s="470"/>
      <c r="H3853" s="470">
        <v>3846</v>
      </c>
      <c r="I3853" s="455">
        <f t="shared" ca="1" si="178"/>
        <v>3518891833009.4463</v>
      </c>
      <c r="J3853" s="455">
        <f t="array" ref="J3853">IFERROR(INDEX('Retirement Calculator'!J:J,MATCH('Isaac 401k'!N3853,'Retirement Calculator'!A:A,0),0),0)</f>
        <v>0</v>
      </c>
      <c r="K3853" s="455">
        <f t="shared" ca="1" si="176"/>
        <v>14662049304.206024</v>
      </c>
      <c r="L3853" s="455">
        <f t="shared" ca="1" si="177"/>
        <v>3533553882313.6523</v>
      </c>
      <c r="M3853" s="471">
        <f t="shared" si="179"/>
        <v>0.05</v>
      </c>
      <c r="N3853" s="475">
        <f t="shared" si="180"/>
        <v>168318</v>
      </c>
    </row>
    <row r="3854" spans="7:14" ht="11.25" customHeight="1" x14ac:dyDescent="0.3">
      <c r="G3854" s="470"/>
      <c r="H3854" s="470">
        <v>3847</v>
      </c>
      <c r="I3854" s="455">
        <f t="shared" ca="1" si="178"/>
        <v>3533553882313.6523</v>
      </c>
      <c r="J3854" s="455">
        <f t="array" ref="J3854">IFERROR(INDEX('Retirement Calculator'!J:J,MATCH('Isaac 401k'!N3854,'Retirement Calculator'!A:A,0),0),0)</f>
        <v>0</v>
      </c>
      <c r="K3854" s="455">
        <f t="shared" ca="1" si="176"/>
        <v>14723141176.306885</v>
      </c>
      <c r="L3854" s="455">
        <f t="shared" ca="1" si="177"/>
        <v>3548277023489.959</v>
      </c>
      <c r="M3854" s="471">
        <f t="shared" si="179"/>
        <v>0.05</v>
      </c>
      <c r="N3854" s="475">
        <f t="shared" si="180"/>
        <v>168348</v>
      </c>
    </row>
    <row r="3855" spans="7:14" ht="11.25" customHeight="1" x14ac:dyDescent="0.3">
      <c r="G3855" s="470"/>
      <c r="H3855" s="470">
        <v>3848</v>
      </c>
      <c r="I3855" s="455">
        <f t="shared" ca="1" si="178"/>
        <v>3548277023489.959</v>
      </c>
      <c r="J3855" s="455">
        <f t="array" ref="J3855">IFERROR(INDEX('Retirement Calculator'!J:J,MATCH('Isaac 401k'!N3855,'Retirement Calculator'!A:A,0),0),0)</f>
        <v>0</v>
      </c>
      <c r="K3855" s="455">
        <f t="shared" ca="1" si="176"/>
        <v>14784487597.874826</v>
      </c>
      <c r="L3855" s="455">
        <f t="shared" ca="1" si="177"/>
        <v>3563061511087.834</v>
      </c>
      <c r="M3855" s="471">
        <f t="shared" si="179"/>
        <v>0.05</v>
      </c>
      <c r="N3855" s="475">
        <f t="shared" si="180"/>
        <v>168379</v>
      </c>
    </row>
    <row r="3856" spans="7:14" ht="11.25" customHeight="1" x14ac:dyDescent="0.3">
      <c r="G3856" s="470"/>
      <c r="H3856" s="470">
        <v>3849</v>
      </c>
      <c r="I3856" s="455">
        <f t="shared" ca="1" si="178"/>
        <v>3563061511087.834</v>
      </c>
      <c r="J3856" s="455">
        <f t="array" ref="J3856">IFERROR(INDEX('Retirement Calculator'!J:J,MATCH('Isaac 401k'!N3856,'Retirement Calculator'!A:A,0),0),0)</f>
        <v>0</v>
      </c>
      <c r="K3856" s="455">
        <f t="shared" ca="1" si="176"/>
        <v>14846089629.53264</v>
      </c>
      <c r="L3856" s="455">
        <f t="shared" ca="1" si="177"/>
        <v>3577907600717.3667</v>
      </c>
      <c r="M3856" s="471">
        <f t="shared" si="179"/>
        <v>0.05</v>
      </c>
      <c r="N3856" s="475">
        <f t="shared" si="180"/>
        <v>168410</v>
      </c>
    </row>
    <row r="3857" spans="7:14" ht="11.25" customHeight="1" x14ac:dyDescent="0.3">
      <c r="G3857" s="470"/>
      <c r="H3857" s="470">
        <v>3850</v>
      </c>
      <c r="I3857" s="455">
        <f t="shared" ca="1" si="178"/>
        <v>3577907600717.3667</v>
      </c>
      <c r="J3857" s="455">
        <f t="array" ref="J3857">IFERROR(INDEX('Retirement Calculator'!J:J,MATCH('Isaac 401k'!N3857,'Retirement Calculator'!A:A,0),0),0)</f>
        <v>0</v>
      </c>
      <c r="K3857" s="455">
        <f t="shared" ca="1" si="176"/>
        <v>14907948336.322361</v>
      </c>
      <c r="L3857" s="455">
        <f t="shared" ca="1" si="177"/>
        <v>3592815549053.689</v>
      </c>
      <c r="M3857" s="471">
        <f t="shared" si="179"/>
        <v>0.05</v>
      </c>
      <c r="N3857" s="475">
        <f t="shared" si="180"/>
        <v>168438</v>
      </c>
    </row>
    <row r="3858" spans="7:14" ht="11.25" customHeight="1" x14ac:dyDescent="0.3">
      <c r="G3858" s="470"/>
      <c r="H3858" s="470">
        <v>3851</v>
      </c>
      <c r="I3858" s="455">
        <f t="shared" ca="1" si="178"/>
        <v>3592815549053.689</v>
      </c>
      <c r="J3858" s="455">
        <f t="array" ref="J3858">IFERROR(INDEX('Retirement Calculator'!J:J,MATCH('Isaac 401k'!N3858,'Retirement Calculator'!A:A,0),0),0)</f>
        <v>0</v>
      </c>
      <c r="K3858" s="455">
        <f t="shared" ca="1" si="176"/>
        <v>14970064787.723703</v>
      </c>
      <c r="L3858" s="455">
        <f t="shared" ca="1" si="177"/>
        <v>3607785613841.4126</v>
      </c>
      <c r="M3858" s="471">
        <f t="shared" si="179"/>
        <v>0.05</v>
      </c>
      <c r="N3858" s="475">
        <f t="shared" si="180"/>
        <v>168469</v>
      </c>
    </row>
    <row r="3859" spans="7:14" ht="11.25" customHeight="1" x14ac:dyDescent="0.3">
      <c r="G3859" s="470"/>
      <c r="H3859" s="470">
        <v>3852</v>
      </c>
      <c r="I3859" s="455">
        <f t="shared" ca="1" si="178"/>
        <v>3607785613841.4126</v>
      </c>
      <c r="J3859" s="455">
        <f t="array" ref="J3859">IFERROR(INDEX('Retirement Calculator'!J:J,MATCH('Isaac 401k'!N3859,'Retirement Calculator'!A:A,0),0),0)</f>
        <v>0</v>
      </c>
      <c r="K3859" s="455">
        <f t="shared" ca="1" si="176"/>
        <v>15032440057.672554</v>
      </c>
      <c r="L3859" s="455">
        <f t="shared" ca="1" si="177"/>
        <v>3622818053899.085</v>
      </c>
      <c r="M3859" s="471">
        <f t="shared" si="179"/>
        <v>0.05</v>
      </c>
      <c r="N3859" s="475">
        <f t="shared" si="180"/>
        <v>168499</v>
      </c>
    </row>
    <row r="3860" spans="7:14" ht="11.25" customHeight="1" x14ac:dyDescent="0.3">
      <c r="G3860" s="470"/>
      <c r="H3860" s="470">
        <v>3853</v>
      </c>
      <c r="I3860" s="455">
        <f t="shared" ca="1" si="178"/>
        <v>3622818053899.085</v>
      </c>
      <c r="J3860" s="455">
        <f t="array" ref="J3860">IFERROR(INDEX('Retirement Calculator'!J:J,MATCH('Isaac 401k'!N3860,'Retirement Calculator'!A:A,0),0),0)</f>
        <v>0</v>
      </c>
      <c r="K3860" s="455">
        <f t="shared" ca="1" si="176"/>
        <v>15095075224.579521</v>
      </c>
      <c r="L3860" s="455">
        <f t="shared" ca="1" si="177"/>
        <v>3637913129123.6646</v>
      </c>
      <c r="M3860" s="471">
        <f t="shared" si="179"/>
        <v>0.05</v>
      </c>
      <c r="N3860" s="475">
        <f t="shared" si="180"/>
        <v>168530</v>
      </c>
    </row>
    <row r="3861" spans="7:14" ht="11.25" customHeight="1" x14ac:dyDescent="0.3">
      <c r="G3861" s="470"/>
      <c r="H3861" s="470">
        <v>3854</v>
      </c>
      <c r="I3861" s="455">
        <f t="shared" ca="1" si="178"/>
        <v>3637913129123.6646</v>
      </c>
      <c r="J3861" s="455">
        <f t="array" ref="J3861">IFERROR(INDEX('Retirement Calculator'!J:J,MATCH('Isaac 401k'!N3861,'Retirement Calculator'!A:A,0),0),0)</f>
        <v>0</v>
      </c>
      <c r="K3861" s="455">
        <f t="shared" ca="1" si="176"/>
        <v>15157971371.3486</v>
      </c>
      <c r="L3861" s="455">
        <f t="shared" ca="1" si="177"/>
        <v>3653071100495.0132</v>
      </c>
      <c r="M3861" s="471">
        <f t="shared" si="179"/>
        <v>0.05</v>
      </c>
      <c r="N3861" s="475">
        <f t="shared" si="180"/>
        <v>168560</v>
      </c>
    </row>
    <row r="3862" spans="7:14" ht="11.25" customHeight="1" x14ac:dyDescent="0.3">
      <c r="G3862" s="470"/>
      <c r="H3862" s="470">
        <v>3855</v>
      </c>
      <c r="I3862" s="455">
        <f t="shared" ca="1" si="178"/>
        <v>3653071100495.0132</v>
      </c>
      <c r="J3862" s="455">
        <f t="array" ref="J3862">IFERROR(INDEX('Retirement Calculator'!J:J,MATCH('Isaac 401k'!N3862,'Retirement Calculator'!A:A,0),0),0)</f>
        <v>0</v>
      </c>
      <c r="K3862" s="455">
        <f t="shared" ca="1" si="176"/>
        <v>15221129585.395887</v>
      </c>
      <c r="L3862" s="455">
        <f t="shared" ca="1" si="177"/>
        <v>3668292230080.4092</v>
      </c>
      <c r="M3862" s="471">
        <f t="shared" si="179"/>
        <v>0.05</v>
      </c>
      <c r="N3862" s="475">
        <f t="shared" si="180"/>
        <v>168591</v>
      </c>
    </row>
    <row r="3863" spans="7:14" ht="11.25" customHeight="1" x14ac:dyDescent="0.3">
      <c r="G3863" s="470"/>
      <c r="H3863" s="470">
        <v>3856</v>
      </c>
      <c r="I3863" s="455">
        <f t="shared" ca="1" si="178"/>
        <v>3668292230080.4092</v>
      </c>
      <c r="J3863" s="455">
        <f t="array" ref="J3863">IFERROR(INDEX('Retirement Calculator'!J:J,MATCH('Isaac 401k'!N3863,'Retirement Calculator'!A:A,0),0),0)</f>
        <v>0</v>
      </c>
      <c r="K3863" s="455">
        <f t="shared" ca="1" si="176"/>
        <v>15284550958.668371</v>
      </c>
      <c r="L3863" s="455">
        <f t="shared" ca="1" si="177"/>
        <v>3683576781039.0776</v>
      </c>
      <c r="M3863" s="471">
        <f t="shared" si="179"/>
        <v>0.05</v>
      </c>
      <c r="N3863" s="475">
        <f t="shared" si="180"/>
        <v>168622</v>
      </c>
    </row>
    <row r="3864" spans="7:14" ht="11.25" customHeight="1" x14ac:dyDescent="0.3">
      <c r="G3864" s="470"/>
      <c r="H3864" s="470">
        <v>3857</v>
      </c>
      <c r="I3864" s="455">
        <f t="shared" ca="1" si="178"/>
        <v>3683576781039.0776</v>
      </c>
      <c r="J3864" s="455">
        <f t="array" ref="J3864">IFERROR(INDEX('Retirement Calculator'!J:J,MATCH('Isaac 401k'!N3864,'Retirement Calculator'!A:A,0),0),0)</f>
        <v>0</v>
      </c>
      <c r="K3864" s="455">
        <f t="shared" ca="1" si="176"/>
        <v>15348236587.662821</v>
      </c>
      <c r="L3864" s="455">
        <f t="shared" ca="1" si="177"/>
        <v>3698925017626.7402</v>
      </c>
      <c r="M3864" s="471">
        <f t="shared" si="179"/>
        <v>0.05</v>
      </c>
      <c r="N3864" s="475">
        <f t="shared" si="180"/>
        <v>168652</v>
      </c>
    </row>
    <row r="3865" spans="7:14" ht="11.25" customHeight="1" x14ac:dyDescent="0.3">
      <c r="G3865" s="470"/>
      <c r="H3865" s="470">
        <v>3858</v>
      </c>
      <c r="I3865" s="455">
        <f t="shared" ca="1" si="178"/>
        <v>3698925017626.7402</v>
      </c>
      <c r="J3865" s="455">
        <f t="array" ref="J3865">IFERROR(INDEX('Retirement Calculator'!J:J,MATCH('Isaac 401k'!N3865,'Retirement Calculator'!A:A,0),0),0)</f>
        <v>0</v>
      </c>
      <c r="K3865" s="455">
        <f t="shared" ca="1" si="176"/>
        <v>15412187573.444748</v>
      </c>
      <c r="L3865" s="455">
        <f t="shared" ca="1" si="177"/>
        <v>3714337205200.1851</v>
      </c>
      <c r="M3865" s="471">
        <f t="shared" si="179"/>
        <v>0.05</v>
      </c>
      <c r="N3865" s="475">
        <f t="shared" si="180"/>
        <v>168683</v>
      </c>
    </row>
    <row r="3866" spans="7:14" ht="11.25" customHeight="1" x14ac:dyDescent="0.3">
      <c r="G3866" s="470"/>
      <c r="H3866" s="470">
        <v>3859</v>
      </c>
      <c r="I3866" s="455">
        <f t="shared" ca="1" si="178"/>
        <v>3714337205200.1851</v>
      </c>
      <c r="J3866" s="455">
        <f t="array" ref="J3866">IFERROR(INDEX('Retirement Calculator'!J:J,MATCH('Isaac 401k'!N3866,'Retirement Calculator'!A:A,0),0),0)</f>
        <v>0</v>
      </c>
      <c r="K3866" s="455">
        <f t="shared" ca="1" si="176"/>
        <v>15476405021.667435</v>
      </c>
      <c r="L3866" s="455">
        <f t="shared" ca="1" si="177"/>
        <v>3729813610221.8525</v>
      </c>
      <c r="M3866" s="471">
        <f t="shared" si="179"/>
        <v>0.05</v>
      </c>
      <c r="N3866" s="475">
        <f t="shared" si="180"/>
        <v>168713</v>
      </c>
    </row>
    <row r="3867" spans="7:14" ht="11.25" customHeight="1" x14ac:dyDescent="0.3">
      <c r="G3867" s="470"/>
      <c r="H3867" s="470">
        <v>3860</v>
      </c>
      <c r="I3867" s="455">
        <f t="shared" ca="1" si="178"/>
        <v>3729813610221.8525</v>
      </c>
      <c r="J3867" s="455">
        <f t="array" ref="J3867">IFERROR(INDEX('Retirement Calculator'!J:J,MATCH('Isaac 401k'!N3867,'Retirement Calculator'!A:A,0),0),0)</f>
        <v>0</v>
      </c>
      <c r="K3867" s="455">
        <f t="shared" ca="1" si="176"/>
        <v>15540890042.591051</v>
      </c>
      <c r="L3867" s="455">
        <f t="shared" ca="1" si="177"/>
        <v>3745354500264.4434</v>
      </c>
      <c r="M3867" s="471">
        <f t="shared" si="179"/>
        <v>0.05</v>
      </c>
      <c r="N3867" s="475">
        <f t="shared" si="180"/>
        <v>168744</v>
      </c>
    </row>
    <row r="3868" spans="7:14" ht="11.25" customHeight="1" x14ac:dyDescent="0.3">
      <c r="G3868" s="470"/>
      <c r="H3868" s="470">
        <v>3861</v>
      </c>
      <c r="I3868" s="455">
        <f t="shared" ca="1" si="178"/>
        <v>3745354500264.4434</v>
      </c>
      <c r="J3868" s="455">
        <f t="array" ref="J3868">IFERROR(INDEX('Retirement Calculator'!J:J,MATCH('Isaac 401k'!N3868,'Retirement Calculator'!A:A,0),0),0)</f>
        <v>0</v>
      </c>
      <c r="K3868" s="455">
        <f t="shared" ca="1" si="176"/>
        <v>15605643751.101847</v>
      </c>
      <c r="L3868" s="455">
        <f t="shared" ca="1" si="177"/>
        <v>3760960144015.5454</v>
      </c>
      <c r="M3868" s="471">
        <f t="shared" si="179"/>
        <v>0.05</v>
      </c>
      <c r="N3868" s="475">
        <f t="shared" si="180"/>
        <v>168775</v>
      </c>
    </row>
    <row r="3869" spans="7:14" ht="11.25" customHeight="1" x14ac:dyDescent="0.3">
      <c r="G3869" s="470"/>
      <c r="H3869" s="470">
        <v>3862</v>
      </c>
      <c r="I3869" s="455">
        <f t="shared" ca="1" si="178"/>
        <v>3760960144015.5454</v>
      </c>
      <c r="J3869" s="455">
        <f t="array" ref="J3869">IFERROR(INDEX('Retirement Calculator'!J:J,MATCH('Isaac 401k'!N3869,'Retirement Calculator'!A:A,0),0),0)</f>
        <v>0</v>
      </c>
      <c r="K3869" s="455">
        <f t="shared" ca="1" si="176"/>
        <v>15670667266.73144</v>
      </c>
      <c r="L3869" s="455">
        <f t="shared" ca="1" si="177"/>
        <v>3776630811282.2769</v>
      </c>
      <c r="M3869" s="471">
        <f t="shared" si="179"/>
        <v>0.05</v>
      </c>
      <c r="N3869" s="475">
        <f t="shared" si="180"/>
        <v>168803</v>
      </c>
    </row>
    <row r="3870" spans="7:14" ht="11.25" customHeight="1" x14ac:dyDescent="0.3">
      <c r="G3870" s="470"/>
      <c r="H3870" s="470">
        <v>3863</v>
      </c>
      <c r="I3870" s="455">
        <f t="shared" ca="1" si="178"/>
        <v>3776630811282.2769</v>
      </c>
      <c r="J3870" s="455">
        <f t="array" ref="J3870">IFERROR(INDEX('Retirement Calculator'!J:J,MATCH('Isaac 401k'!N3870,'Retirement Calculator'!A:A,0),0),0)</f>
        <v>0</v>
      </c>
      <c r="K3870" s="455">
        <f t="shared" ca="1" si="176"/>
        <v>15735961713.676151</v>
      </c>
      <c r="L3870" s="455">
        <f t="shared" ca="1" si="177"/>
        <v>3792366772995.9531</v>
      </c>
      <c r="M3870" s="471">
        <f t="shared" si="179"/>
        <v>0.05</v>
      </c>
      <c r="N3870" s="475">
        <f t="shared" si="180"/>
        <v>168834</v>
      </c>
    </row>
    <row r="3871" spans="7:14" ht="11.25" customHeight="1" x14ac:dyDescent="0.3">
      <c r="G3871" s="470"/>
      <c r="H3871" s="470">
        <v>3864</v>
      </c>
      <c r="I3871" s="455">
        <f t="shared" ca="1" si="178"/>
        <v>3792366772995.9531</v>
      </c>
      <c r="J3871" s="455">
        <f t="array" ref="J3871">IFERROR(INDEX('Retirement Calculator'!J:J,MATCH('Isaac 401k'!N3871,'Retirement Calculator'!A:A,0),0),0)</f>
        <v>0</v>
      </c>
      <c r="K3871" s="455">
        <f t="shared" ca="1" si="176"/>
        <v>15801528220.816471</v>
      </c>
      <c r="L3871" s="455">
        <f t="shared" ca="1" si="177"/>
        <v>3808168301216.7695</v>
      </c>
      <c r="M3871" s="471">
        <f t="shared" si="179"/>
        <v>0.05</v>
      </c>
      <c r="N3871" s="475">
        <f t="shared" si="180"/>
        <v>168864</v>
      </c>
    </row>
    <row r="3872" spans="7:14" ht="11.25" customHeight="1" x14ac:dyDescent="0.3">
      <c r="G3872" s="470"/>
      <c r="H3872" s="470">
        <v>3865</v>
      </c>
      <c r="I3872" s="455">
        <f t="shared" ca="1" si="178"/>
        <v>3808168301216.7695</v>
      </c>
      <c r="J3872" s="455">
        <f t="array" ref="J3872">IFERROR(INDEX('Retirement Calculator'!J:J,MATCH('Isaac 401k'!N3872,'Retirement Calculator'!A:A,0),0),0)</f>
        <v>0</v>
      </c>
      <c r="K3872" s="455">
        <f t="shared" ca="1" si="176"/>
        <v>15867367921.73654</v>
      </c>
      <c r="L3872" s="455">
        <f t="shared" ca="1" si="177"/>
        <v>3824035669138.5059</v>
      </c>
      <c r="M3872" s="471">
        <f t="shared" si="179"/>
        <v>0.05</v>
      </c>
      <c r="N3872" s="475">
        <f t="shared" si="180"/>
        <v>168895</v>
      </c>
    </row>
    <row r="3873" spans="7:14" ht="11.25" customHeight="1" x14ac:dyDescent="0.3">
      <c r="G3873" s="470"/>
      <c r="H3873" s="470">
        <v>3866</v>
      </c>
      <c r="I3873" s="455">
        <f t="shared" ca="1" si="178"/>
        <v>3824035669138.5059</v>
      </c>
      <c r="J3873" s="455">
        <f t="array" ref="J3873">IFERROR(INDEX('Retirement Calculator'!J:J,MATCH('Isaac 401k'!N3873,'Retirement Calculator'!A:A,0),0),0)</f>
        <v>0</v>
      </c>
      <c r="K3873" s="455">
        <f t="shared" ca="1" si="176"/>
        <v>15933481954.743774</v>
      </c>
      <c r="L3873" s="455">
        <f t="shared" ca="1" si="177"/>
        <v>3839969151093.2495</v>
      </c>
      <c r="M3873" s="471">
        <f t="shared" si="179"/>
        <v>0.05</v>
      </c>
      <c r="N3873" s="475">
        <f t="shared" si="180"/>
        <v>168925</v>
      </c>
    </row>
    <row r="3874" spans="7:14" ht="11.25" customHeight="1" x14ac:dyDescent="0.3">
      <c r="G3874" s="470"/>
      <c r="H3874" s="470">
        <v>3867</v>
      </c>
      <c r="I3874" s="455">
        <f t="shared" ca="1" si="178"/>
        <v>3839969151093.2495</v>
      </c>
      <c r="J3874" s="455">
        <f t="array" ref="J3874">IFERROR(INDEX('Retirement Calculator'!J:J,MATCH('Isaac 401k'!N3874,'Retirement Calculator'!A:A,0),0),0)</f>
        <v>0</v>
      </c>
      <c r="K3874" s="455">
        <f t="shared" ca="1" si="176"/>
        <v>15999871462.88854</v>
      </c>
      <c r="L3874" s="455">
        <f t="shared" ca="1" si="177"/>
        <v>3855969022556.1382</v>
      </c>
      <c r="M3874" s="471">
        <f t="shared" si="179"/>
        <v>0.05</v>
      </c>
      <c r="N3874" s="475">
        <f t="shared" si="180"/>
        <v>168956</v>
      </c>
    </row>
    <row r="3875" spans="7:14" ht="11.25" customHeight="1" x14ac:dyDescent="0.3">
      <c r="G3875" s="470"/>
      <c r="H3875" s="470">
        <v>3868</v>
      </c>
      <c r="I3875" s="455">
        <f t="shared" ca="1" si="178"/>
        <v>3855969022556.1382</v>
      </c>
      <c r="J3875" s="455">
        <f t="array" ref="J3875">IFERROR(INDEX('Retirement Calculator'!J:J,MATCH('Isaac 401k'!N3875,'Retirement Calculator'!A:A,0),0),0)</f>
        <v>0</v>
      </c>
      <c r="K3875" s="455">
        <f t="shared" ca="1" si="176"/>
        <v>16066537593.983908</v>
      </c>
      <c r="L3875" s="455">
        <f t="shared" ca="1" si="177"/>
        <v>3872035560150.1221</v>
      </c>
      <c r="M3875" s="471">
        <f t="shared" si="179"/>
        <v>0.05</v>
      </c>
      <c r="N3875" s="475">
        <f t="shared" si="180"/>
        <v>168987</v>
      </c>
    </row>
    <row r="3876" spans="7:14" ht="11.25" customHeight="1" x14ac:dyDescent="0.3">
      <c r="G3876" s="470"/>
      <c r="H3876" s="470">
        <v>3869</v>
      </c>
      <c r="I3876" s="455">
        <f t="shared" ca="1" si="178"/>
        <v>3872035560150.1221</v>
      </c>
      <c r="J3876" s="455">
        <f t="array" ref="J3876">IFERROR(INDEX('Retirement Calculator'!J:J,MATCH('Isaac 401k'!N3876,'Retirement Calculator'!A:A,0),0),0)</f>
        <v>0</v>
      </c>
      <c r="K3876" s="455">
        <f t="shared" ca="1" si="176"/>
        <v>16133481500.625509</v>
      </c>
      <c r="L3876" s="455">
        <f t="shared" ca="1" si="177"/>
        <v>3888169041650.7476</v>
      </c>
      <c r="M3876" s="471">
        <f t="shared" si="179"/>
        <v>0.05</v>
      </c>
      <c r="N3876" s="475">
        <f t="shared" si="180"/>
        <v>169017</v>
      </c>
    </row>
    <row r="3877" spans="7:14" ht="11.25" customHeight="1" x14ac:dyDescent="0.3">
      <c r="G3877" s="470"/>
      <c r="H3877" s="470">
        <v>3870</v>
      </c>
      <c r="I3877" s="455">
        <f t="shared" ca="1" si="178"/>
        <v>3888169041650.7476</v>
      </c>
      <c r="J3877" s="455">
        <f t="array" ref="J3877">IFERROR(INDEX('Retirement Calculator'!J:J,MATCH('Isaac 401k'!N3877,'Retirement Calculator'!A:A,0),0),0)</f>
        <v>0</v>
      </c>
      <c r="K3877" s="455">
        <f t="shared" ca="1" si="176"/>
        <v>16200704340.211449</v>
      </c>
      <c r="L3877" s="455">
        <f t="shared" ca="1" si="177"/>
        <v>3904369745990.959</v>
      </c>
      <c r="M3877" s="471">
        <f t="shared" si="179"/>
        <v>0.05</v>
      </c>
      <c r="N3877" s="475">
        <f t="shared" si="180"/>
        <v>169048</v>
      </c>
    </row>
    <row r="3878" spans="7:14" ht="11.25" customHeight="1" x14ac:dyDescent="0.3">
      <c r="G3878" s="470"/>
      <c r="H3878" s="470">
        <v>3871</v>
      </c>
      <c r="I3878" s="455">
        <f t="shared" ca="1" si="178"/>
        <v>3904369745990.959</v>
      </c>
      <c r="J3878" s="455">
        <f t="array" ref="J3878">IFERROR(INDEX('Retirement Calculator'!J:J,MATCH('Isaac 401k'!N3878,'Retirement Calculator'!A:A,0),0),0)</f>
        <v>0</v>
      </c>
      <c r="K3878" s="455">
        <f t="shared" ca="1" si="176"/>
        <v>16268207274.962326</v>
      </c>
      <c r="L3878" s="455">
        <f t="shared" ca="1" si="177"/>
        <v>3920637953265.9214</v>
      </c>
      <c r="M3878" s="471">
        <f t="shared" si="179"/>
        <v>0.05</v>
      </c>
      <c r="N3878" s="475">
        <f t="shared" si="180"/>
        <v>169078</v>
      </c>
    </row>
    <row r="3879" spans="7:14" ht="11.25" customHeight="1" x14ac:dyDescent="0.3">
      <c r="G3879" s="470"/>
      <c r="H3879" s="470">
        <v>3872</v>
      </c>
      <c r="I3879" s="455">
        <f t="shared" ca="1" si="178"/>
        <v>3920637953265.9214</v>
      </c>
      <c r="J3879" s="455">
        <f t="array" ref="J3879">IFERROR(INDEX('Retirement Calculator'!J:J,MATCH('Isaac 401k'!N3879,'Retirement Calculator'!A:A,0),0),0)</f>
        <v>0</v>
      </c>
      <c r="K3879" s="455">
        <f t="shared" ca="1" si="176"/>
        <v>16335991471.941339</v>
      </c>
      <c r="L3879" s="455">
        <f t="shared" ca="1" si="177"/>
        <v>3936973944737.8628</v>
      </c>
      <c r="M3879" s="471">
        <f t="shared" si="179"/>
        <v>0.05</v>
      </c>
      <c r="N3879" s="475">
        <f t="shared" si="180"/>
        <v>169109</v>
      </c>
    </row>
    <row r="3880" spans="7:14" ht="11.25" customHeight="1" x14ac:dyDescent="0.3">
      <c r="G3880" s="470"/>
      <c r="H3880" s="470">
        <v>3873</v>
      </c>
      <c r="I3880" s="455">
        <f t="shared" ca="1" si="178"/>
        <v>3936973944737.8628</v>
      </c>
      <c r="J3880" s="455">
        <f t="array" ref="J3880">IFERROR(INDEX('Retirement Calculator'!J:J,MATCH('Isaac 401k'!N3880,'Retirement Calculator'!A:A,0),0),0)</f>
        <v>0</v>
      </c>
      <c r="K3880" s="455">
        <f t="shared" ca="1" si="176"/>
        <v>16404058103.07443</v>
      </c>
      <c r="L3880" s="455">
        <f t="shared" ca="1" si="177"/>
        <v>3953378002840.937</v>
      </c>
      <c r="M3880" s="471">
        <f t="shared" si="179"/>
        <v>0.05</v>
      </c>
      <c r="N3880" s="475">
        <f t="shared" si="180"/>
        <v>169140</v>
      </c>
    </row>
    <row r="3881" spans="7:14" ht="11.25" customHeight="1" x14ac:dyDescent="0.3">
      <c r="G3881" s="470"/>
      <c r="H3881" s="470">
        <v>3874</v>
      </c>
      <c r="I3881" s="455">
        <f t="shared" ca="1" si="178"/>
        <v>3953378002840.937</v>
      </c>
      <c r="J3881" s="455">
        <f t="array" ref="J3881">IFERROR(INDEX('Retirement Calculator'!J:J,MATCH('Isaac 401k'!N3881,'Retirement Calculator'!A:A,0),0),0)</f>
        <v>0</v>
      </c>
      <c r="K3881" s="455">
        <f t="shared" ca="1" si="176"/>
        <v>16472408345.170572</v>
      </c>
      <c r="L3881" s="455">
        <f t="shared" ca="1" si="177"/>
        <v>3969850411186.1074</v>
      </c>
      <c r="M3881" s="471">
        <f t="shared" si="179"/>
        <v>0.05</v>
      </c>
      <c r="N3881" s="475">
        <f t="shared" si="180"/>
        <v>169168</v>
      </c>
    </row>
    <row r="3882" spans="7:14" ht="11.25" customHeight="1" x14ac:dyDescent="0.3">
      <c r="G3882" s="470"/>
      <c r="H3882" s="470">
        <v>3875</v>
      </c>
      <c r="I3882" s="455">
        <f t="shared" ca="1" si="178"/>
        <v>3969850411186.1074</v>
      </c>
      <c r="J3882" s="455">
        <f t="array" ref="J3882">IFERROR(INDEX('Retirement Calculator'!J:J,MATCH('Isaac 401k'!N3882,'Retirement Calculator'!A:A,0),0),0)</f>
        <v>0</v>
      </c>
      <c r="K3882" s="455">
        <f t="shared" ca="1" si="176"/>
        <v>16541043379.942114</v>
      </c>
      <c r="L3882" s="455">
        <f t="shared" ca="1" si="177"/>
        <v>3986391454566.0493</v>
      </c>
      <c r="M3882" s="471">
        <f t="shared" si="179"/>
        <v>0.05</v>
      </c>
      <c r="N3882" s="475">
        <f t="shared" si="180"/>
        <v>169199</v>
      </c>
    </row>
    <row r="3883" spans="7:14" ht="11.25" customHeight="1" x14ac:dyDescent="0.3">
      <c r="G3883" s="470"/>
      <c r="H3883" s="470">
        <v>3876</v>
      </c>
      <c r="I3883" s="455">
        <f t="shared" ca="1" si="178"/>
        <v>3986391454566.0493</v>
      </c>
      <c r="J3883" s="455">
        <f t="array" ref="J3883">IFERROR(INDEX('Retirement Calculator'!J:J,MATCH('Isaac 401k'!N3883,'Retirement Calculator'!A:A,0),0),0)</f>
        <v>0</v>
      </c>
      <c r="K3883" s="455">
        <f t="shared" ca="1" si="176"/>
        <v>16609964394.025206</v>
      </c>
      <c r="L3883" s="455">
        <f t="shared" ca="1" si="177"/>
        <v>4003001418960.0747</v>
      </c>
      <c r="M3883" s="471">
        <f t="shared" si="179"/>
        <v>0.05</v>
      </c>
      <c r="N3883" s="475">
        <f t="shared" si="180"/>
        <v>169229</v>
      </c>
    </row>
    <row r="3884" spans="7:14" ht="11.25" customHeight="1" x14ac:dyDescent="0.3">
      <c r="G3884" s="470"/>
      <c r="H3884" s="470">
        <v>3877</v>
      </c>
      <c r="I3884" s="455">
        <f t="shared" ca="1" si="178"/>
        <v>4003001418960.0747</v>
      </c>
      <c r="J3884" s="455">
        <f t="array" ref="J3884">IFERROR(INDEX('Retirement Calculator'!J:J,MATCH('Isaac 401k'!N3884,'Retirement Calculator'!A:A,0),0),0)</f>
        <v>0</v>
      </c>
      <c r="K3884" s="455">
        <f t="shared" ca="1" si="176"/>
        <v>16679172579.000311</v>
      </c>
      <c r="L3884" s="455">
        <f t="shared" ca="1" si="177"/>
        <v>4019680591539.0752</v>
      </c>
      <c r="M3884" s="471">
        <f t="shared" si="179"/>
        <v>0.05</v>
      </c>
      <c r="N3884" s="475">
        <f t="shared" si="180"/>
        <v>169260</v>
      </c>
    </row>
    <row r="3885" spans="7:14" ht="11.25" customHeight="1" x14ac:dyDescent="0.3">
      <c r="G3885" s="470"/>
      <c r="H3885" s="470">
        <v>3878</v>
      </c>
      <c r="I3885" s="455">
        <f t="shared" ca="1" si="178"/>
        <v>4019680591539.0752</v>
      </c>
      <c r="J3885" s="455">
        <f t="array" ref="J3885">IFERROR(INDEX('Retirement Calculator'!J:J,MATCH('Isaac 401k'!N3885,'Retirement Calculator'!A:A,0),0),0)</f>
        <v>0</v>
      </c>
      <c r="K3885" s="455">
        <f t="shared" ca="1" si="176"/>
        <v>16748669131.412811</v>
      </c>
      <c r="L3885" s="455">
        <f t="shared" ca="1" si="177"/>
        <v>4036429260670.4878</v>
      </c>
      <c r="M3885" s="471">
        <f t="shared" si="179"/>
        <v>0.05</v>
      </c>
      <c r="N3885" s="475">
        <f t="shared" si="180"/>
        <v>169290</v>
      </c>
    </row>
    <row r="3886" spans="7:14" ht="11.25" customHeight="1" x14ac:dyDescent="0.3">
      <c r="G3886" s="470"/>
      <c r="H3886" s="470">
        <v>3879</v>
      </c>
      <c r="I3886" s="455">
        <f t="shared" ca="1" si="178"/>
        <v>4036429260670.4878</v>
      </c>
      <c r="J3886" s="455">
        <f t="array" ref="J3886">IFERROR(INDEX('Retirement Calculator'!J:J,MATCH('Isaac 401k'!N3886,'Retirement Calculator'!A:A,0),0),0)</f>
        <v>0</v>
      </c>
      <c r="K3886" s="455">
        <f t="shared" ca="1" si="176"/>
        <v>16818455252.793699</v>
      </c>
      <c r="L3886" s="455">
        <f t="shared" ca="1" si="177"/>
        <v>4053247715923.2813</v>
      </c>
      <c r="M3886" s="471">
        <f t="shared" si="179"/>
        <v>0.05</v>
      </c>
      <c r="N3886" s="475">
        <f t="shared" si="180"/>
        <v>169321</v>
      </c>
    </row>
    <row r="3887" spans="7:14" ht="11.25" customHeight="1" x14ac:dyDescent="0.3">
      <c r="G3887" s="470"/>
      <c r="H3887" s="470">
        <v>3880</v>
      </c>
      <c r="I3887" s="455">
        <f t="shared" ca="1" si="178"/>
        <v>4053247715923.2813</v>
      </c>
      <c r="J3887" s="455">
        <f t="array" ref="J3887">IFERROR(INDEX('Retirement Calculator'!J:J,MATCH('Isaac 401k'!N3887,'Retirement Calculator'!A:A,0),0),0)</f>
        <v>0</v>
      </c>
      <c r="K3887" s="455">
        <f t="shared" ca="1" si="176"/>
        <v>16888532149.680338</v>
      </c>
      <c r="L3887" s="455">
        <f t="shared" ca="1" si="177"/>
        <v>4070136248072.9614</v>
      </c>
      <c r="M3887" s="471">
        <f t="shared" si="179"/>
        <v>0.05</v>
      </c>
      <c r="N3887" s="475">
        <f t="shared" si="180"/>
        <v>169352</v>
      </c>
    </row>
    <row r="3888" spans="7:14" ht="11.25" customHeight="1" x14ac:dyDescent="0.3">
      <c r="G3888" s="470"/>
      <c r="H3888" s="470">
        <v>3881</v>
      </c>
      <c r="I3888" s="455">
        <f t="shared" ca="1" si="178"/>
        <v>4070136248072.9614</v>
      </c>
      <c r="J3888" s="455">
        <f t="array" ref="J3888">IFERROR(INDEX('Retirement Calculator'!J:J,MATCH('Isaac 401k'!N3888,'Retirement Calculator'!A:A,0),0),0)</f>
        <v>0</v>
      </c>
      <c r="K3888" s="455">
        <f t="shared" ca="1" si="176"/>
        <v>16958901033.637341</v>
      </c>
      <c r="L3888" s="455">
        <f t="shared" ca="1" si="177"/>
        <v>4087095149106.5986</v>
      </c>
      <c r="M3888" s="471">
        <f t="shared" si="179"/>
        <v>0.05</v>
      </c>
      <c r="N3888" s="475">
        <f t="shared" si="180"/>
        <v>169382</v>
      </c>
    </row>
    <row r="3889" spans="7:14" ht="11.25" customHeight="1" x14ac:dyDescent="0.3">
      <c r="G3889" s="470"/>
      <c r="H3889" s="470">
        <v>3882</v>
      </c>
      <c r="I3889" s="455">
        <f t="shared" ca="1" si="178"/>
        <v>4087095149106.5986</v>
      </c>
      <c r="J3889" s="455">
        <f t="array" ref="J3889">IFERROR(INDEX('Retirement Calculator'!J:J,MATCH('Isaac 401k'!N3889,'Retirement Calculator'!A:A,0),0),0)</f>
        <v>0</v>
      </c>
      <c r="K3889" s="455">
        <f t="shared" ca="1" si="176"/>
        <v>17029563121.277496</v>
      </c>
      <c r="L3889" s="455">
        <f t="shared" ca="1" si="177"/>
        <v>4104124712227.876</v>
      </c>
      <c r="M3889" s="471">
        <f t="shared" si="179"/>
        <v>0.05</v>
      </c>
      <c r="N3889" s="475">
        <f t="shared" si="180"/>
        <v>169413</v>
      </c>
    </row>
    <row r="3890" spans="7:14" ht="11.25" customHeight="1" x14ac:dyDescent="0.3">
      <c r="G3890" s="470"/>
      <c r="H3890" s="470">
        <v>3883</v>
      </c>
      <c r="I3890" s="455">
        <f t="shared" ca="1" si="178"/>
        <v>4104124712227.876</v>
      </c>
      <c r="J3890" s="455">
        <f t="array" ref="J3890">IFERROR(INDEX('Retirement Calculator'!J:J,MATCH('Isaac 401k'!N3890,'Retirement Calculator'!A:A,0),0),0)</f>
        <v>0</v>
      </c>
      <c r="K3890" s="455">
        <f t="shared" ca="1" si="176"/>
        <v>17100519634.282814</v>
      </c>
      <c r="L3890" s="455">
        <f t="shared" ca="1" si="177"/>
        <v>4121225231862.1587</v>
      </c>
      <c r="M3890" s="471">
        <f t="shared" si="179"/>
        <v>0.05</v>
      </c>
      <c r="N3890" s="475">
        <f t="shared" si="180"/>
        <v>169443</v>
      </c>
    </row>
    <row r="3891" spans="7:14" ht="11.25" customHeight="1" x14ac:dyDescent="0.3">
      <c r="G3891" s="470"/>
      <c r="H3891" s="470">
        <v>3884</v>
      </c>
      <c r="I3891" s="455">
        <f t="shared" ca="1" si="178"/>
        <v>4121225231862.1587</v>
      </c>
      <c r="J3891" s="455">
        <f t="array" ref="J3891">IFERROR(INDEX('Retirement Calculator'!J:J,MATCH('Isaac 401k'!N3891,'Retirement Calculator'!A:A,0),0),0)</f>
        <v>0</v>
      </c>
      <c r="K3891" s="455">
        <f t="shared" ca="1" si="176"/>
        <v>17171771799.425663</v>
      </c>
      <c r="L3891" s="455">
        <f t="shared" ca="1" si="177"/>
        <v>4138397003661.5845</v>
      </c>
      <c r="M3891" s="471">
        <f t="shared" si="179"/>
        <v>0.05</v>
      </c>
      <c r="N3891" s="475">
        <f t="shared" si="180"/>
        <v>169474</v>
      </c>
    </row>
    <row r="3892" spans="7:14" ht="11.25" customHeight="1" x14ac:dyDescent="0.3">
      <c r="G3892" s="470"/>
      <c r="H3892" s="470">
        <v>3885</v>
      </c>
      <c r="I3892" s="455">
        <f t="shared" ca="1" si="178"/>
        <v>4138397003661.5845</v>
      </c>
      <c r="J3892" s="455">
        <f t="array" ref="J3892">IFERROR(INDEX('Retirement Calculator'!J:J,MATCH('Isaac 401k'!N3892,'Retirement Calculator'!A:A,0),0),0)</f>
        <v>0</v>
      </c>
      <c r="K3892" s="455">
        <f t="shared" ca="1" si="176"/>
        <v>17243320848.589935</v>
      </c>
      <c r="L3892" s="455">
        <f t="shared" ca="1" si="177"/>
        <v>4155640324510.1743</v>
      </c>
      <c r="M3892" s="471">
        <f t="shared" si="179"/>
        <v>0.05</v>
      </c>
      <c r="N3892" s="475">
        <f t="shared" si="180"/>
        <v>169505</v>
      </c>
    </row>
    <row r="3893" spans="7:14" ht="11.25" customHeight="1" x14ac:dyDescent="0.3">
      <c r="G3893" s="470"/>
      <c r="H3893" s="470">
        <v>3886</v>
      </c>
      <c r="I3893" s="455">
        <f t="shared" ca="1" si="178"/>
        <v>4155640324510.1743</v>
      </c>
      <c r="J3893" s="455">
        <f t="array" ref="J3893">IFERROR(INDEX('Retirement Calculator'!J:J,MATCH('Isaac 401k'!N3893,'Retirement Calculator'!A:A,0),0),0)</f>
        <v>0</v>
      </c>
      <c r="K3893" s="455">
        <f t="shared" ca="1" si="176"/>
        <v>17315168018.792389</v>
      </c>
      <c r="L3893" s="455">
        <f t="shared" ca="1" si="177"/>
        <v>4172955492528.9668</v>
      </c>
      <c r="M3893" s="471">
        <f t="shared" si="179"/>
        <v>0.05</v>
      </c>
      <c r="N3893" s="475">
        <f t="shared" si="180"/>
        <v>169534</v>
      </c>
    </row>
    <row r="3894" spans="7:14" ht="11.25" customHeight="1" x14ac:dyDescent="0.3">
      <c r="G3894" s="470"/>
      <c r="H3894" s="470">
        <v>3887</v>
      </c>
      <c r="I3894" s="455">
        <f t="shared" ca="1" si="178"/>
        <v>4172955492528.9668</v>
      </c>
      <c r="J3894" s="455">
        <f t="array" ref="J3894">IFERROR(INDEX('Retirement Calculator'!J:J,MATCH('Isaac 401k'!N3894,'Retirement Calculator'!A:A,0),0),0)</f>
        <v>0</v>
      </c>
      <c r="K3894" s="455">
        <f t="shared" ca="1" si="176"/>
        <v>17387314552.204029</v>
      </c>
      <c r="L3894" s="455">
        <f t="shared" ca="1" si="177"/>
        <v>4190342807081.1709</v>
      </c>
      <c r="M3894" s="471">
        <f t="shared" si="179"/>
        <v>0.05</v>
      </c>
      <c r="N3894" s="475">
        <f t="shared" si="180"/>
        <v>169565</v>
      </c>
    </row>
    <row r="3895" spans="7:14" ht="11.25" customHeight="1" x14ac:dyDescent="0.3">
      <c r="G3895" s="470"/>
      <c r="H3895" s="470">
        <v>3888</v>
      </c>
      <c r="I3895" s="455">
        <f t="shared" ca="1" si="178"/>
        <v>4190342807081.1709</v>
      </c>
      <c r="J3895" s="455">
        <f t="array" ref="J3895">IFERROR(INDEX('Retirement Calculator'!J:J,MATCH('Isaac 401k'!N3895,'Retirement Calculator'!A:A,0),0),0)</f>
        <v>0</v>
      </c>
      <c r="K3895" s="455">
        <f t="shared" ca="1" si="176"/>
        <v>17459761696.171547</v>
      </c>
      <c r="L3895" s="455">
        <f t="shared" ca="1" si="177"/>
        <v>4207802568777.3423</v>
      </c>
      <c r="M3895" s="471">
        <f t="shared" si="179"/>
        <v>0.05</v>
      </c>
      <c r="N3895" s="475">
        <f t="shared" si="180"/>
        <v>169595</v>
      </c>
    </row>
    <row r="3896" spans="7:14" ht="11.25" customHeight="1" x14ac:dyDescent="0.3">
      <c r="G3896" s="470"/>
      <c r="H3896" s="470">
        <v>3889</v>
      </c>
      <c r="I3896" s="455">
        <f t="shared" ca="1" si="178"/>
        <v>4207802568777.3423</v>
      </c>
      <c r="J3896" s="455">
        <f t="array" ref="J3896">IFERROR(INDEX('Retirement Calculator'!J:J,MATCH('Isaac 401k'!N3896,'Retirement Calculator'!A:A,0),0),0)</f>
        <v>0</v>
      </c>
      <c r="K3896" s="455">
        <f t="shared" ca="1" si="176"/>
        <v>17532510703.238926</v>
      </c>
      <c r="L3896" s="455">
        <f t="shared" ca="1" si="177"/>
        <v>4225335079480.5811</v>
      </c>
      <c r="M3896" s="471">
        <f t="shared" si="179"/>
        <v>0.05</v>
      </c>
      <c r="N3896" s="475">
        <f t="shared" si="180"/>
        <v>169626</v>
      </c>
    </row>
    <row r="3897" spans="7:14" ht="11.25" customHeight="1" x14ac:dyDescent="0.3">
      <c r="G3897" s="470"/>
      <c r="H3897" s="470">
        <v>3890</v>
      </c>
      <c r="I3897" s="455">
        <f t="shared" ca="1" si="178"/>
        <v>4225335079480.5811</v>
      </c>
      <c r="J3897" s="455">
        <f t="array" ref="J3897">IFERROR(INDEX('Retirement Calculator'!J:J,MATCH('Isaac 401k'!N3897,'Retirement Calculator'!A:A,0),0),0)</f>
        <v>0</v>
      </c>
      <c r="K3897" s="455">
        <f t="shared" ca="1" si="176"/>
        <v>17605562831.169086</v>
      </c>
      <c r="L3897" s="455">
        <f t="shared" ca="1" si="177"/>
        <v>4242940642311.75</v>
      </c>
      <c r="M3897" s="471">
        <f t="shared" si="179"/>
        <v>0.05</v>
      </c>
      <c r="N3897" s="475">
        <f t="shared" si="180"/>
        <v>169656</v>
      </c>
    </row>
    <row r="3898" spans="7:14" ht="11.25" customHeight="1" x14ac:dyDescent="0.3">
      <c r="G3898" s="470"/>
      <c r="H3898" s="470">
        <v>3891</v>
      </c>
      <c r="I3898" s="455">
        <f t="shared" ca="1" si="178"/>
        <v>4242940642311.75</v>
      </c>
      <c r="J3898" s="455">
        <f t="array" ref="J3898">IFERROR(INDEX('Retirement Calculator'!J:J,MATCH('Isaac 401k'!N3898,'Retirement Calculator'!A:A,0),0),0)</f>
        <v>0</v>
      </c>
      <c r="K3898" s="455">
        <f t="shared" ca="1" si="176"/>
        <v>17678919342.965626</v>
      </c>
      <c r="L3898" s="455">
        <f t="shared" ca="1" si="177"/>
        <v>4260619561654.7158</v>
      </c>
      <c r="M3898" s="471">
        <f t="shared" si="179"/>
        <v>0.05</v>
      </c>
      <c r="N3898" s="475">
        <f t="shared" si="180"/>
        <v>169687</v>
      </c>
    </row>
    <row r="3899" spans="7:14" ht="11.25" customHeight="1" x14ac:dyDescent="0.3">
      <c r="G3899" s="470"/>
      <c r="H3899" s="470">
        <v>3892</v>
      </c>
      <c r="I3899" s="455">
        <f t="shared" ca="1" si="178"/>
        <v>4260619561654.7158</v>
      </c>
      <c r="J3899" s="455">
        <f t="array" ref="J3899">IFERROR(INDEX('Retirement Calculator'!J:J,MATCH('Isaac 401k'!N3899,'Retirement Calculator'!A:A,0),0),0)</f>
        <v>0</v>
      </c>
      <c r="K3899" s="455">
        <f t="shared" ca="1" si="176"/>
        <v>17752581506.89465</v>
      </c>
      <c r="L3899" s="455">
        <f t="shared" ca="1" si="177"/>
        <v>4278372143161.6104</v>
      </c>
      <c r="M3899" s="471">
        <f t="shared" si="179"/>
        <v>0.05</v>
      </c>
      <c r="N3899" s="475">
        <f t="shared" si="180"/>
        <v>169718</v>
      </c>
    </row>
    <row r="3900" spans="7:14" ht="11.25" customHeight="1" x14ac:dyDescent="0.3">
      <c r="G3900" s="470"/>
      <c r="H3900" s="470">
        <v>3893</v>
      </c>
      <c r="I3900" s="455">
        <f t="shared" ca="1" si="178"/>
        <v>4278372143161.6104</v>
      </c>
      <c r="J3900" s="455">
        <f t="array" ref="J3900">IFERROR(INDEX('Retirement Calculator'!J:J,MATCH('Isaac 401k'!N3900,'Retirement Calculator'!A:A,0),0),0)</f>
        <v>0</v>
      </c>
      <c r="K3900" s="455">
        <f t="shared" ca="1" si="176"/>
        <v>17826550596.50671</v>
      </c>
      <c r="L3900" s="455">
        <f t="shared" ca="1" si="177"/>
        <v>4296198693758.1172</v>
      </c>
      <c r="M3900" s="471">
        <f t="shared" si="179"/>
        <v>0.05</v>
      </c>
      <c r="N3900" s="475">
        <f t="shared" si="180"/>
        <v>169748</v>
      </c>
    </row>
    <row r="3901" spans="7:14" ht="11.25" customHeight="1" x14ac:dyDescent="0.3">
      <c r="G3901" s="470"/>
      <c r="H3901" s="470">
        <v>3894</v>
      </c>
      <c r="I3901" s="455">
        <f t="shared" ca="1" si="178"/>
        <v>4296198693758.1172</v>
      </c>
      <c r="J3901" s="455">
        <f t="array" ref="J3901">IFERROR(INDEX('Retirement Calculator'!J:J,MATCH('Isaac 401k'!N3901,'Retirement Calculator'!A:A,0),0),0)</f>
        <v>0</v>
      </c>
      <c r="K3901" s="455">
        <f t="shared" ca="1" si="176"/>
        <v>17900827890.658825</v>
      </c>
      <c r="L3901" s="455">
        <f t="shared" ca="1" si="177"/>
        <v>4314099521648.7759</v>
      </c>
      <c r="M3901" s="471">
        <f t="shared" si="179"/>
        <v>0.05</v>
      </c>
      <c r="N3901" s="475">
        <f t="shared" si="180"/>
        <v>169779</v>
      </c>
    </row>
    <row r="3902" spans="7:14" ht="11.25" customHeight="1" x14ac:dyDescent="0.3">
      <c r="G3902" s="470"/>
      <c r="H3902" s="470">
        <v>3895</v>
      </c>
      <c r="I3902" s="455">
        <f t="shared" ca="1" si="178"/>
        <v>4314099521648.7759</v>
      </c>
      <c r="J3902" s="455">
        <f t="array" ref="J3902">IFERROR(INDEX('Retirement Calculator'!J:J,MATCH('Isaac 401k'!N3902,'Retirement Calculator'!A:A,0),0),0)</f>
        <v>0</v>
      </c>
      <c r="K3902" s="455">
        <f t="shared" ca="1" si="176"/>
        <v>17975414673.536568</v>
      </c>
      <c r="L3902" s="455">
        <f t="shared" ca="1" si="177"/>
        <v>4332074936322.3125</v>
      </c>
      <c r="M3902" s="471">
        <f t="shared" si="179"/>
        <v>0.05</v>
      </c>
      <c r="N3902" s="475">
        <f t="shared" si="180"/>
        <v>169809</v>
      </c>
    </row>
    <row r="3903" spans="7:14" ht="11.25" customHeight="1" x14ac:dyDescent="0.3">
      <c r="G3903" s="470"/>
      <c r="H3903" s="470">
        <v>3896</v>
      </c>
      <c r="I3903" s="455">
        <f t="shared" ca="1" si="178"/>
        <v>4332074936322.3125</v>
      </c>
      <c r="J3903" s="455">
        <f t="array" ref="J3903">IFERROR(INDEX('Retirement Calculator'!J:J,MATCH('Isaac 401k'!N3903,'Retirement Calculator'!A:A,0),0),0)</f>
        <v>0</v>
      </c>
      <c r="K3903" s="455">
        <f t="shared" ca="1" si="176"/>
        <v>18050312234.6763</v>
      </c>
      <c r="L3903" s="455">
        <f t="shared" ca="1" si="177"/>
        <v>4350125248556.9888</v>
      </c>
      <c r="M3903" s="471">
        <f t="shared" si="179"/>
        <v>0.05</v>
      </c>
      <c r="N3903" s="475">
        <f t="shared" si="180"/>
        <v>169840</v>
      </c>
    </row>
    <row r="3904" spans="7:14" ht="11.25" customHeight="1" x14ac:dyDescent="0.3">
      <c r="G3904" s="470"/>
      <c r="H3904" s="470">
        <v>3897</v>
      </c>
      <c r="I3904" s="455">
        <f t="shared" ca="1" si="178"/>
        <v>4350125248556.9888</v>
      </c>
      <c r="J3904" s="455">
        <f t="array" ref="J3904">IFERROR(INDEX('Retirement Calculator'!J:J,MATCH('Isaac 401k'!N3904,'Retirement Calculator'!A:A,0),0),0)</f>
        <v>0</v>
      </c>
      <c r="K3904" s="455">
        <f t="shared" ca="1" si="176"/>
        <v>18125521868.987453</v>
      </c>
      <c r="L3904" s="455">
        <f t="shared" ca="1" si="177"/>
        <v>4368250770425.9761</v>
      </c>
      <c r="M3904" s="471">
        <f t="shared" si="179"/>
        <v>0.05</v>
      </c>
      <c r="N3904" s="475">
        <f t="shared" si="180"/>
        <v>169871</v>
      </c>
    </row>
    <row r="3905" spans="7:14" ht="11.25" customHeight="1" x14ac:dyDescent="0.3">
      <c r="G3905" s="470"/>
      <c r="H3905" s="470">
        <v>3898</v>
      </c>
      <c r="I3905" s="455">
        <f t="shared" ca="1" si="178"/>
        <v>4368250770425.9761</v>
      </c>
      <c r="J3905" s="455">
        <f t="array" ref="J3905">IFERROR(INDEX('Retirement Calculator'!J:J,MATCH('Isaac 401k'!N3905,'Retirement Calculator'!A:A,0),0),0)</f>
        <v>0</v>
      </c>
      <c r="K3905" s="455">
        <f t="shared" ca="1" si="176"/>
        <v>18201044876.774902</v>
      </c>
      <c r="L3905" s="455">
        <f t="shared" ca="1" si="177"/>
        <v>4386451815302.751</v>
      </c>
      <c r="M3905" s="471">
        <f t="shared" si="179"/>
        <v>0.05</v>
      </c>
      <c r="N3905" s="475">
        <f t="shared" si="180"/>
        <v>169899</v>
      </c>
    </row>
    <row r="3906" spans="7:14" ht="11.25" customHeight="1" x14ac:dyDescent="0.3">
      <c r="G3906" s="470"/>
      <c r="H3906" s="470">
        <v>3899</v>
      </c>
      <c r="I3906" s="455">
        <f t="shared" ca="1" si="178"/>
        <v>4386451815302.751</v>
      </c>
      <c r="J3906" s="455">
        <f t="array" ref="J3906">IFERROR(INDEX('Retirement Calculator'!J:J,MATCH('Isaac 401k'!N3906,'Retirement Calculator'!A:A,0),0),0)</f>
        <v>0</v>
      </c>
      <c r="K3906" s="455">
        <f t="shared" ca="1" si="176"/>
        <v>18276882563.761463</v>
      </c>
      <c r="L3906" s="455">
        <f t="shared" ca="1" si="177"/>
        <v>4404728697866.5127</v>
      </c>
      <c r="M3906" s="471">
        <f t="shared" si="179"/>
        <v>0.05</v>
      </c>
      <c r="N3906" s="475">
        <f t="shared" si="180"/>
        <v>169930</v>
      </c>
    </row>
    <row r="3907" spans="7:14" ht="11.25" customHeight="1" x14ac:dyDescent="0.3">
      <c r="G3907" s="470"/>
      <c r="H3907" s="470">
        <v>3900</v>
      </c>
      <c r="I3907" s="455">
        <f t="shared" ca="1" si="178"/>
        <v>4404728697866.5127</v>
      </c>
      <c r="J3907" s="455">
        <f t="array" ref="J3907">IFERROR(INDEX('Retirement Calculator'!J:J,MATCH('Isaac 401k'!N3907,'Retirement Calculator'!A:A,0),0),0)</f>
        <v>0</v>
      </c>
      <c r="K3907" s="455">
        <f t="shared" ca="1" si="176"/>
        <v>18353036241.11047</v>
      </c>
      <c r="L3907" s="455">
        <f t="shared" ca="1" si="177"/>
        <v>4423081734107.623</v>
      </c>
      <c r="M3907" s="471">
        <f t="shared" si="179"/>
        <v>0.05</v>
      </c>
      <c r="N3907" s="475">
        <f t="shared" si="180"/>
        <v>169960</v>
      </c>
    </row>
    <row r="3908" spans="7:14" ht="11.25" customHeight="1" x14ac:dyDescent="0.3">
      <c r="G3908" s="470"/>
      <c r="H3908" s="470">
        <v>3901</v>
      </c>
      <c r="I3908" s="455">
        <f t="shared" ca="1" si="178"/>
        <v>4423081734107.623</v>
      </c>
      <c r="J3908" s="455">
        <f t="array" ref="J3908">IFERROR(INDEX('Retirement Calculator'!J:J,MATCH('Isaac 401k'!N3908,'Retirement Calculator'!A:A,0),0),0)</f>
        <v>0</v>
      </c>
      <c r="K3908" s="455">
        <f t="shared" ca="1" si="176"/>
        <v>18429507225.448429</v>
      </c>
      <c r="L3908" s="455">
        <f t="shared" ca="1" si="177"/>
        <v>4441511241333.0713</v>
      </c>
      <c r="M3908" s="471">
        <f t="shared" si="179"/>
        <v>0.05</v>
      </c>
      <c r="N3908" s="475">
        <f t="shared" si="180"/>
        <v>169991</v>
      </c>
    </row>
    <row r="3909" spans="7:14" ht="11.25" customHeight="1" x14ac:dyDescent="0.3">
      <c r="G3909" s="470"/>
      <c r="H3909" s="470">
        <v>3902</v>
      </c>
      <c r="I3909" s="455">
        <f t="shared" ca="1" si="178"/>
        <v>4441511241333.0713</v>
      </c>
      <c r="J3909" s="455">
        <f t="array" ref="J3909">IFERROR(INDEX('Retirement Calculator'!J:J,MATCH('Isaac 401k'!N3909,'Retirement Calculator'!A:A,0),0),0)</f>
        <v>0</v>
      </c>
      <c r="K3909" s="455">
        <f t="shared" ca="1" si="176"/>
        <v>18506296838.887798</v>
      </c>
      <c r="L3909" s="455">
        <f t="shared" ca="1" si="177"/>
        <v>4460017538171.959</v>
      </c>
      <c r="M3909" s="471">
        <f t="shared" si="179"/>
        <v>0.05</v>
      </c>
      <c r="N3909" s="475">
        <f t="shared" si="180"/>
        <v>170021</v>
      </c>
    </row>
    <row r="3910" spans="7:14" ht="11.25" customHeight="1" x14ac:dyDescent="0.3">
      <c r="G3910" s="470"/>
      <c r="H3910" s="470">
        <v>3903</v>
      </c>
      <c r="I3910" s="455">
        <f t="shared" ca="1" si="178"/>
        <v>4460017538171.959</v>
      </c>
      <c r="J3910" s="455">
        <f t="array" ref="J3910">IFERROR(INDEX('Retirement Calculator'!J:J,MATCH('Isaac 401k'!N3910,'Retirement Calculator'!A:A,0),0),0)</f>
        <v>0</v>
      </c>
      <c r="K3910" s="455">
        <f t="shared" ca="1" si="176"/>
        <v>18583406409.049828</v>
      </c>
      <c r="L3910" s="455">
        <f t="shared" ca="1" si="177"/>
        <v>4478600944581.0088</v>
      </c>
      <c r="M3910" s="471">
        <f t="shared" si="179"/>
        <v>0.05</v>
      </c>
      <c r="N3910" s="475">
        <f t="shared" si="180"/>
        <v>170052</v>
      </c>
    </row>
    <row r="3911" spans="7:14" ht="11.25" customHeight="1" x14ac:dyDescent="0.3">
      <c r="G3911" s="470"/>
      <c r="H3911" s="470">
        <v>3904</v>
      </c>
      <c r="I3911" s="455">
        <f t="shared" ca="1" si="178"/>
        <v>4478600944581.0088</v>
      </c>
      <c r="J3911" s="455">
        <f t="array" ref="J3911">IFERROR(INDEX('Retirement Calculator'!J:J,MATCH('Isaac 401k'!N3911,'Retirement Calculator'!A:A,0),0),0)</f>
        <v>0</v>
      </c>
      <c r="K3911" s="455">
        <f t="shared" ca="1" si="176"/>
        <v>18660837269.087536</v>
      </c>
      <c r="L3911" s="455">
        <f t="shared" ca="1" si="177"/>
        <v>4497261781850.0967</v>
      </c>
      <c r="M3911" s="471">
        <f t="shared" si="179"/>
        <v>0.05</v>
      </c>
      <c r="N3911" s="475">
        <f t="shared" si="180"/>
        <v>170083</v>
      </c>
    </row>
    <row r="3912" spans="7:14" ht="11.25" customHeight="1" x14ac:dyDescent="0.3">
      <c r="G3912" s="470"/>
      <c r="H3912" s="470">
        <v>3905</v>
      </c>
      <c r="I3912" s="455">
        <f t="shared" ca="1" si="178"/>
        <v>4497261781850.0967</v>
      </c>
      <c r="J3912" s="455">
        <f t="array" ref="J3912">IFERROR(INDEX('Retirement Calculator'!J:J,MATCH('Isaac 401k'!N3912,'Retirement Calculator'!A:A,0),0),0)</f>
        <v>0</v>
      </c>
      <c r="K3912" s="455">
        <f t="shared" ca="1" si="176"/>
        <v>18738590757.708736</v>
      </c>
      <c r="L3912" s="455">
        <f t="shared" ca="1" si="177"/>
        <v>4516000372607.8057</v>
      </c>
      <c r="M3912" s="471">
        <f t="shared" si="179"/>
        <v>0.05</v>
      </c>
      <c r="N3912" s="475">
        <f t="shared" si="180"/>
        <v>170113</v>
      </c>
    </row>
    <row r="3913" spans="7:14" ht="11.25" customHeight="1" x14ac:dyDescent="0.3">
      <c r="G3913" s="470"/>
      <c r="H3913" s="470">
        <v>3906</v>
      </c>
      <c r="I3913" s="455">
        <f t="shared" ca="1" si="178"/>
        <v>4516000372607.8057</v>
      </c>
      <c r="J3913" s="455">
        <f t="array" ref="J3913">IFERROR(INDEX('Retirement Calculator'!J:J,MATCH('Isaac 401k'!N3913,'Retirement Calculator'!A:A,0),0),0)</f>
        <v>0</v>
      </c>
      <c r="K3913" s="455">
        <f t="shared" ca="1" si="176"/>
        <v>18816668219.199188</v>
      </c>
      <c r="L3913" s="455">
        <f t="shared" ca="1" si="177"/>
        <v>4534817040827.0049</v>
      </c>
      <c r="M3913" s="471">
        <f t="shared" si="179"/>
        <v>0.05</v>
      </c>
      <c r="N3913" s="475">
        <f t="shared" si="180"/>
        <v>170144</v>
      </c>
    </row>
    <row r="3914" spans="7:14" ht="11.25" customHeight="1" x14ac:dyDescent="0.3">
      <c r="G3914" s="470"/>
      <c r="H3914" s="470">
        <v>3907</v>
      </c>
      <c r="I3914" s="455">
        <f t="shared" ca="1" si="178"/>
        <v>4534817040827.0049</v>
      </c>
      <c r="J3914" s="455">
        <f t="array" ref="J3914">IFERROR(INDEX('Retirement Calculator'!J:J,MATCH('Isaac 401k'!N3914,'Retirement Calculator'!A:A,0),0),0)</f>
        <v>0</v>
      </c>
      <c r="K3914" s="455">
        <f t="shared" ca="1" si="176"/>
        <v>18895071003.445854</v>
      </c>
      <c r="L3914" s="455">
        <f t="shared" ca="1" si="177"/>
        <v>4553712111830.4512</v>
      </c>
      <c r="M3914" s="471">
        <f t="shared" si="179"/>
        <v>0.05</v>
      </c>
      <c r="N3914" s="475">
        <f t="shared" si="180"/>
        <v>170174</v>
      </c>
    </row>
    <row r="3915" spans="7:14" ht="11.25" customHeight="1" x14ac:dyDescent="0.3">
      <c r="G3915" s="470"/>
      <c r="H3915" s="470">
        <v>3908</v>
      </c>
      <c r="I3915" s="455">
        <f t="shared" ca="1" si="178"/>
        <v>4553712111830.4512</v>
      </c>
      <c r="J3915" s="455">
        <f t="array" ref="J3915">IFERROR(INDEX('Retirement Calculator'!J:J,MATCH('Isaac 401k'!N3915,'Retirement Calculator'!A:A,0),0),0)</f>
        <v>0</v>
      </c>
      <c r="K3915" s="455">
        <f t="shared" ca="1" si="176"/>
        <v>18973800465.960213</v>
      </c>
      <c r="L3915" s="455">
        <f t="shared" ca="1" si="177"/>
        <v>4572685912296.4111</v>
      </c>
      <c r="M3915" s="471">
        <f t="shared" si="179"/>
        <v>0.05</v>
      </c>
      <c r="N3915" s="475">
        <f t="shared" si="180"/>
        <v>170205</v>
      </c>
    </row>
    <row r="3916" spans="7:14" ht="11.25" customHeight="1" x14ac:dyDescent="0.3">
      <c r="G3916" s="470"/>
      <c r="H3916" s="470">
        <v>3909</v>
      </c>
      <c r="I3916" s="455">
        <f t="shared" ca="1" si="178"/>
        <v>4572685912296.4111</v>
      </c>
      <c r="J3916" s="455">
        <f t="array" ref="J3916">IFERROR(INDEX('Retirement Calculator'!J:J,MATCH('Isaac 401k'!N3916,'Retirement Calculator'!A:A,0),0),0)</f>
        <v>0</v>
      </c>
      <c r="K3916" s="455">
        <f t="shared" ca="1" si="176"/>
        <v>19052857967.901714</v>
      </c>
      <c r="L3916" s="455">
        <f t="shared" ca="1" si="177"/>
        <v>4591738770264.3125</v>
      </c>
      <c r="M3916" s="471">
        <f t="shared" si="179"/>
        <v>0.05</v>
      </c>
      <c r="N3916" s="475">
        <f t="shared" si="180"/>
        <v>170236</v>
      </c>
    </row>
    <row r="3917" spans="7:14" ht="11.25" customHeight="1" x14ac:dyDescent="0.3">
      <c r="G3917" s="470"/>
      <c r="H3917" s="470">
        <v>3910</v>
      </c>
      <c r="I3917" s="455">
        <f t="shared" ca="1" si="178"/>
        <v>4591738770264.3125</v>
      </c>
      <c r="J3917" s="455">
        <f t="array" ref="J3917">IFERROR(INDEX('Retirement Calculator'!J:J,MATCH('Isaac 401k'!N3917,'Retirement Calculator'!A:A,0),0),0)</f>
        <v>0</v>
      </c>
      <c r="K3917" s="455">
        <f t="shared" ca="1" si="176"/>
        <v>19132244876.101303</v>
      </c>
      <c r="L3917" s="455">
        <f t="shared" ca="1" si="177"/>
        <v>4610871015140.4141</v>
      </c>
      <c r="M3917" s="471">
        <f t="shared" si="179"/>
        <v>0.05</v>
      </c>
      <c r="N3917" s="475">
        <f t="shared" si="180"/>
        <v>170264</v>
      </c>
    </row>
    <row r="3918" spans="7:14" ht="11.25" customHeight="1" x14ac:dyDescent="0.3">
      <c r="G3918" s="470"/>
      <c r="H3918" s="470">
        <v>3911</v>
      </c>
      <c r="I3918" s="455">
        <f t="shared" ca="1" si="178"/>
        <v>4610871015140.4141</v>
      </c>
      <c r="J3918" s="455">
        <f t="array" ref="J3918">IFERROR(INDEX('Retirement Calculator'!J:J,MATCH('Isaac 401k'!N3918,'Retirement Calculator'!A:A,0),0),0)</f>
        <v>0</v>
      </c>
      <c r="K3918" s="455">
        <f t="shared" ca="1" si="176"/>
        <v>19211962563.08506</v>
      </c>
      <c r="L3918" s="455">
        <f t="shared" ca="1" si="177"/>
        <v>4630082977703.499</v>
      </c>
      <c r="M3918" s="471">
        <f t="shared" si="179"/>
        <v>0.05</v>
      </c>
      <c r="N3918" s="475">
        <f t="shared" si="180"/>
        <v>170295</v>
      </c>
    </row>
    <row r="3919" spans="7:14" ht="11.25" customHeight="1" x14ac:dyDescent="0.3">
      <c r="G3919" s="470"/>
      <c r="H3919" s="470">
        <v>3912</v>
      </c>
      <c r="I3919" s="455">
        <f t="shared" ca="1" si="178"/>
        <v>4630082977703.499</v>
      </c>
      <c r="J3919" s="455">
        <f t="array" ref="J3919">IFERROR(INDEX('Retirement Calculator'!J:J,MATCH('Isaac 401k'!N3919,'Retirement Calculator'!A:A,0),0),0)</f>
        <v>0</v>
      </c>
      <c r="K3919" s="455">
        <f t="shared" ca="1" si="176"/>
        <v>19292012407.097912</v>
      </c>
      <c r="L3919" s="455">
        <f t="shared" ca="1" si="177"/>
        <v>4649374990110.5967</v>
      </c>
      <c r="M3919" s="471">
        <f t="shared" si="179"/>
        <v>0.05</v>
      </c>
      <c r="N3919" s="475">
        <f t="shared" si="180"/>
        <v>170325</v>
      </c>
    </row>
    <row r="3920" spans="7:14" ht="11.25" customHeight="1" x14ac:dyDescent="0.3">
      <c r="G3920" s="470"/>
      <c r="H3920" s="470">
        <v>3913</v>
      </c>
      <c r="I3920" s="455">
        <f t="shared" ca="1" si="178"/>
        <v>4649374990110.5967</v>
      </c>
      <c r="J3920" s="455">
        <f t="array" ref="J3920">IFERROR(INDEX('Retirement Calculator'!J:J,MATCH('Isaac 401k'!N3920,'Retirement Calculator'!A:A,0),0),0)</f>
        <v>0</v>
      </c>
      <c r="K3920" s="455">
        <f t="shared" ca="1" si="176"/>
        <v>19372395792.127487</v>
      </c>
      <c r="L3920" s="455">
        <f t="shared" ca="1" si="177"/>
        <v>4668747385902.7246</v>
      </c>
      <c r="M3920" s="471">
        <f t="shared" si="179"/>
        <v>0.05</v>
      </c>
      <c r="N3920" s="475">
        <f t="shared" si="180"/>
        <v>170356</v>
      </c>
    </row>
    <row r="3921" spans="7:14" ht="11.25" customHeight="1" x14ac:dyDescent="0.3">
      <c r="G3921" s="470"/>
      <c r="H3921" s="470">
        <v>3914</v>
      </c>
      <c r="I3921" s="455">
        <f t="shared" ca="1" si="178"/>
        <v>4668747385902.7246</v>
      </c>
      <c r="J3921" s="455">
        <f t="array" ref="J3921">IFERROR(INDEX('Retirement Calculator'!J:J,MATCH('Isaac 401k'!N3921,'Retirement Calculator'!A:A,0),0),0)</f>
        <v>0</v>
      </c>
      <c r="K3921" s="455">
        <f t="shared" ca="1" si="176"/>
        <v>19453114107.92802</v>
      </c>
      <c r="L3921" s="455">
        <f t="shared" ca="1" si="177"/>
        <v>4688200500010.6523</v>
      </c>
      <c r="M3921" s="471">
        <f t="shared" si="179"/>
        <v>0.05</v>
      </c>
      <c r="N3921" s="475">
        <f t="shared" si="180"/>
        <v>170386</v>
      </c>
    </row>
    <row r="3922" spans="7:14" ht="11.25" customHeight="1" x14ac:dyDescent="0.3">
      <c r="G3922" s="470"/>
      <c r="H3922" s="470">
        <v>3915</v>
      </c>
      <c r="I3922" s="455">
        <f t="shared" ca="1" si="178"/>
        <v>4688200500010.6523</v>
      </c>
      <c r="J3922" s="455">
        <f t="array" ref="J3922">IFERROR(INDEX('Retirement Calculator'!J:J,MATCH('Isaac 401k'!N3922,'Retirement Calculator'!A:A,0),0),0)</f>
        <v>0</v>
      </c>
      <c r="K3922" s="455">
        <f t="shared" ca="1" si="176"/>
        <v>19534168750.044384</v>
      </c>
      <c r="L3922" s="455">
        <f t="shared" ca="1" si="177"/>
        <v>4707734668760.6963</v>
      </c>
      <c r="M3922" s="471">
        <f t="shared" si="179"/>
        <v>0.05</v>
      </c>
      <c r="N3922" s="475">
        <f t="shared" si="180"/>
        <v>170417</v>
      </c>
    </row>
    <row r="3923" spans="7:14" ht="11.25" customHeight="1" x14ac:dyDescent="0.3">
      <c r="G3923" s="470"/>
      <c r="H3923" s="470">
        <v>3916</v>
      </c>
      <c r="I3923" s="455">
        <f t="shared" ca="1" si="178"/>
        <v>4707734668760.6963</v>
      </c>
      <c r="J3923" s="455">
        <f t="array" ref="J3923">IFERROR(INDEX('Retirement Calculator'!J:J,MATCH('Isaac 401k'!N3923,'Retirement Calculator'!A:A,0),0),0)</f>
        <v>0</v>
      </c>
      <c r="K3923" s="455">
        <f t="shared" ca="1" si="176"/>
        <v>19615561119.836235</v>
      </c>
      <c r="L3923" s="455">
        <f t="shared" ca="1" si="177"/>
        <v>4727350229880.5322</v>
      </c>
      <c r="M3923" s="471">
        <f t="shared" si="179"/>
        <v>0.05</v>
      </c>
      <c r="N3923" s="475">
        <f t="shared" si="180"/>
        <v>170448</v>
      </c>
    </row>
    <row r="3924" spans="7:14" ht="11.25" customHeight="1" x14ac:dyDescent="0.3">
      <c r="G3924" s="470"/>
      <c r="H3924" s="470">
        <v>3917</v>
      </c>
      <c r="I3924" s="455">
        <f t="shared" ca="1" si="178"/>
        <v>4727350229880.5322</v>
      </c>
      <c r="J3924" s="455">
        <f t="array" ref="J3924">IFERROR(INDEX('Retirement Calculator'!J:J,MATCH('Isaac 401k'!N3924,'Retirement Calculator'!A:A,0),0),0)</f>
        <v>0</v>
      </c>
      <c r="K3924" s="455">
        <f t="shared" ca="1" si="176"/>
        <v>19697292624.502216</v>
      </c>
      <c r="L3924" s="455">
        <f t="shared" ca="1" si="177"/>
        <v>4747047522505.0342</v>
      </c>
      <c r="M3924" s="471">
        <f t="shared" si="179"/>
        <v>0.05</v>
      </c>
      <c r="N3924" s="475">
        <f t="shared" si="180"/>
        <v>170478</v>
      </c>
    </row>
    <row r="3925" spans="7:14" ht="11.25" customHeight="1" x14ac:dyDescent="0.3">
      <c r="G3925" s="470"/>
      <c r="H3925" s="470">
        <v>3918</v>
      </c>
      <c r="I3925" s="455">
        <f t="shared" ca="1" si="178"/>
        <v>4747047522505.0342</v>
      </c>
      <c r="J3925" s="455">
        <f t="array" ref="J3925">IFERROR(INDEX('Retirement Calculator'!J:J,MATCH('Isaac 401k'!N3925,'Retirement Calculator'!A:A,0),0),0)</f>
        <v>0</v>
      </c>
      <c r="K3925" s="455">
        <f t="shared" ca="1" si="176"/>
        <v>19779364677.104309</v>
      </c>
      <c r="L3925" s="455">
        <f t="shared" ca="1" si="177"/>
        <v>4766826887182.1387</v>
      </c>
      <c r="M3925" s="471">
        <f t="shared" si="179"/>
        <v>0.05</v>
      </c>
      <c r="N3925" s="475">
        <f t="shared" si="180"/>
        <v>170509</v>
      </c>
    </row>
    <row r="3926" spans="7:14" ht="11.25" customHeight="1" x14ac:dyDescent="0.3">
      <c r="G3926" s="470"/>
      <c r="H3926" s="470">
        <v>3919</v>
      </c>
      <c r="I3926" s="455">
        <f t="shared" ca="1" si="178"/>
        <v>4766826887182.1387</v>
      </c>
      <c r="J3926" s="455">
        <f t="array" ref="J3926">IFERROR(INDEX('Retirement Calculator'!J:J,MATCH('Isaac 401k'!N3926,'Retirement Calculator'!A:A,0),0),0)</f>
        <v>0</v>
      </c>
      <c r="K3926" s="455">
        <f t="shared" ca="1" si="176"/>
        <v>19861778696.592243</v>
      </c>
      <c r="L3926" s="455">
        <f t="shared" ca="1" si="177"/>
        <v>4786688665878.7305</v>
      </c>
      <c r="M3926" s="471">
        <f t="shared" si="179"/>
        <v>0.05</v>
      </c>
      <c r="N3926" s="475">
        <f t="shared" si="180"/>
        <v>170539</v>
      </c>
    </row>
    <row r="3927" spans="7:14" ht="11.25" customHeight="1" x14ac:dyDescent="0.3">
      <c r="G3927" s="470"/>
      <c r="H3927" s="470">
        <v>3920</v>
      </c>
      <c r="I3927" s="455">
        <f t="shared" ca="1" si="178"/>
        <v>4786688665878.7305</v>
      </c>
      <c r="J3927" s="455">
        <f t="array" ref="J3927">IFERROR(INDEX('Retirement Calculator'!J:J,MATCH('Isaac 401k'!N3927,'Retirement Calculator'!A:A,0),0),0)</f>
        <v>0</v>
      </c>
      <c r="K3927" s="455">
        <f t="shared" ca="1" si="176"/>
        <v>19944536107.828045</v>
      </c>
      <c r="L3927" s="455">
        <f t="shared" ca="1" si="177"/>
        <v>4806633201986.5586</v>
      </c>
      <c r="M3927" s="471">
        <f t="shared" si="179"/>
        <v>0.05</v>
      </c>
      <c r="N3927" s="475">
        <f t="shared" si="180"/>
        <v>170570</v>
      </c>
    </row>
    <row r="3928" spans="7:14" ht="11.25" customHeight="1" x14ac:dyDescent="0.3">
      <c r="G3928" s="470"/>
      <c r="H3928" s="470">
        <v>3921</v>
      </c>
      <c r="I3928" s="455">
        <f t="shared" ca="1" si="178"/>
        <v>4806633201986.5586</v>
      </c>
      <c r="J3928" s="455">
        <f t="array" ref="J3928">IFERROR(INDEX('Retirement Calculator'!J:J,MATCH('Isaac 401k'!N3928,'Retirement Calculator'!A:A,0),0),0)</f>
        <v>0</v>
      </c>
      <c r="K3928" s="455">
        <f t="shared" ca="1" si="176"/>
        <v>20027638341.610661</v>
      </c>
      <c r="L3928" s="455">
        <f t="shared" ca="1" si="177"/>
        <v>4826660840328.1689</v>
      </c>
      <c r="M3928" s="471">
        <f t="shared" si="179"/>
        <v>0.05</v>
      </c>
      <c r="N3928" s="475">
        <f t="shared" si="180"/>
        <v>170601</v>
      </c>
    </row>
    <row r="3929" spans="7:14" ht="11.25" customHeight="1" x14ac:dyDescent="0.3">
      <c r="G3929" s="470"/>
      <c r="H3929" s="470">
        <v>3922</v>
      </c>
      <c r="I3929" s="455">
        <f t="shared" ca="1" si="178"/>
        <v>4826660840328.1689</v>
      </c>
      <c r="J3929" s="455">
        <f t="array" ref="J3929">IFERROR(INDEX('Retirement Calculator'!J:J,MATCH('Isaac 401k'!N3929,'Retirement Calculator'!A:A,0),0),0)</f>
        <v>0</v>
      </c>
      <c r="K3929" s="455">
        <f t="shared" ca="1" si="176"/>
        <v>20111086834.700703</v>
      </c>
      <c r="L3929" s="455">
        <f t="shared" ca="1" si="177"/>
        <v>4846771927162.8701</v>
      </c>
      <c r="M3929" s="471">
        <f t="shared" si="179"/>
        <v>0.05</v>
      </c>
      <c r="N3929" s="475">
        <f t="shared" si="180"/>
        <v>170629</v>
      </c>
    </row>
    <row r="3930" spans="7:14" ht="11.25" customHeight="1" x14ac:dyDescent="0.3">
      <c r="G3930" s="470"/>
      <c r="H3930" s="470">
        <v>3923</v>
      </c>
      <c r="I3930" s="455">
        <f t="shared" ca="1" si="178"/>
        <v>4846771927162.8701</v>
      </c>
      <c r="J3930" s="455">
        <f t="array" ref="J3930">IFERROR(INDEX('Retirement Calculator'!J:J,MATCH('Isaac 401k'!N3930,'Retirement Calculator'!A:A,0),0),0)</f>
        <v>0</v>
      </c>
      <c r="K3930" s="455">
        <f t="shared" ca="1" si="176"/>
        <v>20194883029.845291</v>
      </c>
      <c r="L3930" s="455">
        <f t="shared" ca="1" si="177"/>
        <v>4866966810192.7158</v>
      </c>
      <c r="M3930" s="471">
        <f t="shared" si="179"/>
        <v>0.05</v>
      </c>
      <c r="N3930" s="475">
        <f t="shared" si="180"/>
        <v>170660</v>
      </c>
    </row>
    <row r="3931" spans="7:14" ht="11.25" customHeight="1" x14ac:dyDescent="0.3">
      <c r="G3931" s="470"/>
      <c r="H3931" s="470">
        <v>3924</v>
      </c>
      <c r="I3931" s="455">
        <f t="shared" ca="1" si="178"/>
        <v>4866966810192.7158</v>
      </c>
      <c r="J3931" s="455">
        <f t="array" ref="J3931">IFERROR(INDEX('Retirement Calculator'!J:J,MATCH('Isaac 401k'!N3931,'Retirement Calculator'!A:A,0),0),0)</f>
        <v>0</v>
      </c>
      <c r="K3931" s="455">
        <f t="shared" ca="1" si="176"/>
        <v>20279028375.802982</v>
      </c>
      <c r="L3931" s="455">
        <f t="shared" ca="1" si="177"/>
        <v>4887245838568.5186</v>
      </c>
      <c r="M3931" s="471">
        <f t="shared" si="179"/>
        <v>0.05</v>
      </c>
      <c r="N3931" s="475">
        <f t="shared" si="180"/>
        <v>170690</v>
      </c>
    </row>
    <row r="3932" spans="7:14" ht="11.25" customHeight="1" x14ac:dyDescent="0.3">
      <c r="G3932" s="470"/>
      <c r="H3932" s="470">
        <v>3925</v>
      </c>
      <c r="I3932" s="455">
        <f t="shared" ca="1" si="178"/>
        <v>4887245838568.5186</v>
      </c>
      <c r="J3932" s="455">
        <f t="array" ref="J3932">IFERROR(INDEX('Retirement Calculator'!J:J,MATCH('Isaac 401k'!N3932,'Retirement Calculator'!A:A,0),0),0)</f>
        <v>0</v>
      </c>
      <c r="K3932" s="455">
        <f t="shared" ca="1" si="176"/>
        <v>20363524327.368828</v>
      </c>
      <c r="L3932" s="455">
        <f t="shared" ca="1" si="177"/>
        <v>4907609362895.8877</v>
      </c>
      <c r="M3932" s="471">
        <f t="shared" si="179"/>
        <v>0.05</v>
      </c>
      <c r="N3932" s="475">
        <f t="shared" si="180"/>
        <v>170721</v>
      </c>
    </row>
    <row r="3933" spans="7:14" ht="11.25" customHeight="1" x14ac:dyDescent="0.3">
      <c r="G3933" s="470"/>
      <c r="H3933" s="470">
        <v>3926</v>
      </c>
      <c r="I3933" s="455">
        <f t="shared" ca="1" si="178"/>
        <v>4907609362895.8877</v>
      </c>
      <c r="J3933" s="455">
        <f t="array" ref="J3933">IFERROR(INDEX('Retirement Calculator'!J:J,MATCH('Isaac 401k'!N3933,'Retirement Calculator'!A:A,0),0),0)</f>
        <v>0</v>
      </c>
      <c r="K3933" s="455">
        <f t="shared" ca="1" si="176"/>
        <v>20448372345.399532</v>
      </c>
      <c r="L3933" s="455">
        <f t="shared" ca="1" si="177"/>
        <v>4928057735241.2871</v>
      </c>
      <c r="M3933" s="471">
        <f t="shared" si="179"/>
        <v>0.05</v>
      </c>
      <c r="N3933" s="475">
        <f t="shared" si="180"/>
        <v>170751</v>
      </c>
    </row>
    <row r="3934" spans="7:14" ht="11.25" customHeight="1" x14ac:dyDescent="0.3">
      <c r="G3934" s="470"/>
      <c r="H3934" s="470">
        <v>3927</v>
      </c>
      <c r="I3934" s="455">
        <f t="shared" ca="1" si="178"/>
        <v>4928057735241.2871</v>
      </c>
      <c r="J3934" s="455">
        <f t="array" ref="J3934">IFERROR(INDEX('Retirement Calculator'!J:J,MATCH('Isaac 401k'!N3934,'Retirement Calculator'!A:A,0),0),0)</f>
        <v>0</v>
      </c>
      <c r="K3934" s="455">
        <f t="shared" ca="1" si="176"/>
        <v>20533573896.838696</v>
      </c>
      <c r="L3934" s="455">
        <f t="shared" ca="1" si="177"/>
        <v>4948591309138.126</v>
      </c>
      <c r="M3934" s="471">
        <f t="shared" si="179"/>
        <v>0.05</v>
      </c>
      <c r="N3934" s="475">
        <f t="shared" si="180"/>
        <v>170782</v>
      </c>
    </row>
    <row r="3935" spans="7:14" ht="11.25" customHeight="1" x14ac:dyDescent="0.3">
      <c r="G3935" s="470"/>
      <c r="H3935" s="470">
        <v>3928</v>
      </c>
      <c r="I3935" s="455">
        <f t="shared" ca="1" si="178"/>
        <v>4948591309138.126</v>
      </c>
      <c r="J3935" s="455">
        <f t="array" ref="J3935">IFERROR(INDEX('Retirement Calculator'!J:J,MATCH('Isaac 401k'!N3935,'Retirement Calculator'!A:A,0),0),0)</f>
        <v>0</v>
      </c>
      <c r="K3935" s="455">
        <f t="shared" ca="1" si="176"/>
        <v>20619130454.742191</v>
      </c>
      <c r="L3935" s="455">
        <f t="shared" ca="1" si="177"/>
        <v>4969210439592.8682</v>
      </c>
      <c r="M3935" s="471">
        <f t="shared" si="179"/>
        <v>0.05</v>
      </c>
      <c r="N3935" s="475">
        <f t="shared" si="180"/>
        <v>170813</v>
      </c>
    </row>
    <row r="3936" spans="7:14" ht="11.25" customHeight="1" x14ac:dyDescent="0.3">
      <c r="G3936" s="470"/>
      <c r="H3936" s="470">
        <v>3929</v>
      </c>
      <c r="I3936" s="455">
        <f t="shared" ca="1" si="178"/>
        <v>4969210439592.8682</v>
      </c>
      <c r="J3936" s="455">
        <f t="array" ref="J3936">IFERROR(INDEX('Retirement Calculator'!J:J,MATCH('Isaac 401k'!N3936,'Retirement Calculator'!A:A,0),0),0)</f>
        <v>0</v>
      </c>
      <c r="K3936" s="455">
        <f t="shared" ca="1" si="176"/>
        <v>20705043498.303616</v>
      </c>
      <c r="L3936" s="455">
        <f t="shared" ca="1" si="177"/>
        <v>4989915483091.1719</v>
      </c>
      <c r="M3936" s="471">
        <f t="shared" si="179"/>
        <v>0.05</v>
      </c>
      <c r="N3936" s="475">
        <f t="shared" si="180"/>
        <v>170843</v>
      </c>
    </row>
    <row r="3937" spans="7:14" ht="11.25" customHeight="1" x14ac:dyDescent="0.3">
      <c r="G3937" s="470"/>
      <c r="H3937" s="470">
        <v>3930</v>
      </c>
      <c r="I3937" s="455">
        <f t="shared" ca="1" si="178"/>
        <v>4989915483091.1719</v>
      </c>
      <c r="J3937" s="455">
        <f t="array" ref="J3937">IFERROR(INDEX('Retirement Calculator'!J:J,MATCH('Isaac 401k'!N3937,'Retirement Calculator'!A:A,0),0),0)</f>
        <v>0</v>
      </c>
      <c r="K3937" s="455">
        <f t="shared" ca="1" si="176"/>
        <v>20791314512.879883</v>
      </c>
      <c r="L3937" s="455">
        <f t="shared" ca="1" si="177"/>
        <v>5010706797604.0518</v>
      </c>
      <c r="M3937" s="471">
        <f t="shared" si="179"/>
        <v>0.05</v>
      </c>
      <c r="N3937" s="475">
        <f t="shared" si="180"/>
        <v>170874</v>
      </c>
    </row>
    <row r="3938" spans="7:14" ht="11.25" customHeight="1" x14ac:dyDescent="0.3">
      <c r="G3938" s="470"/>
      <c r="H3938" s="470">
        <v>3931</v>
      </c>
      <c r="I3938" s="455">
        <f t="shared" ca="1" si="178"/>
        <v>5010706797604.0518</v>
      </c>
      <c r="J3938" s="455">
        <f t="array" ref="J3938">IFERROR(INDEX('Retirement Calculator'!J:J,MATCH('Isaac 401k'!N3938,'Retirement Calculator'!A:A,0),0),0)</f>
        <v>0</v>
      </c>
      <c r="K3938" s="455">
        <f t="shared" ca="1" si="176"/>
        <v>20877944990.016884</v>
      </c>
      <c r="L3938" s="455">
        <f t="shared" ca="1" si="177"/>
        <v>5031584742594.0684</v>
      </c>
      <c r="M3938" s="471">
        <f t="shared" si="179"/>
        <v>0.05</v>
      </c>
      <c r="N3938" s="475">
        <f t="shared" si="180"/>
        <v>170904</v>
      </c>
    </row>
    <row r="3939" spans="7:14" ht="11.25" customHeight="1" x14ac:dyDescent="0.3">
      <c r="G3939" s="470"/>
      <c r="H3939" s="470">
        <v>3932</v>
      </c>
      <c r="I3939" s="455">
        <f t="shared" ca="1" si="178"/>
        <v>5031584742594.0684</v>
      </c>
      <c r="J3939" s="455">
        <f t="array" ref="J3939">IFERROR(INDEX('Retirement Calculator'!J:J,MATCH('Isaac 401k'!N3939,'Retirement Calculator'!A:A,0),0),0)</f>
        <v>0</v>
      </c>
      <c r="K3939" s="455">
        <f t="shared" ca="1" si="176"/>
        <v>20964936427.475285</v>
      </c>
      <c r="L3939" s="455">
        <f t="shared" ca="1" si="177"/>
        <v>5052549679021.5439</v>
      </c>
      <c r="M3939" s="471">
        <f t="shared" si="179"/>
        <v>0.05</v>
      </c>
      <c r="N3939" s="475">
        <f t="shared" si="180"/>
        <v>170935</v>
      </c>
    </row>
    <row r="3940" spans="7:14" ht="11.25" customHeight="1" x14ac:dyDescent="0.3">
      <c r="G3940" s="470"/>
      <c r="H3940" s="470">
        <v>3933</v>
      </c>
      <c r="I3940" s="455">
        <f t="shared" ca="1" si="178"/>
        <v>5052549679021.5439</v>
      </c>
      <c r="J3940" s="455">
        <f t="array" ref="J3940">IFERROR(INDEX('Retirement Calculator'!J:J,MATCH('Isaac 401k'!N3940,'Retirement Calculator'!A:A,0),0),0)</f>
        <v>0</v>
      </c>
      <c r="K3940" s="455">
        <f t="shared" ca="1" si="176"/>
        <v>21052290329.256432</v>
      </c>
      <c r="L3940" s="455">
        <f t="shared" ca="1" si="177"/>
        <v>5073601969350.8008</v>
      </c>
      <c r="M3940" s="471">
        <f t="shared" si="179"/>
        <v>0.05</v>
      </c>
      <c r="N3940" s="475">
        <f t="shared" si="180"/>
        <v>170966</v>
      </c>
    </row>
    <row r="3941" spans="7:14" ht="11.25" customHeight="1" x14ac:dyDescent="0.3">
      <c r="G3941" s="470"/>
      <c r="H3941" s="470">
        <v>3934</v>
      </c>
      <c r="I3941" s="455">
        <f t="shared" ca="1" si="178"/>
        <v>5073601969350.8008</v>
      </c>
      <c r="J3941" s="455">
        <f t="array" ref="J3941">IFERROR(INDEX('Retirement Calculator'!J:J,MATCH('Isaac 401k'!N3941,'Retirement Calculator'!A:A,0),0),0)</f>
        <v>0</v>
      </c>
      <c r="K3941" s="455">
        <f t="shared" ca="1" si="176"/>
        <v>21140008205.628338</v>
      </c>
      <c r="L3941" s="455">
        <f t="shared" ca="1" si="177"/>
        <v>5094741977556.4287</v>
      </c>
      <c r="M3941" s="471">
        <f t="shared" si="179"/>
        <v>0.05</v>
      </c>
      <c r="N3941" s="475">
        <f t="shared" si="180"/>
        <v>170995</v>
      </c>
    </row>
    <row r="3942" spans="7:14" ht="11.25" customHeight="1" x14ac:dyDescent="0.3">
      <c r="G3942" s="470"/>
      <c r="H3942" s="470">
        <v>3935</v>
      </c>
      <c r="I3942" s="455">
        <f t="shared" ca="1" si="178"/>
        <v>5094741977556.4287</v>
      </c>
      <c r="J3942" s="455">
        <f t="array" ref="J3942">IFERROR(INDEX('Retirement Calculator'!J:J,MATCH('Isaac 401k'!N3942,'Retirement Calculator'!A:A,0),0),0)</f>
        <v>0</v>
      </c>
      <c r="K3942" s="455">
        <f t="shared" ca="1" si="176"/>
        <v>21228091573.151787</v>
      </c>
      <c r="L3942" s="455">
        <f t="shared" ca="1" si="177"/>
        <v>5115970069129.5801</v>
      </c>
      <c r="M3942" s="471">
        <f t="shared" si="179"/>
        <v>0.05</v>
      </c>
      <c r="N3942" s="475">
        <f t="shared" si="180"/>
        <v>171026</v>
      </c>
    </row>
    <row r="3943" spans="7:14" ht="11.25" customHeight="1" x14ac:dyDescent="0.3">
      <c r="G3943" s="470"/>
      <c r="H3943" s="470">
        <v>3936</v>
      </c>
      <c r="I3943" s="455">
        <f t="shared" ca="1" si="178"/>
        <v>5115970069129.5801</v>
      </c>
      <c r="J3943" s="455">
        <f t="array" ref="J3943">IFERROR(INDEX('Retirement Calculator'!J:J,MATCH('Isaac 401k'!N3943,'Retirement Calculator'!A:A,0),0),0)</f>
        <v>0</v>
      </c>
      <c r="K3943" s="455">
        <f t="shared" ca="1" si="176"/>
        <v>21316541954.706585</v>
      </c>
      <c r="L3943" s="455">
        <f t="shared" ca="1" si="177"/>
        <v>5137286611084.2871</v>
      </c>
      <c r="M3943" s="471">
        <f t="shared" si="179"/>
        <v>0.05</v>
      </c>
      <c r="N3943" s="475">
        <f t="shared" si="180"/>
        <v>171056</v>
      </c>
    </row>
    <row r="3944" spans="7:14" ht="11.25" customHeight="1" x14ac:dyDescent="0.3">
      <c r="G3944" s="470"/>
      <c r="H3944" s="470">
        <v>3937</v>
      </c>
      <c r="I3944" s="455">
        <f t="shared" ca="1" si="178"/>
        <v>5137286611084.2871</v>
      </c>
      <c r="J3944" s="455">
        <f t="array" ref="J3944">IFERROR(INDEX('Retirement Calculator'!J:J,MATCH('Isaac 401k'!N3944,'Retirement Calculator'!A:A,0),0),0)</f>
        <v>0</v>
      </c>
      <c r="K3944" s="455">
        <f t="shared" ca="1" si="176"/>
        <v>21405360879.517864</v>
      </c>
      <c r="L3944" s="455">
        <f t="shared" ca="1" si="177"/>
        <v>5158691971963.8047</v>
      </c>
      <c r="M3944" s="471">
        <f t="shared" si="179"/>
        <v>0.05</v>
      </c>
      <c r="N3944" s="475">
        <f t="shared" si="180"/>
        <v>171087</v>
      </c>
    </row>
    <row r="3945" spans="7:14" ht="11.25" customHeight="1" x14ac:dyDescent="0.3">
      <c r="G3945" s="470"/>
      <c r="H3945" s="470">
        <v>3938</v>
      </c>
      <c r="I3945" s="455">
        <f t="shared" ca="1" si="178"/>
        <v>5158691971963.8047</v>
      </c>
      <c r="J3945" s="455">
        <f t="array" ref="J3945">IFERROR(INDEX('Retirement Calculator'!J:J,MATCH('Isaac 401k'!N3945,'Retirement Calculator'!A:A,0),0),0)</f>
        <v>0</v>
      </c>
      <c r="K3945" s="455">
        <f t="shared" ca="1" si="176"/>
        <v>21494549883.182518</v>
      </c>
      <c r="L3945" s="455">
        <f t="shared" ca="1" si="177"/>
        <v>5180186521846.9873</v>
      </c>
      <c r="M3945" s="471">
        <f t="shared" si="179"/>
        <v>0.05</v>
      </c>
      <c r="N3945" s="475">
        <f t="shared" si="180"/>
        <v>171117</v>
      </c>
    </row>
    <row r="3946" spans="7:14" ht="11.25" customHeight="1" x14ac:dyDescent="0.3">
      <c r="G3946" s="470"/>
      <c r="H3946" s="470">
        <v>3939</v>
      </c>
      <c r="I3946" s="455">
        <f t="shared" ca="1" si="178"/>
        <v>5180186521846.9873</v>
      </c>
      <c r="J3946" s="455">
        <f t="array" ref="J3946">IFERROR(INDEX('Retirement Calculator'!J:J,MATCH('Isaac 401k'!N3946,'Retirement Calculator'!A:A,0),0),0)</f>
        <v>0</v>
      </c>
      <c r="K3946" s="455">
        <f t="shared" ca="1" si="176"/>
        <v>21584110507.695782</v>
      </c>
      <c r="L3946" s="455">
        <f t="shared" ca="1" si="177"/>
        <v>5201770632354.6826</v>
      </c>
      <c r="M3946" s="471">
        <f t="shared" si="179"/>
        <v>0.05</v>
      </c>
      <c r="N3946" s="475">
        <f t="shared" si="180"/>
        <v>171148</v>
      </c>
    </row>
    <row r="3947" spans="7:14" ht="11.25" customHeight="1" x14ac:dyDescent="0.3">
      <c r="G3947" s="470"/>
      <c r="H3947" s="470">
        <v>3940</v>
      </c>
      <c r="I3947" s="455">
        <f t="shared" ca="1" si="178"/>
        <v>5201770632354.6826</v>
      </c>
      <c r="J3947" s="455">
        <f t="array" ref="J3947">IFERROR(INDEX('Retirement Calculator'!J:J,MATCH('Isaac 401k'!N3947,'Retirement Calculator'!A:A,0),0),0)</f>
        <v>0</v>
      </c>
      <c r="K3947" s="455">
        <f t="shared" ca="1" si="176"/>
        <v>21674044301.477844</v>
      </c>
      <c r="L3947" s="455">
        <f t="shared" ca="1" si="177"/>
        <v>5223444676656.1602</v>
      </c>
      <c r="M3947" s="471">
        <f t="shared" si="179"/>
        <v>0.05</v>
      </c>
      <c r="N3947" s="475">
        <f t="shared" si="180"/>
        <v>171179</v>
      </c>
    </row>
    <row r="3948" spans="7:14" ht="11.25" customHeight="1" x14ac:dyDescent="0.3">
      <c r="G3948" s="470"/>
      <c r="H3948" s="470">
        <v>3941</v>
      </c>
      <c r="I3948" s="455">
        <f t="shared" ca="1" si="178"/>
        <v>5223444676656.1602</v>
      </c>
      <c r="J3948" s="455">
        <f t="array" ref="J3948">IFERROR(INDEX('Retirement Calculator'!J:J,MATCH('Isaac 401k'!N3948,'Retirement Calculator'!A:A,0),0),0)</f>
        <v>0</v>
      </c>
      <c r="K3948" s="455">
        <f t="shared" ca="1" si="176"/>
        <v>21764352819.400665</v>
      </c>
      <c r="L3948" s="455">
        <f t="shared" ca="1" si="177"/>
        <v>5245209029475.5605</v>
      </c>
      <c r="M3948" s="471">
        <f t="shared" si="179"/>
        <v>0.05</v>
      </c>
      <c r="N3948" s="475">
        <f t="shared" si="180"/>
        <v>171209</v>
      </c>
    </row>
    <row r="3949" spans="7:14" ht="11.25" customHeight="1" x14ac:dyDescent="0.3">
      <c r="G3949" s="470"/>
      <c r="H3949" s="470">
        <v>3942</v>
      </c>
      <c r="I3949" s="455">
        <f t="shared" ca="1" si="178"/>
        <v>5245209029475.5605</v>
      </c>
      <c r="J3949" s="455">
        <f t="array" ref="J3949">IFERROR(INDEX('Retirement Calculator'!J:J,MATCH('Isaac 401k'!N3949,'Retirement Calculator'!A:A,0),0),0)</f>
        <v>0</v>
      </c>
      <c r="K3949" s="455">
        <f t="shared" ca="1" si="176"/>
        <v>21855037622.814835</v>
      </c>
      <c r="L3949" s="455">
        <f t="shared" ca="1" si="177"/>
        <v>5267064067098.375</v>
      </c>
      <c r="M3949" s="471">
        <f t="shared" si="179"/>
        <v>0.05</v>
      </c>
      <c r="N3949" s="475">
        <f t="shared" si="180"/>
        <v>171240</v>
      </c>
    </row>
    <row r="3950" spans="7:14" ht="11.25" customHeight="1" x14ac:dyDescent="0.3">
      <c r="G3950" s="470"/>
      <c r="H3950" s="470">
        <v>3943</v>
      </c>
      <c r="I3950" s="455">
        <f t="shared" ca="1" si="178"/>
        <v>5267064067098.375</v>
      </c>
      <c r="J3950" s="455">
        <f t="array" ref="J3950">IFERROR(INDEX('Retirement Calculator'!J:J,MATCH('Isaac 401k'!N3950,'Retirement Calculator'!A:A,0),0),0)</f>
        <v>0</v>
      </c>
      <c r="K3950" s="455">
        <f t="shared" ca="1" si="176"/>
        <v>21946100279.576561</v>
      </c>
      <c r="L3950" s="455">
        <f t="shared" ca="1" si="177"/>
        <v>5289010167377.9512</v>
      </c>
      <c r="M3950" s="471">
        <f t="shared" si="179"/>
        <v>0.05</v>
      </c>
      <c r="N3950" s="475">
        <f t="shared" si="180"/>
        <v>171270</v>
      </c>
    </row>
    <row r="3951" spans="7:14" ht="11.25" customHeight="1" x14ac:dyDescent="0.3">
      <c r="G3951" s="470"/>
      <c r="H3951" s="470">
        <v>3944</v>
      </c>
      <c r="I3951" s="455">
        <f t="shared" ca="1" si="178"/>
        <v>5289010167377.9512</v>
      </c>
      <c r="J3951" s="455">
        <f t="array" ref="J3951">IFERROR(INDEX('Retirement Calculator'!J:J,MATCH('Isaac 401k'!N3951,'Retirement Calculator'!A:A,0),0),0)</f>
        <v>0</v>
      </c>
      <c r="K3951" s="455">
        <f t="shared" ca="1" si="176"/>
        <v>22037542364.074795</v>
      </c>
      <c r="L3951" s="455">
        <f t="shared" ca="1" si="177"/>
        <v>5311047709742.0264</v>
      </c>
      <c r="M3951" s="471">
        <f t="shared" si="179"/>
        <v>0.05</v>
      </c>
      <c r="N3951" s="475">
        <f t="shared" si="180"/>
        <v>171301</v>
      </c>
    </row>
    <row r="3952" spans="7:14" ht="11.25" customHeight="1" x14ac:dyDescent="0.3">
      <c r="G3952" s="470"/>
      <c r="H3952" s="470">
        <v>3945</v>
      </c>
      <c r="I3952" s="455">
        <f t="shared" ca="1" si="178"/>
        <v>5311047709742.0264</v>
      </c>
      <c r="J3952" s="455">
        <f t="array" ref="J3952">IFERROR(INDEX('Retirement Calculator'!J:J,MATCH('Isaac 401k'!N3952,'Retirement Calculator'!A:A,0),0),0)</f>
        <v>0</v>
      </c>
      <c r="K3952" s="455">
        <f t="shared" ca="1" si="176"/>
        <v>22129365457.258442</v>
      </c>
      <c r="L3952" s="455">
        <f t="shared" ca="1" si="177"/>
        <v>5333177075199.2852</v>
      </c>
      <c r="M3952" s="471">
        <f t="shared" si="179"/>
        <v>0.05</v>
      </c>
      <c r="N3952" s="475">
        <f t="shared" si="180"/>
        <v>171332</v>
      </c>
    </row>
    <row r="3953" spans="7:14" ht="11.25" customHeight="1" x14ac:dyDescent="0.3">
      <c r="G3953" s="470"/>
      <c r="H3953" s="470">
        <v>3946</v>
      </c>
      <c r="I3953" s="455">
        <f t="shared" ca="1" si="178"/>
        <v>5333177075199.2852</v>
      </c>
      <c r="J3953" s="455">
        <f t="array" ref="J3953">IFERROR(INDEX('Retirement Calculator'!J:J,MATCH('Isaac 401k'!N3953,'Retirement Calculator'!A:A,0),0),0)</f>
        <v>0</v>
      </c>
      <c r="K3953" s="455">
        <f t="shared" ca="1" si="176"/>
        <v>22221571146.663689</v>
      </c>
      <c r="L3953" s="455">
        <f t="shared" ca="1" si="177"/>
        <v>5355398646345.9492</v>
      </c>
      <c r="M3953" s="471">
        <f t="shared" si="179"/>
        <v>0.05</v>
      </c>
      <c r="N3953" s="475">
        <f t="shared" si="180"/>
        <v>171360</v>
      </c>
    </row>
    <row r="3954" spans="7:14" ht="11.25" customHeight="1" x14ac:dyDescent="0.3">
      <c r="G3954" s="470"/>
      <c r="H3954" s="470">
        <v>3947</v>
      </c>
      <c r="I3954" s="455">
        <f t="shared" ca="1" si="178"/>
        <v>5355398646345.9492</v>
      </c>
      <c r="J3954" s="455">
        <f t="array" ref="J3954">IFERROR(INDEX('Retirement Calculator'!J:J,MATCH('Isaac 401k'!N3954,'Retirement Calculator'!A:A,0),0),0)</f>
        <v>0</v>
      </c>
      <c r="K3954" s="455">
        <f t="shared" ca="1" si="176"/>
        <v>22314161026.441456</v>
      </c>
      <c r="L3954" s="455">
        <f t="shared" ca="1" si="177"/>
        <v>5377712807372.3906</v>
      </c>
      <c r="M3954" s="471">
        <f t="shared" si="179"/>
        <v>0.05</v>
      </c>
      <c r="N3954" s="475">
        <f t="shared" si="180"/>
        <v>171391</v>
      </c>
    </row>
    <row r="3955" spans="7:14" ht="11.25" customHeight="1" x14ac:dyDescent="0.3">
      <c r="G3955" s="470"/>
      <c r="H3955" s="470">
        <v>3948</v>
      </c>
      <c r="I3955" s="455">
        <f t="shared" ca="1" si="178"/>
        <v>5377712807372.3906</v>
      </c>
      <c r="J3955" s="455">
        <f t="array" ref="J3955">IFERROR(INDEX('Retirement Calculator'!J:J,MATCH('Isaac 401k'!N3955,'Retirement Calculator'!A:A,0),0),0)</f>
        <v>0</v>
      </c>
      <c r="K3955" s="455">
        <f t="shared" ca="1" si="176"/>
        <v>22407136697.38496</v>
      </c>
      <c r="L3955" s="455">
        <f t="shared" ca="1" si="177"/>
        <v>5400119944069.7754</v>
      </c>
      <c r="M3955" s="471">
        <f t="shared" si="179"/>
        <v>0.05</v>
      </c>
      <c r="N3955" s="475">
        <f t="shared" si="180"/>
        <v>171421</v>
      </c>
    </row>
    <row r="3956" spans="7:14" ht="11.25" customHeight="1" x14ac:dyDescent="0.3">
      <c r="G3956" s="470"/>
      <c r="H3956" s="470">
        <v>3949</v>
      </c>
      <c r="I3956" s="455">
        <f t="shared" ca="1" si="178"/>
        <v>5400119944069.7754</v>
      </c>
      <c r="J3956" s="455">
        <f t="array" ref="J3956">IFERROR(INDEX('Retirement Calculator'!J:J,MATCH('Isaac 401k'!N3956,'Retirement Calculator'!A:A,0),0),0)</f>
        <v>0</v>
      </c>
      <c r="K3956" s="455">
        <f t="shared" ca="1" si="176"/>
        <v>22500499766.957397</v>
      </c>
      <c r="L3956" s="455">
        <f t="shared" ca="1" si="177"/>
        <v>5422620443836.7324</v>
      </c>
      <c r="M3956" s="471">
        <f t="shared" si="179"/>
        <v>0.05</v>
      </c>
      <c r="N3956" s="475">
        <f t="shared" si="180"/>
        <v>171452</v>
      </c>
    </row>
    <row r="3957" spans="7:14" ht="11.25" customHeight="1" x14ac:dyDescent="0.3">
      <c r="G3957" s="470"/>
      <c r="H3957" s="470">
        <v>3950</v>
      </c>
      <c r="I3957" s="455">
        <f t="shared" ca="1" si="178"/>
        <v>5422620443836.7324</v>
      </c>
      <c r="J3957" s="455">
        <f t="array" ref="J3957">IFERROR(INDEX('Retirement Calculator'!J:J,MATCH('Isaac 401k'!N3957,'Retirement Calculator'!A:A,0),0),0)</f>
        <v>0</v>
      </c>
      <c r="K3957" s="455">
        <f t="shared" ca="1" si="176"/>
        <v>22594251849.319717</v>
      </c>
      <c r="L3957" s="455">
        <f t="shared" ca="1" si="177"/>
        <v>5445214695686.0518</v>
      </c>
      <c r="M3957" s="471">
        <f t="shared" si="179"/>
        <v>0.05</v>
      </c>
      <c r="N3957" s="475">
        <f t="shared" si="180"/>
        <v>171482</v>
      </c>
    </row>
    <row r="3958" spans="7:14" ht="11.25" customHeight="1" x14ac:dyDescent="0.3">
      <c r="G3958" s="470"/>
      <c r="H3958" s="470">
        <v>3951</v>
      </c>
      <c r="I3958" s="455">
        <f t="shared" ca="1" si="178"/>
        <v>5445214695686.0518</v>
      </c>
      <c r="J3958" s="455">
        <f t="array" ref="J3958">IFERROR(INDEX('Retirement Calculator'!J:J,MATCH('Isaac 401k'!N3958,'Retirement Calculator'!A:A,0),0),0)</f>
        <v>0</v>
      </c>
      <c r="K3958" s="455">
        <f t="shared" ca="1" si="176"/>
        <v>22688394565.358547</v>
      </c>
      <c r="L3958" s="455">
        <f t="shared" ca="1" si="177"/>
        <v>5467903090251.4102</v>
      </c>
      <c r="M3958" s="471">
        <f t="shared" si="179"/>
        <v>0.05</v>
      </c>
      <c r="N3958" s="475">
        <f t="shared" si="180"/>
        <v>171513</v>
      </c>
    </row>
    <row r="3959" spans="7:14" ht="11.25" customHeight="1" x14ac:dyDescent="0.3">
      <c r="G3959" s="470"/>
      <c r="H3959" s="470">
        <v>3952</v>
      </c>
      <c r="I3959" s="455">
        <f t="shared" ca="1" si="178"/>
        <v>5467903090251.4102</v>
      </c>
      <c r="J3959" s="455">
        <f t="array" ref="J3959">IFERROR(INDEX('Retirement Calculator'!J:J,MATCH('Isaac 401k'!N3959,'Retirement Calculator'!A:A,0),0),0)</f>
        <v>0</v>
      </c>
      <c r="K3959" s="455">
        <f t="shared" ca="1" si="176"/>
        <v>22782929542.714211</v>
      </c>
      <c r="L3959" s="455">
        <f t="shared" ca="1" si="177"/>
        <v>5490686019794.124</v>
      </c>
      <c r="M3959" s="471">
        <f t="shared" si="179"/>
        <v>0.05</v>
      </c>
      <c r="N3959" s="475">
        <f t="shared" si="180"/>
        <v>171544</v>
      </c>
    </row>
    <row r="3960" spans="7:14" ht="11.25" customHeight="1" x14ac:dyDescent="0.3">
      <c r="G3960" s="470"/>
      <c r="H3960" s="470">
        <v>3953</v>
      </c>
      <c r="I3960" s="455">
        <f t="shared" ca="1" si="178"/>
        <v>5490686019794.124</v>
      </c>
      <c r="J3960" s="455">
        <f t="array" ref="J3960">IFERROR(INDEX('Retirement Calculator'!J:J,MATCH('Isaac 401k'!N3960,'Retirement Calculator'!A:A,0),0),0)</f>
        <v>0</v>
      </c>
      <c r="K3960" s="455">
        <f t="shared" ca="1" si="176"/>
        <v>22877858415.808849</v>
      </c>
      <c r="L3960" s="455">
        <f t="shared" ca="1" si="177"/>
        <v>5513563878209.9326</v>
      </c>
      <c r="M3960" s="471">
        <f t="shared" si="179"/>
        <v>0.05</v>
      </c>
      <c r="N3960" s="475">
        <f t="shared" si="180"/>
        <v>171574</v>
      </c>
    </row>
    <row r="3961" spans="7:14" ht="11.25" customHeight="1" x14ac:dyDescent="0.3">
      <c r="G3961" s="470"/>
      <c r="H3961" s="470">
        <v>3954</v>
      </c>
      <c r="I3961" s="455">
        <f t="shared" ca="1" si="178"/>
        <v>5513563878209.9326</v>
      </c>
      <c r="J3961" s="455">
        <f t="array" ref="J3961">IFERROR(INDEX('Retirement Calculator'!J:J,MATCH('Isaac 401k'!N3961,'Retirement Calculator'!A:A,0),0),0)</f>
        <v>0</v>
      </c>
      <c r="K3961" s="455">
        <f t="shared" ca="1" si="176"/>
        <v>22973182825.874718</v>
      </c>
      <c r="L3961" s="455">
        <f t="shared" ca="1" si="177"/>
        <v>5536537061035.8076</v>
      </c>
      <c r="M3961" s="471">
        <f t="shared" si="179"/>
        <v>0.05</v>
      </c>
      <c r="N3961" s="475">
        <f t="shared" si="180"/>
        <v>171605</v>
      </c>
    </row>
    <row r="3962" spans="7:14" ht="11.25" customHeight="1" x14ac:dyDescent="0.3">
      <c r="G3962" s="470"/>
      <c r="H3962" s="470">
        <v>3955</v>
      </c>
      <c r="I3962" s="455">
        <f t="shared" ca="1" si="178"/>
        <v>5536537061035.8076</v>
      </c>
      <c r="J3962" s="455">
        <f t="array" ref="J3962">IFERROR(INDEX('Retirement Calculator'!J:J,MATCH('Isaac 401k'!N3962,'Retirement Calculator'!A:A,0),0),0)</f>
        <v>0</v>
      </c>
      <c r="K3962" s="455">
        <f t="shared" ca="1" si="176"/>
        <v>23068904420.982533</v>
      </c>
      <c r="L3962" s="455">
        <f t="shared" ca="1" si="177"/>
        <v>5559605965456.79</v>
      </c>
      <c r="M3962" s="471">
        <f t="shared" si="179"/>
        <v>0.05</v>
      </c>
      <c r="N3962" s="475">
        <f t="shared" si="180"/>
        <v>171635</v>
      </c>
    </row>
    <row r="3963" spans="7:14" ht="11.25" customHeight="1" x14ac:dyDescent="0.3">
      <c r="G3963" s="470"/>
      <c r="H3963" s="470">
        <v>3956</v>
      </c>
      <c r="I3963" s="455">
        <f t="shared" ca="1" si="178"/>
        <v>5559605965456.79</v>
      </c>
      <c r="J3963" s="455">
        <f t="array" ref="J3963">IFERROR(INDEX('Retirement Calculator'!J:J,MATCH('Isaac 401k'!N3963,'Retirement Calculator'!A:A,0),0),0)</f>
        <v>0</v>
      </c>
      <c r="K3963" s="455">
        <f t="shared" ca="1" si="176"/>
        <v>23165024856.069958</v>
      </c>
      <c r="L3963" s="455">
        <f t="shared" ca="1" si="177"/>
        <v>5582770990312.8604</v>
      </c>
      <c r="M3963" s="471">
        <f t="shared" si="179"/>
        <v>0.05</v>
      </c>
      <c r="N3963" s="475">
        <f t="shared" si="180"/>
        <v>171666</v>
      </c>
    </row>
    <row r="3964" spans="7:14" ht="11.25" customHeight="1" x14ac:dyDescent="0.3">
      <c r="G3964" s="470"/>
      <c r="H3964" s="470">
        <v>3957</v>
      </c>
      <c r="I3964" s="455">
        <f t="shared" ca="1" si="178"/>
        <v>5582770990312.8604</v>
      </c>
      <c r="J3964" s="455">
        <f t="array" ref="J3964">IFERROR(INDEX('Retirement Calculator'!J:J,MATCH('Isaac 401k'!N3964,'Retirement Calculator'!A:A,0),0),0)</f>
        <v>0</v>
      </c>
      <c r="K3964" s="455">
        <f t="shared" ca="1" si="176"/>
        <v>23261545792.970253</v>
      </c>
      <c r="L3964" s="455">
        <f t="shared" ca="1" si="177"/>
        <v>5606032536105.8311</v>
      </c>
      <c r="M3964" s="471">
        <f t="shared" si="179"/>
        <v>0.05</v>
      </c>
      <c r="N3964" s="475">
        <f t="shared" si="180"/>
        <v>171697</v>
      </c>
    </row>
    <row r="3965" spans="7:14" ht="11.25" customHeight="1" x14ac:dyDescent="0.3">
      <c r="G3965" s="470"/>
      <c r="H3965" s="470">
        <v>3958</v>
      </c>
      <c r="I3965" s="455">
        <f t="shared" ca="1" si="178"/>
        <v>5606032536105.8311</v>
      </c>
      <c r="J3965" s="455">
        <f t="array" ref="J3965">IFERROR(INDEX('Retirement Calculator'!J:J,MATCH('Isaac 401k'!N3965,'Retirement Calculator'!A:A,0),0),0)</f>
        <v>0</v>
      </c>
      <c r="K3965" s="455">
        <f t="shared" ca="1" si="176"/>
        <v>23358468900.440964</v>
      </c>
      <c r="L3965" s="455">
        <f t="shared" ca="1" si="177"/>
        <v>5629391005006.2725</v>
      </c>
      <c r="M3965" s="471">
        <f t="shared" si="179"/>
        <v>0.05</v>
      </c>
      <c r="N3965" s="475">
        <f t="shared" si="180"/>
        <v>171725</v>
      </c>
    </row>
    <row r="3966" spans="7:14" ht="11.25" customHeight="1" x14ac:dyDescent="0.3">
      <c r="G3966" s="470"/>
      <c r="H3966" s="470">
        <v>3959</v>
      </c>
      <c r="I3966" s="455">
        <f t="shared" ca="1" si="178"/>
        <v>5629391005006.2725</v>
      </c>
      <c r="J3966" s="455">
        <f t="array" ref="J3966">IFERROR(INDEX('Retirement Calculator'!J:J,MATCH('Isaac 401k'!N3966,'Retirement Calculator'!A:A,0),0),0)</f>
        <v>0</v>
      </c>
      <c r="K3966" s="455">
        <f t="shared" ca="1" si="176"/>
        <v>23455795854.192802</v>
      </c>
      <c r="L3966" s="455">
        <f t="shared" ca="1" si="177"/>
        <v>5652846800860.4648</v>
      </c>
      <c r="M3966" s="471">
        <f t="shared" si="179"/>
        <v>0.05</v>
      </c>
      <c r="N3966" s="475">
        <f t="shared" si="180"/>
        <v>171756</v>
      </c>
    </row>
    <row r="3967" spans="7:14" ht="11.25" customHeight="1" x14ac:dyDescent="0.3">
      <c r="G3967" s="470"/>
      <c r="H3967" s="470">
        <v>3960</v>
      </c>
      <c r="I3967" s="455">
        <f t="shared" ca="1" si="178"/>
        <v>5652846800860.4648</v>
      </c>
      <c r="J3967" s="455">
        <f t="array" ref="J3967">IFERROR(INDEX('Retirement Calculator'!J:J,MATCH('Isaac 401k'!N3967,'Retirement Calculator'!A:A,0),0),0)</f>
        <v>0</v>
      </c>
      <c r="K3967" s="455">
        <f t="shared" ca="1" si="176"/>
        <v>23553528336.918602</v>
      </c>
      <c r="L3967" s="455">
        <f t="shared" ca="1" si="177"/>
        <v>5676400329197.3838</v>
      </c>
      <c r="M3967" s="471">
        <f t="shared" si="179"/>
        <v>0.05</v>
      </c>
      <c r="N3967" s="475">
        <f t="shared" si="180"/>
        <v>171786</v>
      </c>
    </row>
    <row r="3968" spans="7:14" ht="11.25" customHeight="1" x14ac:dyDescent="0.3">
      <c r="G3968" s="470"/>
      <c r="H3968" s="470">
        <v>3961</v>
      </c>
      <c r="I3968" s="455">
        <f t="shared" ca="1" si="178"/>
        <v>5676400329197.3838</v>
      </c>
      <c r="J3968" s="455">
        <f t="array" ref="J3968">IFERROR(INDEX('Retirement Calculator'!J:J,MATCH('Isaac 401k'!N3968,'Retirement Calculator'!A:A,0),0),0)</f>
        <v>0</v>
      </c>
      <c r="K3968" s="455">
        <f t="shared" ca="1" si="176"/>
        <v>23651668038.322433</v>
      </c>
      <c r="L3968" s="455">
        <f t="shared" ca="1" si="177"/>
        <v>5700051997235.7061</v>
      </c>
      <c r="M3968" s="471">
        <f t="shared" si="179"/>
        <v>0.05</v>
      </c>
      <c r="N3968" s="475">
        <f t="shared" si="180"/>
        <v>171817</v>
      </c>
    </row>
    <row r="3969" spans="7:14" ht="11.25" customHeight="1" x14ac:dyDescent="0.3">
      <c r="G3969" s="470"/>
      <c r="H3969" s="470">
        <v>3962</v>
      </c>
      <c r="I3969" s="455">
        <f t="shared" ca="1" si="178"/>
        <v>5700051997235.7061</v>
      </c>
      <c r="J3969" s="455">
        <f t="array" ref="J3969">IFERROR(INDEX('Retirement Calculator'!J:J,MATCH('Isaac 401k'!N3969,'Retirement Calculator'!A:A,0),0),0)</f>
        <v>0</v>
      </c>
      <c r="K3969" s="455">
        <f t="shared" ca="1" si="176"/>
        <v>23750216655.148773</v>
      </c>
      <c r="L3969" s="455">
        <f t="shared" ca="1" si="177"/>
        <v>5723802213890.8545</v>
      </c>
      <c r="M3969" s="471">
        <f t="shared" si="179"/>
        <v>0.05</v>
      </c>
      <c r="N3969" s="475">
        <f t="shared" si="180"/>
        <v>171847</v>
      </c>
    </row>
    <row r="3970" spans="7:14" ht="11.25" customHeight="1" x14ac:dyDescent="0.3">
      <c r="G3970" s="470"/>
      <c r="H3970" s="470">
        <v>3963</v>
      </c>
      <c r="I3970" s="455">
        <f t="shared" ca="1" si="178"/>
        <v>5723802213890.8545</v>
      </c>
      <c r="J3970" s="455">
        <f t="array" ref="J3970">IFERROR(INDEX('Retirement Calculator'!J:J,MATCH('Isaac 401k'!N3970,'Retirement Calculator'!A:A,0),0),0)</f>
        <v>0</v>
      </c>
      <c r="K3970" s="455">
        <f t="shared" ca="1" si="176"/>
        <v>23849175891.211895</v>
      </c>
      <c r="L3970" s="455">
        <f t="shared" ca="1" si="177"/>
        <v>5747651389782.0664</v>
      </c>
      <c r="M3970" s="471">
        <f t="shared" si="179"/>
        <v>0.05</v>
      </c>
      <c r="N3970" s="475">
        <f t="shared" si="180"/>
        <v>171878</v>
      </c>
    </row>
    <row r="3971" spans="7:14" ht="11.25" customHeight="1" x14ac:dyDescent="0.3">
      <c r="G3971" s="470"/>
      <c r="H3971" s="470">
        <v>3964</v>
      </c>
      <c r="I3971" s="455">
        <f t="shared" ca="1" si="178"/>
        <v>5747651389782.0664</v>
      </c>
      <c r="J3971" s="455">
        <f t="array" ref="J3971">IFERROR(INDEX('Retirement Calculator'!J:J,MATCH('Isaac 401k'!N3971,'Retirement Calculator'!A:A,0),0),0)</f>
        <v>0</v>
      </c>
      <c r="K3971" s="455">
        <f t="shared" ca="1" si="176"/>
        <v>23948547457.425278</v>
      </c>
      <c r="L3971" s="455">
        <f t="shared" ca="1" si="177"/>
        <v>5771599937239.4912</v>
      </c>
      <c r="M3971" s="471">
        <f t="shared" si="179"/>
        <v>0.05</v>
      </c>
      <c r="N3971" s="475">
        <f t="shared" si="180"/>
        <v>171909</v>
      </c>
    </row>
    <row r="3972" spans="7:14" ht="11.25" customHeight="1" x14ac:dyDescent="0.3">
      <c r="G3972" s="470"/>
      <c r="H3972" s="470">
        <v>3965</v>
      </c>
      <c r="I3972" s="455">
        <f t="shared" ca="1" si="178"/>
        <v>5771599937239.4912</v>
      </c>
      <c r="J3972" s="455">
        <f t="array" ref="J3972">IFERROR(INDEX('Retirement Calculator'!J:J,MATCH('Isaac 401k'!N3972,'Retirement Calculator'!A:A,0),0),0)</f>
        <v>0</v>
      </c>
      <c r="K3972" s="455">
        <f t="shared" ca="1" si="176"/>
        <v>24048333071.831215</v>
      </c>
      <c r="L3972" s="455">
        <f t="shared" ca="1" si="177"/>
        <v>5795648270311.3223</v>
      </c>
      <c r="M3972" s="471">
        <f t="shared" si="179"/>
        <v>0.05</v>
      </c>
      <c r="N3972" s="475">
        <f t="shared" si="180"/>
        <v>171939</v>
      </c>
    </row>
    <row r="3973" spans="7:14" ht="11.25" customHeight="1" x14ac:dyDescent="0.3">
      <c r="G3973" s="470"/>
      <c r="H3973" s="470">
        <v>3966</v>
      </c>
      <c r="I3973" s="455">
        <f t="shared" ca="1" si="178"/>
        <v>5795648270311.3223</v>
      </c>
      <c r="J3973" s="455">
        <f t="array" ref="J3973">IFERROR(INDEX('Retirement Calculator'!J:J,MATCH('Isaac 401k'!N3973,'Retirement Calculator'!A:A,0),0),0)</f>
        <v>0</v>
      </c>
      <c r="K3973" s="455">
        <f t="shared" ca="1" si="176"/>
        <v>24148534459.630508</v>
      </c>
      <c r="L3973" s="455">
        <f t="shared" ca="1" si="177"/>
        <v>5819796804770.9531</v>
      </c>
      <c r="M3973" s="471">
        <f t="shared" si="179"/>
        <v>0.05</v>
      </c>
      <c r="N3973" s="475">
        <f t="shared" si="180"/>
        <v>171970</v>
      </c>
    </row>
    <row r="3974" spans="7:14" ht="11.25" customHeight="1" x14ac:dyDescent="0.3">
      <c r="G3974" s="470"/>
      <c r="H3974" s="470">
        <v>3967</v>
      </c>
      <c r="I3974" s="455">
        <f t="shared" ca="1" si="178"/>
        <v>5819796804770.9531</v>
      </c>
      <c r="J3974" s="455">
        <f t="array" ref="J3974">IFERROR(INDEX('Retirement Calculator'!J:J,MATCH('Isaac 401k'!N3974,'Retirement Calculator'!A:A,0),0),0)</f>
        <v>0</v>
      </c>
      <c r="K3974" s="455">
        <f t="shared" ca="1" si="176"/>
        <v>24249153353.212303</v>
      </c>
      <c r="L3974" s="455">
        <f t="shared" ca="1" si="177"/>
        <v>5844045958124.165</v>
      </c>
      <c r="M3974" s="471">
        <f t="shared" si="179"/>
        <v>0.05</v>
      </c>
      <c r="N3974" s="475">
        <f t="shared" si="180"/>
        <v>172000</v>
      </c>
    </row>
    <row r="3975" spans="7:14" ht="11.25" customHeight="1" x14ac:dyDescent="0.3">
      <c r="G3975" s="470"/>
      <c r="H3975" s="470">
        <v>3968</v>
      </c>
      <c r="I3975" s="455">
        <f t="shared" ca="1" si="178"/>
        <v>5844045958124.165</v>
      </c>
      <c r="J3975" s="455">
        <f t="array" ref="J3975">IFERROR(INDEX('Retirement Calculator'!J:J,MATCH('Isaac 401k'!N3975,'Retirement Calculator'!A:A,0),0),0)</f>
        <v>0</v>
      </c>
      <c r="K3975" s="455">
        <f t="shared" ca="1" si="176"/>
        <v>24350191492.184021</v>
      </c>
      <c r="L3975" s="455">
        <f t="shared" ca="1" si="177"/>
        <v>5868396149616.3486</v>
      </c>
      <c r="M3975" s="471">
        <f t="shared" si="179"/>
        <v>0.05</v>
      </c>
      <c r="N3975" s="475">
        <f t="shared" si="180"/>
        <v>172031</v>
      </c>
    </row>
    <row r="3976" spans="7:14" ht="11.25" customHeight="1" x14ac:dyDescent="0.3">
      <c r="G3976" s="470"/>
      <c r="H3976" s="470">
        <v>3969</v>
      </c>
      <c r="I3976" s="455">
        <f t="shared" ca="1" si="178"/>
        <v>5868396149616.3486</v>
      </c>
      <c r="J3976" s="455">
        <f t="array" ref="J3976">IFERROR(INDEX('Retirement Calculator'!J:J,MATCH('Isaac 401k'!N3976,'Retirement Calculator'!A:A,0),0),0)</f>
        <v>0</v>
      </c>
      <c r="K3976" s="455">
        <f t="shared" ca="1" si="176"/>
        <v>24451650623.401451</v>
      </c>
      <c r="L3976" s="455">
        <f t="shared" ca="1" si="177"/>
        <v>5892847800239.75</v>
      </c>
      <c r="M3976" s="471">
        <f t="shared" si="179"/>
        <v>0.05</v>
      </c>
      <c r="N3976" s="475">
        <f t="shared" si="180"/>
        <v>172062</v>
      </c>
    </row>
    <row r="3977" spans="7:14" ht="11.25" customHeight="1" x14ac:dyDescent="0.3">
      <c r="G3977" s="470"/>
      <c r="H3977" s="470">
        <v>3970</v>
      </c>
      <c r="I3977" s="455">
        <f t="shared" ca="1" si="178"/>
        <v>5892847800239.75</v>
      </c>
      <c r="J3977" s="455">
        <f t="array" ref="J3977">IFERROR(INDEX('Retirement Calculator'!J:J,MATCH('Isaac 401k'!N3977,'Retirement Calculator'!A:A,0),0),0)</f>
        <v>0</v>
      </c>
      <c r="K3977" s="455">
        <f t="shared" ca="1" si="176"/>
        <v>24553532500.998959</v>
      </c>
      <c r="L3977" s="455">
        <f t="shared" ca="1" si="177"/>
        <v>5917401332740.749</v>
      </c>
      <c r="M3977" s="471">
        <f t="shared" si="179"/>
        <v>0.05</v>
      </c>
      <c r="N3977" s="475">
        <f t="shared" si="180"/>
        <v>172090</v>
      </c>
    </row>
    <row r="3978" spans="7:14" ht="11.25" customHeight="1" x14ac:dyDescent="0.3">
      <c r="G3978" s="470"/>
      <c r="H3978" s="470">
        <v>3971</v>
      </c>
      <c r="I3978" s="455">
        <f t="shared" ca="1" si="178"/>
        <v>5917401332740.749</v>
      </c>
      <c r="J3978" s="455">
        <f t="array" ref="J3978">IFERROR(INDEX('Retirement Calculator'!J:J,MATCH('Isaac 401k'!N3978,'Retirement Calculator'!A:A,0),0),0)</f>
        <v>0</v>
      </c>
      <c r="K3978" s="455">
        <f t="shared" ca="1" si="176"/>
        <v>24655838886.419788</v>
      </c>
      <c r="L3978" s="455">
        <f t="shared" ca="1" si="177"/>
        <v>5942057171627.1689</v>
      </c>
      <c r="M3978" s="471">
        <f t="shared" si="179"/>
        <v>0.05</v>
      </c>
      <c r="N3978" s="475">
        <f t="shared" si="180"/>
        <v>172121</v>
      </c>
    </row>
    <row r="3979" spans="7:14" ht="11.25" customHeight="1" x14ac:dyDescent="0.3">
      <c r="G3979" s="470"/>
      <c r="H3979" s="470">
        <v>3972</v>
      </c>
      <c r="I3979" s="455">
        <f t="shared" ca="1" si="178"/>
        <v>5942057171627.1689</v>
      </c>
      <c r="J3979" s="455">
        <f t="array" ref="J3979">IFERROR(INDEX('Retirement Calculator'!J:J,MATCH('Isaac 401k'!N3979,'Retirement Calculator'!A:A,0),0),0)</f>
        <v>0</v>
      </c>
      <c r="K3979" s="455">
        <f t="shared" ca="1" si="176"/>
        <v>24758571548.446537</v>
      </c>
      <c r="L3979" s="455">
        <f t="shared" ca="1" si="177"/>
        <v>5966815743175.6152</v>
      </c>
      <c r="M3979" s="471">
        <f t="shared" si="179"/>
        <v>0.05</v>
      </c>
      <c r="N3979" s="475">
        <f t="shared" si="180"/>
        <v>172151</v>
      </c>
    </row>
    <row r="3980" spans="7:14" ht="11.25" customHeight="1" x14ac:dyDescent="0.3">
      <c r="G3980" s="470"/>
      <c r="H3980" s="470">
        <v>3973</v>
      </c>
      <c r="I3980" s="455">
        <f t="shared" ca="1" si="178"/>
        <v>5966815743175.6152</v>
      </c>
      <c r="J3980" s="455">
        <f t="array" ref="J3980">IFERROR(INDEX('Retirement Calculator'!J:J,MATCH('Isaac 401k'!N3980,'Retirement Calculator'!A:A,0),0),0)</f>
        <v>0</v>
      </c>
      <c r="K3980" s="455">
        <f t="shared" ca="1" si="176"/>
        <v>24861732263.231731</v>
      </c>
      <c r="L3980" s="455">
        <f t="shared" ca="1" si="177"/>
        <v>5991677475438.8467</v>
      </c>
      <c r="M3980" s="471">
        <f t="shared" si="179"/>
        <v>0.05</v>
      </c>
      <c r="N3980" s="475">
        <f t="shared" si="180"/>
        <v>172182</v>
      </c>
    </row>
    <row r="3981" spans="7:14" ht="11.25" customHeight="1" x14ac:dyDescent="0.3">
      <c r="G3981" s="470"/>
      <c r="H3981" s="470">
        <v>3974</v>
      </c>
      <c r="I3981" s="455">
        <f t="shared" ca="1" si="178"/>
        <v>5991677475438.8467</v>
      </c>
      <c r="J3981" s="455">
        <f t="array" ref="J3981">IFERROR(INDEX('Retirement Calculator'!J:J,MATCH('Isaac 401k'!N3981,'Retirement Calculator'!A:A,0),0),0)</f>
        <v>0</v>
      </c>
      <c r="K3981" s="455">
        <f t="shared" ca="1" si="176"/>
        <v>24965322814.328529</v>
      </c>
      <c r="L3981" s="455">
        <f t="shared" ca="1" si="177"/>
        <v>6016642798253.1748</v>
      </c>
      <c r="M3981" s="471">
        <f t="shared" si="179"/>
        <v>0.05</v>
      </c>
      <c r="N3981" s="475">
        <f t="shared" si="180"/>
        <v>172212</v>
      </c>
    </row>
    <row r="3982" spans="7:14" ht="11.25" customHeight="1" x14ac:dyDescent="0.3">
      <c r="G3982" s="470"/>
      <c r="H3982" s="470">
        <v>3975</v>
      </c>
      <c r="I3982" s="455">
        <f t="shared" ca="1" si="178"/>
        <v>6016642798253.1748</v>
      </c>
      <c r="J3982" s="455">
        <f t="array" ref="J3982">IFERROR(INDEX('Retirement Calculator'!J:J,MATCH('Isaac 401k'!N3982,'Retirement Calculator'!A:A,0),0),0)</f>
        <v>0</v>
      </c>
      <c r="K3982" s="455">
        <f t="shared" ca="1" si="176"/>
        <v>25069344992.721561</v>
      </c>
      <c r="L3982" s="455">
        <f t="shared" ca="1" si="177"/>
        <v>6041712143245.8965</v>
      </c>
      <c r="M3982" s="471">
        <f t="shared" si="179"/>
        <v>0.05</v>
      </c>
      <c r="N3982" s="475">
        <f t="shared" si="180"/>
        <v>172243</v>
      </c>
    </row>
    <row r="3983" spans="7:14" ht="11.25" customHeight="1" x14ac:dyDescent="0.3">
      <c r="G3983" s="470"/>
      <c r="H3983" s="470">
        <v>3976</v>
      </c>
      <c r="I3983" s="455">
        <f t="shared" ca="1" si="178"/>
        <v>6041712143245.8965</v>
      </c>
      <c r="J3983" s="455">
        <f t="array" ref="J3983">IFERROR(INDEX('Retirement Calculator'!J:J,MATCH('Isaac 401k'!N3983,'Retirement Calculator'!A:A,0),0),0)</f>
        <v>0</v>
      </c>
      <c r="K3983" s="455">
        <f t="shared" ca="1" si="176"/>
        <v>25173800596.857903</v>
      </c>
      <c r="L3983" s="455">
        <f t="shared" ca="1" si="177"/>
        <v>6066885943842.7539</v>
      </c>
      <c r="M3983" s="471">
        <f t="shared" si="179"/>
        <v>0.05</v>
      </c>
      <c r="N3983" s="475">
        <f t="shared" si="180"/>
        <v>172274</v>
      </c>
    </row>
    <row r="3984" spans="7:14" ht="11.25" customHeight="1" x14ac:dyDescent="0.3">
      <c r="G3984" s="470"/>
      <c r="H3984" s="470">
        <v>3977</v>
      </c>
      <c r="I3984" s="455">
        <f t="shared" ca="1" si="178"/>
        <v>6066885943842.7539</v>
      </c>
      <c r="J3984" s="455">
        <f t="array" ref="J3984">IFERROR(INDEX('Retirement Calculator'!J:J,MATCH('Isaac 401k'!N3984,'Retirement Calculator'!A:A,0),0),0)</f>
        <v>0</v>
      </c>
      <c r="K3984" s="455">
        <f t="shared" ca="1" si="176"/>
        <v>25278691432.678143</v>
      </c>
      <c r="L3984" s="455">
        <f t="shared" ca="1" si="177"/>
        <v>6092164635275.4316</v>
      </c>
      <c r="M3984" s="471">
        <f t="shared" si="179"/>
        <v>0.05</v>
      </c>
      <c r="N3984" s="475">
        <f t="shared" si="180"/>
        <v>172304</v>
      </c>
    </row>
    <row r="3985" spans="7:14" ht="11.25" customHeight="1" x14ac:dyDescent="0.3">
      <c r="G3985" s="470"/>
      <c r="H3985" s="470">
        <v>3978</v>
      </c>
      <c r="I3985" s="455">
        <f t="shared" ca="1" si="178"/>
        <v>6092164635275.4316</v>
      </c>
      <c r="J3985" s="455">
        <f t="array" ref="J3985">IFERROR(INDEX('Retirement Calculator'!J:J,MATCH('Isaac 401k'!N3985,'Retirement Calculator'!A:A,0),0),0)</f>
        <v>0</v>
      </c>
      <c r="K3985" s="455">
        <f t="shared" ca="1" si="176"/>
        <v>25384019313.647633</v>
      </c>
      <c r="L3985" s="455">
        <f t="shared" ca="1" si="177"/>
        <v>6117548654589.0791</v>
      </c>
      <c r="M3985" s="471">
        <f t="shared" si="179"/>
        <v>0.05</v>
      </c>
      <c r="N3985" s="475">
        <f t="shared" si="180"/>
        <v>172335</v>
      </c>
    </row>
    <row r="3986" spans="7:14" ht="11.25" customHeight="1" x14ac:dyDescent="0.3">
      <c r="G3986" s="470"/>
      <c r="H3986" s="470">
        <v>3979</v>
      </c>
      <c r="I3986" s="455">
        <f t="shared" ca="1" si="178"/>
        <v>6117548654589.0791</v>
      </c>
      <c r="J3986" s="455">
        <f t="array" ref="J3986">IFERROR(INDEX('Retirement Calculator'!J:J,MATCH('Isaac 401k'!N3986,'Retirement Calculator'!A:A,0),0),0)</f>
        <v>0</v>
      </c>
      <c r="K3986" s="455">
        <f t="shared" ca="1" si="176"/>
        <v>25489786060.78783</v>
      </c>
      <c r="L3986" s="455">
        <f t="shared" ca="1" si="177"/>
        <v>6143038440649.8672</v>
      </c>
      <c r="M3986" s="471">
        <f t="shared" si="179"/>
        <v>0.05</v>
      </c>
      <c r="N3986" s="475">
        <f t="shared" si="180"/>
        <v>172365</v>
      </c>
    </row>
    <row r="3987" spans="7:14" ht="11.25" customHeight="1" x14ac:dyDescent="0.3">
      <c r="G3987" s="470"/>
      <c r="H3987" s="470">
        <v>3980</v>
      </c>
      <c r="I3987" s="455">
        <f t="shared" ca="1" si="178"/>
        <v>6143038440649.8672</v>
      </c>
      <c r="J3987" s="455">
        <f t="array" ref="J3987">IFERROR(INDEX('Retirement Calculator'!J:J,MATCH('Isaac 401k'!N3987,'Retirement Calculator'!A:A,0),0),0)</f>
        <v>0</v>
      </c>
      <c r="K3987" s="455">
        <f t="shared" ca="1" si="176"/>
        <v>25595993502.707779</v>
      </c>
      <c r="L3987" s="455">
        <f t="shared" ca="1" si="177"/>
        <v>6168634434152.5752</v>
      </c>
      <c r="M3987" s="471">
        <f t="shared" si="179"/>
        <v>0.05</v>
      </c>
      <c r="N3987" s="475">
        <f t="shared" si="180"/>
        <v>172396</v>
      </c>
    </row>
    <row r="3988" spans="7:14" ht="11.25" customHeight="1" x14ac:dyDescent="0.3">
      <c r="G3988" s="470"/>
      <c r="H3988" s="470">
        <v>3981</v>
      </c>
      <c r="I3988" s="455">
        <f t="shared" ca="1" si="178"/>
        <v>6168634434152.5752</v>
      </c>
      <c r="J3988" s="455">
        <f t="array" ref="J3988">IFERROR(INDEX('Retirement Calculator'!J:J,MATCH('Isaac 401k'!N3988,'Retirement Calculator'!A:A,0),0),0)</f>
        <v>0</v>
      </c>
      <c r="K3988" s="455">
        <f t="shared" ca="1" si="176"/>
        <v>25702643475.635731</v>
      </c>
      <c r="L3988" s="455">
        <f t="shared" ca="1" si="177"/>
        <v>6194337077628.2109</v>
      </c>
      <c r="M3988" s="471">
        <f t="shared" si="179"/>
        <v>0.05</v>
      </c>
      <c r="N3988" s="475">
        <f t="shared" si="180"/>
        <v>172427</v>
      </c>
    </row>
    <row r="3989" spans="7:14" ht="11.25" customHeight="1" x14ac:dyDescent="0.3">
      <c r="G3989" s="470"/>
      <c r="H3989" s="470">
        <v>3982</v>
      </c>
      <c r="I3989" s="455">
        <f t="shared" ca="1" si="178"/>
        <v>6194337077628.2109</v>
      </c>
      <c r="J3989" s="455">
        <f t="array" ref="J3989">IFERROR(INDEX('Retirement Calculator'!J:J,MATCH('Isaac 401k'!N3989,'Retirement Calculator'!A:A,0),0),0)</f>
        <v>0</v>
      </c>
      <c r="K3989" s="455">
        <f t="shared" ca="1" si="176"/>
        <v>25809737823.450878</v>
      </c>
      <c r="L3989" s="455">
        <f t="shared" ca="1" si="177"/>
        <v>6220146815451.6621</v>
      </c>
      <c r="M3989" s="471">
        <f t="shared" si="179"/>
        <v>0.05</v>
      </c>
      <c r="N3989" s="475">
        <f t="shared" si="180"/>
        <v>172456</v>
      </c>
    </row>
    <row r="3990" spans="7:14" ht="11.25" customHeight="1" x14ac:dyDescent="0.3">
      <c r="G3990" s="470"/>
      <c r="H3990" s="470">
        <v>3983</v>
      </c>
      <c r="I3990" s="455">
        <f t="shared" ca="1" si="178"/>
        <v>6220146815451.6621</v>
      </c>
      <c r="J3990" s="455">
        <f t="array" ref="J3990">IFERROR(INDEX('Retirement Calculator'!J:J,MATCH('Isaac 401k'!N3990,'Retirement Calculator'!A:A,0),0),0)</f>
        <v>0</v>
      </c>
      <c r="K3990" s="455">
        <f t="shared" ca="1" si="176"/>
        <v>25917278397.71526</v>
      </c>
      <c r="L3990" s="455">
        <f t="shared" ca="1" si="177"/>
        <v>6246064093849.377</v>
      </c>
      <c r="M3990" s="471">
        <f t="shared" si="179"/>
        <v>0.05</v>
      </c>
      <c r="N3990" s="475">
        <f t="shared" si="180"/>
        <v>172487</v>
      </c>
    </row>
    <row r="3991" spans="7:14" ht="11.25" customHeight="1" x14ac:dyDescent="0.3">
      <c r="G3991" s="470"/>
      <c r="H3991" s="470">
        <v>3984</v>
      </c>
      <c r="I3991" s="455">
        <f t="shared" ca="1" si="178"/>
        <v>6246064093849.377</v>
      </c>
      <c r="J3991" s="455">
        <f t="array" ref="J3991">IFERROR(INDEX('Retirement Calculator'!J:J,MATCH('Isaac 401k'!N3991,'Retirement Calculator'!A:A,0),0),0)</f>
        <v>0</v>
      </c>
      <c r="K3991" s="455">
        <f t="shared" ca="1" si="176"/>
        <v>26025267057.705738</v>
      </c>
      <c r="L3991" s="455">
        <f t="shared" ca="1" si="177"/>
        <v>6272089360907.083</v>
      </c>
      <c r="M3991" s="471">
        <f t="shared" si="179"/>
        <v>0.05</v>
      </c>
      <c r="N3991" s="475">
        <f t="shared" si="180"/>
        <v>172517</v>
      </c>
    </row>
    <row r="3992" spans="7:14" ht="11.25" customHeight="1" x14ac:dyDescent="0.3">
      <c r="G3992" s="470"/>
      <c r="H3992" s="470">
        <v>3985</v>
      </c>
      <c r="I3992" s="455">
        <f t="shared" ca="1" si="178"/>
        <v>6272089360907.083</v>
      </c>
      <c r="J3992" s="455">
        <f t="array" ref="J3992">IFERROR(INDEX('Retirement Calculator'!J:J,MATCH('Isaac 401k'!N3992,'Retirement Calculator'!A:A,0),0),0)</f>
        <v>0</v>
      </c>
      <c r="K3992" s="455">
        <f t="shared" ca="1" si="176"/>
        <v>26133705670.446178</v>
      </c>
      <c r="L3992" s="455">
        <f t="shared" ca="1" si="177"/>
        <v>6298223066577.5293</v>
      </c>
      <c r="M3992" s="471">
        <f t="shared" si="179"/>
        <v>0.05</v>
      </c>
      <c r="N3992" s="475">
        <f t="shared" si="180"/>
        <v>172548</v>
      </c>
    </row>
    <row r="3993" spans="7:14" ht="11.25" customHeight="1" x14ac:dyDescent="0.3">
      <c r="G3993" s="470"/>
      <c r="H3993" s="470">
        <v>3986</v>
      </c>
      <c r="I3993" s="455">
        <f t="shared" ca="1" si="178"/>
        <v>6298223066577.5293</v>
      </c>
      <c r="J3993" s="455">
        <f t="array" ref="J3993">IFERROR(INDEX('Retirement Calculator'!J:J,MATCH('Isaac 401k'!N3993,'Retirement Calculator'!A:A,0),0),0)</f>
        <v>0</v>
      </c>
      <c r="K3993" s="455">
        <f t="shared" ca="1" si="176"/>
        <v>26242596110.739704</v>
      </c>
      <c r="L3993" s="455">
        <f t="shared" ca="1" si="177"/>
        <v>6324465662688.2686</v>
      </c>
      <c r="M3993" s="471">
        <f t="shared" si="179"/>
        <v>0.05</v>
      </c>
      <c r="N3993" s="475">
        <f t="shared" si="180"/>
        <v>172578</v>
      </c>
    </row>
    <row r="3994" spans="7:14" ht="11.25" customHeight="1" x14ac:dyDescent="0.3">
      <c r="G3994" s="470"/>
      <c r="H3994" s="470">
        <v>3987</v>
      </c>
      <c r="I3994" s="455">
        <f t="shared" ca="1" si="178"/>
        <v>6324465662688.2686</v>
      </c>
      <c r="J3994" s="455">
        <f t="array" ref="J3994">IFERROR(INDEX('Retirement Calculator'!J:J,MATCH('Isaac 401k'!N3994,'Retirement Calculator'!A:A,0),0),0)</f>
        <v>0</v>
      </c>
      <c r="K3994" s="455">
        <f t="shared" ca="1" si="176"/>
        <v>26351940261.201118</v>
      </c>
      <c r="L3994" s="455">
        <f t="shared" ca="1" si="177"/>
        <v>6350817602949.4697</v>
      </c>
      <c r="M3994" s="471">
        <f t="shared" si="179"/>
        <v>0.05</v>
      </c>
      <c r="N3994" s="475">
        <f t="shared" si="180"/>
        <v>172609</v>
      </c>
    </row>
    <row r="3995" spans="7:14" ht="11.25" customHeight="1" x14ac:dyDescent="0.3">
      <c r="G3995" s="470"/>
      <c r="H3995" s="470">
        <v>3988</v>
      </c>
      <c r="I3995" s="455">
        <f t="shared" ca="1" si="178"/>
        <v>6350817602949.4697</v>
      </c>
      <c r="J3995" s="455">
        <f t="array" ref="J3995">IFERROR(INDEX('Retirement Calculator'!J:J,MATCH('Isaac 401k'!N3995,'Retirement Calculator'!A:A,0),0),0)</f>
        <v>0</v>
      </c>
      <c r="K3995" s="455">
        <f t="shared" ca="1" si="176"/>
        <v>26461740012.289455</v>
      </c>
      <c r="L3995" s="455">
        <f t="shared" ca="1" si="177"/>
        <v>6377279342961.7588</v>
      </c>
      <c r="M3995" s="471">
        <f t="shared" si="179"/>
        <v>0.05</v>
      </c>
      <c r="N3995" s="475">
        <f t="shared" si="180"/>
        <v>172640</v>
      </c>
    </row>
    <row r="3996" spans="7:14" ht="11.25" customHeight="1" x14ac:dyDescent="0.3">
      <c r="G3996" s="470"/>
      <c r="H3996" s="470">
        <v>3989</v>
      </c>
      <c r="I3996" s="455">
        <f t="shared" ca="1" si="178"/>
        <v>6377279342961.7588</v>
      </c>
      <c r="J3996" s="455">
        <f t="array" ref="J3996">IFERROR(INDEX('Retirement Calculator'!J:J,MATCH('Isaac 401k'!N3996,'Retirement Calculator'!A:A,0),0),0)</f>
        <v>0</v>
      </c>
      <c r="K3996" s="455">
        <f t="shared" ca="1" si="176"/>
        <v>26571997262.34066</v>
      </c>
      <c r="L3996" s="455">
        <f t="shared" ca="1" si="177"/>
        <v>6403851340224.0996</v>
      </c>
      <c r="M3996" s="471">
        <f t="shared" si="179"/>
        <v>0.05</v>
      </c>
      <c r="N3996" s="475">
        <f t="shared" si="180"/>
        <v>172670</v>
      </c>
    </row>
    <row r="3997" spans="7:14" ht="11.25" customHeight="1" x14ac:dyDescent="0.3">
      <c r="G3997" s="470"/>
      <c r="H3997" s="470">
        <v>3990</v>
      </c>
      <c r="I3997" s="455">
        <f t="shared" ca="1" si="178"/>
        <v>6403851340224.0996</v>
      </c>
      <c r="J3997" s="455">
        <f t="array" ref="J3997">IFERROR(INDEX('Retirement Calculator'!J:J,MATCH('Isaac 401k'!N3997,'Retirement Calculator'!A:A,0),0),0)</f>
        <v>0</v>
      </c>
      <c r="K3997" s="455">
        <f t="shared" ca="1" si="176"/>
        <v>26682713917.600414</v>
      </c>
      <c r="L3997" s="455">
        <f t="shared" ca="1" si="177"/>
        <v>6430534054141.7002</v>
      </c>
      <c r="M3997" s="471">
        <f t="shared" si="179"/>
        <v>0.05</v>
      </c>
      <c r="N3997" s="475">
        <f t="shared" si="180"/>
        <v>172701</v>
      </c>
    </row>
    <row r="3998" spans="7:14" ht="11.25" customHeight="1" x14ac:dyDescent="0.3">
      <c r="G3998" s="470"/>
      <c r="H3998" s="470">
        <v>3991</v>
      </c>
      <c r="I3998" s="455">
        <f t="shared" ca="1" si="178"/>
        <v>6430534054141.7002</v>
      </c>
      <c r="J3998" s="455">
        <f t="array" ref="J3998">IFERROR(INDEX('Retirement Calculator'!J:J,MATCH('Isaac 401k'!N3998,'Retirement Calculator'!A:A,0),0),0)</f>
        <v>0</v>
      </c>
      <c r="K3998" s="455">
        <f t="shared" ca="1" si="176"/>
        <v>26793891892.257084</v>
      </c>
      <c r="L3998" s="455">
        <f t="shared" ca="1" si="177"/>
        <v>6457327946033.957</v>
      </c>
      <c r="M3998" s="471">
        <f t="shared" si="179"/>
        <v>0.05</v>
      </c>
      <c r="N3998" s="475">
        <f t="shared" si="180"/>
        <v>172731</v>
      </c>
    </row>
    <row r="3999" spans="7:14" ht="11.25" customHeight="1" x14ac:dyDescent="0.3">
      <c r="G3999" s="470"/>
      <c r="H3999" s="470">
        <v>3992</v>
      </c>
      <c r="I3999" s="455">
        <f t="shared" ca="1" si="178"/>
        <v>6457327946033.957</v>
      </c>
      <c r="J3999" s="455">
        <f t="array" ref="J3999">IFERROR(INDEX('Retirement Calculator'!J:J,MATCH('Isaac 401k'!N3999,'Retirement Calculator'!A:A,0),0),0)</f>
        <v>0</v>
      </c>
      <c r="K3999" s="455">
        <f t="shared" ca="1" si="176"/>
        <v>26905533108.474819</v>
      </c>
      <c r="L3999" s="455">
        <f t="shared" ca="1" si="177"/>
        <v>6484233479142.4316</v>
      </c>
      <c r="M3999" s="471">
        <f t="shared" si="179"/>
        <v>0.05</v>
      </c>
      <c r="N3999" s="475">
        <f t="shared" si="180"/>
        <v>172762</v>
      </c>
    </row>
    <row r="4000" spans="7:14" ht="11.25" customHeight="1" x14ac:dyDescent="0.3">
      <c r="G4000" s="470"/>
      <c r="H4000" s="470">
        <v>3993</v>
      </c>
      <c r="I4000" s="455">
        <f t="shared" ca="1" si="178"/>
        <v>6484233479142.4316</v>
      </c>
      <c r="J4000" s="455">
        <f t="array" ref="J4000">IFERROR(INDEX('Retirement Calculator'!J:J,MATCH('Isaac 401k'!N4000,'Retirement Calculator'!A:A,0),0),0)</f>
        <v>0</v>
      </c>
      <c r="K4000" s="455">
        <f t="shared" ca="1" si="176"/>
        <v>27017639496.4268</v>
      </c>
      <c r="L4000" s="455">
        <f t="shared" ca="1" si="177"/>
        <v>6511251118638.8584</v>
      </c>
      <c r="M4000" s="471">
        <f t="shared" si="179"/>
        <v>0.05</v>
      </c>
      <c r="N4000" s="475">
        <f t="shared" si="180"/>
        <v>172793</v>
      </c>
    </row>
    <row r="4001" spans="7:14" ht="11.25" customHeight="1" x14ac:dyDescent="0.3">
      <c r="G4001" s="470"/>
      <c r="H4001" s="470">
        <v>3994</v>
      </c>
      <c r="I4001" s="455">
        <f t="shared" ca="1" si="178"/>
        <v>6511251118638.8584</v>
      </c>
      <c r="J4001" s="455">
        <f t="array" ref="J4001">IFERROR(INDEX('Retirement Calculator'!J:J,MATCH('Isaac 401k'!N4001,'Retirement Calculator'!A:A,0),0),0)</f>
        <v>0</v>
      </c>
      <c r="K4001" s="455">
        <f t="shared" ca="1" si="176"/>
        <v>27130212994.328575</v>
      </c>
      <c r="L4001" s="455">
        <f t="shared" ca="1" si="177"/>
        <v>6538381331633.1865</v>
      </c>
      <c r="M4001" s="471">
        <f t="shared" si="179"/>
        <v>0.05</v>
      </c>
      <c r="N4001" s="475">
        <f t="shared" si="180"/>
        <v>172821</v>
      </c>
    </row>
    <row r="4002" spans="7:14" ht="11.25" customHeight="1" x14ac:dyDescent="0.3">
      <c r="G4002" s="470"/>
      <c r="H4002" s="470">
        <v>3995</v>
      </c>
      <c r="I4002" s="455">
        <f t="shared" ca="1" si="178"/>
        <v>6538381331633.1865</v>
      </c>
      <c r="J4002" s="455">
        <f t="array" ref="J4002">IFERROR(INDEX('Retirement Calculator'!J:J,MATCH('Isaac 401k'!N4002,'Retirement Calculator'!A:A,0),0),0)</f>
        <v>0</v>
      </c>
      <c r="K4002" s="455">
        <f t="shared" ca="1" si="176"/>
        <v>27243255548.471611</v>
      </c>
      <c r="L4002" s="455">
        <f t="shared" ca="1" si="177"/>
        <v>6565624587181.6582</v>
      </c>
      <c r="M4002" s="471">
        <f t="shared" si="179"/>
        <v>0.05</v>
      </c>
      <c r="N4002" s="475">
        <f t="shared" si="180"/>
        <v>172852</v>
      </c>
    </row>
    <row r="4003" spans="7:14" ht="11.25" customHeight="1" x14ac:dyDescent="0.3">
      <c r="G4003" s="470"/>
      <c r="H4003" s="470">
        <v>3996</v>
      </c>
      <c r="I4003" s="455">
        <f t="shared" ca="1" si="178"/>
        <v>6565624587181.6582</v>
      </c>
      <c r="J4003" s="455">
        <f t="array" ref="J4003">IFERROR(INDEX('Retirement Calculator'!J:J,MATCH('Isaac 401k'!N4003,'Retirement Calculator'!A:A,0),0),0)</f>
        <v>0</v>
      </c>
      <c r="K4003" s="455">
        <f t="shared" ca="1" si="176"/>
        <v>27356769113.256908</v>
      </c>
      <c r="L4003" s="455">
        <f t="shared" ca="1" si="177"/>
        <v>6592981356294.915</v>
      </c>
      <c r="M4003" s="471">
        <f t="shared" si="179"/>
        <v>0.05</v>
      </c>
      <c r="N4003" s="475">
        <f t="shared" si="180"/>
        <v>172882</v>
      </c>
    </row>
    <row r="4004" spans="7:14" ht="11.25" customHeight="1" x14ac:dyDescent="0.3">
      <c r="G4004" s="470"/>
      <c r="H4004" s="470">
        <v>3997</v>
      </c>
      <c r="I4004" s="455">
        <f t="shared" ca="1" si="178"/>
        <v>6592981356294.915</v>
      </c>
      <c r="J4004" s="455">
        <f t="array" ref="J4004">IFERROR(INDEX('Retirement Calculator'!J:J,MATCH('Isaac 401k'!N4004,'Retirement Calculator'!A:A,0),0),0)</f>
        <v>0</v>
      </c>
      <c r="K4004" s="455">
        <f t="shared" ca="1" si="176"/>
        <v>27470755651.228813</v>
      </c>
      <c r="L4004" s="455">
        <f t="shared" ca="1" si="177"/>
        <v>6620452111946.1436</v>
      </c>
      <c r="M4004" s="471">
        <f t="shared" si="179"/>
        <v>0.05</v>
      </c>
      <c r="N4004" s="475">
        <f t="shared" si="180"/>
        <v>172913</v>
      </c>
    </row>
    <row r="4005" spans="7:14" ht="11.25" customHeight="1" x14ac:dyDescent="0.3">
      <c r="G4005" s="470"/>
      <c r="H4005" s="470">
        <v>3998</v>
      </c>
      <c r="I4005" s="455">
        <f t="shared" ca="1" si="178"/>
        <v>6620452111946.1436</v>
      </c>
      <c r="J4005" s="455">
        <f t="array" ref="J4005">IFERROR(INDEX('Retirement Calculator'!J:J,MATCH('Isaac 401k'!N4005,'Retirement Calculator'!A:A,0),0),0)</f>
        <v>0</v>
      </c>
      <c r="K4005" s="455">
        <f t="shared" ca="1" si="176"/>
        <v>27585217133.108932</v>
      </c>
      <c r="L4005" s="455">
        <f t="shared" ca="1" si="177"/>
        <v>6648037329079.2529</v>
      </c>
      <c r="M4005" s="471">
        <f t="shared" si="179"/>
        <v>0.05</v>
      </c>
      <c r="N4005" s="475">
        <f t="shared" si="180"/>
        <v>172943</v>
      </c>
    </row>
    <row r="4006" spans="7:14" ht="11.25" customHeight="1" x14ac:dyDescent="0.3">
      <c r="G4006" s="470"/>
      <c r="H4006" s="470">
        <v>3999</v>
      </c>
      <c r="I4006" s="455">
        <f t="shared" ca="1" si="178"/>
        <v>6648037329079.2529</v>
      </c>
      <c r="J4006" s="455">
        <f t="array" ref="J4006">IFERROR(INDEX('Retirement Calculator'!J:J,MATCH('Isaac 401k'!N4006,'Retirement Calculator'!A:A,0),0),0)</f>
        <v>0</v>
      </c>
      <c r="K4006" s="455">
        <f t="shared" ca="1" si="176"/>
        <v>27700155537.830219</v>
      </c>
      <c r="L4006" s="455">
        <f t="shared" ca="1" si="177"/>
        <v>6675737484617.083</v>
      </c>
      <c r="M4006" s="471">
        <f t="shared" si="179"/>
        <v>0.05</v>
      </c>
      <c r="N4006" s="475">
        <f t="shared" si="180"/>
        <v>172974</v>
      </c>
    </row>
    <row r="4007" spans="7:14" ht="11.25" customHeight="1" x14ac:dyDescent="0.3">
      <c r="G4007" s="470"/>
      <c r="H4007" s="470">
        <v>4000</v>
      </c>
      <c r="I4007" s="455">
        <f t="shared" ca="1" si="178"/>
        <v>6675737484617.083</v>
      </c>
      <c r="J4007" s="455">
        <f t="array" ref="J4007">IFERROR(INDEX('Retirement Calculator'!J:J,MATCH('Isaac 401k'!N4007,'Retirement Calculator'!A:A,0),0),0)</f>
        <v>0</v>
      </c>
      <c r="K4007" s="455">
        <f t="shared" ca="1" si="176"/>
        <v>27815572852.571178</v>
      </c>
      <c r="L4007" s="455">
        <f t="shared" ca="1" si="177"/>
        <v>6703553057469.6543</v>
      </c>
      <c r="M4007" s="471">
        <f t="shared" si="179"/>
        <v>0.05</v>
      </c>
      <c r="N4007" s="475">
        <f t="shared" si="180"/>
        <v>173005</v>
      </c>
    </row>
    <row r="4008" spans="7:14" ht="11.25" customHeight="1" x14ac:dyDescent="0.3">
      <c r="G4008" s="470"/>
      <c r="H4008" s="470">
        <v>4001</v>
      </c>
      <c r="I4008" s="455">
        <f t="shared" ca="1" si="178"/>
        <v>6703553057469.6543</v>
      </c>
      <c r="J4008" s="455">
        <f t="array" ref="J4008">IFERROR(INDEX('Retirement Calculator'!J:J,MATCH('Isaac 401k'!N4008,'Retirement Calculator'!A:A,0),0),0)</f>
        <v>0</v>
      </c>
      <c r="K4008" s="455">
        <f t="shared" ca="1" si="176"/>
        <v>27931471072.790226</v>
      </c>
      <c r="L4008" s="455">
        <f t="shared" ca="1" si="177"/>
        <v>6731484528542.4443</v>
      </c>
      <c r="M4008" s="471">
        <f t="shared" si="179"/>
        <v>0.05</v>
      </c>
      <c r="N4008" s="475">
        <f t="shared" si="180"/>
        <v>173035</v>
      </c>
    </row>
    <row r="4009" spans="7:14" ht="11.25" customHeight="1" x14ac:dyDescent="0.3">
      <c r="G4009" s="470"/>
      <c r="H4009" s="470">
        <v>4002</v>
      </c>
      <c r="I4009" s="455">
        <f t="shared" ca="1" si="178"/>
        <v>6731484528542.4443</v>
      </c>
      <c r="J4009" s="455">
        <f t="array" ref="J4009">IFERROR(INDEX('Retirement Calculator'!J:J,MATCH('Isaac 401k'!N4009,'Retirement Calculator'!A:A,0),0),0)</f>
        <v>0</v>
      </c>
      <c r="K4009" s="455">
        <f t="shared" ca="1" si="176"/>
        <v>28047852202.260185</v>
      </c>
      <c r="L4009" s="455">
        <f t="shared" ca="1" si="177"/>
        <v>6759532380744.7041</v>
      </c>
      <c r="M4009" s="471">
        <f t="shared" si="179"/>
        <v>0.05</v>
      </c>
      <c r="N4009" s="475">
        <f t="shared" si="180"/>
        <v>173066</v>
      </c>
    </row>
    <row r="4010" spans="7:14" ht="11.25" customHeight="1" x14ac:dyDescent="0.3">
      <c r="G4010" s="470"/>
      <c r="H4010" s="470">
        <v>4003</v>
      </c>
      <c r="I4010" s="455">
        <f t="shared" ca="1" si="178"/>
        <v>6759532380744.7041</v>
      </c>
      <c r="J4010" s="455">
        <f t="array" ref="J4010">IFERROR(INDEX('Retirement Calculator'!J:J,MATCH('Isaac 401k'!N4010,'Retirement Calculator'!A:A,0),0),0)</f>
        <v>0</v>
      </c>
      <c r="K4010" s="455">
        <f t="shared" ca="1" si="176"/>
        <v>28164718253.102932</v>
      </c>
      <c r="L4010" s="455">
        <f t="shared" ca="1" si="177"/>
        <v>6787697098997.8066</v>
      </c>
      <c r="M4010" s="471">
        <f t="shared" si="179"/>
        <v>0.05</v>
      </c>
      <c r="N4010" s="475">
        <f t="shared" si="180"/>
        <v>173096</v>
      </c>
    </row>
    <row r="4011" spans="7:14" ht="11.25" customHeight="1" x14ac:dyDescent="0.3">
      <c r="G4011" s="470"/>
      <c r="H4011" s="470">
        <v>4004</v>
      </c>
      <c r="I4011" s="455">
        <f t="shared" ca="1" si="178"/>
        <v>6787697098997.8066</v>
      </c>
      <c r="J4011" s="455">
        <f t="array" ref="J4011">IFERROR(INDEX('Retirement Calculator'!J:J,MATCH('Isaac 401k'!N4011,'Retirement Calculator'!A:A,0),0),0)</f>
        <v>0</v>
      </c>
      <c r="K4011" s="455">
        <f t="shared" ca="1" si="176"/>
        <v>28282071245.824192</v>
      </c>
      <c r="L4011" s="455">
        <f t="shared" ca="1" si="177"/>
        <v>6815979170243.6309</v>
      </c>
      <c r="M4011" s="471">
        <f t="shared" si="179"/>
        <v>0.05</v>
      </c>
      <c r="N4011" s="475">
        <f t="shared" si="180"/>
        <v>173127</v>
      </c>
    </row>
    <row r="4012" spans="7:14" ht="11.25" customHeight="1" x14ac:dyDescent="0.3">
      <c r="G4012" s="470"/>
      <c r="H4012" s="470">
        <v>4005</v>
      </c>
      <c r="I4012" s="455">
        <f t="shared" ca="1" si="178"/>
        <v>6815979170243.6309</v>
      </c>
      <c r="J4012" s="455">
        <f t="array" ref="J4012">IFERROR(INDEX('Retirement Calculator'!J:J,MATCH('Isaac 401k'!N4012,'Retirement Calculator'!A:A,0),0),0)</f>
        <v>0</v>
      </c>
      <c r="K4012" s="455">
        <f t="shared" ca="1" si="176"/>
        <v>28399913209.348461</v>
      </c>
      <c r="L4012" s="455">
        <f t="shared" ca="1" si="177"/>
        <v>6844379083452.9795</v>
      </c>
      <c r="M4012" s="471">
        <f t="shared" si="179"/>
        <v>0.05</v>
      </c>
      <c r="N4012" s="475">
        <f t="shared" si="180"/>
        <v>173158</v>
      </c>
    </row>
    <row r="4013" spans="7:14" ht="11.25" customHeight="1" x14ac:dyDescent="0.3">
      <c r="G4013" s="470"/>
      <c r="H4013" s="470">
        <v>4006</v>
      </c>
      <c r="I4013" s="455">
        <f t="shared" ca="1" si="178"/>
        <v>6844379083452.9795</v>
      </c>
      <c r="J4013" s="455">
        <f t="array" ref="J4013">IFERROR(INDEX('Retirement Calculator'!J:J,MATCH('Isaac 401k'!N4013,'Retirement Calculator'!A:A,0),0),0)</f>
        <v>0</v>
      </c>
      <c r="K4013" s="455">
        <f t="shared" ca="1" si="176"/>
        <v>28518246181.054081</v>
      </c>
      <c r="L4013" s="455">
        <f t="shared" ca="1" si="177"/>
        <v>6872897329634.0332</v>
      </c>
      <c r="M4013" s="471">
        <f t="shared" si="179"/>
        <v>0.05</v>
      </c>
      <c r="N4013" s="475">
        <f t="shared" si="180"/>
        <v>173186</v>
      </c>
    </row>
    <row r="4014" spans="7:14" ht="11.25" customHeight="1" x14ac:dyDescent="0.3">
      <c r="G4014" s="470"/>
      <c r="H4014" s="470">
        <v>4007</v>
      </c>
      <c r="I4014" s="455">
        <f t="shared" ca="1" si="178"/>
        <v>6872897329634.0332</v>
      </c>
      <c r="J4014" s="455">
        <f t="array" ref="J4014">IFERROR(INDEX('Retirement Calculator'!J:J,MATCH('Isaac 401k'!N4014,'Retirement Calculator'!A:A,0),0),0)</f>
        <v>0</v>
      </c>
      <c r="K4014" s="455">
        <f t="shared" ca="1" si="176"/>
        <v>28637072206.808472</v>
      </c>
      <c r="L4014" s="455">
        <f t="shared" ca="1" si="177"/>
        <v>6901534401840.8418</v>
      </c>
      <c r="M4014" s="471">
        <f t="shared" si="179"/>
        <v>0.05</v>
      </c>
      <c r="N4014" s="475">
        <f t="shared" si="180"/>
        <v>173217</v>
      </c>
    </row>
    <row r="4015" spans="7:14" ht="11.25" customHeight="1" x14ac:dyDescent="0.3">
      <c r="G4015" s="470"/>
      <c r="H4015" s="470">
        <v>4008</v>
      </c>
      <c r="I4015" s="455">
        <f t="shared" ca="1" si="178"/>
        <v>6901534401840.8418</v>
      </c>
      <c r="J4015" s="455">
        <f t="array" ref="J4015">IFERROR(INDEX('Retirement Calculator'!J:J,MATCH('Isaac 401k'!N4015,'Retirement Calculator'!A:A,0),0),0)</f>
        <v>0</v>
      </c>
      <c r="K4015" s="455">
        <f t="shared" ca="1" si="176"/>
        <v>28756393341.003506</v>
      </c>
      <c r="L4015" s="455">
        <f t="shared" ca="1" si="177"/>
        <v>6930290795181.8457</v>
      </c>
      <c r="M4015" s="471">
        <f t="shared" si="179"/>
        <v>0.05</v>
      </c>
      <c r="N4015" s="475">
        <f t="shared" si="180"/>
        <v>173247</v>
      </c>
    </row>
    <row r="4016" spans="7:14" ht="11.25" customHeight="1" x14ac:dyDescent="0.3">
      <c r="G4016" s="470"/>
      <c r="H4016" s="470">
        <v>4009</v>
      </c>
      <c r="I4016" s="455">
        <f t="shared" ca="1" si="178"/>
        <v>6930290795181.8457</v>
      </c>
      <c r="J4016" s="455">
        <f t="array" ref="J4016">IFERROR(INDEX('Retirement Calculator'!J:J,MATCH('Isaac 401k'!N4016,'Retirement Calculator'!A:A,0),0),0)</f>
        <v>0</v>
      </c>
      <c r="K4016" s="455">
        <f t="shared" ca="1" si="176"/>
        <v>28876211646.591022</v>
      </c>
      <c r="L4016" s="455">
        <f t="shared" ca="1" si="177"/>
        <v>6959167006828.4365</v>
      </c>
      <c r="M4016" s="471">
        <f t="shared" si="179"/>
        <v>0.05</v>
      </c>
      <c r="N4016" s="475">
        <f t="shared" si="180"/>
        <v>173278</v>
      </c>
    </row>
    <row r="4017" spans="7:14" ht="11.25" customHeight="1" x14ac:dyDescent="0.3">
      <c r="G4017" s="470"/>
      <c r="H4017" s="470">
        <v>4010</v>
      </c>
      <c r="I4017" s="455">
        <f t="shared" ca="1" si="178"/>
        <v>6959167006828.4365</v>
      </c>
      <c r="J4017" s="455">
        <f t="array" ref="J4017">IFERROR(INDEX('Retirement Calculator'!J:J,MATCH('Isaac 401k'!N4017,'Retirement Calculator'!A:A,0),0),0)</f>
        <v>0</v>
      </c>
      <c r="K4017" s="455">
        <f t="shared" ca="1" si="176"/>
        <v>28996529195.118484</v>
      </c>
      <c r="L4017" s="455">
        <f t="shared" ca="1" si="177"/>
        <v>6988163536023.5547</v>
      </c>
      <c r="M4017" s="471">
        <f t="shared" si="179"/>
        <v>0.05</v>
      </c>
      <c r="N4017" s="475">
        <f t="shared" si="180"/>
        <v>173308</v>
      </c>
    </row>
    <row r="4018" spans="7:14" ht="11.25" customHeight="1" x14ac:dyDescent="0.3">
      <c r="G4018" s="470"/>
      <c r="H4018" s="470">
        <v>4011</v>
      </c>
      <c r="I4018" s="455">
        <f t="shared" ca="1" si="178"/>
        <v>6988163536023.5547</v>
      </c>
      <c r="J4018" s="455">
        <f t="array" ref="J4018">IFERROR(INDEX('Retirement Calculator'!J:J,MATCH('Isaac 401k'!N4018,'Retirement Calculator'!A:A,0),0),0)</f>
        <v>0</v>
      </c>
      <c r="K4018" s="455">
        <f t="shared" ca="1" si="176"/>
        <v>29117348066.764812</v>
      </c>
      <c r="L4018" s="455">
        <f t="shared" ca="1" si="177"/>
        <v>7017280884090.3193</v>
      </c>
      <c r="M4018" s="471">
        <f t="shared" si="179"/>
        <v>0.05</v>
      </c>
      <c r="N4018" s="475">
        <f t="shared" si="180"/>
        <v>173339</v>
      </c>
    </row>
    <row r="4019" spans="7:14" ht="11.25" customHeight="1" x14ac:dyDescent="0.3">
      <c r="G4019" s="470"/>
      <c r="H4019" s="470">
        <v>4012</v>
      </c>
      <c r="I4019" s="455">
        <f t="shared" ca="1" si="178"/>
        <v>7017280884090.3193</v>
      </c>
      <c r="J4019" s="455">
        <f t="array" ref="J4019">IFERROR(INDEX('Retirement Calculator'!J:J,MATCH('Isaac 401k'!N4019,'Retirement Calculator'!A:A,0),0),0)</f>
        <v>0</v>
      </c>
      <c r="K4019" s="455">
        <f t="shared" ca="1" si="176"/>
        <v>29238670350.376335</v>
      </c>
      <c r="L4019" s="455">
        <f t="shared" ca="1" si="177"/>
        <v>7046519554440.6953</v>
      </c>
      <c r="M4019" s="471">
        <f t="shared" si="179"/>
        <v>0.05</v>
      </c>
      <c r="N4019" s="475">
        <f t="shared" si="180"/>
        <v>173370</v>
      </c>
    </row>
    <row r="4020" spans="7:14" ht="11.25" customHeight="1" x14ac:dyDescent="0.3">
      <c r="G4020" s="470"/>
      <c r="H4020" s="470">
        <v>4013</v>
      </c>
      <c r="I4020" s="455">
        <f t="shared" ca="1" si="178"/>
        <v>7046519554440.6953</v>
      </c>
      <c r="J4020" s="455">
        <f t="array" ref="J4020">IFERROR(INDEX('Retirement Calculator'!J:J,MATCH('Isaac 401k'!N4020,'Retirement Calculator'!A:A,0),0),0)</f>
        <v>0</v>
      </c>
      <c r="K4020" s="455">
        <f t="shared" ca="1" si="176"/>
        <v>29360498143.502895</v>
      </c>
      <c r="L4020" s="455">
        <f t="shared" ca="1" si="177"/>
        <v>7075880052584.1982</v>
      </c>
      <c r="M4020" s="471">
        <f t="shared" si="179"/>
        <v>0.05</v>
      </c>
      <c r="N4020" s="475">
        <f t="shared" si="180"/>
        <v>173400</v>
      </c>
    </row>
    <row r="4021" spans="7:14" ht="11.25" customHeight="1" x14ac:dyDescent="0.3">
      <c r="G4021" s="470"/>
      <c r="H4021" s="470">
        <v>4014</v>
      </c>
      <c r="I4021" s="455">
        <f t="shared" ca="1" si="178"/>
        <v>7075880052584.1982</v>
      </c>
      <c r="J4021" s="455">
        <f t="array" ref="J4021">IFERROR(INDEX('Retirement Calculator'!J:J,MATCH('Isaac 401k'!N4021,'Retirement Calculator'!A:A,0),0),0)</f>
        <v>0</v>
      </c>
      <c r="K4021" s="455">
        <f t="shared" ca="1" si="176"/>
        <v>29482833552.434158</v>
      </c>
      <c r="L4021" s="455">
        <f t="shared" ca="1" si="177"/>
        <v>7105362886136.6328</v>
      </c>
      <c r="M4021" s="471">
        <f t="shared" si="179"/>
        <v>0.05</v>
      </c>
      <c r="N4021" s="475">
        <f t="shared" si="180"/>
        <v>173431</v>
      </c>
    </row>
    <row r="4022" spans="7:14" ht="11.25" customHeight="1" x14ac:dyDescent="0.3">
      <c r="G4022" s="470"/>
      <c r="H4022" s="470">
        <v>4015</v>
      </c>
      <c r="I4022" s="455">
        <f t="shared" ca="1" si="178"/>
        <v>7105362886136.6328</v>
      </c>
      <c r="J4022" s="455">
        <f t="array" ref="J4022">IFERROR(INDEX('Retirement Calculator'!J:J,MATCH('Isaac 401k'!N4022,'Retirement Calculator'!A:A,0),0),0)</f>
        <v>0</v>
      </c>
      <c r="K4022" s="455">
        <f t="shared" ca="1" si="176"/>
        <v>29605678692.23597</v>
      </c>
      <c r="L4022" s="455">
        <f t="shared" ca="1" si="177"/>
        <v>7134968564828.8691</v>
      </c>
      <c r="M4022" s="471">
        <f t="shared" si="179"/>
        <v>0.05</v>
      </c>
      <c r="N4022" s="475">
        <f t="shared" si="180"/>
        <v>173461</v>
      </c>
    </row>
    <row r="4023" spans="7:14" ht="11.25" customHeight="1" x14ac:dyDescent="0.3">
      <c r="G4023" s="470"/>
      <c r="H4023" s="470">
        <v>4016</v>
      </c>
      <c r="I4023" s="455">
        <f t="shared" ca="1" si="178"/>
        <v>7134968564828.8691</v>
      </c>
      <c r="J4023" s="455">
        <f t="array" ref="J4023">IFERROR(INDEX('Retirement Calculator'!J:J,MATCH('Isaac 401k'!N4023,'Retirement Calculator'!A:A,0),0),0)</f>
        <v>0</v>
      </c>
      <c r="K4023" s="455">
        <f t="shared" ca="1" si="176"/>
        <v>29729035686.786957</v>
      </c>
      <c r="L4023" s="455">
        <f t="shared" ca="1" si="177"/>
        <v>7164697600515.6563</v>
      </c>
      <c r="M4023" s="471">
        <f t="shared" si="179"/>
        <v>0.05</v>
      </c>
      <c r="N4023" s="475">
        <f t="shared" si="180"/>
        <v>173492</v>
      </c>
    </row>
    <row r="4024" spans="7:14" ht="11.25" customHeight="1" x14ac:dyDescent="0.3">
      <c r="G4024" s="470"/>
      <c r="H4024" s="470">
        <v>4017</v>
      </c>
      <c r="I4024" s="455">
        <f t="shared" ca="1" si="178"/>
        <v>7164697600515.6563</v>
      </c>
      <c r="J4024" s="455">
        <f t="array" ref="J4024">IFERROR(INDEX('Retirement Calculator'!J:J,MATCH('Isaac 401k'!N4024,'Retirement Calculator'!A:A,0),0),0)</f>
        <v>0</v>
      </c>
      <c r="K4024" s="455">
        <f t="shared" ca="1" si="176"/>
        <v>29852906668.815239</v>
      </c>
      <c r="L4024" s="455">
        <f t="shared" ca="1" si="177"/>
        <v>7194550507184.4717</v>
      </c>
      <c r="M4024" s="471">
        <f t="shared" si="179"/>
        <v>0.05</v>
      </c>
      <c r="N4024" s="475">
        <f t="shared" si="180"/>
        <v>173523</v>
      </c>
    </row>
    <row r="4025" spans="7:14" ht="11.25" customHeight="1" x14ac:dyDescent="0.3">
      <c r="G4025" s="470"/>
      <c r="H4025" s="470">
        <v>4018</v>
      </c>
      <c r="I4025" s="455">
        <f t="shared" ca="1" si="178"/>
        <v>7194550507184.4717</v>
      </c>
      <c r="J4025" s="455">
        <f t="array" ref="J4025">IFERROR(INDEX('Retirement Calculator'!J:J,MATCH('Isaac 401k'!N4025,'Retirement Calculator'!A:A,0),0),0)</f>
        <v>0</v>
      </c>
      <c r="K4025" s="455">
        <f t="shared" ca="1" si="176"/>
        <v>29977293779.935295</v>
      </c>
      <c r="L4025" s="455">
        <f t="shared" ca="1" si="177"/>
        <v>7224527800964.4072</v>
      </c>
      <c r="M4025" s="471">
        <f t="shared" si="179"/>
        <v>0.05</v>
      </c>
      <c r="N4025" s="475">
        <f t="shared" si="180"/>
        <v>173551</v>
      </c>
    </row>
    <row r="4026" spans="7:14" ht="11.25" customHeight="1" x14ac:dyDescent="0.3">
      <c r="G4026" s="470"/>
      <c r="H4026" s="470">
        <v>4019</v>
      </c>
      <c r="I4026" s="455">
        <f t="shared" ca="1" si="178"/>
        <v>7224527800964.4072</v>
      </c>
      <c r="J4026" s="455">
        <f t="array" ref="J4026">IFERROR(INDEX('Retirement Calculator'!J:J,MATCH('Isaac 401k'!N4026,'Retirement Calculator'!A:A,0),0),0)</f>
        <v>0</v>
      </c>
      <c r="K4026" s="455">
        <f t="shared" ca="1" si="176"/>
        <v>30102199170.685032</v>
      </c>
      <c r="L4026" s="455">
        <f t="shared" ca="1" si="177"/>
        <v>7254630000135.0918</v>
      </c>
      <c r="M4026" s="471">
        <f t="shared" si="179"/>
        <v>0.05</v>
      </c>
      <c r="N4026" s="475">
        <f t="shared" si="180"/>
        <v>173582</v>
      </c>
    </row>
    <row r="4027" spans="7:14" ht="11.25" customHeight="1" x14ac:dyDescent="0.3">
      <c r="G4027" s="470"/>
      <c r="H4027" s="470">
        <v>4020</v>
      </c>
      <c r="I4027" s="455">
        <f t="shared" ca="1" si="178"/>
        <v>7254630000135.0918</v>
      </c>
      <c r="J4027" s="455">
        <f t="array" ref="J4027">IFERROR(INDEX('Retirement Calculator'!J:J,MATCH('Isaac 401k'!N4027,'Retirement Calculator'!A:A,0),0),0)</f>
        <v>0</v>
      </c>
      <c r="K4027" s="455">
        <f t="shared" ca="1" si="176"/>
        <v>30227625000.562881</v>
      </c>
      <c r="L4027" s="455">
        <f t="shared" ca="1" si="177"/>
        <v>7284857625135.6543</v>
      </c>
      <c r="M4027" s="471">
        <f t="shared" si="179"/>
        <v>0.05</v>
      </c>
      <c r="N4027" s="475">
        <f t="shared" si="180"/>
        <v>173612</v>
      </c>
    </row>
    <row r="4028" spans="7:14" ht="11.25" customHeight="1" x14ac:dyDescent="0.3">
      <c r="G4028" s="470"/>
      <c r="H4028" s="470">
        <v>4021</v>
      </c>
      <c r="I4028" s="455">
        <f t="shared" ca="1" si="178"/>
        <v>7284857625135.6543</v>
      </c>
      <c r="J4028" s="455">
        <f t="array" ref="J4028">IFERROR(INDEX('Retirement Calculator'!J:J,MATCH('Isaac 401k'!N4028,'Retirement Calculator'!A:A,0),0),0)</f>
        <v>0</v>
      </c>
      <c r="K4028" s="455">
        <f t="shared" ca="1" si="176"/>
        <v>30353573438.065228</v>
      </c>
      <c r="L4028" s="455">
        <f t="shared" ca="1" si="177"/>
        <v>7315211198573.7197</v>
      </c>
      <c r="M4028" s="471">
        <f t="shared" si="179"/>
        <v>0.05</v>
      </c>
      <c r="N4028" s="475">
        <f t="shared" si="180"/>
        <v>173643</v>
      </c>
    </row>
    <row r="4029" spans="7:14" ht="11.25" customHeight="1" x14ac:dyDescent="0.3">
      <c r="G4029" s="470"/>
      <c r="H4029" s="470">
        <v>4022</v>
      </c>
      <c r="I4029" s="455">
        <f t="shared" ca="1" si="178"/>
        <v>7315211198573.7197</v>
      </c>
      <c r="J4029" s="455">
        <f t="array" ref="J4029">IFERROR(INDEX('Retirement Calculator'!J:J,MATCH('Isaac 401k'!N4029,'Retirement Calculator'!A:A,0),0),0)</f>
        <v>0</v>
      </c>
      <c r="K4029" s="455">
        <f t="shared" ca="1" si="176"/>
        <v>30480046660.723831</v>
      </c>
      <c r="L4029" s="455">
        <f t="shared" ca="1" si="177"/>
        <v>7345691245234.4434</v>
      </c>
      <c r="M4029" s="471">
        <f t="shared" si="179"/>
        <v>0.05</v>
      </c>
      <c r="N4029" s="475">
        <f t="shared" si="180"/>
        <v>173673</v>
      </c>
    </row>
    <row r="4030" spans="7:14" ht="11.25" customHeight="1" x14ac:dyDescent="0.3">
      <c r="G4030" s="470"/>
      <c r="H4030" s="470">
        <v>4023</v>
      </c>
      <c r="I4030" s="455">
        <f t="shared" ca="1" si="178"/>
        <v>7345691245234.4434</v>
      </c>
      <c r="J4030" s="455">
        <f t="array" ref="J4030">IFERROR(INDEX('Retirement Calculator'!J:J,MATCH('Isaac 401k'!N4030,'Retirement Calculator'!A:A,0),0),0)</f>
        <v>0</v>
      </c>
      <c r="K4030" s="455">
        <f t="shared" ca="1" si="176"/>
        <v>30607046855.143513</v>
      </c>
      <c r="L4030" s="455">
        <f t="shared" ca="1" si="177"/>
        <v>7376298292089.5869</v>
      </c>
      <c r="M4030" s="471">
        <f t="shared" si="179"/>
        <v>0.05</v>
      </c>
      <c r="N4030" s="475">
        <f t="shared" si="180"/>
        <v>173704</v>
      </c>
    </row>
    <row r="4031" spans="7:14" ht="11.25" customHeight="1" x14ac:dyDescent="0.3">
      <c r="G4031" s="470"/>
      <c r="H4031" s="470">
        <v>4024</v>
      </c>
      <c r="I4031" s="455">
        <f t="shared" ca="1" si="178"/>
        <v>7376298292089.5869</v>
      </c>
      <c r="J4031" s="455">
        <f t="array" ref="J4031">IFERROR(INDEX('Retirement Calculator'!J:J,MATCH('Isaac 401k'!N4031,'Retirement Calculator'!A:A,0),0),0)</f>
        <v>0</v>
      </c>
      <c r="K4031" s="455">
        <f t="shared" ca="1" si="176"/>
        <v>30734576217.039948</v>
      </c>
      <c r="L4031" s="455">
        <f t="shared" ca="1" si="177"/>
        <v>7407032868306.627</v>
      </c>
      <c r="M4031" s="471">
        <f t="shared" si="179"/>
        <v>0.05</v>
      </c>
      <c r="N4031" s="475">
        <f t="shared" si="180"/>
        <v>173735</v>
      </c>
    </row>
    <row r="4032" spans="7:14" ht="11.25" customHeight="1" x14ac:dyDescent="0.3">
      <c r="G4032" s="470"/>
      <c r="H4032" s="470">
        <v>4025</v>
      </c>
      <c r="I4032" s="455">
        <f t="shared" ca="1" si="178"/>
        <v>7407032868306.627</v>
      </c>
      <c r="J4032" s="455">
        <f t="array" ref="J4032">IFERROR(INDEX('Retirement Calculator'!J:J,MATCH('Isaac 401k'!N4032,'Retirement Calculator'!A:A,0),0),0)</f>
        <v>0</v>
      </c>
      <c r="K4032" s="455">
        <f t="shared" ca="1" si="176"/>
        <v>30862636951.277611</v>
      </c>
      <c r="L4032" s="455">
        <f t="shared" ca="1" si="177"/>
        <v>7437895505257.9043</v>
      </c>
      <c r="M4032" s="471">
        <f t="shared" si="179"/>
        <v>0.05</v>
      </c>
      <c r="N4032" s="475">
        <f t="shared" si="180"/>
        <v>173765</v>
      </c>
    </row>
    <row r="4033" spans="7:14" ht="11.25" customHeight="1" x14ac:dyDescent="0.3">
      <c r="G4033" s="470"/>
      <c r="H4033" s="470">
        <v>4026</v>
      </c>
      <c r="I4033" s="455">
        <f t="shared" ca="1" si="178"/>
        <v>7437895505257.9043</v>
      </c>
      <c r="J4033" s="455">
        <f t="array" ref="J4033">IFERROR(INDEX('Retirement Calculator'!J:J,MATCH('Isaac 401k'!N4033,'Retirement Calculator'!A:A,0),0),0)</f>
        <v>0</v>
      </c>
      <c r="K4033" s="455">
        <f t="shared" ca="1" si="176"/>
        <v>30991231271.907928</v>
      </c>
      <c r="L4033" s="455">
        <f t="shared" ca="1" si="177"/>
        <v>7468886736529.8125</v>
      </c>
      <c r="M4033" s="471">
        <f t="shared" si="179"/>
        <v>0.05</v>
      </c>
      <c r="N4033" s="475">
        <f t="shared" si="180"/>
        <v>173796</v>
      </c>
    </row>
    <row r="4034" spans="7:14" ht="11.25" customHeight="1" x14ac:dyDescent="0.3">
      <c r="G4034" s="470"/>
      <c r="H4034" s="470">
        <v>4027</v>
      </c>
      <c r="I4034" s="455">
        <f t="shared" ca="1" si="178"/>
        <v>7468886736529.8125</v>
      </c>
      <c r="J4034" s="455">
        <f t="array" ref="J4034">IFERROR(INDEX('Retirement Calculator'!J:J,MATCH('Isaac 401k'!N4034,'Retirement Calculator'!A:A,0),0),0)</f>
        <v>0</v>
      </c>
      <c r="K4034" s="455">
        <f t="shared" ca="1" si="176"/>
        <v>31120361402.20755</v>
      </c>
      <c r="L4034" s="455">
        <f t="shared" ca="1" si="177"/>
        <v>7500007097932.0205</v>
      </c>
      <c r="M4034" s="471">
        <f t="shared" si="179"/>
        <v>0.05</v>
      </c>
      <c r="N4034" s="475">
        <f t="shared" si="180"/>
        <v>173826</v>
      </c>
    </row>
    <row r="4035" spans="7:14" ht="11.25" customHeight="1" x14ac:dyDescent="0.3">
      <c r="G4035" s="470"/>
      <c r="H4035" s="470">
        <v>4028</v>
      </c>
      <c r="I4035" s="455">
        <f t="shared" ca="1" si="178"/>
        <v>7500007097932.0205</v>
      </c>
      <c r="J4035" s="455">
        <f t="array" ref="J4035">IFERROR(INDEX('Retirement Calculator'!J:J,MATCH('Isaac 401k'!N4035,'Retirement Calculator'!A:A,0),0),0)</f>
        <v>0</v>
      </c>
      <c r="K4035" s="455">
        <f t="shared" ca="1" si="176"/>
        <v>31250029574.716755</v>
      </c>
      <c r="L4035" s="455">
        <f t="shared" ca="1" si="177"/>
        <v>7531257127506.7373</v>
      </c>
      <c r="M4035" s="471">
        <f t="shared" si="179"/>
        <v>0.05</v>
      </c>
      <c r="N4035" s="475">
        <f t="shared" si="180"/>
        <v>173857</v>
      </c>
    </row>
    <row r="4036" spans="7:14" ht="11.25" customHeight="1" x14ac:dyDescent="0.3">
      <c r="G4036" s="470"/>
      <c r="H4036" s="470">
        <v>4029</v>
      </c>
      <c r="I4036" s="455">
        <f t="shared" ca="1" si="178"/>
        <v>7531257127506.7373</v>
      </c>
      <c r="J4036" s="455">
        <f t="array" ref="J4036">IFERROR(INDEX('Retirement Calculator'!J:J,MATCH('Isaac 401k'!N4036,'Retirement Calculator'!A:A,0),0),0)</f>
        <v>0</v>
      </c>
      <c r="K4036" s="455">
        <f t="shared" ca="1" si="176"/>
        <v>31380238031.278069</v>
      </c>
      <c r="L4036" s="455">
        <f t="shared" ca="1" si="177"/>
        <v>7562637365538.0156</v>
      </c>
      <c r="M4036" s="471">
        <f t="shared" si="179"/>
        <v>0.05</v>
      </c>
      <c r="N4036" s="475">
        <f t="shared" si="180"/>
        <v>173888</v>
      </c>
    </row>
    <row r="4037" spans="7:14" ht="11.25" customHeight="1" x14ac:dyDescent="0.3">
      <c r="G4037" s="470"/>
      <c r="H4037" s="470">
        <v>4030</v>
      </c>
      <c r="I4037" s="455">
        <f t="shared" ca="1" si="178"/>
        <v>7562637365538.0156</v>
      </c>
      <c r="J4037" s="455">
        <f t="array" ref="J4037">IFERROR(INDEX('Retirement Calculator'!J:J,MATCH('Isaac 401k'!N4037,'Retirement Calculator'!A:A,0),0),0)</f>
        <v>0</v>
      </c>
      <c r="K4037" s="455">
        <f t="shared" ca="1" si="176"/>
        <v>31510989023.075066</v>
      </c>
      <c r="L4037" s="455">
        <f t="shared" ca="1" si="177"/>
        <v>7594148354561.0908</v>
      </c>
      <c r="M4037" s="471">
        <f t="shared" si="179"/>
        <v>0.05</v>
      </c>
      <c r="N4037" s="475">
        <f t="shared" si="180"/>
        <v>173917</v>
      </c>
    </row>
    <row r="4038" spans="7:14" ht="11.25" customHeight="1" x14ac:dyDescent="0.3">
      <c r="G4038" s="470"/>
      <c r="H4038" s="470">
        <v>4031</v>
      </c>
      <c r="I4038" s="455">
        <f t="shared" ca="1" si="178"/>
        <v>7594148354561.0908</v>
      </c>
      <c r="J4038" s="455">
        <f t="array" ref="J4038">IFERROR(INDEX('Retirement Calculator'!J:J,MATCH('Isaac 401k'!N4038,'Retirement Calculator'!A:A,0),0),0)</f>
        <v>0</v>
      </c>
      <c r="K4038" s="455">
        <f t="shared" ca="1" si="176"/>
        <v>31642284810.671215</v>
      </c>
      <c r="L4038" s="455">
        <f t="shared" ca="1" si="177"/>
        <v>7625790639371.7617</v>
      </c>
      <c r="M4038" s="471">
        <f t="shared" si="179"/>
        <v>0.05</v>
      </c>
      <c r="N4038" s="475">
        <f t="shared" si="180"/>
        <v>173948</v>
      </c>
    </row>
    <row r="4039" spans="7:14" ht="11.25" customHeight="1" x14ac:dyDescent="0.3">
      <c r="G4039" s="470"/>
      <c r="H4039" s="470">
        <v>4032</v>
      </c>
      <c r="I4039" s="455">
        <f t="shared" ca="1" si="178"/>
        <v>7625790639371.7617</v>
      </c>
      <c r="J4039" s="455">
        <f t="array" ref="J4039">IFERROR(INDEX('Retirement Calculator'!J:J,MATCH('Isaac 401k'!N4039,'Retirement Calculator'!A:A,0),0),0)</f>
        <v>0</v>
      </c>
      <c r="K4039" s="455">
        <f t="shared" ca="1" si="176"/>
        <v>31774127664.049011</v>
      </c>
      <c r="L4039" s="455">
        <f t="shared" ca="1" si="177"/>
        <v>7657564767035.8105</v>
      </c>
      <c r="M4039" s="471">
        <f t="shared" si="179"/>
        <v>0.05</v>
      </c>
      <c r="N4039" s="475">
        <f t="shared" si="180"/>
        <v>173978</v>
      </c>
    </row>
    <row r="4040" spans="7:14" ht="11.25" customHeight="1" x14ac:dyDescent="0.3">
      <c r="G4040" s="470"/>
      <c r="H4040" s="470">
        <v>4033</v>
      </c>
      <c r="I4040" s="455">
        <f t="shared" ca="1" si="178"/>
        <v>7657564767035.8105</v>
      </c>
      <c r="J4040" s="455">
        <f t="array" ref="J4040">IFERROR(INDEX('Retirement Calculator'!J:J,MATCH('Isaac 401k'!N4040,'Retirement Calculator'!A:A,0),0),0)</f>
        <v>0</v>
      </c>
      <c r="K4040" s="455">
        <f t="shared" ca="1" si="176"/>
        <v>31906519862.649212</v>
      </c>
      <c r="L4040" s="455">
        <f t="shared" ca="1" si="177"/>
        <v>7689471286898.46</v>
      </c>
      <c r="M4040" s="471">
        <f t="shared" si="179"/>
        <v>0.05</v>
      </c>
      <c r="N4040" s="475">
        <f t="shared" si="180"/>
        <v>174009</v>
      </c>
    </row>
    <row r="4041" spans="7:14" ht="11.25" customHeight="1" x14ac:dyDescent="0.3">
      <c r="G4041" s="470"/>
      <c r="H4041" s="470">
        <v>4034</v>
      </c>
      <c r="I4041" s="455">
        <f t="shared" ca="1" si="178"/>
        <v>7689471286898.46</v>
      </c>
      <c r="J4041" s="455">
        <f t="array" ref="J4041">IFERROR(INDEX('Retirement Calculator'!J:J,MATCH('Isaac 401k'!N4041,'Retirement Calculator'!A:A,0),0),0)</f>
        <v>0</v>
      </c>
      <c r="K4041" s="455">
        <f t="shared" ca="1" si="176"/>
        <v>32039463695.410248</v>
      </c>
      <c r="L4041" s="455">
        <f t="shared" ca="1" si="177"/>
        <v>7721510750593.8701</v>
      </c>
      <c r="M4041" s="471">
        <f t="shared" si="179"/>
        <v>0.05</v>
      </c>
      <c r="N4041" s="475">
        <f t="shared" si="180"/>
        <v>174039</v>
      </c>
    </row>
    <row r="4042" spans="7:14" ht="11.25" customHeight="1" x14ac:dyDescent="0.3">
      <c r="G4042" s="470"/>
      <c r="H4042" s="470">
        <v>4035</v>
      </c>
      <c r="I4042" s="455">
        <f t="shared" ca="1" si="178"/>
        <v>7721510750593.8701</v>
      </c>
      <c r="J4042" s="455">
        <f t="array" ref="J4042">IFERROR(INDEX('Retirement Calculator'!J:J,MATCH('Isaac 401k'!N4042,'Retirement Calculator'!A:A,0),0),0)</f>
        <v>0</v>
      </c>
      <c r="K4042" s="455">
        <f t="shared" ca="1" si="176"/>
        <v>32172961460.807789</v>
      </c>
      <c r="L4042" s="455">
        <f t="shared" ca="1" si="177"/>
        <v>7753683712054.6777</v>
      </c>
      <c r="M4042" s="471">
        <f t="shared" si="179"/>
        <v>0.05</v>
      </c>
      <c r="N4042" s="475">
        <f t="shared" si="180"/>
        <v>174070</v>
      </c>
    </row>
    <row r="4043" spans="7:14" ht="11.25" customHeight="1" x14ac:dyDescent="0.3">
      <c r="G4043" s="470"/>
      <c r="H4043" s="470">
        <v>4036</v>
      </c>
      <c r="I4043" s="455">
        <f t="shared" ca="1" si="178"/>
        <v>7753683712054.6777</v>
      </c>
      <c r="J4043" s="455">
        <f t="array" ref="J4043">IFERROR(INDEX('Retirement Calculator'!J:J,MATCH('Isaac 401k'!N4043,'Retirement Calculator'!A:A,0),0),0)</f>
        <v>0</v>
      </c>
      <c r="K4043" s="455">
        <f t="shared" ca="1" si="176"/>
        <v>32307015466.894493</v>
      </c>
      <c r="L4043" s="455">
        <f t="shared" ca="1" si="177"/>
        <v>7785990727521.5723</v>
      </c>
      <c r="M4043" s="471">
        <f t="shared" si="179"/>
        <v>0.05</v>
      </c>
      <c r="N4043" s="475">
        <f t="shared" si="180"/>
        <v>174101</v>
      </c>
    </row>
    <row r="4044" spans="7:14" ht="11.25" customHeight="1" x14ac:dyDescent="0.3">
      <c r="G4044" s="470"/>
      <c r="H4044" s="470">
        <v>4037</v>
      </c>
      <c r="I4044" s="455">
        <f t="shared" ca="1" si="178"/>
        <v>7785990727521.5723</v>
      </c>
      <c r="J4044" s="455">
        <f t="array" ref="J4044">IFERROR(INDEX('Retirement Calculator'!J:J,MATCH('Isaac 401k'!N4044,'Retirement Calculator'!A:A,0),0),0)</f>
        <v>0</v>
      </c>
      <c r="K4044" s="455">
        <f t="shared" ca="1" si="176"/>
        <v>32441628031.339886</v>
      </c>
      <c r="L4044" s="455">
        <f t="shared" ca="1" si="177"/>
        <v>7818432355552.9121</v>
      </c>
      <c r="M4044" s="471">
        <f t="shared" si="179"/>
        <v>0.05</v>
      </c>
      <c r="N4044" s="475">
        <f t="shared" si="180"/>
        <v>174131</v>
      </c>
    </row>
    <row r="4045" spans="7:14" ht="11.25" customHeight="1" x14ac:dyDescent="0.3">
      <c r="G4045" s="470"/>
      <c r="H4045" s="470">
        <v>4038</v>
      </c>
      <c r="I4045" s="455">
        <f t="shared" ca="1" si="178"/>
        <v>7818432355552.9121</v>
      </c>
      <c r="J4045" s="455">
        <f t="array" ref="J4045">IFERROR(INDEX('Retirement Calculator'!J:J,MATCH('Isaac 401k'!N4045,'Retirement Calculator'!A:A,0),0),0)</f>
        <v>0</v>
      </c>
      <c r="K4045" s="455">
        <f t="shared" ca="1" si="176"/>
        <v>32576801481.470467</v>
      </c>
      <c r="L4045" s="455">
        <f t="shared" ca="1" si="177"/>
        <v>7851009157034.3828</v>
      </c>
      <c r="M4045" s="471">
        <f t="shared" si="179"/>
        <v>0.05</v>
      </c>
      <c r="N4045" s="475">
        <f t="shared" si="180"/>
        <v>174162</v>
      </c>
    </row>
    <row r="4046" spans="7:14" ht="11.25" customHeight="1" x14ac:dyDescent="0.3">
      <c r="G4046" s="470"/>
      <c r="H4046" s="470">
        <v>4039</v>
      </c>
      <c r="I4046" s="455">
        <f t="shared" ca="1" si="178"/>
        <v>7851009157034.3828</v>
      </c>
      <c r="J4046" s="455">
        <f t="array" ref="J4046">IFERROR(INDEX('Retirement Calculator'!J:J,MATCH('Isaac 401k'!N4046,'Retirement Calculator'!A:A,0),0),0)</f>
        <v>0</v>
      </c>
      <c r="K4046" s="455">
        <f t="shared" ca="1" si="176"/>
        <v>32712538154.309929</v>
      </c>
      <c r="L4046" s="455">
        <f t="shared" ca="1" si="177"/>
        <v>7883721695188.6924</v>
      </c>
      <c r="M4046" s="471">
        <f t="shared" si="179"/>
        <v>0.05</v>
      </c>
      <c r="N4046" s="475">
        <f t="shared" si="180"/>
        <v>174192</v>
      </c>
    </row>
    <row r="4047" spans="7:14" ht="11.25" customHeight="1" x14ac:dyDescent="0.3">
      <c r="G4047" s="470"/>
      <c r="H4047" s="470">
        <v>4040</v>
      </c>
      <c r="I4047" s="455">
        <f t="shared" ca="1" si="178"/>
        <v>7883721695188.6924</v>
      </c>
      <c r="J4047" s="455">
        <f t="array" ref="J4047">IFERROR(INDEX('Retirement Calculator'!J:J,MATCH('Isaac 401k'!N4047,'Retirement Calculator'!A:A,0),0),0)</f>
        <v>0</v>
      </c>
      <c r="K4047" s="455">
        <f t="shared" ca="1" si="176"/>
        <v>32848840396.619556</v>
      </c>
      <c r="L4047" s="455">
        <f t="shared" ca="1" si="177"/>
        <v>7916570535585.3115</v>
      </c>
      <c r="M4047" s="471">
        <f t="shared" si="179"/>
        <v>0.05</v>
      </c>
      <c r="N4047" s="475">
        <f t="shared" si="180"/>
        <v>174223</v>
      </c>
    </row>
    <row r="4048" spans="7:14" ht="11.25" customHeight="1" x14ac:dyDescent="0.3">
      <c r="G4048" s="470"/>
      <c r="H4048" s="470">
        <v>4041</v>
      </c>
      <c r="I4048" s="455">
        <f t="shared" ca="1" si="178"/>
        <v>7916570535585.3115</v>
      </c>
      <c r="J4048" s="455">
        <f t="array" ref="J4048">IFERROR(INDEX('Retirement Calculator'!J:J,MATCH('Isaac 401k'!N4048,'Retirement Calculator'!A:A,0),0),0)</f>
        <v>0</v>
      </c>
      <c r="K4048" s="455">
        <f t="shared" ca="1" si="176"/>
        <v>32985710564.938797</v>
      </c>
      <c r="L4048" s="455">
        <f t="shared" ca="1" si="177"/>
        <v>7949556246150.25</v>
      </c>
      <c r="M4048" s="471">
        <f t="shared" si="179"/>
        <v>0.05</v>
      </c>
      <c r="N4048" s="475">
        <f t="shared" si="180"/>
        <v>174254</v>
      </c>
    </row>
    <row r="4049" spans="7:14" ht="11.25" customHeight="1" x14ac:dyDescent="0.3">
      <c r="G4049" s="470"/>
      <c r="H4049" s="470">
        <v>4042</v>
      </c>
      <c r="I4049" s="455">
        <f t="shared" ca="1" si="178"/>
        <v>7949556246150.25</v>
      </c>
      <c r="J4049" s="455">
        <f t="array" ref="J4049">IFERROR(INDEX('Retirement Calculator'!J:J,MATCH('Isaac 401k'!N4049,'Retirement Calculator'!A:A,0),0),0)</f>
        <v>0</v>
      </c>
      <c r="K4049" s="455">
        <f t="shared" ca="1" si="176"/>
        <v>33123151025.626041</v>
      </c>
      <c r="L4049" s="455">
        <f t="shared" ca="1" si="177"/>
        <v>7982679397175.876</v>
      </c>
      <c r="M4049" s="471">
        <f t="shared" si="179"/>
        <v>0.05</v>
      </c>
      <c r="N4049" s="475">
        <f t="shared" si="180"/>
        <v>174282</v>
      </c>
    </row>
    <row r="4050" spans="7:14" ht="11.25" customHeight="1" x14ac:dyDescent="0.3">
      <c r="G4050" s="470"/>
      <c r="H4050" s="470">
        <v>4043</v>
      </c>
      <c r="I4050" s="455">
        <f t="shared" ca="1" si="178"/>
        <v>7982679397175.876</v>
      </c>
      <c r="J4050" s="455">
        <f t="array" ref="J4050">IFERROR(INDEX('Retirement Calculator'!J:J,MATCH('Isaac 401k'!N4050,'Retirement Calculator'!A:A,0),0),0)</f>
        <v>0</v>
      </c>
      <c r="K4050" s="455">
        <f t="shared" ca="1" si="176"/>
        <v>33261164154.899483</v>
      </c>
      <c r="L4050" s="455">
        <f t="shared" ca="1" si="177"/>
        <v>8015940561330.7754</v>
      </c>
      <c r="M4050" s="471">
        <f t="shared" si="179"/>
        <v>0.05</v>
      </c>
      <c r="N4050" s="475">
        <f t="shared" si="180"/>
        <v>174313</v>
      </c>
    </row>
    <row r="4051" spans="7:14" ht="11.25" customHeight="1" x14ac:dyDescent="0.3">
      <c r="G4051" s="470"/>
      <c r="H4051" s="470">
        <v>4044</v>
      </c>
      <c r="I4051" s="455">
        <f t="shared" ca="1" si="178"/>
        <v>8015940561330.7754</v>
      </c>
      <c r="J4051" s="455">
        <f t="array" ref="J4051">IFERROR(INDEX('Retirement Calculator'!J:J,MATCH('Isaac 401k'!N4051,'Retirement Calculator'!A:A,0),0),0)</f>
        <v>0</v>
      </c>
      <c r="K4051" s="455">
        <f t="shared" ca="1" si="176"/>
        <v>33399752338.878235</v>
      </c>
      <c r="L4051" s="455">
        <f t="shared" ca="1" si="177"/>
        <v>8049340313669.6533</v>
      </c>
      <c r="M4051" s="471">
        <f t="shared" si="179"/>
        <v>0.05</v>
      </c>
      <c r="N4051" s="475">
        <f t="shared" si="180"/>
        <v>174343</v>
      </c>
    </row>
    <row r="4052" spans="7:14" ht="11.25" customHeight="1" x14ac:dyDescent="0.3">
      <c r="G4052" s="470"/>
      <c r="H4052" s="470">
        <v>4045</v>
      </c>
      <c r="I4052" s="455">
        <f t="shared" ca="1" si="178"/>
        <v>8049340313669.6533</v>
      </c>
      <c r="J4052" s="455">
        <f t="array" ref="J4052">IFERROR(INDEX('Retirement Calculator'!J:J,MATCH('Isaac 401k'!N4052,'Retirement Calculator'!A:A,0),0),0)</f>
        <v>0</v>
      </c>
      <c r="K4052" s="455">
        <f t="shared" ca="1" si="176"/>
        <v>33538917973.62355</v>
      </c>
      <c r="L4052" s="455">
        <f t="shared" ca="1" si="177"/>
        <v>8082879231643.2773</v>
      </c>
      <c r="M4052" s="471">
        <f t="shared" si="179"/>
        <v>0.05</v>
      </c>
      <c r="N4052" s="475">
        <f t="shared" si="180"/>
        <v>174374</v>
      </c>
    </row>
    <row r="4053" spans="7:14" ht="11.25" customHeight="1" x14ac:dyDescent="0.3">
      <c r="G4053" s="470"/>
      <c r="H4053" s="470">
        <v>4046</v>
      </c>
      <c r="I4053" s="455">
        <f t="shared" ca="1" si="178"/>
        <v>8082879231643.2773</v>
      </c>
      <c r="J4053" s="455">
        <f t="array" ref="J4053">IFERROR(INDEX('Retirement Calculator'!J:J,MATCH('Isaac 401k'!N4053,'Retirement Calculator'!A:A,0),0),0)</f>
        <v>0</v>
      </c>
      <c r="K4053" s="455">
        <f t="shared" ca="1" si="176"/>
        <v>33678663465.180317</v>
      </c>
      <c r="L4053" s="455">
        <f t="shared" ca="1" si="177"/>
        <v>8116557895108.458</v>
      </c>
      <c r="M4053" s="471">
        <f t="shared" si="179"/>
        <v>0.05</v>
      </c>
      <c r="N4053" s="475">
        <f t="shared" si="180"/>
        <v>174404</v>
      </c>
    </row>
    <row r="4054" spans="7:14" ht="11.25" customHeight="1" x14ac:dyDescent="0.3">
      <c r="G4054" s="470"/>
      <c r="H4054" s="470">
        <v>4047</v>
      </c>
      <c r="I4054" s="455">
        <f t="shared" ca="1" si="178"/>
        <v>8116557895108.458</v>
      </c>
      <c r="J4054" s="455">
        <f t="array" ref="J4054">IFERROR(INDEX('Retirement Calculator'!J:J,MATCH('Isaac 401k'!N4054,'Retirement Calculator'!A:A,0),0),0)</f>
        <v>0</v>
      </c>
      <c r="K4054" s="455">
        <f t="shared" ca="1" si="176"/>
        <v>33818991229.61858</v>
      </c>
      <c r="L4054" s="455">
        <f t="shared" ca="1" si="177"/>
        <v>8150376886338.0762</v>
      </c>
      <c r="M4054" s="471">
        <f t="shared" si="179"/>
        <v>0.05</v>
      </c>
      <c r="N4054" s="475">
        <f t="shared" si="180"/>
        <v>174435</v>
      </c>
    </row>
    <row r="4055" spans="7:14" ht="11.25" customHeight="1" x14ac:dyDescent="0.3">
      <c r="G4055" s="470"/>
      <c r="H4055" s="470">
        <v>4048</v>
      </c>
      <c r="I4055" s="455">
        <f t="shared" ca="1" si="178"/>
        <v>8150376886338.0762</v>
      </c>
      <c r="J4055" s="455">
        <f t="array" ref="J4055">IFERROR(INDEX('Retirement Calculator'!J:J,MATCH('Isaac 401k'!N4055,'Retirement Calculator'!A:A,0),0),0)</f>
        <v>0</v>
      </c>
      <c r="K4055" s="455">
        <f t="shared" ca="1" si="176"/>
        <v>33959903693.075321</v>
      </c>
      <c r="L4055" s="455">
        <f t="shared" ca="1" si="177"/>
        <v>8184336790031.1514</v>
      </c>
      <c r="M4055" s="471">
        <f t="shared" si="179"/>
        <v>0.05</v>
      </c>
      <c r="N4055" s="475">
        <f t="shared" si="180"/>
        <v>174466</v>
      </c>
    </row>
    <row r="4056" spans="7:14" ht="11.25" customHeight="1" x14ac:dyDescent="0.3">
      <c r="G4056" s="470"/>
      <c r="H4056" s="470">
        <v>4049</v>
      </c>
      <c r="I4056" s="455">
        <f t="shared" ca="1" si="178"/>
        <v>8184336790031.1514</v>
      </c>
      <c r="J4056" s="455">
        <f t="array" ref="J4056">IFERROR(INDEX('Retirement Calculator'!J:J,MATCH('Isaac 401k'!N4056,'Retirement Calculator'!A:A,0),0),0)</f>
        <v>0</v>
      </c>
      <c r="K4056" s="455">
        <f t="shared" ca="1" si="176"/>
        <v>34101403291.796463</v>
      </c>
      <c r="L4056" s="455">
        <f t="shared" ca="1" si="177"/>
        <v>8218438193322.9482</v>
      </c>
      <c r="M4056" s="471">
        <f t="shared" si="179"/>
        <v>0.05</v>
      </c>
      <c r="N4056" s="475">
        <f t="shared" si="180"/>
        <v>174496</v>
      </c>
    </row>
    <row r="4057" spans="7:14" ht="11.25" customHeight="1" x14ac:dyDescent="0.3">
      <c r="G4057" s="470"/>
      <c r="H4057" s="470">
        <v>4050</v>
      </c>
      <c r="I4057" s="455">
        <f t="shared" ca="1" si="178"/>
        <v>8218438193322.9482</v>
      </c>
      <c r="J4057" s="455">
        <f t="array" ref="J4057">IFERROR(INDEX('Retirement Calculator'!J:J,MATCH('Isaac 401k'!N4057,'Retirement Calculator'!A:A,0),0),0)</f>
        <v>0</v>
      </c>
      <c r="K4057" s="455">
        <f t="shared" ca="1" si="176"/>
        <v>34243492472.178951</v>
      </c>
      <c r="L4057" s="455">
        <f t="shared" ca="1" si="177"/>
        <v>8252681685795.127</v>
      </c>
      <c r="M4057" s="471">
        <f t="shared" si="179"/>
        <v>0.05</v>
      </c>
      <c r="N4057" s="475">
        <f t="shared" si="180"/>
        <v>174527</v>
      </c>
    </row>
    <row r="4058" spans="7:14" ht="11.25" customHeight="1" x14ac:dyDescent="0.3">
      <c r="G4058" s="470"/>
      <c r="H4058" s="470">
        <v>4051</v>
      </c>
      <c r="I4058" s="455">
        <f t="shared" ca="1" si="178"/>
        <v>8252681685795.127</v>
      </c>
      <c r="J4058" s="455">
        <f t="array" ref="J4058">IFERROR(INDEX('Retirement Calculator'!J:J,MATCH('Isaac 401k'!N4058,'Retirement Calculator'!A:A,0),0),0)</f>
        <v>0</v>
      </c>
      <c r="K4058" s="455">
        <f t="shared" ca="1" si="176"/>
        <v>34386173690.813026</v>
      </c>
      <c r="L4058" s="455">
        <f t="shared" ca="1" si="177"/>
        <v>8287067859485.9404</v>
      </c>
      <c r="M4058" s="471">
        <f t="shared" si="179"/>
        <v>0.05</v>
      </c>
      <c r="N4058" s="475">
        <f t="shared" si="180"/>
        <v>174557</v>
      </c>
    </row>
    <row r="4059" spans="7:14" ht="11.25" customHeight="1" x14ac:dyDescent="0.3">
      <c r="G4059" s="470"/>
      <c r="H4059" s="470">
        <v>4052</v>
      </c>
      <c r="I4059" s="455">
        <f t="shared" ca="1" si="178"/>
        <v>8287067859485.9404</v>
      </c>
      <c r="J4059" s="455">
        <f t="array" ref="J4059">IFERROR(INDEX('Retirement Calculator'!J:J,MATCH('Isaac 401k'!N4059,'Retirement Calculator'!A:A,0),0),0)</f>
        <v>0</v>
      </c>
      <c r="K4059" s="455">
        <f t="shared" ca="1" si="176"/>
        <v>34529449414.524757</v>
      </c>
      <c r="L4059" s="455">
        <f t="shared" ca="1" si="177"/>
        <v>8321597308900.4648</v>
      </c>
      <c r="M4059" s="471">
        <f t="shared" si="179"/>
        <v>0.05</v>
      </c>
      <c r="N4059" s="475">
        <f t="shared" si="180"/>
        <v>174588</v>
      </c>
    </row>
    <row r="4060" spans="7:14" ht="11.25" customHeight="1" x14ac:dyDescent="0.3">
      <c r="G4060" s="470"/>
      <c r="H4060" s="470">
        <v>4053</v>
      </c>
      <c r="I4060" s="455">
        <f t="shared" ca="1" si="178"/>
        <v>8321597308900.4648</v>
      </c>
      <c r="J4060" s="455">
        <f t="array" ref="J4060">IFERROR(INDEX('Retirement Calculator'!J:J,MATCH('Isaac 401k'!N4060,'Retirement Calculator'!A:A,0),0),0)</f>
        <v>0</v>
      </c>
      <c r="K4060" s="455">
        <f t="shared" ca="1" si="176"/>
        <v>34673322120.418602</v>
      </c>
      <c r="L4060" s="455">
        <f t="shared" ca="1" si="177"/>
        <v>8356270631020.8838</v>
      </c>
      <c r="M4060" s="471">
        <f t="shared" si="179"/>
        <v>0.05</v>
      </c>
      <c r="N4060" s="475">
        <f t="shared" si="180"/>
        <v>174619</v>
      </c>
    </row>
    <row r="4061" spans="7:14" ht="11.25" customHeight="1" x14ac:dyDescent="0.3">
      <c r="G4061" s="470"/>
      <c r="H4061" s="470">
        <v>4054</v>
      </c>
      <c r="I4061" s="455">
        <f t="shared" ca="1" si="178"/>
        <v>8356270631020.8838</v>
      </c>
      <c r="J4061" s="455">
        <f t="array" ref="J4061">IFERROR(INDEX('Retirement Calculator'!J:J,MATCH('Isaac 401k'!N4061,'Retirement Calculator'!A:A,0),0),0)</f>
        <v>0</v>
      </c>
      <c r="K4061" s="455">
        <f t="shared" ca="1" si="176"/>
        <v>34817794295.920349</v>
      </c>
      <c r="L4061" s="455">
        <f t="shared" ca="1" si="177"/>
        <v>8391088425316.8037</v>
      </c>
      <c r="M4061" s="471">
        <f t="shared" si="179"/>
        <v>0.05</v>
      </c>
      <c r="N4061" s="475">
        <f t="shared" si="180"/>
        <v>174647</v>
      </c>
    </row>
    <row r="4062" spans="7:14" ht="11.25" customHeight="1" x14ac:dyDescent="0.3">
      <c r="G4062" s="470"/>
      <c r="H4062" s="470">
        <v>4055</v>
      </c>
      <c r="I4062" s="455">
        <f t="shared" ca="1" si="178"/>
        <v>8391088425316.8037</v>
      </c>
      <c r="J4062" s="455">
        <f t="array" ref="J4062">IFERROR(INDEX('Retirement Calculator'!J:J,MATCH('Isaac 401k'!N4062,'Retirement Calculator'!A:A,0),0),0)</f>
        <v>0</v>
      </c>
      <c r="K4062" s="455">
        <f t="shared" ca="1" si="176"/>
        <v>34962868438.820023</v>
      </c>
      <c r="L4062" s="455">
        <f t="shared" ca="1" si="177"/>
        <v>8426051293755.624</v>
      </c>
      <c r="M4062" s="471">
        <f t="shared" si="179"/>
        <v>0.05</v>
      </c>
      <c r="N4062" s="475">
        <f t="shared" si="180"/>
        <v>174678</v>
      </c>
    </row>
    <row r="4063" spans="7:14" ht="11.25" customHeight="1" x14ac:dyDescent="0.3">
      <c r="G4063" s="470"/>
      <c r="H4063" s="470">
        <v>4056</v>
      </c>
      <c r="I4063" s="455">
        <f t="shared" ca="1" si="178"/>
        <v>8426051293755.624</v>
      </c>
      <c r="J4063" s="455">
        <f t="array" ref="J4063">IFERROR(INDEX('Retirement Calculator'!J:J,MATCH('Isaac 401k'!N4063,'Retirement Calculator'!A:A,0),0),0)</f>
        <v>0</v>
      </c>
      <c r="K4063" s="455">
        <f t="shared" ca="1" si="176"/>
        <v>35108547057.315102</v>
      </c>
      <c r="L4063" s="455">
        <f t="shared" ca="1" si="177"/>
        <v>8461159840812.9395</v>
      </c>
      <c r="M4063" s="471">
        <f t="shared" si="179"/>
        <v>0.05</v>
      </c>
      <c r="N4063" s="475">
        <f t="shared" si="180"/>
        <v>174708</v>
      </c>
    </row>
    <row r="4064" spans="7:14" ht="11.25" customHeight="1" x14ac:dyDescent="0.3">
      <c r="G4064" s="470"/>
      <c r="H4064" s="470">
        <v>4057</v>
      </c>
      <c r="I4064" s="455">
        <f t="shared" ca="1" si="178"/>
        <v>8461159840812.9395</v>
      </c>
      <c r="J4064" s="455">
        <f t="array" ref="J4064">IFERROR(INDEX('Retirement Calculator'!J:J,MATCH('Isaac 401k'!N4064,'Retirement Calculator'!A:A,0),0),0)</f>
        <v>0</v>
      </c>
      <c r="K4064" s="455">
        <f t="shared" ca="1" si="176"/>
        <v>35254832670.053917</v>
      </c>
      <c r="L4064" s="455">
        <f t="shared" ca="1" si="177"/>
        <v>8496414673482.9932</v>
      </c>
      <c r="M4064" s="471">
        <f t="shared" si="179"/>
        <v>0.05</v>
      </c>
      <c r="N4064" s="475">
        <f t="shared" si="180"/>
        <v>174739</v>
      </c>
    </row>
    <row r="4065" spans="7:14" ht="11.25" customHeight="1" x14ac:dyDescent="0.3">
      <c r="G4065" s="470"/>
      <c r="H4065" s="470">
        <v>4058</v>
      </c>
      <c r="I4065" s="455">
        <f t="shared" ca="1" si="178"/>
        <v>8496414673482.9932</v>
      </c>
      <c r="J4065" s="455">
        <f t="array" ref="J4065">IFERROR(INDEX('Retirement Calculator'!J:J,MATCH('Isaac 401k'!N4065,'Retirement Calculator'!A:A,0),0),0)</f>
        <v>0</v>
      </c>
      <c r="K4065" s="455">
        <f t="shared" ca="1" si="176"/>
        <v>35401727806.179138</v>
      </c>
      <c r="L4065" s="455">
        <f t="shared" ca="1" si="177"/>
        <v>8531816401289.1719</v>
      </c>
      <c r="M4065" s="471">
        <f t="shared" si="179"/>
        <v>0.05</v>
      </c>
      <c r="N4065" s="475">
        <f t="shared" si="180"/>
        <v>174769</v>
      </c>
    </row>
    <row r="4066" spans="7:14" ht="11.25" customHeight="1" x14ac:dyDescent="0.3">
      <c r="G4066" s="470"/>
      <c r="H4066" s="470">
        <v>4059</v>
      </c>
      <c r="I4066" s="455">
        <f t="shared" ca="1" si="178"/>
        <v>8531816401289.1719</v>
      </c>
      <c r="J4066" s="455">
        <f t="array" ref="J4066">IFERROR(INDEX('Retirement Calculator'!J:J,MATCH('Isaac 401k'!N4066,'Retirement Calculator'!A:A,0),0),0)</f>
        <v>0</v>
      </c>
      <c r="K4066" s="455">
        <f t="shared" ca="1" si="176"/>
        <v>35549235005.371552</v>
      </c>
      <c r="L4066" s="455">
        <f t="shared" ca="1" si="177"/>
        <v>8567365636294.543</v>
      </c>
      <c r="M4066" s="471">
        <f t="shared" si="179"/>
        <v>0.05</v>
      </c>
      <c r="N4066" s="475">
        <f t="shared" si="180"/>
        <v>174800</v>
      </c>
    </row>
    <row r="4067" spans="7:14" ht="11.25" customHeight="1" x14ac:dyDescent="0.3">
      <c r="G4067" s="470"/>
      <c r="H4067" s="470">
        <v>4060</v>
      </c>
      <c r="I4067" s="455">
        <f t="shared" ca="1" si="178"/>
        <v>8567365636294.543</v>
      </c>
      <c r="J4067" s="455">
        <f t="array" ref="J4067">IFERROR(INDEX('Retirement Calculator'!J:J,MATCH('Isaac 401k'!N4067,'Retirement Calculator'!A:A,0),0),0)</f>
        <v>0</v>
      </c>
      <c r="K4067" s="455">
        <f t="shared" ca="1" si="176"/>
        <v>35697356817.893929</v>
      </c>
      <c r="L4067" s="455">
        <f t="shared" ca="1" si="177"/>
        <v>8603062993112.4365</v>
      </c>
      <c r="M4067" s="471">
        <f t="shared" si="179"/>
        <v>0.05</v>
      </c>
      <c r="N4067" s="475">
        <f t="shared" si="180"/>
        <v>174831</v>
      </c>
    </row>
    <row r="4068" spans="7:14" ht="11.25" customHeight="1" x14ac:dyDescent="0.3">
      <c r="G4068" s="470"/>
      <c r="H4068" s="470">
        <v>4061</v>
      </c>
      <c r="I4068" s="455">
        <f t="shared" ca="1" si="178"/>
        <v>8603062993112.4365</v>
      </c>
      <c r="J4068" s="455">
        <f t="array" ref="J4068">IFERROR(INDEX('Retirement Calculator'!J:J,MATCH('Isaac 401k'!N4068,'Retirement Calculator'!A:A,0),0),0)</f>
        <v>0</v>
      </c>
      <c r="K4068" s="455">
        <f t="shared" ca="1" si="176"/>
        <v>35846095804.635155</v>
      </c>
      <c r="L4068" s="455">
        <f t="shared" ca="1" si="177"/>
        <v>8638909088917.0713</v>
      </c>
      <c r="M4068" s="471">
        <f t="shared" si="179"/>
        <v>0.05</v>
      </c>
      <c r="N4068" s="475">
        <f t="shared" si="180"/>
        <v>174861</v>
      </c>
    </row>
    <row r="4069" spans="7:14" ht="11.25" customHeight="1" x14ac:dyDescent="0.3">
      <c r="G4069" s="470"/>
      <c r="H4069" s="470">
        <v>4062</v>
      </c>
      <c r="I4069" s="455">
        <f t="shared" ca="1" si="178"/>
        <v>8638909088917.0713</v>
      </c>
      <c r="J4069" s="455">
        <f t="array" ref="J4069">IFERROR(INDEX('Retirement Calculator'!J:J,MATCH('Isaac 401k'!N4069,'Retirement Calculator'!A:A,0),0),0)</f>
        <v>0</v>
      </c>
      <c r="K4069" s="455">
        <f t="shared" ca="1" si="176"/>
        <v>35995454537.154465</v>
      </c>
      <c r="L4069" s="455">
        <f t="shared" ca="1" si="177"/>
        <v>8674904543454.2256</v>
      </c>
      <c r="M4069" s="471">
        <f t="shared" si="179"/>
        <v>0.05</v>
      </c>
      <c r="N4069" s="475">
        <f t="shared" si="180"/>
        <v>174892</v>
      </c>
    </row>
    <row r="4070" spans="7:14" ht="11.25" customHeight="1" x14ac:dyDescent="0.3">
      <c r="G4070" s="470"/>
      <c r="H4070" s="470">
        <v>4063</v>
      </c>
      <c r="I4070" s="455">
        <f t="shared" ca="1" si="178"/>
        <v>8674904543454.2256</v>
      </c>
      <c r="J4070" s="455">
        <f t="array" ref="J4070">IFERROR(INDEX('Retirement Calculator'!J:J,MATCH('Isaac 401k'!N4070,'Retirement Calculator'!A:A,0),0),0)</f>
        <v>0</v>
      </c>
      <c r="K4070" s="455">
        <f t="shared" ca="1" si="176"/>
        <v>36145435597.725945</v>
      </c>
      <c r="L4070" s="455">
        <f t="shared" ca="1" si="177"/>
        <v>8711049979051.9512</v>
      </c>
      <c r="M4070" s="471">
        <f t="shared" si="179"/>
        <v>0.05</v>
      </c>
      <c r="N4070" s="475">
        <f t="shared" si="180"/>
        <v>174922</v>
      </c>
    </row>
    <row r="4071" spans="7:14" ht="11.25" customHeight="1" x14ac:dyDescent="0.3">
      <c r="G4071" s="470"/>
      <c r="H4071" s="470">
        <v>4064</v>
      </c>
      <c r="I4071" s="455">
        <f t="shared" ca="1" si="178"/>
        <v>8711049979051.9512</v>
      </c>
      <c r="J4071" s="455">
        <f t="array" ref="J4071">IFERROR(INDEX('Retirement Calculator'!J:J,MATCH('Isaac 401k'!N4071,'Retirement Calculator'!A:A,0),0),0)</f>
        <v>0</v>
      </c>
      <c r="K4071" s="455">
        <f t="shared" ca="1" si="176"/>
        <v>36296041579.383133</v>
      </c>
      <c r="L4071" s="455">
        <f t="shared" ca="1" si="177"/>
        <v>8747346020631.334</v>
      </c>
      <c r="M4071" s="471">
        <f t="shared" si="179"/>
        <v>0.05</v>
      </c>
      <c r="N4071" s="475">
        <f t="shared" si="180"/>
        <v>174953</v>
      </c>
    </row>
    <row r="4072" spans="7:14" ht="11.25" customHeight="1" x14ac:dyDescent="0.3">
      <c r="G4072" s="470"/>
      <c r="H4072" s="470">
        <v>4065</v>
      </c>
      <c r="I4072" s="455">
        <f t="shared" ca="1" si="178"/>
        <v>8747346020631.334</v>
      </c>
      <c r="J4072" s="455">
        <f t="array" ref="J4072">IFERROR(INDEX('Retirement Calculator'!J:J,MATCH('Isaac 401k'!N4072,'Retirement Calculator'!A:A,0),0),0)</f>
        <v>0</v>
      </c>
      <c r="K4072" s="455">
        <f t="shared" ca="1" si="176"/>
        <v>36447275085.96389</v>
      </c>
      <c r="L4072" s="455">
        <f t="shared" ca="1" si="177"/>
        <v>8783793295717.2979</v>
      </c>
      <c r="M4072" s="471">
        <f t="shared" si="179"/>
        <v>0.05</v>
      </c>
      <c r="N4072" s="475">
        <f t="shared" si="180"/>
        <v>174984</v>
      </c>
    </row>
    <row r="4073" spans="7:14" ht="11.25" customHeight="1" x14ac:dyDescent="0.3">
      <c r="G4073" s="470"/>
      <c r="H4073" s="470">
        <v>4066</v>
      </c>
      <c r="I4073" s="455">
        <f t="shared" ca="1" si="178"/>
        <v>8783793295717.2979</v>
      </c>
      <c r="J4073" s="455">
        <f t="array" ref="J4073">IFERROR(INDEX('Retirement Calculator'!J:J,MATCH('Isaac 401k'!N4073,'Retirement Calculator'!A:A,0),0),0)</f>
        <v>0</v>
      </c>
      <c r="K4073" s="455">
        <f t="shared" ca="1" si="176"/>
        <v>36599138732.155411</v>
      </c>
      <c r="L4073" s="455">
        <f t="shared" ca="1" si="177"/>
        <v>8820392434449.4531</v>
      </c>
      <c r="M4073" s="471">
        <f t="shared" si="179"/>
        <v>0.05</v>
      </c>
      <c r="N4073" s="475">
        <f t="shared" si="180"/>
        <v>175012</v>
      </c>
    </row>
    <row r="4074" spans="7:14" ht="11.25" customHeight="1" x14ac:dyDescent="0.3">
      <c r="G4074" s="470"/>
      <c r="H4074" s="470">
        <v>4067</v>
      </c>
      <c r="I4074" s="455">
        <f t="shared" ca="1" si="178"/>
        <v>8820392434449.4531</v>
      </c>
      <c r="J4074" s="455">
        <f t="array" ref="J4074">IFERROR(INDEX('Retirement Calculator'!J:J,MATCH('Isaac 401k'!N4074,'Retirement Calculator'!A:A,0),0),0)</f>
        <v>0</v>
      </c>
      <c r="K4074" s="455">
        <f t="shared" ca="1" si="176"/>
        <v>36751635143.539391</v>
      </c>
      <c r="L4074" s="455">
        <f t="shared" ca="1" si="177"/>
        <v>8857144069592.9922</v>
      </c>
      <c r="M4074" s="471">
        <f t="shared" si="179"/>
        <v>0.05</v>
      </c>
      <c r="N4074" s="475">
        <f t="shared" si="180"/>
        <v>175043</v>
      </c>
    </row>
    <row r="4075" spans="7:14" ht="11.25" customHeight="1" x14ac:dyDescent="0.3">
      <c r="G4075" s="470"/>
      <c r="H4075" s="470">
        <v>4068</v>
      </c>
      <c r="I4075" s="455">
        <f t="shared" ca="1" si="178"/>
        <v>8857144069592.9922</v>
      </c>
      <c r="J4075" s="455">
        <f t="array" ref="J4075">IFERROR(INDEX('Retirement Calculator'!J:J,MATCH('Isaac 401k'!N4075,'Retirement Calculator'!A:A,0),0),0)</f>
        <v>0</v>
      </c>
      <c r="K4075" s="455">
        <f t="shared" ca="1" si="176"/>
        <v>36904766956.637466</v>
      </c>
      <c r="L4075" s="455">
        <f t="shared" ca="1" si="177"/>
        <v>8894048836549.6289</v>
      </c>
      <c r="M4075" s="471">
        <f t="shared" si="179"/>
        <v>0.05</v>
      </c>
      <c r="N4075" s="475">
        <f t="shared" si="180"/>
        <v>175073</v>
      </c>
    </row>
    <row r="4076" spans="7:14" ht="11.25" customHeight="1" x14ac:dyDescent="0.3">
      <c r="G4076" s="470"/>
      <c r="H4076" s="470">
        <v>4069</v>
      </c>
      <c r="I4076" s="455">
        <f t="shared" ca="1" si="178"/>
        <v>8894048836549.6289</v>
      </c>
      <c r="J4076" s="455">
        <f t="array" ref="J4076">IFERROR(INDEX('Retirement Calculator'!J:J,MATCH('Isaac 401k'!N4076,'Retirement Calculator'!A:A,0),0),0)</f>
        <v>0</v>
      </c>
      <c r="K4076" s="455">
        <f t="shared" ca="1" si="176"/>
        <v>37058536818.956787</v>
      </c>
      <c r="L4076" s="455">
        <f t="shared" ca="1" si="177"/>
        <v>8931107373368.5859</v>
      </c>
      <c r="M4076" s="471">
        <f t="shared" si="179"/>
        <v>0.05</v>
      </c>
      <c r="N4076" s="475">
        <f t="shared" si="180"/>
        <v>175104</v>
      </c>
    </row>
    <row r="4077" spans="7:14" ht="11.25" customHeight="1" x14ac:dyDescent="0.3">
      <c r="G4077" s="470"/>
      <c r="H4077" s="470">
        <v>4070</v>
      </c>
      <c r="I4077" s="455">
        <f t="shared" ca="1" si="178"/>
        <v>8931107373368.5859</v>
      </c>
      <c r="J4077" s="455">
        <f t="array" ref="J4077">IFERROR(INDEX('Retirement Calculator'!J:J,MATCH('Isaac 401k'!N4077,'Retirement Calculator'!A:A,0),0),0)</f>
        <v>0</v>
      </c>
      <c r="K4077" s="455">
        <f t="shared" ca="1" si="176"/>
        <v>37212947389.035774</v>
      </c>
      <c r="L4077" s="455">
        <f t="shared" ca="1" si="177"/>
        <v>8968320320757.6211</v>
      </c>
      <c r="M4077" s="471">
        <f t="shared" si="179"/>
        <v>0.05</v>
      </c>
      <c r="N4077" s="475">
        <f t="shared" si="180"/>
        <v>175134</v>
      </c>
    </row>
    <row r="4078" spans="7:14" ht="11.25" customHeight="1" x14ac:dyDescent="0.3">
      <c r="G4078" s="470"/>
      <c r="H4078" s="470">
        <v>4071</v>
      </c>
      <c r="I4078" s="455">
        <f t="shared" ca="1" si="178"/>
        <v>8968320320757.6211</v>
      </c>
      <c r="J4078" s="455">
        <f t="array" ref="J4078">IFERROR(INDEX('Retirement Calculator'!J:J,MATCH('Isaac 401k'!N4078,'Retirement Calculator'!A:A,0),0),0)</f>
        <v>0</v>
      </c>
      <c r="K4078" s="455">
        <f t="shared" ca="1" si="176"/>
        <v>37368001336.490089</v>
      </c>
      <c r="L4078" s="455">
        <f t="shared" ca="1" si="177"/>
        <v>9005688322094.1113</v>
      </c>
      <c r="M4078" s="471">
        <f t="shared" si="179"/>
        <v>0.05</v>
      </c>
      <c r="N4078" s="475">
        <f t="shared" si="180"/>
        <v>175165</v>
      </c>
    </row>
    <row r="4079" spans="7:14" ht="11.25" customHeight="1" x14ac:dyDescent="0.3">
      <c r="G4079" s="470"/>
      <c r="H4079" s="470">
        <v>4072</v>
      </c>
      <c r="I4079" s="455">
        <f t="shared" ca="1" si="178"/>
        <v>9005688322094.1113</v>
      </c>
      <c r="J4079" s="455">
        <f t="array" ref="J4079">IFERROR(INDEX('Retirement Calculator'!J:J,MATCH('Isaac 401k'!N4079,'Retirement Calculator'!A:A,0),0),0)</f>
        <v>0</v>
      </c>
      <c r="K4079" s="455">
        <f t="shared" ca="1" si="176"/>
        <v>37523701342.0588</v>
      </c>
      <c r="L4079" s="455">
        <f t="shared" ca="1" si="177"/>
        <v>9043212023436.1699</v>
      </c>
      <c r="M4079" s="471">
        <f t="shared" si="179"/>
        <v>0.05</v>
      </c>
      <c r="N4079" s="475">
        <f t="shared" si="180"/>
        <v>175196</v>
      </c>
    </row>
    <row r="4080" spans="7:14" ht="11.25" customHeight="1" x14ac:dyDescent="0.3">
      <c r="G4080" s="470"/>
      <c r="H4080" s="470">
        <v>4073</v>
      </c>
      <c r="I4080" s="455">
        <f t="shared" ca="1" si="178"/>
        <v>9043212023436.1699</v>
      </c>
      <c r="J4080" s="455">
        <f t="array" ref="J4080">IFERROR(INDEX('Retirement Calculator'!J:J,MATCH('Isaac 401k'!N4080,'Retirement Calculator'!A:A,0),0),0)</f>
        <v>0</v>
      </c>
      <c r="K4080" s="455">
        <f t="shared" ca="1" si="176"/>
        <v>37680050097.650711</v>
      </c>
      <c r="L4080" s="455">
        <f t="shared" ca="1" si="177"/>
        <v>9080892073533.8203</v>
      </c>
      <c r="M4080" s="471">
        <f t="shared" si="179"/>
        <v>0.05</v>
      </c>
      <c r="N4080" s="475">
        <f t="shared" si="180"/>
        <v>175226</v>
      </c>
    </row>
    <row r="4081" spans="7:14" ht="11.25" customHeight="1" x14ac:dyDescent="0.3">
      <c r="G4081" s="470"/>
      <c r="H4081" s="470">
        <v>4074</v>
      </c>
      <c r="I4081" s="455">
        <f t="shared" ca="1" si="178"/>
        <v>9080892073533.8203</v>
      </c>
      <c r="J4081" s="455">
        <f t="array" ref="J4081">IFERROR(INDEX('Retirement Calculator'!J:J,MATCH('Isaac 401k'!N4081,'Retirement Calculator'!A:A,0),0),0)</f>
        <v>0</v>
      </c>
      <c r="K4081" s="455">
        <f t="shared" ca="1" si="176"/>
        <v>37837050306.390915</v>
      </c>
      <c r="L4081" s="455">
        <f t="shared" ca="1" si="177"/>
        <v>9118729123840.2109</v>
      </c>
      <c r="M4081" s="471">
        <f t="shared" si="179"/>
        <v>0.05</v>
      </c>
      <c r="N4081" s="475">
        <f t="shared" si="180"/>
        <v>175257</v>
      </c>
    </row>
    <row r="4082" spans="7:14" ht="11.25" customHeight="1" x14ac:dyDescent="0.3">
      <c r="G4082" s="470"/>
      <c r="H4082" s="470">
        <v>4075</v>
      </c>
      <c r="I4082" s="455">
        <f t="shared" ca="1" si="178"/>
        <v>9118729123840.2109</v>
      </c>
      <c r="J4082" s="455">
        <f t="array" ref="J4082">IFERROR(INDEX('Retirement Calculator'!J:J,MATCH('Isaac 401k'!N4082,'Retirement Calculator'!A:A,0),0),0)</f>
        <v>0</v>
      </c>
      <c r="K4082" s="455">
        <f t="shared" ca="1" si="176"/>
        <v>37994704682.667542</v>
      </c>
      <c r="L4082" s="455">
        <f t="shared" ca="1" si="177"/>
        <v>9156723828522.8789</v>
      </c>
      <c r="M4082" s="471">
        <f t="shared" si="179"/>
        <v>0.05</v>
      </c>
      <c r="N4082" s="475">
        <f t="shared" si="180"/>
        <v>175287</v>
      </c>
    </row>
    <row r="4083" spans="7:14" ht="11.25" customHeight="1" x14ac:dyDescent="0.3">
      <c r="G4083" s="470"/>
      <c r="H4083" s="470">
        <v>4076</v>
      </c>
      <c r="I4083" s="455">
        <f t="shared" ca="1" si="178"/>
        <v>9156723828522.8789</v>
      </c>
      <c r="J4083" s="455">
        <f t="array" ref="J4083">IFERROR(INDEX('Retirement Calculator'!J:J,MATCH('Isaac 401k'!N4083,'Retirement Calculator'!A:A,0),0),0)</f>
        <v>0</v>
      </c>
      <c r="K4083" s="455">
        <f t="shared" ca="1" si="176"/>
        <v>38153015952.178665</v>
      </c>
      <c r="L4083" s="455">
        <f t="shared" ca="1" si="177"/>
        <v>9194876844475.0566</v>
      </c>
      <c r="M4083" s="471">
        <f t="shared" si="179"/>
        <v>0.05</v>
      </c>
      <c r="N4083" s="475">
        <f t="shared" si="180"/>
        <v>175318</v>
      </c>
    </row>
    <row r="4084" spans="7:14" ht="11.25" customHeight="1" x14ac:dyDescent="0.3">
      <c r="G4084" s="470"/>
      <c r="H4084" s="470">
        <v>4077</v>
      </c>
      <c r="I4084" s="455">
        <f t="shared" ca="1" si="178"/>
        <v>9194876844475.0566</v>
      </c>
      <c r="J4084" s="455">
        <f t="array" ref="J4084">IFERROR(INDEX('Retirement Calculator'!J:J,MATCH('Isaac 401k'!N4084,'Retirement Calculator'!A:A,0),0),0)</f>
        <v>0</v>
      </c>
      <c r="K4084" s="455">
        <f t="shared" ca="1" si="176"/>
        <v>38311986851.979401</v>
      </c>
      <c r="L4084" s="455">
        <f t="shared" ca="1" si="177"/>
        <v>9233188831327.0352</v>
      </c>
      <c r="M4084" s="471">
        <f t="shared" si="179"/>
        <v>0.05</v>
      </c>
      <c r="N4084" s="475">
        <f t="shared" si="180"/>
        <v>175349</v>
      </c>
    </row>
    <row r="4085" spans="7:14" ht="11.25" customHeight="1" x14ac:dyDescent="0.3">
      <c r="G4085" s="470"/>
      <c r="H4085" s="470">
        <v>4078</v>
      </c>
      <c r="I4085" s="455">
        <f t="shared" ca="1" si="178"/>
        <v>9233188831327.0352</v>
      </c>
      <c r="J4085" s="455">
        <f t="array" ref="J4085">IFERROR(INDEX('Retirement Calculator'!J:J,MATCH('Isaac 401k'!N4085,'Retirement Calculator'!A:A,0),0),0)</f>
        <v>0</v>
      </c>
      <c r="K4085" s="455">
        <f t="shared" ca="1" si="176"/>
        <v>38471620130.529312</v>
      </c>
      <c r="L4085" s="455">
        <f t="shared" ca="1" si="177"/>
        <v>9271660451457.5645</v>
      </c>
      <c r="M4085" s="471">
        <f t="shared" si="179"/>
        <v>0.05</v>
      </c>
      <c r="N4085" s="475">
        <f t="shared" si="180"/>
        <v>175378</v>
      </c>
    </row>
    <row r="4086" spans="7:14" ht="11.25" customHeight="1" x14ac:dyDescent="0.3">
      <c r="G4086" s="470"/>
      <c r="H4086" s="470">
        <v>4079</v>
      </c>
      <c r="I4086" s="455">
        <f t="shared" ca="1" si="178"/>
        <v>9271660451457.5645</v>
      </c>
      <c r="J4086" s="455">
        <f t="array" ref="J4086">IFERROR(INDEX('Retirement Calculator'!J:J,MATCH('Isaac 401k'!N4086,'Retirement Calculator'!A:A,0),0),0)</f>
        <v>0</v>
      </c>
      <c r="K4086" s="455">
        <f t="shared" ca="1" si="176"/>
        <v>38631918547.739853</v>
      </c>
      <c r="L4086" s="455">
        <f t="shared" ca="1" si="177"/>
        <v>9310292370005.3047</v>
      </c>
      <c r="M4086" s="471">
        <f t="shared" si="179"/>
        <v>0.05</v>
      </c>
      <c r="N4086" s="475">
        <f t="shared" si="180"/>
        <v>175409</v>
      </c>
    </row>
    <row r="4087" spans="7:14" ht="11.25" customHeight="1" x14ac:dyDescent="0.3">
      <c r="G4087" s="470"/>
      <c r="H4087" s="470">
        <v>4080</v>
      </c>
      <c r="I4087" s="455">
        <f t="shared" ca="1" si="178"/>
        <v>9310292370005.3047</v>
      </c>
      <c r="J4087" s="455">
        <f t="array" ref="J4087">IFERROR(INDEX('Retirement Calculator'!J:J,MATCH('Isaac 401k'!N4087,'Retirement Calculator'!A:A,0),0),0)</f>
        <v>0</v>
      </c>
      <c r="K4087" s="455">
        <f t="shared" ca="1" si="176"/>
        <v>38792884875.022102</v>
      </c>
      <c r="L4087" s="455">
        <f t="shared" ca="1" si="177"/>
        <v>9349085254880.3262</v>
      </c>
      <c r="M4087" s="471">
        <f t="shared" si="179"/>
        <v>0.05</v>
      </c>
      <c r="N4087" s="475">
        <f t="shared" si="180"/>
        <v>175439</v>
      </c>
    </row>
    <row r="4088" spans="7:14" ht="11.25" customHeight="1" x14ac:dyDescent="0.3">
      <c r="G4088" s="470"/>
      <c r="H4088" s="470">
        <v>4081</v>
      </c>
      <c r="I4088" s="455">
        <f t="shared" ca="1" si="178"/>
        <v>9349085254880.3262</v>
      </c>
      <c r="J4088" s="455">
        <f t="array" ref="J4088">IFERROR(INDEX('Retirement Calculator'!J:J,MATCH('Isaac 401k'!N4088,'Retirement Calculator'!A:A,0),0),0)</f>
        <v>0</v>
      </c>
      <c r="K4088" s="455">
        <f t="shared" ref="K4088:K4342" ca="1" si="181">IPMT(M4088/12,1,12,-I4088+J4088,,0)</f>
        <v>38954521895.334694</v>
      </c>
      <c r="L4088" s="455">
        <f t="shared" ref="L4088:L4342" ca="1" si="182">I4088-J4088+K4088</f>
        <v>9388039776775.6602</v>
      </c>
      <c r="M4088" s="471">
        <f t="shared" si="179"/>
        <v>0.05</v>
      </c>
      <c r="N4088" s="475">
        <f t="shared" si="180"/>
        <v>175470</v>
      </c>
    </row>
    <row r="4089" spans="7:14" ht="11.25" customHeight="1" x14ac:dyDescent="0.3">
      <c r="G4089" s="470"/>
      <c r="H4089" s="470">
        <v>4082</v>
      </c>
      <c r="I4089" s="455">
        <f t="shared" ref="I4089:I4343" ca="1" si="183">L4088</f>
        <v>9388039776775.6602</v>
      </c>
      <c r="J4089" s="455">
        <f t="array" ref="J4089">IFERROR(INDEX('Retirement Calculator'!J:J,MATCH('Isaac 401k'!N4089,'Retirement Calculator'!A:A,0),0),0)</f>
        <v>0</v>
      </c>
      <c r="K4089" s="455">
        <f t="shared" ca="1" si="181"/>
        <v>39116832403.231918</v>
      </c>
      <c r="L4089" s="455">
        <f t="shared" ca="1" si="182"/>
        <v>9427156609178.8926</v>
      </c>
      <c r="M4089" s="471">
        <f t="shared" ref="M4089:M4343" si="184">M4088</f>
        <v>0.05</v>
      </c>
      <c r="N4089" s="475">
        <f t="shared" ref="N4089:N4343" si="185">EDATE(N4088,1)</f>
        <v>175500</v>
      </c>
    </row>
    <row r="4090" spans="7:14" ht="11.25" customHeight="1" x14ac:dyDescent="0.3">
      <c r="G4090" s="470"/>
      <c r="H4090" s="470">
        <v>4083</v>
      </c>
      <c r="I4090" s="455">
        <f t="shared" ca="1" si="183"/>
        <v>9427156609178.8926</v>
      </c>
      <c r="J4090" s="455">
        <f t="array" ref="J4090">IFERROR(INDEX('Retirement Calculator'!J:J,MATCH('Isaac 401k'!N4090,'Retirement Calculator'!A:A,0),0),0)</f>
        <v>0</v>
      </c>
      <c r="K4090" s="455">
        <f t="shared" ca="1" si="181"/>
        <v>39279819204.912048</v>
      </c>
      <c r="L4090" s="455">
        <f t="shared" ca="1" si="182"/>
        <v>9466436428383.8047</v>
      </c>
      <c r="M4090" s="471">
        <f t="shared" si="184"/>
        <v>0.05</v>
      </c>
      <c r="N4090" s="475">
        <f t="shared" si="185"/>
        <v>175531</v>
      </c>
    </row>
    <row r="4091" spans="7:14" ht="11.25" customHeight="1" x14ac:dyDescent="0.3">
      <c r="G4091" s="470"/>
      <c r="H4091" s="470">
        <v>4084</v>
      </c>
      <c r="I4091" s="455">
        <f t="shared" ca="1" si="183"/>
        <v>9466436428383.8047</v>
      </c>
      <c r="J4091" s="455">
        <f t="array" ref="J4091">IFERROR(INDEX('Retirement Calculator'!J:J,MATCH('Isaac 401k'!N4091,'Retirement Calculator'!A:A,0),0),0)</f>
        <v>0</v>
      </c>
      <c r="K4091" s="455">
        <f t="shared" ca="1" si="181"/>
        <v>39443485118.265854</v>
      </c>
      <c r="L4091" s="455">
        <f t="shared" ca="1" si="182"/>
        <v>9505879913502.0703</v>
      </c>
      <c r="M4091" s="471">
        <f t="shared" si="184"/>
        <v>0.05</v>
      </c>
      <c r="N4091" s="475">
        <f t="shared" si="185"/>
        <v>175562</v>
      </c>
    </row>
    <row r="4092" spans="7:14" ht="11.25" customHeight="1" x14ac:dyDescent="0.3">
      <c r="G4092" s="470"/>
      <c r="H4092" s="470">
        <v>4085</v>
      </c>
      <c r="I4092" s="455">
        <f t="shared" ca="1" si="183"/>
        <v>9505879913502.0703</v>
      </c>
      <c r="J4092" s="455">
        <f t="array" ref="J4092">IFERROR(INDEX('Retirement Calculator'!J:J,MATCH('Isaac 401k'!N4092,'Retirement Calculator'!A:A,0),0),0)</f>
        <v>0</v>
      </c>
      <c r="K4092" s="455">
        <f t="shared" ca="1" si="181"/>
        <v>39607832972.925293</v>
      </c>
      <c r="L4092" s="455">
        <f t="shared" ca="1" si="182"/>
        <v>9545487746474.9961</v>
      </c>
      <c r="M4092" s="471">
        <f t="shared" si="184"/>
        <v>0.05</v>
      </c>
      <c r="N4092" s="475">
        <f t="shared" si="185"/>
        <v>175592</v>
      </c>
    </row>
    <row r="4093" spans="7:14" ht="11.25" customHeight="1" x14ac:dyDescent="0.3">
      <c r="G4093" s="470"/>
      <c r="H4093" s="470">
        <v>4086</v>
      </c>
      <c r="I4093" s="455">
        <f t="shared" ca="1" si="183"/>
        <v>9545487746474.9961</v>
      </c>
      <c r="J4093" s="455">
        <f t="array" ref="J4093">IFERROR(INDEX('Retirement Calculator'!J:J,MATCH('Isaac 401k'!N4093,'Retirement Calculator'!A:A,0),0),0)</f>
        <v>0</v>
      </c>
      <c r="K4093" s="455">
        <f t="shared" ca="1" si="181"/>
        <v>39772865610.312485</v>
      </c>
      <c r="L4093" s="455">
        <f t="shared" ca="1" si="182"/>
        <v>9585260612085.3086</v>
      </c>
      <c r="M4093" s="471">
        <f t="shared" si="184"/>
        <v>0.05</v>
      </c>
      <c r="N4093" s="475">
        <f t="shared" si="185"/>
        <v>175623</v>
      </c>
    </row>
    <row r="4094" spans="7:14" ht="11.25" customHeight="1" x14ac:dyDescent="0.3">
      <c r="G4094" s="470"/>
      <c r="H4094" s="470">
        <v>4087</v>
      </c>
      <c r="I4094" s="455">
        <f t="shared" ca="1" si="183"/>
        <v>9585260612085.3086</v>
      </c>
      <c r="J4094" s="455">
        <f t="array" ref="J4094">IFERROR(INDEX('Retirement Calculator'!J:J,MATCH('Isaac 401k'!N4094,'Retirement Calculator'!A:A,0),0),0)</f>
        <v>0</v>
      </c>
      <c r="K4094" s="455">
        <f t="shared" ca="1" si="181"/>
        <v>39938585883.688782</v>
      </c>
      <c r="L4094" s="455">
        <f t="shared" ca="1" si="182"/>
        <v>9625199197968.998</v>
      </c>
      <c r="M4094" s="471">
        <f t="shared" si="184"/>
        <v>0.05</v>
      </c>
      <c r="N4094" s="475">
        <f t="shared" si="185"/>
        <v>175653</v>
      </c>
    </row>
    <row r="4095" spans="7:14" ht="11.25" customHeight="1" x14ac:dyDescent="0.3">
      <c r="G4095" s="470"/>
      <c r="H4095" s="470">
        <v>4088</v>
      </c>
      <c r="I4095" s="455">
        <f t="shared" ca="1" si="183"/>
        <v>9625199197968.998</v>
      </c>
      <c r="J4095" s="455">
        <f t="array" ref="J4095">IFERROR(INDEX('Retirement Calculator'!J:J,MATCH('Isaac 401k'!N4095,'Retirement Calculator'!A:A,0),0),0)</f>
        <v>0</v>
      </c>
      <c r="K4095" s="455">
        <f t="shared" ca="1" si="181"/>
        <v>40104996658.204155</v>
      </c>
      <c r="L4095" s="455">
        <f t="shared" ca="1" si="182"/>
        <v>9665304194627.2031</v>
      </c>
      <c r="M4095" s="471">
        <f t="shared" si="184"/>
        <v>0.05</v>
      </c>
      <c r="N4095" s="475">
        <f t="shared" si="185"/>
        <v>175684</v>
      </c>
    </row>
    <row r="4096" spans="7:14" ht="11.25" customHeight="1" x14ac:dyDescent="0.3">
      <c r="G4096" s="470"/>
      <c r="H4096" s="470">
        <v>4089</v>
      </c>
      <c r="I4096" s="455">
        <f t="shared" ca="1" si="183"/>
        <v>9665304194627.2031</v>
      </c>
      <c r="J4096" s="455">
        <f t="array" ref="J4096">IFERROR(INDEX('Retirement Calculator'!J:J,MATCH('Isaac 401k'!N4096,'Retirement Calculator'!A:A,0),0),0)</f>
        <v>0</v>
      </c>
      <c r="K4096" s="455">
        <f t="shared" ca="1" si="181"/>
        <v>40272100810.946678</v>
      </c>
      <c r="L4096" s="455">
        <f t="shared" ca="1" si="182"/>
        <v>9705576295438.1504</v>
      </c>
      <c r="M4096" s="471">
        <f t="shared" si="184"/>
        <v>0.05</v>
      </c>
      <c r="N4096" s="475">
        <f t="shared" si="185"/>
        <v>175715</v>
      </c>
    </row>
    <row r="4097" spans="7:14" ht="11.25" customHeight="1" x14ac:dyDescent="0.3">
      <c r="G4097" s="470"/>
      <c r="H4097" s="470">
        <v>4090</v>
      </c>
      <c r="I4097" s="455">
        <f t="shared" ca="1" si="183"/>
        <v>9705576295438.1504</v>
      </c>
      <c r="J4097" s="455">
        <f t="array" ref="J4097">IFERROR(INDEX('Retirement Calculator'!J:J,MATCH('Isaac 401k'!N4097,'Retirement Calculator'!A:A,0),0),0)</f>
        <v>0</v>
      </c>
      <c r="K4097" s="455">
        <f t="shared" ca="1" si="181"/>
        <v>40439901230.992294</v>
      </c>
      <c r="L4097" s="455">
        <f t="shared" ca="1" si="182"/>
        <v>9746016196669.1426</v>
      </c>
      <c r="M4097" s="471">
        <f t="shared" si="184"/>
        <v>0.05</v>
      </c>
      <c r="N4097" s="475">
        <f t="shared" si="185"/>
        <v>175743</v>
      </c>
    </row>
    <row r="4098" spans="7:14" ht="11.25" customHeight="1" x14ac:dyDescent="0.3">
      <c r="G4098" s="470"/>
      <c r="H4098" s="470">
        <v>4091</v>
      </c>
      <c r="I4098" s="455">
        <f t="shared" ca="1" si="183"/>
        <v>9746016196669.1426</v>
      </c>
      <c r="J4098" s="455">
        <f t="array" ref="J4098">IFERROR(INDEX('Retirement Calculator'!J:J,MATCH('Isaac 401k'!N4098,'Retirement Calculator'!A:A,0),0),0)</f>
        <v>0</v>
      </c>
      <c r="K4098" s="455">
        <f t="shared" ca="1" si="181"/>
        <v>40608400819.454758</v>
      </c>
      <c r="L4098" s="455">
        <f t="shared" ca="1" si="182"/>
        <v>9786624597488.5977</v>
      </c>
      <c r="M4098" s="471">
        <f t="shared" si="184"/>
        <v>0.05</v>
      </c>
      <c r="N4098" s="475">
        <f t="shared" si="185"/>
        <v>175774</v>
      </c>
    </row>
    <row r="4099" spans="7:14" ht="11.25" customHeight="1" x14ac:dyDescent="0.3">
      <c r="G4099" s="470"/>
      <c r="H4099" s="470">
        <v>4092</v>
      </c>
      <c r="I4099" s="455">
        <f t="shared" ca="1" si="183"/>
        <v>9786624597488.5977</v>
      </c>
      <c r="J4099" s="455">
        <f t="array" ref="J4099">IFERROR(INDEX('Retirement Calculator'!J:J,MATCH('Isaac 401k'!N4099,'Retirement Calculator'!A:A,0),0),0)</f>
        <v>0</v>
      </c>
      <c r="K4099" s="455">
        <f t="shared" ca="1" si="181"/>
        <v>40777602489.53582</v>
      </c>
      <c r="L4099" s="455">
        <f t="shared" ca="1" si="182"/>
        <v>9827402199978.1328</v>
      </c>
      <c r="M4099" s="471">
        <f t="shared" si="184"/>
        <v>0.05</v>
      </c>
      <c r="N4099" s="475">
        <f t="shared" si="185"/>
        <v>175804</v>
      </c>
    </row>
    <row r="4100" spans="7:14" ht="11.25" customHeight="1" x14ac:dyDescent="0.3">
      <c r="G4100" s="470"/>
      <c r="H4100" s="470">
        <v>4093</v>
      </c>
      <c r="I4100" s="455">
        <f t="shared" ca="1" si="183"/>
        <v>9827402199978.1328</v>
      </c>
      <c r="J4100" s="455">
        <f t="array" ref="J4100">IFERROR(INDEX('Retirement Calculator'!J:J,MATCH('Isaac 401k'!N4100,'Retirement Calculator'!A:A,0),0),0)</f>
        <v>0</v>
      </c>
      <c r="K4100" s="455">
        <f t="shared" ca="1" si="181"/>
        <v>40947509166.575554</v>
      </c>
      <c r="L4100" s="455">
        <f t="shared" ca="1" si="182"/>
        <v>9868349709144.709</v>
      </c>
      <c r="M4100" s="471">
        <f t="shared" si="184"/>
        <v>0.05</v>
      </c>
      <c r="N4100" s="475">
        <f t="shared" si="185"/>
        <v>175835</v>
      </c>
    </row>
    <row r="4101" spans="7:14" ht="11.25" customHeight="1" x14ac:dyDescent="0.3">
      <c r="G4101" s="470"/>
      <c r="H4101" s="470">
        <v>4094</v>
      </c>
      <c r="I4101" s="455">
        <f t="shared" ca="1" si="183"/>
        <v>9868349709144.709</v>
      </c>
      <c r="J4101" s="455">
        <f t="array" ref="J4101">IFERROR(INDEX('Retirement Calculator'!J:J,MATCH('Isaac 401k'!N4101,'Retirement Calculator'!A:A,0),0),0)</f>
        <v>0</v>
      </c>
      <c r="K4101" s="455">
        <f t="shared" ca="1" si="181"/>
        <v>41118123788.102951</v>
      </c>
      <c r="L4101" s="455">
        <f t="shared" ca="1" si="182"/>
        <v>9909467832932.8125</v>
      </c>
      <c r="M4101" s="471">
        <f t="shared" si="184"/>
        <v>0.05</v>
      </c>
      <c r="N4101" s="475">
        <f t="shared" si="185"/>
        <v>175865</v>
      </c>
    </row>
    <row r="4102" spans="7:14" ht="11.25" customHeight="1" x14ac:dyDescent="0.3">
      <c r="G4102" s="470"/>
      <c r="H4102" s="470">
        <v>4095</v>
      </c>
      <c r="I4102" s="455">
        <f t="shared" ca="1" si="183"/>
        <v>9909467832932.8125</v>
      </c>
      <c r="J4102" s="455">
        <f t="array" ref="J4102">IFERROR(INDEX('Retirement Calculator'!J:J,MATCH('Isaac 401k'!N4102,'Retirement Calculator'!A:A,0),0),0)</f>
        <v>0</v>
      </c>
      <c r="K4102" s="455">
        <f t="shared" ca="1" si="181"/>
        <v>41289449303.886719</v>
      </c>
      <c r="L4102" s="455">
        <f t="shared" ca="1" si="182"/>
        <v>9950757282236.6992</v>
      </c>
      <c r="M4102" s="471">
        <f t="shared" si="184"/>
        <v>0.05</v>
      </c>
      <c r="N4102" s="475">
        <f t="shared" si="185"/>
        <v>175896</v>
      </c>
    </row>
    <row r="4103" spans="7:14" ht="11.25" customHeight="1" x14ac:dyDescent="0.3">
      <c r="G4103" s="470"/>
      <c r="H4103" s="470">
        <v>4096</v>
      </c>
      <c r="I4103" s="455">
        <f t="shared" ca="1" si="183"/>
        <v>9950757282236.6992</v>
      </c>
      <c r="J4103" s="455">
        <f t="array" ref="J4103">IFERROR(INDEX('Retirement Calculator'!J:J,MATCH('Isaac 401k'!N4103,'Retirement Calculator'!A:A,0),0),0)</f>
        <v>0</v>
      </c>
      <c r="K4103" s="455">
        <f t="shared" ca="1" si="181"/>
        <v>41461488675.986244</v>
      </c>
      <c r="L4103" s="455">
        <f t="shared" ca="1" si="182"/>
        <v>9992218770912.6855</v>
      </c>
      <c r="M4103" s="471">
        <f t="shared" si="184"/>
        <v>0.05</v>
      </c>
      <c r="N4103" s="475">
        <f t="shared" si="185"/>
        <v>175927</v>
      </c>
    </row>
    <row r="4104" spans="7:14" ht="11.25" customHeight="1" x14ac:dyDescent="0.3">
      <c r="G4104" s="470"/>
      <c r="H4104" s="470">
        <v>4097</v>
      </c>
      <c r="I4104" s="455">
        <f t="shared" ca="1" si="183"/>
        <v>9992218770912.6855</v>
      </c>
      <c r="J4104" s="455">
        <f t="array" ref="J4104">IFERROR(INDEX('Retirement Calculator'!J:J,MATCH('Isaac 401k'!N4104,'Retirement Calculator'!A:A,0),0),0)</f>
        <v>0</v>
      </c>
      <c r="K4104" s="455">
        <f t="shared" ca="1" si="181"/>
        <v>41634244878.802856</v>
      </c>
      <c r="L4104" s="455">
        <f t="shared" ca="1" si="182"/>
        <v>10033853015791.488</v>
      </c>
      <c r="M4104" s="471">
        <f t="shared" si="184"/>
        <v>0.05</v>
      </c>
      <c r="N4104" s="475">
        <f t="shared" si="185"/>
        <v>175957</v>
      </c>
    </row>
    <row r="4105" spans="7:14" ht="11.25" customHeight="1" x14ac:dyDescent="0.3">
      <c r="G4105" s="470"/>
      <c r="H4105" s="470">
        <v>4098</v>
      </c>
      <c r="I4105" s="455">
        <f t="shared" ca="1" si="183"/>
        <v>10033853015791.488</v>
      </c>
      <c r="J4105" s="455">
        <f t="array" ref="J4105">IFERROR(INDEX('Retirement Calculator'!J:J,MATCH('Isaac 401k'!N4105,'Retirement Calculator'!A:A,0),0),0)</f>
        <v>0</v>
      </c>
      <c r="K4105" s="455">
        <f t="shared" ca="1" si="181"/>
        <v>41807720899.131203</v>
      </c>
      <c r="L4105" s="455">
        <f t="shared" ca="1" si="182"/>
        <v>10075660736690.619</v>
      </c>
      <c r="M4105" s="471">
        <f t="shared" si="184"/>
        <v>0.05</v>
      </c>
      <c r="N4105" s="475">
        <f t="shared" si="185"/>
        <v>175988</v>
      </c>
    </row>
    <row r="4106" spans="7:14" ht="11.25" customHeight="1" x14ac:dyDescent="0.3">
      <c r="G4106" s="470"/>
      <c r="H4106" s="470">
        <v>4099</v>
      </c>
      <c r="I4106" s="455">
        <f t="shared" ca="1" si="183"/>
        <v>10075660736690.619</v>
      </c>
      <c r="J4106" s="455">
        <f t="array" ref="J4106">IFERROR(INDEX('Retirement Calculator'!J:J,MATCH('Isaac 401k'!N4106,'Retirement Calculator'!A:A,0),0),0)</f>
        <v>0</v>
      </c>
      <c r="K4106" s="455">
        <f t="shared" ca="1" si="181"/>
        <v>41981919736.210915</v>
      </c>
      <c r="L4106" s="455">
        <f t="shared" ca="1" si="182"/>
        <v>10117642656426.83</v>
      </c>
      <c r="M4106" s="471">
        <f t="shared" si="184"/>
        <v>0.05</v>
      </c>
      <c r="N4106" s="475">
        <f t="shared" si="185"/>
        <v>176018</v>
      </c>
    </row>
    <row r="4107" spans="7:14" ht="11.25" customHeight="1" x14ac:dyDescent="0.3">
      <c r="G4107" s="470"/>
      <c r="H4107" s="470">
        <v>4100</v>
      </c>
      <c r="I4107" s="455">
        <f t="shared" ca="1" si="183"/>
        <v>10117642656426.83</v>
      </c>
      <c r="J4107" s="455">
        <f t="array" ref="J4107">IFERROR(INDEX('Retirement Calculator'!J:J,MATCH('Isaac 401k'!N4107,'Retirement Calculator'!A:A,0),0),0)</f>
        <v>0</v>
      </c>
      <c r="K4107" s="455">
        <f t="shared" ca="1" si="181"/>
        <v>42156844401.778458</v>
      </c>
      <c r="L4107" s="455">
        <f t="shared" ca="1" si="182"/>
        <v>10159799500828.609</v>
      </c>
      <c r="M4107" s="471">
        <f t="shared" si="184"/>
        <v>0.05</v>
      </c>
      <c r="N4107" s="475">
        <f t="shared" si="185"/>
        <v>176049</v>
      </c>
    </row>
    <row r="4108" spans="7:14" ht="11.25" customHeight="1" x14ac:dyDescent="0.3">
      <c r="G4108" s="470"/>
      <c r="H4108" s="470">
        <v>4101</v>
      </c>
      <c r="I4108" s="455">
        <f t="shared" ca="1" si="183"/>
        <v>10159799500828.609</v>
      </c>
      <c r="J4108" s="455">
        <f t="array" ref="J4108">IFERROR(INDEX('Retirement Calculator'!J:J,MATCH('Isaac 401k'!N4108,'Retirement Calculator'!A:A,0),0),0)</f>
        <v>0</v>
      </c>
      <c r="K4108" s="455">
        <f t="shared" ca="1" si="181"/>
        <v>42332497920.119202</v>
      </c>
      <c r="L4108" s="455">
        <f t="shared" ca="1" si="182"/>
        <v>10202131998748.729</v>
      </c>
      <c r="M4108" s="471">
        <f t="shared" si="184"/>
        <v>0.05</v>
      </c>
      <c r="N4108" s="475">
        <f t="shared" si="185"/>
        <v>176080</v>
      </c>
    </row>
    <row r="4109" spans="7:14" ht="11.25" customHeight="1" x14ac:dyDescent="0.3">
      <c r="G4109" s="470"/>
      <c r="H4109" s="470">
        <v>4102</v>
      </c>
      <c r="I4109" s="455">
        <f t="shared" ca="1" si="183"/>
        <v>10202131998748.729</v>
      </c>
      <c r="J4109" s="455">
        <f t="array" ref="J4109">IFERROR(INDEX('Retirement Calculator'!J:J,MATCH('Isaac 401k'!N4109,'Retirement Calculator'!A:A,0),0),0)</f>
        <v>0</v>
      </c>
      <c r="K4109" s="455">
        <f t="shared" ca="1" si="181"/>
        <v>42508883328.119705</v>
      </c>
      <c r="L4109" s="455">
        <f t="shared" ca="1" si="182"/>
        <v>10244640882076.848</v>
      </c>
      <c r="M4109" s="471">
        <f t="shared" si="184"/>
        <v>0.05</v>
      </c>
      <c r="N4109" s="475">
        <f t="shared" si="185"/>
        <v>176108</v>
      </c>
    </row>
    <row r="4110" spans="7:14" ht="11.25" customHeight="1" x14ac:dyDescent="0.3">
      <c r="G4110" s="470"/>
      <c r="H4110" s="470">
        <v>4103</v>
      </c>
      <c r="I4110" s="455">
        <f t="shared" ca="1" si="183"/>
        <v>10244640882076.848</v>
      </c>
      <c r="J4110" s="455">
        <f t="array" ref="J4110">IFERROR(INDEX('Retirement Calculator'!J:J,MATCH('Isaac 401k'!N4110,'Retirement Calculator'!A:A,0),0),0)</f>
        <v>0</v>
      </c>
      <c r="K4110" s="455">
        <f t="shared" ca="1" si="181"/>
        <v>42686003675.320198</v>
      </c>
      <c r="L4110" s="455">
        <f t="shared" ca="1" si="182"/>
        <v>10287326885752.168</v>
      </c>
      <c r="M4110" s="471">
        <f t="shared" si="184"/>
        <v>0.05</v>
      </c>
      <c r="N4110" s="475">
        <f t="shared" si="185"/>
        <v>176139</v>
      </c>
    </row>
    <row r="4111" spans="7:14" ht="11.25" customHeight="1" x14ac:dyDescent="0.3">
      <c r="G4111" s="470"/>
      <c r="H4111" s="470">
        <v>4104</v>
      </c>
      <c r="I4111" s="455">
        <f t="shared" ca="1" si="183"/>
        <v>10287326885752.168</v>
      </c>
      <c r="J4111" s="455">
        <f t="array" ref="J4111">IFERROR(INDEX('Retirement Calculator'!J:J,MATCH('Isaac 401k'!N4111,'Retirement Calculator'!A:A,0),0),0)</f>
        <v>0</v>
      </c>
      <c r="K4111" s="455">
        <f t="shared" ca="1" si="181"/>
        <v>42863862023.967369</v>
      </c>
      <c r="L4111" s="455">
        <f t="shared" ca="1" si="182"/>
        <v>10330190747776.135</v>
      </c>
      <c r="M4111" s="471">
        <f t="shared" si="184"/>
        <v>0.05</v>
      </c>
      <c r="N4111" s="475">
        <f t="shared" si="185"/>
        <v>176169</v>
      </c>
    </row>
    <row r="4112" spans="7:14" ht="11.25" customHeight="1" x14ac:dyDescent="0.3">
      <c r="G4112" s="470"/>
      <c r="H4112" s="470">
        <v>4105</v>
      </c>
      <c r="I4112" s="455">
        <f t="shared" ca="1" si="183"/>
        <v>10330190747776.135</v>
      </c>
      <c r="J4112" s="455">
        <f t="array" ref="J4112">IFERROR(INDEX('Retirement Calculator'!J:J,MATCH('Isaac 401k'!N4112,'Retirement Calculator'!A:A,0),0),0)</f>
        <v>0</v>
      </c>
      <c r="K4112" s="455">
        <f t="shared" ca="1" si="181"/>
        <v>43042461449.06723</v>
      </c>
      <c r="L4112" s="455">
        <f t="shared" ca="1" si="182"/>
        <v>10373233209225.201</v>
      </c>
      <c r="M4112" s="471">
        <f t="shared" si="184"/>
        <v>0.05</v>
      </c>
      <c r="N4112" s="475">
        <f t="shared" si="185"/>
        <v>176200</v>
      </c>
    </row>
    <row r="4113" spans="7:14" ht="11.25" customHeight="1" x14ac:dyDescent="0.3">
      <c r="G4113" s="470"/>
      <c r="H4113" s="470">
        <v>4106</v>
      </c>
      <c r="I4113" s="455">
        <f t="shared" ca="1" si="183"/>
        <v>10373233209225.201</v>
      </c>
      <c r="J4113" s="455">
        <f t="array" ref="J4113">IFERROR(INDEX('Retirement Calculator'!J:J,MATCH('Isaac 401k'!N4113,'Retirement Calculator'!A:A,0),0),0)</f>
        <v>0</v>
      </c>
      <c r="K4113" s="455">
        <f t="shared" ca="1" si="181"/>
        <v>43221805038.438339</v>
      </c>
      <c r="L4113" s="455">
        <f t="shared" ca="1" si="182"/>
        <v>10416455014263.639</v>
      </c>
      <c r="M4113" s="471">
        <f t="shared" si="184"/>
        <v>0.05</v>
      </c>
      <c r="N4113" s="475">
        <f t="shared" si="185"/>
        <v>176230</v>
      </c>
    </row>
    <row r="4114" spans="7:14" ht="11.25" customHeight="1" x14ac:dyDescent="0.3">
      <c r="G4114" s="470"/>
      <c r="H4114" s="470">
        <v>4107</v>
      </c>
      <c r="I4114" s="455">
        <f t="shared" ca="1" si="183"/>
        <v>10416455014263.639</v>
      </c>
      <c r="J4114" s="455">
        <f t="array" ref="J4114">IFERROR(INDEX('Retirement Calculator'!J:J,MATCH('Isaac 401k'!N4114,'Retirement Calculator'!A:A,0),0),0)</f>
        <v>0</v>
      </c>
      <c r="K4114" s="455">
        <f t="shared" ca="1" si="181"/>
        <v>43401895892.76516</v>
      </c>
      <c r="L4114" s="455">
        <f t="shared" ca="1" si="182"/>
        <v>10459856910156.404</v>
      </c>
      <c r="M4114" s="471">
        <f t="shared" si="184"/>
        <v>0.05</v>
      </c>
      <c r="N4114" s="475">
        <f t="shared" si="185"/>
        <v>176261</v>
      </c>
    </row>
    <row r="4115" spans="7:14" ht="11.25" customHeight="1" x14ac:dyDescent="0.3">
      <c r="G4115" s="470"/>
      <c r="H4115" s="470">
        <v>4108</v>
      </c>
      <c r="I4115" s="455">
        <f t="shared" ca="1" si="183"/>
        <v>10459856910156.404</v>
      </c>
      <c r="J4115" s="455">
        <f t="array" ref="J4115">IFERROR(INDEX('Retirement Calculator'!J:J,MATCH('Isaac 401k'!N4115,'Retirement Calculator'!A:A,0),0),0)</f>
        <v>0</v>
      </c>
      <c r="K4115" s="455">
        <f t="shared" ca="1" si="181"/>
        <v>43582737125.651688</v>
      </c>
      <c r="L4115" s="455">
        <f t="shared" ca="1" si="182"/>
        <v>10503439647282.057</v>
      </c>
      <c r="M4115" s="471">
        <f t="shared" si="184"/>
        <v>0.05</v>
      </c>
      <c r="N4115" s="475">
        <f t="shared" si="185"/>
        <v>176292</v>
      </c>
    </row>
    <row r="4116" spans="7:14" ht="11.25" customHeight="1" x14ac:dyDescent="0.3">
      <c r="G4116" s="470"/>
      <c r="H4116" s="470">
        <v>4109</v>
      </c>
      <c r="I4116" s="455">
        <f t="shared" ca="1" si="183"/>
        <v>10503439647282.057</v>
      </c>
      <c r="J4116" s="455">
        <f t="array" ref="J4116">IFERROR(INDEX('Retirement Calculator'!J:J,MATCH('Isaac 401k'!N4116,'Retirement Calculator'!A:A,0),0),0)</f>
        <v>0</v>
      </c>
      <c r="K4116" s="455">
        <f t="shared" ca="1" si="181"/>
        <v>43764331863.675232</v>
      </c>
      <c r="L4116" s="455">
        <f t="shared" ca="1" si="182"/>
        <v>10547203979145.732</v>
      </c>
      <c r="M4116" s="471">
        <f t="shared" si="184"/>
        <v>0.05</v>
      </c>
      <c r="N4116" s="475">
        <f t="shared" si="185"/>
        <v>176322</v>
      </c>
    </row>
    <row r="4117" spans="7:14" ht="11.25" customHeight="1" x14ac:dyDescent="0.3">
      <c r="G4117" s="470"/>
      <c r="H4117" s="470">
        <v>4110</v>
      </c>
      <c r="I4117" s="455">
        <f t="shared" ca="1" si="183"/>
        <v>10547203979145.732</v>
      </c>
      <c r="J4117" s="455">
        <f t="array" ref="J4117">IFERROR(INDEX('Retirement Calculator'!J:J,MATCH('Isaac 401k'!N4117,'Retirement Calculator'!A:A,0),0),0)</f>
        <v>0</v>
      </c>
      <c r="K4117" s="455">
        <f t="shared" ca="1" si="181"/>
        <v>43946683246.440552</v>
      </c>
      <c r="L4117" s="455">
        <f t="shared" ca="1" si="182"/>
        <v>10591150662392.174</v>
      </c>
      <c r="M4117" s="471">
        <f t="shared" si="184"/>
        <v>0.05</v>
      </c>
      <c r="N4117" s="475">
        <f t="shared" si="185"/>
        <v>176353</v>
      </c>
    </row>
    <row r="4118" spans="7:14" ht="11.25" customHeight="1" x14ac:dyDescent="0.3">
      <c r="G4118" s="470"/>
      <c r="H4118" s="470">
        <v>4111</v>
      </c>
      <c r="I4118" s="455">
        <f t="shared" ca="1" si="183"/>
        <v>10591150662392.174</v>
      </c>
      <c r="J4118" s="455">
        <f t="array" ref="J4118">IFERROR(INDEX('Retirement Calculator'!J:J,MATCH('Isaac 401k'!N4118,'Retirement Calculator'!A:A,0),0),0)</f>
        <v>0</v>
      </c>
      <c r="K4118" s="455">
        <f t="shared" ca="1" si="181"/>
        <v>44129794426.634056</v>
      </c>
      <c r="L4118" s="455">
        <f t="shared" ca="1" si="182"/>
        <v>10635280456818.809</v>
      </c>
      <c r="M4118" s="471">
        <f t="shared" si="184"/>
        <v>0.05</v>
      </c>
      <c r="N4118" s="475">
        <f t="shared" si="185"/>
        <v>176383</v>
      </c>
    </row>
    <row r="4119" spans="7:14" ht="11.25" customHeight="1" x14ac:dyDescent="0.3">
      <c r="G4119" s="470"/>
      <c r="H4119" s="470">
        <v>4112</v>
      </c>
      <c r="I4119" s="455">
        <f t="shared" ca="1" si="183"/>
        <v>10635280456818.809</v>
      </c>
      <c r="J4119" s="455">
        <f t="array" ref="J4119">IFERROR(INDEX('Retirement Calculator'!J:J,MATCH('Isaac 401k'!N4119,'Retirement Calculator'!A:A,0),0),0)</f>
        <v>0</v>
      </c>
      <c r="K4119" s="455">
        <f t="shared" ca="1" si="181"/>
        <v>44313668570.078369</v>
      </c>
      <c r="L4119" s="455">
        <f t="shared" ca="1" si="182"/>
        <v>10679594125388.887</v>
      </c>
      <c r="M4119" s="471">
        <f t="shared" si="184"/>
        <v>0.05</v>
      </c>
      <c r="N4119" s="475">
        <f t="shared" si="185"/>
        <v>176414</v>
      </c>
    </row>
    <row r="4120" spans="7:14" ht="11.25" customHeight="1" x14ac:dyDescent="0.3">
      <c r="G4120" s="470"/>
      <c r="H4120" s="470">
        <v>4113</v>
      </c>
      <c r="I4120" s="455">
        <f t="shared" ca="1" si="183"/>
        <v>10679594125388.887</v>
      </c>
      <c r="J4120" s="455">
        <f t="array" ref="J4120">IFERROR(INDEX('Retirement Calculator'!J:J,MATCH('Isaac 401k'!N4120,'Retirement Calculator'!A:A,0),0),0)</f>
        <v>0</v>
      </c>
      <c r="K4120" s="455">
        <f t="shared" ca="1" si="181"/>
        <v>44498308855.787025</v>
      </c>
      <c r="L4120" s="455">
        <f t="shared" ca="1" si="182"/>
        <v>10724092434244.674</v>
      </c>
      <c r="M4120" s="471">
        <f t="shared" si="184"/>
        <v>0.05</v>
      </c>
      <c r="N4120" s="475">
        <f t="shared" si="185"/>
        <v>176445</v>
      </c>
    </row>
    <row r="4121" spans="7:14" ht="11.25" customHeight="1" x14ac:dyDescent="0.3">
      <c r="G4121" s="470"/>
      <c r="H4121" s="470">
        <v>4114</v>
      </c>
      <c r="I4121" s="455">
        <f t="shared" ca="1" si="183"/>
        <v>10724092434244.674</v>
      </c>
      <c r="J4121" s="455">
        <f t="array" ref="J4121">IFERROR(INDEX('Retirement Calculator'!J:J,MATCH('Isaac 401k'!N4121,'Retirement Calculator'!A:A,0),0),0)</f>
        <v>0</v>
      </c>
      <c r="K4121" s="455">
        <f t="shared" ca="1" si="181"/>
        <v>44683718476.01947</v>
      </c>
      <c r="L4121" s="455">
        <f t="shared" ca="1" si="182"/>
        <v>10768776152720.693</v>
      </c>
      <c r="M4121" s="471">
        <f t="shared" si="184"/>
        <v>0.05</v>
      </c>
      <c r="N4121" s="475">
        <f t="shared" si="185"/>
        <v>176473</v>
      </c>
    </row>
    <row r="4122" spans="7:14" ht="11.25" customHeight="1" x14ac:dyDescent="0.3">
      <c r="G4122" s="470"/>
      <c r="H4122" s="470">
        <v>4115</v>
      </c>
      <c r="I4122" s="455">
        <f t="shared" ca="1" si="183"/>
        <v>10768776152720.693</v>
      </c>
      <c r="J4122" s="455">
        <f t="array" ref="J4122">IFERROR(INDEX('Retirement Calculator'!J:J,MATCH('Isaac 401k'!N4122,'Retirement Calculator'!A:A,0),0),0)</f>
        <v>0</v>
      </c>
      <c r="K4122" s="455">
        <f t="shared" ca="1" si="181"/>
        <v>44869900636.33622</v>
      </c>
      <c r="L4122" s="455">
        <f t="shared" ca="1" si="182"/>
        <v>10813646053357.029</v>
      </c>
      <c r="M4122" s="471">
        <f t="shared" si="184"/>
        <v>0.05</v>
      </c>
      <c r="N4122" s="475">
        <f t="shared" si="185"/>
        <v>176504</v>
      </c>
    </row>
    <row r="4123" spans="7:14" ht="11.25" customHeight="1" x14ac:dyDescent="0.3">
      <c r="G4123" s="470"/>
      <c r="H4123" s="470">
        <v>4116</v>
      </c>
      <c r="I4123" s="455">
        <f t="shared" ca="1" si="183"/>
        <v>10813646053357.029</v>
      </c>
      <c r="J4123" s="455">
        <f t="array" ref="J4123">IFERROR(INDEX('Retirement Calculator'!J:J,MATCH('Isaac 401k'!N4123,'Retirement Calculator'!A:A,0),0),0)</f>
        <v>0</v>
      </c>
      <c r="K4123" s="455">
        <f t="shared" ca="1" si="181"/>
        <v>45056858555.654289</v>
      </c>
      <c r="L4123" s="455">
        <f t="shared" ca="1" si="182"/>
        <v>10858702911912.684</v>
      </c>
      <c r="M4123" s="471">
        <f t="shared" si="184"/>
        <v>0.05</v>
      </c>
      <c r="N4123" s="475">
        <f t="shared" si="185"/>
        <v>176534</v>
      </c>
    </row>
    <row r="4124" spans="7:14" ht="11.25" customHeight="1" x14ac:dyDescent="0.3">
      <c r="G4124" s="470"/>
      <c r="H4124" s="470">
        <v>4117</v>
      </c>
      <c r="I4124" s="455">
        <f t="shared" ca="1" si="183"/>
        <v>10858702911912.684</v>
      </c>
      <c r="J4124" s="455">
        <f t="array" ref="J4124">IFERROR(INDEX('Retirement Calculator'!J:J,MATCH('Isaac 401k'!N4124,'Retirement Calculator'!A:A,0),0),0)</f>
        <v>0</v>
      </c>
      <c r="K4124" s="455">
        <f t="shared" ca="1" si="181"/>
        <v>45244595466.302849</v>
      </c>
      <c r="L4124" s="455">
        <f t="shared" ca="1" si="182"/>
        <v>10903947507378.986</v>
      </c>
      <c r="M4124" s="471">
        <f t="shared" si="184"/>
        <v>0.05</v>
      </c>
      <c r="N4124" s="475">
        <f t="shared" si="185"/>
        <v>176565</v>
      </c>
    </row>
    <row r="4125" spans="7:14" ht="11.25" customHeight="1" x14ac:dyDescent="0.3">
      <c r="G4125" s="470"/>
      <c r="H4125" s="470">
        <v>4118</v>
      </c>
      <c r="I4125" s="455">
        <f t="shared" ca="1" si="183"/>
        <v>10903947507378.986</v>
      </c>
      <c r="J4125" s="455">
        <f t="array" ref="J4125">IFERROR(INDEX('Retirement Calculator'!J:J,MATCH('Isaac 401k'!N4125,'Retirement Calculator'!A:A,0),0),0)</f>
        <v>0</v>
      </c>
      <c r="K4125" s="455">
        <f t="shared" ca="1" si="181"/>
        <v>45433114614.079109</v>
      </c>
      <c r="L4125" s="455">
        <f t="shared" ca="1" si="182"/>
        <v>10949380621993.066</v>
      </c>
      <c r="M4125" s="471">
        <f t="shared" si="184"/>
        <v>0.05</v>
      </c>
      <c r="N4125" s="475">
        <f t="shared" si="185"/>
        <v>176595</v>
      </c>
    </row>
    <row r="4126" spans="7:14" ht="11.25" customHeight="1" x14ac:dyDescent="0.3">
      <c r="G4126" s="470"/>
      <c r="H4126" s="470">
        <v>4119</v>
      </c>
      <c r="I4126" s="455">
        <f t="shared" ca="1" si="183"/>
        <v>10949380621993.066</v>
      </c>
      <c r="J4126" s="455">
        <f t="array" ref="J4126">IFERROR(INDEX('Retirement Calculator'!J:J,MATCH('Isaac 401k'!N4126,'Retirement Calculator'!A:A,0),0),0)</f>
        <v>0</v>
      </c>
      <c r="K4126" s="455">
        <f t="shared" ca="1" si="181"/>
        <v>45622419258.304443</v>
      </c>
      <c r="L4126" s="455">
        <f t="shared" ca="1" si="182"/>
        <v>10995003041251.371</v>
      </c>
      <c r="M4126" s="471">
        <f t="shared" si="184"/>
        <v>0.05</v>
      </c>
      <c r="N4126" s="475">
        <f t="shared" si="185"/>
        <v>176626</v>
      </c>
    </row>
    <row r="4127" spans="7:14" ht="11.25" customHeight="1" x14ac:dyDescent="0.3">
      <c r="G4127" s="470"/>
      <c r="H4127" s="470">
        <v>4120</v>
      </c>
      <c r="I4127" s="455">
        <f t="shared" ca="1" si="183"/>
        <v>10995003041251.371</v>
      </c>
      <c r="J4127" s="455">
        <f t="array" ref="J4127">IFERROR(INDEX('Retirement Calculator'!J:J,MATCH('Isaac 401k'!N4127,'Retirement Calculator'!A:A,0),0),0)</f>
        <v>0</v>
      </c>
      <c r="K4127" s="455">
        <f t="shared" ca="1" si="181"/>
        <v>45812512671.880714</v>
      </c>
      <c r="L4127" s="455">
        <f t="shared" ca="1" si="182"/>
        <v>11040815553923.252</v>
      </c>
      <c r="M4127" s="471">
        <f t="shared" si="184"/>
        <v>0.05</v>
      </c>
      <c r="N4127" s="475">
        <f t="shared" si="185"/>
        <v>176657</v>
      </c>
    </row>
    <row r="4128" spans="7:14" ht="11.25" customHeight="1" x14ac:dyDescent="0.3">
      <c r="G4128" s="470"/>
      <c r="H4128" s="470">
        <v>4121</v>
      </c>
      <c r="I4128" s="455">
        <f t="shared" ca="1" si="183"/>
        <v>11040815553923.252</v>
      </c>
      <c r="J4128" s="455">
        <f t="array" ref="J4128">IFERROR(INDEX('Retirement Calculator'!J:J,MATCH('Isaac 401k'!N4128,'Retirement Calculator'!A:A,0),0),0)</f>
        <v>0</v>
      </c>
      <c r="K4128" s="455">
        <f t="shared" ca="1" si="181"/>
        <v>46003398141.346886</v>
      </c>
      <c r="L4128" s="455">
        <f t="shared" ca="1" si="182"/>
        <v>11086818952064.6</v>
      </c>
      <c r="M4128" s="471">
        <f t="shared" si="184"/>
        <v>0.05</v>
      </c>
      <c r="N4128" s="475">
        <f t="shared" si="185"/>
        <v>176687</v>
      </c>
    </row>
    <row r="4129" spans="7:14" ht="11.25" customHeight="1" x14ac:dyDescent="0.3">
      <c r="G4129" s="470"/>
      <c r="H4129" s="470">
        <v>4122</v>
      </c>
      <c r="I4129" s="455">
        <f t="shared" ca="1" si="183"/>
        <v>11086818952064.6</v>
      </c>
      <c r="J4129" s="455">
        <f t="array" ref="J4129">IFERROR(INDEX('Retirement Calculator'!J:J,MATCH('Isaac 401k'!N4129,'Retirement Calculator'!A:A,0),0),0)</f>
        <v>0</v>
      </c>
      <c r="K4129" s="455">
        <f t="shared" ca="1" si="181"/>
        <v>46195078966.935829</v>
      </c>
      <c r="L4129" s="455">
        <f t="shared" ca="1" si="182"/>
        <v>11133014031031.535</v>
      </c>
      <c r="M4129" s="471">
        <f t="shared" si="184"/>
        <v>0.05</v>
      </c>
      <c r="N4129" s="475">
        <f t="shared" si="185"/>
        <v>176718</v>
      </c>
    </row>
    <row r="4130" spans="7:14" ht="11.25" customHeight="1" x14ac:dyDescent="0.3">
      <c r="G4130" s="470"/>
      <c r="H4130" s="470">
        <v>4123</v>
      </c>
      <c r="I4130" s="455">
        <f t="shared" ca="1" si="183"/>
        <v>11133014031031.535</v>
      </c>
      <c r="J4130" s="455">
        <f t="array" ref="J4130">IFERROR(INDEX('Retirement Calculator'!J:J,MATCH('Isaac 401k'!N4130,'Retirement Calculator'!A:A,0),0),0)</f>
        <v>0</v>
      </c>
      <c r="K4130" s="455">
        <f t="shared" ca="1" si="181"/>
        <v>46387558462.631393</v>
      </c>
      <c r="L4130" s="455">
        <f t="shared" ca="1" si="182"/>
        <v>11179401589494.166</v>
      </c>
      <c r="M4130" s="471">
        <f t="shared" si="184"/>
        <v>0.05</v>
      </c>
      <c r="N4130" s="475">
        <f t="shared" si="185"/>
        <v>176748</v>
      </c>
    </row>
    <row r="4131" spans="7:14" ht="11.25" customHeight="1" x14ac:dyDescent="0.3">
      <c r="G4131" s="470"/>
      <c r="H4131" s="470">
        <v>4124</v>
      </c>
      <c r="I4131" s="455">
        <f t="shared" ca="1" si="183"/>
        <v>11179401589494.166</v>
      </c>
      <c r="J4131" s="455">
        <f t="array" ref="J4131">IFERROR(INDEX('Retirement Calculator'!J:J,MATCH('Isaac 401k'!N4131,'Retirement Calculator'!A:A,0),0),0)</f>
        <v>0</v>
      </c>
      <c r="K4131" s="455">
        <f t="shared" ca="1" si="181"/>
        <v>46580839956.225693</v>
      </c>
      <c r="L4131" s="455">
        <f t="shared" ca="1" si="182"/>
        <v>11225982429450.393</v>
      </c>
      <c r="M4131" s="471">
        <f t="shared" si="184"/>
        <v>0.05</v>
      </c>
      <c r="N4131" s="475">
        <f t="shared" si="185"/>
        <v>176779</v>
      </c>
    </row>
    <row r="4132" spans="7:14" ht="11.25" customHeight="1" x14ac:dyDescent="0.3">
      <c r="G4132" s="470"/>
      <c r="H4132" s="470">
        <v>4125</v>
      </c>
      <c r="I4132" s="455">
        <f t="shared" ca="1" si="183"/>
        <v>11225982429450.393</v>
      </c>
      <c r="J4132" s="455">
        <f t="array" ref="J4132">IFERROR(INDEX('Retirement Calculator'!J:J,MATCH('Isaac 401k'!N4132,'Retirement Calculator'!A:A,0),0),0)</f>
        <v>0</v>
      </c>
      <c r="K4132" s="455">
        <f t="shared" ca="1" si="181"/>
        <v>46774926789.376633</v>
      </c>
      <c r="L4132" s="455">
        <f t="shared" ca="1" si="182"/>
        <v>11272757356239.77</v>
      </c>
      <c r="M4132" s="471">
        <f t="shared" si="184"/>
        <v>0.05</v>
      </c>
      <c r="N4132" s="475">
        <f t="shared" si="185"/>
        <v>176810</v>
      </c>
    </row>
    <row r="4133" spans="7:14" ht="11.25" customHeight="1" x14ac:dyDescent="0.3">
      <c r="G4133" s="470"/>
      <c r="H4133" s="470">
        <v>4126</v>
      </c>
      <c r="I4133" s="455">
        <f t="shared" ca="1" si="183"/>
        <v>11272757356239.77</v>
      </c>
      <c r="J4133" s="455">
        <f t="array" ref="J4133">IFERROR(INDEX('Retirement Calculator'!J:J,MATCH('Isaac 401k'!N4133,'Retirement Calculator'!A:A,0),0),0)</f>
        <v>0</v>
      </c>
      <c r="K4133" s="455">
        <f t="shared" ca="1" si="181"/>
        <v>46969822317.665703</v>
      </c>
      <c r="L4133" s="455">
        <f t="shared" ca="1" si="182"/>
        <v>11319727178557.436</v>
      </c>
      <c r="M4133" s="471">
        <f t="shared" si="184"/>
        <v>0.05</v>
      </c>
      <c r="N4133" s="475">
        <f t="shared" si="185"/>
        <v>176839</v>
      </c>
    </row>
    <row r="4134" spans="7:14" ht="11.25" customHeight="1" x14ac:dyDescent="0.3">
      <c r="G4134" s="470"/>
      <c r="H4134" s="470">
        <v>4127</v>
      </c>
      <c r="I4134" s="455">
        <f t="shared" ca="1" si="183"/>
        <v>11319727178557.436</v>
      </c>
      <c r="J4134" s="455">
        <f t="array" ref="J4134">IFERROR(INDEX('Retirement Calculator'!J:J,MATCH('Isaac 401k'!N4134,'Retirement Calculator'!A:A,0),0),0)</f>
        <v>0</v>
      </c>
      <c r="K4134" s="455">
        <f t="shared" ca="1" si="181"/>
        <v>47165529910.655983</v>
      </c>
      <c r="L4134" s="455">
        <f t="shared" ca="1" si="182"/>
        <v>11366892708468.092</v>
      </c>
      <c r="M4134" s="471">
        <f t="shared" si="184"/>
        <v>0.05</v>
      </c>
      <c r="N4134" s="475">
        <f t="shared" si="185"/>
        <v>176870</v>
      </c>
    </row>
    <row r="4135" spans="7:14" ht="11.25" customHeight="1" x14ac:dyDescent="0.3">
      <c r="G4135" s="470"/>
      <c r="H4135" s="470">
        <v>4128</v>
      </c>
      <c r="I4135" s="455">
        <f t="shared" ca="1" si="183"/>
        <v>11366892708468.092</v>
      </c>
      <c r="J4135" s="455">
        <f t="array" ref="J4135">IFERROR(INDEX('Retirement Calculator'!J:J,MATCH('Isaac 401k'!N4135,'Retirement Calculator'!A:A,0),0),0)</f>
        <v>0</v>
      </c>
      <c r="K4135" s="455">
        <f t="shared" ca="1" si="181"/>
        <v>47362052951.950378</v>
      </c>
      <c r="L4135" s="455">
        <f t="shared" ca="1" si="182"/>
        <v>11414254761420.043</v>
      </c>
      <c r="M4135" s="471">
        <f t="shared" si="184"/>
        <v>0.05</v>
      </c>
      <c r="N4135" s="475">
        <f t="shared" si="185"/>
        <v>176900</v>
      </c>
    </row>
    <row r="4136" spans="7:14" ht="11.25" customHeight="1" x14ac:dyDescent="0.3">
      <c r="G4136" s="470"/>
      <c r="H4136" s="470">
        <v>4129</v>
      </c>
      <c r="I4136" s="455">
        <f t="shared" ca="1" si="183"/>
        <v>11414254761420.043</v>
      </c>
      <c r="J4136" s="455">
        <f t="array" ref="J4136">IFERROR(INDEX('Retirement Calculator'!J:J,MATCH('Isaac 401k'!N4136,'Retirement Calculator'!A:A,0),0),0)</f>
        <v>0</v>
      </c>
      <c r="K4136" s="455">
        <f t="shared" ca="1" si="181"/>
        <v>47559394839.250175</v>
      </c>
      <c r="L4136" s="455">
        <f t="shared" ca="1" si="182"/>
        <v>11461814156259.293</v>
      </c>
      <c r="M4136" s="471">
        <f t="shared" si="184"/>
        <v>0.05</v>
      </c>
      <c r="N4136" s="475">
        <f t="shared" si="185"/>
        <v>176931</v>
      </c>
    </row>
    <row r="4137" spans="7:14" ht="11.25" customHeight="1" x14ac:dyDescent="0.3">
      <c r="G4137" s="470"/>
      <c r="H4137" s="470">
        <v>4130</v>
      </c>
      <c r="I4137" s="455">
        <f t="shared" ca="1" si="183"/>
        <v>11461814156259.293</v>
      </c>
      <c r="J4137" s="455">
        <f t="array" ref="J4137">IFERROR(INDEX('Retirement Calculator'!J:J,MATCH('Isaac 401k'!N4137,'Retirement Calculator'!A:A,0),0),0)</f>
        <v>0</v>
      </c>
      <c r="K4137" s="455">
        <f t="shared" ca="1" si="181"/>
        <v>47757558984.413719</v>
      </c>
      <c r="L4137" s="455">
        <f t="shared" ca="1" si="182"/>
        <v>11509571715243.707</v>
      </c>
      <c r="M4137" s="471">
        <f t="shared" si="184"/>
        <v>0.05</v>
      </c>
      <c r="N4137" s="475">
        <f t="shared" si="185"/>
        <v>176961</v>
      </c>
    </row>
    <row r="4138" spans="7:14" ht="11.25" customHeight="1" x14ac:dyDescent="0.3">
      <c r="G4138" s="470"/>
      <c r="H4138" s="470">
        <v>4131</v>
      </c>
      <c r="I4138" s="455">
        <f t="shared" ca="1" si="183"/>
        <v>11509571715243.707</v>
      </c>
      <c r="J4138" s="455">
        <f t="array" ref="J4138">IFERROR(INDEX('Retirement Calculator'!J:J,MATCH('Isaac 401k'!N4138,'Retirement Calculator'!A:A,0),0),0)</f>
        <v>0</v>
      </c>
      <c r="K4138" s="455">
        <f t="shared" ca="1" si="181"/>
        <v>47956548813.515442</v>
      </c>
      <c r="L4138" s="455">
        <f t="shared" ca="1" si="182"/>
        <v>11557528264057.223</v>
      </c>
      <c r="M4138" s="471">
        <f t="shared" si="184"/>
        <v>0.05</v>
      </c>
      <c r="N4138" s="475">
        <f t="shared" si="185"/>
        <v>176992</v>
      </c>
    </row>
    <row r="4139" spans="7:14" ht="11.25" customHeight="1" x14ac:dyDescent="0.3">
      <c r="G4139" s="470"/>
      <c r="H4139" s="470">
        <v>4132</v>
      </c>
      <c r="I4139" s="455">
        <f t="shared" ca="1" si="183"/>
        <v>11557528264057.223</v>
      </c>
      <c r="J4139" s="455">
        <f t="array" ref="J4139">IFERROR(INDEX('Retirement Calculator'!J:J,MATCH('Isaac 401k'!N4139,'Retirement Calculator'!A:A,0),0),0)</f>
        <v>0</v>
      </c>
      <c r="K4139" s="455">
        <f t="shared" ca="1" si="181"/>
        <v>48156367766.90509</v>
      </c>
      <c r="L4139" s="455">
        <f t="shared" ca="1" si="182"/>
        <v>11605684631824.127</v>
      </c>
      <c r="M4139" s="471">
        <f t="shared" si="184"/>
        <v>0.05</v>
      </c>
      <c r="N4139" s="475">
        <f t="shared" si="185"/>
        <v>177023</v>
      </c>
    </row>
    <row r="4140" spans="7:14" ht="11.25" customHeight="1" x14ac:dyDescent="0.3">
      <c r="G4140" s="470"/>
      <c r="H4140" s="470">
        <v>4133</v>
      </c>
      <c r="I4140" s="455">
        <f t="shared" ca="1" si="183"/>
        <v>11605684631824.127</v>
      </c>
      <c r="J4140" s="455">
        <f t="array" ref="J4140">IFERROR(INDEX('Retirement Calculator'!J:J,MATCH('Isaac 401k'!N4140,'Retirement Calculator'!A:A,0),0),0)</f>
        <v>0</v>
      </c>
      <c r="K4140" s="455">
        <f t="shared" ca="1" si="181"/>
        <v>48357019299.267197</v>
      </c>
      <c r="L4140" s="455">
        <f t="shared" ca="1" si="182"/>
        <v>11654041651123.395</v>
      </c>
      <c r="M4140" s="471">
        <f t="shared" si="184"/>
        <v>0.05</v>
      </c>
      <c r="N4140" s="475">
        <f t="shared" si="185"/>
        <v>177053</v>
      </c>
    </row>
    <row r="4141" spans="7:14" ht="11.25" customHeight="1" x14ac:dyDescent="0.3">
      <c r="G4141" s="470"/>
      <c r="H4141" s="470">
        <v>4134</v>
      </c>
      <c r="I4141" s="455">
        <f t="shared" ca="1" si="183"/>
        <v>11654041651123.395</v>
      </c>
      <c r="J4141" s="455">
        <f t="array" ref="J4141">IFERROR(INDEX('Retirement Calculator'!J:J,MATCH('Isaac 401k'!N4141,'Retirement Calculator'!A:A,0),0),0)</f>
        <v>0</v>
      </c>
      <c r="K4141" s="455">
        <f t="shared" ca="1" si="181"/>
        <v>48558506879.680809</v>
      </c>
      <c r="L4141" s="455">
        <f t="shared" ca="1" si="182"/>
        <v>11702600158003.076</v>
      </c>
      <c r="M4141" s="471">
        <f t="shared" si="184"/>
        <v>0.05</v>
      </c>
      <c r="N4141" s="475">
        <f t="shared" si="185"/>
        <v>177084</v>
      </c>
    </row>
    <row r="4142" spans="7:14" ht="11.25" customHeight="1" x14ac:dyDescent="0.3">
      <c r="G4142" s="470"/>
      <c r="H4142" s="470">
        <v>4135</v>
      </c>
      <c r="I4142" s="455">
        <f t="shared" ca="1" si="183"/>
        <v>11702600158003.076</v>
      </c>
      <c r="J4142" s="455">
        <f t="array" ref="J4142">IFERROR(INDEX('Retirement Calculator'!J:J,MATCH('Isaac 401k'!N4142,'Retirement Calculator'!A:A,0),0),0)</f>
        <v>0</v>
      </c>
      <c r="K4142" s="455">
        <f t="shared" ca="1" si="181"/>
        <v>48760833991.679482</v>
      </c>
      <c r="L4142" s="455">
        <f t="shared" ca="1" si="182"/>
        <v>11751360991994.756</v>
      </c>
      <c r="M4142" s="471">
        <f t="shared" si="184"/>
        <v>0.05</v>
      </c>
      <c r="N4142" s="475">
        <f t="shared" si="185"/>
        <v>177114</v>
      </c>
    </row>
    <row r="4143" spans="7:14" ht="11.25" customHeight="1" x14ac:dyDescent="0.3">
      <c r="G4143" s="470"/>
      <c r="H4143" s="470">
        <v>4136</v>
      </c>
      <c r="I4143" s="455">
        <f t="shared" ca="1" si="183"/>
        <v>11751360991994.756</v>
      </c>
      <c r="J4143" s="455">
        <f t="array" ref="J4143">IFERROR(INDEX('Retirement Calculator'!J:J,MATCH('Isaac 401k'!N4143,'Retirement Calculator'!A:A,0),0),0)</f>
        <v>0</v>
      </c>
      <c r="K4143" s="455">
        <f t="shared" ca="1" si="181"/>
        <v>48964004133.311485</v>
      </c>
      <c r="L4143" s="455">
        <f t="shared" ca="1" si="182"/>
        <v>11800324996128.066</v>
      </c>
      <c r="M4143" s="471">
        <f t="shared" si="184"/>
        <v>0.05</v>
      </c>
      <c r="N4143" s="475">
        <f t="shared" si="185"/>
        <v>177145</v>
      </c>
    </row>
    <row r="4144" spans="7:14" ht="11.25" customHeight="1" x14ac:dyDescent="0.3">
      <c r="G4144" s="470"/>
      <c r="H4144" s="470">
        <v>4137</v>
      </c>
      <c r="I4144" s="455">
        <f t="shared" ca="1" si="183"/>
        <v>11800324996128.066</v>
      </c>
      <c r="J4144" s="455">
        <f t="array" ref="J4144">IFERROR(INDEX('Retirement Calculator'!J:J,MATCH('Isaac 401k'!N4144,'Retirement Calculator'!A:A,0),0),0)</f>
        <v>0</v>
      </c>
      <c r="K4144" s="455">
        <f t="shared" ca="1" si="181"/>
        <v>49168020817.200279</v>
      </c>
      <c r="L4144" s="455">
        <f t="shared" ca="1" si="182"/>
        <v>11849493016945.268</v>
      </c>
      <c r="M4144" s="471">
        <f t="shared" si="184"/>
        <v>0.05</v>
      </c>
      <c r="N4144" s="475">
        <f t="shared" si="185"/>
        <v>177176</v>
      </c>
    </row>
    <row r="4145" spans="7:14" ht="11.25" customHeight="1" x14ac:dyDescent="0.3">
      <c r="G4145" s="470"/>
      <c r="H4145" s="470">
        <v>4138</v>
      </c>
      <c r="I4145" s="455">
        <f t="shared" ca="1" si="183"/>
        <v>11849493016945.268</v>
      </c>
      <c r="J4145" s="455">
        <f t="array" ref="J4145">IFERROR(INDEX('Retirement Calculator'!J:J,MATCH('Isaac 401k'!N4145,'Retirement Calculator'!A:A,0),0),0)</f>
        <v>0</v>
      </c>
      <c r="K4145" s="455">
        <f t="shared" ca="1" si="181"/>
        <v>49372887570.605278</v>
      </c>
      <c r="L4145" s="455">
        <f t="shared" ca="1" si="182"/>
        <v>11898865904515.873</v>
      </c>
      <c r="M4145" s="471">
        <f t="shared" si="184"/>
        <v>0.05</v>
      </c>
      <c r="N4145" s="475">
        <f t="shared" si="185"/>
        <v>177204</v>
      </c>
    </row>
    <row r="4146" spans="7:14" ht="11.25" customHeight="1" x14ac:dyDescent="0.3">
      <c r="G4146" s="470"/>
      <c r="H4146" s="470">
        <v>4139</v>
      </c>
      <c r="I4146" s="455">
        <f t="shared" ca="1" si="183"/>
        <v>11898865904515.873</v>
      </c>
      <c r="J4146" s="455">
        <f t="array" ref="J4146">IFERROR(INDEX('Retirement Calculator'!J:J,MATCH('Isaac 401k'!N4146,'Retirement Calculator'!A:A,0),0),0)</f>
        <v>0</v>
      </c>
      <c r="K4146" s="455">
        <f t="shared" ca="1" si="181"/>
        <v>49578607935.482803</v>
      </c>
      <c r="L4146" s="455">
        <f t="shared" ca="1" si="182"/>
        <v>11948444512451.355</v>
      </c>
      <c r="M4146" s="471">
        <f t="shared" si="184"/>
        <v>0.05</v>
      </c>
      <c r="N4146" s="475">
        <f t="shared" si="185"/>
        <v>177235</v>
      </c>
    </row>
    <row r="4147" spans="7:14" ht="11.25" customHeight="1" x14ac:dyDescent="0.3">
      <c r="G4147" s="470"/>
      <c r="H4147" s="470">
        <v>4140</v>
      </c>
      <c r="I4147" s="455">
        <f t="shared" ca="1" si="183"/>
        <v>11948444512451.355</v>
      </c>
      <c r="J4147" s="455">
        <f t="array" ref="J4147">IFERROR(INDEX('Retirement Calculator'!J:J,MATCH('Isaac 401k'!N4147,'Retirement Calculator'!A:A,0),0),0)</f>
        <v>0</v>
      </c>
      <c r="K4147" s="455">
        <f t="shared" ca="1" si="181"/>
        <v>49785185468.547318</v>
      </c>
      <c r="L4147" s="455">
        <f t="shared" ca="1" si="182"/>
        <v>11998229697919.902</v>
      </c>
      <c r="M4147" s="471">
        <f t="shared" si="184"/>
        <v>0.05</v>
      </c>
      <c r="N4147" s="475">
        <f t="shared" si="185"/>
        <v>177265</v>
      </c>
    </row>
    <row r="4148" spans="7:14" ht="11.25" customHeight="1" x14ac:dyDescent="0.3">
      <c r="G4148" s="470"/>
      <c r="H4148" s="470">
        <v>4141</v>
      </c>
      <c r="I4148" s="455">
        <f t="shared" ca="1" si="183"/>
        <v>11998229697919.902</v>
      </c>
      <c r="J4148" s="455">
        <f t="array" ref="J4148">IFERROR(INDEX('Retirement Calculator'!J:J,MATCH('Isaac 401k'!N4148,'Retirement Calculator'!A:A,0),0),0)</f>
        <v>0</v>
      </c>
      <c r="K4148" s="455">
        <f t="shared" ca="1" si="181"/>
        <v>49992623741.332924</v>
      </c>
      <c r="L4148" s="455">
        <f t="shared" ca="1" si="182"/>
        <v>12048222321661.234</v>
      </c>
      <c r="M4148" s="471">
        <f t="shared" si="184"/>
        <v>0.05</v>
      </c>
      <c r="N4148" s="475">
        <f t="shared" si="185"/>
        <v>177296</v>
      </c>
    </row>
    <row r="4149" spans="7:14" ht="11.25" customHeight="1" x14ac:dyDescent="0.3">
      <c r="G4149" s="470"/>
      <c r="H4149" s="470">
        <v>4142</v>
      </c>
      <c r="I4149" s="455">
        <f t="shared" ca="1" si="183"/>
        <v>12048222321661.234</v>
      </c>
      <c r="J4149" s="455">
        <f t="array" ref="J4149">IFERROR(INDEX('Retirement Calculator'!J:J,MATCH('Isaac 401k'!N4149,'Retirement Calculator'!A:A,0),0),0)</f>
        <v>0</v>
      </c>
      <c r="K4149" s="455">
        <f t="shared" ca="1" si="181"/>
        <v>50200926340.255142</v>
      </c>
      <c r="L4149" s="455">
        <f t="shared" ca="1" si="182"/>
        <v>12098423248001.49</v>
      </c>
      <c r="M4149" s="471">
        <f t="shared" si="184"/>
        <v>0.05</v>
      </c>
      <c r="N4149" s="475">
        <f t="shared" si="185"/>
        <v>177326</v>
      </c>
    </row>
    <row r="4150" spans="7:14" ht="11.25" customHeight="1" x14ac:dyDescent="0.3">
      <c r="G4150" s="470"/>
      <c r="H4150" s="470">
        <v>4143</v>
      </c>
      <c r="I4150" s="455">
        <f t="shared" ca="1" si="183"/>
        <v>12098423248001.49</v>
      </c>
      <c r="J4150" s="455">
        <f t="array" ref="J4150">IFERROR(INDEX('Retirement Calculator'!J:J,MATCH('Isaac 401k'!N4150,'Retirement Calculator'!A:A,0),0),0)</f>
        <v>0</v>
      </c>
      <c r="K4150" s="455">
        <f t="shared" ca="1" si="181"/>
        <v>50410096866.672874</v>
      </c>
      <c r="L4150" s="455">
        <f t="shared" ca="1" si="182"/>
        <v>12148833344868.164</v>
      </c>
      <c r="M4150" s="471">
        <f t="shared" si="184"/>
        <v>0.05</v>
      </c>
      <c r="N4150" s="475">
        <f t="shared" si="185"/>
        <v>177357</v>
      </c>
    </row>
    <row r="4151" spans="7:14" ht="11.25" customHeight="1" x14ac:dyDescent="0.3">
      <c r="G4151" s="470"/>
      <c r="H4151" s="470">
        <v>4144</v>
      </c>
      <c r="I4151" s="455">
        <f t="shared" ca="1" si="183"/>
        <v>12148833344868.164</v>
      </c>
      <c r="J4151" s="455">
        <f t="array" ref="J4151">IFERROR(INDEX('Retirement Calculator'!J:J,MATCH('Isaac 401k'!N4151,'Retirement Calculator'!A:A,0),0),0)</f>
        <v>0</v>
      </c>
      <c r="K4151" s="455">
        <f t="shared" ca="1" si="181"/>
        <v>50620138936.950684</v>
      </c>
      <c r="L4151" s="455">
        <f t="shared" ca="1" si="182"/>
        <v>12199453483805.115</v>
      </c>
      <c r="M4151" s="471">
        <f t="shared" si="184"/>
        <v>0.05</v>
      </c>
      <c r="N4151" s="475">
        <f t="shared" si="185"/>
        <v>177388</v>
      </c>
    </row>
    <row r="4152" spans="7:14" ht="11.25" customHeight="1" x14ac:dyDescent="0.3">
      <c r="G4152" s="470"/>
      <c r="H4152" s="470">
        <v>4145</v>
      </c>
      <c r="I4152" s="455">
        <f t="shared" ca="1" si="183"/>
        <v>12199453483805.115</v>
      </c>
      <c r="J4152" s="455">
        <f t="array" ref="J4152">IFERROR(INDEX('Retirement Calculator'!J:J,MATCH('Isaac 401k'!N4152,'Retirement Calculator'!A:A,0),0),0)</f>
        <v>0</v>
      </c>
      <c r="K4152" s="455">
        <f t="shared" ca="1" si="181"/>
        <v>50831056182.521317</v>
      </c>
      <c r="L4152" s="455">
        <f t="shared" ca="1" si="182"/>
        <v>12250284539987.637</v>
      </c>
      <c r="M4152" s="471">
        <f t="shared" si="184"/>
        <v>0.05</v>
      </c>
      <c r="N4152" s="475">
        <f t="shared" si="185"/>
        <v>177418</v>
      </c>
    </row>
    <row r="4153" spans="7:14" ht="11.25" customHeight="1" x14ac:dyDescent="0.3">
      <c r="G4153" s="470"/>
      <c r="H4153" s="470">
        <v>4146</v>
      </c>
      <c r="I4153" s="455">
        <f t="shared" ca="1" si="183"/>
        <v>12250284539987.637</v>
      </c>
      <c r="J4153" s="455">
        <f t="array" ref="J4153">IFERROR(INDEX('Retirement Calculator'!J:J,MATCH('Isaac 401k'!N4153,'Retirement Calculator'!A:A,0),0),0)</f>
        <v>0</v>
      </c>
      <c r="K4153" s="455">
        <f t="shared" ca="1" si="181"/>
        <v>51042852249.948486</v>
      </c>
      <c r="L4153" s="455">
        <f t="shared" ca="1" si="182"/>
        <v>12301327392237.586</v>
      </c>
      <c r="M4153" s="471">
        <f t="shared" si="184"/>
        <v>0.05</v>
      </c>
      <c r="N4153" s="475">
        <f t="shared" si="185"/>
        <v>177449</v>
      </c>
    </row>
    <row r="4154" spans="7:14" ht="11.25" customHeight="1" x14ac:dyDescent="0.3">
      <c r="G4154" s="470"/>
      <c r="H4154" s="470">
        <v>4147</v>
      </c>
      <c r="I4154" s="455">
        <f t="shared" ca="1" si="183"/>
        <v>12301327392237.586</v>
      </c>
      <c r="J4154" s="455">
        <f t="array" ref="J4154">IFERROR(INDEX('Retirement Calculator'!J:J,MATCH('Isaac 401k'!N4154,'Retirement Calculator'!A:A,0),0),0)</f>
        <v>0</v>
      </c>
      <c r="K4154" s="455">
        <f t="shared" ca="1" si="181"/>
        <v>51255530800.989944</v>
      </c>
      <c r="L4154" s="455">
        <f t="shared" ca="1" si="182"/>
        <v>12352582923038.576</v>
      </c>
      <c r="M4154" s="471">
        <f t="shared" si="184"/>
        <v>0.05</v>
      </c>
      <c r="N4154" s="475">
        <f t="shared" si="185"/>
        <v>177479</v>
      </c>
    </row>
    <row r="4155" spans="7:14" ht="11.25" customHeight="1" x14ac:dyDescent="0.3">
      <c r="G4155" s="470"/>
      <c r="H4155" s="470">
        <v>4148</v>
      </c>
      <c r="I4155" s="455">
        <f t="shared" ca="1" si="183"/>
        <v>12352582923038.576</v>
      </c>
      <c r="J4155" s="455">
        <f t="array" ref="J4155">IFERROR(INDEX('Retirement Calculator'!J:J,MATCH('Isaac 401k'!N4155,'Retirement Calculator'!A:A,0),0),0)</f>
        <v>0</v>
      </c>
      <c r="K4155" s="455">
        <f t="shared" ca="1" si="181"/>
        <v>51469095512.660736</v>
      </c>
      <c r="L4155" s="455">
        <f t="shared" ca="1" si="182"/>
        <v>12404052018551.236</v>
      </c>
      <c r="M4155" s="471">
        <f t="shared" si="184"/>
        <v>0.05</v>
      </c>
      <c r="N4155" s="475">
        <f t="shared" si="185"/>
        <v>177510</v>
      </c>
    </row>
    <row r="4156" spans="7:14" ht="11.25" customHeight="1" x14ac:dyDescent="0.3">
      <c r="G4156" s="470"/>
      <c r="H4156" s="470">
        <v>4149</v>
      </c>
      <c r="I4156" s="455">
        <f t="shared" ca="1" si="183"/>
        <v>12404052018551.236</v>
      </c>
      <c r="J4156" s="455">
        <f t="array" ref="J4156">IFERROR(INDEX('Retirement Calculator'!J:J,MATCH('Isaac 401k'!N4156,'Retirement Calculator'!A:A,0),0),0)</f>
        <v>0</v>
      </c>
      <c r="K4156" s="455">
        <f t="shared" ca="1" si="181"/>
        <v>51683550077.296814</v>
      </c>
      <c r="L4156" s="455">
        <f t="shared" ca="1" si="182"/>
        <v>12455735568628.533</v>
      </c>
      <c r="M4156" s="471">
        <f t="shared" si="184"/>
        <v>0.05</v>
      </c>
      <c r="N4156" s="475">
        <f t="shared" si="185"/>
        <v>177541</v>
      </c>
    </row>
    <row r="4157" spans="7:14" ht="11.25" customHeight="1" x14ac:dyDescent="0.3">
      <c r="G4157" s="470"/>
      <c r="H4157" s="470">
        <v>4150</v>
      </c>
      <c r="I4157" s="455">
        <f t="shared" ca="1" si="183"/>
        <v>12455735568628.533</v>
      </c>
      <c r="J4157" s="455">
        <f t="array" ref="J4157">IFERROR(INDEX('Retirement Calculator'!J:J,MATCH('Isaac 401k'!N4157,'Retirement Calculator'!A:A,0),0),0)</f>
        <v>0</v>
      </c>
      <c r="K4157" s="455">
        <f t="shared" ca="1" si="181"/>
        <v>51898898202.618889</v>
      </c>
      <c r="L4157" s="455">
        <f t="shared" ca="1" si="182"/>
        <v>12507634466831.152</v>
      </c>
      <c r="M4157" s="471">
        <f t="shared" si="184"/>
        <v>0.05</v>
      </c>
      <c r="N4157" s="475">
        <f t="shared" si="185"/>
        <v>177569</v>
      </c>
    </row>
    <row r="4158" spans="7:14" ht="11.25" customHeight="1" x14ac:dyDescent="0.3">
      <c r="G4158" s="470"/>
      <c r="H4158" s="470">
        <v>4151</v>
      </c>
      <c r="I4158" s="455">
        <f t="shared" ca="1" si="183"/>
        <v>12507634466831.152</v>
      </c>
      <c r="J4158" s="455">
        <f t="array" ref="J4158">IFERROR(INDEX('Retirement Calculator'!J:J,MATCH('Isaac 401k'!N4158,'Retirement Calculator'!A:A,0),0),0)</f>
        <v>0</v>
      </c>
      <c r="K4158" s="455">
        <f t="shared" ca="1" si="181"/>
        <v>52115143611.796471</v>
      </c>
      <c r="L4158" s="455">
        <f t="shared" ca="1" si="182"/>
        <v>12559749610442.949</v>
      </c>
      <c r="M4158" s="471">
        <f t="shared" si="184"/>
        <v>0.05</v>
      </c>
      <c r="N4158" s="475">
        <f t="shared" si="185"/>
        <v>177600</v>
      </c>
    </row>
    <row r="4159" spans="7:14" ht="11.25" customHeight="1" x14ac:dyDescent="0.3">
      <c r="G4159" s="470"/>
      <c r="H4159" s="470">
        <v>4152</v>
      </c>
      <c r="I4159" s="455">
        <f t="shared" ca="1" si="183"/>
        <v>12559749610442.949</v>
      </c>
      <c r="J4159" s="455">
        <f t="array" ref="J4159">IFERROR(INDEX('Retirement Calculator'!J:J,MATCH('Isaac 401k'!N4159,'Retirement Calculator'!A:A,0),0),0)</f>
        <v>0</v>
      </c>
      <c r="K4159" s="455">
        <f t="shared" ca="1" si="181"/>
        <v>52332290043.512291</v>
      </c>
      <c r="L4159" s="455">
        <f t="shared" ca="1" si="182"/>
        <v>12612081900486.461</v>
      </c>
      <c r="M4159" s="471">
        <f t="shared" si="184"/>
        <v>0.05</v>
      </c>
      <c r="N4159" s="475">
        <f t="shared" si="185"/>
        <v>177630</v>
      </c>
    </row>
    <row r="4160" spans="7:14" ht="11.25" customHeight="1" x14ac:dyDescent="0.3">
      <c r="G4160" s="470"/>
      <c r="H4160" s="470">
        <v>4153</v>
      </c>
      <c r="I4160" s="455">
        <f t="shared" ca="1" si="183"/>
        <v>12612081900486.461</v>
      </c>
      <c r="J4160" s="455">
        <f t="array" ref="J4160">IFERROR(INDEX('Retirement Calculator'!J:J,MATCH('Isaac 401k'!N4160,'Retirement Calculator'!A:A,0),0),0)</f>
        <v>0</v>
      </c>
      <c r="K4160" s="455">
        <f t="shared" ca="1" si="181"/>
        <v>52550341252.026917</v>
      </c>
      <c r="L4160" s="455">
        <f t="shared" ca="1" si="182"/>
        <v>12664632241738.488</v>
      </c>
      <c r="M4160" s="471">
        <f t="shared" si="184"/>
        <v>0.05</v>
      </c>
      <c r="N4160" s="475">
        <f t="shared" si="185"/>
        <v>177661</v>
      </c>
    </row>
    <row r="4161" spans="7:14" ht="11.25" customHeight="1" x14ac:dyDescent="0.3">
      <c r="G4161" s="470"/>
      <c r="H4161" s="470">
        <v>4154</v>
      </c>
      <c r="I4161" s="455">
        <f t="shared" ca="1" si="183"/>
        <v>12664632241738.488</v>
      </c>
      <c r="J4161" s="455">
        <f t="array" ref="J4161">IFERROR(INDEX('Retirement Calculator'!J:J,MATCH('Isaac 401k'!N4161,'Retirement Calculator'!A:A,0),0),0)</f>
        <v>0</v>
      </c>
      <c r="K4161" s="455">
        <f t="shared" ca="1" si="181"/>
        <v>52769301007.243698</v>
      </c>
      <c r="L4161" s="455">
        <f t="shared" ca="1" si="182"/>
        <v>12717401542745.732</v>
      </c>
      <c r="M4161" s="471">
        <f t="shared" si="184"/>
        <v>0.05</v>
      </c>
      <c r="N4161" s="475">
        <f t="shared" si="185"/>
        <v>177691</v>
      </c>
    </row>
    <row r="4162" spans="7:14" ht="11.25" customHeight="1" x14ac:dyDescent="0.3">
      <c r="G4162" s="470"/>
      <c r="H4162" s="470">
        <v>4155</v>
      </c>
      <c r="I4162" s="455">
        <f t="shared" ca="1" si="183"/>
        <v>12717401542745.732</v>
      </c>
      <c r="J4162" s="455">
        <f t="array" ref="J4162">IFERROR(INDEX('Retirement Calculator'!J:J,MATCH('Isaac 401k'!N4162,'Retirement Calculator'!A:A,0),0),0)</f>
        <v>0</v>
      </c>
      <c r="K4162" s="455">
        <f t="shared" ca="1" si="181"/>
        <v>52989173094.773888</v>
      </c>
      <c r="L4162" s="455">
        <f t="shared" ca="1" si="182"/>
        <v>12770390715840.506</v>
      </c>
      <c r="M4162" s="471">
        <f t="shared" si="184"/>
        <v>0.05</v>
      </c>
      <c r="N4162" s="475">
        <f t="shared" si="185"/>
        <v>177722</v>
      </c>
    </row>
    <row r="4163" spans="7:14" ht="11.25" customHeight="1" x14ac:dyDescent="0.3">
      <c r="G4163" s="470"/>
      <c r="H4163" s="470">
        <v>4156</v>
      </c>
      <c r="I4163" s="455">
        <f t="shared" ca="1" si="183"/>
        <v>12770390715840.506</v>
      </c>
      <c r="J4163" s="455">
        <f t="array" ref="J4163">IFERROR(INDEX('Retirement Calculator'!J:J,MATCH('Isaac 401k'!N4163,'Retirement Calculator'!A:A,0),0),0)</f>
        <v>0</v>
      </c>
      <c r="K4163" s="455">
        <f t="shared" ca="1" si="181"/>
        <v>53209961316.002106</v>
      </c>
      <c r="L4163" s="455">
        <f t="shared" ca="1" si="182"/>
        <v>12823600677156.508</v>
      </c>
      <c r="M4163" s="471">
        <f t="shared" si="184"/>
        <v>0.05</v>
      </c>
      <c r="N4163" s="475">
        <f t="shared" si="185"/>
        <v>177753</v>
      </c>
    </row>
    <row r="4164" spans="7:14" ht="11.25" customHeight="1" x14ac:dyDescent="0.3">
      <c r="G4164" s="470"/>
      <c r="H4164" s="470">
        <v>4157</v>
      </c>
      <c r="I4164" s="455">
        <f t="shared" ca="1" si="183"/>
        <v>12823600677156.508</v>
      </c>
      <c r="J4164" s="455">
        <f t="array" ref="J4164">IFERROR(INDEX('Retirement Calculator'!J:J,MATCH('Isaac 401k'!N4164,'Retirement Calculator'!A:A,0),0),0)</f>
        <v>0</v>
      </c>
      <c r="K4164" s="455">
        <f t="shared" ca="1" si="181"/>
        <v>53431669488.152115</v>
      </c>
      <c r="L4164" s="455">
        <f t="shared" ca="1" si="182"/>
        <v>12877032346644.66</v>
      </c>
      <c r="M4164" s="471">
        <f t="shared" si="184"/>
        <v>0.05</v>
      </c>
      <c r="N4164" s="475">
        <f t="shared" si="185"/>
        <v>177783</v>
      </c>
    </row>
    <row r="4165" spans="7:14" ht="11.25" customHeight="1" x14ac:dyDescent="0.3">
      <c r="G4165" s="470"/>
      <c r="H4165" s="470">
        <v>4158</v>
      </c>
      <c r="I4165" s="455">
        <f t="shared" ca="1" si="183"/>
        <v>12877032346644.66</v>
      </c>
      <c r="J4165" s="455">
        <f t="array" ref="J4165">IFERROR(INDEX('Retirement Calculator'!J:J,MATCH('Isaac 401k'!N4165,'Retirement Calculator'!A:A,0),0),0)</f>
        <v>0</v>
      </c>
      <c r="K4165" s="455">
        <f t="shared" ca="1" si="181"/>
        <v>53654301444.352753</v>
      </c>
      <c r="L4165" s="455">
        <f t="shared" ca="1" si="182"/>
        <v>12930686648089.014</v>
      </c>
      <c r="M4165" s="471">
        <f t="shared" si="184"/>
        <v>0.05</v>
      </c>
      <c r="N4165" s="475">
        <f t="shared" si="185"/>
        <v>177814</v>
      </c>
    </row>
    <row r="4166" spans="7:14" ht="11.25" customHeight="1" x14ac:dyDescent="0.3">
      <c r="G4166" s="470"/>
      <c r="H4166" s="470">
        <v>4159</v>
      </c>
      <c r="I4166" s="455">
        <f t="shared" ca="1" si="183"/>
        <v>12930686648089.014</v>
      </c>
      <c r="J4166" s="455">
        <f t="array" ref="J4166">IFERROR(INDEX('Retirement Calculator'!J:J,MATCH('Isaac 401k'!N4166,'Retirement Calculator'!A:A,0),0),0)</f>
        <v>0</v>
      </c>
      <c r="K4166" s="455">
        <f t="shared" ca="1" si="181"/>
        <v>53877861033.704224</v>
      </c>
      <c r="L4166" s="455">
        <f t="shared" ca="1" si="182"/>
        <v>12984564509122.719</v>
      </c>
      <c r="M4166" s="471">
        <f t="shared" si="184"/>
        <v>0.05</v>
      </c>
      <c r="N4166" s="475">
        <f t="shared" si="185"/>
        <v>177844</v>
      </c>
    </row>
    <row r="4167" spans="7:14" ht="11.25" customHeight="1" x14ac:dyDescent="0.3">
      <c r="G4167" s="470"/>
      <c r="H4167" s="470">
        <v>4160</v>
      </c>
      <c r="I4167" s="455">
        <f t="shared" ca="1" si="183"/>
        <v>12984564509122.719</v>
      </c>
      <c r="J4167" s="455">
        <f t="array" ref="J4167">IFERROR(INDEX('Retirement Calculator'!J:J,MATCH('Isaac 401k'!N4167,'Retirement Calculator'!A:A,0),0),0)</f>
        <v>0</v>
      </c>
      <c r="K4167" s="455">
        <f t="shared" ca="1" si="181"/>
        <v>54102352121.344658</v>
      </c>
      <c r="L4167" s="455">
        <f t="shared" ca="1" si="182"/>
        <v>13038666861244.063</v>
      </c>
      <c r="M4167" s="471">
        <f t="shared" si="184"/>
        <v>0.05</v>
      </c>
      <c r="N4167" s="475">
        <f t="shared" si="185"/>
        <v>177875</v>
      </c>
    </row>
    <row r="4168" spans="7:14" ht="11.25" customHeight="1" x14ac:dyDescent="0.3">
      <c r="G4168" s="470"/>
      <c r="H4168" s="470">
        <v>4161</v>
      </c>
      <c r="I4168" s="455">
        <f t="shared" ca="1" si="183"/>
        <v>13038666861244.063</v>
      </c>
      <c r="J4168" s="455">
        <f t="array" ref="J4168">IFERROR(INDEX('Retirement Calculator'!J:J,MATCH('Isaac 401k'!N4168,'Retirement Calculator'!A:A,0),0),0)</f>
        <v>0</v>
      </c>
      <c r="K4168" s="455">
        <f t="shared" ca="1" si="181"/>
        <v>54327778588.51693</v>
      </c>
      <c r="L4168" s="455">
        <f t="shared" ca="1" si="182"/>
        <v>13092994639832.58</v>
      </c>
      <c r="M4168" s="471">
        <f t="shared" si="184"/>
        <v>0.05</v>
      </c>
      <c r="N4168" s="475">
        <f t="shared" si="185"/>
        <v>177906</v>
      </c>
    </row>
    <row r="4169" spans="7:14" ht="11.25" customHeight="1" x14ac:dyDescent="0.3">
      <c r="G4169" s="470"/>
      <c r="H4169" s="470">
        <v>4162</v>
      </c>
      <c r="I4169" s="455">
        <f t="shared" ca="1" si="183"/>
        <v>13092994639832.58</v>
      </c>
      <c r="J4169" s="455">
        <f t="array" ref="J4169">IFERROR(INDEX('Retirement Calculator'!J:J,MATCH('Isaac 401k'!N4169,'Retirement Calculator'!A:A,0),0),0)</f>
        <v>0</v>
      </c>
      <c r="K4169" s="455">
        <f t="shared" ca="1" si="181"/>
        <v>54554144332.63575</v>
      </c>
      <c r="L4169" s="455">
        <f t="shared" ca="1" si="182"/>
        <v>13147548784165.217</v>
      </c>
      <c r="M4169" s="471">
        <f t="shared" si="184"/>
        <v>0.05</v>
      </c>
      <c r="N4169" s="475">
        <f t="shared" si="185"/>
        <v>177934</v>
      </c>
    </row>
    <row r="4170" spans="7:14" ht="11.25" customHeight="1" x14ac:dyDescent="0.3">
      <c r="G4170" s="470"/>
      <c r="H4170" s="470">
        <v>4163</v>
      </c>
      <c r="I4170" s="455">
        <f t="shared" ca="1" si="183"/>
        <v>13147548784165.217</v>
      </c>
      <c r="J4170" s="455">
        <f t="array" ref="J4170">IFERROR(INDEX('Retirement Calculator'!J:J,MATCH('Isaac 401k'!N4170,'Retirement Calculator'!A:A,0),0),0)</f>
        <v>0</v>
      </c>
      <c r="K4170" s="455">
        <f t="shared" ca="1" si="181"/>
        <v>54781453267.355072</v>
      </c>
      <c r="L4170" s="455">
        <f t="shared" ca="1" si="182"/>
        <v>13202330237432.572</v>
      </c>
      <c r="M4170" s="471">
        <f t="shared" si="184"/>
        <v>0.05</v>
      </c>
      <c r="N4170" s="475">
        <f t="shared" si="185"/>
        <v>177965</v>
      </c>
    </row>
    <row r="4171" spans="7:14" ht="11.25" customHeight="1" x14ac:dyDescent="0.3">
      <c r="G4171" s="470"/>
      <c r="H4171" s="470">
        <v>4164</v>
      </c>
      <c r="I4171" s="455">
        <f t="shared" ca="1" si="183"/>
        <v>13202330237432.572</v>
      </c>
      <c r="J4171" s="455">
        <f t="array" ref="J4171">IFERROR(INDEX('Retirement Calculator'!J:J,MATCH('Isaac 401k'!N4171,'Retirement Calculator'!A:A,0),0),0)</f>
        <v>0</v>
      </c>
      <c r="K4171" s="455">
        <f t="shared" ca="1" si="181"/>
        <v>55009709322.635719</v>
      </c>
      <c r="L4171" s="455">
        <f t="shared" ca="1" si="182"/>
        <v>13257339946755.207</v>
      </c>
      <c r="M4171" s="471">
        <f t="shared" si="184"/>
        <v>0.05</v>
      </c>
      <c r="N4171" s="475">
        <f t="shared" si="185"/>
        <v>177995</v>
      </c>
    </row>
    <row r="4172" spans="7:14" ht="11.25" customHeight="1" x14ac:dyDescent="0.3">
      <c r="G4172" s="470"/>
      <c r="H4172" s="470">
        <v>4165</v>
      </c>
      <c r="I4172" s="455">
        <f t="shared" ca="1" si="183"/>
        <v>13257339946755.207</v>
      </c>
      <c r="J4172" s="455">
        <f t="array" ref="J4172">IFERROR(INDEX('Retirement Calculator'!J:J,MATCH('Isaac 401k'!N4172,'Retirement Calculator'!A:A,0),0),0)</f>
        <v>0</v>
      </c>
      <c r="K4172" s="455">
        <f t="shared" ca="1" si="181"/>
        <v>55238916444.813362</v>
      </c>
      <c r="L4172" s="455">
        <f t="shared" ca="1" si="182"/>
        <v>13312578863200.02</v>
      </c>
      <c r="M4172" s="471">
        <f t="shared" si="184"/>
        <v>0.05</v>
      </c>
      <c r="N4172" s="475">
        <f t="shared" si="185"/>
        <v>178026</v>
      </c>
    </row>
    <row r="4173" spans="7:14" ht="11.25" customHeight="1" x14ac:dyDescent="0.3">
      <c r="G4173" s="470"/>
      <c r="H4173" s="470">
        <v>4166</v>
      </c>
      <c r="I4173" s="455">
        <f t="shared" ca="1" si="183"/>
        <v>13312578863200.02</v>
      </c>
      <c r="J4173" s="455">
        <f t="array" ref="J4173">IFERROR(INDEX('Retirement Calculator'!J:J,MATCH('Isaac 401k'!N4173,'Retirement Calculator'!A:A,0),0),0)</f>
        <v>0</v>
      </c>
      <c r="K4173" s="455">
        <f t="shared" ca="1" si="181"/>
        <v>55469078596.666748</v>
      </c>
      <c r="L4173" s="455">
        <f t="shared" ca="1" si="182"/>
        <v>13368047941796.686</v>
      </c>
      <c r="M4173" s="471">
        <f t="shared" si="184"/>
        <v>0.05</v>
      </c>
      <c r="N4173" s="475">
        <f t="shared" si="185"/>
        <v>178056</v>
      </c>
    </row>
    <row r="4174" spans="7:14" ht="11.25" customHeight="1" x14ac:dyDescent="0.3">
      <c r="G4174" s="470"/>
      <c r="H4174" s="470">
        <v>4167</v>
      </c>
      <c r="I4174" s="455">
        <f t="shared" ca="1" si="183"/>
        <v>13368047941796.686</v>
      </c>
      <c r="J4174" s="455">
        <f t="array" ref="J4174">IFERROR(INDEX('Retirement Calculator'!J:J,MATCH('Isaac 401k'!N4174,'Retirement Calculator'!A:A,0),0),0)</f>
        <v>0</v>
      </c>
      <c r="K4174" s="455">
        <f t="shared" ca="1" si="181"/>
        <v>55700199757.486191</v>
      </c>
      <c r="L4174" s="455">
        <f t="shared" ca="1" si="182"/>
        <v>13423748141554.172</v>
      </c>
      <c r="M4174" s="471">
        <f t="shared" si="184"/>
        <v>0.05</v>
      </c>
      <c r="N4174" s="475">
        <f t="shared" si="185"/>
        <v>178087</v>
      </c>
    </row>
    <row r="4175" spans="7:14" ht="11.25" customHeight="1" x14ac:dyDescent="0.3">
      <c r="G4175" s="470"/>
      <c r="H4175" s="470">
        <v>4168</v>
      </c>
      <c r="I4175" s="455">
        <f t="shared" ca="1" si="183"/>
        <v>13423748141554.172</v>
      </c>
      <c r="J4175" s="455">
        <f t="array" ref="J4175">IFERROR(INDEX('Retirement Calculator'!J:J,MATCH('Isaac 401k'!N4175,'Retirement Calculator'!A:A,0),0),0)</f>
        <v>0</v>
      </c>
      <c r="K4175" s="455">
        <f t="shared" ca="1" si="181"/>
        <v>55932283923.14238</v>
      </c>
      <c r="L4175" s="455">
        <f t="shared" ca="1" si="182"/>
        <v>13479680425477.314</v>
      </c>
      <c r="M4175" s="471">
        <f t="shared" si="184"/>
        <v>0.05</v>
      </c>
      <c r="N4175" s="475">
        <f t="shared" si="185"/>
        <v>178118</v>
      </c>
    </row>
    <row r="4176" spans="7:14" ht="11.25" customHeight="1" x14ac:dyDescent="0.3">
      <c r="G4176" s="470"/>
      <c r="H4176" s="470">
        <v>4169</v>
      </c>
      <c r="I4176" s="455">
        <f t="shared" ca="1" si="183"/>
        <v>13479680425477.314</v>
      </c>
      <c r="J4176" s="455">
        <f t="array" ref="J4176">IFERROR(INDEX('Retirement Calculator'!J:J,MATCH('Isaac 401k'!N4176,'Retirement Calculator'!A:A,0),0),0)</f>
        <v>0</v>
      </c>
      <c r="K4176" s="455">
        <f t="shared" ca="1" si="181"/>
        <v>56165335106.155479</v>
      </c>
      <c r="L4176" s="455">
        <f t="shared" ca="1" si="182"/>
        <v>13535845760583.471</v>
      </c>
      <c r="M4176" s="471">
        <f t="shared" si="184"/>
        <v>0.05</v>
      </c>
      <c r="N4176" s="475">
        <f t="shared" si="185"/>
        <v>178148</v>
      </c>
    </row>
    <row r="4177" spans="7:14" ht="11.25" customHeight="1" x14ac:dyDescent="0.3">
      <c r="G4177" s="470"/>
      <c r="H4177" s="470">
        <v>4170</v>
      </c>
      <c r="I4177" s="455">
        <f t="shared" ca="1" si="183"/>
        <v>13535845760583.471</v>
      </c>
      <c r="J4177" s="455">
        <f t="array" ref="J4177">IFERROR(INDEX('Retirement Calculator'!J:J,MATCH('Isaac 401k'!N4177,'Retirement Calculator'!A:A,0),0),0)</f>
        <v>0</v>
      </c>
      <c r="K4177" s="455">
        <f t="shared" ca="1" si="181"/>
        <v>56399357335.764458</v>
      </c>
      <c r="L4177" s="455">
        <f t="shared" ca="1" si="182"/>
        <v>13592245117919.234</v>
      </c>
      <c r="M4177" s="471">
        <f t="shared" si="184"/>
        <v>0.05</v>
      </c>
      <c r="N4177" s="475">
        <f t="shared" si="185"/>
        <v>178179</v>
      </c>
    </row>
    <row r="4178" spans="7:14" ht="11.25" customHeight="1" x14ac:dyDescent="0.3">
      <c r="G4178" s="470"/>
      <c r="H4178" s="470">
        <v>4171</v>
      </c>
      <c r="I4178" s="455">
        <f t="shared" ca="1" si="183"/>
        <v>13592245117919.234</v>
      </c>
      <c r="J4178" s="455">
        <f t="array" ref="J4178">IFERROR(INDEX('Retirement Calculator'!J:J,MATCH('Isaac 401k'!N4178,'Retirement Calculator'!A:A,0),0),0)</f>
        <v>0</v>
      </c>
      <c r="K4178" s="455">
        <f t="shared" ca="1" si="181"/>
        <v>56634354657.996811</v>
      </c>
      <c r="L4178" s="455">
        <f t="shared" ca="1" si="182"/>
        <v>13648879472577.23</v>
      </c>
      <c r="M4178" s="471">
        <f t="shared" si="184"/>
        <v>0.05</v>
      </c>
      <c r="N4178" s="475">
        <f t="shared" si="185"/>
        <v>178209</v>
      </c>
    </row>
    <row r="4179" spans="7:14" ht="11.25" customHeight="1" x14ac:dyDescent="0.3">
      <c r="G4179" s="470"/>
      <c r="H4179" s="470">
        <v>4172</v>
      </c>
      <c r="I4179" s="455">
        <f t="shared" ca="1" si="183"/>
        <v>13648879472577.23</v>
      </c>
      <c r="J4179" s="455">
        <f t="array" ref="J4179">IFERROR(INDEX('Retirement Calculator'!J:J,MATCH('Isaac 401k'!N4179,'Retirement Calculator'!A:A,0),0),0)</f>
        <v>0</v>
      </c>
      <c r="K4179" s="455">
        <f t="shared" ca="1" si="181"/>
        <v>56870331135.738457</v>
      </c>
      <c r="L4179" s="455">
        <f t="shared" ca="1" si="182"/>
        <v>13705749803712.969</v>
      </c>
      <c r="M4179" s="471">
        <f t="shared" si="184"/>
        <v>0.05</v>
      </c>
      <c r="N4179" s="475">
        <f t="shared" si="185"/>
        <v>178240</v>
      </c>
    </row>
    <row r="4180" spans="7:14" ht="11.25" customHeight="1" x14ac:dyDescent="0.3">
      <c r="G4180" s="470"/>
      <c r="H4180" s="470">
        <v>4173</v>
      </c>
      <c r="I4180" s="455">
        <f t="shared" ca="1" si="183"/>
        <v>13705749803712.969</v>
      </c>
      <c r="J4180" s="455">
        <f t="array" ref="J4180">IFERROR(INDEX('Retirement Calculator'!J:J,MATCH('Isaac 401k'!N4180,'Retirement Calculator'!A:A,0),0),0)</f>
        <v>0</v>
      </c>
      <c r="K4180" s="455">
        <f t="shared" ca="1" si="181"/>
        <v>57107290848.804024</v>
      </c>
      <c r="L4180" s="455">
        <f t="shared" ca="1" si="182"/>
        <v>13762857094561.773</v>
      </c>
      <c r="M4180" s="471">
        <f t="shared" si="184"/>
        <v>0.05</v>
      </c>
      <c r="N4180" s="475">
        <f t="shared" si="185"/>
        <v>178271</v>
      </c>
    </row>
    <row r="4181" spans="7:14" ht="11.25" customHeight="1" x14ac:dyDescent="0.3">
      <c r="G4181" s="470"/>
      <c r="H4181" s="470">
        <v>4174</v>
      </c>
      <c r="I4181" s="455">
        <f t="shared" ca="1" si="183"/>
        <v>13762857094561.773</v>
      </c>
      <c r="J4181" s="455">
        <f t="array" ref="J4181">IFERROR(INDEX('Retirement Calculator'!J:J,MATCH('Isaac 401k'!N4181,'Retirement Calculator'!A:A,0),0),0)</f>
        <v>0</v>
      </c>
      <c r="K4181" s="455">
        <f t="shared" ca="1" si="181"/>
        <v>57345237894.007385</v>
      </c>
      <c r="L4181" s="455">
        <f t="shared" ca="1" si="182"/>
        <v>13820202332455.781</v>
      </c>
      <c r="M4181" s="471">
        <f t="shared" si="184"/>
        <v>0.05</v>
      </c>
      <c r="N4181" s="475">
        <f t="shared" si="185"/>
        <v>178300</v>
      </c>
    </row>
    <row r="4182" spans="7:14" ht="11.25" customHeight="1" x14ac:dyDescent="0.3">
      <c r="G4182" s="470"/>
      <c r="H4182" s="470">
        <v>4175</v>
      </c>
      <c r="I4182" s="455">
        <f t="shared" ca="1" si="183"/>
        <v>13820202332455.781</v>
      </c>
      <c r="J4182" s="455">
        <f t="array" ref="J4182">IFERROR(INDEX('Retirement Calculator'!J:J,MATCH('Isaac 401k'!N4182,'Retirement Calculator'!A:A,0),0),0)</f>
        <v>0</v>
      </c>
      <c r="K4182" s="455">
        <f t="shared" ca="1" si="181"/>
        <v>57584176385.23243</v>
      </c>
      <c r="L4182" s="455">
        <f t="shared" ca="1" si="182"/>
        <v>13877786508841.014</v>
      </c>
      <c r="M4182" s="471">
        <f t="shared" si="184"/>
        <v>0.05</v>
      </c>
      <c r="N4182" s="475">
        <f t="shared" si="185"/>
        <v>178331</v>
      </c>
    </row>
    <row r="4183" spans="7:14" ht="11.25" customHeight="1" x14ac:dyDescent="0.3">
      <c r="G4183" s="470"/>
      <c r="H4183" s="470">
        <v>4176</v>
      </c>
      <c r="I4183" s="455">
        <f t="shared" ca="1" si="183"/>
        <v>13877786508841.014</v>
      </c>
      <c r="J4183" s="455">
        <f t="array" ref="J4183">IFERROR(INDEX('Retirement Calculator'!J:J,MATCH('Isaac 401k'!N4183,'Retirement Calculator'!A:A,0),0),0)</f>
        <v>0</v>
      </c>
      <c r="K4183" s="455">
        <f t="shared" ca="1" si="181"/>
        <v>57824110453.504219</v>
      </c>
      <c r="L4183" s="455">
        <f t="shared" ca="1" si="182"/>
        <v>13935610619294.518</v>
      </c>
      <c r="M4183" s="471">
        <f t="shared" si="184"/>
        <v>0.05</v>
      </c>
      <c r="N4183" s="475">
        <f t="shared" si="185"/>
        <v>178361</v>
      </c>
    </row>
    <row r="4184" spans="7:14" ht="11.25" customHeight="1" x14ac:dyDescent="0.3">
      <c r="G4184" s="470"/>
      <c r="H4184" s="470">
        <v>4177</v>
      </c>
      <c r="I4184" s="455">
        <f t="shared" ca="1" si="183"/>
        <v>13935610619294.518</v>
      </c>
      <c r="J4184" s="455">
        <f t="array" ref="J4184">IFERROR(INDEX('Retirement Calculator'!J:J,MATCH('Isaac 401k'!N4184,'Retirement Calculator'!A:A,0),0),0)</f>
        <v>0</v>
      </c>
      <c r="K4184" s="455">
        <f t="shared" ca="1" si="181"/>
        <v>58065044247.060486</v>
      </c>
      <c r="L4184" s="455">
        <f t="shared" ca="1" si="182"/>
        <v>13993675663541.578</v>
      </c>
      <c r="M4184" s="471">
        <f t="shared" si="184"/>
        <v>0.05</v>
      </c>
      <c r="N4184" s="475">
        <f t="shared" si="185"/>
        <v>178392</v>
      </c>
    </row>
    <row r="4185" spans="7:14" ht="11.25" customHeight="1" x14ac:dyDescent="0.3">
      <c r="G4185" s="470"/>
      <c r="H4185" s="470">
        <v>4178</v>
      </c>
      <c r="I4185" s="455">
        <f t="shared" ca="1" si="183"/>
        <v>13993675663541.578</v>
      </c>
      <c r="J4185" s="455">
        <f t="array" ref="J4185">IFERROR(INDEX('Retirement Calculator'!J:J,MATCH('Isaac 401k'!N4185,'Retirement Calculator'!A:A,0),0),0)</f>
        <v>0</v>
      </c>
      <c r="K4185" s="455">
        <f t="shared" ca="1" si="181"/>
        <v>58306981931.423241</v>
      </c>
      <c r="L4185" s="455">
        <f t="shared" ca="1" si="182"/>
        <v>14051982645473.002</v>
      </c>
      <c r="M4185" s="471">
        <f t="shared" si="184"/>
        <v>0.05</v>
      </c>
      <c r="N4185" s="475">
        <f t="shared" si="185"/>
        <v>178422</v>
      </c>
    </row>
    <row r="4186" spans="7:14" ht="11.25" customHeight="1" x14ac:dyDescent="0.3">
      <c r="G4186" s="470"/>
      <c r="H4186" s="470">
        <v>4179</v>
      </c>
      <c r="I4186" s="455">
        <f t="shared" ca="1" si="183"/>
        <v>14051982645473.002</v>
      </c>
      <c r="J4186" s="455">
        <f t="array" ref="J4186">IFERROR(INDEX('Retirement Calculator'!J:J,MATCH('Isaac 401k'!N4186,'Retirement Calculator'!A:A,0),0),0)</f>
        <v>0</v>
      </c>
      <c r="K4186" s="455">
        <f t="shared" ca="1" si="181"/>
        <v>58549927689.47084</v>
      </c>
      <c r="L4186" s="455">
        <f t="shared" ca="1" si="182"/>
        <v>14110532573162.473</v>
      </c>
      <c r="M4186" s="471">
        <f t="shared" si="184"/>
        <v>0.05</v>
      </c>
      <c r="N4186" s="475">
        <f t="shared" si="185"/>
        <v>178453</v>
      </c>
    </row>
    <row r="4187" spans="7:14" ht="11.25" customHeight="1" x14ac:dyDescent="0.3">
      <c r="G4187" s="470"/>
      <c r="H4187" s="470">
        <v>4180</v>
      </c>
      <c r="I4187" s="455">
        <f t="shared" ca="1" si="183"/>
        <v>14110532573162.473</v>
      </c>
      <c r="J4187" s="455">
        <f t="array" ref="J4187">IFERROR(INDEX('Retirement Calculator'!J:J,MATCH('Isaac 401k'!N4187,'Retirement Calculator'!A:A,0),0),0)</f>
        <v>0</v>
      </c>
      <c r="K4187" s="455">
        <f t="shared" ca="1" si="181"/>
        <v>58793885721.5103</v>
      </c>
      <c r="L4187" s="455">
        <f t="shared" ca="1" si="182"/>
        <v>14169326458883.982</v>
      </c>
      <c r="M4187" s="471">
        <f t="shared" si="184"/>
        <v>0.05</v>
      </c>
      <c r="N4187" s="475">
        <f t="shared" si="185"/>
        <v>178484</v>
      </c>
    </row>
    <row r="4188" spans="7:14" ht="11.25" customHeight="1" x14ac:dyDescent="0.3">
      <c r="G4188" s="470"/>
      <c r="H4188" s="470">
        <v>4181</v>
      </c>
      <c r="I4188" s="455">
        <f t="shared" ca="1" si="183"/>
        <v>14169326458883.982</v>
      </c>
      <c r="J4188" s="455">
        <f t="array" ref="J4188">IFERROR(INDEX('Retirement Calculator'!J:J,MATCH('Isaac 401k'!N4188,'Retirement Calculator'!A:A,0),0),0)</f>
        <v>0</v>
      </c>
      <c r="K4188" s="455">
        <f t="shared" ca="1" si="181"/>
        <v>59038860245.349922</v>
      </c>
      <c r="L4188" s="455">
        <f t="shared" ca="1" si="182"/>
        <v>14228365319129.332</v>
      </c>
      <c r="M4188" s="471">
        <f t="shared" si="184"/>
        <v>0.05</v>
      </c>
      <c r="N4188" s="475">
        <f t="shared" si="185"/>
        <v>178514</v>
      </c>
    </row>
    <row r="4189" spans="7:14" ht="11.25" customHeight="1" x14ac:dyDescent="0.3">
      <c r="G4189" s="470"/>
      <c r="H4189" s="470">
        <v>4182</v>
      </c>
      <c r="I4189" s="455">
        <f t="shared" ca="1" si="183"/>
        <v>14228365319129.332</v>
      </c>
      <c r="J4189" s="455">
        <f t="array" ref="J4189">IFERROR(INDEX('Retirement Calculator'!J:J,MATCH('Isaac 401k'!N4189,'Retirement Calculator'!A:A,0),0),0)</f>
        <v>0</v>
      </c>
      <c r="K4189" s="455">
        <f t="shared" ca="1" si="181"/>
        <v>59284855496.372215</v>
      </c>
      <c r="L4189" s="455">
        <f t="shared" ca="1" si="182"/>
        <v>14287650174625.705</v>
      </c>
      <c r="M4189" s="471">
        <f t="shared" si="184"/>
        <v>0.05</v>
      </c>
      <c r="N4189" s="475">
        <f t="shared" si="185"/>
        <v>178545</v>
      </c>
    </row>
    <row r="4190" spans="7:14" ht="11.25" customHeight="1" x14ac:dyDescent="0.3">
      <c r="G4190" s="470"/>
      <c r="H4190" s="470">
        <v>4183</v>
      </c>
      <c r="I4190" s="455">
        <f t="shared" ca="1" si="183"/>
        <v>14287650174625.705</v>
      </c>
      <c r="J4190" s="455">
        <f t="array" ref="J4190">IFERROR(INDEX('Retirement Calculator'!J:J,MATCH('Isaac 401k'!N4190,'Retirement Calculator'!A:A,0),0),0)</f>
        <v>0</v>
      </c>
      <c r="K4190" s="455">
        <f t="shared" ca="1" si="181"/>
        <v>59531875727.607109</v>
      </c>
      <c r="L4190" s="455">
        <f t="shared" ca="1" si="182"/>
        <v>14347182050353.313</v>
      </c>
      <c r="M4190" s="471">
        <f t="shared" si="184"/>
        <v>0.05</v>
      </c>
      <c r="N4190" s="475">
        <f t="shared" si="185"/>
        <v>178575</v>
      </c>
    </row>
    <row r="4191" spans="7:14" ht="11.25" customHeight="1" x14ac:dyDescent="0.3">
      <c r="G4191" s="470"/>
      <c r="H4191" s="470">
        <v>4184</v>
      </c>
      <c r="I4191" s="455">
        <f t="shared" ca="1" si="183"/>
        <v>14347182050353.313</v>
      </c>
      <c r="J4191" s="455">
        <f t="array" ref="J4191">IFERROR(INDEX('Retirement Calculator'!J:J,MATCH('Isaac 401k'!N4191,'Retirement Calculator'!A:A,0),0),0)</f>
        <v>0</v>
      </c>
      <c r="K4191" s="455">
        <f t="shared" ca="1" si="181"/>
        <v>59779925209.805466</v>
      </c>
      <c r="L4191" s="455">
        <f t="shared" ca="1" si="182"/>
        <v>14406961975563.117</v>
      </c>
      <c r="M4191" s="471">
        <f t="shared" si="184"/>
        <v>0.05</v>
      </c>
      <c r="N4191" s="475">
        <f t="shared" si="185"/>
        <v>178606</v>
      </c>
    </row>
    <row r="4192" spans="7:14" ht="11.25" customHeight="1" x14ac:dyDescent="0.3">
      <c r="G4192" s="470"/>
      <c r="H4192" s="470">
        <v>4185</v>
      </c>
      <c r="I4192" s="455">
        <f t="shared" ca="1" si="183"/>
        <v>14406961975563.117</v>
      </c>
      <c r="J4192" s="455">
        <f t="array" ref="J4192">IFERROR(INDEX('Retirement Calculator'!J:J,MATCH('Isaac 401k'!N4192,'Retirement Calculator'!A:A,0),0),0)</f>
        <v>0</v>
      </c>
      <c r="K4192" s="455">
        <f t="shared" ca="1" si="181"/>
        <v>60029008231.512993</v>
      </c>
      <c r="L4192" s="455">
        <f t="shared" ca="1" si="182"/>
        <v>14466990983794.631</v>
      </c>
      <c r="M4192" s="471">
        <f t="shared" si="184"/>
        <v>0.05</v>
      </c>
      <c r="N4192" s="475">
        <f t="shared" si="185"/>
        <v>178637</v>
      </c>
    </row>
    <row r="4193" spans="7:14" ht="11.25" customHeight="1" x14ac:dyDescent="0.3">
      <c r="G4193" s="470"/>
      <c r="H4193" s="470">
        <v>4186</v>
      </c>
      <c r="I4193" s="455">
        <f t="shared" ca="1" si="183"/>
        <v>14466990983794.631</v>
      </c>
      <c r="J4193" s="455">
        <f t="array" ref="J4193">IFERROR(INDEX('Retirement Calculator'!J:J,MATCH('Isaac 401k'!N4193,'Retirement Calculator'!A:A,0),0),0)</f>
        <v>0</v>
      </c>
      <c r="K4193" s="455">
        <f t="shared" ca="1" si="181"/>
        <v>60279129099.144287</v>
      </c>
      <c r="L4193" s="455">
        <f t="shared" ca="1" si="182"/>
        <v>14527270112893.775</v>
      </c>
      <c r="M4193" s="471">
        <f t="shared" si="184"/>
        <v>0.05</v>
      </c>
      <c r="N4193" s="475">
        <f t="shared" si="185"/>
        <v>178665</v>
      </c>
    </row>
    <row r="4194" spans="7:14" ht="11.25" customHeight="1" x14ac:dyDescent="0.3">
      <c r="G4194" s="470"/>
      <c r="H4194" s="470">
        <v>4187</v>
      </c>
      <c r="I4194" s="455">
        <f t="shared" ca="1" si="183"/>
        <v>14527270112893.775</v>
      </c>
      <c r="J4194" s="455">
        <f t="array" ref="J4194">IFERROR(INDEX('Retirement Calculator'!J:J,MATCH('Isaac 401k'!N4194,'Retirement Calculator'!A:A,0),0),0)</f>
        <v>0</v>
      </c>
      <c r="K4194" s="455">
        <f t="shared" ca="1" si="181"/>
        <v>60530292137.057396</v>
      </c>
      <c r="L4194" s="455">
        <f t="shared" ca="1" si="182"/>
        <v>14587800405030.832</v>
      </c>
      <c r="M4194" s="471">
        <f t="shared" si="184"/>
        <v>0.05</v>
      </c>
      <c r="N4194" s="475">
        <f t="shared" si="185"/>
        <v>178696</v>
      </c>
    </row>
    <row r="4195" spans="7:14" ht="11.25" customHeight="1" x14ac:dyDescent="0.3">
      <c r="G4195" s="470"/>
      <c r="H4195" s="470">
        <v>4188</v>
      </c>
      <c r="I4195" s="455">
        <f t="shared" ca="1" si="183"/>
        <v>14587800405030.832</v>
      </c>
      <c r="J4195" s="455">
        <f t="array" ref="J4195">IFERROR(INDEX('Retirement Calculator'!J:J,MATCH('Isaac 401k'!N4195,'Retirement Calculator'!A:A,0),0),0)</f>
        <v>0</v>
      </c>
      <c r="K4195" s="455">
        <f t="shared" ca="1" si="181"/>
        <v>60782501687.628464</v>
      </c>
      <c r="L4195" s="455">
        <f t="shared" ca="1" si="182"/>
        <v>14648582906718.461</v>
      </c>
      <c r="M4195" s="471">
        <f t="shared" si="184"/>
        <v>0.05</v>
      </c>
      <c r="N4195" s="475">
        <f t="shared" si="185"/>
        <v>178726</v>
      </c>
    </row>
    <row r="4196" spans="7:14" ht="11.25" customHeight="1" x14ac:dyDescent="0.3">
      <c r="G4196" s="470"/>
      <c r="H4196" s="470">
        <v>4189</v>
      </c>
      <c r="I4196" s="455">
        <f t="shared" ca="1" si="183"/>
        <v>14648582906718.461</v>
      </c>
      <c r="J4196" s="455">
        <f t="array" ref="J4196">IFERROR(INDEX('Retirement Calculator'!J:J,MATCH('Isaac 401k'!N4196,'Retirement Calculator'!A:A,0),0),0)</f>
        <v>0</v>
      </c>
      <c r="K4196" s="455">
        <f t="shared" ca="1" si="181"/>
        <v>61035762111.32692</v>
      </c>
      <c r="L4196" s="455">
        <f t="shared" ca="1" si="182"/>
        <v>14709618668829.787</v>
      </c>
      <c r="M4196" s="471">
        <f t="shared" si="184"/>
        <v>0.05</v>
      </c>
      <c r="N4196" s="475">
        <f t="shared" si="185"/>
        <v>178757</v>
      </c>
    </row>
    <row r="4197" spans="7:14" ht="11.25" customHeight="1" x14ac:dyDescent="0.3">
      <c r="G4197" s="470"/>
      <c r="H4197" s="470">
        <v>4190</v>
      </c>
      <c r="I4197" s="455">
        <f t="shared" ca="1" si="183"/>
        <v>14709618668829.787</v>
      </c>
      <c r="J4197" s="455">
        <f t="array" ref="J4197">IFERROR(INDEX('Retirement Calculator'!J:J,MATCH('Isaac 401k'!N4197,'Retirement Calculator'!A:A,0),0),0)</f>
        <v>0</v>
      </c>
      <c r="K4197" s="455">
        <f t="shared" ca="1" si="181"/>
        <v>61290077786.790787</v>
      </c>
      <c r="L4197" s="455">
        <f t="shared" ca="1" si="182"/>
        <v>14770908746616.578</v>
      </c>
      <c r="M4197" s="471">
        <f t="shared" si="184"/>
        <v>0.05</v>
      </c>
      <c r="N4197" s="475">
        <f t="shared" si="185"/>
        <v>178787</v>
      </c>
    </row>
    <row r="4198" spans="7:14" ht="11.25" customHeight="1" x14ac:dyDescent="0.3">
      <c r="G4198" s="470"/>
      <c r="H4198" s="470">
        <v>4191</v>
      </c>
      <c r="I4198" s="455">
        <f t="shared" ca="1" si="183"/>
        <v>14770908746616.578</v>
      </c>
      <c r="J4198" s="455">
        <f t="array" ref="J4198">IFERROR(INDEX('Retirement Calculator'!J:J,MATCH('Isaac 401k'!N4198,'Retirement Calculator'!A:A,0),0),0)</f>
        <v>0</v>
      </c>
      <c r="K4198" s="455">
        <f t="shared" ca="1" si="181"/>
        <v>61545453110.902405</v>
      </c>
      <c r="L4198" s="455">
        <f t="shared" ca="1" si="182"/>
        <v>14832454199727.48</v>
      </c>
      <c r="M4198" s="471">
        <f t="shared" si="184"/>
        <v>0.05</v>
      </c>
      <c r="N4198" s="475">
        <f t="shared" si="185"/>
        <v>178818</v>
      </c>
    </row>
    <row r="4199" spans="7:14" ht="11.25" customHeight="1" x14ac:dyDescent="0.3">
      <c r="G4199" s="470"/>
      <c r="H4199" s="470">
        <v>4192</v>
      </c>
      <c r="I4199" s="455">
        <f t="shared" ca="1" si="183"/>
        <v>14832454199727.48</v>
      </c>
      <c r="J4199" s="455">
        <f t="array" ref="J4199">IFERROR(INDEX('Retirement Calculator'!J:J,MATCH('Isaac 401k'!N4199,'Retirement Calculator'!A:A,0),0),0)</f>
        <v>0</v>
      </c>
      <c r="K4199" s="455">
        <f t="shared" ca="1" si="181"/>
        <v>61801892498.864494</v>
      </c>
      <c r="L4199" s="455">
        <f t="shared" ca="1" si="182"/>
        <v>14894256092226.346</v>
      </c>
      <c r="M4199" s="471">
        <f t="shared" si="184"/>
        <v>0.05</v>
      </c>
      <c r="N4199" s="475">
        <f t="shared" si="185"/>
        <v>178849</v>
      </c>
    </row>
    <row r="4200" spans="7:14" ht="11.25" customHeight="1" x14ac:dyDescent="0.3">
      <c r="G4200" s="470"/>
      <c r="H4200" s="470">
        <v>4193</v>
      </c>
      <c r="I4200" s="455">
        <f t="shared" ca="1" si="183"/>
        <v>14894256092226.346</v>
      </c>
      <c r="J4200" s="455">
        <f t="array" ref="J4200">IFERROR(INDEX('Retirement Calculator'!J:J,MATCH('Isaac 401k'!N4200,'Retirement Calculator'!A:A,0),0),0)</f>
        <v>0</v>
      </c>
      <c r="K4200" s="455">
        <f t="shared" ca="1" si="181"/>
        <v>62059400384.276436</v>
      </c>
      <c r="L4200" s="455">
        <f t="shared" ca="1" si="182"/>
        <v>14956315492610.623</v>
      </c>
      <c r="M4200" s="471">
        <f t="shared" si="184"/>
        <v>0.05</v>
      </c>
      <c r="N4200" s="475">
        <f t="shared" si="185"/>
        <v>178879</v>
      </c>
    </row>
    <row r="4201" spans="7:14" ht="11.25" customHeight="1" x14ac:dyDescent="0.3">
      <c r="G4201" s="470"/>
      <c r="H4201" s="470">
        <v>4194</v>
      </c>
      <c r="I4201" s="455">
        <f t="shared" ca="1" si="183"/>
        <v>14956315492610.623</v>
      </c>
      <c r="J4201" s="455">
        <f t="array" ref="J4201">IFERROR(INDEX('Retirement Calculator'!J:J,MATCH('Isaac 401k'!N4201,'Retirement Calculator'!A:A,0),0),0)</f>
        <v>0</v>
      </c>
      <c r="K4201" s="455">
        <f t="shared" ca="1" si="181"/>
        <v>62317981219.210938</v>
      </c>
      <c r="L4201" s="455">
        <f t="shared" ca="1" si="182"/>
        <v>15018633473829.834</v>
      </c>
      <c r="M4201" s="471">
        <f t="shared" si="184"/>
        <v>0.05</v>
      </c>
      <c r="N4201" s="475">
        <f t="shared" si="185"/>
        <v>178910</v>
      </c>
    </row>
    <row r="4202" spans="7:14" ht="11.25" customHeight="1" x14ac:dyDescent="0.3">
      <c r="G4202" s="470"/>
      <c r="H4202" s="470">
        <v>4195</v>
      </c>
      <c r="I4202" s="455">
        <f t="shared" ca="1" si="183"/>
        <v>15018633473829.834</v>
      </c>
      <c r="J4202" s="455">
        <f t="array" ref="J4202">IFERROR(INDEX('Retirement Calculator'!J:J,MATCH('Isaac 401k'!N4202,'Retirement Calculator'!A:A,0),0),0)</f>
        <v>0</v>
      </c>
      <c r="K4202" s="455">
        <f t="shared" ca="1" si="181"/>
        <v>62577639474.290977</v>
      </c>
      <c r="L4202" s="455">
        <f t="shared" ca="1" si="182"/>
        <v>15081211113304.125</v>
      </c>
      <c r="M4202" s="471">
        <f t="shared" si="184"/>
        <v>0.05</v>
      </c>
      <c r="N4202" s="475">
        <f t="shared" si="185"/>
        <v>178940</v>
      </c>
    </row>
    <row r="4203" spans="7:14" ht="11.25" customHeight="1" x14ac:dyDescent="0.3">
      <c r="G4203" s="470"/>
      <c r="H4203" s="470">
        <v>4196</v>
      </c>
      <c r="I4203" s="455">
        <f t="shared" ca="1" si="183"/>
        <v>15081211113304.125</v>
      </c>
      <c r="J4203" s="455">
        <f t="array" ref="J4203">IFERROR(INDEX('Retirement Calculator'!J:J,MATCH('Isaac 401k'!N4203,'Retirement Calculator'!A:A,0),0),0)</f>
        <v>0</v>
      </c>
      <c r="K4203" s="455">
        <f t="shared" ca="1" si="181"/>
        <v>62838379638.767189</v>
      </c>
      <c r="L4203" s="455">
        <f t="shared" ca="1" si="182"/>
        <v>15144049492942.893</v>
      </c>
      <c r="M4203" s="471">
        <f t="shared" si="184"/>
        <v>0.05</v>
      </c>
      <c r="N4203" s="475">
        <f t="shared" si="185"/>
        <v>178971</v>
      </c>
    </row>
    <row r="4204" spans="7:14" ht="11.25" customHeight="1" x14ac:dyDescent="0.3">
      <c r="G4204" s="470"/>
      <c r="H4204" s="470">
        <v>4197</v>
      </c>
      <c r="I4204" s="455">
        <f t="shared" ca="1" si="183"/>
        <v>15144049492942.893</v>
      </c>
      <c r="J4204" s="455">
        <f t="array" ref="J4204">IFERROR(INDEX('Retirement Calculator'!J:J,MATCH('Isaac 401k'!N4204,'Retirement Calculator'!A:A,0),0),0)</f>
        <v>0</v>
      </c>
      <c r="K4204" s="455">
        <f t="shared" ca="1" si="181"/>
        <v>63100206220.59539</v>
      </c>
      <c r="L4204" s="455">
        <f t="shared" ca="1" si="182"/>
        <v>15207149699163.488</v>
      </c>
      <c r="M4204" s="471">
        <f t="shared" si="184"/>
        <v>0.05</v>
      </c>
      <c r="N4204" s="475">
        <f t="shared" si="185"/>
        <v>179002</v>
      </c>
    </row>
    <row r="4205" spans="7:14" ht="11.25" customHeight="1" x14ac:dyDescent="0.3">
      <c r="G4205" s="470"/>
      <c r="H4205" s="470">
        <v>4198</v>
      </c>
      <c r="I4205" s="455">
        <f t="shared" ca="1" si="183"/>
        <v>15207149699163.488</v>
      </c>
      <c r="J4205" s="455">
        <f t="array" ref="J4205">IFERROR(INDEX('Retirement Calculator'!J:J,MATCH('Isaac 401k'!N4205,'Retirement Calculator'!A:A,0),0),0)</f>
        <v>0</v>
      </c>
      <c r="K4205" s="455">
        <f t="shared" ca="1" si="181"/>
        <v>63363123746.514534</v>
      </c>
      <c r="L4205" s="455">
        <f t="shared" ca="1" si="182"/>
        <v>15270512822910.002</v>
      </c>
      <c r="M4205" s="471">
        <f t="shared" si="184"/>
        <v>0.05</v>
      </c>
      <c r="N4205" s="475">
        <f t="shared" si="185"/>
        <v>179030</v>
      </c>
    </row>
    <row r="4206" spans="7:14" ht="11.25" customHeight="1" x14ac:dyDescent="0.3">
      <c r="G4206" s="470"/>
      <c r="H4206" s="470">
        <v>4199</v>
      </c>
      <c r="I4206" s="455">
        <f t="shared" ca="1" si="183"/>
        <v>15270512822910.002</v>
      </c>
      <c r="J4206" s="455">
        <f t="array" ref="J4206">IFERROR(INDEX('Retirement Calculator'!J:J,MATCH('Isaac 401k'!N4206,'Retirement Calculator'!A:A,0),0),0)</f>
        <v>0</v>
      </c>
      <c r="K4206" s="455">
        <f t="shared" ca="1" si="181"/>
        <v>63627136762.125015</v>
      </c>
      <c r="L4206" s="455">
        <f t="shared" ca="1" si="182"/>
        <v>15334139959672.127</v>
      </c>
      <c r="M4206" s="471">
        <f t="shared" si="184"/>
        <v>0.05</v>
      </c>
      <c r="N4206" s="475">
        <f t="shared" si="185"/>
        <v>179061</v>
      </c>
    </row>
    <row r="4207" spans="7:14" ht="11.25" customHeight="1" x14ac:dyDescent="0.3">
      <c r="G4207" s="470"/>
      <c r="H4207" s="470">
        <v>4200</v>
      </c>
      <c r="I4207" s="455">
        <f t="shared" ca="1" si="183"/>
        <v>15334139959672.127</v>
      </c>
      <c r="J4207" s="455">
        <f t="array" ref="J4207">IFERROR(INDEX('Retirement Calculator'!J:J,MATCH('Isaac 401k'!N4207,'Retirement Calculator'!A:A,0),0),0)</f>
        <v>0</v>
      </c>
      <c r="K4207" s="455">
        <f t="shared" ca="1" si="181"/>
        <v>63892249831.967194</v>
      </c>
      <c r="L4207" s="455">
        <f t="shared" ca="1" si="182"/>
        <v>15398032209504.094</v>
      </c>
      <c r="M4207" s="471">
        <f t="shared" si="184"/>
        <v>0.05</v>
      </c>
      <c r="N4207" s="475">
        <f t="shared" si="185"/>
        <v>179091</v>
      </c>
    </row>
    <row r="4208" spans="7:14" ht="11.25" customHeight="1" x14ac:dyDescent="0.3">
      <c r="G4208" s="470"/>
      <c r="H4208" s="470">
        <v>4201</v>
      </c>
      <c r="I4208" s="455">
        <f t="shared" ca="1" si="183"/>
        <v>15398032209504.094</v>
      </c>
      <c r="J4208" s="455">
        <f t="array" ref="J4208">IFERROR(INDEX('Retirement Calculator'!J:J,MATCH('Isaac 401k'!N4208,'Retirement Calculator'!A:A,0),0),0)</f>
        <v>0</v>
      </c>
      <c r="K4208" s="455">
        <f t="shared" ca="1" si="181"/>
        <v>64158467539.600395</v>
      </c>
      <c r="L4208" s="455">
        <f t="shared" ca="1" si="182"/>
        <v>15462190677043.693</v>
      </c>
      <c r="M4208" s="471">
        <f t="shared" si="184"/>
        <v>0.05</v>
      </c>
      <c r="N4208" s="475">
        <f t="shared" si="185"/>
        <v>179122</v>
      </c>
    </row>
    <row r="4209" spans="7:14" ht="11.25" customHeight="1" x14ac:dyDescent="0.3">
      <c r="G4209" s="470"/>
      <c r="H4209" s="470">
        <v>4202</v>
      </c>
      <c r="I4209" s="455">
        <f t="shared" ca="1" si="183"/>
        <v>15462190677043.693</v>
      </c>
      <c r="J4209" s="455">
        <f t="array" ref="J4209">IFERROR(INDEX('Retirement Calculator'!J:J,MATCH('Isaac 401k'!N4209,'Retirement Calculator'!A:A,0),0),0)</f>
        <v>0</v>
      </c>
      <c r="K4209" s="455">
        <f t="shared" ca="1" si="181"/>
        <v>64425794487.682053</v>
      </c>
      <c r="L4209" s="455">
        <f t="shared" ca="1" si="182"/>
        <v>15526616471531.375</v>
      </c>
      <c r="M4209" s="471">
        <f t="shared" si="184"/>
        <v>0.05</v>
      </c>
      <c r="N4209" s="475">
        <f t="shared" si="185"/>
        <v>179152</v>
      </c>
    </row>
    <row r="4210" spans="7:14" ht="11.25" customHeight="1" x14ac:dyDescent="0.3">
      <c r="G4210" s="470"/>
      <c r="H4210" s="470">
        <v>4203</v>
      </c>
      <c r="I4210" s="455">
        <f t="shared" ca="1" si="183"/>
        <v>15526616471531.375</v>
      </c>
      <c r="J4210" s="455">
        <f t="array" ref="J4210">IFERROR(INDEX('Retirement Calculator'!J:J,MATCH('Isaac 401k'!N4210,'Retirement Calculator'!A:A,0),0),0)</f>
        <v>0</v>
      </c>
      <c r="K4210" s="455">
        <f t="shared" ca="1" si="181"/>
        <v>64694235298.047394</v>
      </c>
      <c r="L4210" s="455">
        <f t="shared" ca="1" si="182"/>
        <v>15591310706829.422</v>
      </c>
      <c r="M4210" s="471">
        <f t="shared" si="184"/>
        <v>0.05</v>
      </c>
      <c r="N4210" s="475">
        <f t="shared" si="185"/>
        <v>179183</v>
      </c>
    </row>
    <row r="4211" spans="7:14" ht="11.25" customHeight="1" x14ac:dyDescent="0.3">
      <c r="G4211" s="470"/>
      <c r="H4211" s="470">
        <v>4204</v>
      </c>
      <c r="I4211" s="455">
        <f t="shared" ca="1" si="183"/>
        <v>15591310706829.422</v>
      </c>
      <c r="J4211" s="455">
        <f t="array" ref="J4211">IFERROR(INDEX('Retirement Calculator'!J:J,MATCH('Isaac 401k'!N4211,'Retirement Calculator'!A:A,0),0),0)</f>
        <v>0</v>
      </c>
      <c r="K4211" s="455">
        <f t="shared" ca="1" si="181"/>
        <v>64963794611.789253</v>
      </c>
      <c r="L4211" s="455">
        <f t="shared" ca="1" si="182"/>
        <v>15656274501441.211</v>
      </c>
      <c r="M4211" s="471">
        <f t="shared" si="184"/>
        <v>0.05</v>
      </c>
      <c r="N4211" s="475">
        <f t="shared" si="185"/>
        <v>179214</v>
      </c>
    </row>
    <row r="4212" spans="7:14" ht="11.25" customHeight="1" x14ac:dyDescent="0.3">
      <c r="G4212" s="470"/>
      <c r="H4212" s="470">
        <v>4205</v>
      </c>
      <c r="I4212" s="455">
        <f t="shared" ca="1" si="183"/>
        <v>15656274501441.211</v>
      </c>
      <c r="J4212" s="455">
        <f t="array" ref="J4212">IFERROR(INDEX('Retirement Calculator'!J:J,MATCH('Isaac 401k'!N4212,'Retirement Calculator'!A:A,0),0),0)</f>
        <v>0</v>
      </c>
      <c r="K4212" s="455">
        <f t="shared" ca="1" si="181"/>
        <v>65234477089.338379</v>
      </c>
      <c r="L4212" s="455">
        <f t="shared" ca="1" si="182"/>
        <v>15721508978530.549</v>
      </c>
      <c r="M4212" s="471">
        <f t="shared" si="184"/>
        <v>0.05</v>
      </c>
      <c r="N4212" s="475">
        <f t="shared" si="185"/>
        <v>179244</v>
      </c>
    </row>
    <row r="4213" spans="7:14" ht="11.25" customHeight="1" x14ac:dyDescent="0.3">
      <c r="G4213" s="470"/>
      <c r="H4213" s="470">
        <v>4206</v>
      </c>
      <c r="I4213" s="455">
        <f t="shared" ca="1" si="183"/>
        <v>15721508978530.549</v>
      </c>
      <c r="J4213" s="455">
        <f t="array" ref="J4213">IFERROR(INDEX('Retirement Calculator'!J:J,MATCH('Isaac 401k'!N4213,'Retirement Calculator'!A:A,0),0),0)</f>
        <v>0</v>
      </c>
      <c r="K4213" s="455">
        <f t="shared" ca="1" si="181"/>
        <v>65506287410.543945</v>
      </c>
      <c r="L4213" s="455">
        <f t="shared" ca="1" si="182"/>
        <v>15787015265941.094</v>
      </c>
      <c r="M4213" s="471">
        <f t="shared" si="184"/>
        <v>0.05</v>
      </c>
      <c r="N4213" s="475">
        <f t="shared" si="185"/>
        <v>179275</v>
      </c>
    </row>
    <row r="4214" spans="7:14" ht="11.25" customHeight="1" x14ac:dyDescent="0.3">
      <c r="G4214" s="470"/>
      <c r="H4214" s="470">
        <v>4207</v>
      </c>
      <c r="I4214" s="455">
        <f t="shared" ca="1" si="183"/>
        <v>15787015265941.094</v>
      </c>
      <c r="J4214" s="455">
        <f t="array" ref="J4214">IFERROR(INDEX('Retirement Calculator'!J:J,MATCH('Isaac 401k'!N4214,'Retirement Calculator'!A:A,0),0),0)</f>
        <v>0</v>
      </c>
      <c r="K4214" s="455">
        <f t="shared" ca="1" si="181"/>
        <v>65779230274.754555</v>
      </c>
      <c r="L4214" s="455">
        <f t="shared" ca="1" si="182"/>
        <v>15852794496215.848</v>
      </c>
      <c r="M4214" s="471">
        <f t="shared" si="184"/>
        <v>0.05</v>
      </c>
      <c r="N4214" s="475">
        <f t="shared" si="185"/>
        <v>179305</v>
      </c>
    </row>
    <row r="4215" spans="7:14" ht="11.25" customHeight="1" x14ac:dyDescent="0.3">
      <c r="G4215" s="470"/>
      <c r="H4215" s="470">
        <v>4208</v>
      </c>
      <c r="I4215" s="455">
        <f t="shared" ca="1" si="183"/>
        <v>15852794496215.848</v>
      </c>
      <c r="J4215" s="455">
        <f t="array" ref="J4215">IFERROR(INDEX('Retirement Calculator'!J:J,MATCH('Isaac 401k'!N4215,'Retirement Calculator'!A:A,0),0),0)</f>
        <v>0</v>
      </c>
      <c r="K4215" s="455">
        <f t="shared" ca="1" si="181"/>
        <v>66053310400.899361</v>
      </c>
      <c r="L4215" s="455">
        <f t="shared" ca="1" si="182"/>
        <v>15918847806616.746</v>
      </c>
      <c r="M4215" s="471">
        <f t="shared" si="184"/>
        <v>0.05</v>
      </c>
      <c r="N4215" s="475">
        <f t="shared" si="185"/>
        <v>179336</v>
      </c>
    </row>
    <row r="4216" spans="7:14" ht="11.25" customHeight="1" x14ac:dyDescent="0.3">
      <c r="G4216" s="470"/>
      <c r="H4216" s="470">
        <v>4209</v>
      </c>
      <c r="I4216" s="455">
        <f t="shared" ca="1" si="183"/>
        <v>15918847806616.746</v>
      </c>
      <c r="J4216" s="455">
        <f t="array" ref="J4216">IFERROR(INDEX('Retirement Calculator'!J:J,MATCH('Isaac 401k'!N4216,'Retirement Calculator'!A:A,0),0),0)</f>
        <v>0</v>
      </c>
      <c r="K4216" s="455">
        <f t="shared" ca="1" si="181"/>
        <v>66328532527.569771</v>
      </c>
      <c r="L4216" s="455">
        <f t="shared" ca="1" si="182"/>
        <v>15985176339144.316</v>
      </c>
      <c r="M4216" s="471">
        <f t="shared" si="184"/>
        <v>0.05</v>
      </c>
      <c r="N4216" s="475">
        <f t="shared" si="185"/>
        <v>179367</v>
      </c>
    </row>
    <row r="4217" spans="7:14" ht="11.25" customHeight="1" x14ac:dyDescent="0.3">
      <c r="G4217" s="470"/>
      <c r="H4217" s="470">
        <v>4210</v>
      </c>
      <c r="I4217" s="455">
        <f t="shared" ca="1" si="183"/>
        <v>15985176339144.316</v>
      </c>
      <c r="J4217" s="455">
        <f t="array" ref="J4217">IFERROR(INDEX('Retirement Calculator'!J:J,MATCH('Isaac 401k'!N4217,'Retirement Calculator'!A:A,0),0),0)</f>
        <v>0</v>
      </c>
      <c r="K4217" s="455">
        <f t="shared" ca="1" si="181"/>
        <v>66604901413.101326</v>
      </c>
      <c r="L4217" s="455">
        <f t="shared" ca="1" si="182"/>
        <v>16051781240557.418</v>
      </c>
      <c r="M4217" s="471">
        <f t="shared" si="184"/>
        <v>0.05</v>
      </c>
      <c r="N4217" s="475">
        <f t="shared" si="185"/>
        <v>179395</v>
      </c>
    </row>
    <row r="4218" spans="7:14" ht="11.25" customHeight="1" x14ac:dyDescent="0.3">
      <c r="G4218" s="470"/>
      <c r="H4218" s="470">
        <v>4211</v>
      </c>
      <c r="I4218" s="455">
        <f t="shared" ca="1" si="183"/>
        <v>16051781240557.418</v>
      </c>
      <c r="J4218" s="455">
        <f t="array" ref="J4218">IFERROR(INDEX('Retirement Calculator'!J:J,MATCH('Isaac 401k'!N4218,'Retirement Calculator'!A:A,0),0),0)</f>
        <v>0</v>
      </c>
      <c r="K4218" s="455">
        <f t="shared" ca="1" si="181"/>
        <v>66882421835.655899</v>
      </c>
      <c r="L4218" s="455">
        <f t="shared" ca="1" si="182"/>
        <v>16118663662393.074</v>
      </c>
      <c r="M4218" s="471">
        <f t="shared" si="184"/>
        <v>0.05</v>
      </c>
      <c r="N4218" s="475">
        <f t="shared" si="185"/>
        <v>179426</v>
      </c>
    </row>
    <row r="4219" spans="7:14" ht="11.25" customHeight="1" x14ac:dyDescent="0.3">
      <c r="G4219" s="470"/>
      <c r="H4219" s="470">
        <v>4212</v>
      </c>
      <c r="I4219" s="455">
        <f t="shared" ca="1" si="183"/>
        <v>16118663662393.074</v>
      </c>
      <c r="J4219" s="455">
        <f t="array" ref="J4219">IFERROR(INDEX('Retirement Calculator'!J:J,MATCH('Isaac 401k'!N4219,'Retirement Calculator'!A:A,0),0),0)</f>
        <v>0</v>
      </c>
      <c r="K4219" s="455">
        <f t="shared" ca="1" si="181"/>
        <v>67161098593.304474</v>
      </c>
      <c r="L4219" s="455">
        <f t="shared" ca="1" si="182"/>
        <v>16185824760986.379</v>
      </c>
      <c r="M4219" s="471">
        <f t="shared" si="184"/>
        <v>0.05</v>
      </c>
      <c r="N4219" s="475">
        <f t="shared" si="185"/>
        <v>179456</v>
      </c>
    </row>
    <row r="4220" spans="7:14" ht="11.25" customHeight="1" x14ac:dyDescent="0.3">
      <c r="G4220" s="470"/>
      <c r="H4220" s="470">
        <v>4213</v>
      </c>
      <c r="I4220" s="455">
        <f t="shared" ca="1" si="183"/>
        <v>16185824760986.379</v>
      </c>
      <c r="J4220" s="455">
        <f t="array" ref="J4220">IFERROR(INDEX('Retirement Calculator'!J:J,MATCH('Isaac 401k'!N4220,'Retirement Calculator'!A:A,0),0),0)</f>
        <v>0</v>
      </c>
      <c r="K4220" s="455">
        <f t="shared" ca="1" si="181"/>
        <v>67440936504.109909</v>
      </c>
      <c r="L4220" s="455">
        <f t="shared" ca="1" si="182"/>
        <v>16253265697490.488</v>
      </c>
      <c r="M4220" s="471">
        <f t="shared" si="184"/>
        <v>0.05</v>
      </c>
      <c r="N4220" s="475">
        <f t="shared" si="185"/>
        <v>179487</v>
      </c>
    </row>
    <row r="4221" spans="7:14" ht="11.25" customHeight="1" x14ac:dyDescent="0.3">
      <c r="G4221" s="470"/>
      <c r="H4221" s="470">
        <v>4214</v>
      </c>
      <c r="I4221" s="455">
        <f t="shared" ca="1" si="183"/>
        <v>16253265697490.488</v>
      </c>
      <c r="J4221" s="455">
        <f t="array" ref="J4221">IFERROR(INDEX('Retirement Calculator'!J:J,MATCH('Isaac 401k'!N4221,'Retirement Calculator'!A:A,0),0),0)</f>
        <v>0</v>
      </c>
      <c r="K4221" s="455">
        <f t="shared" ca="1" si="181"/>
        <v>67721940406.210358</v>
      </c>
      <c r="L4221" s="455">
        <f t="shared" ca="1" si="182"/>
        <v>16320987637896.699</v>
      </c>
      <c r="M4221" s="471">
        <f t="shared" si="184"/>
        <v>0.05</v>
      </c>
      <c r="N4221" s="475">
        <f t="shared" si="185"/>
        <v>179517</v>
      </c>
    </row>
    <row r="4222" spans="7:14" ht="11.25" customHeight="1" x14ac:dyDescent="0.3">
      <c r="G4222" s="470"/>
      <c r="H4222" s="470">
        <v>4215</v>
      </c>
      <c r="I4222" s="455">
        <f t="shared" ca="1" si="183"/>
        <v>16320987637896.699</v>
      </c>
      <c r="J4222" s="455">
        <f t="array" ref="J4222">IFERROR(INDEX('Retirement Calculator'!J:J,MATCH('Isaac 401k'!N4222,'Retirement Calculator'!A:A,0),0),0)</f>
        <v>0</v>
      </c>
      <c r="K4222" s="455">
        <f t="shared" ca="1" si="181"/>
        <v>68004115157.902916</v>
      </c>
      <c r="L4222" s="455">
        <f t="shared" ca="1" si="182"/>
        <v>16388991753054.602</v>
      </c>
      <c r="M4222" s="471">
        <f t="shared" si="184"/>
        <v>0.05</v>
      </c>
      <c r="N4222" s="475">
        <f t="shared" si="185"/>
        <v>179548</v>
      </c>
    </row>
    <row r="4223" spans="7:14" ht="11.25" customHeight="1" x14ac:dyDescent="0.3">
      <c r="G4223" s="470"/>
      <c r="H4223" s="470">
        <v>4216</v>
      </c>
      <c r="I4223" s="455">
        <f t="shared" ca="1" si="183"/>
        <v>16388991753054.602</v>
      </c>
      <c r="J4223" s="455">
        <f t="array" ref="J4223">IFERROR(INDEX('Retirement Calculator'!J:J,MATCH('Isaac 401k'!N4223,'Retirement Calculator'!A:A,0),0),0)</f>
        <v>0</v>
      </c>
      <c r="K4223" s="455">
        <f t="shared" ca="1" si="181"/>
        <v>68287465637.727516</v>
      </c>
      <c r="L4223" s="455">
        <f t="shared" ca="1" si="182"/>
        <v>16457279218692.328</v>
      </c>
      <c r="M4223" s="471">
        <f t="shared" si="184"/>
        <v>0.05</v>
      </c>
      <c r="N4223" s="475">
        <f t="shared" si="185"/>
        <v>179579</v>
      </c>
    </row>
    <row r="4224" spans="7:14" ht="11.25" customHeight="1" x14ac:dyDescent="0.3">
      <c r="G4224" s="470"/>
      <c r="H4224" s="470">
        <v>4217</v>
      </c>
      <c r="I4224" s="455">
        <f t="shared" ca="1" si="183"/>
        <v>16457279218692.328</v>
      </c>
      <c r="J4224" s="455">
        <f t="array" ref="J4224">IFERROR(INDEX('Retirement Calculator'!J:J,MATCH('Isaac 401k'!N4224,'Retirement Calculator'!A:A,0),0),0)</f>
        <v>0</v>
      </c>
      <c r="K4224" s="455">
        <f t="shared" ca="1" si="181"/>
        <v>68571996744.551376</v>
      </c>
      <c r="L4224" s="455">
        <f t="shared" ca="1" si="182"/>
        <v>16525851215436.879</v>
      </c>
      <c r="M4224" s="471">
        <f t="shared" si="184"/>
        <v>0.05</v>
      </c>
      <c r="N4224" s="475">
        <f t="shared" si="185"/>
        <v>179609</v>
      </c>
    </row>
    <row r="4225" spans="7:14" ht="11.25" customHeight="1" x14ac:dyDescent="0.3">
      <c r="G4225" s="470"/>
      <c r="H4225" s="470">
        <v>4218</v>
      </c>
      <c r="I4225" s="455">
        <f t="shared" ca="1" si="183"/>
        <v>16525851215436.879</v>
      </c>
      <c r="J4225" s="455">
        <f t="array" ref="J4225">IFERROR(INDEX('Retirement Calculator'!J:J,MATCH('Isaac 401k'!N4225,'Retirement Calculator'!A:A,0),0),0)</f>
        <v>0</v>
      </c>
      <c r="K4225" s="455">
        <f t="shared" ca="1" si="181"/>
        <v>68857713397.653656</v>
      </c>
      <c r="L4225" s="455">
        <f t="shared" ca="1" si="182"/>
        <v>16594708928834.533</v>
      </c>
      <c r="M4225" s="471">
        <f t="shared" si="184"/>
        <v>0.05</v>
      </c>
      <c r="N4225" s="475">
        <f t="shared" si="185"/>
        <v>179640</v>
      </c>
    </row>
    <row r="4226" spans="7:14" ht="11.25" customHeight="1" x14ac:dyDescent="0.3">
      <c r="G4226" s="470"/>
      <c r="H4226" s="470">
        <v>4219</v>
      </c>
      <c r="I4226" s="455">
        <f t="shared" ca="1" si="183"/>
        <v>16594708928834.533</v>
      </c>
      <c r="J4226" s="455">
        <f t="array" ref="J4226">IFERROR(INDEX('Retirement Calculator'!J:J,MATCH('Isaac 401k'!N4226,'Retirement Calculator'!A:A,0),0),0)</f>
        <v>0</v>
      </c>
      <c r="K4226" s="455">
        <f t="shared" ca="1" si="181"/>
        <v>69144620536.810547</v>
      </c>
      <c r="L4226" s="455">
        <f t="shared" ca="1" si="182"/>
        <v>16663853549371.344</v>
      </c>
      <c r="M4226" s="471">
        <f t="shared" si="184"/>
        <v>0.05</v>
      </c>
      <c r="N4226" s="475">
        <f t="shared" si="185"/>
        <v>179670</v>
      </c>
    </row>
    <row r="4227" spans="7:14" ht="11.25" customHeight="1" x14ac:dyDescent="0.3">
      <c r="G4227" s="470"/>
      <c r="H4227" s="470">
        <v>4220</v>
      </c>
      <c r="I4227" s="455">
        <f t="shared" ca="1" si="183"/>
        <v>16663853549371.344</v>
      </c>
      <c r="J4227" s="455">
        <f t="array" ref="J4227">IFERROR(INDEX('Retirement Calculator'!J:J,MATCH('Isaac 401k'!N4227,'Retirement Calculator'!A:A,0),0),0)</f>
        <v>0</v>
      </c>
      <c r="K4227" s="455">
        <f t="shared" ca="1" si="181"/>
        <v>69432723122.3806</v>
      </c>
      <c r="L4227" s="455">
        <f t="shared" ca="1" si="182"/>
        <v>16733286272493.725</v>
      </c>
      <c r="M4227" s="471">
        <f t="shared" si="184"/>
        <v>0.05</v>
      </c>
      <c r="N4227" s="475">
        <f t="shared" si="185"/>
        <v>179701</v>
      </c>
    </row>
    <row r="4228" spans="7:14" ht="11.25" customHeight="1" x14ac:dyDescent="0.3">
      <c r="G4228" s="470"/>
      <c r="H4228" s="470">
        <v>4221</v>
      </c>
      <c r="I4228" s="455">
        <f t="shared" ca="1" si="183"/>
        <v>16733286272493.725</v>
      </c>
      <c r="J4228" s="455">
        <f t="array" ref="J4228">IFERROR(INDEX('Retirement Calculator'!J:J,MATCH('Isaac 401k'!N4228,'Retirement Calculator'!A:A,0),0),0)</f>
        <v>0</v>
      </c>
      <c r="K4228" s="455">
        <f t="shared" ca="1" si="181"/>
        <v>69722026135.390518</v>
      </c>
      <c r="L4228" s="455">
        <f t="shared" ca="1" si="182"/>
        <v>16803008298629.115</v>
      </c>
      <c r="M4228" s="471">
        <f t="shared" si="184"/>
        <v>0.05</v>
      </c>
      <c r="N4228" s="475">
        <f t="shared" si="185"/>
        <v>179732</v>
      </c>
    </row>
    <row r="4229" spans="7:14" ht="11.25" customHeight="1" x14ac:dyDescent="0.3">
      <c r="G4229" s="470"/>
      <c r="H4229" s="470">
        <v>4222</v>
      </c>
      <c r="I4229" s="455">
        <f t="shared" ca="1" si="183"/>
        <v>16803008298629.115</v>
      </c>
      <c r="J4229" s="455">
        <f t="array" ref="J4229">IFERROR(INDEX('Retirement Calculator'!J:J,MATCH('Isaac 401k'!N4229,'Retirement Calculator'!A:A,0),0),0)</f>
        <v>0</v>
      </c>
      <c r="K4229" s="455">
        <f t="shared" ca="1" si="181"/>
        <v>70012534577.621307</v>
      </c>
      <c r="L4229" s="455">
        <f t="shared" ca="1" si="182"/>
        <v>16873020833206.736</v>
      </c>
      <c r="M4229" s="471">
        <f t="shared" si="184"/>
        <v>0.05</v>
      </c>
      <c r="N4229" s="475">
        <f t="shared" si="185"/>
        <v>179761</v>
      </c>
    </row>
    <row r="4230" spans="7:14" ht="11.25" customHeight="1" x14ac:dyDescent="0.3">
      <c r="G4230" s="470"/>
      <c r="H4230" s="470">
        <v>4223</v>
      </c>
      <c r="I4230" s="455">
        <f t="shared" ca="1" si="183"/>
        <v>16873020833206.736</v>
      </c>
      <c r="J4230" s="455">
        <f t="array" ref="J4230">IFERROR(INDEX('Retirement Calculator'!J:J,MATCH('Isaac 401k'!N4230,'Retirement Calculator'!A:A,0),0),0)</f>
        <v>0</v>
      </c>
      <c r="K4230" s="455">
        <f t="shared" ca="1" si="181"/>
        <v>70304253471.694733</v>
      </c>
      <c r="L4230" s="455">
        <f t="shared" ca="1" si="182"/>
        <v>16943325086678.432</v>
      </c>
      <c r="M4230" s="471">
        <f t="shared" si="184"/>
        <v>0.05</v>
      </c>
      <c r="N4230" s="475">
        <f t="shared" si="185"/>
        <v>179792</v>
      </c>
    </row>
    <row r="4231" spans="7:14" ht="11.25" customHeight="1" x14ac:dyDescent="0.3">
      <c r="G4231" s="470"/>
      <c r="H4231" s="470">
        <v>4224</v>
      </c>
      <c r="I4231" s="455">
        <f t="shared" ca="1" si="183"/>
        <v>16943325086678.432</v>
      </c>
      <c r="J4231" s="455">
        <f t="array" ref="J4231">IFERROR(INDEX('Retirement Calculator'!J:J,MATCH('Isaac 401k'!N4231,'Retirement Calculator'!A:A,0),0),0)</f>
        <v>0</v>
      </c>
      <c r="K4231" s="455">
        <f t="shared" ca="1" si="181"/>
        <v>70597187861.160126</v>
      </c>
      <c r="L4231" s="455">
        <f t="shared" ca="1" si="182"/>
        <v>17013922274539.592</v>
      </c>
      <c r="M4231" s="471">
        <f t="shared" si="184"/>
        <v>0.05</v>
      </c>
      <c r="N4231" s="475">
        <f t="shared" si="185"/>
        <v>179822</v>
      </c>
    </row>
    <row r="4232" spans="7:14" ht="11.25" customHeight="1" x14ac:dyDescent="0.3">
      <c r="G4232" s="470"/>
      <c r="H4232" s="470">
        <v>4225</v>
      </c>
      <c r="I4232" s="455">
        <f t="shared" ca="1" si="183"/>
        <v>17013922274539.592</v>
      </c>
      <c r="J4232" s="455">
        <f t="array" ref="J4232">IFERROR(INDEX('Retirement Calculator'!J:J,MATCH('Isaac 401k'!N4232,'Retirement Calculator'!A:A,0),0),0)</f>
        <v>0</v>
      </c>
      <c r="K4232" s="455">
        <f t="shared" ca="1" si="181"/>
        <v>70891342810.581619</v>
      </c>
      <c r="L4232" s="455">
        <f t="shared" ca="1" si="182"/>
        <v>17084813617350.174</v>
      </c>
      <c r="M4232" s="471">
        <f t="shared" si="184"/>
        <v>0.05</v>
      </c>
      <c r="N4232" s="475">
        <f t="shared" si="185"/>
        <v>179853</v>
      </c>
    </row>
    <row r="4233" spans="7:14" ht="11.25" customHeight="1" x14ac:dyDescent="0.3">
      <c r="G4233" s="470"/>
      <c r="H4233" s="470">
        <v>4226</v>
      </c>
      <c r="I4233" s="455">
        <f t="shared" ca="1" si="183"/>
        <v>17084813617350.174</v>
      </c>
      <c r="J4233" s="455">
        <f t="array" ref="J4233">IFERROR(INDEX('Retirement Calculator'!J:J,MATCH('Isaac 401k'!N4233,'Retirement Calculator'!A:A,0),0),0)</f>
        <v>0</v>
      </c>
      <c r="K4233" s="455">
        <f t="shared" ca="1" si="181"/>
        <v>71186723405.625717</v>
      </c>
      <c r="L4233" s="455">
        <f t="shared" ca="1" si="182"/>
        <v>17156000340755.799</v>
      </c>
      <c r="M4233" s="471">
        <f t="shared" si="184"/>
        <v>0.05</v>
      </c>
      <c r="N4233" s="475">
        <f t="shared" si="185"/>
        <v>179883</v>
      </c>
    </row>
    <row r="4234" spans="7:14" ht="11.25" customHeight="1" x14ac:dyDescent="0.3">
      <c r="G4234" s="470"/>
      <c r="H4234" s="470">
        <v>4227</v>
      </c>
      <c r="I4234" s="455">
        <f t="shared" ca="1" si="183"/>
        <v>17156000340755.799</v>
      </c>
      <c r="J4234" s="455">
        <f t="array" ref="J4234">IFERROR(INDEX('Retirement Calculator'!J:J,MATCH('Isaac 401k'!N4234,'Retirement Calculator'!A:A,0),0),0)</f>
        <v>0</v>
      </c>
      <c r="K4234" s="455">
        <f t="shared" ca="1" si="181"/>
        <v>71483334753.14917</v>
      </c>
      <c r="L4234" s="455">
        <f t="shared" ca="1" si="182"/>
        <v>17227483675508.947</v>
      </c>
      <c r="M4234" s="471">
        <f t="shared" si="184"/>
        <v>0.05</v>
      </c>
      <c r="N4234" s="475">
        <f t="shared" si="185"/>
        <v>179914</v>
      </c>
    </row>
    <row r="4235" spans="7:14" ht="11.25" customHeight="1" x14ac:dyDescent="0.3">
      <c r="G4235" s="470"/>
      <c r="H4235" s="470">
        <v>4228</v>
      </c>
      <c r="I4235" s="455">
        <f t="shared" ca="1" si="183"/>
        <v>17227483675508.947</v>
      </c>
      <c r="J4235" s="455">
        <f t="array" ref="J4235">IFERROR(INDEX('Retirement Calculator'!J:J,MATCH('Isaac 401k'!N4235,'Retirement Calculator'!A:A,0),0),0)</f>
        <v>0</v>
      </c>
      <c r="K4235" s="455">
        <f t="shared" ca="1" si="181"/>
        <v>71781181981.287277</v>
      </c>
      <c r="L4235" s="455">
        <f t="shared" ca="1" si="182"/>
        <v>17299264857490.234</v>
      </c>
      <c r="M4235" s="471">
        <f t="shared" si="184"/>
        <v>0.05</v>
      </c>
      <c r="N4235" s="475">
        <f t="shared" si="185"/>
        <v>179945</v>
      </c>
    </row>
    <row r="4236" spans="7:14" ht="11.25" customHeight="1" x14ac:dyDescent="0.3">
      <c r="G4236" s="470"/>
      <c r="H4236" s="470">
        <v>4229</v>
      </c>
      <c r="I4236" s="455">
        <f t="shared" ca="1" si="183"/>
        <v>17299264857490.234</v>
      </c>
      <c r="J4236" s="455">
        <f t="array" ref="J4236">IFERROR(INDEX('Retirement Calculator'!J:J,MATCH('Isaac 401k'!N4236,'Retirement Calculator'!A:A,0),0),0)</f>
        <v>0</v>
      </c>
      <c r="K4236" s="455">
        <f t="shared" ca="1" si="181"/>
        <v>72080270239.542648</v>
      </c>
      <c r="L4236" s="455">
        <f t="shared" ca="1" si="182"/>
        <v>17371345127729.777</v>
      </c>
      <c r="M4236" s="471">
        <f t="shared" si="184"/>
        <v>0.05</v>
      </c>
      <c r="N4236" s="475">
        <f t="shared" si="185"/>
        <v>179975</v>
      </c>
    </row>
    <row r="4237" spans="7:14" ht="11.25" customHeight="1" x14ac:dyDescent="0.3">
      <c r="G4237" s="470"/>
      <c r="H4237" s="470">
        <v>4230</v>
      </c>
      <c r="I4237" s="455">
        <f t="shared" ca="1" si="183"/>
        <v>17371345127729.777</v>
      </c>
      <c r="J4237" s="455">
        <f t="array" ref="J4237">IFERROR(INDEX('Retirement Calculator'!J:J,MATCH('Isaac 401k'!N4237,'Retirement Calculator'!A:A,0),0),0)</f>
        <v>0</v>
      </c>
      <c r="K4237" s="455">
        <f t="shared" ca="1" si="181"/>
        <v>72380604698.874069</v>
      </c>
      <c r="L4237" s="455">
        <f t="shared" ca="1" si="182"/>
        <v>17443725732428.652</v>
      </c>
      <c r="M4237" s="471">
        <f t="shared" si="184"/>
        <v>0.05</v>
      </c>
      <c r="N4237" s="475">
        <f t="shared" si="185"/>
        <v>180006</v>
      </c>
    </row>
    <row r="4238" spans="7:14" ht="11.25" customHeight="1" x14ac:dyDescent="0.3">
      <c r="G4238" s="470"/>
      <c r="H4238" s="470">
        <v>4231</v>
      </c>
      <c r="I4238" s="455">
        <f t="shared" ca="1" si="183"/>
        <v>17443725732428.652</v>
      </c>
      <c r="J4238" s="455">
        <f t="array" ref="J4238">IFERROR(INDEX('Retirement Calculator'!J:J,MATCH('Isaac 401k'!N4238,'Retirement Calculator'!A:A,0),0),0)</f>
        <v>0</v>
      </c>
      <c r="K4238" s="455">
        <f t="shared" ca="1" si="181"/>
        <v>72682190551.786057</v>
      </c>
      <c r="L4238" s="455">
        <f t="shared" ca="1" si="182"/>
        <v>17516407922980.438</v>
      </c>
      <c r="M4238" s="471">
        <f t="shared" si="184"/>
        <v>0.05</v>
      </c>
      <c r="N4238" s="475">
        <f t="shared" si="185"/>
        <v>180036</v>
      </c>
    </row>
    <row r="4239" spans="7:14" ht="11.25" customHeight="1" x14ac:dyDescent="0.3">
      <c r="G4239" s="470"/>
      <c r="H4239" s="470">
        <v>4232</v>
      </c>
      <c r="I4239" s="455">
        <f t="shared" ca="1" si="183"/>
        <v>17516407922980.438</v>
      </c>
      <c r="J4239" s="455">
        <f t="array" ref="J4239">IFERROR(INDEX('Retirement Calculator'!J:J,MATCH('Isaac 401k'!N4239,'Retirement Calculator'!A:A,0),0),0)</f>
        <v>0</v>
      </c>
      <c r="K4239" s="455">
        <f t="shared" ca="1" si="181"/>
        <v>72985033012.418488</v>
      </c>
      <c r="L4239" s="455">
        <f t="shared" ca="1" si="182"/>
        <v>17589392955992.855</v>
      </c>
      <c r="M4239" s="471">
        <f t="shared" si="184"/>
        <v>0.05</v>
      </c>
      <c r="N4239" s="475">
        <f t="shared" si="185"/>
        <v>180067</v>
      </c>
    </row>
    <row r="4240" spans="7:14" ht="11.25" customHeight="1" x14ac:dyDescent="0.3">
      <c r="G4240" s="470"/>
      <c r="H4240" s="470">
        <v>4233</v>
      </c>
      <c r="I4240" s="455">
        <f t="shared" ca="1" si="183"/>
        <v>17589392955992.855</v>
      </c>
      <c r="J4240" s="455">
        <f t="array" ref="J4240">IFERROR(INDEX('Retirement Calculator'!J:J,MATCH('Isaac 401k'!N4240,'Retirement Calculator'!A:A,0),0),0)</f>
        <v>0</v>
      </c>
      <c r="K4240" s="455">
        <f t="shared" ca="1" si="181"/>
        <v>73289137316.636887</v>
      </c>
      <c r="L4240" s="455">
        <f t="shared" ca="1" si="182"/>
        <v>17662682093309.492</v>
      </c>
      <c r="M4240" s="471">
        <f t="shared" si="184"/>
        <v>0.05</v>
      </c>
      <c r="N4240" s="475">
        <f t="shared" si="185"/>
        <v>180098</v>
      </c>
    </row>
    <row r="4241" spans="7:14" ht="11.25" customHeight="1" x14ac:dyDescent="0.3">
      <c r="G4241" s="470"/>
      <c r="H4241" s="470">
        <v>4234</v>
      </c>
      <c r="I4241" s="455">
        <f t="shared" ca="1" si="183"/>
        <v>17662682093309.492</v>
      </c>
      <c r="J4241" s="455">
        <f t="array" ref="J4241">IFERROR(INDEX('Retirement Calculator'!J:J,MATCH('Isaac 401k'!N4241,'Retirement Calculator'!A:A,0),0),0)</f>
        <v>0</v>
      </c>
      <c r="K4241" s="455">
        <f t="shared" ca="1" si="181"/>
        <v>73594508722.122879</v>
      </c>
      <c r="L4241" s="455">
        <f t="shared" ca="1" si="182"/>
        <v>17736276602031.613</v>
      </c>
      <c r="M4241" s="471">
        <f t="shared" si="184"/>
        <v>0.05</v>
      </c>
      <c r="N4241" s="475">
        <f t="shared" si="185"/>
        <v>180126</v>
      </c>
    </row>
    <row r="4242" spans="7:14" ht="11.25" customHeight="1" x14ac:dyDescent="0.3">
      <c r="G4242" s="470"/>
      <c r="H4242" s="470">
        <v>4235</v>
      </c>
      <c r="I4242" s="455">
        <f t="shared" ca="1" si="183"/>
        <v>17736276602031.613</v>
      </c>
      <c r="J4242" s="455">
        <f t="array" ref="J4242">IFERROR(INDEX('Retirement Calculator'!J:J,MATCH('Isaac 401k'!N4242,'Retirement Calculator'!A:A,0),0),0)</f>
        <v>0</v>
      </c>
      <c r="K4242" s="455">
        <f t="shared" ca="1" si="181"/>
        <v>73901152508.465057</v>
      </c>
      <c r="L4242" s="455">
        <f t="shared" ca="1" si="182"/>
        <v>17810177754540.078</v>
      </c>
      <c r="M4242" s="471">
        <f t="shared" si="184"/>
        <v>0.05</v>
      </c>
      <c r="N4242" s="475">
        <f t="shared" si="185"/>
        <v>180157</v>
      </c>
    </row>
    <row r="4243" spans="7:14" ht="11.25" customHeight="1" x14ac:dyDescent="0.3">
      <c r="G4243" s="470"/>
      <c r="H4243" s="470">
        <v>4236</v>
      </c>
      <c r="I4243" s="455">
        <f t="shared" ca="1" si="183"/>
        <v>17810177754540.078</v>
      </c>
      <c r="J4243" s="455">
        <f t="array" ref="J4243">IFERROR(INDEX('Retirement Calculator'!J:J,MATCH('Isaac 401k'!N4243,'Retirement Calculator'!A:A,0),0),0)</f>
        <v>0</v>
      </c>
      <c r="K4243" s="455">
        <f t="shared" ca="1" si="181"/>
        <v>74209073977.25032</v>
      </c>
      <c r="L4243" s="455">
        <f t="shared" ca="1" si="182"/>
        <v>17884386828517.328</v>
      </c>
      <c r="M4243" s="471">
        <f t="shared" si="184"/>
        <v>0.05</v>
      </c>
      <c r="N4243" s="475">
        <f t="shared" si="185"/>
        <v>180187</v>
      </c>
    </row>
    <row r="4244" spans="7:14" ht="11.25" customHeight="1" x14ac:dyDescent="0.3">
      <c r="G4244" s="470"/>
      <c r="H4244" s="470">
        <v>4237</v>
      </c>
      <c r="I4244" s="455">
        <f t="shared" ca="1" si="183"/>
        <v>17884386828517.328</v>
      </c>
      <c r="J4244" s="455">
        <f t="array" ref="J4244">IFERROR(INDEX('Retirement Calculator'!J:J,MATCH('Isaac 401k'!N4244,'Retirement Calculator'!A:A,0),0),0)</f>
        <v>0</v>
      </c>
      <c r="K4244" s="455">
        <f t="shared" ca="1" si="181"/>
        <v>74518278452.155533</v>
      </c>
      <c r="L4244" s="455">
        <f t="shared" ca="1" si="182"/>
        <v>17958905106969.484</v>
      </c>
      <c r="M4244" s="471">
        <f t="shared" si="184"/>
        <v>0.05</v>
      </c>
      <c r="N4244" s="475">
        <f t="shared" si="185"/>
        <v>180218</v>
      </c>
    </row>
    <row r="4245" spans="7:14" ht="11.25" customHeight="1" x14ac:dyDescent="0.3">
      <c r="G4245" s="470"/>
      <c r="H4245" s="470">
        <v>4238</v>
      </c>
      <c r="I4245" s="455">
        <f t="shared" ca="1" si="183"/>
        <v>17958905106969.484</v>
      </c>
      <c r="J4245" s="455">
        <f t="array" ref="J4245">IFERROR(INDEX('Retirement Calculator'!J:J,MATCH('Isaac 401k'!N4245,'Retirement Calculator'!A:A,0),0),0)</f>
        <v>0</v>
      </c>
      <c r="K4245" s="455">
        <f t="shared" ca="1" si="181"/>
        <v>74828771279.03952</v>
      </c>
      <c r="L4245" s="455">
        <f t="shared" ca="1" si="182"/>
        <v>18033733878248.523</v>
      </c>
      <c r="M4245" s="471">
        <f t="shared" si="184"/>
        <v>0.05</v>
      </c>
      <c r="N4245" s="475">
        <f t="shared" si="185"/>
        <v>180248</v>
      </c>
    </row>
    <row r="4246" spans="7:14" ht="11.25" customHeight="1" x14ac:dyDescent="0.3">
      <c r="G4246" s="470"/>
      <c r="H4246" s="470">
        <v>4239</v>
      </c>
      <c r="I4246" s="455">
        <f t="shared" ca="1" si="183"/>
        <v>18033733878248.523</v>
      </c>
      <c r="J4246" s="455">
        <f t="array" ref="J4246">IFERROR(INDEX('Retirement Calculator'!J:J,MATCH('Isaac 401k'!N4246,'Retirement Calculator'!A:A,0),0),0)</f>
        <v>0</v>
      </c>
      <c r="K4246" s="455">
        <f t="shared" ca="1" si="181"/>
        <v>75140557826.035507</v>
      </c>
      <c r="L4246" s="455">
        <f t="shared" ca="1" si="182"/>
        <v>18108874436074.559</v>
      </c>
      <c r="M4246" s="471">
        <f t="shared" si="184"/>
        <v>0.05</v>
      </c>
      <c r="N4246" s="475">
        <f t="shared" si="185"/>
        <v>180279</v>
      </c>
    </row>
    <row r="4247" spans="7:14" ht="11.25" customHeight="1" x14ac:dyDescent="0.3">
      <c r="G4247" s="470"/>
      <c r="H4247" s="470">
        <v>4240</v>
      </c>
      <c r="I4247" s="455">
        <f t="shared" ca="1" si="183"/>
        <v>18108874436074.559</v>
      </c>
      <c r="J4247" s="455">
        <f t="array" ref="J4247">IFERROR(INDEX('Retirement Calculator'!J:J,MATCH('Isaac 401k'!N4247,'Retirement Calculator'!A:A,0),0),0)</f>
        <v>0</v>
      </c>
      <c r="K4247" s="455">
        <f t="shared" ca="1" si="181"/>
        <v>75453643483.643997</v>
      </c>
      <c r="L4247" s="455">
        <f t="shared" ca="1" si="182"/>
        <v>18184328079558.203</v>
      </c>
      <c r="M4247" s="471">
        <f t="shared" si="184"/>
        <v>0.05</v>
      </c>
      <c r="N4247" s="475">
        <f t="shared" si="185"/>
        <v>180310</v>
      </c>
    </row>
    <row r="4248" spans="7:14" ht="11.25" customHeight="1" x14ac:dyDescent="0.3">
      <c r="G4248" s="470"/>
      <c r="H4248" s="470">
        <v>4241</v>
      </c>
      <c r="I4248" s="455">
        <f t="shared" ca="1" si="183"/>
        <v>18184328079558.203</v>
      </c>
      <c r="J4248" s="455">
        <f t="array" ref="J4248">IFERROR(INDEX('Retirement Calculator'!J:J,MATCH('Isaac 401k'!N4248,'Retirement Calculator'!A:A,0),0),0)</f>
        <v>0</v>
      </c>
      <c r="K4248" s="455">
        <f t="shared" ca="1" si="181"/>
        <v>75768033664.825851</v>
      </c>
      <c r="L4248" s="455">
        <f t="shared" ca="1" si="182"/>
        <v>18260096113223.027</v>
      </c>
      <c r="M4248" s="471">
        <f t="shared" si="184"/>
        <v>0.05</v>
      </c>
      <c r="N4248" s="475">
        <f t="shared" si="185"/>
        <v>180340</v>
      </c>
    </row>
    <row r="4249" spans="7:14" ht="11.25" customHeight="1" x14ac:dyDescent="0.3">
      <c r="G4249" s="470"/>
      <c r="H4249" s="470">
        <v>4242</v>
      </c>
      <c r="I4249" s="455">
        <f t="shared" ca="1" si="183"/>
        <v>18260096113223.027</v>
      </c>
      <c r="J4249" s="455">
        <f t="array" ref="J4249">IFERROR(INDEX('Retirement Calculator'!J:J,MATCH('Isaac 401k'!N4249,'Retirement Calculator'!A:A,0),0),0)</f>
        <v>0</v>
      </c>
      <c r="K4249" s="455">
        <f t="shared" ca="1" si="181"/>
        <v>76083733805.095947</v>
      </c>
      <c r="L4249" s="455">
        <f t="shared" ca="1" si="182"/>
        <v>18336179847028.125</v>
      </c>
      <c r="M4249" s="471">
        <f t="shared" si="184"/>
        <v>0.05</v>
      </c>
      <c r="N4249" s="475">
        <f t="shared" si="185"/>
        <v>180371</v>
      </c>
    </row>
    <row r="4250" spans="7:14" ht="11.25" customHeight="1" x14ac:dyDescent="0.3">
      <c r="G4250" s="470"/>
      <c r="H4250" s="470">
        <v>4243</v>
      </c>
      <c r="I4250" s="455">
        <f t="shared" ca="1" si="183"/>
        <v>18336179847028.125</v>
      </c>
      <c r="J4250" s="455">
        <f t="array" ref="J4250">IFERROR(INDEX('Retirement Calculator'!J:J,MATCH('Isaac 401k'!N4250,'Retirement Calculator'!A:A,0),0),0)</f>
        <v>0</v>
      </c>
      <c r="K4250" s="455">
        <f t="shared" ca="1" si="181"/>
        <v>76400749362.617188</v>
      </c>
      <c r="L4250" s="455">
        <f t="shared" ca="1" si="182"/>
        <v>18412580596390.742</v>
      </c>
      <c r="M4250" s="471">
        <f t="shared" si="184"/>
        <v>0.05</v>
      </c>
      <c r="N4250" s="475">
        <f t="shared" si="185"/>
        <v>180401</v>
      </c>
    </row>
    <row r="4251" spans="7:14" ht="11.25" customHeight="1" x14ac:dyDescent="0.3">
      <c r="G4251" s="470"/>
      <c r="H4251" s="470">
        <v>4244</v>
      </c>
      <c r="I4251" s="455">
        <f t="shared" ca="1" si="183"/>
        <v>18412580596390.742</v>
      </c>
      <c r="J4251" s="455">
        <f t="array" ref="J4251">IFERROR(INDEX('Retirement Calculator'!J:J,MATCH('Isaac 401k'!N4251,'Retirement Calculator'!A:A,0),0),0)</f>
        <v>0</v>
      </c>
      <c r="K4251" s="455">
        <f t="shared" ca="1" si="181"/>
        <v>76719085818.294754</v>
      </c>
      <c r="L4251" s="455">
        <f t="shared" ca="1" si="182"/>
        <v>18489299682209.035</v>
      </c>
      <c r="M4251" s="471">
        <f t="shared" si="184"/>
        <v>0.05</v>
      </c>
      <c r="N4251" s="475">
        <f t="shared" si="185"/>
        <v>180432</v>
      </c>
    </row>
    <row r="4252" spans="7:14" ht="11.25" customHeight="1" x14ac:dyDescent="0.3">
      <c r="G4252" s="470"/>
      <c r="H4252" s="470">
        <v>4245</v>
      </c>
      <c r="I4252" s="455">
        <f t="shared" ca="1" si="183"/>
        <v>18489299682209.035</v>
      </c>
      <c r="J4252" s="455">
        <f t="array" ref="J4252">IFERROR(INDEX('Retirement Calculator'!J:J,MATCH('Isaac 401k'!N4252,'Retirement Calculator'!A:A,0),0),0)</f>
        <v>0</v>
      </c>
      <c r="K4252" s="455">
        <f t="shared" ca="1" si="181"/>
        <v>77038748675.870972</v>
      </c>
      <c r="L4252" s="455">
        <f t="shared" ca="1" si="182"/>
        <v>18566338430884.906</v>
      </c>
      <c r="M4252" s="471">
        <f t="shared" si="184"/>
        <v>0.05</v>
      </c>
      <c r="N4252" s="475">
        <f t="shared" si="185"/>
        <v>180463</v>
      </c>
    </row>
    <row r="4253" spans="7:14" ht="11.25" customHeight="1" x14ac:dyDescent="0.3">
      <c r="G4253" s="470"/>
      <c r="H4253" s="470">
        <v>4246</v>
      </c>
      <c r="I4253" s="455">
        <f t="shared" ca="1" si="183"/>
        <v>18566338430884.906</v>
      </c>
      <c r="J4253" s="455">
        <f t="array" ref="J4253">IFERROR(INDEX('Retirement Calculator'!J:J,MATCH('Isaac 401k'!N4253,'Retirement Calculator'!A:A,0),0),0)</f>
        <v>0</v>
      </c>
      <c r="K4253" s="455">
        <f t="shared" ca="1" si="181"/>
        <v>77359743462.020447</v>
      </c>
      <c r="L4253" s="455">
        <f t="shared" ca="1" si="182"/>
        <v>18643698174346.926</v>
      </c>
      <c r="M4253" s="471">
        <f t="shared" si="184"/>
        <v>0.05</v>
      </c>
      <c r="N4253" s="475">
        <f t="shared" si="185"/>
        <v>180491</v>
      </c>
    </row>
    <row r="4254" spans="7:14" ht="11.25" customHeight="1" x14ac:dyDescent="0.3">
      <c r="G4254" s="470"/>
      <c r="H4254" s="470">
        <v>4247</v>
      </c>
      <c r="I4254" s="455">
        <f t="shared" ca="1" si="183"/>
        <v>18643698174346.926</v>
      </c>
      <c r="J4254" s="455">
        <f t="array" ref="J4254">IFERROR(INDEX('Retirement Calculator'!J:J,MATCH('Isaac 401k'!N4254,'Retirement Calculator'!A:A,0),0),0)</f>
        <v>0</v>
      </c>
      <c r="K4254" s="455">
        <f t="shared" ca="1" si="181"/>
        <v>77682075726.445526</v>
      </c>
      <c r="L4254" s="455">
        <f t="shared" ca="1" si="182"/>
        <v>18721380250073.371</v>
      </c>
      <c r="M4254" s="471">
        <f t="shared" si="184"/>
        <v>0.05</v>
      </c>
      <c r="N4254" s="475">
        <f t="shared" si="185"/>
        <v>180522</v>
      </c>
    </row>
    <row r="4255" spans="7:14" ht="11.25" customHeight="1" x14ac:dyDescent="0.3">
      <c r="G4255" s="470"/>
      <c r="H4255" s="470">
        <v>4248</v>
      </c>
      <c r="I4255" s="455">
        <f t="shared" ca="1" si="183"/>
        <v>18721380250073.371</v>
      </c>
      <c r="J4255" s="455">
        <f t="array" ref="J4255">IFERROR(INDEX('Retirement Calculator'!J:J,MATCH('Isaac 401k'!N4255,'Retirement Calculator'!A:A,0),0),0)</f>
        <v>0</v>
      </c>
      <c r="K4255" s="455">
        <f t="shared" ca="1" si="181"/>
        <v>78005751041.972382</v>
      </c>
      <c r="L4255" s="455">
        <f t="shared" ca="1" si="182"/>
        <v>18799386001115.344</v>
      </c>
      <c r="M4255" s="471">
        <f t="shared" si="184"/>
        <v>0.05</v>
      </c>
      <c r="N4255" s="475">
        <f t="shared" si="185"/>
        <v>180552</v>
      </c>
    </row>
    <row r="4256" spans="7:14" ht="11.25" customHeight="1" x14ac:dyDescent="0.3">
      <c r="G4256" s="470"/>
      <c r="H4256" s="470">
        <v>4249</v>
      </c>
      <c r="I4256" s="455">
        <f t="shared" ca="1" si="183"/>
        <v>18799386001115.344</v>
      </c>
      <c r="J4256" s="455">
        <f t="array" ref="J4256">IFERROR(INDEX('Retirement Calculator'!J:J,MATCH('Isaac 401k'!N4256,'Retirement Calculator'!A:A,0),0),0)</f>
        <v>0</v>
      </c>
      <c r="K4256" s="455">
        <f t="shared" ca="1" si="181"/>
        <v>78330775004.647263</v>
      </c>
      <c r="L4256" s="455">
        <f t="shared" ca="1" si="182"/>
        <v>18877716776119.992</v>
      </c>
      <c r="M4256" s="471">
        <f t="shared" si="184"/>
        <v>0.05</v>
      </c>
      <c r="N4256" s="475">
        <f t="shared" si="185"/>
        <v>180583</v>
      </c>
    </row>
    <row r="4257" spans="7:14" ht="11.25" customHeight="1" x14ac:dyDescent="0.3">
      <c r="G4257" s="470"/>
      <c r="H4257" s="470">
        <v>4250</v>
      </c>
      <c r="I4257" s="455">
        <f t="shared" ca="1" si="183"/>
        <v>18877716776119.992</v>
      </c>
      <c r="J4257" s="455">
        <f t="array" ref="J4257">IFERROR(INDEX('Retirement Calculator'!J:J,MATCH('Isaac 401k'!N4257,'Retirement Calculator'!A:A,0),0),0)</f>
        <v>0</v>
      </c>
      <c r="K4257" s="455">
        <f t="shared" ca="1" si="181"/>
        <v>78657153233.833298</v>
      </c>
      <c r="L4257" s="455">
        <f t="shared" ca="1" si="182"/>
        <v>18956373929353.824</v>
      </c>
      <c r="M4257" s="471">
        <f t="shared" si="184"/>
        <v>0.05</v>
      </c>
      <c r="N4257" s="475">
        <f t="shared" si="185"/>
        <v>180613</v>
      </c>
    </row>
    <row r="4258" spans="7:14" ht="11.25" customHeight="1" x14ac:dyDescent="0.3">
      <c r="G4258" s="470"/>
      <c r="H4258" s="470">
        <v>4251</v>
      </c>
      <c r="I4258" s="455">
        <f t="shared" ca="1" si="183"/>
        <v>18956373929353.824</v>
      </c>
      <c r="J4258" s="455">
        <f t="array" ref="J4258">IFERROR(INDEX('Retirement Calculator'!J:J,MATCH('Isaac 401k'!N4258,'Retirement Calculator'!A:A,0),0),0)</f>
        <v>0</v>
      </c>
      <c r="K4258" s="455">
        <f t="shared" ca="1" si="181"/>
        <v>78984891372.307602</v>
      </c>
      <c r="L4258" s="455">
        <f t="shared" ca="1" si="182"/>
        <v>19035358820726.133</v>
      </c>
      <c r="M4258" s="471">
        <f t="shared" si="184"/>
        <v>0.05</v>
      </c>
      <c r="N4258" s="475">
        <f t="shared" si="185"/>
        <v>180644</v>
      </c>
    </row>
    <row r="4259" spans="7:14" ht="11.25" customHeight="1" x14ac:dyDescent="0.3">
      <c r="G4259" s="470"/>
      <c r="H4259" s="470">
        <v>4252</v>
      </c>
      <c r="I4259" s="455">
        <f t="shared" ca="1" si="183"/>
        <v>19035358820726.133</v>
      </c>
      <c r="J4259" s="455">
        <f t="array" ref="J4259">IFERROR(INDEX('Retirement Calculator'!J:J,MATCH('Isaac 401k'!N4259,'Retirement Calculator'!A:A,0),0),0)</f>
        <v>0</v>
      </c>
      <c r="K4259" s="455">
        <f t="shared" ca="1" si="181"/>
        <v>79313995086.358887</v>
      </c>
      <c r="L4259" s="455">
        <f t="shared" ca="1" si="182"/>
        <v>19114672815812.492</v>
      </c>
      <c r="M4259" s="471">
        <f t="shared" si="184"/>
        <v>0.05</v>
      </c>
      <c r="N4259" s="475">
        <f t="shared" si="185"/>
        <v>180675</v>
      </c>
    </row>
    <row r="4260" spans="7:14" ht="11.25" customHeight="1" x14ac:dyDescent="0.3">
      <c r="G4260" s="470"/>
      <c r="H4260" s="470">
        <v>4253</v>
      </c>
      <c r="I4260" s="455">
        <f t="shared" ca="1" si="183"/>
        <v>19114672815812.492</v>
      </c>
      <c r="J4260" s="455">
        <f t="array" ref="J4260">IFERROR(INDEX('Retirement Calculator'!J:J,MATCH('Isaac 401k'!N4260,'Retirement Calculator'!A:A,0),0),0)</f>
        <v>0</v>
      </c>
      <c r="K4260" s="455">
        <f t="shared" ca="1" si="181"/>
        <v>79644470065.885376</v>
      </c>
      <c r="L4260" s="455">
        <f t="shared" ca="1" si="182"/>
        <v>19194317285878.379</v>
      </c>
      <c r="M4260" s="471">
        <f t="shared" si="184"/>
        <v>0.05</v>
      </c>
      <c r="N4260" s="475">
        <f t="shared" si="185"/>
        <v>180705</v>
      </c>
    </row>
    <row r="4261" spans="7:14" ht="11.25" customHeight="1" x14ac:dyDescent="0.3">
      <c r="G4261" s="470"/>
      <c r="H4261" s="470">
        <v>4254</v>
      </c>
      <c r="I4261" s="455">
        <f t="shared" ca="1" si="183"/>
        <v>19194317285878.379</v>
      </c>
      <c r="J4261" s="455">
        <f t="array" ref="J4261">IFERROR(INDEX('Retirement Calculator'!J:J,MATCH('Isaac 401k'!N4261,'Retirement Calculator'!A:A,0),0),0)</f>
        <v>0</v>
      </c>
      <c r="K4261" s="455">
        <f t="shared" ca="1" si="181"/>
        <v>79976322024.49324</v>
      </c>
      <c r="L4261" s="455">
        <f t="shared" ca="1" si="182"/>
        <v>19274293607902.871</v>
      </c>
      <c r="M4261" s="471">
        <f t="shared" si="184"/>
        <v>0.05</v>
      </c>
      <c r="N4261" s="475">
        <f t="shared" si="185"/>
        <v>180736</v>
      </c>
    </row>
    <row r="4262" spans="7:14" ht="11.25" customHeight="1" x14ac:dyDescent="0.3">
      <c r="G4262" s="470"/>
      <c r="H4262" s="470">
        <v>4255</v>
      </c>
      <c r="I4262" s="455">
        <f t="shared" ca="1" si="183"/>
        <v>19274293607902.871</v>
      </c>
      <c r="J4262" s="455">
        <f t="array" ref="J4262">IFERROR(INDEX('Retirement Calculator'!J:J,MATCH('Isaac 401k'!N4262,'Retirement Calculator'!A:A,0),0),0)</f>
        <v>0</v>
      </c>
      <c r="K4262" s="455">
        <f t="shared" ca="1" si="181"/>
        <v>80309556699.595291</v>
      </c>
      <c r="L4262" s="455">
        <f t="shared" ca="1" si="182"/>
        <v>19354603164602.465</v>
      </c>
      <c r="M4262" s="471">
        <f t="shared" si="184"/>
        <v>0.05</v>
      </c>
      <c r="N4262" s="475">
        <f t="shared" si="185"/>
        <v>180766</v>
      </c>
    </row>
    <row r="4263" spans="7:14" ht="11.25" customHeight="1" x14ac:dyDescent="0.3">
      <c r="G4263" s="470"/>
      <c r="H4263" s="470">
        <v>4256</v>
      </c>
      <c r="I4263" s="455">
        <f t="shared" ca="1" si="183"/>
        <v>19354603164602.465</v>
      </c>
      <c r="J4263" s="455">
        <f t="array" ref="J4263">IFERROR(INDEX('Retirement Calculator'!J:J,MATCH('Isaac 401k'!N4263,'Retirement Calculator'!A:A,0),0),0)</f>
        <v>0</v>
      </c>
      <c r="K4263" s="455">
        <f t="shared" ca="1" si="181"/>
        <v>80644179852.510269</v>
      </c>
      <c r="L4263" s="455">
        <f t="shared" ca="1" si="182"/>
        <v>19435247344454.977</v>
      </c>
      <c r="M4263" s="471">
        <f t="shared" si="184"/>
        <v>0.05</v>
      </c>
      <c r="N4263" s="475">
        <f t="shared" si="185"/>
        <v>180797</v>
      </c>
    </row>
    <row r="4264" spans="7:14" ht="11.25" customHeight="1" x14ac:dyDescent="0.3">
      <c r="G4264" s="470"/>
      <c r="H4264" s="470">
        <v>4257</v>
      </c>
      <c r="I4264" s="455">
        <f t="shared" ca="1" si="183"/>
        <v>19435247344454.977</v>
      </c>
      <c r="J4264" s="455">
        <f t="array" ref="J4264">IFERROR(INDEX('Retirement Calculator'!J:J,MATCH('Isaac 401k'!N4264,'Retirement Calculator'!A:A,0),0),0)</f>
        <v>0</v>
      </c>
      <c r="K4264" s="455">
        <f t="shared" ca="1" si="181"/>
        <v>80980197268.562408</v>
      </c>
      <c r="L4264" s="455">
        <f t="shared" ca="1" si="182"/>
        <v>19516227541723.539</v>
      </c>
      <c r="M4264" s="471">
        <f t="shared" si="184"/>
        <v>0.05</v>
      </c>
      <c r="N4264" s="475">
        <f t="shared" si="185"/>
        <v>180828</v>
      </c>
    </row>
    <row r="4265" spans="7:14" ht="11.25" customHeight="1" x14ac:dyDescent="0.3">
      <c r="G4265" s="470"/>
      <c r="H4265" s="470">
        <v>4258</v>
      </c>
      <c r="I4265" s="455">
        <f t="shared" ca="1" si="183"/>
        <v>19516227541723.539</v>
      </c>
      <c r="J4265" s="455">
        <f t="array" ref="J4265">IFERROR(INDEX('Retirement Calculator'!J:J,MATCH('Isaac 401k'!N4265,'Retirement Calculator'!A:A,0),0),0)</f>
        <v>0</v>
      </c>
      <c r="K4265" s="455">
        <f t="shared" ca="1" si="181"/>
        <v>81317614757.181412</v>
      </c>
      <c r="L4265" s="455">
        <f t="shared" ca="1" si="182"/>
        <v>19597545156480.719</v>
      </c>
      <c r="M4265" s="471">
        <f t="shared" si="184"/>
        <v>0.05</v>
      </c>
      <c r="N4265" s="475">
        <f t="shared" si="185"/>
        <v>180856</v>
      </c>
    </row>
    <row r="4266" spans="7:14" ht="11.25" customHeight="1" x14ac:dyDescent="0.3">
      <c r="G4266" s="470"/>
      <c r="H4266" s="470">
        <v>4259</v>
      </c>
      <c r="I4266" s="455">
        <f t="shared" ca="1" si="183"/>
        <v>19597545156480.719</v>
      </c>
      <c r="J4266" s="455">
        <f t="array" ref="J4266">IFERROR(INDEX('Retirement Calculator'!J:J,MATCH('Isaac 401k'!N4266,'Retirement Calculator'!A:A,0),0),0)</f>
        <v>0</v>
      </c>
      <c r="K4266" s="455">
        <f t="shared" ca="1" si="181"/>
        <v>81656438152.002991</v>
      </c>
      <c r="L4266" s="455">
        <f t="shared" ca="1" si="182"/>
        <v>19679201594632.723</v>
      </c>
      <c r="M4266" s="471">
        <f t="shared" si="184"/>
        <v>0.05</v>
      </c>
      <c r="N4266" s="475">
        <f t="shared" si="185"/>
        <v>180887</v>
      </c>
    </row>
    <row r="4267" spans="7:14" ht="11.25" customHeight="1" x14ac:dyDescent="0.3">
      <c r="G4267" s="470"/>
      <c r="H4267" s="470">
        <v>4260</v>
      </c>
      <c r="I4267" s="455">
        <f t="shared" ca="1" si="183"/>
        <v>19679201594632.723</v>
      </c>
      <c r="J4267" s="455">
        <f t="array" ref="J4267">IFERROR(INDEX('Retirement Calculator'!J:J,MATCH('Isaac 401k'!N4267,'Retirement Calculator'!A:A,0),0),0)</f>
        <v>0</v>
      </c>
      <c r="K4267" s="455">
        <f t="shared" ca="1" si="181"/>
        <v>81996673310.969681</v>
      </c>
      <c r="L4267" s="455">
        <f t="shared" ca="1" si="182"/>
        <v>19761198267943.691</v>
      </c>
      <c r="M4267" s="471">
        <f t="shared" si="184"/>
        <v>0.05</v>
      </c>
      <c r="N4267" s="475">
        <f t="shared" si="185"/>
        <v>180917</v>
      </c>
    </row>
    <row r="4268" spans="7:14" ht="11.25" customHeight="1" x14ac:dyDescent="0.3">
      <c r="G4268" s="470"/>
      <c r="H4268" s="470">
        <v>4261</v>
      </c>
      <c r="I4268" s="455">
        <f t="shared" ca="1" si="183"/>
        <v>19761198267943.691</v>
      </c>
      <c r="J4268" s="455">
        <f t="array" ref="J4268">IFERROR(INDEX('Retirement Calculator'!J:J,MATCH('Isaac 401k'!N4268,'Retirement Calculator'!A:A,0),0),0)</f>
        <v>0</v>
      </c>
      <c r="K4268" s="455">
        <f t="shared" ca="1" si="181"/>
        <v>82338326116.432053</v>
      </c>
      <c r="L4268" s="455">
        <f t="shared" ca="1" si="182"/>
        <v>19843536594060.125</v>
      </c>
      <c r="M4268" s="471">
        <f t="shared" si="184"/>
        <v>0.05</v>
      </c>
      <c r="N4268" s="475">
        <f t="shared" si="185"/>
        <v>180948</v>
      </c>
    </row>
    <row r="4269" spans="7:14" ht="11.25" customHeight="1" x14ac:dyDescent="0.3">
      <c r="G4269" s="470"/>
      <c r="H4269" s="470">
        <v>4262</v>
      </c>
      <c r="I4269" s="455">
        <f t="shared" ca="1" si="183"/>
        <v>19843536594060.125</v>
      </c>
      <c r="J4269" s="455">
        <f t="array" ref="J4269">IFERROR(INDEX('Retirement Calculator'!J:J,MATCH('Isaac 401k'!N4269,'Retirement Calculator'!A:A,0),0),0)</f>
        <v>0</v>
      </c>
      <c r="K4269" s="455">
        <f t="shared" ca="1" si="181"/>
        <v>82681402475.250519</v>
      </c>
      <c r="L4269" s="455">
        <f t="shared" ca="1" si="182"/>
        <v>19926217996535.375</v>
      </c>
      <c r="M4269" s="471">
        <f t="shared" si="184"/>
        <v>0.05</v>
      </c>
      <c r="N4269" s="475">
        <f t="shared" si="185"/>
        <v>180978</v>
      </c>
    </row>
    <row r="4270" spans="7:14" ht="11.25" customHeight="1" x14ac:dyDescent="0.3">
      <c r="G4270" s="470"/>
      <c r="H4270" s="470">
        <v>4263</v>
      </c>
      <c r="I4270" s="455">
        <f t="shared" ca="1" si="183"/>
        <v>19926217996535.375</v>
      </c>
      <c r="J4270" s="455">
        <f t="array" ref="J4270">IFERROR(INDEX('Retirement Calculator'!J:J,MATCH('Isaac 401k'!N4270,'Retirement Calculator'!A:A,0),0),0)</f>
        <v>0</v>
      </c>
      <c r="K4270" s="455">
        <f t="shared" ca="1" si="181"/>
        <v>83025908318.8974</v>
      </c>
      <c r="L4270" s="455">
        <f t="shared" ca="1" si="182"/>
        <v>20009243904854.273</v>
      </c>
      <c r="M4270" s="471">
        <f t="shared" si="184"/>
        <v>0.05</v>
      </c>
      <c r="N4270" s="475">
        <f t="shared" si="185"/>
        <v>181009</v>
      </c>
    </row>
    <row r="4271" spans="7:14" ht="11.25" customHeight="1" x14ac:dyDescent="0.3">
      <c r="G4271" s="470"/>
      <c r="H4271" s="470">
        <v>4264</v>
      </c>
      <c r="I4271" s="455">
        <f t="shared" ca="1" si="183"/>
        <v>20009243904854.273</v>
      </c>
      <c r="J4271" s="455">
        <f t="array" ref="J4271">IFERROR(INDEX('Retirement Calculator'!J:J,MATCH('Isaac 401k'!N4271,'Retirement Calculator'!A:A,0),0),0)</f>
        <v>0</v>
      </c>
      <c r="K4271" s="455">
        <f t="shared" ca="1" si="181"/>
        <v>83371849603.559479</v>
      </c>
      <c r="L4271" s="455">
        <f t="shared" ca="1" si="182"/>
        <v>20092615754457.832</v>
      </c>
      <c r="M4271" s="471">
        <f t="shared" si="184"/>
        <v>0.05</v>
      </c>
      <c r="N4271" s="475">
        <f t="shared" si="185"/>
        <v>181040</v>
      </c>
    </row>
    <row r="4272" spans="7:14" ht="11.25" customHeight="1" x14ac:dyDescent="0.3">
      <c r="G4272" s="470"/>
      <c r="H4272" s="470">
        <v>4265</v>
      </c>
      <c r="I4272" s="455">
        <f t="shared" ca="1" si="183"/>
        <v>20092615754457.832</v>
      </c>
      <c r="J4272" s="455">
        <f t="array" ref="J4272">IFERROR(INDEX('Retirement Calculator'!J:J,MATCH('Isaac 401k'!N4272,'Retirement Calculator'!A:A,0),0),0)</f>
        <v>0</v>
      </c>
      <c r="K4272" s="455">
        <f t="shared" ca="1" si="181"/>
        <v>83719232310.240967</v>
      </c>
      <c r="L4272" s="455">
        <f t="shared" ca="1" si="182"/>
        <v>20176334986768.074</v>
      </c>
      <c r="M4272" s="471">
        <f t="shared" si="184"/>
        <v>0.05</v>
      </c>
      <c r="N4272" s="475">
        <f t="shared" si="185"/>
        <v>181070</v>
      </c>
    </row>
    <row r="4273" spans="7:14" ht="11.25" customHeight="1" x14ac:dyDescent="0.3">
      <c r="G4273" s="470"/>
      <c r="H4273" s="470">
        <v>4266</v>
      </c>
      <c r="I4273" s="455">
        <f t="shared" ca="1" si="183"/>
        <v>20176334986768.074</v>
      </c>
      <c r="J4273" s="455">
        <f t="array" ref="J4273">IFERROR(INDEX('Retirement Calculator'!J:J,MATCH('Isaac 401k'!N4273,'Retirement Calculator'!A:A,0),0),0)</f>
        <v>0</v>
      </c>
      <c r="K4273" s="455">
        <f t="shared" ca="1" si="181"/>
        <v>84068062444.866974</v>
      </c>
      <c r="L4273" s="455">
        <f t="shared" ca="1" si="182"/>
        <v>20260403049212.941</v>
      </c>
      <c r="M4273" s="471">
        <f t="shared" si="184"/>
        <v>0.05</v>
      </c>
      <c r="N4273" s="475">
        <f t="shared" si="185"/>
        <v>181101</v>
      </c>
    </row>
    <row r="4274" spans="7:14" ht="11.25" customHeight="1" x14ac:dyDescent="0.3">
      <c r="G4274" s="470"/>
      <c r="H4274" s="470">
        <v>4267</v>
      </c>
      <c r="I4274" s="455">
        <f t="shared" ca="1" si="183"/>
        <v>20260403049212.941</v>
      </c>
      <c r="J4274" s="455">
        <f t="array" ref="J4274">IFERROR(INDEX('Retirement Calculator'!J:J,MATCH('Isaac 401k'!N4274,'Retirement Calculator'!A:A,0),0),0)</f>
        <v>0</v>
      </c>
      <c r="K4274" s="455">
        <f t="shared" ca="1" si="181"/>
        <v>84418346038.387253</v>
      </c>
      <c r="L4274" s="455">
        <f t="shared" ca="1" si="182"/>
        <v>20344821395251.328</v>
      </c>
      <c r="M4274" s="471">
        <f t="shared" si="184"/>
        <v>0.05</v>
      </c>
      <c r="N4274" s="475">
        <f t="shared" si="185"/>
        <v>181131</v>
      </c>
    </row>
    <row r="4275" spans="7:14" ht="11.25" customHeight="1" x14ac:dyDescent="0.3">
      <c r="G4275" s="470"/>
      <c r="H4275" s="470">
        <v>4268</v>
      </c>
      <c r="I4275" s="455">
        <f t="shared" ca="1" si="183"/>
        <v>20344821395251.328</v>
      </c>
      <c r="J4275" s="455">
        <f t="array" ref="J4275">IFERROR(INDEX('Retirement Calculator'!J:J,MATCH('Isaac 401k'!N4275,'Retirement Calculator'!A:A,0),0),0)</f>
        <v>0</v>
      </c>
      <c r="K4275" s="455">
        <f t="shared" ca="1" si="181"/>
        <v>84770089146.880539</v>
      </c>
      <c r="L4275" s="455">
        <f t="shared" ca="1" si="182"/>
        <v>20429591484398.207</v>
      </c>
      <c r="M4275" s="471">
        <f t="shared" si="184"/>
        <v>0.05</v>
      </c>
      <c r="N4275" s="475">
        <f t="shared" si="185"/>
        <v>181162</v>
      </c>
    </row>
    <row r="4276" spans="7:14" ht="11.25" customHeight="1" x14ac:dyDescent="0.3">
      <c r="G4276" s="470"/>
      <c r="H4276" s="470">
        <v>4269</v>
      </c>
      <c r="I4276" s="455">
        <f t="shared" ca="1" si="183"/>
        <v>20429591484398.207</v>
      </c>
      <c r="J4276" s="455">
        <f t="array" ref="J4276">IFERROR(INDEX('Retirement Calculator'!J:J,MATCH('Isaac 401k'!N4276,'Retirement Calculator'!A:A,0),0),0)</f>
        <v>0</v>
      </c>
      <c r="K4276" s="455">
        <f t="shared" ca="1" si="181"/>
        <v>85123297851.659195</v>
      </c>
      <c r="L4276" s="455">
        <f t="shared" ca="1" si="182"/>
        <v>20514714782249.867</v>
      </c>
      <c r="M4276" s="471">
        <f t="shared" si="184"/>
        <v>0.05</v>
      </c>
      <c r="N4276" s="475">
        <f t="shared" si="185"/>
        <v>181193</v>
      </c>
    </row>
    <row r="4277" spans="7:14" ht="11.25" customHeight="1" x14ac:dyDescent="0.3">
      <c r="G4277" s="470"/>
      <c r="H4277" s="470">
        <v>4270</v>
      </c>
      <c r="I4277" s="455">
        <f t="shared" ca="1" si="183"/>
        <v>20514714782249.867</v>
      </c>
      <c r="J4277" s="455">
        <f t="array" ref="J4277">IFERROR(INDEX('Retirement Calculator'!J:J,MATCH('Isaac 401k'!N4277,'Retirement Calculator'!A:A,0),0),0)</f>
        <v>0</v>
      </c>
      <c r="K4277" s="455">
        <f t="shared" ca="1" si="181"/>
        <v>85477978259.374451</v>
      </c>
      <c r="L4277" s="455">
        <f t="shared" ca="1" si="182"/>
        <v>20600192760509.242</v>
      </c>
      <c r="M4277" s="471">
        <f t="shared" si="184"/>
        <v>0.05</v>
      </c>
      <c r="N4277" s="475">
        <f t="shared" si="185"/>
        <v>181222</v>
      </c>
    </row>
    <row r="4278" spans="7:14" ht="11.25" customHeight="1" x14ac:dyDescent="0.3">
      <c r="G4278" s="470"/>
      <c r="H4278" s="470">
        <v>4271</v>
      </c>
      <c r="I4278" s="455">
        <f t="shared" ca="1" si="183"/>
        <v>20600192760509.242</v>
      </c>
      <c r="J4278" s="455">
        <f t="array" ref="J4278">IFERROR(INDEX('Retirement Calculator'!J:J,MATCH('Isaac 401k'!N4278,'Retirement Calculator'!A:A,0),0),0)</f>
        <v>0</v>
      </c>
      <c r="K4278" s="455">
        <f t="shared" ca="1" si="181"/>
        <v>85834136502.121841</v>
      </c>
      <c r="L4278" s="455">
        <f t="shared" ca="1" si="182"/>
        <v>20686026897011.363</v>
      </c>
      <c r="M4278" s="471">
        <f t="shared" si="184"/>
        <v>0.05</v>
      </c>
      <c r="N4278" s="475">
        <f t="shared" si="185"/>
        <v>181253</v>
      </c>
    </row>
    <row r="4279" spans="7:14" ht="11.25" customHeight="1" x14ac:dyDescent="0.3">
      <c r="G4279" s="470"/>
      <c r="H4279" s="470">
        <v>4272</v>
      </c>
      <c r="I4279" s="455">
        <f t="shared" ca="1" si="183"/>
        <v>20686026897011.363</v>
      </c>
      <c r="J4279" s="455">
        <f t="array" ref="J4279">IFERROR(INDEX('Retirement Calculator'!J:J,MATCH('Isaac 401k'!N4279,'Retirement Calculator'!A:A,0),0),0)</f>
        <v>0</v>
      </c>
      <c r="K4279" s="455">
        <f t="shared" ca="1" si="181"/>
        <v>86191778737.547348</v>
      </c>
      <c r="L4279" s="455">
        <f t="shared" ca="1" si="182"/>
        <v>20772218675748.91</v>
      </c>
      <c r="M4279" s="471">
        <f t="shared" si="184"/>
        <v>0.05</v>
      </c>
      <c r="N4279" s="475">
        <f t="shared" si="185"/>
        <v>181283</v>
      </c>
    </row>
    <row r="4280" spans="7:14" ht="11.25" customHeight="1" x14ac:dyDescent="0.3">
      <c r="G4280" s="470"/>
      <c r="H4280" s="470">
        <v>4273</v>
      </c>
      <c r="I4280" s="455">
        <f t="shared" ca="1" si="183"/>
        <v>20772218675748.91</v>
      </c>
      <c r="J4280" s="455">
        <f t="array" ref="J4280">IFERROR(INDEX('Retirement Calculator'!J:J,MATCH('Isaac 401k'!N4280,'Retirement Calculator'!A:A,0),0),0)</f>
        <v>0</v>
      </c>
      <c r="K4280" s="455">
        <f t="shared" ca="1" si="181"/>
        <v>86550911148.953796</v>
      </c>
      <c r="L4280" s="455">
        <f t="shared" ca="1" si="182"/>
        <v>20858769586897.863</v>
      </c>
      <c r="M4280" s="471">
        <f t="shared" si="184"/>
        <v>0.05</v>
      </c>
      <c r="N4280" s="475">
        <f t="shared" si="185"/>
        <v>181314</v>
      </c>
    </row>
    <row r="4281" spans="7:14" ht="11.25" customHeight="1" x14ac:dyDescent="0.3">
      <c r="G4281" s="470"/>
      <c r="H4281" s="470">
        <v>4274</v>
      </c>
      <c r="I4281" s="455">
        <f t="shared" ca="1" si="183"/>
        <v>20858769586897.863</v>
      </c>
      <c r="J4281" s="455">
        <f t="array" ref="J4281">IFERROR(INDEX('Retirement Calculator'!J:J,MATCH('Isaac 401k'!N4281,'Retirement Calculator'!A:A,0),0),0)</f>
        <v>0</v>
      </c>
      <c r="K4281" s="455">
        <f t="shared" ca="1" si="181"/>
        <v>86911539945.407761</v>
      </c>
      <c r="L4281" s="455">
        <f t="shared" ca="1" si="182"/>
        <v>20945681126843.27</v>
      </c>
      <c r="M4281" s="471">
        <f t="shared" si="184"/>
        <v>0.05</v>
      </c>
      <c r="N4281" s="475">
        <f t="shared" si="185"/>
        <v>181344</v>
      </c>
    </row>
    <row r="4282" spans="7:14" ht="11.25" customHeight="1" x14ac:dyDescent="0.3">
      <c r="G4282" s="470"/>
      <c r="H4282" s="470">
        <v>4275</v>
      </c>
      <c r="I4282" s="455">
        <f t="shared" ca="1" si="183"/>
        <v>20945681126843.27</v>
      </c>
      <c r="J4282" s="455">
        <f t="array" ref="J4282">IFERROR(INDEX('Retirement Calculator'!J:J,MATCH('Isaac 401k'!N4282,'Retirement Calculator'!A:A,0),0),0)</f>
        <v>0</v>
      </c>
      <c r="K4282" s="455">
        <f t="shared" ca="1" si="181"/>
        <v>87273671361.846954</v>
      </c>
      <c r="L4282" s="455">
        <f t="shared" ca="1" si="182"/>
        <v>21032954798205.117</v>
      </c>
      <c r="M4282" s="471">
        <f t="shared" si="184"/>
        <v>0.05</v>
      </c>
      <c r="N4282" s="475">
        <f t="shared" si="185"/>
        <v>181375</v>
      </c>
    </row>
    <row r="4283" spans="7:14" ht="11.25" customHeight="1" x14ac:dyDescent="0.3">
      <c r="G4283" s="470"/>
      <c r="H4283" s="470">
        <v>4276</v>
      </c>
      <c r="I4283" s="455">
        <f t="shared" ca="1" si="183"/>
        <v>21032954798205.117</v>
      </c>
      <c r="J4283" s="455">
        <f t="array" ref="J4283">IFERROR(INDEX('Retirement Calculator'!J:J,MATCH('Isaac 401k'!N4283,'Retirement Calculator'!A:A,0),0),0)</f>
        <v>0</v>
      </c>
      <c r="K4283" s="455">
        <f t="shared" ca="1" si="181"/>
        <v>87637311659.187988</v>
      </c>
      <c r="L4283" s="455">
        <f t="shared" ca="1" si="182"/>
        <v>21120592109864.305</v>
      </c>
      <c r="M4283" s="471">
        <f t="shared" si="184"/>
        <v>0.05</v>
      </c>
      <c r="N4283" s="475">
        <f t="shared" si="185"/>
        <v>181406</v>
      </c>
    </row>
    <row r="4284" spans="7:14" ht="11.25" customHeight="1" x14ac:dyDescent="0.3">
      <c r="G4284" s="470"/>
      <c r="H4284" s="470">
        <v>4277</v>
      </c>
      <c r="I4284" s="455">
        <f t="shared" ca="1" si="183"/>
        <v>21120592109864.305</v>
      </c>
      <c r="J4284" s="455">
        <f t="array" ref="J4284">IFERROR(INDEX('Retirement Calculator'!J:J,MATCH('Isaac 401k'!N4284,'Retirement Calculator'!A:A,0),0),0)</f>
        <v>0</v>
      </c>
      <c r="K4284" s="455">
        <f t="shared" ca="1" si="181"/>
        <v>88002467124.434601</v>
      </c>
      <c r="L4284" s="455">
        <f t="shared" ca="1" si="182"/>
        <v>21208594576988.738</v>
      </c>
      <c r="M4284" s="471">
        <f t="shared" si="184"/>
        <v>0.05</v>
      </c>
      <c r="N4284" s="475">
        <f t="shared" si="185"/>
        <v>181436</v>
      </c>
    </row>
    <row r="4285" spans="7:14" ht="11.25" customHeight="1" x14ac:dyDescent="0.3">
      <c r="G4285" s="470"/>
      <c r="H4285" s="470">
        <v>4278</v>
      </c>
      <c r="I4285" s="455">
        <f t="shared" ca="1" si="183"/>
        <v>21208594576988.738</v>
      </c>
      <c r="J4285" s="455">
        <f t="array" ref="J4285">IFERROR(INDEX('Retirement Calculator'!J:J,MATCH('Isaac 401k'!N4285,'Retirement Calculator'!A:A,0),0),0)</f>
        <v>0</v>
      </c>
      <c r="K4285" s="455">
        <f t="shared" ca="1" si="181"/>
        <v>88369144070.786407</v>
      </c>
      <c r="L4285" s="455">
        <f t="shared" ca="1" si="182"/>
        <v>21296963721059.523</v>
      </c>
      <c r="M4285" s="471">
        <f t="shared" si="184"/>
        <v>0.05</v>
      </c>
      <c r="N4285" s="475">
        <f t="shared" si="185"/>
        <v>181467</v>
      </c>
    </row>
    <row r="4286" spans="7:14" ht="11.25" customHeight="1" x14ac:dyDescent="0.3">
      <c r="G4286" s="470"/>
      <c r="H4286" s="470">
        <v>4279</v>
      </c>
      <c r="I4286" s="455">
        <f t="shared" ca="1" si="183"/>
        <v>21296963721059.523</v>
      </c>
      <c r="J4286" s="455">
        <f t="array" ref="J4286">IFERROR(INDEX('Retirement Calculator'!J:J,MATCH('Isaac 401k'!N4286,'Retirement Calculator'!A:A,0),0),0)</f>
        <v>0</v>
      </c>
      <c r="K4286" s="455">
        <f t="shared" ca="1" si="181"/>
        <v>88737348837.748016</v>
      </c>
      <c r="L4286" s="455">
        <f t="shared" ca="1" si="182"/>
        <v>21385701069897.27</v>
      </c>
      <c r="M4286" s="471">
        <f t="shared" si="184"/>
        <v>0.05</v>
      </c>
      <c r="N4286" s="475">
        <f t="shared" si="185"/>
        <v>181497</v>
      </c>
    </row>
    <row r="4287" spans="7:14" ht="11.25" customHeight="1" x14ac:dyDescent="0.3">
      <c r="G4287" s="470"/>
      <c r="H4287" s="470">
        <v>4280</v>
      </c>
      <c r="I4287" s="455">
        <f t="shared" ca="1" si="183"/>
        <v>21385701069897.27</v>
      </c>
      <c r="J4287" s="455">
        <f t="array" ref="J4287">IFERROR(INDEX('Retirement Calculator'!J:J,MATCH('Isaac 401k'!N4287,'Retirement Calculator'!A:A,0),0),0)</f>
        <v>0</v>
      </c>
      <c r="K4287" s="455">
        <f t="shared" ca="1" si="181"/>
        <v>89107087791.238617</v>
      </c>
      <c r="L4287" s="455">
        <f t="shared" ca="1" si="182"/>
        <v>21474808157688.508</v>
      </c>
      <c r="M4287" s="471">
        <f t="shared" si="184"/>
        <v>0.05</v>
      </c>
      <c r="N4287" s="475">
        <f t="shared" si="185"/>
        <v>181528</v>
      </c>
    </row>
    <row r="4288" spans="7:14" ht="11.25" customHeight="1" x14ac:dyDescent="0.3">
      <c r="G4288" s="470"/>
      <c r="H4288" s="470">
        <v>4281</v>
      </c>
      <c r="I4288" s="455">
        <f t="shared" ca="1" si="183"/>
        <v>21474808157688.508</v>
      </c>
      <c r="J4288" s="455">
        <f t="array" ref="J4288">IFERROR(INDEX('Retirement Calculator'!J:J,MATCH('Isaac 401k'!N4288,'Retirement Calculator'!A:A,0),0),0)</f>
        <v>0</v>
      </c>
      <c r="K4288" s="455">
        <f t="shared" ca="1" si="181"/>
        <v>89478367323.702118</v>
      </c>
      <c r="L4288" s="455">
        <f t="shared" ca="1" si="182"/>
        <v>21564286525012.211</v>
      </c>
      <c r="M4288" s="471">
        <f t="shared" si="184"/>
        <v>0.05</v>
      </c>
      <c r="N4288" s="475">
        <f t="shared" si="185"/>
        <v>181559</v>
      </c>
    </row>
    <row r="4289" spans="7:14" ht="11.25" customHeight="1" x14ac:dyDescent="0.3">
      <c r="G4289" s="470"/>
      <c r="H4289" s="470">
        <v>4282</v>
      </c>
      <c r="I4289" s="455">
        <f t="shared" ca="1" si="183"/>
        <v>21564286525012.211</v>
      </c>
      <c r="J4289" s="455">
        <f t="array" ref="J4289">IFERROR(INDEX('Retirement Calculator'!J:J,MATCH('Isaac 401k'!N4289,'Retirement Calculator'!A:A,0),0),0)</f>
        <v>0</v>
      </c>
      <c r="K4289" s="455">
        <f t="shared" ca="1" si="181"/>
        <v>89851193854.217545</v>
      </c>
      <c r="L4289" s="455">
        <f t="shared" ca="1" si="182"/>
        <v>21654137718866.43</v>
      </c>
      <c r="M4289" s="471">
        <f t="shared" si="184"/>
        <v>0.05</v>
      </c>
      <c r="N4289" s="475">
        <f t="shared" si="185"/>
        <v>181587</v>
      </c>
    </row>
    <row r="4290" spans="7:14" ht="11.25" customHeight="1" x14ac:dyDescent="0.3">
      <c r="G4290" s="470"/>
      <c r="H4290" s="470">
        <v>4283</v>
      </c>
      <c r="I4290" s="455">
        <f t="shared" ca="1" si="183"/>
        <v>21654137718866.43</v>
      </c>
      <c r="J4290" s="455">
        <f t="array" ref="J4290">IFERROR(INDEX('Retirement Calculator'!J:J,MATCH('Isaac 401k'!N4290,'Retirement Calculator'!A:A,0),0),0)</f>
        <v>0</v>
      </c>
      <c r="K4290" s="455">
        <f t="shared" ca="1" si="181"/>
        <v>90225573828.610123</v>
      </c>
      <c r="L4290" s="455">
        <f t="shared" ca="1" si="182"/>
        <v>21744363292695.039</v>
      </c>
      <c r="M4290" s="471">
        <f t="shared" si="184"/>
        <v>0.05</v>
      </c>
      <c r="N4290" s="475">
        <f t="shared" si="185"/>
        <v>181618</v>
      </c>
    </row>
    <row r="4291" spans="7:14" ht="11.25" customHeight="1" x14ac:dyDescent="0.3">
      <c r="G4291" s="470"/>
      <c r="H4291" s="470">
        <v>4284</v>
      </c>
      <c r="I4291" s="455">
        <f t="shared" ca="1" si="183"/>
        <v>21744363292695.039</v>
      </c>
      <c r="J4291" s="455">
        <f t="array" ref="J4291">IFERROR(INDEX('Retirement Calculator'!J:J,MATCH('Isaac 401k'!N4291,'Retirement Calculator'!A:A,0),0),0)</f>
        <v>0</v>
      </c>
      <c r="K4291" s="455">
        <f t="shared" ca="1" si="181"/>
        <v>90601513719.562668</v>
      </c>
      <c r="L4291" s="455">
        <f t="shared" ca="1" si="182"/>
        <v>21834964806414.602</v>
      </c>
      <c r="M4291" s="471">
        <f t="shared" si="184"/>
        <v>0.05</v>
      </c>
      <c r="N4291" s="475">
        <f t="shared" si="185"/>
        <v>181648</v>
      </c>
    </row>
    <row r="4292" spans="7:14" ht="11.25" customHeight="1" x14ac:dyDescent="0.3">
      <c r="G4292" s="470"/>
      <c r="H4292" s="470">
        <v>4285</v>
      </c>
      <c r="I4292" s="455">
        <f t="shared" ca="1" si="183"/>
        <v>21834964806414.602</v>
      </c>
      <c r="J4292" s="455">
        <f t="array" ref="J4292">IFERROR(INDEX('Retirement Calculator'!J:J,MATCH('Isaac 401k'!N4292,'Retirement Calculator'!A:A,0),0),0)</f>
        <v>0</v>
      </c>
      <c r="K4292" s="455">
        <f t="shared" ca="1" si="181"/>
        <v>90979020026.727509</v>
      </c>
      <c r="L4292" s="455">
        <f t="shared" ca="1" si="182"/>
        <v>21925943826441.328</v>
      </c>
      <c r="M4292" s="471">
        <f t="shared" si="184"/>
        <v>0.05</v>
      </c>
      <c r="N4292" s="475">
        <f t="shared" si="185"/>
        <v>181679</v>
      </c>
    </row>
    <row r="4293" spans="7:14" ht="11.25" customHeight="1" x14ac:dyDescent="0.3">
      <c r="G4293" s="470"/>
      <c r="H4293" s="470">
        <v>4286</v>
      </c>
      <c r="I4293" s="455">
        <f t="shared" ca="1" si="183"/>
        <v>21925943826441.328</v>
      </c>
      <c r="J4293" s="455">
        <f t="array" ref="J4293">IFERROR(INDEX('Retirement Calculator'!J:J,MATCH('Isaac 401k'!N4293,'Retirement Calculator'!A:A,0),0),0)</f>
        <v>0</v>
      </c>
      <c r="K4293" s="455">
        <f t="shared" ca="1" si="181"/>
        <v>91358099276.838867</v>
      </c>
      <c r="L4293" s="455">
        <f t="shared" ca="1" si="182"/>
        <v>22017301925718.168</v>
      </c>
      <c r="M4293" s="471">
        <f t="shared" si="184"/>
        <v>0.05</v>
      </c>
      <c r="N4293" s="475">
        <f t="shared" si="185"/>
        <v>181709</v>
      </c>
    </row>
    <row r="4294" spans="7:14" ht="11.25" customHeight="1" x14ac:dyDescent="0.3">
      <c r="G4294" s="470"/>
      <c r="H4294" s="470">
        <v>4287</v>
      </c>
      <c r="I4294" s="455">
        <f t="shared" ca="1" si="183"/>
        <v>22017301925718.168</v>
      </c>
      <c r="J4294" s="455">
        <f t="array" ref="J4294">IFERROR(INDEX('Retirement Calculator'!J:J,MATCH('Isaac 401k'!N4294,'Retirement Calculator'!A:A,0),0),0)</f>
        <v>0</v>
      </c>
      <c r="K4294" s="455">
        <f t="shared" ca="1" si="181"/>
        <v>91738758023.825699</v>
      </c>
      <c r="L4294" s="455">
        <f t="shared" ca="1" si="182"/>
        <v>22109040683741.992</v>
      </c>
      <c r="M4294" s="471">
        <f t="shared" si="184"/>
        <v>0.05</v>
      </c>
      <c r="N4294" s="475">
        <f t="shared" si="185"/>
        <v>181740</v>
      </c>
    </row>
    <row r="4295" spans="7:14" ht="11.25" customHeight="1" x14ac:dyDescent="0.3">
      <c r="G4295" s="470"/>
      <c r="H4295" s="470">
        <v>4288</v>
      </c>
      <c r="I4295" s="455">
        <f t="shared" ca="1" si="183"/>
        <v>22109040683741.992</v>
      </c>
      <c r="J4295" s="455">
        <f t="array" ref="J4295">IFERROR(INDEX('Retirement Calculator'!J:J,MATCH('Isaac 401k'!N4295,'Retirement Calculator'!A:A,0),0),0)</f>
        <v>0</v>
      </c>
      <c r="K4295" s="455">
        <f t="shared" ca="1" si="181"/>
        <v>92121002848.924973</v>
      </c>
      <c r="L4295" s="455">
        <f t="shared" ca="1" si="182"/>
        <v>22201161686590.918</v>
      </c>
      <c r="M4295" s="471">
        <f t="shared" si="184"/>
        <v>0.05</v>
      </c>
      <c r="N4295" s="475">
        <f t="shared" si="185"/>
        <v>181771</v>
      </c>
    </row>
    <row r="4296" spans="7:14" ht="11.25" customHeight="1" x14ac:dyDescent="0.3">
      <c r="G4296" s="470"/>
      <c r="H4296" s="470">
        <v>4289</v>
      </c>
      <c r="I4296" s="455">
        <f t="shared" ca="1" si="183"/>
        <v>22201161686590.918</v>
      </c>
      <c r="J4296" s="455">
        <f t="array" ref="J4296">IFERROR(INDEX('Retirement Calculator'!J:J,MATCH('Isaac 401k'!N4296,'Retirement Calculator'!A:A,0),0),0)</f>
        <v>0</v>
      </c>
      <c r="K4296" s="455">
        <f t="shared" ca="1" si="181"/>
        <v>92504840360.795486</v>
      </c>
      <c r="L4296" s="455">
        <f t="shared" ca="1" si="182"/>
        <v>22293666526951.715</v>
      </c>
      <c r="M4296" s="471">
        <f t="shared" si="184"/>
        <v>0.05</v>
      </c>
      <c r="N4296" s="475">
        <f t="shared" si="185"/>
        <v>181801</v>
      </c>
    </row>
    <row r="4297" spans="7:14" ht="11.25" customHeight="1" x14ac:dyDescent="0.3">
      <c r="G4297" s="470"/>
      <c r="H4297" s="470">
        <v>4290</v>
      </c>
      <c r="I4297" s="455">
        <f t="shared" ca="1" si="183"/>
        <v>22293666526951.715</v>
      </c>
      <c r="J4297" s="455">
        <f t="array" ref="J4297">IFERROR(INDEX('Retirement Calculator'!J:J,MATCH('Isaac 401k'!N4297,'Retirement Calculator'!A:A,0),0),0)</f>
        <v>0</v>
      </c>
      <c r="K4297" s="455">
        <f t="shared" ca="1" si="181"/>
        <v>92890277195.632141</v>
      </c>
      <c r="L4297" s="455">
        <f t="shared" ca="1" si="182"/>
        <v>22386556804147.348</v>
      </c>
      <c r="M4297" s="471">
        <f t="shared" si="184"/>
        <v>0.05</v>
      </c>
      <c r="N4297" s="475">
        <f t="shared" si="185"/>
        <v>181832</v>
      </c>
    </row>
    <row r="4298" spans="7:14" ht="11.25" customHeight="1" x14ac:dyDescent="0.3">
      <c r="G4298" s="470"/>
      <c r="H4298" s="470">
        <v>4291</v>
      </c>
      <c r="I4298" s="455">
        <f t="shared" ca="1" si="183"/>
        <v>22386556804147.348</v>
      </c>
      <c r="J4298" s="455">
        <f t="array" ref="J4298">IFERROR(INDEX('Retirement Calculator'!J:J,MATCH('Isaac 401k'!N4298,'Retirement Calculator'!A:A,0),0),0)</f>
        <v>0</v>
      </c>
      <c r="K4298" s="455">
        <f t="shared" ca="1" si="181"/>
        <v>93277320017.280609</v>
      </c>
      <c r="L4298" s="455">
        <f t="shared" ca="1" si="182"/>
        <v>22479834124164.629</v>
      </c>
      <c r="M4298" s="471">
        <f t="shared" si="184"/>
        <v>0.05</v>
      </c>
      <c r="N4298" s="475">
        <f t="shared" si="185"/>
        <v>181862</v>
      </c>
    </row>
    <row r="4299" spans="7:14" ht="11.25" customHeight="1" x14ac:dyDescent="0.3">
      <c r="G4299" s="470"/>
      <c r="H4299" s="470">
        <v>4292</v>
      </c>
      <c r="I4299" s="455">
        <f t="shared" ca="1" si="183"/>
        <v>22479834124164.629</v>
      </c>
      <c r="J4299" s="455">
        <f t="array" ref="J4299">IFERROR(INDEX('Retirement Calculator'!J:J,MATCH('Isaac 401k'!N4299,'Retirement Calculator'!A:A,0),0),0)</f>
        <v>0</v>
      </c>
      <c r="K4299" s="455">
        <f t="shared" ca="1" si="181"/>
        <v>93665975517.352615</v>
      </c>
      <c r="L4299" s="455">
        <f t="shared" ca="1" si="182"/>
        <v>22573500099681.98</v>
      </c>
      <c r="M4299" s="471">
        <f t="shared" si="184"/>
        <v>0.05</v>
      </c>
      <c r="N4299" s="475">
        <f t="shared" si="185"/>
        <v>181893</v>
      </c>
    </row>
    <row r="4300" spans="7:14" ht="11.25" customHeight="1" x14ac:dyDescent="0.3">
      <c r="G4300" s="470"/>
      <c r="H4300" s="470">
        <v>4293</v>
      </c>
      <c r="I4300" s="455">
        <f t="shared" ca="1" si="183"/>
        <v>22573500099681.98</v>
      </c>
      <c r="J4300" s="455">
        <f t="array" ref="J4300">IFERROR(INDEX('Retirement Calculator'!J:J,MATCH('Isaac 401k'!N4300,'Retirement Calculator'!A:A,0),0),0)</f>
        <v>0</v>
      </c>
      <c r="K4300" s="455">
        <f t="shared" ca="1" si="181"/>
        <v>94056250415.341583</v>
      </c>
      <c r="L4300" s="455">
        <f t="shared" ca="1" si="182"/>
        <v>22667556350097.32</v>
      </c>
      <c r="M4300" s="471">
        <f t="shared" si="184"/>
        <v>0.05</v>
      </c>
      <c r="N4300" s="475">
        <f t="shared" si="185"/>
        <v>181924</v>
      </c>
    </row>
    <row r="4301" spans="7:14" ht="11.25" customHeight="1" x14ac:dyDescent="0.3">
      <c r="G4301" s="470"/>
      <c r="H4301" s="470">
        <v>4294</v>
      </c>
      <c r="I4301" s="455">
        <f t="shared" ca="1" si="183"/>
        <v>22667556350097.32</v>
      </c>
      <c r="J4301" s="455">
        <f t="array" ref="J4301">IFERROR(INDEX('Retirement Calculator'!J:J,MATCH('Isaac 401k'!N4301,'Retirement Calculator'!A:A,0),0),0)</f>
        <v>0</v>
      </c>
      <c r="K4301" s="455">
        <f t="shared" ca="1" si="181"/>
        <v>94448151458.738831</v>
      </c>
      <c r="L4301" s="455">
        <f t="shared" ca="1" si="182"/>
        <v>22762004501556.059</v>
      </c>
      <c r="M4301" s="471">
        <f t="shared" si="184"/>
        <v>0.05</v>
      </c>
      <c r="N4301" s="475">
        <f t="shared" si="185"/>
        <v>181952</v>
      </c>
    </row>
    <row r="4302" spans="7:14" ht="11.25" customHeight="1" x14ac:dyDescent="0.3">
      <c r="G4302" s="470"/>
      <c r="H4302" s="470">
        <v>4295</v>
      </c>
      <c r="I4302" s="455">
        <f t="shared" ca="1" si="183"/>
        <v>22762004501556.059</v>
      </c>
      <c r="J4302" s="455">
        <f t="array" ref="J4302">IFERROR(INDEX('Retirement Calculator'!J:J,MATCH('Isaac 401k'!N4302,'Retirement Calculator'!A:A,0),0),0)</f>
        <v>0</v>
      </c>
      <c r="K4302" s="455">
        <f t="shared" ca="1" si="181"/>
        <v>94841685423.150238</v>
      </c>
      <c r="L4302" s="455">
        <f t="shared" ca="1" si="182"/>
        <v>22856846186979.207</v>
      </c>
      <c r="M4302" s="471">
        <f t="shared" si="184"/>
        <v>0.05</v>
      </c>
      <c r="N4302" s="475">
        <f t="shared" si="185"/>
        <v>181983</v>
      </c>
    </row>
    <row r="4303" spans="7:14" ht="11.25" customHeight="1" x14ac:dyDescent="0.3">
      <c r="G4303" s="470"/>
      <c r="H4303" s="470">
        <v>4296</v>
      </c>
      <c r="I4303" s="455">
        <f t="shared" ca="1" si="183"/>
        <v>22856846186979.207</v>
      </c>
      <c r="J4303" s="455">
        <f t="array" ref="J4303">IFERROR(INDEX('Retirement Calculator'!J:J,MATCH('Isaac 401k'!N4303,'Retirement Calculator'!A:A,0),0),0)</f>
        <v>0</v>
      </c>
      <c r="K4303" s="455">
        <f t="shared" ca="1" si="181"/>
        <v>95236859112.413361</v>
      </c>
      <c r="L4303" s="455">
        <f t="shared" ca="1" si="182"/>
        <v>22952083046091.621</v>
      </c>
      <c r="M4303" s="471">
        <f t="shared" si="184"/>
        <v>0.05</v>
      </c>
      <c r="N4303" s="475">
        <f t="shared" si="185"/>
        <v>182013</v>
      </c>
    </row>
    <row r="4304" spans="7:14" ht="11.25" customHeight="1" x14ac:dyDescent="0.3">
      <c r="G4304" s="470"/>
      <c r="H4304" s="470">
        <v>4297</v>
      </c>
      <c r="I4304" s="455">
        <f t="shared" ca="1" si="183"/>
        <v>22952083046091.621</v>
      </c>
      <c r="J4304" s="455">
        <f t="array" ref="J4304">IFERROR(INDEX('Retirement Calculator'!J:J,MATCH('Isaac 401k'!N4304,'Retirement Calculator'!A:A,0),0),0)</f>
        <v>0</v>
      </c>
      <c r="K4304" s="455">
        <f t="shared" ca="1" si="181"/>
        <v>95633679358.715088</v>
      </c>
      <c r="L4304" s="455">
        <f t="shared" ca="1" si="182"/>
        <v>23047716725450.336</v>
      </c>
      <c r="M4304" s="471">
        <f t="shared" si="184"/>
        <v>0.05</v>
      </c>
      <c r="N4304" s="475">
        <f t="shared" si="185"/>
        <v>182044</v>
      </c>
    </row>
    <row r="4305" spans="7:14" ht="11.25" customHeight="1" x14ac:dyDescent="0.3">
      <c r="G4305" s="470"/>
      <c r="H4305" s="470">
        <v>4298</v>
      </c>
      <c r="I4305" s="455">
        <f t="shared" ca="1" si="183"/>
        <v>23047716725450.336</v>
      </c>
      <c r="J4305" s="455">
        <f t="array" ref="J4305">IFERROR(INDEX('Retirement Calculator'!J:J,MATCH('Isaac 401k'!N4305,'Retirement Calculator'!A:A,0),0),0)</f>
        <v>0</v>
      </c>
      <c r="K4305" s="455">
        <f t="shared" ca="1" si="181"/>
        <v>96032153022.709732</v>
      </c>
      <c r="L4305" s="455">
        <f t="shared" ca="1" si="182"/>
        <v>23143748878473.047</v>
      </c>
      <c r="M4305" s="471">
        <f t="shared" si="184"/>
        <v>0.05</v>
      </c>
      <c r="N4305" s="475">
        <f t="shared" si="185"/>
        <v>182074</v>
      </c>
    </row>
    <row r="4306" spans="7:14" ht="11.25" customHeight="1" x14ac:dyDescent="0.3">
      <c r="G4306" s="470"/>
      <c r="H4306" s="470">
        <v>4299</v>
      </c>
      <c r="I4306" s="455">
        <f t="shared" ca="1" si="183"/>
        <v>23143748878473.047</v>
      </c>
      <c r="J4306" s="455">
        <f t="array" ref="J4306">IFERROR(INDEX('Retirement Calculator'!J:J,MATCH('Isaac 401k'!N4306,'Retirement Calculator'!A:A,0),0),0)</f>
        <v>0</v>
      </c>
      <c r="K4306" s="455">
        <f t="shared" ca="1" si="181"/>
        <v>96432286993.637695</v>
      </c>
      <c r="L4306" s="455">
        <f t="shared" ca="1" si="182"/>
        <v>23240181165466.684</v>
      </c>
      <c r="M4306" s="471">
        <f t="shared" si="184"/>
        <v>0.05</v>
      </c>
      <c r="N4306" s="475">
        <f t="shared" si="185"/>
        <v>182105</v>
      </c>
    </row>
    <row r="4307" spans="7:14" ht="11.25" customHeight="1" x14ac:dyDescent="0.3">
      <c r="G4307" s="470"/>
      <c r="H4307" s="470">
        <v>4300</v>
      </c>
      <c r="I4307" s="455">
        <f t="shared" ca="1" si="183"/>
        <v>23240181165466.684</v>
      </c>
      <c r="J4307" s="455">
        <f t="array" ref="J4307">IFERROR(INDEX('Retirement Calculator'!J:J,MATCH('Isaac 401k'!N4307,'Retirement Calculator'!A:A,0),0),0)</f>
        <v>0</v>
      </c>
      <c r="K4307" s="455">
        <f t="shared" ca="1" si="181"/>
        <v>96834088189.444519</v>
      </c>
      <c r="L4307" s="455">
        <f t="shared" ca="1" si="182"/>
        <v>23337015253656.129</v>
      </c>
      <c r="M4307" s="471">
        <f t="shared" si="184"/>
        <v>0.05</v>
      </c>
      <c r="N4307" s="475">
        <f t="shared" si="185"/>
        <v>182136</v>
      </c>
    </row>
    <row r="4308" spans="7:14" ht="11.25" customHeight="1" x14ac:dyDescent="0.3">
      <c r="G4308" s="470"/>
      <c r="H4308" s="470">
        <v>4301</v>
      </c>
      <c r="I4308" s="455">
        <f t="shared" ca="1" si="183"/>
        <v>23337015253656.129</v>
      </c>
      <c r="J4308" s="455">
        <f t="array" ref="J4308">IFERROR(INDEX('Retirement Calculator'!J:J,MATCH('Isaac 401k'!N4308,'Retirement Calculator'!A:A,0),0),0)</f>
        <v>0</v>
      </c>
      <c r="K4308" s="455">
        <f t="shared" ca="1" si="181"/>
        <v>97237563556.900543</v>
      </c>
      <c r="L4308" s="455">
        <f t="shared" ca="1" si="182"/>
        <v>23434252817213.031</v>
      </c>
      <c r="M4308" s="471">
        <f t="shared" si="184"/>
        <v>0.05</v>
      </c>
      <c r="N4308" s="475">
        <f t="shared" si="185"/>
        <v>182166</v>
      </c>
    </row>
    <row r="4309" spans="7:14" ht="11.25" customHeight="1" x14ac:dyDescent="0.3">
      <c r="G4309" s="470"/>
      <c r="H4309" s="470">
        <v>4302</v>
      </c>
      <c r="I4309" s="455">
        <f t="shared" ca="1" si="183"/>
        <v>23434252817213.031</v>
      </c>
      <c r="J4309" s="455">
        <f t="array" ref="J4309">IFERROR(INDEX('Retirement Calculator'!J:J,MATCH('Isaac 401k'!N4309,'Retirement Calculator'!A:A,0),0),0)</f>
        <v>0</v>
      </c>
      <c r="K4309" s="455">
        <f t="shared" ca="1" si="181"/>
        <v>97642720071.720963</v>
      </c>
      <c r="L4309" s="455">
        <f t="shared" ca="1" si="182"/>
        <v>23531895537284.754</v>
      </c>
      <c r="M4309" s="471">
        <f t="shared" si="184"/>
        <v>0.05</v>
      </c>
      <c r="N4309" s="475">
        <f t="shared" si="185"/>
        <v>182197</v>
      </c>
    </row>
    <row r="4310" spans="7:14" ht="11.25" customHeight="1" x14ac:dyDescent="0.3">
      <c r="G4310" s="470"/>
      <c r="H4310" s="470">
        <v>4303</v>
      </c>
      <c r="I4310" s="455">
        <f t="shared" ca="1" si="183"/>
        <v>23531895537284.754</v>
      </c>
      <c r="J4310" s="455">
        <f t="array" ref="J4310">IFERROR(INDEX('Retirement Calculator'!J:J,MATCH('Isaac 401k'!N4310,'Retirement Calculator'!A:A,0),0),0)</f>
        <v>0</v>
      </c>
      <c r="K4310" s="455">
        <f t="shared" ca="1" si="181"/>
        <v>98049564738.686478</v>
      </c>
      <c r="L4310" s="455">
        <f t="shared" ca="1" si="182"/>
        <v>23629945102023.441</v>
      </c>
      <c r="M4310" s="471">
        <f t="shared" si="184"/>
        <v>0.05</v>
      </c>
      <c r="N4310" s="475">
        <f t="shared" si="185"/>
        <v>182227</v>
      </c>
    </row>
    <row r="4311" spans="7:14" ht="11.25" customHeight="1" x14ac:dyDescent="0.3">
      <c r="G4311" s="470"/>
      <c r="H4311" s="470">
        <v>4304</v>
      </c>
      <c r="I4311" s="455">
        <f t="shared" ca="1" si="183"/>
        <v>23629945102023.441</v>
      </c>
      <c r="J4311" s="455">
        <f t="array" ref="J4311">IFERROR(INDEX('Retirement Calculator'!J:J,MATCH('Isaac 401k'!N4311,'Retirement Calculator'!A:A,0),0),0)</f>
        <v>0</v>
      </c>
      <c r="K4311" s="455">
        <f t="shared" ca="1" si="181"/>
        <v>98458104591.764343</v>
      </c>
      <c r="L4311" s="455">
        <f t="shared" ca="1" si="182"/>
        <v>23728403206615.207</v>
      </c>
      <c r="M4311" s="471">
        <f t="shared" si="184"/>
        <v>0.05</v>
      </c>
      <c r="N4311" s="475">
        <f t="shared" si="185"/>
        <v>182258</v>
      </c>
    </row>
    <row r="4312" spans="7:14" ht="11.25" customHeight="1" x14ac:dyDescent="0.3">
      <c r="G4312" s="470"/>
      <c r="H4312" s="470">
        <v>4305</v>
      </c>
      <c r="I4312" s="455">
        <f t="shared" ca="1" si="183"/>
        <v>23728403206615.207</v>
      </c>
      <c r="J4312" s="455">
        <f t="array" ref="J4312">IFERROR(INDEX('Retirement Calculator'!J:J,MATCH('Isaac 401k'!N4312,'Retirement Calculator'!A:A,0),0),0)</f>
        <v>0</v>
      </c>
      <c r="K4312" s="455">
        <f t="shared" ca="1" si="181"/>
        <v>98868346694.230026</v>
      </c>
      <c r="L4312" s="455">
        <f t="shared" ca="1" si="182"/>
        <v>23827271553309.438</v>
      </c>
      <c r="M4312" s="471">
        <f t="shared" si="184"/>
        <v>0.05</v>
      </c>
      <c r="N4312" s="475">
        <f t="shared" si="185"/>
        <v>182289</v>
      </c>
    </row>
    <row r="4313" spans="7:14" ht="11.25" customHeight="1" x14ac:dyDescent="0.3">
      <c r="G4313" s="470"/>
      <c r="H4313" s="470">
        <v>4306</v>
      </c>
      <c r="I4313" s="455">
        <f t="shared" ca="1" si="183"/>
        <v>23827271553309.438</v>
      </c>
      <c r="J4313" s="455">
        <f t="array" ref="J4313">IFERROR(INDEX('Retirement Calculator'!J:J,MATCH('Isaac 401k'!N4313,'Retirement Calculator'!A:A,0),0),0)</f>
        <v>0</v>
      </c>
      <c r="K4313" s="455">
        <f t="shared" ca="1" si="181"/>
        <v>99280298138.789322</v>
      </c>
      <c r="L4313" s="455">
        <f t="shared" ca="1" si="182"/>
        <v>23926551851448.227</v>
      </c>
      <c r="M4313" s="471">
        <f t="shared" si="184"/>
        <v>0.05</v>
      </c>
      <c r="N4313" s="475">
        <f t="shared" si="185"/>
        <v>182317</v>
      </c>
    </row>
    <row r="4314" spans="7:14" ht="11.25" customHeight="1" x14ac:dyDescent="0.3">
      <c r="G4314" s="470"/>
      <c r="H4314" s="470">
        <v>4307</v>
      </c>
      <c r="I4314" s="455">
        <f t="shared" ca="1" si="183"/>
        <v>23926551851448.227</v>
      </c>
      <c r="J4314" s="455">
        <f t="array" ref="J4314">IFERROR(INDEX('Retirement Calculator'!J:J,MATCH('Isaac 401k'!N4314,'Retirement Calculator'!A:A,0),0),0)</f>
        <v>0</v>
      </c>
      <c r="K4314" s="455">
        <f t="shared" ca="1" si="181"/>
        <v>99693966047.700943</v>
      </c>
      <c r="L4314" s="455">
        <f t="shared" ca="1" si="182"/>
        <v>24026245817495.926</v>
      </c>
      <c r="M4314" s="471">
        <f t="shared" si="184"/>
        <v>0.05</v>
      </c>
      <c r="N4314" s="475">
        <f t="shared" si="185"/>
        <v>182348</v>
      </c>
    </row>
    <row r="4315" spans="7:14" ht="11.25" customHeight="1" x14ac:dyDescent="0.3">
      <c r="G4315" s="470"/>
      <c r="H4315" s="470">
        <v>4308</v>
      </c>
      <c r="I4315" s="455">
        <f t="shared" ca="1" si="183"/>
        <v>24026245817495.926</v>
      </c>
      <c r="J4315" s="455">
        <f t="array" ref="J4315">IFERROR(INDEX('Retirement Calculator'!J:J,MATCH('Isaac 401k'!N4315,'Retirement Calculator'!A:A,0),0),0)</f>
        <v>0</v>
      </c>
      <c r="K4315" s="455">
        <f t="shared" ca="1" si="181"/>
        <v>100109357572.89969</v>
      </c>
      <c r="L4315" s="455">
        <f t="shared" ca="1" si="182"/>
        <v>24126355175068.824</v>
      </c>
      <c r="M4315" s="471">
        <f t="shared" si="184"/>
        <v>0.05</v>
      </c>
      <c r="N4315" s="475">
        <f t="shared" si="185"/>
        <v>182378</v>
      </c>
    </row>
    <row r="4316" spans="7:14" ht="11.25" customHeight="1" x14ac:dyDescent="0.3">
      <c r="G4316" s="470"/>
      <c r="H4316" s="470">
        <v>4309</v>
      </c>
      <c r="I4316" s="455">
        <f t="shared" ca="1" si="183"/>
        <v>24126355175068.824</v>
      </c>
      <c r="J4316" s="455">
        <f t="array" ref="J4316">IFERROR(INDEX('Retirement Calculator'!J:J,MATCH('Isaac 401k'!N4316,'Retirement Calculator'!A:A,0),0),0)</f>
        <v>0</v>
      </c>
      <c r="K4316" s="455">
        <f t="shared" ca="1" si="181"/>
        <v>100526479896.1201</v>
      </c>
      <c r="L4316" s="455">
        <f t="shared" ca="1" si="182"/>
        <v>24226881654964.945</v>
      </c>
      <c r="M4316" s="471">
        <f t="shared" si="184"/>
        <v>0.05</v>
      </c>
      <c r="N4316" s="475">
        <f t="shared" si="185"/>
        <v>182409</v>
      </c>
    </row>
    <row r="4317" spans="7:14" ht="11.25" customHeight="1" x14ac:dyDescent="0.3">
      <c r="G4317" s="470"/>
      <c r="H4317" s="470">
        <v>4310</v>
      </c>
      <c r="I4317" s="455">
        <f t="shared" ca="1" si="183"/>
        <v>24226881654964.945</v>
      </c>
      <c r="J4317" s="455">
        <f t="array" ref="J4317">IFERROR(INDEX('Retirement Calculator'!J:J,MATCH('Isaac 401k'!N4317,'Retirement Calculator'!A:A,0),0),0)</f>
        <v>0</v>
      </c>
      <c r="K4317" s="455">
        <f t="shared" ca="1" si="181"/>
        <v>100945340229.0206</v>
      </c>
      <c r="L4317" s="455">
        <f t="shared" ca="1" si="182"/>
        <v>24327826995193.965</v>
      </c>
      <c r="M4317" s="471">
        <f t="shared" si="184"/>
        <v>0.05</v>
      </c>
      <c r="N4317" s="475">
        <f t="shared" si="185"/>
        <v>182439</v>
      </c>
    </row>
    <row r="4318" spans="7:14" ht="11.25" customHeight="1" x14ac:dyDescent="0.3">
      <c r="G4318" s="470"/>
      <c r="H4318" s="470">
        <v>4311</v>
      </c>
      <c r="I4318" s="455">
        <f t="shared" ca="1" si="183"/>
        <v>24327826995193.965</v>
      </c>
      <c r="J4318" s="455">
        <f t="array" ref="J4318">IFERROR(INDEX('Retirement Calculator'!J:J,MATCH('Isaac 401k'!N4318,'Retirement Calculator'!A:A,0),0),0)</f>
        <v>0</v>
      </c>
      <c r="K4318" s="455">
        <f t="shared" ca="1" si="181"/>
        <v>101365945813.30818</v>
      </c>
      <c r="L4318" s="455">
        <f t="shared" ca="1" si="182"/>
        <v>24429192941007.273</v>
      </c>
      <c r="M4318" s="471">
        <f t="shared" si="184"/>
        <v>0.05</v>
      </c>
      <c r="N4318" s="475">
        <f t="shared" si="185"/>
        <v>182470</v>
      </c>
    </row>
    <row r="4319" spans="7:14" ht="11.25" customHeight="1" x14ac:dyDescent="0.3">
      <c r="G4319" s="470"/>
      <c r="H4319" s="470">
        <v>4312</v>
      </c>
      <c r="I4319" s="455">
        <f t="shared" ca="1" si="183"/>
        <v>24429192941007.273</v>
      </c>
      <c r="J4319" s="455">
        <f t="array" ref="J4319">IFERROR(INDEX('Retirement Calculator'!J:J,MATCH('Isaac 401k'!N4319,'Retirement Calculator'!A:A,0),0),0)</f>
        <v>0</v>
      </c>
      <c r="K4319" s="455">
        <f t="shared" ca="1" si="181"/>
        <v>101788303920.86363</v>
      </c>
      <c r="L4319" s="455">
        <f t="shared" ca="1" si="182"/>
        <v>24530981244928.137</v>
      </c>
      <c r="M4319" s="471">
        <f t="shared" si="184"/>
        <v>0.05</v>
      </c>
      <c r="N4319" s="475">
        <f t="shared" si="185"/>
        <v>182501</v>
      </c>
    </row>
    <row r="4320" spans="7:14" ht="11.25" customHeight="1" x14ac:dyDescent="0.3">
      <c r="G4320" s="470"/>
      <c r="H4320" s="470">
        <v>4313</v>
      </c>
      <c r="I4320" s="455">
        <f t="shared" ca="1" si="183"/>
        <v>24530981244928.137</v>
      </c>
      <c r="J4320" s="455">
        <f t="array" ref="J4320">IFERROR(INDEX('Retirement Calculator'!J:J,MATCH('Isaac 401k'!N4320,'Retirement Calculator'!A:A,0),0),0)</f>
        <v>0</v>
      </c>
      <c r="K4320" s="455">
        <f t="shared" ca="1" si="181"/>
        <v>102212421853.86723</v>
      </c>
      <c r="L4320" s="455">
        <f t="shared" ca="1" si="182"/>
        <v>24633193666782.004</v>
      </c>
      <c r="M4320" s="471">
        <f t="shared" si="184"/>
        <v>0.05</v>
      </c>
      <c r="N4320" s="475">
        <f t="shared" si="185"/>
        <v>182531</v>
      </c>
    </row>
    <row r="4321" spans="7:14" ht="11.25" customHeight="1" x14ac:dyDescent="0.3">
      <c r="G4321" s="470"/>
      <c r="H4321" s="470">
        <v>4314</v>
      </c>
      <c r="I4321" s="455">
        <f t="shared" ca="1" si="183"/>
        <v>24633193666782.004</v>
      </c>
      <c r="J4321" s="455">
        <f t="array" ref="J4321">IFERROR(INDEX('Retirement Calculator'!J:J,MATCH('Isaac 401k'!N4321,'Retirement Calculator'!A:A,0),0),0)</f>
        <v>0</v>
      </c>
      <c r="K4321" s="455">
        <f t="shared" ca="1" si="181"/>
        <v>102638306944.92502</v>
      </c>
      <c r="L4321" s="455">
        <f t="shared" ca="1" si="182"/>
        <v>24735831973726.93</v>
      </c>
      <c r="M4321" s="471">
        <f t="shared" si="184"/>
        <v>0.05</v>
      </c>
      <c r="N4321" s="475">
        <f t="shared" si="185"/>
        <v>182562</v>
      </c>
    </row>
    <row r="4322" spans="7:14" ht="11.25" customHeight="1" x14ac:dyDescent="0.3">
      <c r="G4322" s="470"/>
      <c r="H4322" s="470">
        <v>4315</v>
      </c>
      <c r="I4322" s="455">
        <f t="shared" ca="1" si="183"/>
        <v>24735831973726.93</v>
      </c>
      <c r="J4322" s="455">
        <f t="array" ref="J4322">IFERROR(INDEX('Retirement Calculator'!J:J,MATCH('Isaac 401k'!N4322,'Retirement Calculator'!A:A,0),0),0)</f>
        <v>0</v>
      </c>
      <c r="K4322" s="455">
        <f t="shared" ca="1" si="181"/>
        <v>103065966557.19554</v>
      </c>
      <c r="L4322" s="455">
        <f t="shared" ca="1" si="182"/>
        <v>24838897940284.125</v>
      </c>
      <c r="M4322" s="471">
        <f t="shared" si="184"/>
        <v>0.05</v>
      </c>
      <c r="N4322" s="475">
        <f t="shared" si="185"/>
        <v>182592</v>
      </c>
    </row>
    <row r="4323" spans="7:14" ht="11.25" customHeight="1" x14ac:dyDescent="0.3">
      <c r="G4323" s="470"/>
      <c r="H4323" s="470">
        <v>4316</v>
      </c>
      <c r="I4323" s="455">
        <f t="shared" ca="1" si="183"/>
        <v>24838897940284.125</v>
      </c>
      <c r="J4323" s="455">
        <f t="array" ref="J4323">IFERROR(INDEX('Retirement Calculator'!J:J,MATCH('Isaac 401k'!N4323,'Retirement Calculator'!A:A,0),0),0)</f>
        <v>0</v>
      </c>
      <c r="K4323" s="455">
        <f t="shared" ca="1" si="181"/>
        <v>103495408084.51718</v>
      </c>
      <c r="L4323" s="455">
        <f t="shared" ca="1" si="182"/>
        <v>24942393348368.641</v>
      </c>
      <c r="M4323" s="471">
        <f t="shared" si="184"/>
        <v>0.05</v>
      </c>
      <c r="N4323" s="475">
        <f t="shared" si="185"/>
        <v>182623</v>
      </c>
    </row>
    <row r="4324" spans="7:14" ht="11.25" customHeight="1" x14ac:dyDescent="0.3">
      <c r="G4324" s="470"/>
      <c r="H4324" s="470">
        <v>4317</v>
      </c>
      <c r="I4324" s="455">
        <f t="shared" ca="1" si="183"/>
        <v>24942393348368.641</v>
      </c>
      <c r="J4324" s="455">
        <f t="array" ref="J4324">IFERROR(INDEX('Retirement Calculator'!J:J,MATCH('Isaac 401k'!N4324,'Retirement Calculator'!A:A,0),0),0)</f>
        <v>0</v>
      </c>
      <c r="K4324" s="455">
        <f t="shared" ca="1" si="181"/>
        <v>103926638951.536</v>
      </c>
      <c r="L4324" s="455">
        <f t="shared" ca="1" si="182"/>
        <v>25046319987320.176</v>
      </c>
      <c r="M4324" s="471">
        <f t="shared" si="184"/>
        <v>0.05</v>
      </c>
      <c r="N4324" s="475">
        <f t="shared" si="185"/>
        <v>182654</v>
      </c>
    </row>
    <row r="4325" spans="7:14" ht="11.25" customHeight="1" x14ac:dyDescent="0.3">
      <c r="G4325" s="470"/>
      <c r="H4325" s="470">
        <v>4318</v>
      </c>
      <c r="I4325" s="455">
        <f t="shared" ca="1" si="183"/>
        <v>25046319987320.176</v>
      </c>
      <c r="J4325" s="455">
        <f t="array" ref="J4325">IFERROR(INDEX('Retirement Calculator'!J:J,MATCH('Isaac 401k'!N4325,'Retirement Calculator'!A:A,0),0),0)</f>
        <v>0</v>
      </c>
      <c r="K4325" s="455">
        <f t="shared" ca="1" si="181"/>
        <v>104359666613.83406</v>
      </c>
      <c r="L4325" s="455">
        <f t="shared" ca="1" si="182"/>
        <v>25150679653934.012</v>
      </c>
      <c r="M4325" s="471">
        <f t="shared" si="184"/>
        <v>0.05</v>
      </c>
      <c r="N4325" s="475">
        <f t="shared" si="185"/>
        <v>182683</v>
      </c>
    </row>
    <row r="4326" spans="7:14" ht="11.25" customHeight="1" x14ac:dyDescent="0.3">
      <c r="G4326" s="470"/>
      <c r="H4326" s="470">
        <v>4319</v>
      </c>
      <c r="I4326" s="455">
        <f t="shared" ca="1" si="183"/>
        <v>25150679653934.012</v>
      </c>
      <c r="J4326" s="455">
        <f t="array" ref="J4326">IFERROR(INDEX('Retirement Calculator'!J:J,MATCH('Isaac 401k'!N4326,'Retirement Calculator'!A:A,0),0),0)</f>
        <v>0</v>
      </c>
      <c r="K4326" s="455">
        <f t="shared" ca="1" si="181"/>
        <v>104794498558.05838</v>
      </c>
      <c r="L4326" s="455">
        <f t="shared" ca="1" si="182"/>
        <v>25255474152492.07</v>
      </c>
      <c r="M4326" s="471">
        <f t="shared" si="184"/>
        <v>0.05</v>
      </c>
      <c r="N4326" s="475">
        <f t="shared" si="185"/>
        <v>182714</v>
      </c>
    </row>
    <row r="4327" spans="7:14" ht="11.25" customHeight="1" x14ac:dyDescent="0.3">
      <c r="G4327" s="470"/>
      <c r="H4327" s="470">
        <v>4320</v>
      </c>
      <c r="I4327" s="455">
        <f t="shared" ca="1" si="183"/>
        <v>25255474152492.07</v>
      </c>
      <c r="J4327" s="455">
        <f t="array" ref="J4327">IFERROR(INDEX('Retirement Calculator'!J:J,MATCH('Isaac 401k'!N4327,'Retirement Calculator'!A:A,0),0),0)</f>
        <v>0</v>
      </c>
      <c r="K4327" s="455">
        <f t="shared" ca="1" si="181"/>
        <v>105231142302.05029</v>
      </c>
      <c r="L4327" s="455">
        <f t="shared" ca="1" si="182"/>
        <v>25360705294794.121</v>
      </c>
      <c r="M4327" s="471">
        <f t="shared" si="184"/>
        <v>0.05</v>
      </c>
      <c r="N4327" s="475">
        <f t="shared" si="185"/>
        <v>182744</v>
      </c>
    </row>
    <row r="4328" spans="7:14" ht="11.25" customHeight="1" x14ac:dyDescent="0.3">
      <c r="G4328" s="470"/>
      <c r="H4328" s="470">
        <v>4321</v>
      </c>
      <c r="I4328" s="455">
        <f t="shared" ca="1" si="183"/>
        <v>25360705294794.121</v>
      </c>
      <c r="J4328" s="455">
        <f t="array" ref="J4328">IFERROR(INDEX('Retirement Calculator'!J:J,MATCH('Isaac 401k'!N4328,'Retirement Calculator'!A:A,0),0),0)</f>
        <v>0</v>
      </c>
      <c r="K4328" s="455">
        <f t="shared" ca="1" si="181"/>
        <v>105669605394.97551</v>
      </c>
      <c r="L4328" s="455">
        <f t="shared" ca="1" si="182"/>
        <v>25466374900189.098</v>
      </c>
      <c r="M4328" s="471">
        <f t="shared" si="184"/>
        <v>0.05</v>
      </c>
      <c r="N4328" s="475">
        <f t="shared" si="185"/>
        <v>182775</v>
      </c>
    </row>
    <row r="4329" spans="7:14" ht="11.25" customHeight="1" x14ac:dyDescent="0.3">
      <c r="G4329" s="470"/>
      <c r="H4329" s="470">
        <v>4322</v>
      </c>
      <c r="I4329" s="455">
        <f t="shared" ca="1" si="183"/>
        <v>25466374900189.098</v>
      </c>
      <c r="J4329" s="455">
        <f t="array" ref="J4329">IFERROR(INDEX('Retirement Calculator'!J:J,MATCH('Isaac 401k'!N4329,'Retirement Calculator'!A:A,0),0),0)</f>
        <v>0</v>
      </c>
      <c r="K4329" s="455">
        <f t="shared" ca="1" si="181"/>
        <v>106109895417.45457</v>
      </c>
      <c r="L4329" s="455">
        <f t="shared" ca="1" si="182"/>
        <v>25572484795606.551</v>
      </c>
      <c r="M4329" s="471">
        <f t="shared" si="184"/>
        <v>0.05</v>
      </c>
      <c r="N4329" s="475">
        <f t="shared" si="185"/>
        <v>182805</v>
      </c>
    </row>
    <row r="4330" spans="7:14" ht="11.25" customHeight="1" x14ac:dyDescent="0.3">
      <c r="G4330" s="470"/>
      <c r="H4330" s="470">
        <v>4323</v>
      </c>
      <c r="I4330" s="455">
        <f t="shared" ca="1" si="183"/>
        <v>25572484795606.551</v>
      </c>
      <c r="J4330" s="455">
        <f t="array" ref="J4330">IFERROR(INDEX('Retirement Calculator'!J:J,MATCH('Isaac 401k'!N4330,'Retirement Calculator'!A:A,0),0),0)</f>
        <v>0</v>
      </c>
      <c r="K4330" s="455">
        <f t="shared" ca="1" si="181"/>
        <v>106552019981.69395</v>
      </c>
      <c r="L4330" s="455">
        <f t="shared" ca="1" si="182"/>
        <v>25679036815588.246</v>
      </c>
      <c r="M4330" s="471">
        <f t="shared" si="184"/>
        <v>0.05</v>
      </c>
      <c r="N4330" s="475">
        <f t="shared" si="185"/>
        <v>182836</v>
      </c>
    </row>
    <row r="4331" spans="7:14" ht="11.25" customHeight="1" x14ac:dyDescent="0.3">
      <c r="G4331" s="470"/>
      <c r="H4331" s="470">
        <v>4324</v>
      </c>
      <c r="I4331" s="455">
        <f t="shared" ca="1" si="183"/>
        <v>25679036815588.246</v>
      </c>
      <c r="J4331" s="455">
        <f t="array" ref="J4331">IFERROR(INDEX('Retirement Calculator'!J:J,MATCH('Isaac 401k'!N4331,'Retirement Calculator'!A:A,0),0),0)</f>
        <v>0</v>
      </c>
      <c r="K4331" s="455">
        <f t="shared" ca="1" si="181"/>
        <v>106995986731.61769</v>
      </c>
      <c r="L4331" s="455">
        <f t="shared" ca="1" si="182"/>
        <v>25786032802319.863</v>
      </c>
      <c r="M4331" s="471">
        <f t="shared" si="184"/>
        <v>0.05</v>
      </c>
      <c r="N4331" s="475">
        <f t="shared" si="185"/>
        <v>182867</v>
      </c>
    </row>
    <row r="4332" spans="7:14" ht="11.25" customHeight="1" x14ac:dyDescent="0.3">
      <c r="G4332" s="470"/>
      <c r="H4332" s="470">
        <v>4325</v>
      </c>
      <c r="I4332" s="455">
        <f t="shared" ca="1" si="183"/>
        <v>25786032802319.863</v>
      </c>
      <c r="J4332" s="455">
        <f t="array" ref="J4332">IFERROR(INDEX('Retirement Calculator'!J:J,MATCH('Isaac 401k'!N4332,'Retirement Calculator'!A:A,0),0),0)</f>
        <v>0</v>
      </c>
      <c r="K4332" s="455">
        <f t="shared" ca="1" si="181"/>
        <v>107441803342.99944</v>
      </c>
      <c r="L4332" s="455">
        <f t="shared" ca="1" si="182"/>
        <v>25893474605662.863</v>
      </c>
      <c r="M4332" s="471">
        <f t="shared" si="184"/>
        <v>0.05</v>
      </c>
      <c r="N4332" s="475">
        <f t="shared" si="185"/>
        <v>182897</v>
      </c>
    </row>
    <row r="4333" spans="7:14" ht="11.25" customHeight="1" x14ac:dyDescent="0.3">
      <c r="G4333" s="470"/>
      <c r="H4333" s="470">
        <v>4326</v>
      </c>
      <c r="I4333" s="455">
        <f t="shared" ca="1" si="183"/>
        <v>25893474605662.863</v>
      </c>
      <c r="J4333" s="455">
        <f t="array" ref="J4333">IFERROR(INDEX('Retirement Calculator'!J:J,MATCH('Isaac 401k'!N4333,'Retirement Calculator'!A:A,0),0),0)</f>
        <v>0</v>
      </c>
      <c r="K4333" s="455">
        <f t="shared" ca="1" si="181"/>
        <v>107889477523.59526</v>
      </c>
      <c r="L4333" s="455">
        <f t="shared" ca="1" si="182"/>
        <v>26001364083186.457</v>
      </c>
      <c r="M4333" s="471">
        <f t="shared" si="184"/>
        <v>0.05</v>
      </c>
      <c r="N4333" s="475">
        <f t="shared" si="185"/>
        <v>182928</v>
      </c>
    </row>
    <row r="4334" spans="7:14" ht="11.25" customHeight="1" x14ac:dyDescent="0.3">
      <c r="G4334" s="470"/>
      <c r="H4334" s="470">
        <v>4327</v>
      </c>
      <c r="I4334" s="455">
        <f t="shared" ca="1" si="183"/>
        <v>26001364083186.457</v>
      </c>
      <c r="J4334" s="455">
        <f t="array" ref="J4334">IFERROR(INDEX('Retirement Calculator'!J:J,MATCH('Isaac 401k'!N4334,'Retirement Calculator'!A:A,0),0),0)</f>
        <v>0</v>
      </c>
      <c r="K4334" s="455">
        <f t="shared" ca="1" si="181"/>
        <v>108339017013.2769</v>
      </c>
      <c r="L4334" s="455">
        <f t="shared" ca="1" si="182"/>
        <v>26109703100199.734</v>
      </c>
      <c r="M4334" s="471">
        <f t="shared" si="184"/>
        <v>0.05</v>
      </c>
      <c r="N4334" s="475">
        <f t="shared" si="185"/>
        <v>182958</v>
      </c>
    </row>
    <row r="4335" spans="7:14" ht="11.25" customHeight="1" x14ac:dyDescent="0.3">
      <c r="G4335" s="470"/>
      <c r="H4335" s="470">
        <v>4328</v>
      </c>
      <c r="I4335" s="455">
        <f t="shared" ca="1" si="183"/>
        <v>26109703100199.734</v>
      </c>
      <c r="J4335" s="455">
        <f t="array" ref="J4335">IFERROR(INDEX('Retirement Calculator'!J:J,MATCH('Isaac 401k'!N4335,'Retirement Calculator'!A:A,0),0),0)</f>
        <v>0</v>
      </c>
      <c r="K4335" s="455">
        <f t="shared" ca="1" si="181"/>
        <v>108790429584.16556</v>
      </c>
      <c r="L4335" s="455">
        <f t="shared" ca="1" si="182"/>
        <v>26218493529783.898</v>
      </c>
      <c r="M4335" s="471">
        <f t="shared" si="184"/>
        <v>0.05</v>
      </c>
      <c r="N4335" s="475">
        <f t="shared" si="185"/>
        <v>182989</v>
      </c>
    </row>
    <row r="4336" spans="7:14" ht="11.25" customHeight="1" x14ac:dyDescent="0.3">
      <c r="G4336" s="470"/>
      <c r="H4336" s="470">
        <v>4329</v>
      </c>
      <c r="I4336" s="455">
        <f t="shared" ca="1" si="183"/>
        <v>26218493529783.898</v>
      </c>
      <c r="J4336" s="455">
        <f t="array" ref="J4336">IFERROR(INDEX('Retirement Calculator'!J:J,MATCH('Isaac 401k'!N4336,'Retirement Calculator'!A:A,0),0),0)</f>
        <v>0</v>
      </c>
      <c r="K4336" s="455">
        <f t="shared" ca="1" si="181"/>
        <v>109243723040.76624</v>
      </c>
      <c r="L4336" s="455">
        <f t="shared" ca="1" si="182"/>
        <v>26327737252824.664</v>
      </c>
      <c r="M4336" s="471">
        <f t="shared" si="184"/>
        <v>0.05</v>
      </c>
      <c r="N4336" s="475">
        <f t="shared" si="185"/>
        <v>183020</v>
      </c>
    </row>
    <row r="4337" spans="7:14" ht="11.25" customHeight="1" x14ac:dyDescent="0.3">
      <c r="G4337" s="470"/>
      <c r="H4337" s="470">
        <v>4330</v>
      </c>
      <c r="I4337" s="455">
        <f t="shared" ca="1" si="183"/>
        <v>26327737252824.664</v>
      </c>
      <c r="J4337" s="455">
        <f t="array" ref="J4337">IFERROR(INDEX('Retirement Calculator'!J:J,MATCH('Isaac 401k'!N4337,'Retirement Calculator'!A:A,0),0),0)</f>
        <v>0</v>
      </c>
      <c r="K4337" s="455">
        <f t="shared" ca="1" si="181"/>
        <v>109698905220.10277</v>
      </c>
      <c r="L4337" s="455">
        <f t="shared" ca="1" si="182"/>
        <v>26437436158044.766</v>
      </c>
      <c r="M4337" s="471">
        <f t="shared" si="184"/>
        <v>0.05</v>
      </c>
      <c r="N4337" s="475">
        <f t="shared" si="185"/>
        <v>183048</v>
      </c>
    </row>
    <row r="4338" spans="7:14" ht="11.25" customHeight="1" x14ac:dyDescent="0.3">
      <c r="G4338" s="470"/>
      <c r="H4338" s="470">
        <v>4331</v>
      </c>
      <c r="I4338" s="455">
        <f t="shared" ca="1" si="183"/>
        <v>26437436158044.766</v>
      </c>
      <c r="J4338" s="455">
        <f t="array" ref="J4338">IFERROR(INDEX('Retirement Calculator'!J:J,MATCH('Isaac 401k'!N4338,'Retirement Calculator'!A:A,0),0),0)</f>
        <v>0</v>
      </c>
      <c r="K4338" s="455">
        <f t="shared" ca="1" si="181"/>
        <v>110155983991.8532</v>
      </c>
      <c r="L4338" s="455">
        <f t="shared" ca="1" si="182"/>
        <v>26547592142036.617</v>
      </c>
      <c r="M4338" s="471">
        <f t="shared" si="184"/>
        <v>0.05</v>
      </c>
      <c r="N4338" s="475">
        <f t="shared" si="185"/>
        <v>183079</v>
      </c>
    </row>
    <row r="4339" spans="7:14" ht="11.25" customHeight="1" x14ac:dyDescent="0.3">
      <c r="G4339" s="470"/>
      <c r="H4339" s="470">
        <v>4332</v>
      </c>
      <c r="I4339" s="455">
        <f t="shared" ca="1" si="183"/>
        <v>26547592142036.617</v>
      </c>
      <c r="J4339" s="455">
        <f t="array" ref="J4339">IFERROR(INDEX('Retirement Calculator'!J:J,MATCH('Isaac 401k'!N4339,'Retirement Calculator'!A:A,0),0),0)</f>
        <v>0</v>
      </c>
      <c r="K4339" s="455">
        <f t="shared" ca="1" si="181"/>
        <v>110614967258.4859</v>
      </c>
      <c r="L4339" s="455">
        <f t="shared" ca="1" si="182"/>
        <v>26658207109295.102</v>
      </c>
      <c r="M4339" s="471">
        <f t="shared" si="184"/>
        <v>0.05</v>
      </c>
      <c r="N4339" s="475">
        <f t="shared" si="185"/>
        <v>183109</v>
      </c>
    </row>
    <row r="4340" spans="7:14" ht="11.25" customHeight="1" x14ac:dyDescent="0.3">
      <c r="G4340" s="470"/>
      <c r="H4340" s="470">
        <v>4333</v>
      </c>
      <c r="I4340" s="455">
        <f t="shared" ca="1" si="183"/>
        <v>26658207109295.102</v>
      </c>
      <c r="J4340" s="455">
        <f t="array" ref="J4340">IFERROR(INDEX('Retirement Calculator'!J:J,MATCH('Isaac 401k'!N4340,'Retirement Calculator'!A:A,0),0),0)</f>
        <v>0</v>
      </c>
      <c r="K4340" s="455">
        <f t="shared" ca="1" si="181"/>
        <v>111075862955.39626</v>
      </c>
      <c r="L4340" s="455">
        <f t="shared" ca="1" si="182"/>
        <v>26769282972250.496</v>
      </c>
      <c r="M4340" s="471">
        <f t="shared" si="184"/>
        <v>0.05</v>
      </c>
      <c r="N4340" s="475">
        <f t="shared" si="185"/>
        <v>183140</v>
      </c>
    </row>
    <row r="4341" spans="7:14" ht="11.25" customHeight="1" x14ac:dyDescent="0.3">
      <c r="G4341" s="470"/>
      <c r="H4341" s="470">
        <v>4334</v>
      </c>
      <c r="I4341" s="455">
        <f t="shared" ca="1" si="183"/>
        <v>26769282972250.496</v>
      </c>
      <c r="J4341" s="455">
        <f t="array" ref="J4341">IFERROR(INDEX('Retirement Calculator'!J:J,MATCH('Isaac 401k'!N4341,'Retirement Calculator'!A:A,0),0),0)</f>
        <v>0</v>
      </c>
      <c r="K4341" s="455">
        <f t="shared" ca="1" si="181"/>
        <v>111538679051.04373</v>
      </c>
      <c r="L4341" s="455">
        <f t="shared" ca="1" si="182"/>
        <v>26880821651301.539</v>
      </c>
      <c r="M4341" s="471">
        <f t="shared" si="184"/>
        <v>0.05</v>
      </c>
      <c r="N4341" s="475">
        <f t="shared" si="185"/>
        <v>183170</v>
      </c>
    </row>
    <row r="4342" spans="7:14" ht="11.25" customHeight="1" x14ac:dyDescent="0.3">
      <c r="G4342" s="470"/>
      <c r="H4342" s="470">
        <v>4335</v>
      </c>
      <c r="I4342" s="455">
        <f t="shared" ca="1" si="183"/>
        <v>26880821651301.539</v>
      </c>
      <c r="J4342" s="455">
        <f t="array" ref="J4342">IFERROR(INDEX('Retirement Calculator'!J:J,MATCH('Isaac 401k'!N4342,'Retirement Calculator'!A:A,0),0),0)</f>
        <v>0</v>
      </c>
      <c r="K4342" s="455">
        <f t="shared" ca="1" si="181"/>
        <v>112003423547.08974</v>
      </c>
      <c r="L4342" s="455">
        <f t="shared" ca="1" si="182"/>
        <v>26992825074848.629</v>
      </c>
      <c r="M4342" s="471">
        <f t="shared" si="184"/>
        <v>0.05</v>
      </c>
      <c r="N4342" s="475">
        <f t="shared" si="185"/>
        <v>183201</v>
      </c>
    </row>
    <row r="4343" spans="7:14" ht="11.25" customHeight="1" x14ac:dyDescent="0.3">
      <c r="G4343" s="470"/>
      <c r="H4343" s="470">
        <v>4336</v>
      </c>
      <c r="I4343" s="455">
        <f t="shared" ca="1" si="183"/>
        <v>26992825074848.629</v>
      </c>
      <c r="J4343" s="455">
        <f t="array" ref="J4343">IFERROR(INDEX('Retirement Calculator'!J:J,MATCH('Isaac 401k'!N4343,'Retirement Calculator'!A:A,0),0),0)</f>
        <v>0</v>
      </c>
      <c r="K4343" s="455">
        <f t="shared" ref="K4343:K4597" ca="1" si="186">IPMT(M4343/12,1,12,-I4343+J4343,,0)</f>
        <v>112470104478.53595</v>
      </c>
      <c r="L4343" s="455">
        <f t="shared" ref="L4343:L4597" ca="1" si="187">I4343-J4343+K4343</f>
        <v>27105295179327.164</v>
      </c>
      <c r="M4343" s="471">
        <f t="shared" si="184"/>
        <v>0.05</v>
      </c>
      <c r="N4343" s="475">
        <f t="shared" si="185"/>
        <v>183232</v>
      </c>
    </row>
    <row r="4344" spans="7:14" ht="11.25" customHeight="1" x14ac:dyDescent="0.3">
      <c r="G4344" s="470"/>
      <c r="H4344" s="470">
        <v>4337</v>
      </c>
      <c r="I4344" s="455">
        <f t="shared" ref="I4344:I4598" ca="1" si="188">L4343</f>
        <v>27105295179327.164</v>
      </c>
      <c r="J4344" s="455">
        <f t="array" ref="J4344">IFERROR(INDEX('Retirement Calculator'!J:J,MATCH('Isaac 401k'!N4344,'Retirement Calculator'!A:A,0),0),0)</f>
        <v>0</v>
      </c>
      <c r="K4344" s="455">
        <f t="shared" ca="1" si="186"/>
        <v>112938729913.86317</v>
      </c>
      <c r="L4344" s="455">
        <f t="shared" ca="1" si="187"/>
        <v>27218233909241.027</v>
      </c>
      <c r="M4344" s="471">
        <f t="shared" ref="M4344:M4598" si="189">M4343</f>
        <v>0.05</v>
      </c>
      <c r="N4344" s="475">
        <f t="shared" ref="N4344:N4598" si="190">EDATE(N4343,1)</f>
        <v>183262</v>
      </c>
    </row>
    <row r="4345" spans="7:14" ht="11.25" customHeight="1" x14ac:dyDescent="0.3">
      <c r="G4345" s="470"/>
      <c r="H4345" s="470">
        <v>4338</v>
      </c>
      <c r="I4345" s="455">
        <f t="shared" ca="1" si="188"/>
        <v>27218233909241.027</v>
      </c>
      <c r="J4345" s="455">
        <f t="array" ref="J4345">IFERROR(INDEX('Retirement Calculator'!J:J,MATCH('Isaac 401k'!N4345,'Retirement Calculator'!A:A,0),0),0)</f>
        <v>0</v>
      </c>
      <c r="K4345" s="455">
        <f t="shared" ca="1" si="186"/>
        <v>113409307955.17094</v>
      </c>
      <c r="L4345" s="455">
        <f t="shared" ca="1" si="187"/>
        <v>27331643217196.199</v>
      </c>
      <c r="M4345" s="471">
        <f t="shared" si="189"/>
        <v>0.05</v>
      </c>
      <c r="N4345" s="475">
        <f t="shared" si="190"/>
        <v>183293</v>
      </c>
    </row>
    <row r="4346" spans="7:14" ht="11.25" customHeight="1" x14ac:dyDescent="0.3">
      <c r="G4346" s="470"/>
      <c r="H4346" s="470">
        <v>4339</v>
      </c>
      <c r="I4346" s="455">
        <f t="shared" ca="1" si="188"/>
        <v>27331643217196.199</v>
      </c>
      <c r="J4346" s="455">
        <f t="array" ref="J4346">IFERROR(INDEX('Retirement Calculator'!J:J,MATCH('Isaac 401k'!N4346,'Retirement Calculator'!A:A,0),0),0)</f>
        <v>0</v>
      </c>
      <c r="K4346" s="455">
        <f t="shared" ca="1" si="186"/>
        <v>113881846738.31749</v>
      </c>
      <c r="L4346" s="455">
        <f t="shared" ca="1" si="187"/>
        <v>27445525063934.516</v>
      </c>
      <c r="M4346" s="471">
        <f t="shared" si="189"/>
        <v>0.05</v>
      </c>
      <c r="N4346" s="475">
        <f t="shared" si="190"/>
        <v>183323</v>
      </c>
    </row>
    <row r="4347" spans="7:14" ht="11.25" customHeight="1" x14ac:dyDescent="0.3">
      <c r="G4347" s="470"/>
      <c r="H4347" s="470">
        <v>4340</v>
      </c>
      <c r="I4347" s="455">
        <f t="shared" ca="1" si="188"/>
        <v>27445525063934.516</v>
      </c>
      <c r="J4347" s="455">
        <f t="array" ref="J4347">IFERROR(INDEX('Retirement Calculator'!J:J,MATCH('Isaac 401k'!N4347,'Retirement Calculator'!A:A,0),0),0)</f>
        <v>0</v>
      </c>
      <c r="K4347" s="455">
        <f t="shared" ca="1" si="186"/>
        <v>114356354433.06049</v>
      </c>
      <c r="L4347" s="455">
        <f t="shared" ca="1" si="187"/>
        <v>27559881418367.574</v>
      </c>
      <c r="M4347" s="471">
        <f t="shared" si="189"/>
        <v>0.05</v>
      </c>
      <c r="N4347" s="475">
        <f t="shared" si="190"/>
        <v>183354</v>
      </c>
    </row>
    <row r="4348" spans="7:14" ht="11.25" customHeight="1" x14ac:dyDescent="0.3">
      <c r="G4348" s="470"/>
      <c r="H4348" s="470">
        <v>4341</v>
      </c>
      <c r="I4348" s="455">
        <f t="shared" ca="1" si="188"/>
        <v>27559881418367.574</v>
      </c>
      <c r="J4348" s="455">
        <f t="array" ref="J4348">IFERROR(INDEX('Retirement Calculator'!J:J,MATCH('Isaac 401k'!N4348,'Retirement Calculator'!A:A,0),0),0)</f>
        <v>0</v>
      </c>
      <c r="K4348" s="455">
        <f t="shared" ca="1" si="186"/>
        <v>114832839243.19823</v>
      </c>
      <c r="L4348" s="455">
        <f t="shared" ca="1" si="187"/>
        <v>27674714257610.773</v>
      </c>
      <c r="M4348" s="471">
        <f t="shared" si="189"/>
        <v>0.05</v>
      </c>
      <c r="N4348" s="475">
        <f t="shared" si="190"/>
        <v>183385</v>
      </c>
    </row>
    <row r="4349" spans="7:14" ht="11.25" customHeight="1" x14ac:dyDescent="0.3">
      <c r="G4349" s="470"/>
      <c r="H4349" s="470">
        <v>4342</v>
      </c>
      <c r="I4349" s="455">
        <f t="shared" ca="1" si="188"/>
        <v>27674714257610.773</v>
      </c>
      <c r="J4349" s="455">
        <f t="array" ref="J4349">IFERROR(INDEX('Retirement Calculator'!J:J,MATCH('Isaac 401k'!N4349,'Retirement Calculator'!A:A,0),0),0)</f>
        <v>0</v>
      </c>
      <c r="K4349" s="455">
        <f t="shared" ca="1" si="186"/>
        <v>115311309406.71155</v>
      </c>
      <c r="L4349" s="455">
        <f t="shared" ca="1" si="187"/>
        <v>27790025567017.484</v>
      </c>
      <c r="M4349" s="471">
        <f t="shared" si="189"/>
        <v>0.05</v>
      </c>
      <c r="N4349" s="475">
        <f t="shared" si="190"/>
        <v>183413</v>
      </c>
    </row>
    <row r="4350" spans="7:14" ht="11.25" customHeight="1" x14ac:dyDescent="0.3">
      <c r="G4350" s="470"/>
      <c r="H4350" s="470">
        <v>4343</v>
      </c>
      <c r="I4350" s="455">
        <f t="shared" ca="1" si="188"/>
        <v>27790025567017.484</v>
      </c>
      <c r="J4350" s="455">
        <f t="array" ref="J4350">IFERROR(INDEX('Retirement Calculator'!J:J,MATCH('Isaac 401k'!N4350,'Retirement Calculator'!A:A,0),0),0)</f>
        <v>0</v>
      </c>
      <c r="K4350" s="455">
        <f t="shared" ca="1" si="186"/>
        <v>115791773195.9062</v>
      </c>
      <c r="L4350" s="455">
        <f t="shared" ca="1" si="187"/>
        <v>27905817340213.391</v>
      </c>
      <c r="M4350" s="471">
        <f t="shared" si="189"/>
        <v>0.05</v>
      </c>
      <c r="N4350" s="475">
        <f t="shared" si="190"/>
        <v>183444</v>
      </c>
    </row>
    <row r="4351" spans="7:14" ht="11.25" customHeight="1" x14ac:dyDescent="0.3">
      <c r="G4351" s="470"/>
      <c r="H4351" s="470">
        <v>4344</v>
      </c>
      <c r="I4351" s="455">
        <f t="shared" ca="1" si="188"/>
        <v>27905817340213.391</v>
      </c>
      <c r="J4351" s="455">
        <f t="array" ref="J4351">IFERROR(INDEX('Retirement Calculator'!J:J,MATCH('Isaac 401k'!N4351,'Retirement Calculator'!A:A,0),0),0)</f>
        <v>0</v>
      </c>
      <c r="K4351" s="455">
        <f t="shared" ca="1" si="186"/>
        <v>116274238917.55577</v>
      </c>
      <c r="L4351" s="455">
        <f t="shared" ca="1" si="187"/>
        <v>28022091579130.945</v>
      </c>
      <c r="M4351" s="471">
        <f t="shared" si="189"/>
        <v>0.05</v>
      </c>
      <c r="N4351" s="475">
        <f t="shared" si="190"/>
        <v>183474</v>
      </c>
    </row>
    <row r="4352" spans="7:14" ht="11.25" customHeight="1" x14ac:dyDescent="0.3">
      <c r="G4352" s="470"/>
      <c r="H4352" s="470">
        <v>4345</v>
      </c>
      <c r="I4352" s="455">
        <f t="shared" ca="1" si="188"/>
        <v>28022091579130.945</v>
      </c>
      <c r="J4352" s="455">
        <f t="array" ref="J4352">IFERROR(INDEX('Retirement Calculator'!J:J,MATCH('Isaac 401k'!N4352,'Retirement Calculator'!A:A,0),0),0)</f>
        <v>0</v>
      </c>
      <c r="K4352" s="455">
        <f t="shared" ca="1" si="186"/>
        <v>116758714913.04561</v>
      </c>
      <c r="L4352" s="455">
        <f t="shared" ca="1" si="187"/>
        <v>28138850294043.992</v>
      </c>
      <c r="M4352" s="471">
        <f t="shared" si="189"/>
        <v>0.05</v>
      </c>
      <c r="N4352" s="475">
        <f t="shared" si="190"/>
        <v>183505</v>
      </c>
    </row>
    <row r="4353" spans="7:14" ht="11.25" customHeight="1" x14ac:dyDescent="0.3">
      <c r="G4353" s="470"/>
      <c r="H4353" s="470">
        <v>4346</v>
      </c>
      <c r="I4353" s="455">
        <f t="shared" ca="1" si="188"/>
        <v>28138850294043.992</v>
      </c>
      <c r="J4353" s="455">
        <f t="array" ref="J4353">IFERROR(INDEX('Retirement Calculator'!J:J,MATCH('Isaac 401k'!N4353,'Retirement Calculator'!A:A,0),0),0)</f>
        <v>0</v>
      </c>
      <c r="K4353" s="455">
        <f t="shared" ca="1" si="186"/>
        <v>117245209558.51663</v>
      </c>
      <c r="L4353" s="455">
        <f t="shared" ca="1" si="187"/>
        <v>28256095503602.508</v>
      </c>
      <c r="M4353" s="471">
        <f t="shared" si="189"/>
        <v>0.05</v>
      </c>
      <c r="N4353" s="475">
        <f t="shared" si="190"/>
        <v>183535</v>
      </c>
    </row>
    <row r="4354" spans="7:14" ht="11.25" customHeight="1" x14ac:dyDescent="0.3">
      <c r="G4354" s="470"/>
      <c r="H4354" s="470">
        <v>4347</v>
      </c>
      <c r="I4354" s="455">
        <f t="shared" ca="1" si="188"/>
        <v>28256095503602.508</v>
      </c>
      <c r="J4354" s="455">
        <f t="array" ref="J4354">IFERROR(INDEX('Retirement Calculator'!J:J,MATCH('Isaac 401k'!N4354,'Retirement Calculator'!A:A,0),0),0)</f>
        <v>0</v>
      </c>
      <c r="K4354" s="455">
        <f t="shared" ca="1" si="186"/>
        <v>117733731265.01045</v>
      </c>
      <c r="L4354" s="455">
        <f t="shared" ca="1" si="187"/>
        <v>28373829234867.52</v>
      </c>
      <c r="M4354" s="471">
        <f t="shared" si="189"/>
        <v>0.05</v>
      </c>
      <c r="N4354" s="475">
        <f t="shared" si="190"/>
        <v>183566</v>
      </c>
    </row>
    <row r="4355" spans="7:14" ht="11.25" customHeight="1" x14ac:dyDescent="0.3">
      <c r="G4355" s="470"/>
      <c r="H4355" s="470">
        <v>4348</v>
      </c>
      <c r="I4355" s="455">
        <f t="shared" ca="1" si="188"/>
        <v>28373829234867.52</v>
      </c>
      <c r="J4355" s="455">
        <f t="array" ref="J4355">IFERROR(INDEX('Retirement Calculator'!J:J,MATCH('Isaac 401k'!N4355,'Retirement Calculator'!A:A,0),0),0)</f>
        <v>0</v>
      </c>
      <c r="K4355" s="455">
        <f t="shared" ca="1" si="186"/>
        <v>118224288478.61467</v>
      </c>
      <c r="L4355" s="455">
        <f t="shared" ca="1" si="187"/>
        <v>28492053523346.133</v>
      </c>
      <c r="M4355" s="471">
        <f t="shared" si="189"/>
        <v>0.05</v>
      </c>
      <c r="N4355" s="475">
        <f t="shared" si="190"/>
        <v>183597</v>
      </c>
    </row>
    <row r="4356" spans="7:14" ht="11.25" customHeight="1" x14ac:dyDescent="0.3">
      <c r="G4356" s="470"/>
      <c r="H4356" s="470">
        <v>4349</v>
      </c>
      <c r="I4356" s="455">
        <f t="shared" ca="1" si="188"/>
        <v>28492053523346.133</v>
      </c>
      <c r="J4356" s="455">
        <f t="array" ref="J4356">IFERROR(INDEX('Retirement Calculator'!J:J,MATCH('Isaac 401k'!N4356,'Retirement Calculator'!A:A,0),0),0)</f>
        <v>0</v>
      </c>
      <c r="K4356" s="455">
        <f t="shared" ca="1" si="186"/>
        <v>118716889680.60889</v>
      </c>
      <c r="L4356" s="455">
        <f t="shared" ca="1" si="187"/>
        <v>28610770413026.742</v>
      </c>
      <c r="M4356" s="471">
        <f t="shared" si="189"/>
        <v>0.05</v>
      </c>
      <c r="N4356" s="475">
        <f t="shared" si="190"/>
        <v>183627</v>
      </c>
    </row>
    <row r="4357" spans="7:14" ht="11.25" customHeight="1" x14ac:dyDescent="0.3">
      <c r="G4357" s="470"/>
      <c r="H4357" s="470">
        <v>4350</v>
      </c>
      <c r="I4357" s="455">
        <f t="shared" ca="1" si="188"/>
        <v>28610770413026.742</v>
      </c>
      <c r="J4357" s="455">
        <f t="array" ref="J4357">IFERROR(INDEX('Retirement Calculator'!J:J,MATCH('Isaac 401k'!N4357,'Retirement Calculator'!A:A,0),0),0)</f>
        <v>0</v>
      </c>
      <c r="K4357" s="455">
        <f t="shared" ca="1" si="186"/>
        <v>119211543387.61142</v>
      </c>
      <c r="L4357" s="455">
        <f t="shared" ca="1" si="187"/>
        <v>28729981956414.355</v>
      </c>
      <c r="M4357" s="471">
        <f t="shared" si="189"/>
        <v>0.05</v>
      </c>
      <c r="N4357" s="475">
        <f t="shared" si="190"/>
        <v>183658</v>
      </c>
    </row>
    <row r="4358" spans="7:14" ht="11.25" customHeight="1" x14ac:dyDescent="0.3">
      <c r="G4358" s="470"/>
      <c r="H4358" s="470">
        <v>4351</v>
      </c>
      <c r="I4358" s="455">
        <f t="shared" ca="1" si="188"/>
        <v>28729981956414.355</v>
      </c>
      <c r="J4358" s="455">
        <f t="array" ref="J4358">IFERROR(INDEX('Retirement Calculator'!J:J,MATCH('Isaac 401k'!N4358,'Retirement Calculator'!A:A,0),0),0)</f>
        <v>0</v>
      </c>
      <c r="K4358" s="455">
        <f t="shared" ca="1" si="186"/>
        <v>119708258151.72649</v>
      </c>
      <c r="L4358" s="455">
        <f t="shared" ca="1" si="187"/>
        <v>28849690214566.082</v>
      </c>
      <c r="M4358" s="471">
        <f t="shared" si="189"/>
        <v>0.05</v>
      </c>
      <c r="N4358" s="475">
        <f t="shared" si="190"/>
        <v>183688</v>
      </c>
    </row>
    <row r="4359" spans="7:14" ht="11.25" customHeight="1" x14ac:dyDescent="0.3">
      <c r="G4359" s="470"/>
      <c r="H4359" s="470">
        <v>4352</v>
      </c>
      <c r="I4359" s="455">
        <f t="shared" ca="1" si="188"/>
        <v>28849690214566.082</v>
      </c>
      <c r="J4359" s="455">
        <f t="array" ref="J4359">IFERROR(INDEX('Retirement Calculator'!J:J,MATCH('Isaac 401k'!N4359,'Retirement Calculator'!A:A,0),0),0)</f>
        <v>0</v>
      </c>
      <c r="K4359" s="455">
        <f t="shared" ca="1" si="186"/>
        <v>120207042560.692</v>
      </c>
      <c r="L4359" s="455">
        <f t="shared" ca="1" si="187"/>
        <v>28969897257126.773</v>
      </c>
      <c r="M4359" s="471">
        <f t="shared" si="189"/>
        <v>0.05</v>
      </c>
      <c r="N4359" s="475">
        <f t="shared" si="190"/>
        <v>183719</v>
      </c>
    </row>
    <row r="4360" spans="7:14" ht="11.25" customHeight="1" x14ac:dyDescent="0.3">
      <c r="G4360" s="470"/>
      <c r="H4360" s="470">
        <v>4353</v>
      </c>
      <c r="I4360" s="455">
        <f t="shared" ca="1" si="188"/>
        <v>28969897257126.773</v>
      </c>
      <c r="J4360" s="455">
        <f t="array" ref="J4360">IFERROR(INDEX('Retirement Calculator'!J:J,MATCH('Isaac 401k'!N4360,'Retirement Calculator'!A:A,0),0),0)</f>
        <v>0</v>
      </c>
      <c r="K4360" s="455">
        <f t="shared" ca="1" si="186"/>
        <v>120707905238.02824</v>
      </c>
      <c r="L4360" s="455">
        <f t="shared" ca="1" si="187"/>
        <v>29090605162364.801</v>
      </c>
      <c r="M4360" s="471">
        <f t="shared" si="189"/>
        <v>0.05</v>
      </c>
      <c r="N4360" s="475">
        <f t="shared" si="190"/>
        <v>183750</v>
      </c>
    </row>
    <row r="4361" spans="7:14" ht="11.25" customHeight="1" x14ac:dyDescent="0.3">
      <c r="G4361" s="470"/>
      <c r="H4361" s="470">
        <v>4354</v>
      </c>
      <c r="I4361" s="455">
        <f t="shared" ca="1" si="188"/>
        <v>29090605162364.801</v>
      </c>
      <c r="J4361" s="455">
        <f t="array" ref="J4361">IFERROR(INDEX('Retirement Calculator'!J:J,MATCH('Isaac 401k'!N4361,'Retirement Calculator'!A:A,0),0),0)</f>
        <v>0</v>
      </c>
      <c r="K4361" s="455">
        <f t="shared" ca="1" si="186"/>
        <v>121210854843.18665</v>
      </c>
      <c r="L4361" s="455">
        <f t="shared" ca="1" si="187"/>
        <v>29211816017207.988</v>
      </c>
      <c r="M4361" s="471">
        <f t="shared" si="189"/>
        <v>0.05</v>
      </c>
      <c r="N4361" s="475">
        <f t="shared" si="190"/>
        <v>183778</v>
      </c>
    </row>
    <row r="4362" spans="7:14" ht="11.25" customHeight="1" x14ac:dyDescent="0.3">
      <c r="G4362" s="470"/>
      <c r="H4362" s="470">
        <v>4355</v>
      </c>
      <c r="I4362" s="455">
        <f t="shared" ca="1" si="188"/>
        <v>29211816017207.988</v>
      </c>
      <c r="J4362" s="455">
        <f t="array" ref="J4362">IFERROR(INDEX('Retirement Calculator'!J:J,MATCH('Isaac 401k'!N4362,'Retirement Calculator'!A:A,0),0),0)</f>
        <v>0</v>
      </c>
      <c r="K4362" s="455">
        <f t="shared" ca="1" si="186"/>
        <v>121715900071.69995</v>
      </c>
      <c r="L4362" s="455">
        <f t="shared" ca="1" si="187"/>
        <v>29333531917279.688</v>
      </c>
      <c r="M4362" s="471">
        <f t="shared" si="189"/>
        <v>0.05</v>
      </c>
      <c r="N4362" s="475">
        <f t="shared" si="190"/>
        <v>183809</v>
      </c>
    </row>
    <row r="4363" spans="7:14" ht="11.25" customHeight="1" x14ac:dyDescent="0.3">
      <c r="G4363" s="470"/>
      <c r="H4363" s="470">
        <v>4356</v>
      </c>
      <c r="I4363" s="455">
        <f t="shared" ca="1" si="188"/>
        <v>29333531917279.688</v>
      </c>
      <c r="J4363" s="455">
        <f t="array" ref="J4363">IFERROR(INDEX('Retirement Calculator'!J:J,MATCH('Isaac 401k'!N4363,'Retirement Calculator'!A:A,0),0),0)</f>
        <v>0</v>
      </c>
      <c r="K4363" s="455">
        <f t="shared" ca="1" si="186"/>
        <v>122223049655.33203</v>
      </c>
      <c r="L4363" s="455">
        <f t="shared" ca="1" si="187"/>
        <v>29455754966935.02</v>
      </c>
      <c r="M4363" s="471">
        <f t="shared" si="189"/>
        <v>0.05</v>
      </c>
      <c r="N4363" s="475">
        <f t="shared" si="190"/>
        <v>183839</v>
      </c>
    </row>
    <row r="4364" spans="7:14" ht="11.25" customHeight="1" x14ac:dyDescent="0.3">
      <c r="G4364" s="470"/>
      <c r="H4364" s="470">
        <v>4357</v>
      </c>
      <c r="I4364" s="455">
        <f t="shared" ca="1" si="188"/>
        <v>29455754966935.02</v>
      </c>
      <c r="J4364" s="455">
        <f t="array" ref="J4364">IFERROR(INDEX('Retirement Calculator'!J:J,MATCH('Isaac 401k'!N4364,'Retirement Calculator'!A:A,0),0),0)</f>
        <v>0</v>
      </c>
      <c r="K4364" s="455">
        <f t="shared" ca="1" si="186"/>
        <v>122732312362.22926</v>
      </c>
      <c r="L4364" s="455">
        <f t="shared" ca="1" si="187"/>
        <v>29578487279297.25</v>
      </c>
      <c r="M4364" s="471">
        <f t="shared" si="189"/>
        <v>0.05</v>
      </c>
      <c r="N4364" s="475">
        <f t="shared" si="190"/>
        <v>183870</v>
      </c>
    </row>
    <row r="4365" spans="7:14" ht="11.25" customHeight="1" x14ac:dyDescent="0.3">
      <c r="G4365" s="470"/>
      <c r="H4365" s="470">
        <v>4358</v>
      </c>
      <c r="I4365" s="455">
        <f t="shared" ca="1" si="188"/>
        <v>29578487279297.25</v>
      </c>
      <c r="J4365" s="455">
        <f t="array" ref="J4365">IFERROR(INDEX('Retirement Calculator'!J:J,MATCH('Isaac 401k'!N4365,'Retirement Calculator'!A:A,0),0),0)</f>
        <v>0</v>
      </c>
      <c r="K4365" s="455">
        <f t="shared" ca="1" si="186"/>
        <v>123243696997.07187</v>
      </c>
      <c r="L4365" s="455">
        <f t="shared" ca="1" si="187"/>
        <v>29701730976294.32</v>
      </c>
      <c r="M4365" s="471">
        <f t="shared" si="189"/>
        <v>0.05</v>
      </c>
      <c r="N4365" s="475">
        <f t="shared" si="190"/>
        <v>183900</v>
      </c>
    </row>
    <row r="4366" spans="7:14" ht="11.25" customHeight="1" x14ac:dyDescent="0.3">
      <c r="G4366" s="470"/>
      <c r="H4366" s="470">
        <v>4359</v>
      </c>
      <c r="I4366" s="455">
        <f t="shared" ca="1" si="188"/>
        <v>29701730976294.32</v>
      </c>
      <c r="J4366" s="455">
        <f t="array" ref="J4366">IFERROR(INDEX('Retirement Calculator'!J:J,MATCH('Isaac 401k'!N4366,'Retirement Calculator'!A:A,0),0),0)</f>
        <v>0</v>
      </c>
      <c r="K4366" s="455">
        <f t="shared" ca="1" si="186"/>
        <v>123757212401.22633</v>
      </c>
      <c r="L4366" s="455">
        <f t="shared" ca="1" si="187"/>
        <v>29825488188695.547</v>
      </c>
      <c r="M4366" s="471">
        <f t="shared" si="189"/>
        <v>0.05</v>
      </c>
      <c r="N4366" s="475">
        <f t="shared" si="190"/>
        <v>183931</v>
      </c>
    </row>
    <row r="4367" spans="7:14" ht="11.25" customHeight="1" x14ac:dyDescent="0.3">
      <c r="G4367" s="470"/>
      <c r="H4367" s="470">
        <v>4360</v>
      </c>
      <c r="I4367" s="455">
        <f t="shared" ca="1" si="188"/>
        <v>29825488188695.547</v>
      </c>
      <c r="J4367" s="455">
        <f t="array" ref="J4367">IFERROR(INDEX('Retirement Calculator'!J:J,MATCH('Isaac 401k'!N4367,'Retirement Calculator'!A:A,0),0),0)</f>
        <v>0</v>
      </c>
      <c r="K4367" s="455">
        <f t="shared" ca="1" si="186"/>
        <v>124272867452.89809</v>
      </c>
      <c r="L4367" s="455">
        <f t="shared" ca="1" si="187"/>
        <v>29949761056148.445</v>
      </c>
      <c r="M4367" s="471">
        <f t="shared" si="189"/>
        <v>0.05</v>
      </c>
      <c r="N4367" s="475">
        <f t="shared" si="190"/>
        <v>183962</v>
      </c>
    </row>
    <row r="4368" spans="7:14" ht="11.25" customHeight="1" x14ac:dyDescent="0.3">
      <c r="G4368" s="470"/>
      <c r="H4368" s="470">
        <v>4361</v>
      </c>
      <c r="I4368" s="455">
        <f t="shared" ca="1" si="188"/>
        <v>29949761056148.445</v>
      </c>
      <c r="J4368" s="455">
        <f t="array" ref="J4368">IFERROR(INDEX('Retirement Calculator'!J:J,MATCH('Isaac 401k'!N4368,'Retirement Calculator'!A:A,0),0),0)</f>
        <v>0</v>
      </c>
      <c r="K4368" s="455">
        <f t="shared" ca="1" si="186"/>
        <v>124790671067.2852</v>
      </c>
      <c r="L4368" s="455">
        <f t="shared" ca="1" si="187"/>
        <v>30074551727215.73</v>
      </c>
      <c r="M4368" s="471">
        <f t="shared" si="189"/>
        <v>0.05</v>
      </c>
      <c r="N4368" s="475">
        <f t="shared" si="190"/>
        <v>183992</v>
      </c>
    </row>
    <row r="4369" spans="7:14" ht="11.25" customHeight="1" x14ac:dyDescent="0.3">
      <c r="G4369" s="470"/>
      <c r="H4369" s="470">
        <v>4362</v>
      </c>
      <c r="I4369" s="455">
        <f t="shared" ca="1" si="188"/>
        <v>30074551727215.73</v>
      </c>
      <c r="J4369" s="455">
        <f t="array" ref="J4369">IFERROR(INDEX('Retirement Calculator'!J:J,MATCH('Isaac 401k'!N4369,'Retirement Calculator'!A:A,0),0),0)</f>
        <v>0</v>
      </c>
      <c r="K4369" s="455">
        <f t="shared" ca="1" si="186"/>
        <v>125310632196.73221</v>
      </c>
      <c r="L4369" s="455">
        <f t="shared" ca="1" si="187"/>
        <v>30199862359412.461</v>
      </c>
      <c r="M4369" s="471">
        <f t="shared" si="189"/>
        <v>0.05</v>
      </c>
      <c r="N4369" s="475">
        <f t="shared" si="190"/>
        <v>184023</v>
      </c>
    </row>
    <row r="4370" spans="7:14" ht="11.25" customHeight="1" x14ac:dyDescent="0.3">
      <c r="G4370" s="470"/>
      <c r="H4370" s="470">
        <v>4363</v>
      </c>
      <c r="I4370" s="455">
        <f t="shared" ca="1" si="188"/>
        <v>30199862359412.461</v>
      </c>
      <c r="J4370" s="455">
        <f t="array" ref="J4370">IFERROR(INDEX('Retirement Calculator'!J:J,MATCH('Isaac 401k'!N4370,'Retirement Calculator'!A:A,0),0),0)</f>
        <v>0</v>
      </c>
      <c r="K4370" s="455">
        <f t="shared" ca="1" si="186"/>
        <v>125832759830.88525</v>
      </c>
      <c r="L4370" s="455">
        <f t="shared" ca="1" si="187"/>
        <v>30325695119243.348</v>
      </c>
      <c r="M4370" s="471">
        <f t="shared" si="189"/>
        <v>0.05</v>
      </c>
      <c r="N4370" s="475">
        <f t="shared" si="190"/>
        <v>184053</v>
      </c>
    </row>
    <row r="4371" spans="7:14" ht="11.25" customHeight="1" x14ac:dyDescent="0.3">
      <c r="G4371" s="470"/>
      <c r="H4371" s="470">
        <v>4364</v>
      </c>
      <c r="I4371" s="455">
        <f t="shared" ca="1" si="188"/>
        <v>30325695119243.348</v>
      </c>
      <c r="J4371" s="455">
        <f t="array" ref="J4371">IFERROR(INDEX('Retirement Calculator'!J:J,MATCH('Isaac 401k'!N4371,'Retirement Calculator'!A:A,0),0),0)</f>
        <v>0</v>
      </c>
      <c r="K4371" s="455">
        <f t="shared" ca="1" si="186"/>
        <v>126357062996.84727</v>
      </c>
      <c r="L4371" s="455">
        <f t="shared" ca="1" si="187"/>
        <v>30452052182240.195</v>
      </c>
      <c r="M4371" s="471">
        <f t="shared" si="189"/>
        <v>0.05</v>
      </c>
      <c r="N4371" s="475">
        <f t="shared" si="190"/>
        <v>184084</v>
      </c>
    </row>
    <row r="4372" spans="7:14" ht="11.25" customHeight="1" x14ac:dyDescent="0.3">
      <c r="G4372" s="470"/>
      <c r="H4372" s="470">
        <v>4365</v>
      </c>
      <c r="I4372" s="455">
        <f t="shared" ca="1" si="188"/>
        <v>30452052182240.195</v>
      </c>
      <c r="J4372" s="455">
        <f t="array" ref="J4372">IFERROR(INDEX('Retirement Calculator'!J:J,MATCH('Isaac 401k'!N4372,'Retirement Calculator'!A:A,0),0),0)</f>
        <v>0</v>
      </c>
      <c r="K4372" s="455">
        <f t="shared" ca="1" si="186"/>
        <v>126883550759.33415</v>
      </c>
      <c r="L4372" s="455">
        <f t="shared" ca="1" si="187"/>
        <v>30578935732999.531</v>
      </c>
      <c r="M4372" s="471">
        <f t="shared" si="189"/>
        <v>0.05</v>
      </c>
      <c r="N4372" s="475">
        <f t="shared" si="190"/>
        <v>184115</v>
      </c>
    </row>
    <row r="4373" spans="7:14" ht="11.25" customHeight="1" x14ac:dyDescent="0.3">
      <c r="G4373" s="470"/>
      <c r="H4373" s="470">
        <v>4366</v>
      </c>
      <c r="I4373" s="455">
        <f t="shared" ca="1" si="188"/>
        <v>30578935732999.531</v>
      </c>
      <c r="J4373" s="455">
        <f t="array" ref="J4373">IFERROR(INDEX('Retirement Calculator'!J:J,MATCH('Isaac 401k'!N4373,'Retirement Calculator'!A:A,0),0),0)</f>
        <v>0</v>
      </c>
      <c r="K4373" s="455">
        <f t="shared" ca="1" si="186"/>
        <v>127412232220.83138</v>
      </c>
      <c r="L4373" s="455">
        <f t="shared" ca="1" si="187"/>
        <v>30706347965220.363</v>
      </c>
      <c r="M4373" s="471">
        <f t="shared" si="189"/>
        <v>0.05</v>
      </c>
      <c r="N4373" s="475">
        <f t="shared" si="190"/>
        <v>184144</v>
      </c>
    </row>
    <row r="4374" spans="7:14" ht="11.25" customHeight="1" x14ac:dyDescent="0.3">
      <c r="G4374" s="470"/>
      <c r="H4374" s="470">
        <v>4367</v>
      </c>
      <c r="I4374" s="455">
        <f t="shared" ca="1" si="188"/>
        <v>30706347965220.363</v>
      </c>
      <c r="J4374" s="455">
        <f t="array" ref="J4374">IFERROR(INDEX('Retirement Calculator'!J:J,MATCH('Isaac 401k'!N4374,'Retirement Calculator'!A:A,0),0),0)</f>
        <v>0</v>
      </c>
      <c r="K4374" s="455">
        <f t="shared" ca="1" si="186"/>
        <v>127943116521.75151</v>
      </c>
      <c r="L4374" s="455">
        <f t="shared" ca="1" si="187"/>
        <v>30834291081742.113</v>
      </c>
      <c r="M4374" s="471">
        <f t="shared" si="189"/>
        <v>0.05</v>
      </c>
      <c r="N4374" s="475">
        <f t="shared" si="190"/>
        <v>184175</v>
      </c>
    </row>
    <row r="4375" spans="7:14" ht="11.25" customHeight="1" x14ac:dyDescent="0.3">
      <c r="G4375" s="470"/>
      <c r="H4375" s="470">
        <v>4368</v>
      </c>
      <c r="I4375" s="455">
        <f t="shared" ca="1" si="188"/>
        <v>30834291081742.113</v>
      </c>
      <c r="J4375" s="455">
        <f t="array" ref="J4375">IFERROR(INDEX('Retirement Calculator'!J:J,MATCH('Isaac 401k'!N4375,'Retirement Calculator'!A:A,0),0),0)</f>
        <v>0</v>
      </c>
      <c r="K4375" s="455">
        <f t="shared" ca="1" si="186"/>
        <v>128476212840.59213</v>
      </c>
      <c r="L4375" s="455">
        <f t="shared" ca="1" si="187"/>
        <v>30962767294582.707</v>
      </c>
      <c r="M4375" s="471">
        <f t="shared" si="189"/>
        <v>0.05</v>
      </c>
      <c r="N4375" s="475">
        <f t="shared" si="190"/>
        <v>184205</v>
      </c>
    </row>
    <row r="4376" spans="7:14" ht="11.25" customHeight="1" x14ac:dyDescent="0.3">
      <c r="G4376" s="470"/>
      <c r="H4376" s="470">
        <v>4369</v>
      </c>
      <c r="I4376" s="455">
        <f t="shared" ca="1" si="188"/>
        <v>30962767294582.707</v>
      </c>
      <c r="J4376" s="455">
        <f t="array" ref="J4376">IFERROR(INDEX('Retirement Calculator'!J:J,MATCH('Isaac 401k'!N4376,'Retirement Calculator'!A:A,0),0),0)</f>
        <v>0</v>
      </c>
      <c r="K4376" s="455">
        <f t="shared" ca="1" si="186"/>
        <v>129011530394.0946</v>
      </c>
      <c r="L4376" s="455">
        <f t="shared" ca="1" si="187"/>
        <v>31091778824976.801</v>
      </c>
      <c r="M4376" s="471">
        <f t="shared" si="189"/>
        <v>0.05</v>
      </c>
      <c r="N4376" s="475">
        <f t="shared" si="190"/>
        <v>184236</v>
      </c>
    </row>
    <row r="4377" spans="7:14" ht="11.25" customHeight="1" x14ac:dyDescent="0.3">
      <c r="G4377" s="470"/>
      <c r="H4377" s="470">
        <v>4370</v>
      </c>
      <c r="I4377" s="455">
        <f t="shared" ca="1" si="188"/>
        <v>31091778824976.801</v>
      </c>
      <c r="J4377" s="455">
        <f t="array" ref="J4377">IFERROR(INDEX('Retirement Calculator'!J:J,MATCH('Isaac 401k'!N4377,'Retirement Calculator'!A:A,0),0),0)</f>
        <v>0</v>
      </c>
      <c r="K4377" s="455">
        <f t="shared" ca="1" si="186"/>
        <v>129549078437.40334</v>
      </c>
      <c r="L4377" s="455">
        <f t="shared" ca="1" si="187"/>
        <v>31221327903414.203</v>
      </c>
      <c r="M4377" s="471">
        <f t="shared" si="189"/>
        <v>0.05</v>
      </c>
      <c r="N4377" s="475">
        <f t="shared" si="190"/>
        <v>184266</v>
      </c>
    </row>
    <row r="4378" spans="7:14" ht="11.25" customHeight="1" x14ac:dyDescent="0.3">
      <c r="G4378" s="470"/>
      <c r="H4378" s="470">
        <v>4371</v>
      </c>
      <c r="I4378" s="455">
        <f t="shared" ca="1" si="188"/>
        <v>31221327903414.203</v>
      </c>
      <c r="J4378" s="455">
        <f t="array" ref="J4378">IFERROR(INDEX('Retirement Calculator'!J:J,MATCH('Isaac 401k'!N4378,'Retirement Calculator'!A:A,0),0),0)</f>
        <v>0</v>
      </c>
      <c r="K4378" s="455">
        <f t="shared" ca="1" si="186"/>
        <v>130088866264.22586</v>
      </c>
      <c r="L4378" s="455">
        <f t="shared" ca="1" si="187"/>
        <v>31351416769678.43</v>
      </c>
      <c r="M4378" s="471">
        <f t="shared" si="189"/>
        <v>0.05</v>
      </c>
      <c r="N4378" s="475">
        <f t="shared" si="190"/>
        <v>184297</v>
      </c>
    </row>
    <row r="4379" spans="7:14" ht="11.25" customHeight="1" x14ac:dyDescent="0.3">
      <c r="G4379" s="470"/>
      <c r="H4379" s="470">
        <v>4372</v>
      </c>
      <c r="I4379" s="455">
        <f t="shared" ca="1" si="188"/>
        <v>31351416769678.43</v>
      </c>
      <c r="J4379" s="455">
        <f t="array" ref="J4379">IFERROR(INDEX('Retirement Calculator'!J:J,MATCH('Isaac 401k'!N4379,'Retirement Calculator'!A:A,0),0),0)</f>
        <v>0</v>
      </c>
      <c r="K4379" s="455">
        <f t="shared" ca="1" si="186"/>
        <v>130630903206.99345</v>
      </c>
      <c r="L4379" s="455">
        <f t="shared" ca="1" si="187"/>
        <v>31482047672885.422</v>
      </c>
      <c r="M4379" s="471">
        <f t="shared" si="189"/>
        <v>0.05</v>
      </c>
      <c r="N4379" s="475">
        <f t="shared" si="190"/>
        <v>184328</v>
      </c>
    </row>
    <row r="4380" spans="7:14" ht="11.25" customHeight="1" x14ac:dyDescent="0.3">
      <c r="G4380" s="470"/>
      <c r="H4380" s="470">
        <v>4373</v>
      </c>
      <c r="I4380" s="455">
        <f t="shared" ca="1" si="188"/>
        <v>31482047672885.422</v>
      </c>
      <c r="J4380" s="455">
        <f t="array" ref="J4380">IFERROR(INDEX('Retirement Calculator'!J:J,MATCH('Isaac 401k'!N4380,'Retirement Calculator'!A:A,0),0),0)</f>
        <v>0</v>
      </c>
      <c r="K4380" s="455">
        <f t="shared" ca="1" si="186"/>
        <v>131175198637.02258</v>
      </c>
      <c r="L4380" s="455">
        <f t="shared" ca="1" si="187"/>
        <v>31613222871522.445</v>
      </c>
      <c r="M4380" s="471">
        <f t="shared" si="189"/>
        <v>0.05</v>
      </c>
      <c r="N4380" s="475">
        <f t="shared" si="190"/>
        <v>184358</v>
      </c>
    </row>
    <row r="4381" spans="7:14" ht="11.25" customHeight="1" x14ac:dyDescent="0.3">
      <c r="G4381" s="470"/>
      <c r="H4381" s="470">
        <v>4374</v>
      </c>
      <c r="I4381" s="455">
        <f t="shared" ca="1" si="188"/>
        <v>31613222871522.445</v>
      </c>
      <c r="J4381" s="455">
        <f t="array" ref="J4381">IFERROR(INDEX('Retirement Calculator'!J:J,MATCH('Isaac 401k'!N4381,'Retirement Calculator'!A:A,0),0),0)</f>
        <v>0</v>
      </c>
      <c r="K4381" s="455">
        <f t="shared" ca="1" si="186"/>
        <v>131721761964.67685</v>
      </c>
      <c r="L4381" s="455">
        <f t="shared" ca="1" si="187"/>
        <v>31744944633487.121</v>
      </c>
      <c r="M4381" s="471">
        <f t="shared" si="189"/>
        <v>0.05</v>
      </c>
      <c r="N4381" s="475">
        <f t="shared" si="190"/>
        <v>184389</v>
      </c>
    </row>
    <row r="4382" spans="7:14" ht="11.25" customHeight="1" x14ac:dyDescent="0.3">
      <c r="G4382" s="470"/>
      <c r="H4382" s="470">
        <v>4375</v>
      </c>
      <c r="I4382" s="455">
        <f t="shared" ca="1" si="188"/>
        <v>31744944633487.121</v>
      </c>
      <c r="J4382" s="455">
        <f t="array" ref="J4382">IFERROR(INDEX('Retirement Calculator'!J:J,MATCH('Isaac 401k'!N4382,'Retirement Calculator'!A:A,0),0),0)</f>
        <v>0</v>
      </c>
      <c r="K4382" s="455">
        <f t="shared" ca="1" si="186"/>
        <v>132270602639.52965</v>
      </c>
      <c r="L4382" s="455">
        <f t="shared" ca="1" si="187"/>
        <v>31877215236126.652</v>
      </c>
      <c r="M4382" s="471">
        <f t="shared" si="189"/>
        <v>0.05</v>
      </c>
      <c r="N4382" s="475">
        <f t="shared" si="190"/>
        <v>184419</v>
      </c>
    </row>
    <row r="4383" spans="7:14" ht="11.25" customHeight="1" x14ac:dyDescent="0.3">
      <c r="G4383" s="470"/>
      <c r="H4383" s="470">
        <v>4376</v>
      </c>
      <c r="I4383" s="455">
        <f t="shared" ca="1" si="188"/>
        <v>31877215236126.652</v>
      </c>
      <c r="J4383" s="455">
        <f t="array" ref="J4383">IFERROR(INDEX('Retirement Calculator'!J:J,MATCH('Isaac 401k'!N4383,'Retirement Calculator'!A:A,0),0),0)</f>
        <v>0</v>
      </c>
      <c r="K4383" s="455">
        <f t="shared" ca="1" si="186"/>
        <v>132821730150.52771</v>
      </c>
      <c r="L4383" s="455">
        <f t="shared" ca="1" si="187"/>
        <v>32010036966277.18</v>
      </c>
      <c r="M4383" s="471">
        <f t="shared" si="189"/>
        <v>0.05</v>
      </c>
      <c r="N4383" s="475">
        <f t="shared" si="190"/>
        <v>184450</v>
      </c>
    </row>
    <row r="4384" spans="7:14" ht="11.25" customHeight="1" x14ac:dyDescent="0.3">
      <c r="G4384" s="470"/>
      <c r="H4384" s="470">
        <v>4377</v>
      </c>
      <c r="I4384" s="455">
        <f t="shared" ca="1" si="188"/>
        <v>32010036966277.18</v>
      </c>
      <c r="J4384" s="455">
        <f t="array" ref="J4384">IFERROR(INDEX('Retirement Calculator'!J:J,MATCH('Isaac 401k'!N4384,'Retirement Calculator'!A:A,0),0),0)</f>
        <v>0</v>
      </c>
      <c r="K4384" s="455">
        <f t="shared" ca="1" si="186"/>
        <v>133375154026.15491</v>
      </c>
      <c r="L4384" s="455">
        <f t="shared" ca="1" si="187"/>
        <v>32143412120303.336</v>
      </c>
      <c r="M4384" s="471">
        <f t="shared" si="189"/>
        <v>0.05</v>
      </c>
      <c r="N4384" s="475">
        <f t="shared" si="190"/>
        <v>184481</v>
      </c>
    </row>
    <row r="4385" spans="7:14" ht="11.25" customHeight="1" x14ac:dyDescent="0.3">
      <c r="G4385" s="470"/>
      <c r="H4385" s="470">
        <v>4378</v>
      </c>
      <c r="I4385" s="455">
        <f t="shared" ca="1" si="188"/>
        <v>32143412120303.336</v>
      </c>
      <c r="J4385" s="455">
        <f t="array" ref="J4385">IFERROR(INDEX('Retirement Calculator'!J:J,MATCH('Isaac 401k'!N4385,'Retirement Calculator'!A:A,0),0),0)</f>
        <v>0</v>
      </c>
      <c r="K4385" s="455">
        <f t="shared" ca="1" si="186"/>
        <v>133930883834.59723</v>
      </c>
      <c r="L4385" s="455">
        <f t="shared" ca="1" si="187"/>
        <v>32277343004137.934</v>
      </c>
      <c r="M4385" s="471">
        <f t="shared" si="189"/>
        <v>0.05</v>
      </c>
      <c r="N4385" s="475">
        <f t="shared" si="190"/>
        <v>184509</v>
      </c>
    </row>
    <row r="4386" spans="7:14" ht="11.25" customHeight="1" x14ac:dyDescent="0.3">
      <c r="G4386" s="470"/>
      <c r="H4386" s="470">
        <v>4379</v>
      </c>
      <c r="I4386" s="455">
        <f t="shared" ca="1" si="188"/>
        <v>32277343004137.934</v>
      </c>
      <c r="J4386" s="455">
        <f t="array" ref="J4386">IFERROR(INDEX('Retirement Calculator'!J:J,MATCH('Isaac 401k'!N4386,'Retirement Calculator'!A:A,0),0),0)</f>
        <v>0</v>
      </c>
      <c r="K4386" s="455">
        <f t="shared" ca="1" si="186"/>
        <v>134488929183.90807</v>
      </c>
      <c r="L4386" s="455">
        <f t="shared" ca="1" si="187"/>
        <v>32411831933321.84</v>
      </c>
      <c r="M4386" s="471">
        <f t="shared" si="189"/>
        <v>0.05</v>
      </c>
      <c r="N4386" s="475">
        <f t="shared" si="190"/>
        <v>184540</v>
      </c>
    </row>
    <row r="4387" spans="7:14" ht="11.25" customHeight="1" x14ac:dyDescent="0.3">
      <c r="G4387" s="470"/>
      <c r="H4387" s="470">
        <v>4380</v>
      </c>
      <c r="I4387" s="455">
        <f t="shared" ca="1" si="188"/>
        <v>32411831933321.84</v>
      </c>
      <c r="J4387" s="455">
        <f t="array" ref="J4387">IFERROR(INDEX('Retirement Calculator'!J:J,MATCH('Isaac 401k'!N4387,'Retirement Calculator'!A:A,0),0),0)</f>
        <v>0</v>
      </c>
      <c r="K4387" s="455">
        <f t="shared" ca="1" si="186"/>
        <v>135049299722.17433</v>
      </c>
      <c r="L4387" s="455">
        <f t="shared" ca="1" si="187"/>
        <v>32546881233044.016</v>
      </c>
      <c r="M4387" s="471">
        <f t="shared" si="189"/>
        <v>0.05</v>
      </c>
      <c r="N4387" s="475">
        <f t="shared" si="190"/>
        <v>184570</v>
      </c>
    </row>
    <row r="4388" spans="7:14" ht="11.25" customHeight="1" x14ac:dyDescent="0.3">
      <c r="G4388" s="470"/>
      <c r="H4388" s="470">
        <v>4381</v>
      </c>
      <c r="I4388" s="455">
        <f t="shared" ca="1" si="188"/>
        <v>32546881233044.016</v>
      </c>
      <c r="J4388" s="455">
        <f t="array" ref="J4388">IFERROR(INDEX('Retirement Calculator'!J:J,MATCH('Isaac 401k'!N4388,'Retirement Calculator'!A:A,0),0),0)</f>
        <v>0</v>
      </c>
      <c r="K4388" s="455">
        <f t="shared" ca="1" si="186"/>
        <v>135612005137.6834</v>
      </c>
      <c r="L4388" s="455">
        <f t="shared" ca="1" si="187"/>
        <v>32682493238181.699</v>
      </c>
      <c r="M4388" s="471">
        <f t="shared" si="189"/>
        <v>0.05</v>
      </c>
      <c r="N4388" s="475">
        <f t="shared" si="190"/>
        <v>184601</v>
      </c>
    </row>
    <row r="4389" spans="7:14" ht="11.25" customHeight="1" x14ac:dyDescent="0.3">
      <c r="G4389" s="470"/>
      <c r="H4389" s="470">
        <v>4382</v>
      </c>
      <c r="I4389" s="455">
        <f t="shared" ca="1" si="188"/>
        <v>32682493238181.699</v>
      </c>
      <c r="J4389" s="455">
        <f t="array" ref="J4389">IFERROR(INDEX('Retirement Calculator'!J:J,MATCH('Isaac 401k'!N4389,'Retirement Calculator'!A:A,0),0),0)</f>
        <v>0</v>
      </c>
      <c r="K4389" s="455">
        <f t="shared" ca="1" si="186"/>
        <v>136177055159.09042</v>
      </c>
      <c r="L4389" s="455">
        <f t="shared" ca="1" si="187"/>
        <v>32818670293340.789</v>
      </c>
      <c r="M4389" s="471">
        <f t="shared" si="189"/>
        <v>0.05</v>
      </c>
      <c r="N4389" s="475">
        <f t="shared" si="190"/>
        <v>184631</v>
      </c>
    </row>
    <row r="4390" spans="7:14" ht="11.25" customHeight="1" x14ac:dyDescent="0.3">
      <c r="G4390" s="470"/>
      <c r="H4390" s="470">
        <v>4383</v>
      </c>
      <c r="I4390" s="455">
        <f t="shared" ca="1" si="188"/>
        <v>32818670293340.789</v>
      </c>
      <c r="J4390" s="455">
        <f t="array" ref="J4390">IFERROR(INDEX('Retirement Calculator'!J:J,MATCH('Isaac 401k'!N4390,'Retirement Calculator'!A:A,0),0),0)</f>
        <v>0</v>
      </c>
      <c r="K4390" s="455">
        <f t="shared" ca="1" si="186"/>
        <v>136744459555.58662</v>
      </c>
      <c r="L4390" s="455">
        <f t="shared" ca="1" si="187"/>
        <v>32955414752896.375</v>
      </c>
      <c r="M4390" s="471">
        <f t="shared" si="189"/>
        <v>0.05</v>
      </c>
      <c r="N4390" s="475">
        <f t="shared" si="190"/>
        <v>184662</v>
      </c>
    </row>
    <row r="4391" spans="7:14" ht="11.25" customHeight="1" x14ac:dyDescent="0.3">
      <c r="G4391" s="470"/>
      <c r="H4391" s="470">
        <v>4384</v>
      </c>
      <c r="I4391" s="455">
        <f t="shared" ca="1" si="188"/>
        <v>32955414752896.375</v>
      </c>
      <c r="J4391" s="455">
        <f t="array" ref="J4391">IFERROR(INDEX('Retirement Calculator'!J:J,MATCH('Isaac 401k'!N4391,'Retirement Calculator'!A:A,0),0),0)</f>
        <v>0</v>
      </c>
      <c r="K4391" s="455">
        <f t="shared" ca="1" si="186"/>
        <v>137314228137.06822</v>
      </c>
      <c r="L4391" s="455">
        <f t="shared" ca="1" si="187"/>
        <v>33092728981033.441</v>
      </c>
      <c r="M4391" s="471">
        <f t="shared" si="189"/>
        <v>0.05</v>
      </c>
      <c r="N4391" s="475">
        <f t="shared" si="190"/>
        <v>184693</v>
      </c>
    </row>
    <row r="4392" spans="7:14" ht="11.25" customHeight="1" x14ac:dyDescent="0.3">
      <c r="G4392" s="470"/>
      <c r="H4392" s="470">
        <v>4385</v>
      </c>
      <c r="I4392" s="455">
        <f t="shared" ca="1" si="188"/>
        <v>33092728981033.441</v>
      </c>
      <c r="J4392" s="455">
        <f t="array" ref="J4392">IFERROR(INDEX('Retirement Calculator'!J:J,MATCH('Isaac 401k'!N4392,'Retirement Calculator'!A:A,0),0),0)</f>
        <v>0</v>
      </c>
      <c r="K4392" s="455">
        <f t="shared" ca="1" si="186"/>
        <v>137886370754.30603</v>
      </c>
      <c r="L4392" s="455">
        <f t="shared" ca="1" si="187"/>
        <v>33230615351787.746</v>
      </c>
      <c r="M4392" s="471">
        <f t="shared" si="189"/>
        <v>0.05</v>
      </c>
      <c r="N4392" s="475">
        <f t="shared" si="190"/>
        <v>184723</v>
      </c>
    </row>
    <row r="4393" spans="7:14" ht="11.25" customHeight="1" x14ac:dyDescent="0.3">
      <c r="G4393" s="470"/>
      <c r="H4393" s="470">
        <v>4386</v>
      </c>
      <c r="I4393" s="455">
        <f t="shared" ca="1" si="188"/>
        <v>33230615351787.746</v>
      </c>
      <c r="J4393" s="455">
        <f t="array" ref="J4393">IFERROR(INDEX('Retirement Calculator'!J:J,MATCH('Isaac 401k'!N4393,'Retirement Calculator'!A:A,0),0),0)</f>
        <v>0</v>
      </c>
      <c r="K4393" s="455">
        <f t="shared" ca="1" si="186"/>
        <v>138460897299.1156</v>
      </c>
      <c r="L4393" s="455">
        <f t="shared" ca="1" si="187"/>
        <v>33369076249086.863</v>
      </c>
      <c r="M4393" s="471">
        <f t="shared" si="189"/>
        <v>0.05</v>
      </c>
      <c r="N4393" s="475">
        <f t="shared" si="190"/>
        <v>184754</v>
      </c>
    </row>
    <row r="4394" spans="7:14" ht="11.25" customHeight="1" x14ac:dyDescent="0.3">
      <c r="G4394" s="470"/>
      <c r="H4394" s="470">
        <v>4387</v>
      </c>
      <c r="I4394" s="455">
        <f t="shared" ca="1" si="188"/>
        <v>33369076249086.863</v>
      </c>
      <c r="J4394" s="455">
        <f t="array" ref="J4394">IFERROR(INDEX('Retirement Calculator'!J:J,MATCH('Isaac 401k'!N4394,'Retirement Calculator'!A:A,0),0),0)</f>
        <v>0</v>
      </c>
      <c r="K4394" s="455">
        <f t="shared" ca="1" si="186"/>
        <v>139037817704.52856</v>
      </c>
      <c r="L4394" s="455">
        <f t="shared" ca="1" si="187"/>
        <v>33508114066791.391</v>
      </c>
      <c r="M4394" s="471">
        <f t="shared" si="189"/>
        <v>0.05</v>
      </c>
      <c r="N4394" s="475">
        <f t="shared" si="190"/>
        <v>184784</v>
      </c>
    </row>
    <row r="4395" spans="7:14" ht="11.25" customHeight="1" x14ac:dyDescent="0.3">
      <c r="G4395" s="470"/>
      <c r="H4395" s="470">
        <v>4388</v>
      </c>
      <c r="I4395" s="455">
        <f t="shared" ca="1" si="188"/>
        <v>33508114066791.391</v>
      </c>
      <c r="J4395" s="455">
        <f t="array" ref="J4395">IFERROR(INDEX('Retirement Calculator'!J:J,MATCH('Isaac 401k'!N4395,'Retirement Calculator'!A:A,0),0),0)</f>
        <v>0</v>
      </c>
      <c r="K4395" s="455">
        <f t="shared" ca="1" si="186"/>
        <v>139617141944.96414</v>
      </c>
      <c r="L4395" s="455">
        <f t="shared" ca="1" si="187"/>
        <v>33647731208736.355</v>
      </c>
      <c r="M4395" s="471">
        <f t="shared" si="189"/>
        <v>0.05</v>
      </c>
      <c r="N4395" s="475">
        <f t="shared" si="190"/>
        <v>184815</v>
      </c>
    </row>
    <row r="4396" spans="7:14" ht="11.25" customHeight="1" x14ac:dyDescent="0.3">
      <c r="G4396" s="470"/>
      <c r="H4396" s="470">
        <v>4389</v>
      </c>
      <c r="I4396" s="455">
        <f t="shared" ca="1" si="188"/>
        <v>33647731208736.355</v>
      </c>
      <c r="J4396" s="455">
        <f t="array" ref="J4396">IFERROR(INDEX('Retirement Calculator'!J:J,MATCH('Isaac 401k'!N4396,'Retirement Calculator'!A:A,0),0),0)</f>
        <v>0</v>
      </c>
      <c r="K4396" s="455">
        <f t="shared" ca="1" si="186"/>
        <v>140198880036.40146</v>
      </c>
      <c r="L4396" s="455">
        <f t="shared" ca="1" si="187"/>
        <v>33787930088772.758</v>
      </c>
      <c r="M4396" s="471">
        <f t="shared" si="189"/>
        <v>0.05</v>
      </c>
      <c r="N4396" s="475">
        <f t="shared" si="190"/>
        <v>184846</v>
      </c>
    </row>
    <row r="4397" spans="7:14" ht="11.25" customHeight="1" x14ac:dyDescent="0.3">
      <c r="G4397" s="470"/>
      <c r="H4397" s="470">
        <v>4390</v>
      </c>
      <c r="I4397" s="455">
        <f t="shared" ca="1" si="188"/>
        <v>33787930088772.758</v>
      </c>
      <c r="J4397" s="455">
        <f t="array" ref="J4397">IFERROR(INDEX('Retirement Calculator'!J:J,MATCH('Isaac 401k'!N4397,'Retirement Calculator'!A:A,0),0),0)</f>
        <v>0</v>
      </c>
      <c r="K4397" s="455">
        <f t="shared" ca="1" si="186"/>
        <v>140783042036.55316</v>
      </c>
      <c r="L4397" s="455">
        <f t="shared" ca="1" si="187"/>
        <v>33928713130809.313</v>
      </c>
      <c r="M4397" s="471">
        <f t="shared" si="189"/>
        <v>0.05</v>
      </c>
      <c r="N4397" s="475">
        <f t="shared" si="190"/>
        <v>184874</v>
      </c>
    </row>
    <row r="4398" spans="7:14" ht="11.25" customHeight="1" x14ac:dyDescent="0.3">
      <c r="G4398" s="470"/>
      <c r="H4398" s="470">
        <v>4391</v>
      </c>
      <c r="I4398" s="455">
        <f t="shared" ca="1" si="188"/>
        <v>33928713130809.313</v>
      </c>
      <c r="J4398" s="455">
        <f t="array" ref="J4398">IFERROR(INDEX('Retirement Calculator'!J:J,MATCH('Isaac 401k'!N4398,'Retirement Calculator'!A:A,0),0),0)</f>
        <v>0</v>
      </c>
      <c r="K4398" s="455">
        <f t="shared" ca="1" si="186"/>
        <v>141369638045.03879</v>
      </c>
      <c r="L4398" s="455">
        <f t="shared" ca="1" si="187"/>
        <v>34070082768854.352</v>
      </c>
      <c r="M4398" s="471">
        <f t="shared" si="189"/>
        <v>0.05</v>
      </c>
      <c r="N4398" s="475">
        <f t="shared" si="190"/>
        <v>184905</v>
      </c>
    </row>
    <row r="4399" spans="7:14" ht="11.25" customHeight="1" x14ac:dyDescent="0.3">
      <c r="G4399" s="470"/>
      <c r="H4399" s="470">
        <v>4392</v>
      </c>
      <c r="I4399" s="455">
        <f t="shared" ca="1" si="188"/>
        <v>34070082768854.352</v>
      </c>
      <c r="J4399" s="455">
        <f t="array" ref="J4399">IFERROR(INDEX('Retirement Calculator'!J:J,MATCH('Isaac 401k'!N4399,'Retirement Calculator'!A:A,0),0),0)</f>
        <v>0</v>
      </c>
      <c r="K4399" s="455">
        <f t="shared" ca="1" si="186"/>
        <v>141958678203.55978</v>
      </c>
      <c r="L4399" s="455">
        <f t="shared" ca="1" si="187"/>
        <v>34212041447057.91</v>
      </c>
      <c r="M4399" s="471">
        <f t="shared" si="189"/>
        <v>0.05</v>
      </c>
      <c r="N4399" s="475">
        <f t="shared" si="190"/>
        <v>184935</v>
      </c>
    </row>
    <row r="4400" spans="7:14" ht="11.25" customHeight="1" x14ac:dyDescent="0.3">
      <c r="G4400" s="470"/>
      <c r="H4400" s="470">
        <v>4393</v>
      </c>
      <c r="I4400" s="455">
        <f t="shared" ca="1" si="188"/>
        <v>34212041447057.91</v>
      </c>
      <c r="J4400" s="455">
        <f t="array" ref="J4400">IFERROR(INDEX('Retirement Calculator'!J:J,MATCH('Isaac 401k'!N4400,'Retirement Calculator'!A:A,0),0),0)</f>
        <v>0</v>
      </c>
      <c r="K4400" s="455">
        <f t="shared" ca="1" si="186"/>
        <v>142550172696.07462</v>
      </c>
      <c r="L4400" s="455">
        <f t="shared" ca="1" si="187"/>
        <v>34354591619753.984</v>
      </c>
      <c r="M4400" s="471">
        <f t="shared" si="189"/>
        <v>0.05</v>
      </c>
      <c r="N4400" s="475">
        <f t="shared" si="190"/>
        <v>184966</v>
      </c>
    </row>
    <row r="4401" spans="7:14" ht="11.25" customHeight="1" x14ac:dyDescent="0.3">
      <c r="G4401" s="470"/>
      <c r="H4401" s="470">
        <v>4394</v>
      </c>
      <c r="I4401" s="455">
        <f t="shared" ca="1" si="188"/>
        <v>34354591619753.984</v>
      </c>
      <c r="J4401" s="455">
        <f t="array" ref="J4401">IFERROR(INDEX('Retirement Calculator'!J:J,MATCH('Isaac 401k'!N4401,'Retirement Calculator'!A:A,0),0),0)</f>
        <v>0</v>
      </c>
      <c r="K4401" s="455">
        <f t="shared" ca="1" si="186"/>
        <v>143144131748.97495</v>
      </c>
      <c r="L4401" s="455">
        <f t="shared" ca="1" si="187"/>
        <v>34497735751502.961</v>
      </c>
      <c r="M4401" s="471">
        <f t="shared" si="189"/>
        <v>0.05</v>
      </c>
      <c r="N4401" s="475">
        <f t="shared" si="190"/>
        <v>184996</v>
      </c>
    </row>
    <row r="4402" spans="7:14" ht="11.25" customHeight="1" x14ac:dyDescent="0.3">
      <c r="G4402" s="470"/>
      <c r="H4402" s="470">
        <v>4395</v>
      </c>
      <c r="I4402" s="455">
        <f t="shared" ca="1" si="188"/>
        <v>34497735751502.961</v>
      </c>
      <c r="J4402" s="455">
        <f t="array" ref="J4402">IFERROR(INDEX('Retirement Calculator'!J:J,MATCH('Isaac 401k'!N4402,'Retirement Calculator'!A:A,0),0),0)</f>
        <v>0</v>
      </c>
      <c r="K4402" s="455">
        <f t="shared" ca="1" si="186"/>
        <v>143740565631.26233</v>
      </c>
      <c r="L4402" s="455">
        <f t="shared" ca="1" si="187"/>
        <v>34641476317134.223</v>
      </c>
      <c r="M4402" s="471">
        <f t="shared" si="189"/>
        <v>0.05</v>
      </c>
      <c r="N4402" s="475">
        <f t="shared" si="190"/>
        <v>185027</v>
      </c>
    </row>
    <row r="4403" spans="7:14" ht="11.25" customHeight="1" x14ac:dyDescent="0.3">
      <c r="G4403" s="470"/>
      <c r="H4403" s="470">
        <v>4396</v>
      </c>
      <c r="I4403" s="455">
        <f t="shared" ca="1" si="188"/>
        <v>34641476317134.223</v>
      </c>
      <c r="J4403" s="455">
        <f t="array" ref="J4403">IFERROR(INDEX('Retirement Calculator'!J:J,MATCH('Isaac 401k'!N4403,'Retirement Calculator'!A:A,0),0),0)</f>
        <v>0</v>
      </c>
      <c r="K4403" s="455">
        <f t="shared" ca="1" si="186"/>
        <v>144339484654.72592</v>
      </c>
      <c r="L4403" s="455">
        <f t="shared" ca="1" si="187"/>
        <v>34785815801788.949</v>
      </c>
      <c r="M4403" s="471">
        <f t="shared" si="189"/>
        <v>0.05</v>
      </c>
      <c r="N4403" s="475">
        <f t="shared" si="190"/>
        <v>185058</v>
      </c>
    </row>
    <row r="4404" spans="7:14" ht="11.25" customHeight="1" x14ac:dyDescent="0.3">
      <c r="G4404" s="470"/>
      <c r="H4404" s="470">
        <v>4397</v>
      </c>
      <c r="I4404" s="455">
        <f t="shared" ca="1" si="188"/>
        <v>34785815801788.949</v>
      </c>
      <c r="J4404" s="455">
        <f t="array" ref="J4404">IFERROR(INDEX('Retirement Calculator'!J:J,MATCH('Isaac 401k'!N4404,'Retirement Calculator'!A:A,0),0),0)</f>
        <v>0</v>
      </c>
      <c r="K4404" s="455">
        <f t="shared" ca="1" si="186"/>
        <v>144940899174.12064</v>
      </c>
      <c r="L4404" s="455">
        <f t="shared" ca="1" si="187"/>
        <v>34930756700963.07</v>
      </c>
      <c r="M4404" s="471">
        <f t="shared" si="189"/>
        <v>0.05</v>
      </c>
      <c r="N4404" s="475">
        <f t="shared" si="190"/>
        <v>185088</v>
      </c>
    </row>
    <row r="4405" spans="7:14" ht="11.25" customHeight="1" x14ac:dyDescent="0.3">
      <c r="G4405" s="470"/>
      <c r="H4405" s="470">
        <v>4398</v>
      </c>
      <c r="I4405" s="455">
        <f t="shared" ca="1" si="188"/>
        <v>34930756700963.07</v>
      </c>
      <c r="J4405" s="455">
        <f t="array" ref="J4405">IFERROR(INDEX('Retirement Calculator'!J:J,MATCH('Isaac 401k'!N4405,'Retirement Calculator'!A:A,0),0),0)</f>
        <v>0</v>
      </c>
      <c r="K4405" s="455">
        <f t="shared" ca="1" si="186"/>
        <v>145544819587.34613</v>
      </c>
      <c r="L4405" s="455">
        <f t="shared" ca="1" si="187"/>
        <v>35076301520550.418</v>
      </c>
      <c r="M4405" s="471">
        <f t="shared" si="189"/>
        <v>0.05</v>
      </c>
      <c r="N4405" s="475">
        <f t="shared" si="190"/>
        <v>185119</v>
      </c>
    </row>
    <row r="4406" spans="7:14" ht="11.25" customHeight="1" x14ac:dyDescent="0.3">
      <c r="G4406" s="470"/>
      <c r="H4406" s="470">
        <v>4399</v>
      </c>
      <c r="I4406" s="455">
        <f t="shared" ca="1" si="188"/>
        <v>35076301520550.418</v>
      </c>
      <c r="J4406" s="455">
        <f t="array" ref="J4406">IFERROR(INDEX('Retirement Calculator'!J:J,MATCH('Isaac 401k'!N4406,'Retirement Calculator'!A:A,0),0),0)</f>
        <v>0</v>
      </c>
      <c r="K4406" s="455">
        <f t="shared" ca="1" si="186"/>
        <v>146151256335.62671</v>
      </c>
      <c r="L4406" s="455">
        <f t="shared" ca="1" si="187"/>
        <v>35222452776886.047</v>
      </c>
      <c r="M4406" s="471">
        <f t="shared" si="189"/>
        <v>0.05</v>
      </c>
      <c r="N4406" s="475">
        <f t="shared" si="190"/>
        <v>185149</v>
      </c>
    </row>
    <row r="4407" spans="7:14" ht="11.25" customHeight="1" x14ac:dyDescent="0.3">
      <c r="G4407" s="470"/>
      <c r="H4407" s="470">
        <v>4400</v>
      </c>
      <c r="I4407" s="455">
        <f t="shared" ca="1" si="188"/>
        <v>35222452776886.047</v>
      </c>
      <c r="J4407" s="455">
        <f t="array" ref="J4407">IFERROR(INDEX('Retirement Calculator'!J:J,MATCH('Isaac 401k'!N4407,'Retirement Calculator'!A:A,0),0),0)</f>
        <v>0</v>
      </c>
      <c r="K4407" s="455">
        <f t="shared" ca="1" si="186"/>
        <v>146760219903.69186</v>
      </c>
      <c r="L4407" s="455">
        <f t="shared" ca="1" si="187"/>
        <v>35369212996789.742</v>
      </c>
      <c r="M4407" s="471">
        <f t="shared" si="189"/>
        <v>0.05</v>
      </c>
      <c r="N4407" s="475">
        <f t="shared" si="190"/>
        <v>185180</v>
      </c>
    </row>
    <row r="4408" spans="7:14" ht="11.25" customHeight="1" x14ac:dyDescent="0.3">
      <c r="G4408" s="470"/>
      <c r="H4408" s="470">
        <v>4401</v>
      </c>
      <c r="I4408" s="455">
        <f t="shared" ca="1" si="188"/>
        <v>35369212996789.742</v>
      </c>
      <c r="J4408" s="455">
        <f t="array" ref="J4408">IFERROR(INDEX('Retirement Calculator'!J:J,MATCH('Isaac 401k'!N4408,'Retirement Calculator'!A:A,0),0),0)</f>
        <v>0</v>
      </c>
      <c r="K4408" s="455">
        <f t="shared" ca="1" si="186"/>
        <v>147371720819.95724</v>
      </c>
      <c r="L4408" s="455">
        <f t="shared" ca="1" si="187"/>
        <v>35516584717609.703</v>
      </c>
      <c r="M4408" s="471">
        <f t="shared" si="189"/>
        <v>0.05</v>
      </c>
      <c r="N4408" s="475">
        <f t="shared" si="190"/>
        <v>185211</v>
      </c>
    </row>
    <row r="4409" spans="7:14" ht="11.25" customHeight="1" x14ac:dyDescent="0.3">
      <c r="G4409" s="470"/>
      <c r="H4409" s="470">
        <v>4402</v>
      </c>
      <c r="I4409" s="455">
        <f t="shared" ca="1" si="188"/>
        <v>35516584717609.703</v>
      </c>
      <c r="J4409" s="455">
        <f t="array" ref="J4409">IFERROR(INDEX('Retirement Calculator'!J:J,MATCH('Isaac 401k'!N4409,'Retirement Calculator'!A:A,0),0),0)</f>
        <v>0</v>
      </c>
      <c r="K4409" s="455">
        <f t="shared" ca="1" si="186"/>
        <v>147985769656.70709</v>
      </c>
      <c r="L4409" s="455">
        <f t="shared" ca="1" si="187"/>
        <v>35664570487266.414</v>
      </c>
      <c r="M4409" s="471">
        <f t="shared" si="189"/>
        <v>0.05</v>
      </c>
      <c r="N4409" s="475">
        <f t="shared" si="190"/>
        <v>185239</v>
      </c>
    </row>
    <row r="4410" spans="7:14" ht="11.25" customHeight="1" x14ac:dyDescent="0.3">
      <c r="G4410" s="470"/>
      <c r="H4410" s="470">
        <v>4403</v>
      </c>
      <c r="I4410" s="455">
        <f t="shared" ca="1" si="188"/>
        <v>35664570487266.414</v>
      </c>
      <c r="J4410" s="455">
        <f t="array" ref="J4410">IFERROR(INDEX('Retirement Calculator'!J:J,MATCH('Isaac 401k'!N4410,'Retirement Calculator'!A:A,0),0),0)</f>
        <v>0</v>
      </c>
      <c r="K4410" s="455">
        <f t="shared" ca="1" si="186"/>
        <v>148602377030.27673</v>
      </c>
      <c r="L4410" s="455">
        <f t="shared" ca="1" si="187"/>
        <v>35813172864296.688</v>
      </c>
      <c r="M4410" s="471">
        <f t="shared" si="189"/>
        <v>0.05</v>
      </c>
      <c r="N4410" s="475">
        <f t="shared" si="190"/>
        <v>185270</v>
      </c>
    </row>
    <row r="4411" spans="7:14" ht="11.25" customHeight="1" x14ac:dyDescent="0.3">
      <c r="G4411" s="470"/>
      <c r="H4411" s="470">
        <v>4404</v>
      </c>
      <c r="I4411" s="455">
        <f t="shared" ca="1" si="188"/>
        <v>35813172864296.688</v>
      </c>
      <c r="J4411" s="455">
        <f t="array" ref="J4411">IFERROR(INDEX('Retirement Calculator'!J:J,MATCH('Isaac 401k'!N4411,'Retirement Calculator'!A:A,0),0),0)</f>
        <v>0</v>
      </c>
      <c r="K4411" s="455">
        <f t="shared" ca="1" si="186"/>
        <v>149221553601.23621</v>
      </c>
      <c r="L4411" s="455">
        <f t="shared" ca="1" si="187"/>
        <v>35962394417897.922</v>
      </c>
      <c r="M4411" s="471">
        <f t="shared" si="189"/>
        <v>0.05</v>
      </c>
      <c r="N4411" s="475">
        <f t="shared" si="190"/>
        <v>185300</v>
      </c>
    </row>
    <row r="4412" spans="7:14" ht="11.25" customHeight="1" x14ac:dyDescent="0.3">
      <c r="G4412" s="470"/>
      <c r="H4412" s="470">
        <v>4405</v>
      </c>
      <c r="I4412" s="455">
        <f t="shared" ca="1" si="188"/>
        <v>35962394417897.922</v>
      </c>
      <c r="J4412" s="455">
        <f t="array" ref="J4412">IFERROR(INDEX('Retirement Calculator'!J:J,MATCH('Isaac 401k'!N4412,'Retirement Calculator'!A:A,0),0),0)</f>
        <v>0</v>
      </c>
      <c r="K4412" s="455">
        <f t="shared" ca="1" si="186"/>
        <v>149843310074.57468</v>
      </c>
      <c r="L4412" s="455">
        <f t="shared" ca="1" si="187"/>
        <v>36112237727972.5</v>
      </c>
      <c r="M4412" s="471">
        <f t="shared" si="189"/>
        <v>0.05</v>
      </c>
      <c r="N4412" s="475">
        <f t="shared" si="190"/>
        <v>185331</v>
      </c>
    </row>
    <row r="4413" spans="7:14" ht="11.25" customHeight="1" x14ac:dyDescent="0.3">
      <c r="G4413" s="470"/>
      <c r="H4413" s="470">
        <v>4406</v>
      </c>
      <c r="I4413" s="455">
        <f t="shared" ca="1" si="188"/>
        <v>36112237727972.5</v>
      </c>
      <c r="J4413" s="455">
        <f t="array" ref="J4413">IFERROR(INDEX('Retirement Calculator'!J:J,MATCH('Isaac 401k'!N4413,'Retirement Calculator'!A:A,0),0),0)</f>
        <v>0</v>
      </c>
      <c r="K4413" s="455">
        <f t="shared" ca="1" si="186"/>
        <v>150467657199.88541</v>
      </c>
      <c r="L4413" s="455">
        <f t="shared" ca="1" si="187"/>
        <v>36262705385172.383</v>
      </c>
      <c r="M4413" s="471">
        <f t="shared" si="189"/>
        <v>0.05</v>
      </c>
      <c r="N4413" s="475">
        <f t="shared" si="190"/>
        <v>185361</v>
      </c>
    </row>
    <row r="4414" spans="7:14" ht="11.25" customHeight="1" x14ac:dyDescent="0.3">
      <c r="G4414" s="470"/>
      <c r="H4414" s="470">
        <v>4407</v>
      </c>
      <c r="I4414" s="455">
        <f t="shared" ca="1" si="188"/>
        <v>36262705385172.383</v>
      </c>
      <c r="J4414" s="455">
        <f t="array" ref="J4414">IFERROR(INDEX('Retirement Calculator'!J:J,MATCH('Isaac 401k'!N4414,'Retirement Calculator'!A:A,0),0),0)</f>
        <v>0</v>
      </c>
      <c r="K4414" s="455">
        <f t="shared" ca="1" si="186"/>
        <v>151094605771.55161</v>
      </c>
      <c r="L4414" s="455">
        <f t="shared" ca="1" si="187"/>
        <v>36413799990943.938</v>
      </c>
      <c r="M4414" s="471">
        <f t="shared" si="189"/>
        <v>0.05</v>
      </c>
      <c r="N4414" s="475">
        <f t="shared" si="190"/>
        <v>185392</v>
      </c>
    </row>
    <row r="4415" spans="7:14" ht="11.25" customHeight="1" x14ac:dyDescent="0.3">
      <c r="G4415" s="470"/>
      <c r="H4415" s="470">
        <v>4408</v>
      </c>
      <c r="I4415" s="455">
        <f t="shared" ca="1" si="188"/>
        <v>36413799990943.938</v>
      </c>
      <c r="J4415" s="455">
        <f t="array" ref="J4415">IFERROR(INDEX('Retirement Calculator'!J:J,MATCH('Isaac 401k'!N4415,'Retirement Calculator'!A:A,0),0),0)</f>
        <v>0</v>
      </c>
      <c r="K4415" s="455">
        <f t="shared" ca="1" si="186"/>
        <v>151724166628.93307</v>
      </c>
      <c r="L4415" s="455">
        <f t="shared" ca="1" si="187"/>
        <v>36565524157572.867</v>
      </c>
      <c r="M4415" s="471">
        <f t="shared" si="189"/>
        <v>0.05</v>
      </c>
      <c r="N4415" s="475">
        <f t="shared" si="190"/>
        <v>185423</v>
      </c>
    </row>
    <row r="4416" spans="7:14" ht="11.25" customHeight="1" x14ac:dyDescent="0.3">
      <c r="G4416" s="470"/>
      <c r="H4416" s="470">
        <v>4409</v>
      </c>
      <c r="I4416" s="455">
        <f t="shared" ca="1" si="188"/>
        <v>36565524157572.867</v>
      </c>
      <c r="J4416" s="455">
        <f t="array" ref="J4416">IFERROR(INDEX('Retirement Calculator'!J:J,MATCH('Isaac 401k'!N4416,'Retirement Calculator'!A:A,0),0),0)</f>
        <v>0</v>
      </c>
      <c r="K4416" s="455">
        <f t="shared" ca="1" si="186"/>
        <v>152356350656.55362</v>
      </c>
      <c r="L4416" s="455">
        <f t="shared" ca="1" si="187"/>
        <v>36717880508229.422</v>
      </c>
      <c r="M4416" s="471">
        <f t="shared" si="189"/>
        <v>0.05</v>
      </c>
      <c r="N4416" s="475">
        <f t="shared" si="190"/>
        <v>185453</v>
      </c>
    </row>
    <row r="4417" spans="7:14" ht="11.25" customHeight="1" x14ac:dyDescent="0.3">
      <c r="G4417" s="470"/>
      <c r="H4417" s="470">
        <v>4410</v>
      </c>
      <c r="I4417" s="455">
        <f t="shared" ca="1" si="188"/>
        <v>36717880508229.422</v>
      </c>
      <c r="J4417" s="455">
        <f t="array" ref="J4417">IFERROR(INDEX('Retirement Calculator'!J:J,MATCH('Isaac 401k'!N4417,'Retirement Calculator'!A:A,0),0),0)</f>
        <v>0</v>
      </c>
      <c r="K4417" s="455">
        <f t="shared" ca="1" si="186"/>
        <v>152991168784.28925</v>
      </c>
      <c r="L4417" s="455">
        <f t="shared" ca="1" si="187"/>
        <v>36870871677013.711</v>
      </c>
      <c r="M4417" s="471">
        <f t="shared" si="189"/>
        <v>0.05</v>
      </c>
      <c r="N4417" s="475">
        <f t="shared" si="190"/>
        <v>185484</v>
      </c>
    </row>
    <row r="4418" spans="7:14" ht="11.25" customHeight="1" x14ac:dyDescent="0.3">
      <c r="G4418" s="470"/>
      <c r="H4418" s="470">
        <v>4411</v>
      </c>
      <c r="I4418" s="455">
        <f t="shared" ca="1" si="188"/>
        <v>36870871677013.711</v>
      </c>
      <c r="J4418" s="455">
        <f t="array" ref="J4418">IFERROR(INDEX('Retirement Calculator'!J:J,MATCH('Isaac 401k'!N4418,'Retirement Calculator'!A:A,0),0),0)</f>
        <v>0</v>
      </c>
      <c r="K4418" s="455">
        <f t="shared" ca="1" si="186"/>
        <v>153628631987.55713</v>
      </c>
      <c r="L4418" s="455">
        <f t="shared" ca="1" si="187"/>
        <v>37024500309001.266</v>
      </c>
      <c r="M4418" s="471">
        <f t="shared" si="189"/>
        <v>0.05</v>
      </c>
      <c r="N4418" s="475">
        <f t="shared" si="190"/>
        <v>185514</v>
      </c>
    </row>
    <row r="4419" spans="7:14" ht="11.25" customHeight="1" x14ac:dyDescent="0.3">
      <c r="G4419" s="470"/>
      <c r="H4419" s="470">
        <v>4412</v>
      </c>
      <c r="I4419" s="455">
        <f t="shared" ca="1" si="188"/>
        <v>37024500309001.266</v>
      </c>
      <c r="J4419" s="455">
        <f t="array" ref="J4419">IFERROR(INDEX('Retirement Calculator'!J:J,MATCH('Isaac 401k'!N4419,'Retirement Calculator'!A:A,0),0),0)</f>
        <v>0</v>
      </c>
      <c r="K4419" s="455">
        <f t="shared" ca="1" si="186"/>
        <v>154268751287.50528</v>
      </c>
      <c r="L4419" s="455">
        <f t="shared" ca="1" si="187"/>
        <v>37178769060288.773</v>
      </c>
      <c r="M4419" s="471">
        <f t="shared" si="189"/>
        <v>0.05</v>
      </c>
      <c r="N4419" s="475">
        <f t="shared" si="190"/>
        <v>185545</v>
      </c>
    </row>
    <row r="4420" spans="7:14" ht="11.25" customHeight="1" x14ac:dyDescent="0.3">
      <c r="G4420" s="470"/>
      <c r="H4420" s="470">
        <v>4413</v>
      </c>
      <c r="I4420" s="455">
        <f t="shared" ca="1" si="188"/>
        <v>37178769060288.773</v>
      </c>
      <c r="J4420" s="455">
        <f t="array" ref="J4420">IFERROR(INDEX('Retirement Calculator'!J:J,MATCH('Isaac 401k'!N4420,'Retirement Calculator'!A:A,0),0),0)</f>
        <v>0</v>
      </c>
      <c r="K4420" s="455">
        <f t="shared" ca="1" si="186"/>
        <v>154911537751.20322</v>
      </c>
      <c r="L4420" s="455">
        <f t="shared" ca="1" si="187"/>
        <v>37333680598039.977</v>
      </c>
      <c r="M4420" s="471">
        <f t="shared" si="189"/>
        <v>0.05</v>
      </c>
      <c r="N4420" s="475">
        <f t="shared" si="190"/>
        <v>185576</v>
      </c>
    </row>
    <row r="4421" spans="7:14" ht="11.25" customHeight="1" x14ac:dyDescent="0.3">
      <c r="G4421" s="470"/>
      <c r="H4421" s="470">
        <v>4414</v>
      </c>
      <c r="I4421" s="455">
        <f t="shared" ca="1" si="188"/>
        <v>37333680598039.977</v>
      </c>
      <c r="J4421" s="455">
        <f t="array" ref="J4421">IFERROR(INDEX('Retirement Calculator'!J:J,MATCH('Isaac 401k'!N4421,'Retirement Calculator'!A:A,0),0),0)</f>
        <v>0</v>
      </c>
      <c r="K4421" s="455">
        <f t="shared" ca="1" si="186"/>
        <v>155557002491.83322</v>
      </c>
      <c r="L4421" s="455">
        <f t="shared" ca="1" si="187"/>
        <v>37489237600531.813</v>
      </c>
      <c r="M4421" s="471">
        <f t="shared" si="189"/>
        <v>0.05</v>
      </c>
      <c r="N4421" s="475">
        <f t="shared" si="190"/>
        <v>185605</v>
      </c>
    </row>
    <row r="4422" spans="7:14" ht="11.25" customHeight="1" x14ac:dyDescent="0.3">
      <c r="G4422" s="470"/>
      <c r="H4422" s="470">
        <v>4415</v>
      </c>
      <c r="I4422" s="455">
        <f t="shared" ca="1" si="188"/>
        <v>37489237600531.813</v>
      </c>
      <c r="J4422" s="455">
        <f t="array" ref="J4422">IFERROR(INDEX('Retirement Calculator'!J:J,MATCH('Isaac 401k'!N4422,'Retirement Calculator'!A:A,0),0),0)</f>
        <v>0</v>
      </c>
      <c r="K4422" s="455">
        <f t="shared" ca="1" si="186"/>
        <v>156205156668.88254</v>
      </c>
      <c r="L4422" s="455">
        <f t="shared" ca="1" si="187"/>
        <v>37645442757200.695</v>
      </c>
      <c r="M4422" s="471">
        <f t="shared" si="189"/>
        <v>0.05</v>
      </c>
      <c r="N4422" s="475">
        <f t="shared" si="190"/>
        <v>185636</v>
      </c>
    </row>
    <row r="4423" spans="7:14" ht="11.25" customHeight="1" x14ac:dyDescent="0.3">
      <c r="G4423" s="470"/>
      <c r="H4423" s="470">
        <v>4416</v>
      </c>
      <c r="I4423" s="455">
        <f t="shared" ca="1" si="188"/>
        <v>37645442757200.695</v>
      </c>
      <c r="J4423" s="455">
        <f t="array" ref="J4423">IFERROR(INDEX('Retirement Calculator'!J:J,MATCH('Isaac 401k'!N4423,'Retirement Calculator'!A:A,0),0),0)</f>
        <v>0</v>
      </c>
      <c r="K4423" s="455">
        <f t="shared" ca="1" si="186"/>
        <v>156856011488.33624</v>
      </c>
      <c r="L4423" s="455">
        <f t="shared" ca="1" si="187"/>
        <v>37802298768689.031</v>
      </c>
      <c r="M4423" s="471">
        <f t="shared" si="189"/>
        <v>0.05</v>
      </c>
      <c r="N4423" s="475">
        <f t="shared" si="190"/>
        <v>185666</v>
      </c>
    </row>
    <row r="4424" spans="7:14" ht="11.25" customHeight="1" x14ac:dyDescent="0.3">
      <c r="G4424" s="470"/>
      <c r="H4424" s="470">
        <v>4417</v>
      </c>
      <c r="I4424" s="455">
        <f t="shared" ca="1" si="188"/>
        <v>37802298768689.031</v>
      </c>
      <c r="J4424" s="455">
        <f t="array" ref="J4424">IFERROR(INDEX('Retirement Calculator'!J:J,MATCH('Isaac 401k'!N4424,'Retirement Calculator'!A:A,0),0),0)</f>
        <v>0</v>
      </c>
      <c r="K4424" s="455">
        <f t="shared" ca="1" si="186"/>
        <v>157509578202.87097</v>
      </c>
      <c r="L4424" s="455">
        <f t="shared" ca="1" si="187"/>
        <v>37959808346891.898</v>
      </c>
      <c r="M4424" s="471">
        <f t="shared" si="189"/>
        <v>0.05</v>
      </c>
      <c r="N4424" s="475">
        <f t="shared" si="190"/>
        <v>185697</v>
      </c>
    </row>
    <row r="4425" spans="7:14" ht="11.25" customHeight="1" x14ac:dyDescent="0.3">
      <c r="G4425" s="470"/>
      <c r="H4425" s="470">
        <v>4418</v>
      </c>
      <c r="I4425" s="455">
        <f t="shared" ca="1" si="188"/>
        <v>37959808346891.898</v>
      </c>
      <c r="J4425" s="455">
        <f t="array" ref="J4425">IFERROR(INDEX('Retirement Calculator'!J:J,MATCH('Isaac 401k'!N4425,'Retirement Calculator'!A:A,0),0),0)</f>
        <v>0</v>
      </c>
      <c r="K4425" s="455">
        <f t="shared" ca="1" si="186"/>
        <v>158165868112.04956</v>
      </c>
      <c r="L4425" s="455">
        <f t="shared" ca="1" si="187"/>
        <v>38117974215003.945</v>
      </c>
      <c r="M4425" s="471">
        <f t="shared" si="189"/>
        <v>0.05</v>
      </c>
      <c r="N4425" s="475">
        <f t="shared" si="190"/>
        <v>185727</v>
      </c>
    </row>
    <row r="4426" spans="7:14" ht="11.25" customHeight="1" x14ac:dyDescent="0.3">
      <c r="G4426" s="470"/>
      <c r="H4426" s="470">
        <v>4419</v>
      </c>
      <c r="I4426" s="455">
        <f t="shared" ca="1" si="188"/>
        <v>38117974215003.945</v>
      </c>
      <c r="J4426" s="455">
        <f t="array" ref="J4426">IFERROR(INDEX('Retirement Calculator'!J:J,MATCH('Isaac 401k'!N4426,'Retirement Calculator'!A:A,0),0),0)</f>
        <v>0</v>
      </c>
      <c r="K4426" s="455">
        <f t="shared" ca="1" si="186"/>
        <v>158824892562.51645</v>
      </c>
      <c r="L4426" s="455">
        <f t="shared" ca="1" si="187"/>
        <v>38276799107566.461</v>
      </c>
      <c r="M4426" s="471">
        <f t="shared" si="189"/>
        <v>0.05</v>
      </c>
      <c r="N4426" s="475">
        <f t="shared" si="190"/>
        <v>185758</v>
      </c>
    </row>
    <row r="4427" spans="7:14" ht="11.25" customHeight="1" x14ac:dyDescent="0.3">
      <c r="G4427" s="470"/>
      <c r="H4427" s="470">
        <v>4420</v>
      </c>
      <c r="I4427" s="455">
        <f t="shared" ca="1" si="188"/>
        <v>38276799107566.461</v>
      </c>
      <c r="J4427" s="455">
        <f t="array" ref="J4427">IFERROR(INDEX('Retirement Calculator'!J:J,MATCH('Isaac 401k'!N4427,'Retirement Calculator'!A:A,0),0),0)</f>
        <v>0</v>
      </c>
      <c r="K4427" s="455">
        <f t="shared" ca="1" si="186"/>
        <v>159486662948.19357</v>
      </c>
      <c r="L4427" s="455">
        <f t="shared" ca="1" si="187"/>
        <v>38436285770514.656</v>
      </c>
      <c r="M4427" s="471">
        <f t="shared" si="189"/>
        <v>0.05</v>
      </c>
      <c r="N4427" s="475">
        <f t="shared" si="190"/>
        <v>185789</v>
      </c>
    </row>
    <row r="4428" spans="7:14" ht="11.25" customHeight="1" x14ac:dyDescent="0.3">
      <c r="G4428" s="470"/>
      <c r="H4428" s="470">
        <v>4421</v>
      </c>
      <c r="I4428" s="455">
        <f t="shared" ca="1" si="188"/>
        <v>38436285770514.656</v>
      </c>
      <c r="J4428" s="455">
        <f t="array" ref="J4428">IFERROR(INDEX('Retirement Calculator'!J:J,MATCH('Isaac 401k'!N4428,'Retirement Calculator'!A:A,0),0),0)</f>
        <v>0</v>
      </c>
      <c r="K4428" s="455">
        <f t="shared" ca="1" si="186"/>
        <v>160151190710.47772</v>
      </c>
      <c r="L4428" s="455">
        <f t="shared" ca="1" si="187"/>
        <v>38596436961225.133</v>
      </c>
      <c r="M4428" s="471">
        <f t="shared" si="189"/>
        <v>0.05</v>
      </c>
      <c r="N4428" s="475">
        <f t="shared" si="190"/>
        <v>185819</v>
      </c>
    </row>
    <row r="4429" spans="7:14" ht="11.25" customHeight="1" x14ac:dyDescent="0.3">
      <c r="G4429" s="470"/>
      <c r="H4429" s="470">
        <v>4422</v>
      </c>
      <c r="I4429" s="455">
        <f t="shared" ca="1" si="188"/>
        <v>38596436961225.133</v>
      </c>
      <c r="J4429" s="455">
        <f t="array" ref="J4429">IFERROR(INDEX('Retirement Calculator'!J:J,MATCH('Isaac 401k'!N4429,'Retirement Calculator'!A:A,0),0),0)</f>
        <v>0</v>
      </c>
      <c r="K4429" s="455">
        <f t="shared" ca="1" si="186"/>
        <v>160818487338.43805</v>
      </c>
      <c r="L4429" s="455">
        <f t="shared" ca="1" si="187"/>
        <v>38757255448563.57</v>
      </c>
      <c r="M4429" s="471">
        <f t="shared" si="189"/>
        <v>0.05</v>
      </c>
      <c r="N4429" s="475">
        <f t="shared" si="190"/>
        <v>185850</v>
      </c>
    </row>
    <row r="4430" spans="7:14" ht="11.25" customHeight="1" x14ac:dyDescent="0.3">
      <c r="G4430" s="470"/>
      <c r="H4430" s="470">
        <v>4423</v>
      </c>
      <c r="I4430" s="455">
        <f t="shared" ca="1" si="188"/>
        <v>38757255448563.57</v>
      </c>
      <c r="J4430" s="455">
        <f t="array" ref="J4430">IFERROR(INDEX('Retirement Calculator'!J:J,MATCH('Isaac 401k'!N4430,'Retirement Calculator'!A:A,0),0),0)</f>
        <v>0</v>
      </c>
      <c r="K4430" s="455">
        <f t="shared" ca="1" si="186"/>
        <v>161488564369.01486</v>
      </c>
      <c r="L4430" s="455">
        <f t="shared" ca="1" si="187"/>
        <v>38918744012932.586</v>
      </c>
      <c r="M4430" s="471">
        <f t="shared" si="189"/>
        <v>0.05</v>
      </c>
      <c r="N4430" s="475">
        <f t="shared" si="190"/>
        <v>185880</v>
      </c>
    </row>
    <row r="4431" spans="7:14" ht="11.25" customHeight="1" x14ac:dyDescent="0.3">
      <c r="G4431" s="470"/>
      <c r="H4431" s="470">
        <v>4424</v>
      </c>
      <c r="I4431" s="455">
        <f t="shared" ca="1" si="188"/>
        <v>38918744012932.586</v>
      </c>
      <c r="J4431" s="455">
        <f t="array" ref="J4431">IFERROR(INDEX('Retirement Calculator'!J:J,MATCH('Isaac 401k'!N4431,'Retirement Calculator'!A:A,0),0),0)</f>
        <v>0</v>
      </c>
      <c r="K4431" s="455">
        <f t="shared" ca="1" si="186"/>
        <v>162161433387.21912</v>
      </c>
      <c r="L4431" s="455">
        <f t="shared" ca="1" si="187"/>
        <v>39080905446319.805</v>
      </c>
      <c r="M4431" s="471">
        <f t="shared" si="189"/>
        <v>0.05</v>
      </c>
      <c r="N4431" s="475">
        <f t="shared" si="190"/>
        <v>185911</v>
      </c>
    </row>
    <row r="4432" spans="7:14" ht="11.25" customHeight="1" x14ac:dyDescent="0.3">
      <c r="G4432" s="470"/>
      <c r="H4432" s="470">
        <v>4425</v>
      </c>
      <c r="I4432" s="455">
        <f t="shared" ca="1" si="188"/>
        <v>39080905446319.805</v>
      </c>
      <c r="J4432" s="455">
        <f t="array" ref="J4432">IFERROR(INDEX('Retirement Calculator'!J:J,MATCH('Isaac 401k'!N4432,'Retirement Calculator'!A:A,0),0),0)</f>
        <v>0</v>
      </c>
      <c r="K4432" s="455">
        <f t="shared" ca="1" si="186"/>
        <v>162837106026.33252</v>
      </c>
      <c r="L4432" s="455">
        <f t="shared" ca="1" si="187"/>
        <v>39243742552346.141</v>
      </c>
      <c r="M4432" s="471">
        <f t="shared" si="189"/>
        <v>0.05</v>
      </c>
      <c r="N4432" s="475">
        <f t="shared" si="190"/>
        <v>185942</v>
      </c>
    </row>
    <row r="4433" spans="7:14" ht="11.25" customHeight="1" x14ac:dyDescent="0.3">
      <c r="G4433" s="470"/>
      <c r="H4433" s="470">
        <v>4426</v>
      </c>
      <c r="I4433" s="455">
        <f t="shared" ca="1" si="188"/>
        <v>39243742552346.141</v>
      </c>
      <c r="J4433" s="455">
        <f t="array" ref="J4433">IFERROR(INDEX('Retirement Calculator'!J:J,MATCH('Isaac 401k'!N4433,'Retirement Calculator'!A:A,0),0),0)</f>
        <v>0</v>
      </c>
      <c r="K4433" s="455">
        <f t="shared" ca="1" si="186"/>
        <v>163515593968.10892</v>
      </c>
      <c r="L4433" s="455">
        <f t="shared" ca="1" si="187"/>
        <v>39407258146314.25</v>
      </c>
      <c r="M4433" s="471">
        <f t="shared" si="189"/>
        <v>0.05</v>
      </c>
      <c r="N4433" s="475">
        <f t="shared" si="190"/>
        <v>185970</v>
      </c>
    </row>
    <row r="4434" spans="7:14" ht="11.25" customHeight="1" x14ac:dyDescent="0.3">
      <c r="G4434" s="470"/>
      <c r="H4434" s="470">
        <v>4427</v>
      </c>
      <c r="I4434" s="455">
        <f t="shared" ca="1" si="188"/>
        <v>39407258146314.25</v>
      </c>
      <c r="J4434" s="455">
        <f t="array" ref="J4434">IFERROR(INDEX('Retirement Calculator'!J:J,MATCH('Isaac 401k'!N4434,'Retirement Calculator'!A:A,0),0),0)</f>
        <v>0</v>
      </c>
      <c r="K4434" s="455">
        <f t="shared" ca="1" si="186"/>
        <v>164196908942.97604</v>
      </c>
      <c r="L4434" s="455">
        <f t="shared" ca="1" si="187"/>
        <v>39571455055257.227</v>
      </c>
      <c r="M4434" s="471">
        <f t="shared" si="189"/>
        <v>0.05</v>
      </c>
      <c r="N4434" s="475">
        <f t="shared" si="190"/>
        <v>186001</v>
      </c>
    </row>
    <row r="4435" spans="7:14" ht="11.25" customHeight="1" x14ac:dyDescent="0.3">
      <c r="G4435" s="470"/>
      <c r="H4435" s="470">
        <v>4428</v>
      </c>
      <c r="I4435" s="455">
        <f t="shared" ca="1" si="188"/>
        <v>39571455055257.227</v>
      </c>
      <c r="J4435" s="455">
        <f t="array" ref="J4435">IFERROR(INDEX('Retirement Calculator'!J:J,MATCH('Isaac 401k'!N4435,'Retirement Calculator'!A:A,0),0),0)</f>
        <v>0</v>
      </c>
      <c r="K4435" s="455">
        <f t="shared" ca="1" si="186"/>
        <v>164881062730.23843</v>
      </c>
      <c r="L4435" s="455">
        <f t="shared" ca="1" si="187"/>
        <v>39736336117987.469</v>
      </c>
      <c r="M4435" s="471">
        <f t="shared" si="189"/>
        <v>0.05</v>
      </c>
      <c r="N4435" s="475">
        <f t="shared" si="190"/>
        <v>186031</v>
      </c>
    </row>
    <row r="4436" spans="7:14" ht="11.25" customHeight="1" x14ac:dyDescent="0.3">
      <c r="G4436" s="470"/>
      <c r="H4436" s="470">
        <v>4429</v>
      </c>
      <c r="I4436" s="455">
        <f t="shared" ca="1" si="188"/>
        <v>39736336117987.469</v>
      </c>
      <c r="J4436" s="455">
        <f t="array" ref="J4436">IFERROR(INDEX('Retirement Calculator'!J:J,MATCH('Isaac 401k'!N4436,'Retirement Calculator'!A:A,0),0),0)</f>
        <v>0</v>
      </c>
      <c r="K4436" s="455">
        <f t="shared" ca="1" si="186"/>
        <v>165568067158.28113</v>
      </c>
      <c r="L4436" s="455">
        <f t="shared" ca="1" si="187"/>
        <v>39901904185145.75</v>
      </c>
      <c r="M4436" s="471">
        <f t="shared" si="189"/>
        <v>0.05</v>
      </c>
      <c r="N4436" s="475">
        <f t="shared" si="190"/>
        <v>186062</v>
      </c>
    </row>
    <row r="4437" spans="7:14" ht="11.25" customHeight="1" x14ac:dyDescent="0.3">
      <c r="G4437" s="470"/>
      <c r="H4437" s="470">
        <v>4430</v>
      </c>
      <c r="I4437" s="455">
        <f t="shared" ca="1" si="188"/>
        <v>39901904185145.75</v>
      </c>
      <c r="J4437" s="455">
        <f t="array" ref="J4437">IFERROR(INDEX('Retirement Calculator'!J:J,MATCH('Isaac 401k'!N4437,'Retirement Calculator'!A:A,0),0),0)</f>
        <v>0</v>
      </c>
      <c r="K4437" s="455">
        <f t="shared" ca="1" si="186"/>
        <v>166257934104.77396</v>
      </c>
      <c r="L4437" s="455">
        <f t="shared" ca="1" si="187"/>
        <v>40068162119250.523</v>
      </c>
      <c r="M4437" s="471">
        <f t="shared" si="189"/>
        <v>0.05</v>
      </c>
      <c r="N4437" s="475">
        <f t="shared" si="190"/>
        <v>186092</v>
      </c>
    </row>
    <row r="4438" spans="7:14" ht="11.25" customHeight="1" x14ac:dyDescent="0.3">
      <c r="G4438" s="470"/>
      <c r="H4438" s="470">
        <v>4431</v>
      </c>
      <c r="I4438" s="455">
        <f t="shared" ca="1" si="188"/>
        <v>40068162119250.523</v>
      </c>
      <c r="J4438" s="455">
        <f t="array" ref="J4438">IFERROR(INDEX('Retirement Calculator'!J:J,MATCH('Isaac 401k'!N4438,'Retirement Calculator'!A:A,0),0),0)</f>
        <v>0</v>
      </c>
      <c r="K4438" s="455">
        <f t="shared" ca="1" si="186"/>
        <v>166950675496.87717</v>
      </c>
      <c r="L4438" s="455">
        <f t="shared" ca="1" si="187"/>
        <v>40235112794747.398</v>
      </c>
      <c r="M4438" s="471">
        <f t="shared" si="189"/>
        <v>0.05</v>
      </c>
      <c r="N4438" s="475">
        <f t="shared" si="190"/>
        <v>186123</v>
      </c>
    </row>
    <row r="4439" spans="7:14" ht="11.25" customHeight="1" x14ac:dyDescent="0.3">
      <c r="G4439" s="470"/>
      <c r="H4439" s="470">
        <v>4432</v>
      </c>
      <c r="I4439" s="455">
        <f t="shared" ca="1" si="188"/>
        <v>40235112794747.398</v>
      </c>
      <c r="J4439" s="455">
        <f t="array" ref="J4439">IFERROR(INDEX('Retirement Calculator'!J:J,MATCH('Isaac 401k'!N4439,'Retirement Calculator'!A:A,0),0),0)</f>
        <v>0</v>
      </c>
      <c r="K4439" s="455">
        <f t="shared" ca="1" si="186"/>
        <v>167646303311.44748</v>
      </c>
      <c r="L4439" s="455">
        <f t="shared" ca="1" si="187"/>
        <v>40402759098058.844</v>
      </c>
      <c r="M4439" s="471">
        <f t="shared" si="189"/>
        <v>0.05</v>
      </c>
      <c r="N4439" s="475">
        <f t="shared" si="190"/>
        <v>186154</v>
      </c>
    </row>
    <row r="4440" spans="7:14" ht="11.25" customHeight="1" x14ac:dyDescent="0.3">
      <c r="G4440" s="470"/>
      <c r="H4440" s="470">
        <v>4433</v>
      </c>
      <c r="I4440" s="455">
        <f t="shared" ca="1" si="188"/>
        <v>40402759098058.844</v>
      </c>
      <c r="J4440" s="455">
        <f t="array" ref="J4440">IFERROR(INDEX('Retirement Calculator'!J:J,MATCH('Isaac 401k'!N4440,'Retirement Calculator'!A:A,0),0),0)</f>
        <v>0</v>
      </c>
      <c r="K4440" s="455">
        <f t="shared" ca="1" si="186"/>
        <v>168344829575.24518</v>
      </c>
      <c r="L4440" s="455">
        <f t="shared" ca="1" si="187"/>
        <v>40571103927634.086</v>
      </c>
      <c r="M4440" s="471">
        <f t="shared" si="189"/>
        <v>0.05</v>
      </c>
      <c r="N4440" s="475">
        <f t="shared" si="190"/>
        <v>186184</v>
      </c>
    </row>
    <row r="4441" spans="7:14" ht="11.25" customHeight="1" x14ac:dyDescent="0.3">
      <c r="G4441" s="470"/>
      <c r="H4441" s="470">
        <v>4434</v>
      </c>
      <c r="I4441" s="455">
        <f t="shared" ca="1" si="188"/>
        <v>40571103927634.086</v>
      </c>
      <c r="J4441" s="455">
        <f t="array" ref="J4441">IFERROR(INDEX('Retirement Calculator'!J:J,MATCH('Isaac 401k'!N4441,'Retirement Calculator'!A:A,0),0),0)</f>
        <v>0</v>
      </c>
      <c r="K4441" s="455">
        <f t="shared" ca="1" si="186"/>
        <v>169046266365.14203</v>
      </c>
      <c r="L4441" s="455">
        <f t="shared" ca="1" si="187"/>
        <v>40740150193999.227</v>
      </c>
      <c r="M4441" s="471">
        <f t="shared" si="189"/>
        <v>0.05</v>
      </c>
      <c r="N4441" s="475">
        <f t="shared" si="190"/>
        <v>186215</v>
      </c>
    </row>
    <row r="4442" spans="7:14" ht="11.25" customHeight="1" x14ac:dyDescent="0.3">
      <c r="G4442" s="470"/>
      <c r="H4442" s="470">
        <v>4435</v>
      </c>
      <c r="I4442" s="455">
        <f t="shared" ca="1" si="188"/>
        <v>40740150193999.227</v>
      </c>
      <c r="J4442" s="455">
        <f t="array" ref="J4442">IFERROR(INDEX('Retirement Calculator'!J:J,MATCH('Isaac 401k'!N4442,'Retirement Calculator'!A:A,0),0),0)</f>
        <v>0</v>
      </c>
      <c r="K4442" s="455">
        <f t="shared" ca="1" si="186"/>
        <v>169750625808.33011</v>
      </c>
      <c r="L4442" s="455">
        <f t="shared" ca="1" si="187"/>
        <v>40909900819807.555</v>
      </c>
      <c r="M4442" s="471">
        <f t="shared" si="189"/>
        <v>0.05</v>
      </c>
      <c r="N4442" s="475">
        <f t="shared" si="190"/>
        <v>186245</v>
      </c>
    </row>
    <row r="4443" spans="7:14" ht="11.25" customHeight="1" x14ac:dyDescent="0.3">
      <c r="G4443" s="470"/>
      <c r="H4443" s="470">
        <v>4436</v>
      </c>
      <c r="I4443" s="455">
        <f t="shared" ca="1" si="188"/>
        <v>40909900819807.555</v>
      </c>
      <c r="J4443" s="455">
        <f t="array" ref="J4443">IFERROR(INDEX('Retirement Calculator'!J:J,MATCH('Isaac 401k'!N4443,'Retirement Calculator'!A:A,0),0),0)</f>
        <v>0</v>
      </c>
      <c r="K4443" s="455">
        <f t="shared" ca="1" si="186"/>
        <v>170457920082.53146</v>
      </c>
      <c r="L4443" s="455">
        <f t="shared" ca="1" si="187"/>
        <v>41080358739890.086</v>
      </c>
      <c r="M4443" s="471">
        <f t="shared" si="189"/>
        <v>0.05</v>
      </c>
      <c r="N4443" s="475">
        <f t="shared" si="190"/>
        <v>186276</v>
      </c>
    </row>
    <row r="4444" spans="7:14" ht="11.25" customHeight="1" x14ac:dyDescent="0.3">
      <c r="G4444" s="470"/>
      <c r="H4444" s="470">
        <v>4437</v>
      </c>
      <c r="I4444" s="455">
        <f t="shared" ca="1" si="188"/>
        <v>41080358739890.086</v>
      </c>
      <c r="J4444" s="455">
        <f t="array" ref="J4444">IFERROR(INDEX('Retirement Calculator'!J:J,MATCH('Isaac 401k'!N4444,'Retirement Calculator'!A:A,0),0),0)</f>
        <v>0</v>
      </c>
      <c r="K4444" s="455">
        <f t="shared" ca="1" si="186"/>
        <v>171168161416.20868</v>
      </c>
      <c r="L4444" s="455">
        <f t="shared" ca="1" si="187"/>
        <v>41251526901306.297</v>
      </c>
      <c r="M4444" s="471">
        <f t="shared" si="189"/>
        <v>0.05</v>
      </c>
      <c r="N4444" s="475">
        <f t="shared" si="190"/>
        <v>186307</v>
      </c>
    </row>
    <row r="4445" spans="7:14" ht="11.25" customHeight="1" x14ac:dyDescent="0.3">
      <c r="G4445" s="470"/>
      <c r="H4445" s="470">
        <v>4438</v>
      </c>
      <c r="I4445" s="455">
        <f t="shared" ca="1" si="188"/>
        <v>41251526901306.297</v>
      </c>
      <c r="J4445" s="455">
        <f t="array" ref="J4445">IFERROR(INDEX('Retirement Calculator'!J:J,MATCH('Isaac 401k'!N4445,'Retirement Calculator'!A:A,0),0),0)</f>
        <v>0</v>
      </c>
      <c r="K4445" s="455">
        <f t="shared" ca="1" si="186"/>
        <v>171881362088.77625</v>
      </c>
      <c r="L4445" s="455">
        <f t="shared" ca="1" si="187"/>
        <v>41423408263395.07</v>
      </c>
      <c r="M4445" s="471">
        <f t="shared" si="189"/>
        <v>0.05</v>
      </c>
      <c r="N4445" s="475">
        <f t="shared" si="190"/>
        <v>186335</v>
      </c>
    </row>
    <row r="4446" spans="7:14" ht="11.25" customHeight="1" x14ac:dyDescent="0.3">
      <c r="G4446" s="470"/>
      <c r="H4446" s="470">
        <v>4439</v>
      </c>
      <c r="I4446" s="455">
        <f t="shared" ca="1" si="188"/>
        <v>41423408263395.07</v>
      </c>
      <c r="J4446" s="455">
        <f t="array" ref="J4446">IFERROR(INDEX('Retirement Calculator'!J:J,MATCH('Isaac 401k'!N4446,'Retirement Calculator'!A:A,0),0),0)</f>
        <v>0</v>
      </c>
      <c r="K4446" s="455">
        <f t="shared" ca="1" si="186"/>
        <v>172597534430.81281</v>
      </c>
      <c r="L4446" s="455">
        <f t="shared" ca="1" si="187"/>
        <v>41596005797825.883</v>
      </c>
      <c r="M4446" s="471">
        <f t="shared" si="189"/>
        <v>0.05</v>
      </c>
      <c r="N4446" s="475">
        <f t="shared" si="190"/>
        <v>186366</v>
      </c>
    </row>
    <row r="4447" spans="7:14" ht="11.25" customHeight="1" x14ac:dyDescent="0.3">
      <c r="G4447" s="470"/>
      <c r="H4447" s="470">
        <v>4440</v>
      </c>
      <c r="I4447" s="455">
        <f t="shared" ca="1" si="188"/>
        <v>41596005797825.883</v>
      </c>
      <c r="J4447" s="455">
        <f t="array" ref="J4447">IFERROR(INDEX('Retirement Calculator'!J:J,MATCH('Isaac 401k'!N4447,'Retirement Calculator'!A:A,0),0),0)</f>
        <v>0</v>
      </c>
      <c r="K4447" s="455">
        <f t="shared" ca="1" si="186"/>
        <v>173316690824.27451</v>
      </c>
      <c r="L4447" s="455">
        <f t="shared" ca="1" si="187"/>
        <v>41769322488650.156</v>
      </c>
      <c r="M4447" s="471">
        <f t="shared" si="189"/>
        <v>0.05</v>
      </c>
      <c r="N4447" s="475">
        <f t="shared" si="190"/>
        <v>186396</v>
      </c>
    </row>
    <row r="4448" spans="7:14" ht="11.25" customHeight="1" x14ac:dyDescent="0.3">
      <c r="G4448" s="470"/>
      <c r="H4448" s="470">
        <v>4441</v>
      </c>
      <c r="I4448" s="455">
        <f t="shared" ca="1" si="188"/>
        <v>41769322488650.156</v>
      </c>
      <c r="J4448" s="455">
        <f t="array" ref="J4448">IFERROR(INDEX('Retirement Calculator'!J:J,MATCH('Isaac 401k'!N4448,'Retirement Calculator'!A:A,0),0),0)</f>
        <v>0</v>
      </c>
      <c r="K4448" s="455">
        <f t="shared" ca="1" si="186"/>
        <v>174038843702.70898</v>
      </c>
      <c r="L4448" s="455">
        <f t="shared" ca="1" si="187"/>
        <v>41943361332352.867</v>
      </c>
      <c r="M4448" s="471">
        <f t="shared" si="189"/>
        <v>0.05</v>
      </c>
      <c r="N4448" s="475">
        <f t="shared" si="190"/>
        <v>186427</v>
      </c>
    </row>
    <row r="4449" spans="7:14" ht="11.25" customHeight="1" x14ac:dyDescent="0.3">
      <c r="G4449" s="470"/>
      <c r="H4449" s="470">
        <v>4442</v>
      </c>
      <c r="I4449" s="455">
        <f t="shared" ca="1" si="188"/>
        <v>41943361332352.867</v>
      </c>
      <c r="J4449" s="455">
        <f t="array" ref="J4449">IFERROR(INDEX('Retirement Calculator'!J:J,MATCH('Isaac 401k'!N4449,'Retirement Calculator'!A:A,0),0),0)</f>
        <v>0</v>
      </c>
      <c r="K4449" s="455">
        <f t="shared" ca="1" si="186"/>
        <v>174764005551.47028</v>
      </c>
      <c r="L4449" s="455">
        <f t="shared" ca="1" si="187"/>
        <v>42118125337904.336</v>
      </c>
      <c r="M4449" s="471">
        <f t="shared" si="189"/>
        <v>0.05</v>
      </c>
      <c r="N4449" s="475">
        <f t="shared" si="190"/>
        <v>186457</v>
      </c>
    </row>
    <row r="4450" spans="7:14" ht="11.25" customHeight="1" x14ac:dyDescent="0.3">
      <c r="G4450" s="470"/>
      <c r="H4450" s="470">
        <v>4443</v>
      </c>
      <c r="I4450" s="455">
        <f t="shared" ca="1" si="188"/>
        <v>42118125337904.336</v>
      </c>
      <c r="J4450" s="455">
        <f t="array" ref="J4450">IFERROR(INDEX('Retirement Calculator'!J:J,MATCH('Isaac 401k'!N4450,'Retirement Calculator'!A:A,0),0),0)</f>
        <v>0</v>
      </c>
      <c r="K4450" s="455">
        <f t="shared" ca="1" si="186"/>
        <v>175492188907.93472</v>
      </c>
      <c r="L4450" s="455">
        <f t="shared" ca="1" si="187"/>
        <v>42293617526812.273</v>
      </c>
      <c r="M4450" s="471">
        <f t="shared" si="189"/>
        <v>0.05</v>
      </c>
      <c r="N4450" s="475">
        <f t="shared" si="190"/>
        <v>186488</v>
      </c>
    </row>
    <row r="4451" spans="7:14" ht="11.25" customHeight="1" x14ac:dyDescent="0.3">
      <c r="G4451" s="470"/>
      <c r="H4451" s="470">
        <v>4444</v>
      </c>
      <c r="I4451" s="455">
        <f t="shared" ca="1" si="188"/>
        <v>42293617526812.273</v>
      </c>
      <c r="J4451" s="455">
        <f t="array" ref="J4451">IFERROR(INDEX('Retirement Calculator'!J:J,MATCH('Isaac 401k'!N4451,'Retirement Calculator'!A:A,0),0),0)</f>
        <v>0</v>
      </c>
      <c r="K4451" s="455">
        <f t="shared" ca="1" si="186"/>
        <v>176223406361.7178</v>
      </c>
      <c r="L4451" s="455">
        <f t="shared" ca="1" si="187"/>
        <v>42469840933173.992</v>
      </c>
      <c r="M4451" s="471">
        <f t="shared" si="189"/>
        <v>0.05</v>
      </c>
      <c r="N4451" s="475">
        <f t="shared" si="190"/>
        <v>186519</v>
      </c>
    </row>
    <row r="4452" spans="7:14" ht="11.25" customHeight="1" x14ac:dyDescent="0.3">
      <c r="G4452" s="470"/>
      <c r="H4452" s="470">
        <v>4445</v>
      </c>
      <c r="I4452" s="455">
        <f t="shared" ca="1" si="188"/>
        <v>42469840933173.992</v>
      </c>
      <c r="J4452" s="455">
        <f t="array" ref="J4452">IFERROR(INDEX('Retirement Calculator'!J:J,MATCH('Isaac 401k'!N4452,'Retirement Calculator'!A:A,0),0),0)</f>
        <v>0</v>
      </c>
      <c r="K4452" s="455">
        <f t="shared" ca="1" si="186"/>
        <v>176957670554.89163</v>
      </c>
      <c r="L4452" s="455">
        <f t="shared" ca="1" si="187"/>
        <v>42646798603728.883</v>
      </c>
      <c r="M4452" s="471">
        <f t="shared" si="189"/>
        <v>0.05</v>
      </c>
      <c r="N4452" s="475">
        <f t="shared" si="190"/>
        <v>186549</v>
      </c>
    </row>
    <row r="4453" spans="7:14" ht="11.25" customHeight="1" x14ac:dyDescent="0.3">
      <c r="G4453" s="470"/>
      <c r="H4453" s="470">
        <v>4446</v>
      </c>
      <c r="I4453" s="455">
        <f t="shared" ca="1" si="188"/>
        <v>42646798603728.883</v>
      </c>
      <c r="J4453" s="455">
        <f t="array" ref="J4453">IFERROR(INDEX('Retirement Calculator'!J:J,MATCH('Isaac 401k'!N4453,'Retirement Calculator'!A:A,0),0),0)</f>
        <v>0</v>
      </c>
      <c r="K4453" s="455">
        <f t="shared" ca="1" si="186"/>
        <v>177694994182.20367</v>
      </c>
      <c r="L4453" s="455">
        <f t="shared" ca="1" si="187"/>
        <v>42824493597911.086</v>
      </c>
      <c r="M4453" s="471">
        <f t="shared" si="189"/>
        <v>0.05</v>
      </c>
      <c r="N4453" s="475">
        <f t="shared" si="190"/>
        <v>186580</v>
      </c>
    </row>
    <row r="4454" spans="7:14" ht="11.25" customHeight="1" x14ac:dyDescent="0.3">
      <c r="G4454" s="470"/>
      <c r="H4454" s="470">
        <v>4447</v>
      </c>
      <c r="I4454" s="455">
        <f t="shared" ca="1" si="188"/>
        <v>42824493597911.086</v>
      </c>
      <c r="J4454" s="455">
        <f t="array" ref="J4454">IFERROR(INDEX('Retirement Calculator'!J:J,MATCH('Isaac 401k'!N4454,'Retirement Calculator'!A:A,0),0),0)</f>
        <v>0</v>
      </c>
      <c r="K4454" s="455">
        <f t="shared" ca="1" si="186"/>
        <v>178435389991.2962</v>
      </c>
      <c r="L4454" s="455">
        <f t="shared" ca="1" si="187"/>
        <v>43002928987902.383</v>
      </c>
      <c r="M4454" s="471">
        <f t="shared" si="189"/>
        <v>0.05</v>
      </c>
      <c r="N4454" s="475">
        <f t="shared" si="190"/>
        <v>186610</v>
      </c>
    </row>
    <row r="4455" spans="7:14" ht="11.25" customHeight="1" x14ac:dyDescent="0.3">
      <c r="G4455" s="470"/>
      <c r="H4455" s="470">
        <v>4448</v>
      </c>
      <c r="I4455" s="455">
        <f t="shared" ca="1" si="188"/>
        <v>43002928987902.383</v>
      </c>
      <c r="J4455" s="455">
        <f t="array" ref="J4455">IFERROR(INDEX('Retirement Calculator'!J:J,MATCH('Isaac 401k'!N4455,'Retirement Calculator'!A:A,0),0),0)</f>
        <v>0</v>
      </c>
      <c r="K4455" s="455">
        <f t="shared" ca="1" si="186"/>
        <v>179178870782.92661</v>
      </c>
      <c r="L4455" s="455">
        <f t="shared" ca="1" si="187"/>
        <v>43182107858685.313</v>
      </c>
      <c r="M4455" s="471">
        <f t="shared" si="189"/>
        <v>0.05</v>
      </c>
      <c r="N4455" s="475">
        <f t="shared" si="190"/>
        <v>186641</v>
      </c>
    </row>
    <row r="4456" spans="7:14" ht="11.25" customHeight="1" x14ac:dyDescent="0.3">
      <c r="G4456" s="470"/>
      <c r="H4456" s="470">
        <v>4449</v>
      </c>
      <c r="I4456" s="455">
        <f t="shared" ca="1" si="188"/>
        <v>43182107858685.313</v>
      </c>
      <c r="J4456" s="455">
        <f t="array" ref="J4456">IFERROR(INDEX('Retirement Calculator'!J:J,MATCH('Isaac 401k'!N4456,'Retirement Calculator'!A:A,0),0),0)</f>
        <v>0</v>
      </c>
      <c r="K4456" s="455">
        <f t="shared" ca="1" si="186"/>
        <v>179925449411.18881</v>
      </c>
      <c r="L4456" s="455">
        <f t="shared" ca="1" si="187"/>
        <v>43362033308096.5</v>
      </c>
      <c r="M4456" s="471">
        <f t="shared" si="189"/>
        <v>0.05</v>
      </c>
      <c r="N4456" s="475">
        <f t="shared" si="190"/>
        <v>186672</v>
      </c>
    </row>
    <row r="4457" spans="7:14" ht="11.25" customHeight="1" x14ac:dyDescent="0.3">
      <c r="G4457" s="470"/>
      <c r="H4457" s="470">
        <v>4450</v>
      </c>
      <c r="I4457" s="455">
        <f t="shared" ca="1" si="188"/>
        <v>43362033308096.5</v>
      </c>
      <c r="J4457" s="455">
        <f t="array" ref="J4457">IFERROR(INDEX('Retirement Calculator'!J:J,MATCH('Isaac 401k'!N4457,'Retirement Calculator'!A:A,0),0),0)</f>
        <v>0</v>
      </c>
      <c r="K4457" s="455">
        <f t="shared" ca="1" si="186"/>
        <v>180675138783.73541</v>
      </c>
      <c r="L4457" s="455">
        <f t="shared" ca="1" si="187"/>
        <v>43542708446880.234</v>
      </c>
      <c r="M4457" s="471">
        <f t="shared" si="189"/>
        <v>0.05</v>
      </c>
      <c r="N4457" s="475">
        <f t="shared" si="190"/>
        <v>186700</v>
      </c>
    </row>
    <row r="4458" spans="7:14" ht="11.25" customHeight="1" x14ac:dyDescent="0.3">
      <c r="G4458" s="470"/>
      <c r="H4458" s="470">
        <v>4451</v>
      </c>
      <c r="I4458" s="455">
        <f t="shared" ca="1" si="188"/>
        <v>43542708446880.234</v>
      </c>
      <c r="J4458" s="455">
        <f t="array" ref="J4458">IFERROR(INDEX('Retirement Calculator'!J:J,MATCH('Isaac 401k'!N4458,'Retirement Calculator'!A:A,0),0),0)</f>
        <v>0</v>
      </c>
      <c r="K4458" s="455">
        <f t="shared" ca="1" si="186"/>
        <v>181427951862.00098</v>
      </c>
      <c r="L4458" s="455">
        <f t="shared" ca="1" si="187"/>
        <v>43724136398742.234</v>
      </c>
      <c r="M4458" s="471">
        <f t="shared" si="189"/>
        <v>0.05</v>
      </c>
      <c r="N4458" s="475">
        <f t="shared" si="190"/>
        <v>186731</v>
      </c>
    </row>
    <row r="4459" spans="7:14" ht="11.25" customHeight="1" x14ac:dyDescent="0.3">
      <c r="G4459" s="470"/>
      <c r="H4459" s="470">
        <v>4452</v>
      </c>
      <c r="I4459" s="455">
        <f t="shared" ca="1" si="188"/>
        <v>43724136398742.234</v>
      </c>
      <c r="J4459" s="455">
        <f t="array" ref="J4459">IFERROR(INDEX('Retirement Calculator'!J:J,MATCH('Isaac 401k'!N4459,'Retirement Calculator'!A:A,0),0),0)</f>
        <v>0</v>
      </c>
      <c r="K4459" s="455">
        <f t="shared" ca="1" si="186"/>
        <v>182183901661.42596</v>
      </c>
      <c r="L4459" s="455">
        <f t="shared" ca="1" si="187"/>
        <v>43906320300403.664</v>
      </c>
      <c r="M4459" s="471">
        <f t="shared" si="189"/>
        <v>0.05</v>
      </c>
      <c r="N4459" s="475">
        <f t="shared" si="190"/>
        <v>186761</v>
      </c>
    </row>
    <row r="4460" spans="7:14" ht="11.25" customHeight="1" x14ac:dyDescent="0.3">
      <c r="G4460" s="470"/>
      <c r="H4460" s="470">
        <v>4453</v>
      </c>
      <c r="I4460" s="455">
        <f t="shared" ca="1" si="188"/>
        <v>43906320300403.664</v>
      </c>
      <c r="J4460" s="455">
        <f t="array" ref="J4460">IFERROR(INDEX('Retirement Calculator'!J:J,MATCH('Isaac 401k'!N4460,'Retirement Calculator'!A:A,0),0),0)</f>
        <v>0</v>
      </c>
      <c r="K4460" s="455">
        <f t="shared" ca="1" si="186"/>
        <v>182943001251.68195</v>
      </c>
      <c r="L4460" s="455">
        <f t="shared" ca="1" si="187"/>
        <v>44089263301655.344</v>
      </c>
      <c r="M4460" s="471">
        <f t="shared" si="189"/>
        <v>0.05</v>
      </c>
      <c r="N4460" s="475">
        <f t="shared" si="190"/>
        <v>186792</v>
      </c>
    </row>
    <row r="4461" spans="7:14" ht="11.25" customHeight="1" x14ac:dyDescent="0.3">
      <c r="G4461" s="470"/>
      <c r="H4461" s="470">
        <v>4454</v>
      </c>
      <c r="I4461" s="455">
        <f t="shared" ca="1" si="188"/>
        <v>44089263301655.344</v>
      </c>
      <c r="J4461" s="455">
        <f t="array" ref="J4461">IFERROR(INDEX('Retirement Calculator'!J:J,MATCH('Isaac 401k'!N4461,'Retirement Calculator'!A:A,0),0),0)</f>
        <v>0</v>
      </c>
      <c r="K4461" s="455">
        <f t="shared" ca="1" si="186"/>
        <v>183705263756.89728</v>
      </c>
      <c r="L4461" s="455">
        <f t="shared" ca="1" si="187"/>
        <v>44272968565412.242</v>
      </c>
      <c r="M4461" s="471">
        <f t="shared" si="189"/>
        <v>0.05</v>
      </c>
      <c r="N4461" s="475">
        <f t="shared" si="190"/>
        <v>186822</v>
      </c>
    </row>
    <row r="4462" spans="7:14" ht="11.25" customHeight="1" x14ac:dyDescent="0.3">
      <c r="G4462" s="470"/>
      <c r="H4462" s="470">
        <v>4455</v>
      </c>
      <c r="I4462" s="455">
        <f t="shared" ca="1" si="188"/>
        <v>44272968565412.242</v>
      </c>
      <c r="J4462" s="455">
        <f t="array" ref="J4462">IFERROR(INDEX('Retirement Calculator'!J:J,MATCH('Isaac 401k'!N4462,'Retirement Calculator'!A:A,0),0),0)</f>
        <v>0</v>
      </c>
      <c r="K4462" s="455">
        <f t="shared" ca="1" si="186"/>
        <v>184470702355.88434</v>
      </c>
      <c r="L4462" s="455">
        <f t="shared" ca="1" si="187"/>
        <v>44457439267768.125</v>
      </c>
      <c r="M4462" s="471">
        <f t="shared" si="189"/>
        <v>0.05</v>
      </c>
      <c r="N4462" s="475">
        <f t="shared" si="190"/>
        <v>186853</v>
      </c>
    </row>
    <row r="4463" spans="7:14" ht="11.25" customHeight="1" x14ac:dyDescent="0.3">
      <c r="G4463" s="470"/>
      <c r="H4463" s="470">
        <v>4456</v>
      </c>
      <c r="I4463" s="455">
        <f t="shared" ca="1" si="188"/>
        <v>44457439267768.125</v>
      </c>
      <c r="J4463" s="455">
        <f t="array" ref="J4463">IFERROR(INDEX('Retirement Calculator'!J:J,MATCH('Isaac 401k'!N4463,'Retirement Calculator'!A:A,0),0),0)</f>
        <v>0</v>
      </c>
      <c r="K4463" s="455">
        <f t="shared" ca="1" si="186"/>
        <v>185239330282.36719</v>
      </c>
      <c r="L4463" s="455">
        <f t="shared" ca="1" si="187"/>
        <v>44642678598050.492</v>
      </c>
      <c r="M4463" s="471">
        <f t="shared" si="189"/>
        <v>0.05</v>
      </c>
      <c r="N4463" s="475">
        <f t="shared" si="190"/>
        <v>186884</v>
      </c>
    </row>
    <row r="4464" spans="7:14" ht="11.25" customHeight="1" x14ac:dyDescent="0.3">
      <c r="G4464" s="470"/>
      <c r="H4464" s="470">
        <v>4457</v>
      </c>
      <c r="I4464" s="455">
        <f t="shared" ca="1" si="188"/>
        <v>44642678598050.492</v>
      </c>
      <c r="J4464" s="455">
        <f t="array" ref="J4464">IFERROR(INDEX('Retirement Calculator'!J:J,MATCH('Isaac 401k'!N4464,'Retirement Calculator'!A:A,0),0),0)</f>
        <v>0</v>
      </c>
      <c r="K4464" s="455">
        <f t="shared" ca="1" si="186"/>
        <v>186011160825.21039</v>
      </c>
      <c r="L4464" s="455">
        <f t="shared" ca="1" si="187"/>
        <v>44828689758875.703</v>
      </c>
      <c r="M4464" s="471">
        <f t="shared" si="189"/>
        <v>0.05</v>
      </c>
      <c r="N4464" s="475">
        <f t="shared" si="190"/>
        <v>186914</v>
      </c>
    </row>
    <row r="4465" spans="7:14" ht="11.25" customHeight="1" x14ac:dyDescent="0.3">
      <c r="G4465" s="470"/>
      <c r="H4465" s="470">
        <v>4458</v>
      </c>
      <c r="I4465" s="455">
        <f t="shared" ca="1" si="188"/>
        <v>44828689758875.703</v>
      </c>
      <c r="J4465" s="455">
        <f t="array" ref="J4465">IFERROR(INDEX('Retirement Calculator'!J:J,MATCH('Isaac 401k'!N4465,'Retirement Calculator'!A:A,0),0),0)</f>
        <v>0</v>
      </c>
      <c r="K4465" s="455">
        <f t="shared" ca="1" si="186"/>
        <v>186786207328.64877</v>
      </c>
      <c r="L4465" s="455">
        <f t="shared" ca="1" si="187"/>
        <v>45015475966204.352</v>
      </c>
      <c r="M4465" s="471">
        <f t="shared" si="189"/>
        <v>0.05</v>
      </c>
      <c r="N4465" s="475">
        <f t="shared" si="190"/>
        <v>186945</v>
      </c>
    </row>
    <row r="4466" spans="7:14" ht="11.25" customHeight="1" x14ac:dyDescent="0.3">
      <c r="G4466" s="470"/>
      <c r="H4466" s="470">
        <v>4459</v>
      </c>
      <c r="I4466" s="455">
        <f t="shared" ca="1" si="188"/>
        <v>45015475966204.352</v>
      </c>
      <c r="J4466" s="455">
        <f t="array" ref="J4466">IFERROR(INDEX('Retirement Calculator'!J:J,MATCH('Isaac 401k'!N4466,'Retirement Calculator'!A:A,0),0),0)</f>
        <v>0</v>
      </c>
      <c r="K4466" s="455">
        <f t="shared" ca="1" si="186"/>
        <v>187564483192.51813</v>
      </c>
      <c r="L4466" s="455">
        <f t="shared" ca="1" si="187"/>
        <v>45203040449396.867</v>
      </c>
      <c r="M4466" s="471">
        <f t="shared" si="189"/>
        <v>0.05</v>
      </c>
      <c r="N4466" s="475">
        <f t="shared" si="190"/>
        <v>186975</v>
      </c>
    </row>
    <row r="4467" spans="7:14" ht="11.25" customHeight="1" x14ac:dyDescent="0.3">
      <c r="G4467" s="470"/>
      <c r="H4467" s="470">
        <v>4460</v>
      </c>
      <c r="I4467" s="455">
        <f t="shared" ca="1" si="188"/>
        <v>45203040449396.867</v>
      </c>
      <c r="J4467" s="455">
        <f t="array" ref="J4467">IFERROR(INDEX('Retirement Calculator'!J:J,MATCH('Isaac 401k'!N4467,'Retirement Calculator'!A:A,0),0),0)</f>
        <v>0</v>
      </c>
      <c r="K4467" s="455">
        <f t="shared" ca="1" si="186"/>
        <v>188346001872.48694</v>
      </c>
      <c r="L4467" s="455">
        <f t="shared" ca="1" si="187"/>
        <v>45391386451269.352</v>
      </c>
      <c r="M4467" s="471">
        <f t="shared" si="189"/>
        <v>0.05</v>
      </c>
      <c r="N4467" s="475">
        <f t="shared" si="190"/>
        <v>187006</v>
      </c>
    </row>
    <row r="4468" spans="7:14" ht="11.25" customHeight="1" x14ac:dyDescent="0.3">
      <c r="G4468" s="470"/>
      <c r="H4468" s="470">
        <v>4461</v>
      </c>
      <c r="I4468" s="455">
        <f t="shared" ca="1" si="188"/>
        <v>45391386451269.352</v>
      </c>
      <c r="J4468" s="455">
        <f t="array" ref="J4468">IFERROR(INDEX('Retirement Calculator'!J:J,MATCH('Isaac 401k'!N4468,'Retirement Calculator'!A:A,0),0),0)</f>
        <v>0</v>
      </c>
      <c r="K4468" s="455">
        <f t="shared" ca="1" si="186"/>
        <v>189130776880.28897</v>
      </c>
      <c r="L4468" s="455">
        <f t="shared" ca="1" si="187"/>
        <v>45580517228149.641</v>
      </c>
      <c r="M4468" s="471">
        <f t="shared" si="189"/>
        <v>0.05</v>
      </c>
      <c r="N4468" s="475">
        <f t="shared" si="190"/>
        <v>187037</v>
      </c>
    </row>
    <row r="4469" spans="7:14" ht="11.25" customHeight="1" x14ac:dyDescent="0.3">
      <c r="G4469" s="470"/>
      <c r="H4469" s="470">
        <v>4462</v>
      </c>
      <c r="I4469" s="455">
        <f t="shared" ca="1" si="188"/>
        <v>45580517228149.641</v>
      </c>
      <c r="J4469" s="455">
        <f t="array" ref="J4469">IFERROR(INDEX('Retirement Calculator'!J:J,MATCH('Isaac 401k'!N4469,'Retirement Calculator'!A:A,0),0),0)</f>
        <v>0</v>
      </c>
      <c r="K4469" s="455">
        <f t="shared" ca="1" si="186"/>
        <v>189918821783.95685</v>
      </c>
      <c r="L4469" s="455">
        <f t="shared" ca="1" si="187"/>
        <v>45770436049933.594</v>
      </c>
      <c r="M4469" s="471">
        <f t="shared" si="189"/>
        <v>0.05</v>
      </c>
      <c r="N4469" s="475">
        <f t="shared" si="190"/>
        <v>187066</v>
      </c>
    </row>
    <row r="4470" spans="7:14" ht="11.25" customHeight="1" x14ac:dyDescent="0.3">
      <c r="G4470" s="470"/>
      <c r="H4470" s="470">
        <v>4463</v>
      </c>
      <c r="I4470" s="455">
        <f t="shared" ca="1" si="188"/>
        <v>45770436049933.594</v>
      </c>
      <c r="J4470" s="455">
        <f t="array" ref="J4470">IFERROR(INDEX('Retirement Calculator'!J:J,MATCH('Isaac 401k'!N4470,'Retirement Calculator'!A:A,0),0),0)</f>
        <v>0</v>
      </c>
      <c r="K4470" s="455">
        <f t="shared" ca="1" si="186"/>
        <v>190710150208.05664</v>
      </c>
      <c r="L4470" s="455">
        <f t="shared" ca="1" si="187"/>
        <v>45961146200141.648</v>
      </c>
      <c r="M4470" s="471">
        <f t="shared" si="189"/>
        <v>0.05</v>
      </c>
      <c r="N4470" s="475">
        <f t="shared" si="190"/>
        <v>187097</v>
      </c>
    </row>
    <row r="4471" spans="7:14" ht="11.25" customHeight="1" x14ac:dyDescent="0.3">
      <c r="G4471" s="470"/>
      <c r="H4471" s="470">
        <v>4464</v>
      </c>
      <c r="I4471" s="455">
        <f t="shared" ca="1" si="188"/>
        <v>45961146200141.648</v>
      </c>
      <c r="J4471" s="455">
        <f t="array" ref="J4471">IFERROR(INDEX('Retirement Calculator'!J:J,MATCH('Isaac 401k'!N4471,'Retirement Calculator'!A:A,0),0),0)</f>
        <v>0</v>
      </c>
      <c r="K4471" s="455">
        <f t="shared" ca="1" si="186"/>
        <v>191504775833.92352</v>
      </c>
      <c r="L4471" s="455">
        <f t="shared" ca="1" si="187"/>
        <v>46152650975975.57</v>
      </c>
      <c r="M4471" s="471">
        <f t="shared" si="189"/>
        <v>0.05</v>
      </c>
      <c r="N4471" s="475">
        <f t="shared" si="190"/>
        <v>187127</v>
      </c>
    </row>
    <row r="4472" spans="7:14" ht="11.25" customHeight="1" x14ac:dyDescent="0.3">
      <c r="G4472" s="470"/>
      <c r="H4472" s="470">
        <v>4465</v>
      </c>
      <c r="I4472" s="455">
        <f t="shared" ca="1" si="188"/>
        <v>46152650975975.57</v>
      </c>
      <c r="J4472" s="455">
        <f t="array" ref="J4472">IFERROR(INDEX('Retirement Calculator'!J:J,MATCH('Isaac 401k'!N4472,'Retirement Calculator'!A:A,0),0),0)</f>
        <v>0</v>
      </c>
      <c r="K4472" s="455">
        <f t="shared" ca="1" si="186"/>
        <v>192302712399.89819</v>
      </c>
      <c r="L4472" s="455">
        <f t="shared" ca="1" si="187"/>
        <v>46344953688375.469</v>
      </c>
      <c r="M4472" s="471">
        <f t="shared" si="189"/>
        <v>0.05</v>
      </c>
      <c r="N4472" s="475">
        <f t="shared" si="190"/>
        <v>187158</v>
      </c>
    </row>
    <row r="4473" spans="7:14" ht="11.25" customHeight="1" x14ac:dyDescent="0.3">
      <c r="G4473" s="470"/>
      <c r="H4473" s="470">
        <v>4466</v>
      </c>
      <c r="I4473" s="455">
        <f t="shared" ca="1" si="188"/>
        <v>46344953688375.469</v>
      </c>
      <c r="J4473" s="455">
        <f t="array" ref="J4473">IFERROR(INDEX('Retirement Calculator'!J:J,MATCH('Isaac 401k'!N4473,'Retirement Calculator'!A:A,0),0),0)</f>
        <v>0</v>
      </c>
      <c r="K4473" s="455">
        <f t="shared" ca="1" si="186"/>
        <v>193103973701.56445</v>
      </c>
      <c r="L4473" s="455">
        <f t="shared" ca="1" si="187"/>
        <v>46538057662077.031</v>
      </c>
      <c r="M4473" s="471">
        <f t="shared" si="189"/>
        <v>0.05</v>
      </c>
      <c r="N4473" s="475">
        <f t="shared" si="190"/>
        <v>187188</v>
      </c>
    </row>
    <row r="4474" spans="7:14" ht="11.25" customHeight="1" x14ac:dyDescent="0.3">
      <c r="G4474" s="470"/>
      <c r="H4474" s="470">
        <v>4467</v>
      </c>
      <c r="I4474" s="455">
        <f t="shared" ca="1" si="188"/>
        <v>46538057662077.031</v>
      </c>
      <c r="J4474" s="455">
        <f t="array" ref="J4474">IFERROR(INDEX('Retirement Calculator'!J:J,MATCH('Isaac 401k'!N4474,'Retirement Calculator'!A:A,0),0),0)</f>
        <v>0</v>
      </c>
      <c r="K4474" s="455">
        <f t="shared" ca="1" si="186"/>
        <v>193908573591.98764</v>
      </c>
      <c r="L4474" s="455">
        <f t="shared" ca="1" si="187"/>
        <v>46731966235669.016</v>
      </c>
      <c r="M4474" s="471">
        <f t="shared" si="189"/>
        <v>0.05</v>
      </c>
      <c r="N4474" s="475">
        <f t="shared" si="190"/>
        <v>187219</v>
      </c>
    </row>
    <row r="4475" spans="7:14" ht="11.25" customHeight="1" x14ac:dyDescent="0.3">
      <c r="G4475" s="470"/>
      <c r="H4475" s="470">
        <v>4468</v>
      </c>
      <c r="I4475" s="455">
        <f t="shared" ca="1" si="188"/>
        <v>46731966235669.016</v>
      </c>
      <c r="J4475" s="455">
        <f t="array" ref="J4475">IFERROR(INDEX('Retirement Calculator'!J:J,MATCH('Isaac 401k'!N4475,'Retirement Calculator'!A:A,0),0),0)</f>
        <v>0</v>
      </c>
      <c r="K4475" s="455">
        <f t="shared" ca="1" si="186"/>
        <v>194716525981.95422</v>
      </c>
      <c r="L4475" s="455">
        <f t="shared" ca="1" si="187"/>
        <v>46926682761650.969</v>
      </c>
      <c r="M4475" s="471">
        <f t="shared" si="189"/>
        <v>0.05</v>
      </c>
      <c r="N4475" s="475">
        <f t="shared" si="190"/>
        <v>187250</v>
      </c>
    </row>
    <row r="4476" spans="7:14" ht="11.25" customHeight="1" x14ac:dyDescent="0.3">
      <c r="G4476" s="470"/>
      <c r="H4476" s="470">
        <v>4469</v>
      </c>
      <c r="I4476" s="455">
        <f t="shared" ca="1" si="188"/>
        <v>46926682761650.969</v>
      </c>
      <c r="J4476" s="455">
        <f t="array" ref="J4476">IFERROR(INDEX('Retirement Calculator'!J:J,MATCH('Isaac 401k'!N4476,'Retirement Calculator'!A:A,0),0),0)</f>
        <v>0</v>
      </c>
      <c r="K4476" s="455">
        <f t="shared" ca="1" si="186"/>
        <v>195527844840.21237</v>
      </c>
      <c r="L4476" s="455">
        <f t="shared" ca="1" si="187"/>
        <v>47122210606491.18</v>
      </c>
      <c r="M4476" s="471">
        <f t="shared" si="189"/>
        <v>0.05</v>
      </c>
      <c r="N4476" s="475">
        <f t="shared" si="190"/>
        <v>187280</v>
      </c>
    </row>
    <row r="4477" spans="7:14" ht="11.25" customHeight="1" x14ac:dyDescent="0.3">
      <c r="G4477" s="470"/>
      <c r="H4477" s="470">
        <v>4470</v>
      </c>
      <c r="I4477" s="455">
        <f t="shared" ca="1" si="188"/>
        <v>47122210606491.18</v>
      </c>
      <c r="J4477" s="455">
        <f t="array" ref="J4477">IFERROR(INDEX('Retirement Calculator'!J:J,MATCH('Isaac 401k'!N4477,'Retirement Calculator'!A:A,0),0),0)</f>
        <v>0</v>
      </c>
      <c r="K4477" s="455">
        <f t="shared" ca="1" si="186"/>
        <v>196342544193.71326</v>
      </c>
      <c r="L4477" s="455">
        <f t="shared" ca="1" si="187"/>
        <v>47318553150684.891</v>
      </c>
      <c r="M4477" s="471">
        <f t="shared" si="189"/>
        <v>0.05</v>
      </c>
      <c r="N4477" s="475">
        <f t="shared" si="190"/>
        <v>187311</v>
      </c>
    </row>
    <row r="4478" spans="7:14" ht="11.25" customHeight="1" x14ac:dyDescent="0.3">
      <c r="G4478" s="470"/>
      <c r="H4478" s="470">
        <v>4471</v>
      </c>
      <c r="I4478" s="455">
        <f t="shared" ca="1" si="188"/>
        <v>47318553150684.891</v>
      </c>
      <c r="J4478" s="455">
        <f t="array" ref="J4478">IFERROR(INDEX('Retirement Calculator'!J:J,MATCH('Isaac 401k'!N4478,'Retirement Calculator'!A:A,0),0),0)</f>
        <v>0</v>
      </c>
      <c r="K4478" s="455">
        <f t="shared" ca="1" si="186"/>
        <v>197160638127.8537</v>
      </c>
      <c r="L4478" s="455">
        <f t="shared" ca="1" si="187"/>
        <v>47515713788812.742</v>
      </c>
      <c r="M4478" s="471">
        <f t="shared" si="189"/>
        <v>0.05</v>
      </c>
      <c r="N4478" s="475">
        <f t="shared" si="190"/>
        <v>187341</v>
      </c>
    </row>
    <row r="4479" spans="7:14" ht="11.25" customHeight="1" x14ac:dyDescent="0.3">
      <c r="G4479" s="470"/>
      <c r="H4479" s="470">
        <v>4472</v>
      </c>
      <c r="I4479" s="455">
        <f t="shared" ca="1" si="188"/>
        <v>47515713788812.742</v>
      </c>
      <c r="J4479" s="455">
        <f t="array" ref="J4479">IFERROR(INDEX('Retirement Calculator'!J:J,MATCH('Isaac 401k'!N4479,'Retirement Calculator'!A:A,0),0),0)</f>
        <v>0</v>
      </c>
      <c r="K4479" s="455">
        <f t="shared" ca="1" si="186"/>
        <v>197982140786.71976</v>
      </c>
      <c r="L4479" s="455">
        <f t="shared" ca="1" si="187"/>
        <v>47713695929599.461</v>
      </c>
      <c r="M4479" s="471">
        <f t="shared" si="189"/>
        <v>0.05</v>
      </c>
      <c r="N4479" s="475">
        <f t="shared" si="190"/>
        <v>187372</v>
      </c>
    </row>
    <row r="4480" spans="7:14" ht="11.25" customHeight="1" x14ac:dyDescent="0.3">
      <c r="G4480" s="470"/>
      <c r="H4480" s="470">
        <v>4473</v>
      </c>
      <c r="I4480" s="455">
        <f t="shared" ca="1" si="188"/>
        <v>47713695929599.461</v>
      </c>
      <c r="J4480" s="455">
        <f t="array" ref="J4480">IFERROR(INDEX('Retirement Calculator'!J:J,MATCH('Isaac 401k'!N4480,'Retirement Calculator'!A:A,0),0),0)</f>
        <v>0</v>
      </c>
      <c r="K4480" s="455">
        <f t="shared" ca="1" si="186"/>
        <v>198807066373.33109</v>
      </c>
      <c r="L4480" s="455">
        <f t="shared" ca="1" si="187"/>
        <v>47912502995972.789</v>
      </c>
      <c r="M4480" s="471">
        <f t="shared" si="189"/>
        <v>0.05</v>
      </c>
      <c r="N4480" s="475">
        <f t="shared" si="190"/>
        <v>187403</v>
      </c>
    </row>
    <row r="4481" spans="7:14" ht="11.25" customHeight="1" x14ac:dyDescent="0.3">
      <c r="G4481" s="470"/>
      <c r="H4481" s="470">
        <v>4474</v>
      </c>
      <c r="I4481" s="455">
        <f t="shared" ca="1" si="188"/>
        <v>47912502995972.789</v>
      </c>
      <c r="J4481" s="455">
        <f t="array" ref="J4481">IFERROR(INDEX('Retirement Calculator'!J:J,MATCH('Isaac 401k'!N4481,'Retirement Calculator'!A:A,0),0),0)</f>
        <v>0</v>
      </c>
      <c r="K4481" s="455">
        <f t="shared" ca="1" si="186"/>
        <v>199635429149.88663</v>
      </c>
      <c r="L4481" s="455">
        <f t="shared" ca="1" si="187"/>
        <v>48112138425122.672</v>
      </c>
      <c r="M4481" s="471">
        <f t="shared" si="189"/>
        <v>0.05</v>
      </c>
      <c r="N4481" s="475">
        <f t="shared" si="190"/>
        <v>187431</v>
      </c>
    </row>
    <row r="4482" spans="7:14" ht="11.25" customHeight="1" x14ac:dyDescent="0.3">
      <c r="G4482" s="470"/>
      <c r="H4482" s="470">
        <v>4475</v>
      </c>
      <c r="I4482" s="455">
        <f t="shared" ca="1" si="188"/>
        <v>48112138425122.672</v>
      </c>
      <c r="J4482" s="455">
        <f t="array" ref="J4482">IFERROR(INDEX('Retirement Calculator'!J:J,MATCH('Isaac 401k'!N4482,'Retirement Calculator'!A:A,0),0),0)</f>
        <v>0</v>
      </c>
      <c r="K4482" s="455">
        <f t="shared" ca="1" si="186"/>
        <v>200467243438.01114</v>
      </c>
      <c r="L4482" s="455">
        <f t="shared" ca="1" si="187"/>
        <v>48312605668560.68</v>
      </c>
      <c r="M4482" s="471">
        <f t="shared" si="189"/>
        <v>0.05</v>
      </c>
      <c r="N4482" s="475">
        <f t="shared" si="190"/>
        <v>187462</v>
      </c>
    </row>
    <row r="4483" spans="7:14" ht="11.25" customHeight="1" x14ac:dyDescent="0.3">
      <c r="G4483" s="470"/>
      <c r="H4483" s="470">
        <v>4476</v>
      </c>
      <c r="I4483" s="455">
        <f t="shared" ca="1" si="188"/>
        <v>48312605668560.68</v>
      </c>
      <c r="J4483" s="455">
        <f t="array" ref="J4483">IFERROR(INDEX('Retirement Calculator'!J:J,MATCH('Isaac 401k'!N4483,'Retirement Calculator'!A:A,0),0),0)</f>
        <v>0</v>
      </c>
      <c r="K4483" s="455">
        <f t="shared" ca="1" si="186"/>
        <v>201302523619.00284</v>
      </c>
      <c r="L4483" s="455">
        <f t="shared" ca="1" si="187"/>
        <v>48513908192179.68</v>
      </c>
      <c r="M4483" s="471">
        <f t="shared" si="189"/>
        <v>0.05</v>
      </c>
      <c r="N4483" s="475">
        <f t="shared" si="190"/>
        <v>187492</v>
      </c>
    </row>
    <row r="4484" spans="7:14" ht="11.25" customHeight="1" x14ac:dyDescent="0.3">
      <c r="G4484" s="470"/>
      <c r="H4484" s="470">
        <v>4477</v>
      </c>
      <c r="I4484" s="455">
        <f t="shared" ca="1" si="188"/>
        <v>48513908192179.68</v>
      </c>
      <c r="J4484" s="455">
        <f t="array" ref="J4484">IFERROR(INDEX('Retirement Calculator'!J:J,MATCH('Isaac 401k'!N4484,'Retirement Calculator'!A:A,0),0),0)</f>
        <v>0</v>
      </c>
      <c r="K4484" s="455">
        <f t="shared" ca="1" si="186"/>
        <v>202141284134.082</v>
      </c>
      <c r="L4484" s="455">
        <f t="shared" ca="1" si="187"/>
        <v>48716049476313.758</v>
      </c>
      <c r="M4484" s="471">
        <f t="shared" si="189"/>
        <v>0.05</v>
      </c>
      <c r="N4484" s="475">
        <f t="shared" si="190"/>
        <v>187523</v>
      </c>
    </row>
    <row r="4485" spans="7:14" ht="11.25" customHeight="1" x14ac:dyDescent="0.3">
      <c r="G4485" s="470"/>
      <c r="H4485" s="470">
        <v>4478</v>
      </c>
      <c r="I4485" s="455">
        <f t="shared" ca="1" si="188"/>
        <v>48716049476313.758</v>
      </c>
      <c r="J4485" s="455">
        <f t="array" ref="J4485">IFERROR(INDEX('Retirement Calculator'!J:J,MATCH('Isaac 401k'!N4485,'Retirement Calculator'!A:A,0),0),0)</f>
        <v>0</v>
      </c>
      <c r="K4485" s="455">
        <f t="shared" ca="1" si="186"/>
        <v>202983539484.64066</v>
      </c>
      <c r="L4485" s="455">
        <f t="shared" ca="1" si="187"/>
        <v>48919033015798.398</v>
      </c>
      <c r="M4485" s="471">
        <f t="shared" si="189"/>
        <v>0.05</v>
      </c>
      <c r="N4485" s="475">
        <f t="shared" si="190"/>
        <v>187553</v>
      </c>
    </row>
    <row r="4486" spans="7:14" ht="11.25" customHeight="1" x14ac:dyDescent="0.3">
      <c r="G4486" s="470"/>
      <c r="H4486" s="470">
        <v>4479</v>
      </c>
      <c r="I4486" s="455">
        <f t="shared" ca="1" si="188"/>
        <v>48919033015798.398</v>
      </c>
      <c r="J4486" s="455">
        <f t="array" ref="J4486">IFERROR(INDEX('Retirement Calculator'!J:J,MATCH('Isaac 401k'!N4486,'Retirement Calculator'!A:A,0),0),0)</f>
        <v>0</v>
      </c>
      <c r="K4486" s="455">
        <f t="shared" ca="1" si="186"/>
        <v>203829304232.49332</v>
      </c>
      <c r="L4486" s="455">
        <f t="shared" ca="1" si="187"/>
        <v>49122862320030.891</v>
      </c>
      <c r="M4486" s="471">
        <f t="shared" si="189"/>
        <v>0.05</v>
      </c>
      <c r="N4486" s="475">
        <f t="shared" si="190"/>
        <v>187584</v>
      </c>
    </row>
    <row r="4487" spans="7:14" ht="11.25" customHeight="1" x14ac:dyDescent="0.3">
      <c r="G4487" s="470"/>
      <c r="H4487" s="470">
        <v>4480</v>
      </c>
      <c r="I4487" s="455">
        <f t="shared" ca="1" si="188"/>
        <v>49122862320030.891</v>
      </c>
      <c r="J4487" s="455">
        <f t="array" ref="J4487">IFERROR(INDEX('Retirement Calculator'!J:J,MATCH('Isaac 401k'!N4487,'Retirement Calculator'!A:A,0),0),0)</f>
        <v>0</v>
      </c>
      <c r="K4487" s="455">
        <f t="shared" ca="1" si="186"/>
        <v>204678593000.12872</v>
      </c>
      <c r="L4487" s="455">
        <f t="shared" ca="1" si="187"/>
        <v>49327540913031.016</v>
      </c>
      <c r="M4487" s="471">
        <f t="shared" si="189"/>
        <v>0.05</v>
      </c>
      <c r="N4487" s="475">
        <f t="shared" si="190"/>
        <v>187615</v>
      </c>
    </row>
    <row r="4488" spans="7:14" ht="11.25" customHeight="1" x14ac:dyDescent="0.3">
      <c r="G4488" s="470"/>
      <c r="H4488" s="470">
        <v>4481</v>
      </c>
      <c r="I4488" s="455">
        <f t="shared" ca="1" si="188"/>
        <v>49327540913031.016</v>
      </c>
      <c r="J4488" s="455">
        <f t="array" ref="J4488">IFERROR(INDEX('Retirement Calculator'!J:J,MATCH('Isaac 401k'!N4488,'Retirement Calculator'!A:A,0),0),0)</f>
        <v>0</v>
      </c>
      <c r="K4488" s="455">
        <f t="shared" ca="1" si="186"/>
        <v>205531420470.96255</v>
      </c>
      <c r="L4488" s="455">
        <f t="shared" ca="1" si="187"/>
        <v>49533072333501.977</v>
      </c>
      <c r="M4488" s="471">
        <f t="shared" si="189"/>
        <v>0.05</v>
      </c>
      <c r="N4488" s="475">
        <f t="shared" si="190"/>
        <v>187645</v>
      </c>
    </row>
    <row r="4489" spans="7:14" ht="11.25" customHeight="1" x14ac:dyDescent="0.3">
      <c r="G4489" s="470"/>
      <c r="H4489" s="470">
        <v>4482</v>
      </c>
      <c r="I4489" s="455">
        <f t="shared" ca="1" si="188"/>
        <v>49533072333501.977</v>
      </c>
      <c r="J4489" s="455">
        <f t="array" ref="J4489">IFERROR(INDEX('Retirement Calculator'!J:J,MATCH('Isaac 401k'!N4489,'Retirement Calculator'!A:A,0),0),0)</f>
        <v>0</v>
      </c>
      <c r="K4489" s="455">
        <f t="shared" ca="1" si="186"/>
        <v>206387801389.59155</v>
      </c>
      <c r="L4489" s="455">
        <f t="shared" ca="1" si="187"/>
        <v>49739460134891.57</v>
      </c>
      <c r="M4489" s="471">
        <f t="shared" si="189"/>
        <v>0.05</v>
      </c>
      <c r="N4489" s="475">
        <f t="shared" si="190"/>
        <v>187676</v>
      </c>
    </row>
    <row r="4490" spans="7:14" ht="11.25" customHeight="1" x14ac:dyDescent="0.3">
      <c r="G4490" s="470"/>
      <c r="H4490" s="470">
        <v>4483</v>
      </c>
      <c r="I4490" s="455">
        <f t="shared" ca="1" si="188"/>
        <v>49739460134891.57</v>
      </c>
      <c r="J4490" s="455">
        <f t="array" ref="J4490">IFERROR(INDEX('Retirement Calculator'!J:J,MATCH('Isaac 401k'!N4490,'Retirement Calculator'!A:A,0),0),0)</f>
        <v>0</v>
      </c>
      <c r="K4490" s="455">
        <f t="shared" ca="1" si="186"/>
        <v>207247750562.04822</v>
      </c>
      <c r="L4490" s="455">
        <f t="shared" ca="1" si="187"/>
        <v>49946707885453.617</v>
      </c>
      <c r="M4490" s="471">
        <f t="shared" si="189"/>
        <v>0.05</v>
      </c>
      <c r="N4490" s="475">
        <f t="shared" si="190"/>
        <v>187706</v>
      </c>
    </row>
    <row r="4491" spans="7:14" ht="11.25" customHeight="1" x14ac:dyDescent="0.3">
      <c r="G4491" s="470"/>
      <c r="H4491" s="470">
        <v>4484</v>
      </c>
      <c r="I4491" s="455">
        <f t="shared" ca="1" si="188"/>
        <v>49946707885453.617</v>
      </c>
      <c r="J4491" s="455">
        <f t="array" ref="J4491">IFERROR(INDEX('Retirement Calculator'!J:J,MATCH('Isaac 401k'!N4491,'Retirement Calculator'!A:A,0),0),0)</f>
        <v>0</v>
      </c>
      <c r="K4491" s="455">
        <f t="shared" ca="1" si="186"/>
        <v>208111282856.05673</v>
      </c>
      <c r="L4491" s="455">
        <f t="shared" ca="1" si="187"/>
        <v>50154819168309.672</v>
      </c>
      <c r="M4491" s="471">
        <f t="shared" si="189"/>
        <v>0.05</v>
      </c>
      <c r="N4491" s="475">
        <f t="shared" si="190"/>
        <v>187737</v>
      </c>
    </row>
    <row r="4492" spans="7:14" ht="11.25" customHeight="1" x14ac:dyDescent="0.3">
      <c r="G4492" s="470"/>
      <c r="H4492" s="470">
        <v>4485</v>
      </c>
      <c r="I4492" s="455">
        <f t="shared" ca="1" si="188"/>
        <v>50154819168309.672</v>
      </c>
      <c r="J4492" s="455">
        <f t="array" ref="J4492">IFERROR(INDEX('Retirement Calculator'!J:J,MATCH('Isaac 401k'!N4492,'Retirement Calculator'!A:A,0),0),0)</f>
        <v>0</v>
      </c>
      <c r="K4492" s="455">
        <f t="shared" ca="1" si="186"/>
        <v>208978413201.29028</v>
      </c>
      <c r="L4492" s="455">
        <f t="shared" ca="1" si="187"/>
        <v>50363797581510.961</v>
      </c>
      <c r="M4492" s="471">
        <f t="shared" si="189"/>
        <v>0.05</v>
      </c>
      <c r="N4492" s="475">
        <f t="shared" si="190"/>
        <v>187768</v>
      </c>
    </row>
    <row r="4493" spans="7:14" ht="11.25" customHeight="1" x14ac:dyDescent="0.3">
      <c r="G4493" s="470"/>
      <c r="H4493" s="470">
        <v>4486</v>
      </c>
      <c r="I4493" s="455">
        <f t="shared" ca="1" si="188"/>
        <v>50363797581510.961</v>
      </c>
      <c r="J4493" s="455">
        <f t="array" ref="J4493">IFERROR(INDEX('Retirement Calculator'!J:J,MATCH('Isaac 401k'!N4493,'Retirement Calculator'!A:A,0),0),0)</f>
        <v>0</v>
      </c>
      <c r="K4493" s="455">
        <f t="shared" ca="1" si="186"/>
        <v>209849156589.629</v>
      </c>
      <c r="L4493" s="455">
        <f t="shared" ca="1" si="187"/>
        <v>50573646738100.594</v>
      </c>
      <c r="M4493" s="471">
        <f t="shared" si="189"/>
        <v>0.05</v>
      </c>
      <c r="N4493" s="475">
        <f t="shared" si="190"/>
        <v>187796</v>
      </c>
    </row>
    <row r="4494" spans="7:14" ht="11.25" customHeight="1" x14ac:dyDescent="0.3">
      <c r="G4494" s="470"/>
      <c r="H4494" s="470">
        <v>4487</v>
      </c>
      <c r="I4494" s="455">
        <f t="shared" ca="1" si="188"/>
        <v>50573646738100.594</v>
      </c>
      <c r="J4494" s="455">
        <f t="array" ref="J4494">IFERROR(INDEX('Retirement Calculator'!J:J,MATCH('Isaac 401k'!N4494,'Retirement Calculator'!A:A,0),0),0)</f>
        <v>0</v>
      </c>
      <c r="K4494" s="455">
        <f t="shared" ca="1" si="186"/>
        <v>210723528075.41913</v>
      </c>
      <c r="L4494" s="455">
        <f t="shared" ca="1" si="187"/>
        <v>50784370266176.016</v>
      </c>
      <c r="M4494" s="471">
        <f t="shared" si="189"/>
        <v>0.05</v>
      </c>
      <c r="N4494" s="475">
        <f t="shared" si="190"/>
        <v>187827</v>
      </c>
    </row>
    <row r="4495" spans="7:14" ht="11.25" customHeight="1" x14ac:dyDescent="0.3">
      <c r="G4495" s="470"/>
      <c r="H4495" s="470">
        <v>4488</v>
      </c>
      <c r="I4495" s="455">
        <f t="shared" ca="1" si="188"/>
        <v>50784370266176.016</v>
      </c>
      <c r="J4495" s="455">
        <f t="array" ref="J4495">IFERROR(INDEX('Retirement Calculator'!J:J,MATCH('Isaac 401k'!N4495,'Retirement Calculator'!A:A,0),0),0)</f>
        <v>0</v>
      </c>
      <c r="K4495" s="455">
        <f t="shared" ca="1" si="186"/>
        <v>211601542775.7334</v>
      </c>
      <c r="L4495" s="455">
        <f t="shared" ca="1" si="187"/>
        <v>50995971808951.75</v>
      </c>
      <c r="M4495" s="471">
        <f t="shared" si="189"/>
        <v>0.05</v>
      </c>
      <c r="N4495" s="475">
        <f t="shared" si="190"/>
        <v>187857</v>
      </c>
    </row>
    <row r="4496" spans="7:14" ht="11.25" customHeight="1" x14ac:dyDescent="0.3">
      <c r="G4496" s="470"/>
      <c r="H4496" s="470">
        <v>4489</v>
      </c>
      <c r="I4496" s="455">
        <f t="shared" ca="1" si="188"/>
        <v>50995971808951.75</v>
      </c>
      <c r="J4496" s="455">
        <f t="array" ref="J4496">IFERROR(INDEX('Retirement Calculator'!J:J,MATCH('Isaac 401k'!N4496,'Retirement Calculator'!A:A,0),0),0)</f>
        <v>0</v>
      </c>
      <c r="K4496" s="455">
        <f t="shared" ca="1" si="186"/>
        <v>212483215870.63229</v>
      </c>
      <c r="L4496" s="455">
        <f t="shared" ca="1" si="187"/>
        <v>51208455024822.383</v>
      </c>
      <c r="M4496" s="471">
        <f t="shared" si="189"/>
        <v>0.05</v>
      </c>
      <c r="N4496" s="475">
        <f t="shared" si="190"/>
        <v>187888</v>
      </c>
    </row>
    <row r="4497" spans="7:14" ht="11.25" customHeight="1" x14ac:dyDescent="0.3">
      <c r="G4497" s="470"/>
      <c r="H4497" s="470">
        <v>4490</v>
      </c>
      <c r="I4497" s="455">
        <f t="shared" ca="1" si="188"/>
        <v>51208455024822.383</v>
      </c>
      <c r="J4497" s="455">
        <f t="array" ref="J4497">IFERROR(INDEX('Retirement Calculator'!J:J,MATCH('Isaac 401k'!N4497,'Retirement Calculator'!A:A,0),0),0)</f>
        <v>0</v>
      </c>
      <c r="K4497" s="455">
        <f t="shared" ca="1" si="186"/>
        <v>213368562603.42661</v>
      </c>
      <c r="L4497" s="455">
        <f t="shared" ca="1" si="187"/>
        <v>51421823587425.813</v>
      </c>
      <c r="M4497" s="471">
        <f t="shared" si="189"/>
        <v>0.05</v>
      </c>
      <c r="N4497" s="475">
        <f t="shared" si="190"/>
        <v>187918</v>
      </c>
    </row>
    <row r="4498" spans="7:14" ht="11.25" customHeight="1" x14ac:dyDescent="0.3">
      <c r="G4498" s="470"/>
      <c r="H4498" s="470">
        <v>4491</v>
      </c>
      <c r="I4498" s="455">
        <f t="shared" ca="1" si="188"/>
        <v>51421823587425.813</v>
      </c>
      <c r="J4498" s="455">
        <f t="array" ref="J4498">IFERROR(INDEX('Retirement Calculator'!J:J,MATCH('Isaac 401k'!N4498,'Retirement Calculator'!A:A,0),0),0)</f>
        <v>0</v>
      </c>
      <c r="K4498" s="455">
        <f t="shared" ca="1" si="186"/>
        <v>214257598280.94089</v>
      </c>
      <c r="L4498" s="455">
        <f t="shared" ca="1" si="187"/>
        <v>51636081185706.75</v>
      </c>
      <c r="M4498" s="471">
        <f t="shared" si="189"/>
        <v>0.05</v>
      </c>
      <c r="N4498" s="475">
        <f t="shared" si="190"/>
        <v>187949</v>
      </c>
    </row>
    <row r="4499" spans="7:14" ht="11.25" customHeight="1" x14ac:dyDescent="0.3">
      <c r="G4499" s="470"/>
      <c r="H4499" s="470">
        <v>4492</v>
      </c>
      <c r="I4499" s="455">
        <f t="shared" ca="1" si="188"/>
        <v>51636081185706.75</v>
      </c>
      <c r="J4499" s="455">
        <f t="array" ref="J4499">IFERROR(INDEX('Retirement Calculator'!J:J,MATCH('Isaac 401k'!N4499,'Retirement Calculator'!A:A,0),0),0)</f>
        <v>0</v>
      </c>
      <c r="K4499" s="455">
        <f t="shared" ca="1" si="186"/>
        <v>215150338273.77814</v>
      </c>
      <c r="L4499" s="455">
        <f t="shared" ca="1" si="187"/>
        <v>51851231523980.531</v>
      </c>
      <c r="M4499" s="471">
        <f t="shared" si="189"/>
        <v>0.05</v>
      </c>
      <c r="N4499" s="475">
        <f t="shared" si="190"/>
        <v>187980</v>
      </c>
    </row>
    <row r="4500" spans="7:14" ht="11.25" customHeight="1" x14ac:dyDescent="0.3">
      <c r="G4500" s="470"/>
      <c r="H4500" s="470">
        <v>4493</v>
      </c>
      <c r="I4500" s="455">
        <f t="shared" ca="1" si="188"/>
        <v>51851231523980.531</v>
      </c>
      <c r="J4500" s="455">
        <f t="array" ref="J4500">IFERROR(INDEX('Retirement Calculator'!J:J,MATCH('Isaac 401k'!N4500,'Retirement Calculator'!A:A,0),0),0)</f>
        <v>0</v>
      </c>
      <c r="K4500" s="455">
        <f t="shared" ca="1" si="186"/>
        <v>216046798016.58554</v>
      </c>
      <c r="L4500" s="455">
        <f t="shared" ca="1" si="187"/>
        <v>52067278321997.117</v>
      </c>
      <c r="M4500" s="471">
        <f t="shared" si="189"/>
        <v>0.05</v>
      </c>
      <c r="N4500" s="475">
        <f t="shared" si="190"/>
        <v>188010</v>
      </c>
    </row>
    <row r="4501" spans="7:14" ht="11.25" customHeight="1" x14ac:dyDescent="0.3">
      <c r="G4501" s="470"/>
      <c r="H4501" s="470">
        <v>4494</v>
      </c>
      <c r="I4501" s="455">
        <f t="shared" ca="1" si="188"/>
        <v>52067278321997.117</v>
      </c>
      <c r="J4501" s="455">
        <f t="array" ref="J4501">IFERROR(INDEX('Retirement Calculator'!J:J,MATCH('Isaac 401k'!N4501,'Retirement Calculator'!A:A,0),0),0)</f>
        <v>0</v>
      </c>
      <c r="K4501" s="455">
        <f t="shared" ca="1" si="186"/>
        <v>216946993008.32132</v>
      </c>
      <c r="L4501" s="455">
        <f t="shared" ca="1" si="187"/>
        <v>52284225315005.438</v>
      </c>
      <c r="M4501" s="471">
        <f t="shared" si="189"/>
        <v>0.05</v>
      </c>
      <c r="N4501" s="475">
        <f t="shared" si="190"/>
        <v>188041</v>
      </c>
    </row>
    <row r="4502" spans="7:14" ht="11.25" customHeight="1" x14ac:dyDescent="0.3">
      <c r="G4502" s="470"/>
      <c r="H4502" s="470">
        <v>4495</v>
      </c>
      <c r="I4502" s="455">
        <f t="shared" ca="1" si="188"/>
        <v>52284225315005.438</v>
      </c>
      <c r="J4502" s="455">
        <f t="array" ref="J4502">IFERROR(INDEX('Retirement Calculator'!J:J,MATCH('Isaac 401k'!N4502,'Retirement Calculator'!A:A,0),0),0)</f>
        <v>0</v>
      </c>
      <c r="K4502" s="455">
        <f t="shared" ca="1" si="186"/>
        <v>217850938812.52264</v>
      </c>
      <c r="L4502" s="455">
        <f t="shared" ca="1" si="187"/>
        <v>52502076253817.961</v>
      </c>
      <c r="M4502" s="471">
        <f t="shared" si="189"/>
        <v>0.05</v>
      </c>
      <c r="N4502" s="475">
        <f t="shared" si="190"/>
        <v>188071</v>
      </c>
    </row>
    <row r="4503" spans="7:14" ht="11.25" customHeight="1" x14ac:dyDescent="0.3">
      <c r="G4503" s="470"/>
      <c r="H4503" s="470">
        <v>4496</v>
      </c>
      <c r="I4503" s="455">
        <f t="shared" ca="1" si="188"/>
        <v>52502076253817.961</v>
      </c>
      <c r="J4503" s="455">
        <f t="array" ref="J4503">IFERROR(INDEX('Retirement Calculator'!J:J,MATCH('Isaac 401k'!N4503,'Retirement Calculator'!A:A,0),0),0)</f>
        <v>0</v>
      </c>
      <c r="K4503" s="455">
        <f t="shared" ca="1" si="186"/>
        <v>218758651057.57483</v>
      </c>
      <c r="L4503" s="455">
        <f t="shared" ca="1" si="187"/>
        <v>52720834904875.539</v>
      </c>
      <c r="M4503" s="471">
        <f t="shared" si="189"/>
        <v>0.05</v>
      </c>
      <c r="N4503" s="475">
        <f t="shared" si="190"/>
        <v>188102</v>
      </c>
    </row>
    <row r="4504" spans="7:14" ht="11.25" customHeight="1" x14ac:dyDescent="0.3">
      <c r="G4504" s="470"/>
      <c r="H4504" s="470">
        <v>4497</v>
      </c>
      <c r="I4504" s="455">
        <f t="shared" ca="1" si="188"/>
        <v>52720834904875.539</v>
      </c>
      <c r="J4504" s="455">
        <f t="array" ref="J4504">IFERROR(INDEX('Retirement Calculator'!J:J,MATCH('Isaac 401k'!N4504,'Retirement Calculator'!A:A,0),0),0)</f>
        <v>0</v>
      </c>
      <c r="K4504" s="455">
        <f t="shared" ca="1" si="186"/>
        <v>219670145436.98141</v>
      </c>
      <c r="L4504" s="455">
        <f t="shared" ca="1" si="187"/>
        <v>52940505050312.523</v>
      </c>
      <c r="M4504" s="471">
        <f t="shared" si="189"/>
        <v>0.05</v>
      </c>
      <c r="N4504" s="475">
        <f t="shared" si="190"/>
        <v>188133</v>
      </c>
    </row>
    <row r="4505" spans="7:14" ht="11.25" customHeight="1" x14ac:dyDescent="0.3">
      <c r="G4505" s="470"/>
      <c r="H4505" s="470">
        <v>4498</v>
      </c>
      <c r="I4505" s="455">
        <f t="shared" ca="1" si="188"/>
        <v>52940505050312.523</v>
      </c>
      <c r="J4505" s="455">
        <f t="array" ref="J4505">IFERROR(INDEX('Retirement Calculator'!J:J,MATCH('Isaac 401k'!N4505,'Retirement Calculator'!A:A,0),0),0)</f>
        <v>0</v>
      </c>
      <c r="K4505" s="455">
        <f t="shared" ca="1" si="186"/>
        <v>220585437709.6355</v>
      </c>
      <c r="L4505" s="455">
        <f t="shared" ca="1" si="187"/>
        <v>53161090488022.156</v>
      </c>
      <c r="M4505" s="471">
        <f t="shared" si="189"/>
        <v>0.05</v>
      </c>
      <c r="N4505" s="475">
        <f t="shared" si="190"/>
        <v>188161</v>
      </c>
    </row>
    <row r="4506" spans="7:14" ht="11.25" customHeight="1" x14ac:dyDescent="0.3">
      <c r="G4506" s="470"/>
      <c r="H4506" s="470">
        <v>4499</v>
      </c>
      <c r="I4506" s="455">
        <f t="shared" ca="1" si="188"/>
        <v>53161090488022.156</v>
      </c>
      <c r="J4506" s="455">
        <f t="array" ref="J4506">IFERROR(INDEX('Retirement Calculator'!J:J,MATCH('Isaac 401k'!N4506,'Retirement Calculator'!A:A,0),0),0)</f>
        <v>0</v>
      </c>
      <c r="K4506" s="455">
        <f t="shared" ca="1" si="186"/>
        <v>221504543700.09232</v>
      </c>
      <c r="L4506" s="455">
        <f t="shared" ca="1" si="187"/>
        <v>53382595031722.25</v>
      </c>
      <c r="M4506" s="471">
        <f t="shared" si="189"/>
        <v>0.05</v>
      </c>
      <c r="N4506" s="475">
        <f t="shared" si="190"/>
        <v>188192</v>
      </c>
    </row>
    <row r="4507" spans="7:14" ht="11.25" customHeight="1" x14ac:dyDescent="0.3">
      <c r="G4507" s="470"/>
      <c r="H4507" s="470">
        <v>4500</v>
      </c>
      <c r="I4507" s="455">
        <f t="shared" ca="1" si="188"/>
        <v>53382595031722.25</v>
      </c>
      <c r="J4507" s="455">
        <f t="array" ref="J4507">IFERROR(INDEX('Retirement Calculator'!J:J,MATCH('Isaac 401k'!N4507,'Retirement Calculator'!A:A,0),0),0)</f>
        <v>0</v>
      </c>
      <c r="K4507" s="455">
        <f t="shared" ca="1" si="186"/>
        <v>222427479298.84271</v>
      </c>
      <c r="L4507" s="455">
        <f t="shared" ca="1" si="187"/>
        <v>53605022511021.094</v>
      </c>
      <c r="M4507" s="471">
        <f t="shared" si="189"/>
        <v>0.05</v>
      </c>
      <c r="N4507" s="475">
        <f t="shared" si="190"/>
        <v>188222</v>
      </c>
    </row>
    <row r="4508" spans="7:14" ht="11.25" customHeight="1" x14ac:dyDescent="0.3">
      <c r="G4508" s="470"/>
      <c r="H4508" s="470">
        <v>4501</v>
      </c>
      <c r="I4508" s="455">
        <f t="shared" ca="1" si="188"/>
        <v>53605022511021.094</v>
      </c>
      <c r="J4508" s="455">
        <f t="array" ref="J4508">IFERROR(INDEX('Retirement Calculator'!J:J,MATCH('Isaac 401k'!N4508,'Retirement Calculator'!A:A,0),0),0)</f>
        <v>0</v>
      </c>
      <c r="K4508" s="455">
        <f t="shared" ca="1" si="186"/>
        <v>223354260462.58789</v>
      </c>
      <c r="L4508" s="455">
        <f t="shared" ca="1" si="187"/>
        <v>53828376771483.68</v>
      </c>
      <c r="M4508" s="471">
        <f t="shared" si="189"/>
        <v>0.05</v>
      </c>
      <c r="N4508" s="475">
        <f t="shared" si="190"/>
        <v>188253</v>
      </c>
    </row>
    <row r="4509" spans="7:14" ht="11.25" customHeight="1" x14ac:dyDescent="0.3">
      <c r="G4509" s="470"/>
      <c r="H4509" s="470">
        <v>4502</v>
      </c>
      <c r="I4509" s="455">
        <f t="shared" ca="1" si="188"/>
        <v>53828376771483.68</v>
      </c>
      <c r="J4509" s="455">
        <f t="array" ref="J4509">IFERROR(INDEX('Retirement Calculator'!J:J,MATCH('Isaac 401k'!N4509,'Retirement Calculator'!A:A,0),0),0)</f>
        <v>0</v>
      </c>
      <c r="K4509" s="455">
        <f t="shared" ca="1" si="186"/>
        <v>224284903214.51532</v>
      </c>
      <c r="L4509" s="455">
        <f t="shared" ca="1" si="187"/>
        <v>54052661674698.195</v>
      </c>
      <c r="M4509" s="471">
        <f t="shared" si="189"/>
        <v>0.05</v>
      </c>
      <c r="N4509" s="475">
        <f t="shared" si="190"/>
        <v>188283</v>
      </c>
    </row>
    <row r="4510" spans="7:14" ht="11.25" customHeight="1" x14ac:dyDescent="0.3">
      <c r="G4510" s="470"/>
      <c r="H4510" s="470">
        <v>4503</v>
      </c>
      <c r="I4510" s="455">
        <f t="shared" ca="1" si="188"/>
        <v>54052661674698.195</v>
      </c>
      <c r="J4510" s="455">
        <f t="array" ref="J4510">IFERROR(INDEX('Retirement Calculator'!J:J,MATCH('Isaac 401k'!N4510,'Retirement Calculator'!A:A,0),0),0)</f>
        <v>0</v>
      </c>
      <c r="K4510" s="455">
        <f t="shared" ca="1" si="186"/>
        <v>225219423644.57581</v>
      </c>
      <c r="L4510" s="455">
        <f t="shared" ca="1" si="187"/>
        <v>54277881098342.773</v>
      </c>
      <c r="M4510" s="471">
        <f t="shared" si="189"/>
        <v>0.05</v>
      </c>
      <c r="N4510" s="475">
        <f t="shared" si="190"/>
        <v>188314</v>
      </c>
    </row>
    <row r="4511" spans="7:14" ht="11.25" customHeight="1" x14ac:dyDescent="0.3">
      <c r="G4511" s="470"/>
      <c r="H4511" s="470">
        <v>4504</v>
      </c>
      <c r="I4511" s="455">
        <f t="shared" ca="1" si="188"/>
        <v>54277881098342.773</v>
      </c>
      <c r="J4511" s="455">
        <f t="array" ref="J4511">IFERROR(INDEX('Retirement Calculator'!J:J,MATCH('Isaac 401k'!N4511,'Retirement Calculator'!A:A,0),0),0)</f>
        <v>0</v>
      </c>
      <c r="K4511" s="455">
        <f t="shared" ca="1" si="186"/>
        <v>226157837909.76157</v>
      </c>
      <c r="L4511" s="455">
        <f t="shared" ca="1" si="187"/>
        <v>54504038936252.531</v>
      </c>
      <c r="M4511" s="471">
        <f t="shared" si="189"/>
        <v>0.05</v>
      </c>
      <c r="N4511" s="475">
        <f t="shared" si="190"/>
        <v>188345</v>
      </c>
    </row>
    <row r="4512" spans="7:14" ht="11.25" customHeight="1" x14ac:dyDescent="0.3">
      <c r="G4512" s="470"/>
      <c r="H4512" s="470">
        <v>4505</v>
      </c>
      <c r="I4512" s="455">
        <f t="shared" ca="1" si="188"/>
        <v>54504038936252.531</v>
      </c>
      <c r="J4512" s="455">
        <f t="array" ref="J4512">IFERROR(INDEX('Retirement Calculator'!J:J,MATCH('Isaac 401k'!N4512,'Retirement Calculator'!A:A,0),0),0)</f>
        <v>0</v>
      </c>
      <c r="K4512" s="455">
        <f t="shared" ca="1" si="186"/>
        <v>227100162234.38553</v>
      </c>
      <c r="L4512" s="455">
        <f t="shared" ca="1" si="187"/>
        <v>54731139098486.914</v>
      </c>
      <c r="M4512" s="471">
        <f t="shared" si="189"/>
        <v>0.05</v>
      </c>
      <c r="N4512" s="475">
        <f t="shared" si="190"/>
        <v>188375</v>
      </c>
    </row>
    <row r="4513" spans="7:14" ht="11.25" customHeight="1" x14ac:dyDescent="0.3">
      <c r="G4513" s="470"/>
      <c r="H4513" s="470">
        <v>4506</v>
      </c>
      <c r="I4513" s="455">
        <f t="shared" ca="1" si="188"/>
        <v>54731139098486.914</v>
      </c>
      <c r="J4513" s="455">
        <f t="array" ref="J4513">IFERROR(INDEX('Retirement Calculator'!J:J,MATCH('Isaac 401k'!N4513,'Retirement Calculator'!A:A,0),0),0)</f>
        <v>0</v>
      </c>
      <c r="K4513" s="455">
        <f t="shared" ca="1" si="186"/>
        <v>228046412910.36215</v>
      </c>
      <c r="L4513" s="455">
        <f t="shared" ca="1" si="187"/>
        <v>54959185511397.273</v>
      </c>
      <c r="M4513" s="471">
        <f t="shared" si="189"/>
        <v>0.05</v>
      </c>
      <c r="N4513" s="475">
        <f t="shared" si="190"/>
        <v>188406</v>
      </c>
    </row>
    <row r="4514" spans="7:14" ht="11.25" customHeight="1" x14ac:dyDescent="0.3">
      <c r="G4514" s="470"/>
      <c r="H4514" s="470">
        <v>4507</v>
      </c>
      <c r="I4514" s="455">
        <f t="shared" ca="1" si="188"/>
        <v>54959185511397.273</v>
      </c>
      <c r="J4514" s="455">
        <f t="array" ref="J4514">IFERROR(INDEX('Retirement Calculator'!J:J,MATCH('Isaac 401k'!N4514,'Retirement Calculator'!A:A,0),0),0)</f>
        <v>0</v>
      </c>
      <c r="K4514" s="455">
        <f t="shared" ca="1" si="186"/>
        <v>228996606297.48862</v>
      </c>
      <c r="L4514" s="455">
        <f t="shared" ca="1" si="187"/>
        <v>55188182117694.766</v>
      </c>
      <c r="M4514" s="471">
        <f t="shared" si="189"/>
        <v>0.05</v>
      </c>
      <c r="N4514" s="475">
        <f t="shared" si="190"/>
        <v>188436</v>
      </c>
    </row>
    <row r="4515" spans="7:14" ht="11.25" customHeight="1" x14ac:dyDescent="0.3">
      <c r="G4515" s="470"/>
      <c r="H4515" s="470">
        <v>4508</v>
      </c>
      <c r="I4515" s="455">
        <f t="shared" ca="1" si="188"/>
        <v>55188182117694.766</v>
      </c>
      <c r="J4515" s="455">
        <f t="array" ref="J4515">IFERROR(INDEX('Retirement Calculator'!J:J,MATCH('Isaac 401k'!N4515,'Retirement Calculator'!A:A,0),0),0)</f>
        <v>0</v>
      </c>
      <c r="K4515" s="455">
        <f t="shared" ca="1" si="186"/>
        <v>229950758823.72815</v>
      </c>
      <c r="L4515" s="455">
        <f t="shared" ca="1" si="187"/>
        <v>55418132876518.492</v>
      </c>
      <c r="M4515" s="471">
        <f t="shared" si="189"/>
        <v>0.05</v>
      </c>
      <c r="N4515" s="475">
        <f t="shared" si="190"/>
        <v>188467</v>
      </c>
    </row>
    <row r="4516" spans="7:14" ht="11.25" customHeight="1" x14ac:dyDescent="0.3">
      <c r="G4516" s="470"/>
      <c r="H4516" s="470">
        <v>4509</v>
      </c>
      <c r="I4516" s="455">
        <f t="shared" ca="1" si="188"/>
        <v>55418132876518.492</v>
      </c>
      <c r="J4516" s="455">
        <f t="array" ref="J4516">IFERROR(INDEX('Retirement Calculator'!J:J,MATCH('Isaac 401k'!N4516,'Retirement Calculator'!A:A,0),0),0)</f>
        <v>0</v>
      </c>
      <c r="K4516" s="455">
        <f t="shared" ca="1" si="186"/>
        <v>230908886985.49371</v>
      </c>
      <c r="L4516" s="455">
        <f t="shared" ca="1" si="187"/>
        <v>55649041763503.984</v>
      </c>
      <c r="M4516" s="471">
        <f t="shared" si="189"/>
        <v>0.05</v>
      </c>
      <c r="N4516" s="475">
        <f t="shared" si="190"/>
        <v>188498</v>
      </c>
    </row>
    <row r="4517" spans="7:14" ht="11.25" customHeight="1" x14ac:dyDescent="0.3">
      <c r="G4517" s="470"/>
      <c r="H4517" s="470">
        <v>4510</v>
      </c>
      <c r="I4517" s="455">
        <f t="shared" ca="1" si="188"/>
        <v>55649041763503.984</v>
      </c>
      <c r="J4517" s="455">
        <f t="array" ref="J4517">IFERROR(INDEX('Retirement Calculator'!J:J,MATCH('Isaac 401k'!N4517,'Retirement Calculator'!A:A,0),0),0)</f>
        <v>0</v>
      </c>
      <c r="K4517" s="455">
        <f t="shared" ca="1" si="186"/>
        <v>231871007347.93323</v>
      </c>
      <c r="L4517" s="455">
        <f t="shared" ca="1" si="187"/>
        <v>55880912770851.914</v>
      </c>
      <c r="M4517" s="471">
        <f t="shared" si="189"/>
        <v>0.05</v>
      </c>
      <c r="N4517" s="475">
        <f t="shared" si="190"/>
        <v>188527</v>
      </c>
    </row>
    <row r="4518" spans="7:14" ht="11.25" customHeight="1" x14ac:dyDescent="0.3">
      <c r="G4518" s="470"/>
      <c r="H4518" s="470">
        <v>4511</v>
      </c>
      <c r="I4518" s="455">
        <f t="shared" ca="1" si="188"/>
        <v>55880912770851.914</v>
      </c>
      <c r="J4518" s="455">
        <f t="array" ref="J4518">IFERROR(INDEX('Retirement Calculator'!J:J,MATCH('Isaac 401k'!N4518,'Retirement Calculator'!A:A,0),0),0)</f>
        <v>0</v>
      </c>
      <c r="K4518" s="455">
        <f t="shared" ca="1" si="186"/>
        <v>232837136545.21628</v>
      </c>
      <c r="L4518" s="455">
        <f t="shared" ca="1" si="187"/>
        <v>56113749907397.133</v>
      </c>
      <c r="M4518" s="471">
        <f t="shared" si="189"/>
        <v>0.05</v>
      </c>
      <c r="N4518" s="475">
        <f t="shared" si="190"/>
        <v>188558</v>
      </c>
    </row>
    <row r="4519" spans="7:14" ht="11.25" customHeight="1" x14ac:dyDescent="0.3">
      <c r="G4519" s="470"/>
      <c r="H4519" s="470">
        <v>4512</v>
      </c>
      <c r="I4519" s="455">
        <f t="shared" ca="1" si="188"/>
        <v>56113749907397.133</v>
      </c>
      <c r="J4519" s="455">
        <f t="array" ref="J4519">IFERROR(INDEX('Retirement Calculator'!J:J,MATCH('Isaac 401k'!N4519,'Retirement Calculator'!A:A,0),0),0)</f>
        <v>0</v>
      </c>
      <c r="K4519" s="455">
        <f t="shared" ca="1" si="186"/>
        <v>233807291280.82138</v>
      </c>
      <c r="L4519" s="455">
        <f t="shared" ca="1" si="187"/>
        <v>56347557198677.953</v>
      </c>
      <c r="M4519" s="471">
        <f t="shared" si="189"/>
        <v>0.05</v>
      </c>
      <c r="N4519" s="475">
        <f t="shared" si="190"/>
        <v>188588</v>
      </c>
    </row>
    <row r="4520" spans="7:14" ht="11.25" customHeight="1" x14ac:dyDescent="0.3">
      <c r="G4520" s="470"/>
      <c r="H4520" s="470">
        <v>4513</v>
      </c>
      <c r="I4520" s="455">
        <f t="shared" ca="1" si="188"/>
        <v>56347557198677.953</v>
      </c>
      <c r="J4520" s="455">
        <f t="array" ref="J4520">IFERROR(INDEX('Retirement Calculator'!J:J,MATCH('Isaac 401k'!N4520,'Retirement Calculator'!A:A,0),0),0)</f>
        <v>0</v>
      </c>
      <c r="K4520" s="455">
        <f t="shared" ca="1" si="186"/>
        <v>234781488327.82477</v>
      </c>
      <c r="L4520" s="455">
        <f t="shared" ca="1" si="187"/>
        <v>56582338687005.781</v>
      </c>
      <c r="M4520" s="471">
        <f t="shared" si="189"/>
        <v>0.05</v>
      </c>
      <c r="N4520" s="475">
        <f t="shared" si="190"/>
        <v>188619</v>
      </c>
    </row>
    <row r="4521" spans="7:14" ht="11.25" customHeight="1" x14ac:dyDescent="0.3">
      <c r="G4521" s="470"/>
      <c r="H4521" s="470">
        <v>4514</v>
      </c>
      <c r="I4521" s="455">
        <f t="shared" ca="1" si="188"/>
        <v>56582338687005.781</v>
      </c>
      <c r="J4521" s="455">
        <f t="array" ref="J4521">IFERROR(INDEX('Retirement Calculator'!J:J,MATCH('Isaac 401k'!N4521,'Retirement Calculator'!A:A,0),0),0)</f>
        <v>0</v>
      </c>
      <c r="K4521" s="455">
        <f t="shared" ca="1" si="186"/>
        <v>235759744529.1907</v>
      </c>
      <c r="L4521" s="455">
        <f t="shared" ca="1" si="187"/>
        <v>56818098431534.969</v>
      </c>
      <c r="M4521" s="471">
        <f t="shared" si="189"/>
        <v>0.05</v>
      </c>
      <c r="N4521" s="475">
        <f t="shared" si="190"/>
        <v>188649</v>
      </c>
    </row>
    <row r="4522" spans="7:14" ht="11.25" customHeight="1" x14ac:dyDescent="0.3">
      <c r="G4522" s="470"/>
      <c r="H4522" s="470">
        <v>4515</v>
      </c>
      <c r="I4522" s="455">
        <f t="shared" ca="1" si="188"/>
        <v>56818098431534.969</v>
      </c>
      <c r="J4522" s="455">
        <f t="array" ref="J4522">IFERROR(INDEX('Retirement Calculator'!J:J,MATCH('Isaac 401k'!N4522,'Retirement Calculator'!A:A,0),0),0)</f>
        <v>0</v>
      </c>
      <c r="K4522" s="455">
        <f t="shared" ca="1" si="186"/>
        <v>236742076798.06238</v>
      </c>
      <c r="L4522" s="455">
        <f t="shared" ca="1" si="187"/>
        <v>57054840508333.031</v>
      </c>
      <c r="M4522" s="471">
        <f t="shared" si="189"/>
        <v>0.05</v>
      </c>
      <c r="N4522" s="475">
        <f t="shared" si="190"/>
        <v>188680</v>
      </c>
    </row>
    <row r="4523" spans="7:14" ht="11.25" customHeight="1" x14ac:dyDescent="0.3">
      <c r="G4523" s="470"/>
      <c r="H4523" s="470">
        <v>4516</v>
      </c>
      <c r="I4523" s="455">
        <f t="shared" ca="1" si="188"/>
        <v>57054840508333.031</v>
      </c>
      <c r="J4523" s="455">
        <f t="array" ref="J4523">IFERROR(INDEX('Retirement Calculator'!J:J,MATCH('Isaac 401k'!N4523,'Retirement Calculator'!A:A,0),0),0)</f>
        <v>0</v>
      </c>
      <c r="K4523" s="455">
        <f t="shared" ca="1" si="186"/>
        <v>237728502118.05429</v>
      </c>
      <c r="L4523" s="455">
        <f t="shared" ca="1" si="187"/>
        <v>57292569010451.086</v>
      </c>
      <c r="M4523" s="471">
        <f t="shared" si="189"/>
        <v>0.05</v>
      </c>
      <c r="N4523" s="475">
        <f t="shared" si="190"/>
        <v>188711</v>
      </c>
    </row>
    <row r="4524" spans="7:14" ht="11.25" customHeight="1" x14ac:dyDescent="0.3">
      <c r="G4524" s="470"/>
      <c r="H4524" s="470">
        <v>4517</v>
      </c>
      <c r="I4524" s="455">
        <f t="shared" ca="1" si="188"/>
        <v>57292569010451.086</v>
      </c>
      <c r="J4524" s="455">
        <f t="array" ref="J4524">IFERROR(INDEX('Retirement Calculator'!J:J,MATCH('Isaac 401k'!N4524,'Retirement Calculator'!A:A,0),0),0)</f>
        <v>0</v>
      </c>
      <c r="K4524" s="455">
        <f t="shared" ca="1" si="186"/>
        <v>238719037543.54617</v>
      </c>
      <c r="L4524" s="455">
        <f t="shared" ca="1" si="187"/>
        <v>57531288047994.633</v>
      </c>
      <c r="M4524" s="471">
        <f t="shared" si="189"/>
        <v>0.05</v>
      </c>
      <c r="N4524" s="475">
        <f t="shared" si="190"/>
        <v>188741</v>
      </c>
    </row>
    <row r="4525" spans="7:14" ht="11.25" customHeight="1" x14ac:dyDescent="0.3">
      <c r="G4525" s="470"/>
      <c r="H4525" s="470">
        <v>4518</v>
      </c>
      <c r="I4525" s="455">
        <f t="shared" ca="1" si="188"/>
        <v>57531288047994.633</v>
      </c>
      <c r="J4525" s="455">
        <f t="array" ref="J4525">IFERROR(INDEX('Retirement Calculator'!J:J,MATCH('Isaac 401k'!N4525,'Retirement Calculator'!A:A,0),0),0)</f>
        <v>0</v>
      </c>
      <c r="K4525" s="455">
        <f t="shared" ca="1" si="186"/>
        <v>239713700199.97763</v>
      </c>
      <c r="L4525" s="455">
        <f t="shared" ca="1" si="187"/>
        <v>57771001748194.609</v>
      </c>
      <c r="M4525" s="471">
        <f t="shared" si="189"/>
        <v>0.05</v>
      </c>
      <c r="N4525" s="475">
        <f t="shared" si="190"/>
        <v>188772</v>
      </c>
    </row>
    <row r="4526" spans="7:14" ht="11.25" customHeight="1" x14ac:dyDescent="0.3">
      <c r="G4526" s="470"/>
      <c r="H4526" s="470">
        <v>4519</v>
      </c>
      <c r="I4526" s="455">
        <f t="shared" ca="1" si="188"/>
        <v>57771001748194.609</v>
      </c>
      <c r="J4526" s="455">
        <f t="array" ref="J4526">IFERROR(INDEX('Retirement Calculator'!J:J,MATCH('Isaac 401k'!N4526,'Retirement Calculator'!A:A,0),0),0)</f>
        <v>0</v>
      </c>
      <c r="K4526" s="455">
        <f t="shared" ca="1" si="186"/>
        <v>240712507284.1442</v>
      </c>
      <c r="L4526" s="455">
        <f t="shared" ca="1" si="187"/>
        <v>58011714255478.75</v>
      </c>
      <c r="M4526" s="471">
        <f t="shared" si="189"/>
        <v>0.05</v>
      </c>
      <c r="N4526" s="475">
        <f t="shared" si="190"/>
        <v>188802</v>
      </c>
    </row>
    <row r="4527" spans="7:14" ht="11.25" customHeight="1" x14ac:dyDescent="0.3">
      <c r="G4527" s="470"/>
      <c r="H4527" s="470">
        <v>4520</v>
      </c>
      <c r="I4527" s="455">
        <f t="shared" ca="1" si="188"/>
        <v>58011714255478.75</v>
      </c>
      <c r="J4527" s="455">
        <f t="array" ref="J4527">IFERROR(INDEX('Retirement Calculator'!J:J,MATCH('Isaac 401k'!N4527,'Retirement Calculator'!A:A,0),0),0)</f>
        <v>0</v>
      </c>
      <c r="K4527" s="455">
        <f t="shared" ca="1" si="186"/>
        <v>241715476064.49478</v>
      </c>
      <c r="L4527" s="455">
        <f t="shared" ca="1" si="187"/>
        <v>58253429731543.242</v>
      </c>
      <c r="M4527" s="471">
        <f t="shared" si="189"/>
        <v>0.05</v>
      </c>
      <c r="N4527" s="475">
        <f t="shared" si="190"/>
        <v>188833</v>
      </c>
    </row>
    <row r="4528" spans="7:14" ht="11.25" customHeight="1" x14ac:dyDescent="0.3">
      <c r="G4528" s="470"/>
      <c r="H4528" s="470">
        <v>4521</v>
      </c>
      <c r="I4528" s="455">
        <f t="shared" ca="1" si="188"/>
        <v>58253429731543.242</v>
      </c>
      <c r="J4528" s="455">
        <f t="array" ref="J4528">IFERROR(INDEX('Retirement Calculator'!J:J,MATCH('Isaac 401k'!N4528,'Retirement Calculator'!A:A,0),0),0)</f>
        <v>0</v>
      </c>
      <c r="K4528" s="455">
        <f t="shared" ca="1" si="186"/>
        <v>242722623881.43018</v>
      </c>
      <c r="L4528" s="455">
        <f t="shared" ca="1" si="187"/>
        <v>58496152355424.672</v>
      </c>
      <c r="M4528" s="471">
        <f t="shared" si="189"/>
        <v>0.05</v>
      </c>
      <c r="N4528" s="475">
        <f t="shared" si="190"/>
        <v>188864</v>
      </c>
    </row>
    <row r="4529" spans="7:14" ht="11.25" customHeight="1" x14ac:dyDescent="0.3">
      <c r="G4529" s="470"/>
      <c r="H4529" s="470">
        <v>4522</v>
      </c>
      <c r="I4529" s="455">
        <f t="shared" ca="1" si="188"/>
        <v>58496152355424.672</v>
      </c>
      <c r="J4529" s="455">
        <f t="array" ref="J4529">IFERROR(INDEX('Retirement Calculator'!J:J,MATCH('Isaac 401k'!N4529,'Retirement Calculator'!A:A,0),0),0)</f>
        <v>0</v>
      </c>
      <c r="K4529" s="455">
        <f t="shared" ca="1" si="186"/>
        <v>243733968147.60281</v>
      </c>
      <c r="L4529" s="455">
        <f t="shared" ca="1" si="187"/>
        <v>58739886323572.273</v>
      </c>
      <c r="M4529" s="471">
        <f t="shared" si="189"/>
        <v>0.05</v>
      </c>
      <c r="N4529" s="475">
        <f t="shared" si="190"/>
        <v>188892</v>
      </c>
    </row>
    <row r="4530" spans="7:14" ht="11.25" customHeight="1" x14ac:dyDescent="0.3">
      <c r="G4530" s="470"/>
      <c r="H4530" s="470">
        <v>4523</v>
      </c>
      <c r="I4530" s="455">
        <f t="shared" ca="1" si="188"/>
        <v>58739886323572.273</v>
      </c>
      <c r="J4530" s="455">
        <f t="array" ref="J4530">IFERROR(INDEX('Retirement Calculator'!J:J,MATCH('Isaac 401k'!N4530,'Retirement Calculator'!A:A,0),0),0)</f>
        <v>0</v>
      </c>
      <c r="K4530" s="455">
        <f t="shared" ca="1" si="186"/>
        <v>244749526348.2178</v>
      </c>
      <c r="L4530" s="455">
        <f t="shared" ca="1" si="187"/>
        <v>58984635849920.492</v>
      </c>
      <c r="M4530" s="471">
        <f t="shared" si="189"/>
        <v>0.05</v>
      </c>
      <c r="N4530" s="475">
        <f t="shared" si="190"/>
        <v>188923</v>
      </c>
    </row>
    <row r="4531" spans="7:14" ht="11.25" customHeight="1" x14ac:dyDescent="0.3">
      <c r="G4531" s="470"/>
      <c r="H4531" s="470">
        <v>4524</v>
      </c>
      <c r="I4531" s="455">
        <f t="shared" ca="1" si="188"/>
        <v>58984635849920.492</v>
      </c>
      <c r="J4531" s="455">
        <f t="array" ref="J4531">IFERROR(INDEX('Retirement Calculator'!J:J,MATCH('Isaac 401k'!N4531,'Retirement Calculator'!A:A,0),0),0)</f>
        <v>0</v>
      </c>
      <c r="K4531" s="455">
        <f t="shared" ca="1" si="186"/>
        <v>245769316041.33542</v>
      </c>
      <c r="L4531" s="455">
        <f t="shared" ca="1" si="187"/>
        <v>59230405165961.828</v>
      </c>
      <c r="M4531" s="471">
        <f t="shared" si="189"/>
        <v>0.05</v>
      </c>
      <c r="N4531" s="475">
        <f t="shared" si="190"/>
        <v>188953</v>
      </c>
    </row>
    <row r="4532" spans="7:14" ht="11.25" customHeight="1" x14ac:dyDescent="0.3">
      <c r="G4532" s="470"/>
      <c r="H4532" s="470">
        <v>4525</v>
      </c>
      <c r="I4532" s="455">
        <f t="shared" ca="1" si="188"/>
        <v>59230405165961.828</v>
      </c>
      <c r="J4532" s="455">
        <f t="array" ref="J4532">IFERROR(INDEX('Retirement Calculator'!J:J,MATCH('Isaac 401k'!N4532,'Retirement Calculator'!A:A,0),0),0)</f>
        <v>0</v>
      </c>
      <c r="K4532" s="455">
        <f t="shared" ca="1" si="186"/>
        <v>246793354858.17429</v>
      </c>
      <c r="L4532" s="455">
        <f t="shared" ca="1" si="187"/>
        <v>59477198520820</v>
      </c>
      <c r="M4532" s="471">
        <f t="shared" si="189"/>
        <v>0.05</v>
      </c>
      <c r="N4532" s="475">
        <f t="shared" si="190"/>
        <v>188984</v>
      </c>
    </row>
    <row r="4533" spans="7:14" ht="11.25" customHeight="1" x14ac:dyDescent="0.3">
      <c r="G4533" s="470"/>
      <c r="H4533" s="470">
        <v>4526</v>
      </c>
      <c r="I4533" s="455">
        <f t="shared" ca="1" si="188"/>
        <v>59477198520820</v>
      </c>
      <c r="J4533" s="455">
        <f t="array" ref="J4533">IFERROR(INDEX('Retirement Calculator'!J:J,MATCH('Isaac 401k'!N4533,'Retirement Calculator'!A:A,0),0),0)</f>
        <v>0</v>
      </c>
      <c r="K4533" s="455">
        <f t="shared" ca="1" si="186"/>
        <v>247821660503.41669</v>
      </c>
      <c r="L4533" s="455">
        <f t="shared" ca="1" si="187"/>
        <v>59725020181323.414</v>
      </c>
      <c r="M4533" s="471">
        <f t="shared" si="189"/>
        <v>0.05</v>
      </c>
      <c r="N4533" s="475">
        <f t="shared" si="190"/>
        <v>189014</v>
      </c>
    </row>
    <row r="4534" spans="7:14" ht="11.25" customHeight="1" x14ac:dyDescent="0.3">
      <c r="G4534" s="470"/>
      <c r="H4534" s="470">
        <v>4527</v>
      </c>
      <c r="I4534" s="455">
        <f t="shared" ca="1" si="188"/>
        <v>59725020181323.414</v>
      </c>
      <c r="J4534" s="455">
        <f t="array" ref="J4534">IFERROR(INDEX('Retirement Calculator'!J:J,MATCH('Isaac 401k'!N4534,'Retirement Calculator'!A:A,0),0),0)</f>
        <v>0</v>
      </c>
      <c r="K4534" s="455">
        <f t="shared" ca="1" si="186"/>
        <v>248854250755.51422</v>
      </c>
      <c r="L4534" s="455">
        <f t="shared" ca="1" si="187"/>
        <v>59973874432078.93</v>
      </c>
      <c r="M4534" s="471">
        <f t="shared" si="189"/>
        <v>0.05</v>
      </c>
      <c r="N4534" s="475">
        <f t="shared" si="190"/>
        <v>189045</v>
      </c>
    </row>
    <row r="4535" spans="7:14" ht="11.25" customHeight="1" x14ac:dyDescent="0.3">
      <c r="G4535" s="470"/>
      <c r="H4535" s="470">
        <v>4528</v>
      </c>
      <c r="I4535" s="455">
        <f t="shared" ca="1" si="188"/>
        <v>59973874432078.93</v>
      </c>
      <c r="J4535" s="455">
        <f t="array" ref="J4535">IFERROR(INDEX('Retirement Calculator'!J:J,MATCH('Isaac 401k'!N4535,'Retirement Calculator'!A:A,0),0),0)</f>
        <v>0</v>
      </c>
      <c r="K4535" s="455">
        <f t="shared" ca="1" si="186"/>
        <v>249891143466.99554</v>
      </c>
      <c r="L4535" s="455">
        <f t="shared" ca="1" si="187"/>
        <v>60223765575545.922</v>
      </c>
      <c r="M4535" s="471">
        <f t="shared" si="189"/>
        <v>0.05</v>
      </c>
      <c r="N4535" s="475">
        <f t="shared" si="190"/>
        <v>189076</v>
      </c>
    </row>
    <row r="4536" spans="7:14" ht="11.25" customHeight="1" x14ac:dyDescent="0.3">
      <c r="G4536" s="470"/>
      <c r="H4536" s="470">
        <v>4529</v>
      </c>
      <c r="I4536" s="455">
        <f t="shared" ca="1" si="188"/>
        <v>60223765575545.922</v>
      </c>
      <c r="J4536" s="455">
        <f t="array" ref="J4536">IFERROR(INDEX('Retirement Calculator'!J:J,MATCH('Isaac 401k'!N4536,'Retirement Calculator'!A:A,0),0),0)</f>
        <v>0</v>
      </c>
      <c r="K4536" s="455">
        <f t="shared" ca="1" si="186"/>
        <v>250932356564.77466</v>
      </c>
      <c r="L4536" s="455">
        <f t="shared" ca="1" si="187"/>
        <v>60474697932110.695</v>
      </c>
      <c r="M4536" s="471">
        <f t="shared" si="189"/>
        <v>0.05</v>
      </c>
      <c r="N4536" s="475">
        <f t="shared" si="190"/>
        <v>189106</v>
      </c>
    </row>
    <row r="4537" spans="7:14" ht="11.25" customHeight="1" x14ac:dyDescent="0.3">
      <c r="G4537" s="470"/>
      <c r="H4537" s="470">
        <v>4530</v>
      </c>
      <c r="I4537" s="455">
        <f t="shared" ca="1" si="188"/>
        <v>60474697932110.695</v>
      </c>
      <c r="J4537" s="455">
        <f t="array" ref="J4537">IFERROR(INDEX('Retirement Calculator'!J:J,MATCH('Isaac 401k'!N4537,'Retirement Calculator'!A:A,0),0),0)</f>
        <v>0</v>
      </c>
      <c r="K4537" s="455">
        <f t="shared" ca="1" si="186"/>
        <v>251977908050.46118</v>
      </c>
      <c r="L4537" s="455">
        <f t="shared" ca="1" si="187"/>
        <v>60726675840161.156</v>
      </c>
      <c r="M4537" s="471">
        <f t="shared" si="189"/>
        <v>0.05</v>
      </c>
      <c r="N4537" s="475">
        <f t="shared" si="190"/>
        <v>189137</v>
      </c>
    </row>
    <row r="4538" spans="7:14" ht="11.25" customHeight="1" x14ac:dyDescent="0.3">
      <c r="G4538" s="470"/>
      <c r="H4538" s="470">
        <v>4531</v>
      </c>
      <c r="I4538" s="455">
        <f t="shared" ca="1" si="188"/>
        <v>60726675840161.156</v>
      </c>
      <c r="J4538" s="455">
        <f t="array" ref="J4538">IFERROR(INDEX('Retirement Calculator'!J:J,MATCH('Isaac 401k'!N4538,'Retirement Calculator'!A:A,0),0),0)</f>
        <v>0</v>
      </c>
      <c r="K4538" s="455">
        <f t="shared" ca="1" si="186"/>
        <v>253027816000.67148</v>
      </c>
      <c r="L4538" s="455">
        <f t="shared" ca="1" si="187"/>
        <v>60979703656161.828</v>
      </c>
      <c r="M4538" s="471">
        <f t="shared" si="189"/>
        <v>0.05</v>
      </c>
      <c r="N4538" s="475">
        <f t="shared" si="190"/>
        <v>189167</v>
      </c>
    </row>
    <row r="4539" spans="7:14" ht="11.25" customHeight="1" x14ac:dyDescent="0.3">
      <c r="G4539" s="470"/>
      <c r="H4539" s="470">
        <v>4532</v>
      </c>
      <c r="I4539" s="455">
        <f t="shared" ca="1" si="188"/>
        <v>60979703656161.828</v>
      </c>
      <c r="J4539" s="455">
        <f t="array" ref="J4539">IFERROR(INDEX('Retirement Calculator'!J:J,MATCH('Isaac 401k'!N4539,'Retirement Calculator'!A:A,0),0),0)</f>
        <v>0</v>
      </c>
      <c r="K4539" s="455">
        <f t="shared" ca="1" si="186"/>
        <v>254082098567.34094</v>
      </c>
      <c r="L4539" s="455">
        <f t="shared" ca="1" si="187"/>
        <v>61233785754729.172</v>
      </c>
      <c r="M4539" s="471">
        <f t="shared" si="189"/>
        <v>0.05</v>
      </c>
      <c r="N4539" s="475">
        <f t="shared" si="190"/>
        <v>189198</v>
      </c>
    </row>
    <row r="4540" spans="7:14" ht="11.25" customHeight="1" x14ac:dyDescent="0.3">
      <c r="G4540" s="470"/>
      <c r="H4540" s="470">
        <v>4533</v>
      </c>
      <c r="I4540" s="455">
        <f t="shared" ca="1" si="188"/>
        <v>61233785754729.172</v>
      </c>
      <c r="J4540" s="455">
        <f t="array" ref="J4540">IFERROR(INDEX('Retirement Calculator'!J:J,MATCH('Isaac 401k'!N4540,'Retirement Calculator'!A:A,0),0),0)</f>
        <v>0</v>
      </c>
      <c r="K4540" s="455">
        <f t="shared" ca="1" si="186"/>
        <v>255140773978.03818</v>
      </c>
      <c r="L4540" s="455">
        <f t="shared" ca="1" si="187"/>
        <v>61488926528707.211</v>
      </c>
      <c r="M4540" s="471">
        <f t="shared" si="189"/>
        <v>0.05</v>
      </c>
      <c r="N4540" s="475">
        <f t="shared" si="190"/>
        <v>189229</v>
      </c>
    </row>
    <row r="4541" spans="7:14" ht="11.25" customHeight="1" x14ac:dyDescent="0.3">
      <c r="G4541" s="470"/>
      <c r="H4541" s="470">
        <v>4534</v>
      </c>
      <c r="I4541" s="455">
        <f t="shared" ca="1" si="188"/>
        <v>61488926528707.211</v>
      </c>
      <c r="J4541" s="455">
        <f t="array" ref="J4541">IFERROR(INDEX('Retirement Calculator'!J:J,MATCH('Isaac 401k'!N4541,'Retirement Calculator'!A:A,0),0),0)</f>
        <v>0</v>
      </c>
      <c r="K4541" s="455">
        <f t="shared" ca="1" si="186"/>
        <v>256203860536.28003</v>
      </c>
      <c r="L4541" s="455">
        <f t="shared" ca="1" si="187"/>
        <v>61745130389243.492</v>
      </c>
      <c r="M4541" s="471">
        <f t="shared" si="189"/>
        <v>0.05</v>
      </c>
      <c r="N4541" s="475">
        <f t="shared" si="190"/>
        <v>189257</v>
      </c>
    </row>
    <row r="4542" spans="7:14" ht="11.25" customHeight="1" x14ac:dyDescent="0.3">
      <c r="G4542" s="470"/>
      <c r="H4542" s="470">
        <v>4535</v>
      </c>
      <c r="I4542" s="455">
        <f t="shared" ca="1" si="188"/>
        <v>61745130389243.492</v>
      </c>
      <c r="J4542" s="455">
        <f t="array" ref="J4542">IFERROR(INDEX('Retirement Calculator'!J:J,MATCH('Isaac 401k'!N4542,'Retirement Calculator'!A:A,0),0),0)</f>
        <v>0</v>
      </c>
      <c r="K4542" s="455">
        <f t="shared" ca="1" si="186"/>
        <v>257271376621.84787</v>
      </c>
      <c r="L4542" s="455">
        <f t="shared" ca="1" si="187"/>
        <v>62002401765865.344</v>
      </c>
      <c r="M4542" s="471">
        <f t="shared" si="189"/>
        <v>0.05</v>
      </c>
      <c r="N4542" s="475">
        <f t="shared" si="190"/>
        <v>189288</v>
      </c>
    </row>
    <row r="4543" spans="7:14" ht="11.25" customHeight="1" x14ac:dyDescent="0.3">
      <c r="G4543" s="470"/>
      <c r="H4543" s="470">
        <v>4536</v>
      </c>
      <c r="I4543" s="455">
        <f t="shared" ca="1" si="188"/>
        <v>62002401765865.344</v>
      </c>
      <c r="J4543" s="455">
        <f t="array" ref="J4543">IFERROR(INDEX('Retirement Calculator'!J:J,MATCH('Isaac 401k'!N4543,'Retirement Calculator'!A:A,0),0),0)</f>
        <v>0</v>
      </c>
      <c r="K4543" s="455">
        <f t="shared" ca="1" si="186"/>
        <v>258343340691.10559</v>
      </c>
      <c r="L4543" s="455">
        <f t="shared" ca="1" si="187"/>
        <v>62260745106556.453</v>
      </c>
      <c r="M4543" s="471">
        <f t="shared" si="189"/>
        <v>0.05</v>
      </c>
      <c r="N4543" s="475">
        <f t="shared" si="190"/>
        <v>189318</v>
      </c>
    </row>
    <row r="4544" spans="7:14" ht="11.25" customHeight="1" x14ac:dyDescent="0.3">
      <c r="G4544" s="470"/>
      <c r="H4544" s="470">
        <v>4537</v>
      </c>
      <c r="I4544" s="455">
        <f t="shared" ca="1" si="188"/>
        <v>62260745106556.453</v>
      </c>
      <c r="J4544" s="455">
        <f t="array" ref="J4544">IFERROR(INDEX('Retirement Calculator'!J:J,MATCH('Isaac 401k'!N4544,'Retirement Calculator'!A:A,0),0),0)</f>
        <v>0</v>
      </c>
      <c r="K4544" s="455">
        <f t="shared" ca="1" si="186"/>
        <v>259419771277.31851</v>
      </c>
      <c r="L4544" s="455">
        <f t="shared" ca="1" si="187"/>
        <v>62520164877833.773</v>
      </c>
      <c r="M4544" s="471">
        <f t="shared" si="189"/>
        <v>0.05</v>
      </c>
      <c r="N4544" s="475">
        <f t="shared" si="190"/>
        <v>189349</v>
      </c>
    </row>
    <row r="4545" spans="7:14" ht="11.25" customHeight="1" x14ac:dyDescent="0.3">
      <c r="G4545" s="470"/>
      <c r="H4545" s="470">
        <v>4538</v>
      </c>
      <c r="I4545" s="455">
        <f t="shared" ca="1" si="188"/>
        <v>62520164877833.773</v>
      </c>
      <c r="J4545" s="455">
        <f t="array" ref="J4545">IFERROR(INDEX('Retirement Calculator'!J:J,MATCH('Isaac 401k'!N4545,'Retirement Calculator'!A:A,0),0),0)</f>
        <v>0</v>
      </c>
      <c r="K4545" s="455">
        <f t="shared" ca="1" si="186"/>
        <v>260500686990.97403</v>
      </c>
      <c r="L4545" s="455">
        <f t="shared" ca="1" si="187"/>
        <v>62780665564824.75</v>
      </c>
      <c r="M4545" s="471">
        <f t="shared" si="189"/>
        <v>0.05</v>
      </c>
      <c r="N4545" s="475">
        <f t="shared" si="190"/>
        <v>189379</v>
      </c>
    </row>
    <row r="4546" spans="7:14" ht="11.25" customHeight="1" x14ac:dyDescent="0.3">
      <c r="G4546" s="470"/>
      <c r="H4546" s="470">
        <v>4539</v>
      </c>
      <c r="I4546" s="455">
        <f t="shared" ca="1" si="188"/>
        <v>62780665564824.75</v>
      </c>
      <c r="J4546" s="455">
        <f t="array" ref="J4546">IFERROR(INDEX('Retirement Calculator'!J:J,MATCH('Isaac 401k'!N4546,'Retirement Calculator'!A:A,0),0),0)</f>
        <v>0</v>
      </c>
      <c r="K4546" s="455">
        <f t="shared" ca="1" si="186"/>
        <v>261586106520.10312</v>
      </c>
      <c r="L4546" s="455">
        <f t="shared" ca="1" si="187"/>
        <v>63042251671344.852</v>
      </c>
      <c r="M4546" s="471">
        <f t="shared" si="189"/>
        <v>0.05</v>
      </c>
      <c r="N4546" s="475">
        <f t="shared" si="190"/>
        <v>189410</v>
      </c>
    </row>
    <row r="4547" spans="7:14" ht="11.25" customHeight="1" x14ac:dyDescent="0.3">
      <c r="G4547" s="470"/>
      <c r="H4547" s="470">
        <v>4540</v>
      </c>
      <c r="I4547" s="455">
        <f t="shared" ca="1" si="188"/>
        <v>63042251671344.852</v>
      </c>
      <c r="J4547" s="455">
        <f t="array" ref="J4547">IFERROR(INDEX('Retirement Calculator'!J:J,MATCH('Isaac 401k'!N4547,'Retirement Calculator'!A:A,0),0),0)</f>
        <v>0</v>
      </c>
      <c r="K4547" s="455">
        <f t="shared" ca="1" si="186"/>
        <v>262676048630.60355</v>
      </c>
      <c r="L4547" s="455">
        <f t="shared" ca="1" si="187"/>
        <v>63304927719975.453</v>
      </c>
      <c r="M4547" s="471">
        <f t="shared" si="189"/>
        <v>0.05</v>
      </c>
      <c r="N4547" s="475">
        <f t="shared" si="190"/>
        <v>189441</v>
      </c>
    </row>
    <row r="4548" spans="7:14" ht="11.25" customHeight="1" x14ac:dyDescent="0.3">
      <c r="G4548" s="470"/>
      <c r="H4548" s="470">
        <v>4541</v>
      </c>
      <c r="I4548" s="455">
        <f t="shared" ca="1" si="188"/>
        <v>63304927719975.453</v>
      </c>
      <c r="J4548" s="455">
        <f t="array" ref="J4548">IFERROR(INDEX('Retirement Calculator'!J:J,MATCH('Isaac 401k'!N4548,'Retirement Calculator'!A:A,0),0),0)</f>
        <v>0</v>
      </c>
      <c r="K4548" s="455">
        <f t="shared" ca="1" si="186"/>
        <v>263770532166.56436</v>
      </c>
      <c r="L4548" s="455">
        <f t="shared" ca="1" si="187"/>
        <v>63568698252142.016</v>
      </c>
      <c r="M4548" s="471">
        <f t="shared" si="189"/>
        <v>0.05</v>
      </c>
      <c r="N4548" s="475">
        <f t="shared" si="190"/>
        <v>189471</v>
      </c>
    </row>
    <row r="4549" spans="7:14" ht="11.25" customHeight="1" x14ac:dyDescent="0.3">
      <c r="G4549" s="470"/>
      <c r="H4549" s="470">
        <v>4542</v>
      </c>
      <c r="I4549" s="455">
        <f t="shared" ca="1" si="188"/>
        <v>63568698252142.016</v>
      </c>
      <c r="J4549" s="455">
        <f t="array" ref="J4549">IFERROR(INDEX('Retirement Calculator'!J:J,MATCH('Isaac 401k'!N4549,'Retirement Calculator'!A:A,0),0),0)</f>
        <v>0</v>
      </c>
      <c r="K4549" s="455">
        <f t="shared" ca="1" si="186"/>
        <v>264869576050.59171</v>
      </c>
      <c r="L4549" s="455">
        <f t="shared" ca="1" si="187"/>
        <v>63833567828192.609</v>
      </c>
      <c r="M4549" s="471">
        <f t="shared" si="189"/>
        <v>0.05</v>
      </c>
      <c r="N4549" s="475">
        <f t="shared" si="190"/>
        <v>189502</v>
      </c>
    </row>
    <row r="4550" spans="7:14" ht="11.25" customHeight="1" x14ac:dyDescent="0.3">
      <c r="G4550" s="470"/>
      <c r="H4550" s="470">
        <v>4543</v>
      </c>
      <c r="I4550" s="455">
        <f t="shared" ca="1" si="188"/>
        <v>63833567828192.609</v>
      </c>
      <c r="J4550" s="455">
        <f t="array" ref="J4550">IFERROR(INDEX('Retirement Calculator'!J:J,MATCH('Isaac 401k'!N4550,'Retirement Calculator'!A:A,0),0),0)</f>
        <v>0</v>
      </c>
      <c r="K4550" s="455">
        <f t="shared" ca="1" si="186"/>
        <v>265973199284.13586</v>
      </c>
      <c r="L4550" s="455">
        <f t="shared" ca="1" si="187"/>
        <v>64099541027476.742</v>
      </c>
      <c r="M4550" s="471">
        <f t="shared" si="189"/>
        <v>0.05</v>
      </c>
      <c r="N4550" s="475">
        <f t="shared" si="190"/>
        <v>189532</v>
      </c>
    </row>
    <row r="4551" spans="7:14" ht="11.25" customHeight="1" x14ac:dyDescent="0.3">
      <c r="G4551" s="470"/>
      <c r="H4551" s="470">
        <v>4544</v>
      </c>
      <c r="I4551" s="455">
        <f t="shared" ca="1" si="188"/>
        <v>64099541027476.742</v>
      </c>
      <c r="J4551" s="455">
        <f t="array" ref="J4551">IFERROR(INDEX('Retirement Calculator'!J:J,MATCH('Isaac 401k'!N4551,'Retirement Calculator'!A:A,0),0),0)</f>
        <v>0</v>
      </c>
      <c r="K4551" s="455">
        <f t="shared" ca="1" si="186"/>
        <v>267081420947.81976</v>
      </c>
      <c r="L4551" s="455">
        <f t="shared" ca="1" si="187"/>
        <v>64366622448424.563</v>
      </c>
      <c r="M4551" s="471">
        <f t="shared" si="189"/>
        <v>0.05</v>
      </c>
      <c r="N4551" s="475">
        <f t="shared" si="190"/>
        <v>189563</v>
      </c>
    </row>
    <row r="4552" spans="7:14" ht="11.25" customHeight="1" x14ac:dyDescent="0.3">
      <c r="G4552" s="470"/>
      <c r="H4552" s="470">
        <v>4545</v>
      </c>
      <c r="I4552" s="455">
        <f t="shared" ca="1" si="188"/>
        <v>64366622448424.563</v>
      </c>
      <c r="J4552" s="455">
        <f t="array" ref="J4552">IFERROR(INDEX('Retirement Calculator'!J:J,MATCH('Isaac 401k'!N4552,'Retirement Calculator'!A:A,0),0),0)</f>
        <v>0</v>
      </c>
      <c r="K4552" s="455">
        <f t="shared" ca="1" si="186"/>
        <v>268194260201.76898</v>
      </c>
      <c r="L4552" s="455">
        <f t="shared" ca="1" si="187"/>
        <v>64634816708626.328</v>
      </c>
      <c r="M4552" s="471">
        <f t="shared" si="189"/>
        <v>0.05</v>
      </c>
      <c r="N4552" s="475">
        <f t="shared" si="190"/>
        <v>189594</v>
      </c>
    </row>
    <row r="4553" spans="7:14" ht="11.25" customHeight="1" x14ac:dyDescent="0.3">
      <c r="G4553" s="470"/>
      <c r="H4553" s="470">
        <v>4546</v>
      </c>
      <c r="I4553" s="455">
        <f t="shared" ca="1" si="188"/>
        <v>64634816708626.328</v>
      </c>
      <c r="J4553" s="455">
        <f t="array" ref="J4553">IFERROR(INDEX('Retirement Calculator'!J:J,MATCH('Isaac 401k'!N4553,'Retirement Calculator'!A:A,0),0),0)</f>
        <v>0</v>
      </c>
      <c r="K4553" s="455">
        <f t="shared" ca="1" si="186"/>
        <v>269311736285.94302</v>
      </c>
      <c r="L4553" s="455">
        <f t="shared" ca="1" si="187"/>
        <v>64904128444912.273</v>
      </c>
      <c r="M4553" s="471">
        <f t="shared" si="189"/>
        <v>0.05</v>
      </c>
      <c r="N4553" s="475">
        <f t="shared" si="190"/>
        <v>189622</v>
      </c>
    </row>
    <row r="4554" spans="7:14" ht="11.25" customHeight="1" x14ac:dyDescent="0.3">
      <c r="G4554" s="470"/>
      <c r="H4554" s="470">
        <v>4547</v>
      </c>
      <c r="I4554" s="455">
        <f t="shared" ca="1" si="188"/>
        <v>64904128444912.273</v>
      </c>
      <c r="J4554" s="455">
        <f t="array" ref="J4554">IFERROR(INDEX('Retirement Calculator'!J:J,MATCH('Isaac 401k'!N4554,'Retirement Calculator'!A:A,0),0),0)</f>
        <v>0</v>
      </c>
      <c r="K4554" s="455">
        <f t="shared" ca="1" si="186"/>
        <v>270433868520.46777</v>
      </c>
      <c r="L4554" s="455">
        <f t="shared" ca="1" si="187"/>
        <v>65174562313432.742</v>
      </c>
      <c r="M4554" s="471">
        <f t="shared" si="189"/>
        <v>0.05</v>
      </c>
      <c r="N4554" s="475">
        <f t="shared" si="190"/>
        <v>189653</v>
      </c>
    </row>
    <row r="4555" spans="7:14" ht="11.25" customHeight="1" x14ac:dyDescent="0.3">
      <c r="G4555" s="470"/>
      <c r="H4555" s="470">
        <v>4548</v>
      </c>
      <c r="I4555" s="455">
        <f t="shared" ca="1" si="188"/>
        <v>65174562313432.742</v>
      </c>
      <c r="J4555" s="455">
        <f t="array" ref="J4555">IFERROR(INDEX('Retirement Calculator'!J:J,MATCH('Isaac 401k'!N4555,'Retirement Calculator'!A:A,0),0),0)</f>
        <v>0</v>
      </c>
      <c r="K4555" s="455">
        <f t="shared" ca="1" si="186"/>
        <v>271560676305.96976</v>
      </c>
      <c r="L4555" s="455">
        <f t="shared" ca="1" si="187"/>
        <v>65446122989738.711</v>
      </c>
      <c r="M4555" s="471">
        <f t="shared" si="189"/>
        <v>0.05</v>
      </c>
      <c r="N4555" s="475">
        <f t="shared" si="190"/>
        <v>189683</v>
      </c>
    </row>
    <row r="4556" spans="7:14" ht="11.25" customHeight="1" x14ac:dyDescent="0.3">
      <c r="G4556" s="470"/>
      <c r="H4556" s="470">
        <v>4549</v>
      </c>
      <c r="I4556" s="455">
        <f t="shared" ca="1" si="188"/>
        <v>65446122989738.711</v>
      </c>
      <c r="J4556" s="455">
        <f t="array" ref="J4556">IFERROR(INDEX('Retirement Calculator'!J:J,MATCH('Isaac 401k'!N4556,'Retirement Calculator'!A:A,0),0),0)</f>
        <v>0</v>
      </c>
      <c r="K4556" s="455">
        <f t="shared" ca="1" si="186"/>
        <v>272692179123.91129</v>
      </c>
      <c r="L4556" s="455">
        <f t="shared" ca="1" si="187"/>
        <v>65718815168862.625</v>
      </c>
      <c r="M4556" s="471">
        <f t="shared" si="189"/>
        <v>0.05</v>
      </c>
      <c r="N4556" s="475">
        <f t="shared" si="190"/>
        <v>189714</v>
      </c>
    </row>
    <row r="4557" spans="7:14" ht="11.25" customHeight="1" x14ac:dyDescent="0.3">
      <c r="G4557" s="470"/>
      <c r="H4557" s="470">
        <v>4550</v>
      </c>
      <c r="I4557" s="455">
        <f t="shared" ca="1" si="188"/>
        <v>65718815168862.625</v>
      </c>
      <c r="J4557" s="455">
        <f t="array" ref="J4557">IFERROR(INDEX('Retirement Calculator'!J:J,MATCH('Isaac 401k'!N4557,'Retirement Calculator'!A:A,0),0),0)</f>
        <v>0</v>
      </c>
      <c r="K4557" s="455">
        <f t="shared" ca="1" si="186"/>
        <v>273828396536.92761</v>
      </c>
      <c r="L4557" s="455">
        <f t="shared" ca="1" si="187"/>
        <v>65992643565399.555</v>
      </c>
      <c r="M4557" s="471">
        <f t="shared" si="189"/>
        <v>0.05</v>
      </c>
      <c r="N4557" s="475">
        <f t="shared" si="190"/>
        <v>189744</v>
      </c>
    </row>
    <row r="4558" spans="7:14" ht="11.25" customHeight="1" x14ac:dyDescent="0.3">
      <c r="G4558" s="470"/>
      <c r="H4558" s="470">
        <v>4551</v>
      </c>
      <c r="I4558" s="455">
        <f t="shared" ca="1" si="188"/>
        <v>65992643565399.555</v>
      </c>
      <c r="J4558" s="455">
        <f t="array" ref="J4558">IFERROR(INDEX('Retirement Calculator'!J:J,MATCH('Isaac 401k'!N4558,'Retirement Calculator'!A:A,0),0),0)</f>
        <v>0</v>
      </c>
      <c r="K4558" s="455">
        <f t="shared" ca="1" si="186"/>
        <v>274969348189.16479</v>
      </c>
      <c r="L4558" s="455">
        <f t="shared" ca="1" si="187"/>
        <v>66267612913588.719</v>
      </c>
      <c r="M4558" s="471">
        <f t="shared" si="189"/>
        <v>0.05</v>
      </c>
      <c r="N4558" s="475">
        <f t="shared" si="190"/>
        <v>189775</v>
      </c>
    </row>
    <row r="4559" spans="7:14" ht="11.25" customHeight="1" x14ac:dyDescent="0.3">
      <c r="G4559" s="470"/>
      <c r="H4559" s="470">
        <v>4552</v>
      </c>
      <c r="I4559" s="455">
        <f t="shared" ca="1" si="188"/>
        <v>66267612913588.719</v>
      </c>
      <c r="J4559" s="455">
        <f t="array" ref="J4559">IFERROR(INDEX('Retirement Calculator'!J:J,MATCH('Isaac 401k'!N4559,'Retirement Calculator'!A:A,0),0),0)</f>
        <v>0</v>
      </c>
      <c r="K4559" s="455">
        <f t="shared" ca="1" si="186"/>
        <v>276115053806.61963</v>
      </c>
      <c r="L4559" s="455">
        <f t="shared" ca="1" si="187"/>
        <v>66543727967395.336</v>
      </c>
      <c r="M4559" s="471">
        <f t="shared" si="189"/>
        <v>0.05</v>
      </c>
      <c r="N4559" s="475">
        <f t="shared" si="190"/>
        <v>189806</v>
      </c>
    </row>
    <row r="4560" spans="7:14" ht="11.25" customHeight="1" x14ac:dyDescent="0.3">
      <c r="G4560" s="470"/>
      <c r="H4560" s="470">
        <v>4553</v>
      </c>
      <c r="I4560" s="455">
        <f t="shared" ca="1" si="188"/>
        <v>66543727967395.336</v>
      </c>
      <c r="J4560" s="455">
        <f t="array" ref="J4560">IFERROR(INDEX('Retirement Calculator'!J:J,MATCH('Isaac 401k'!N4560,'Retirement Calculator'!A:A,0),0),0)</f>
        <v>0</v>
      </c>
      <c r="K4560" s="455">
        <f t="shared" ca="1" si="186"/>
        <v>277265533197.48059</v>
      </c>
      <c r="L4560" s="455">
        <f t="shared" ca="1" si="187"/>
        <v>66820993500592.82</v>
      </c>
      <c r="M4560" s="471">
        <f t="shared" si="189"/>
        <v>0.05</v>
      </c>
      <c r="N4560" s="475">
        <f t="shared" si="190"/>
        <v>189836</v>
      </c>
    </row>
    <row r="4561" spans="7:14" ht="11.25" customHeight="1" x14ac:dyDescent="0.3">
      <c r="G4561" s="470"/>
      <c r="H4561" s="470">
        <v>4554</v>
      </c>
      <c r="I4561" s="455">
        <f t="shared" ca="1" si="188"/>
        <v>66820993500592.82</v>
      </c>
      <c r="J4561" s="455">
        <f t="array" ref="J4561">IFERROR(INDEX('Retirement Calculator'!J:J,MATCH('Isaac 401k'!N4561,'Retirement Calculator'!A:A,0),0),0)</f>
        <v>0</v>
      </c>
      <c r="K4561" s="455">
        <f t="shared" ca="1" si="186"/>
        <v>278420806252.47009</v>
      </c>
      <c r="L4561" s="455">
        <f t="shared" ca="1" si="187"/>
        <v>67099414306845.289</v>
      </c>
      <c r="M4561" s="471">
        <f t="shared" si="189"/>
        <v>0.05</v>
      </c>
      <c r="N4561" s="475">
        <f t="shared" si="190"/>
        <v>189867</v>
      </c>
    </row>
    <row r="4562" spans="7:14" ht="11.25" customHeight="1" x14ac:dyDescent="0.3">
      <c r="G4562" s="470"/>
      <c r="H4562" s="470">
        <v>4555</v>
      </c>
      <c r="I4562" s="455">
        <f t="shared" ca="1" si="188"/>
        <v>67099414306845.289</v>
      </c>
      <c r="J4562" s="455">
        <f t="array" ref="J4562">IFERROR(INDEX('Retirement Calculator'!J:J,MATCH('Isaac 401k'!N4562,'Retirement Calculator'!A:A,0),0),0)</f>
        <v>0</v>
      </c>
      <c r="K4562" s="455">
        <f t="shared" ca="1" si="186"/>
        <v>279580892945.18872</v>
      </c>
      <c r="L4562" s="455">
        <f t="shared" ca="1" si="187"/>
        <v>67378995199790.477</v>
      </c>
      <c r="M4562" s="471">
        <f t="shared" si="189"/>
        <v>0.05</v>
      </c>
      <c r="N4562" s="475">
        <f t="shared" si="190"/>
        <v>189897</v>
      </c>
    </row>
    <row r="4563" spans="7:14" ht="11.25" customHeight="1" x14ac:dyDescent="0.3">
      <c r="G4563" s="470"/>
      <c r="H4563" s="470">
        <v>4556</v>
      </c>
      <c r="I4563" s="455">
        <f t="shared" ca="1" si="188"/>
        <v>67378995199790.477</v>
      </c>
      <c r="J4563" s="455">
        <f t="array" ref="J4563">IFERROR(INDEX('Retirement Calculator'!J:J,MATCH('Isaac 401k'!N4563,'Retirement Calculator'!A:A,0),0),0)</f>
        <v>0</v>
      </c>
      <c r="K4563" s="455">
        <f t="shared" ca="1" si="186"/>
        <v>280745813332.46033</v>
      </c>
      <c r="L4563" s="455">
        <f t="shared" ca="1" si="187"/>
        <v>67659741013122.938</v>
      </c>
      <c r="M4563" s="471">
        <f t="shared" si="189"/>
        <v>0.05</v>
      </c>
      <c r="N4563" s="475">
        <f t="shared" si="190"/>
        <v>189928</v>
      </c>
    </row>
    <row r="4564" spans="7:14" ht="11.25" customHeight="1" x14ac:dyDescent="0.3">
      <c r="G4564" s="470"/>
      <c r="H4564" s="470">
        <v>4557</v>
      </c>
      <c r="I4564" s="455">
        <f t="shared" ca="1" si="188"/>
        <v>67659741013122.938</v>
      </c>
      <c r="J4564" s="455">
        <f t="array" ref="J4564">IFERROR(INDEX('Retirement Calculator'!J:J,MATCH('Isaac 401k'!N4564,'Retirement Calculator'!A:A,0),0),0)</f>
        <v>0</v>
      </c>
      <c r="K4564" s="455">
        <f t="shared" ca="1" si="186"/>
        <v>281915587554.67889</v>
      </c>
      <c r="L4564" s="455">
        <f t="shared" ca="1" si="187"/>
        <v>67941656600677.617</v>
      </c>
      <c r="M4564" s="471">
        <f t="shared" si="189"/>
        <v>0.05</v>
      </c>
      <c r="N4564" s="475">
        <f t="shared" si="190"/>
        <v>189959</v>
      </c>
    </row>
    <row r="4565" spans="7:14" ht="11.25" customHeight="1" x14ac:dyDescent="0.3">
      <c r="G4565" s="470"/>
      <c r="H4565" s="470">
        <v>4558</v>
      </c>
      <c r="I4565" s="455">
        <f t="shared" ca="1" si="188"/>
        <v>67941656600677.617</v>
      </c>
      <c r="J4565" s="455">
        <f t="array" ref="J4565">IFERROR(INDEX('Retirement Calculator'!J:J,MATCH('Isaac 401k'!N4565,'Retirement Calculator'!A:A,0),0),0)</f>
        <v>0</v>
      </c>
      <c r="K4565" s="455">
        <f t="shared" ca="1" si="186"/>
        <v>283090235836.15674</v>
      </c>
      <c r="L4565" s="455">
        <f t="shared" ca="1" si="187"/>
        <v>68224746836513.773</v>
      </c>
      <c r="M4565" s="471">
        <f t="shared" si="189"/>
        <v>0.05</v>
      </c>
      <c r="N4565" s="475">
        <f t="shared" si="190"/>
        <v>189988</v>
      </c>
    </row>
    <row r="4566" spans="7:14" ht="11.25" customHeight="1" x14ac:dyDescent="0.3">
      <c r="G4566" s="470"/>
      <c r="H4566" s="470">
        <v>4559</v>
      </c>
      <c r="I4566" s="455">
        <f t="shared" ca="1" si="188"/>
        <v>68224746836513.773</v>
      </c>
      <c r="J4566" s="455">
        <f t="array" ref="J4566">IFERROR(INDEX('Retirement Calculator'!J:J,MATCH('Isaac 401k'!N4566,'Retirement Calculator'!A:A,0),0),0)</f>
        <v>0</v>
      </c>
      <c r="K4566" s="455">
        <f t="shared" ca="1" si="186"/>
        <v>284269778485.47406</v>
      </c>
      <c r="L4566" s="455">
        <f t="shared" ca="1" si="187"/>
        <v>68509016614999.25</v>
      </c>
      <c r="M4566" s="471">
        <f t="shared" si="189"/>
        <v>0.05</v>
      </c>
      <c r="N4566" s="475">
        <f t="shared" si="190"/>
        <v>190019</v>
      </c>
    </row>
    <row r="4567" spans="7:14" ht="11.25" customHeight="1" x14ac:dyDescent="0.3">
      <c r="G4567" s="470"/>
      <c r="H4567" s="470">
        <v>4560</v>
      </c>
      <c r="I4567" s="455">
        <f t="shared" ca="1" si="188"/>
        <v>68509016614999.25</v>
      </c>
      <c r="J4567" s="455">
        <f t="array" ref="J4567">IFERROR(INDEX('Retirement Calculator'!J:J,MATCH('Isaac 401k'!N4567,'Retirement Calculator'!A:A,0),0),0)</f>
        <v>0</v>
      </c>
      <c r="K4567" s="455">
        <f t="shared" ca="1" si="186"/>
        <v>285454235895.83026</v>
      </c>
      <c r="L4567" s="455">
        <f t="shared" ca="1" si="187"/>
        <v>68794470850895.078</v>
      </c>
      <c r="M4567" s="471">
        <f t="shared" si="189"/>
        <v>0.05</v>
      </c>
      <c r="N4567" s="475">
        <f t="shared" si="190"/>
        <v>190049</v>
      </c>
    </row>
    <row r="4568" spans="7:14" ht="11.25" customHeight="1" x14ac:dyDescent="0.3">
      <c r="G4568" s="470"/>
      <c r="H4568" s="470">
        <v>4561</v>
      </c>
      <c r="I4568" s="455">
        <f t="shared" ca="1" si="188"/>
        <v>68794470850895.078</v>
      </c>
      <c r="J4568" s="455">
        <f t="array" ref="J4568">IFERROR(INDEX('Retirement Calculator'!J:J,MATCH('Isaac 401k'!N4568,'Retirement Calculator'!A:A,0),0),0)</f>
        <v>0</v>
      </c>
      <c r="K4568" s="455">
        <f t="shared" ca="1" si="186"/>
        <v>286643628545.39618</v>
      </c>
      <c r="L4568" s="455">
        <f t="shared" ca="1" si="187"/>
        <v>69081114479440.477</v>
      </c>
      <c r="M4568" s="471">
        <f t="shared" si="189"/>
        <v>0.05</v>
      </c>
      <c r="N4568" s="475">
        <f t="shared" si="190"/>
        <v>190080</v>
      </c>
    </row>
    <row r="4569" spans="7:14" ht="11.25" customHeight="1" x14ac:dyDescent="0.3">
      <c r="G4569" s="470"/>
      <c r="H4569" s="470">
        <v>4562</v>
      </c>
      <c r="I4569" s="455">
        <f t="shared" ca="1" si="188"/>
        <v>69081114479440.477</v>
      </c>
      <c r="J4569" s="455">
        <f t="array" ref="J4569">IFERROR(INDEX('Retirement Calculator'!J:J,MATCH('Isaac 401k'!N4569,'Retirement Calculator'!A:A,0),0),0)</f>
        <v>0</v>
      </c>
      <c r="K4569" s="455">
        <f t="shared" ca="1" si="186"/>
        <v>287837976997.66864</v>
      </c>
      <c r="L4569" s="455">
        <f t="shared" ca="1" si="187"/>
        <v>69368952456438.148</v>
      </c>
      <c r="M4569" s="471">
        <f t="shared" si="189"/>
        <v>0.05</v>
      </c>
      <c r="N4569" s="475">
        <f t="shared" si="190"/>
        <v>190110</v>
      </c>
    </row>
    <row r="4570" spans="7:14" ht="11.25" customHeight="1" x14ac:dyDescent="0.3">
      <c r="G4570" s="470"/>
      <c r="H4570" s="470">
        <v>4563</v>
      </c>
      <c r="I4570" s="455">
        <f t="shared" ca="1" si="188"/>
        <v>69368952456438.148</v>
      </c>
      <c r="J4570" s="455">
        <f t="array" ref="J4570">IFERROR(INDEX('Retirement Calculator'!J:J,MATCH('Isaac 401k'!N4570,'Retirement Calculator'!A:A,0),0),0)</f>
        <v>0</v>
      </c>
      <c r="K4570" s="455">
        <f t="shared" ca="1" si="186"/>
        <v>289037301901.82562</v>
      </c>
      <c r="L4570" s="455">
        <f t="shared" ca="1" si="187"/>
        <v>69657989758339.977</v>
      </c>
      <c r="M4570" s="471">
        <f t="shared" si="189"/>
        <v>0.05</v>
      </c>
      <c r="N4570" s="475">
        <f t="shared" si="190"/>
        <v>190141</v>
      </c>
    </row>
    <row r="4571" spans="7:14" ht="11.25" customHeight="1" x14ac:dyDescent="0.3">
      <c r="G4571" s="470"/>
      <c r="H4571" s="470">
        <v>4564</v>
      </c>
      <c r="I4571" s="455">
        <f t="shared" ca="1" si="188"/>
        <v>69657989758339.977</v>
      </c>
      <c r="J4571" s="455">
        <f t="array" ref="J4571">IFERROR(INDEX('Retirement Calculator'!J:J,MATCH('Isaac 401k'!N4571,'Retirement Calculator'!A:A,0),0),0)</f>
        <v>0</v>
      </c>
      <c r="K4571" s="455">
        <f t="shared" ca="1" si="186"/>
        <v>290241623993.08325</v>
      </c>
      <c r="L4571" s="455">
        <f t="shared" ca="1" si="187"/>
        <v>69948231382333.063</v>
      </c>
      <c r="M4571" s="471">
        <f t="shared" si="189"/>
        <v>0.05</v>
      </c>
      <c r="N4571" s="475">
        <f t="shared" si="190"/>
        <v>190172</v>
      </c>
    </row>
    <row r="4572" spans="7:14" ht="11.25" customHeight="1" x14ac:dyDescent="0.3">
      <c r="G4572" s="470"/>
      <c r="H4572" s="470">
        <v>4565</v>
      </c>
      <c r="I4572" s="455">
        <f t="shared" ca="1" si="188"/>
        <v>69948231382333.063</v>
      </c>
      <c r="J4572" s="455">
        <f t="array" ref="J4572">IFERROR(INDEX('Retirement Calculator'!J:J,MATCH('Isaac 401k'!N4572,'Retirement Calculator'!A:A,0),0),0)</f>
        <v>0</v>
      </c>
      <c r="K4572" s="455">
        <f t="shared" ca="1" si="186"/>
        <v>291450964093.05444</v>
      </c>
      <c r="L4572" s="455">
        <f t="shared" ca="1" si="187"/>
        <v>70239682346426.117</v>
      </c>
      <c r="M4572" s="471">
        <f t="shared" si="189"/>
        <v>0.05</v>
      </c>
      <c r="N4572" s="475">
        <f t="shared" si="190"/>
        <v>190202</v>
      </c>
    </row>
    <row r="4573" spans="7:14" ht="11.25" customHeight="1" x14ac:dyDescent="0.3">
      <c r="G4573" s="470"/>
      <c r="H4573" s="470">
        <v>4566</v>
      </c>
      <c r="I4573" s="455">
        <f t="shared" ca="1" si="188"/>
        <v>70239682346426.117</v>
      </c>
      <c r="J4573" s="455">
        <f t="array" ref="J4573">IFERROR(INDEX('Retirement Calculator'!J:J,MATCH('Isaac 401k'!N4573,'Retirement Calculator'!A:A,0),0),0)</f>
        <v>0</v>
      </c>
      <c r="K4573" s="455">
        <f t="shared" ca="1" si="186"/>
        <v>292665343110.10876</v>
      </c>
      <c r="L4573" s="455">
        <f t="shared" ca="1" si="187"/>
        <v>70532347689536.219</v>
      </c>
      <c r="M4573" s="471">
        <f t="shared" si="189"/>
        <v>0.05</v>
      </c>
      <c r="N4573" s="475">
        <f t="shared" si="190"/>
        <v>190233</v>
      </c>
    </row>
    <row r="4574" spans="7:14" ht="11.25" customHeight="1" x14ac:dyDescent="0.3">
      <c r="G4574" s="470"/>
      <c r="H4574" s="470">
        <v>4567</v>
      </c>
      <c r="I4574" s="455">
        <f t="shared" ca="1" si="188"/>
        <v>70532347689536.219</v>
      </c>
      <c r="J4574" s="455">
        <f t="array" ref="J4574">IFERROR(INDEX('Retirement Calculator'!J:J,MATCH('Isaac 401k'!N4574,'Retirement Calculator'!A:A,0),0),0)</f>
        <v>0</v>
      </c>
      <c r="K4574" s="455">
        <f t="shared" ca="1" si="186"/>
        <v>293884782039.73425</v>
      </c>
      <c r="L4574" s="455">
        <f t="shared" ca="1" si="187"/>
        <v>70826232471575.953</v>
      </c>
      <c r="M4574" s="471">
        <f t="shared" si="189"/>
        <v>0.05</v>
      </c>
      <c r="N4574" s="475">
        <f t="shared" si="190"/>
        <v>190263</v>
      </c>
    </row>
    <row r="4575" spans="7:14" ht="11.25" customHeight="1" x14ac:dyDescent="0.3">
      <c r="G4575" s="470"/>
      <c r="H4575" s="470">
        <v>4568</v>
      </c>
      <c r="I4575" s="455">
        <f t="shared" ca="1" si="188"/>
        <v>70826232471575.953</v>
      </c>
      <c r="J4575" s="455">
        <f t="array" ref="J4575">IFERROR(INDEX('Retirement Calculator'!J:J,MATCH('Isaac 401k'!N4575,'Retirement Calculator'!A:A,0),0),0)</f>
        <v>0</v>
      </c>
      <c r="K4575" s="455">
        <f t="shared" ca="1" si="186"/>
        <v>295109301964.89978</v>
      </c>
      <c r="L4575" s="455">
        <f t="shared" ca="1" si="187"/>
        <v>71121341773540.859</v>
      </c>
      <c r="M4575" s="471">
        <f t="shared" si="189"/>
        <v>0.05</v>
      </c>
      <c r="N4575" s="475">
        <f t="shared" si="190"/>
        <v>190294</v>
      </c>
    </row>
    <row r="4576" spans="7:14" ht="11.25" customHeight="1" x14ac:dyDescent="0.3">
      <c r="G4576" s="470"/>
      <c r="H4576" s="470">
        <v>4569</v>
      </c>
      <c r="I4576" s="455">
        <f t="shared" ca="1" si="188"/>
        <v>71121341773540.859</v>
      </c>
      <c r="J4576" s="455">
        <f t="array" ref="J4576">IFERROR(INDEX('Retirement Calculator'!J:J,MATCH('Isaac 401k'!N4576,'Retirement Calculator'!A:A,0),0),0)</f>
        <v>0</v>
      </c>
      <c r="K4576" s="455">
        <f t="shared" ca="1" si="186"/>
        <v>296338924056.42023</v>
      </c>
      <c r="L4576" s="455">
        <f t="shared" ca="1" si="187"/>
        <v>71417680697597.281</v>
      </c>
      <c r="M4576" s="471">
        <f t="shared" si="189"/>
        <v>0.05</v>
      </c>
      <c r="N4576" s="475">
        <f t="shared" si="190"/>
        <v>190325</v>
      </c>
    </row>
    <row r="4577" spans="7:14" ht="11.25" customHeight="1" x14ac:dyDescent="0.3">
      <c r="G4577" s="470"/>
      <c r="H4577" s="470">
        <v>4570</v>
      </c>
      <c r="I4577" s="455">
        <f t="shared" ca="1" si="188"/>
        <v>71417680697597.281</v>
      </c>
      <c r="J4577" s="455">
        <f t="array" ref="J4577">IFERROR(INDEX('Retirement Calculator'!J:J,MATCH('Isaac 401k'!N4577,'Retirement Calculator'!A:A,0),0),0)</f>
        <v>0</v>
      </c>
      <c r="K4577" s="455">
        <f t="shared" ca="1" si="186"/>
        <v>297573669573.32202</v>
      </c>
      <c r="L4577" s="455">
        <f t="shared" ca="1" si="187"/>
        <v>71715254367170.609</v>
      </c>
      <c r="M4577" s="471">
        <f t="shared" si="189"/>
        <v>0.05</v>
      </c>
      <c r="N4577" s="475">
        <f t="shared" si="190"/>
        <v>190353</v>
      </c>
    </row>
    <row r="4578" spans="7:14" ht="11.25" customHeight="1" x14ac:dyDescent="0.3">
      <c r="G4578" s="470"/>
      <c r="H4578" s="470">
        <v>4571</v>
      </c>
      <c r="I4578" s="455">
        <f t="shared" ca="1" si="188"/>
        <v>71715254367170.609</v>
      </c>
      <c r="J4578" s="455">
        <f t="array" ref="J4578">IFERROR(INDEX('Retirement Calculator'!J:J,MATCH('Isaac 401k'!N4578,'Retirement Calculator'!A:A,0),0),0)</f>
        <v>0</v>
      </c>
      <c r="K4578" s="455">
        <f t="shared" ca="1" si="186"/>
        <v>298813559863.21088</v>
      </c>
      <c r="L4578" s="455">
        <f t="shared" ca="1" si="187"/>
        <v>72014067927033.813</v>
      </c>
      <c r="M4578" s="471">
        <f t="shared" si="189"/>
        <v>0.05</v>
      </c>
      <c r="N4578" s="475">
        <f t="shared" si="190"/>
        <v>190384</v>
      </c>
    </row>
    <row r="4579" spans="7:14" ht="11.25" customHeight="1" x14ac:dyDescent="0.3">
      <c r="G4579" s="470"/>
      <c r="H4579" s="470">
        <v>4572</v>
      </c>
      <c r="I4579" s="455">
        <f t="shared" ca="1" si="188"/>
        <v>72014067927033.813</v>
      </c>
      <c r="J4579" s="455">
        <f t="array" ref="J4579">IFERROR(INDEX('Retirement Calculator'!J:J,MATCH('Isaac 401k'!N4579,'Retirement Calculator'!A:A,0),0),0)</f>
        <v>0</v>
      </c>
      <c r="K4579" s="455">
        <f t="shared" ca="1" si="186"/>
        <v>300058616362.64087</v>
      </c>
      <c r="L4579" s="455">
        <f t="shared" ca="1" si="187"/>
        <v>72314126543396.453</v>
      </c>
      <c r="M4579" s="471">
        <f t="shared" si="189"/>
        <v>0.05</v>
      </c>
      <c r="N4579" s="475">
        <f t="shared" si="190"/>
        <v>190414</v>
      </c>
    </row>
    <row r="4580" spans="7:14" ht="11.25" customHeight="1" x14ac:dyDescent="0.3">
      <c r="G4580" s="470"/>
      <c r="H4580" s="470">
        <v>4573</v>
      </c>
      <c r="I4580" s="455">
        <f t="shared" ca="1" si="188"/>
        <v>72314126543396.453</v>
      </c>
      <c r="J4580" s="455">
        <f t="array" ref="J4580">IFERROR(INDEX('Retirement Calculator'!J:J,MATCH('Isaac 401k'!N4580,'Retirement Calculator'!A:A,0),0),0)</f>
        <v>0</v>
      </c>
      <c r="K4580" s="455">
        <f t="shared" ca="1" si="186"/>
        <v>301308860597.48523</v>
      </c>
      <c r="L4580" s="455">
        <f t="shared" ca="1" si="187"/>
        <v>72615435403993.938</v>
      </c>
      <c r="M4580" s="471">
        <f t="shared" si="189"/>
        <v>0.05</v>
      </c>
      <c r="N4580" s="475">
        <f t="shared" si="190"/>
        <v>190445</v>
      </c>
    </row>
    <row r="4581" spans="7:14" ht="11.25" customHeight="1" x14ac:dyDescent="0.3">
      <c r="G4581" s="470"/>
      <c r="H4581" s="470">
        <v>4574</v>
      </c>
      <c r="I4581" s="455">
        <f t="shared" ca="1" si="188"/>
        <v>72615435403993.938</v>
      </c>
      <c r="J4581" s="455">
        <f t="array" ref="J4581">IFERROR(INDEX('Retirement Calculator'!J:J,MATCH('Isaac 401k'!N4581,'Retirement Calculator'!A:A,0),0),0)</f>
        <v>0</v>
      </c>
      <c r="K4581" s="455">
        <f t="shared" ca="1" si="186"/>
        <v>302564314183.30804</v>
      </c>
      <c r="L4581" s="455">
        <f t="shared" ca="1" si="187"/>
        <v>72917999718177.25</v>
      </c>
      <c r="M4581" s="471">
        <f t="shared" si="189"/>
        <v>0.05</v>
      </c>
      <c r="N4581" s="475">
        <f t="shared" si="190"/>
        <v>190475</v>
      </c>
    </row>
    <row r="4582" spans="7:14" ht="11.25" customHeight="1" x14ac:dyDescent="0.3">
      <c r="G4582" s="470"/>
      <c r="H4582" s="470">
        <v>4575</v>
      </c>
      <c r="I4582" s="455">
        <f t="shared" ca="1" si="188"/>
        <v>72917999718177.25</v>
      </c>
      <c r="J4582" s="455">
        <f t="array" ref="J4582">IFERROR(INDEX('Retirement Calculator'!J:J,MATCH('Isaac 401k'!N4582,'Retirement Calculator'!A:A,0),0),0)</f>
        <v>0</v>
      </c>
      <c r="K4582" s="455">
        <f t="shared" ca="1" si="186"/>
        <v>303824998825.73853</v>
      </c>
      <c r="L4582" s="455">
        <f t="shared" ca="1" si="187"/>
        <v>73221824717002.984</v>
      </c>
      <c r="M4582" s="471">
        <f t="shared" si="189"/>
        <v>0.05</v>
      </c>
      <c r="N4582" s="475">
        <f t="shared" si="190"/>
        <v>190506</v>
      </c>
    </row>
    <row r="4583" spans="7:14" ht="11.25" customHeight="1" x14ac:dyDescent="0.3">
      <c r="G4583" s="470"/>
      <c r="H4583" s="470">
        <v>4576</v>
      </c>
      <c r="I4583" s="455">
        <f t="shared" ca="1" si="188"/>
        <v>73221824717002.984</v>
      </c>
      <c r="J4583" s="455">
        <f t="array" ref="J4583">IFERROR(INDEX('Retirement Calculator'!J:J,MATCH('Isaac 401k'!N4583,'Retirement Calculator'!A:A,0),0),0)</f>
        <v>0</v>
      </c>
      <c r="K4583" s="455">
        <f t="shared" ca="1" si="186"/>
        <v>305090936320.84576</v>
      </c>
      <c r="L4583" s="455">
        <f t="shared" ca="1" si="187"/>
        <v>73526915653323.828</v>
      </c>
      <c r="M4583" s="471">
        <f t="shared" si="189"/>
        <v>0.05</v>
      </c>
      <c r="N4583" s="475">
        <f t="shared" si="190"/>
        <v>190537</v>
      </c>
    </row>
    <row r="4584" spans="7:14" ht="11.25" customHeight="1" x14ac:dyDescent="0.3">
      <c r="G4584" s="470"/>
      <c r="H4584" s="470">
        <v>4577</v>
      </c>
      <c r="I4584" s="455">
        <f t="shared" ca="1" si="188"/>
        <v>73526915653323.828</v>
      </c>
      <c r="J4584" s="455">
        <f t="array" ref="J4584">IFERROR(INDEX('Retirement Calculator'!J:J,MATCH('Isaac 401k'!N4584,'Retirement Calculator'!A:A,0),0),0)</f>
        <v>0</v>
      </c>
      <c r="K4584" s="455">
        <f t="shared" ca="1" si="186"/>
        <v>306362148555.51593</v>
      </c>
      <c r="L4584" s="455">
        <f t="shared" ca="1" si="187"/>
        <v>73833277801879.344</v>
      </c>
      <c r="M4584" s="471">
        <f t="shared" si="189"/>
        <v>0.05</v>
      </c>
      <c r="N4584" s="475">
        <f t="shared" si="190"/>
        <v>190567</v>
      </c>
    </row>
    <row r="4585" spans="7:14" ht="11.25" customHeight="1" x14ac:dyDescent="0.3">
      <c r="G4585" s="470"/>
      <c r="H4585" s="470">
        <v>4578</v>
      </c>
      <c r="I4585" s="455">
        <f t="shared" ca="1" si="188"/>
        <v>73833277801879.344</v>
      </c>
      <c r="J4585" s="455">
        <f t="array" ref="J4585">IFERROR(INDEX('Retirement Calculator'!J:J,MATCH('Isaac 401k'!N4585,'Retirement Calculator'!A:A,0),0),0)</f>
        <v>0</v>
      </c>
      <c r="K4585" s="455">
        <f t="shared" ca="1" si="186"/>
        <v>307638657507.83057</v>
      </c>
      <c r="L4585" s="455">
        <f t="shared" ca="1" si="187"/>
        <v>74140916459387.172</v>
      </c>
      <c r="M4585" s="471">
        <f t="shared" si="189"/>
        <v>0.05</v>
      </c>
      <c r="N4585" s="475">
        <f t="shared" si="190"/>
        <v>190598</v>
      </c>
    </row>
    <row r="4586" spans="7:14" ht="11.25" customHeight="1" x14ac:dyDescent="0.3">
      <c r="G4586" s="470"/>
      <c r="H4586" s="470">
        <v>4579</v>
      </c>
      <c r="I4586" s="455">
        <f t="shared" ca="1" si="188"/>
        <v>74140916459387.172</v>
      </c>
      <c r="J4586" s="455">
        <f t="array" ref="J4586">IFERROR(INDEX('Retirement Calculator'!J:J,MATCH('Isaac 401k'!N4586,'Retirement Calculator'!A:A,0),0),0)</f>
        <v>0</v>
      </c>
      <c r="K4586" s="455">
        <f t="shared" ca="1" si="186"/>
        <v>308920485247.44653</v>
      </c>
      <c r="L4586" s="455">
        <f t="shared" ca="1" si="187"/>
        <v>74449836944634.625</v>
      </c>
      <c r="M4586" s="471">
        <f t="shared" si="189"/>
        <v>0.05</v>
      </c>
      <c r="N4586" s="475">
        <f t="shared" si="190"/>
        <v>190628</v>
      </c>
    </row>
    <row r="4587" spans="7:14" ht="11.25" customHeight="1" x14ac:dyDescent="0.3">
      <c r="G4587" s="470"/>
      <c r="H4587" s="470">
        <v>4580</v>
      </c>
      <c r="I4587" s="455">
        <f t="shared" ca="1" si="188"/>
        <v>74449836944634.625</v>
      </c>
      <c r="J4587" s="455">
        <f t="array" ref="J4587">IFERROR(INDEX('Retirement Calculator'!J:J,MATCH('Isaac 401k'!N4587,'Retirement Calculator'!A:A,0),0),0)</f>
        <v>0</v>
      </c>
      <c r="K4587" s="455">
        <f t="shared" ca="1" si="186"/>
        <v>310207653935.9776</v>
      </c>
      <c r="L4587" s="455">
        <f t="shared" ca="1" si="187"/>
        <v>74760044598570.609</v>
      </c>
      <c r="M4587" s="471">
        <f t="shared" si="189"/>
        <v>0.05</v>
      </c>
      <c r="N4587" s="475">
        <f t="shared" si="190"/>
        <v>190659</v>
      </c>
    </row>
    <row r="4588" spans="7:14" ht="11.25" customHeight="1" x14ac:dyDescent="0.3">
      <c r="G4588" s="470"/>
      <c r="H4588" s="470">
        <v>4581</v>
      </c>
      <c r="I4588" s="455">
        <f t="shared" ca="1" si="188"/>
        <v>74760044598570.609</v>
      </c>
      <c r="J4588" s="455">
        <f t="array" ref="J4588">IFERROR(INDEX('Retirement Calculator'!J:J,MATCH('Isaac 401k'!N4588,'Retirement Calculator'!A:A,0),0),0)</f>
        <v>0</v>
      </c>
      <c r="K4588" s="455">
        <f t="shared" ca="1" si="186"/>
        <v>311500185827.37756</v>
      </c>
      <c r="L4588" s="455">
        <f t="shared" ca="1" si="187"/>
        <v>75071544784397.984</v>
      </c>
      <c r="M4588" s="471">
        <f t="shared" si="189"/>
        <v>0.05</v>
      </c>
      <c r="N4588" s="475">
        <f t="shared" si="190"/>
        <v>190690</v>
      </c>
    </row>
    <row r="4589" spans="7:14" ht="11.25" customHeight="1" x14ac:dyDescent="0.3">
      <c r="G4589" s="470"/>
      <c r="H4589" s="470">
        <v>4582</v>
      </c>
      <c r="I4589" s="455">
        <f t="shared" ca="1" si="188"/>
        <v>75071544784397.984</v>
      </c>
      <c r="J4589" s="455">
        <f t="array" ref="J4589">IFERROR(INDEX('Retirement Calculator'!J:J,MATCH('Isaac 401k'!N4589,'Retirement Calculator'!A:A,0),0),0)</f>
        <v>0</v>
      </c>
      <c r="K4589" s="455">
        <f t="shared" ca="1" si="186"/>
        <v>312798103268.32495</v>
      </c>
      <c r="L4589" s="455">
        <f t="shared" ca="1" si="187"/>
        <v>75384342887666.313</v>
      </c>
      <c r="M4589" s="471">
        <f t="shared" si="189"/>
        <v>0.05</v>
      </c>
      <c r="N4589" s="475">
        <f t="shared" si="190"/>
        <v>190718</v>
      </c>
    </row>
    <row r="4590" spans="7:14" ht="11.25" customHeight="1" x14ac:dyDescent="0.3">
      <c r="G4590" s="470"/>
      <c r="H4590" s="470">
        <v>4583</v>
      </c>
      <c r="I4590" s="455">
        <f t="shared" ca="1" si="188"/>
        <v>75384342887666.313</v>
      </c>
      <c r="J4590" s="455">
        <f t="array" ref="J4590">IFERROR(INDEX('Retirement Calculator'!J:J,MATCH('Isaac 401k'!N4590,'Retirement Calculator'!A:A,0),0),0)</f>
        <v>0</v>
      </c>
      <c r="K4590" s="455">
        <f t="shared" ca="1" si="186"/>
        <v>314101428698.60962</v>
      </c>
      <c r="L4590" s="455">
        <f t="shared" ca="1" si="187"/>
        <v>75698444316364.922</v>
      </c>
      <c r="M4590" s="471">
        <f t="shared" si="189"/>
        <v>0.05</v>
      </c>
      <c r="N4590" s="475">
        <f t="shared" si="190"/>
        <v>190749</v>
      </c>
    </row>
    <row r="4591" spans="7:14" ht="11.25" customHeight="1" x14ac:dyDescent="0.3">
      <c r="G4591" s="470"/>
      <c r="H4591" s="470">
        <v>4584</v>
      </c>
      <c r="I4591" s="455">
        <f t="shared" ca="1" si="188"/>
        <v>75698444316364.922</v>
      </c>
      <c r="J4591" s="455">
        <f t="array" ref="J4591">IFERROR(INDEX('Retirement Calculator'!J:J,MATCH('Isaac 401k'!N4591,'Retirement Calculator'!A:A,0),0),0)</f>
        <v>0</v>
      </c>
      <c r="K4591" s="455">
        <f t="shared" ca="1" si="186"/>
        <v>315410184651.52051</v>
      </c>
      <c r="L4591" s="455">
        <f t="shared" ca="1" si="187"/>
        <v>76013854501016.438</v>
      </c>
      <c r="M4591" s="471">
        <f t="shared" si="189"/>
        <v>0.05</v>
      </c>
      <c r="N4591" s="475">
        <f t="shared" si="190"/>
        <v>190779</v>
      </c>
    </row>
    <row r="4592" spans="7:14" ht="11.25" customHeight="1" x14ac:dyDescent="0.3">
      <c r="G4592" s="470"/>
      <c r="H4592" s="470">
        <v>4585</v>
      </c>
      <c r="I4592" s="455">
        <f t="shared" ca="1" si="188"/>
        <v>76013854501016.438</v>
      </c>
      <c r="J4592" s="455">
        <f t="array" ref="J4592">IFERROR(INDEX('Retirement Calculator'!J:J,MATCH('Isaac 401k'!N4592,'Retirement Calculator'!A:A,0),0),0)</f>
        <v>0</v>
      </c>
      <c r="K4592" s="455">
        <f t="shared" ca="1" si="186"/>
        <v>316724393754.23517</v>
      </c>
      <c r="L4592" s="455">
        <f t="shared" ca="1" si="187"/>
        <v>76330578894770.672</v>
      </c>
      <c r="M4592" s="471">
        <f t="shared" si="189"/>
        <v>0.05</v>
      </c>
      <c r="N4592" s="475">
        <f t="shared" si="190"/>
        <v>190810</v>
      </c>
    </row>
    <row r="4593" spans="7:14" ht="11.25" customHeight="1" x14ac:dyDescent="0.3">
      <c r="G4593" s="470"/>
      <c r="H4593" s="470">
        <v>4586</v>
      </c>
      <c r="I4593" s="455">
        <f t="shared" ca="1" si="188"/>
        <v>76330578894770.672</v>
      </c>
      <c r="J4593" s="455">
        <f t="array" ref="J4593">IFERROR(INDEX('Retirement Calculator'!J:J,MATCH('Isaac 401k'!N4593,'Retirement Calculator'!A:A,0),0),0)</f>
        <v>0</v>
      </c>
      <c r="K4593" s="455">
        <f t="shared" ca="1" si="186"/>
        <v>318044078728.21112</v>
      </c>
      <c r="L4593" s="455">
        <f t="shared" ca="1" si="187"/>
        <v>76648622973498.891</v>
      </c>
      <c r="M4593" s="471">
        <f t="shared" si="189"/>
        <v>0.05</v>
      </c>
      <c r="N4593" s="475">
        <f t="shared" si="190"/>
        <v>190840</v>
      </c>
    </row>
    <row r="4594" spans="7:14" ht="11.25" customHeight="1" x14ac:dyDescent="0.3">
      <c r="G4594" s="470"/>
      <c r="H4594" s="470">
        <v>4587</v>
      </c>
      <c r="I4594" s="455">
        <f t="shared" ca="1" si="188"/>
        <v>76648622973498.891</v>
      </c>
      <c r="J4594" s="455">
        <f t="array" ref="J4594">IFERROR(INDEX('Retirement Calculator'!J:J,MATCH('Isaac 401k'!N4594,'Retirement Calculator'!A:A,0),0),0)</f>
        <v>0</v>
      </c>
      <c r="K4594" s="455">
        <f t="shared" ca="1" si="186"/>
        <v>319369262389.57874</v>
      </c>
      <c r="L4594" s="455">
        <f t="shared" ca="1" si="187"/>
        <v>76967992235888.469</v>
      </c>
      <c r="M4594" s="471">
        <f t="shared" si="189"/>
        <v>0.05</v>
      </c>
      <c r="N4594" s="475">
        <f t="shared" si="190"/>
        <v>190871</v>
      </c>
    </row>
    <row r="4595" spans="7:14" ht="11.25" customHeight="1" x14ac:dyDescent="0.3">
      <c r="G4595" s="470"/>
      <c r="H4595" s="470">
        <v>4588</v>
      </c>
      <c r="I4595" s="455">
        <f t="shared" ca="1" si="188"/>
        <v>76967992235888.469</v>
      </c>
      <c r="J4595" s="455">
        <f t="array" ref="J4595">IFERROR(INDEX('Retirement Calculator'!J:J,MATCH('Isaac 401k'!N4595,'Retirement Calculator'!A:A,0),0),0)</f>
        <v>0</v>
      </c>
      <c r="K4595" s="455">
        <f t="shared" ca="1" si="186"/>
        <v>320699967649.53528</v>
      </c>
      <c r="L4595" s="455">
        <f t="shared" ca="1" si="187"/>
        <v>77288692203538</v>
      </c>
      <c r="M4595" s="471">
        <f t="shared" si="189"/>
        <v>0.05</v>
      </c>
      <c r="N4595" s="475">
        <f t="shared" si="190"/>
        <v>190902</v>
      </c>
    </row>
    <row r="4596" spans="7:14" ht="11.25" customHeight="1" x14ac:dyDescent="0.3">
      <c r="G4596" s="470"/>
      <c r="H4596" s="470">
        <v>4589</v>
      </c>
      <c r="I4596" s="455">
        <f t="shared" ca="1" si="188"/>
        <v>77288692203538</v>
      </c>
      <c r="J4596" s="455">
        <f t="array" ref="J4596">IFERROR(INDEX('Retirement Calculator'!J:J,MATCH('Isaac 401k'!N4596,'Retirement Calculator'!A:A,0),0),0)</f>
        <v>0</v>
      </c>
      <c r="K4596" s="455">
        <f t="shared" ca="1" si="186"/>
        <v>322036217514.74164</v>
      </c>
      <c r="L4596" s="455">
        <f t="shared" ca="1" si="187"/>
        <v>77610728421052.734</v>
      </c>
      <c r="M4596" s="471">
        <f t="shared" si="189"/>
        <v>0.05</v>
      </c>
      <c r="N4596" s="475">
        <f t="shared" si="190"/>
        <v>190932</v>
      </c>
    </row>
    <row r="4597" spans="7:14" ht="11.25" customHeight="1" x14ac:dyDescent="0.3">
      <c r="G4597" s="470"/>
      <c r="H4597" s="470">
        <v>4590</v>
      </c>
      <c r="I4597" s="455">
        <f t="shared" ca="1" si="188"/>
        <v>77610728421052.734</v>
      </c>
      <c r="J4597" s="455">
        <f t="array" ref="J4597">IFERROR(INDEX('Retirement Calculator'!J:J,MATCH('Isaac 401k'!N4597,'Retirement Calculator'!A:A,0),0),0)</f>
        <v>0</v>
      </c>
      <c r="K4597" s="455">
        <f t="shared" ca="1" si="186"/>
        <v>323378035087.71973</v>
      </c>
      <c r="L4597" s="455">
        <f t="shared" ca="1" si="187"/>
        <v>77934106456140.453</v>
      </c>
      <c r="M4597" s="471">
        <f t="shared" si="189"/>
        <v>0.05</v>
      </c>
      <c r="N4597" s="475">
        <f t="shared" si="190"/>
        <v>190963</v>
      </c>
    </row>
    <row r="4598" spans="7:14" ht="11.25" customHeight="1" x14ac:dyDescent="0.3">
      <c r="G4598" s="470"/>
      <c r="H4598" s="470">
        <v>4591</v>
      </c>
      <c r="I4598" s="455">
        <f t="shared" ca="1" si="188"/>
        <v>77934106456140.453</v>
      </c>
      <c r="J4598" s="455">
        <f t="array" ref="J4598">IFERROR(INDEX('Retirement Calculator'!J:J,MATCH('Isaac 401k'!N4598,'Retirement Calculator'!A:A,0),0),0)</f>
        <v>0</v>
      </c>
      <c r="K4598" s="455">
        <f t="shared" ref="K4598:K4852" ca="1" si="191">IPMT(M4598/12,1,12,-I4598+J4598,,0)</f>
        <v>324725443567.25189</v>
      </c>
      <c r="L4598" s="455">
        <f t="shared" ref="L4598:L4852" ca="1" si="192">I4598-J4598+K4598</f>
        <v>78258831899707.703</v>
      </c>
      <c r="M4598" s="471">
        <f t="shared" si="189"/>
        <v>0.05</v>
      </c>
      <c r="N4598" s="475">
        <f t="shared" si="190"/>
        <v>190993</v>
      </c>
    </row>
    <row r="4599" spans="7:14" ht="11.25" customHeight="1" x14ac:dyDescent="0.3">
      <c r="G4599" s="470"/>
      <c r="H4599" s="470">
        <v>4592</v>
      </c>
      <c r="I4599" s="455">
        <f t="shared" ref="I4599:I4853" ca="1" si="193">L4598</f>
        <v>78258831899707.703</v>
      </c>
      <c r="J4599" s="455">
        <f t="array" ref="J4599">IFERROR(INDEX('Retirement Calculator'!J:J,MATCH('Isaac 401k'!N4599,'Retirement Calculator'!A:A,0),0),0)</f>
        <v>0</v>
      </c>
      <c r="K4599" s="455">
        <f t="shared" ca="1" si="191"/>
        <v>326078466248.7821</v>
      </c>
      <c r="L4599" s="455">
        <f t="shared" ca="1" si="192"/>
        <v>78584910365956.484</v>
      </c>
      <c r="M4599" s="471">
        <f t="shared" ref="M4599:M4853" si="194">M4598</f>
        <v>0.05</v>
      </c>
      <c r="N4599" s="475">
        <f t="shared" ref="N4599:N4853" si="195">EDATE(N4598,1)</f>
        <v>191024</v>
      </c>
    </row>
    <row r="4600" spans="7:14" ht="11.25" customHeight="1" x14ac:dyDescent="0.3">
      <c r="G4600" s="470"/>
      <c r="H4600" s="470">
        <v>4593</v>
      </c>
      <c r="I4600" s="455">
        <f t="shared" ca="1" si="193"/>
        <v>78584910365956.484</v>
      </c>
      <c r="J4600" s="455">
        <f t="array" ref="J4600">IFERROR(INDEX('Retirement Calculator'!J:J,MATCH('Isaac 401k'!N4600,'Retirement Calculator'!A:A,0),0),0)</f>
        <v>0</v>
      </c>
      <c r="K4600" s="455">
        <f t="shared" ca="1" si="191"/>
        <v>327437126524.81866</v>
      </c>
      <c r="L4600" s="455">
        <f t="shared" ca="1" si="192"/>
        <v>78912347492481.297</v>
      </c>
      <c r="M4600" s="471">
        <f t="shared" si="194"/>
        <v>0.05</v>
      </c>
      <c r="N4600" s="475">
        <f t="shared" si="195"/>
        <v>191055</v>
      </c>
    </row>
    <row r="4601" spans="7:14" ht="11.25" customHeight="1" x14ac:dyDescent="0.3">
      <c r="G4601" s="470"/>
      <c r="H4601" s="470">
        <v>4594</v>
      </c>
      <c r="I4601" s="455">
        <f t="shared" ca="1" si="193"/>
        <v>78912347492481.297</v>
      </c>
      <c r="J4601" s="455">
        <f t="array" ref="J4601">IFERROR(INDEX('Retirement Calculator'!J:J,MATCH('Isaac 401k'!N4601,'Retirement Calculator'!A:A,0),0),0)</f>
        <v>0</v>
      </c>
      <c r="K4601" s="455">
        <f t="shared" ca="1" si="191"/>
        <v>328801447885.33875</v>
      </c>
      <c r="L4601" s="455">
        <f t="shared" ca="1" si="192"/>
        <v>79241148940366.641</v>
      </c>
      <c r="M4601" s="471">
        <f t="shared" si="194"/>
        <v>0.05</v>
      </c>
      <c r="N4601" s="475">
        <f t="shared" si="195"/>
        <v>191083</v>
      </c>
    </row>
    <row r="4602" spans="7:14" ht="11.25" customHeight="1" x14ac:dyDescent="0.3">
      <c r="G4602" s="470"/>
      <c r="H4602" s="470">
        <v>4595</v>
      </c>
      <c r="I4602" s="455">
        <f t="shared" ca="1" si="193"/>
        <v>79241148940366.641</v>
      </c>
      <c r="J4602" s="455">
        <f t="array" ref="J4602">IFERROR(INDEX('Retirement Calculator'!J:J,MATCH('Isaac 401k'!N4602,'Retirement Calculator'!A:A,0),0),0)</f>
        <v>0</v>
      </c>
      <c r="K4602" s="455">
        <f t="shared" ca="1" si="191"/>
        <v>330171453918.19434</v>
      </c>
      <c r="L4602" s="455">
        <f t="shared" ca="1" si="192"/>
        <v>79571320394284.828</v>
      </c>
      <c r="M4602" s="471">
        <f t="shared" si="194"/>
        <v>0.05</v>
      </c>
      <c r="N4602" s="475">
        <f t="shared" si="195"/>
        <v>191114</v>
      </c>
    </row>
    <row r="4603" spans="7:14" ht="11.25" customHeight="1" x14ac:dyDescent="0.3">
      <c r="G4603" s="470"/>
      <c r="H4603" s="470">
        <v>4596</v>
      </c>
      <c r="I4603" s="455">
        <f t="shared" ca="1" si="193"/>
        <v>79571320394284.828</v>
      </c>
      <c r="J4603" s="455">
        <f t="array" ref="J4603">IFERROR(INDEX('Retirement Calculator'!J:J,MATCH('Isaac 401k'!N4603,'Retirement Calculator'!A:A,0),0),0)</f>
        <v>0</v>
      </c>
      <c r="K4603" s="455">
        <f t="shared" ca="1" si="191"/>
        <v>331547168309.52014</v>
      </c>
      <c r="L4603" s="455">
        <f t="shared" ca="1" si="192"/>
        <v>79902867562594.344</v>
      </c>
      <c r="M4603" s="471">
        <f t="shared" si="194"/>
        <v>0.05</v>
      </c>
      <c r="N4603" s="475">
        <f t="shared" si="195"/>
        <v>191144</v>
      </c>
    </row>
    <row r="4604" spans="7:14" ht="11.25" customHeight="1" x14ac:dyDescent="0.3">
      <c r="G4604" s="470"/>
      <c r="H4604" s="470">
        <v>4597</v>
      </c>
      <c r="I4604" s="455">
        <f t="shared" ca="1" si="193"/>
        <v>79902867562594.344</v>
      </c>
      <c r="J4604" s="455">
        <f t="array" ref="J4604">IFERROR(INDEX('Retirement Calculator'!J:J,MATCH('Isaac 401k'!N4604,'Retirement Calculator'!A:A,0),0),0)</f>
        <v>0</v>
      </c>
      <c r="K4604" s="455">
        <f t="shared" ca="1" si="191"/>
        <v>332928614844.14307</v>
      </c>
      <c r="L4604" s="455">
        <f t="shared" ca="1" si="192"/>
        <v>80235796177438.484</v>
      </c>
      <c r="M4604" s="471">
        <f t="shared" si="194"/>
        <v>0.05</v>
      </c>
      <c r="N4604" s="475">
        <f t="shared" si="195"/>
        <v>191175</v>
      </c>
    </row>
    <row r="4605" spans="7:14" ht="11.25" customHeight="1" x14ac:dyDescent="0.3">
      <c r="G4605" s="470"/>
      <c r="H4605" s="470">
        <v>4598</v>
      </c>
      <c r="I4605" s="455">
        <f t="shared" ca="1" si="193"/>
        <v>80235796177438.484</v>
      </c>
      <c r="J4605" s="455">
        <f t="array" ref="J4605">IFERROR(INDEX('Retirement Calculator'!J:J,MATCH('Isaac 401k'!N4605,'Retirement Calculator'!A:A,0),0),0)</f>
        <v>0</v>
      </c>
      <c r="K4605" s="455">
        <f t="shared" ca="1" si="191"/>
        <v>334315817405.99365</v>
      </c>
      <c r="L4605" s="455">
        <f t="shared" ca="1" si="192"/>
        <v>80570111994844.484</v>
      </c>
      <c r="M4605" s="471">
        <f t="shared" si="194"/>
        <v>0.05</v>
      </c>
      <c r="N4605" s="475">
        <f t="shared" si="195"/>
        <v>191205</v>
      </c>
    </row>
    <row r="4606" spans="7:14" ht="11.25" customHeight="1" x14ac:dyDescent="0.3">
      <c r="G4606" s="470"/>
      <c r="H4606" s="470">
        <v>4599</v>
      </c>
      <c r="I4606" s="455">
        <f t="shared" ca="1" si="193"/>
        <v>80570111994844.484</v>
      </c>
      <c r="J4606" s="455">
        <f t="array" ref="J4606">IFERROR(INDEX('Retirement Calculator'!J:J,MATCH('Isaac 401k'!N4606,'Retirement Calculator'!A:A,0),0),0)</f>
        <v>0</v>
      </c>
      <c r="K4606" s="455">
        <f t="shared" ca="1" si="191"/>
        <v>335708799978.51868</v>
      </c>
      <c r="L4606" s="455">
        <f t="shared" ca="1" si="192"/>
        <v>80905820794823</v>
      </c>
      <c r="M4606" s="471">
        <f t="shared" si="194"/>
        <v>0.05</v>
      </c>
      <c r="N4606" s="475">
        <f t="shared" si="195"/>
        <v>191236</v>
      </c>
    </row>
    <row r="4607" spans="7:14" ht="11.25" customHeight="1" x14ac:dyDescent="0.3">
      <c r="G4607" s="470"/>
      <c r="H4607" s="470">
        <v>4600</v>
      </c>
      <c r="I4607" s="455">
        <f t="shared" ca="1" si="193"/>
        <v>80905820794823</v>
      </c>
      <c r="J4607" s="455">
        <f t="array" ref="J4607">IFERROR(INDEX('Retirement Calculator'!J:J,MATCH('Isaac 401k'!N4607,'Retirement Calculator'!A:A,0),0),0)</f>
        <v>0</v>
      </c>
      <c r="K4607" s="455">
        <f t="shared" ca="1" si="191"/>
        <v>337107586645.09583</v>
      </c>
      <c r="L4607" s="455">
        <f t="shared" ca="1" si="192"/>
        <v>81242928381468.094</v>
      </c>
      <c r="M4607" s="471">
        <f t="shared" si="194"/>
        <v>0.05</v>
      </c>
      <c r="N4607" s="475">
        <f t="shared" si="195"/>
        <v>191267</v>
      </c>
    </row>
    <row r="4608" spans="7:14" ht="11.25" customHeight="1" x14ac:dyDescent="0.3">
      <c r="G4608" s="470"/>
      <c r="H4608" s="470">
        <v>4601</v>
      </c>
      <c r="I4608" s="455">
        <f t="shared" ca="1" si="193"/>
        <v>81242928381468.094</v>
      </c>
      <c r="J4608" s="455">
        <f t="array" ref="J4608">IFERROR(INDEX('Retirement Calculator'!J:J,MATCH('Isaac 401k'!N4608,'Retirement Calculator'!A:A,0),0),0)</f>
        <v>0</v>
      </c>
      <c r="K4608" s="455">
        <f t="shared" ca="1" si="191"/>
        <v>338512201589.45038</v>
      </c>
      <c r="L4608" s="455">
        <f t="shared" ca="1" si="192"/>
        <v>81581440583057.547</v>
      </c>
      <c r="M4608" s="471">
        <f t="shared" si="194"/>
        <v>0.05</v>
      </c>
      <c r="N4608" s="475">
        <f t="shared" si="195"/>
        <v>191297</v>
      </c>
    </row>
    <row r="4609" spans="7:14" ht="11.25" customHeight="1" x14ac:dyDescent="0.3">
      <c r="G4609" s="470"/>
      <c r="H4609" s="470">
        <v>4602</v>
      </c>
      <c r="I4609" s="455">
        <f t="shared" ca="1" si="193"/>
        <v>81581440583057.547</v>
      </c>
      <c r="J4609" s="455">
        <f t="array" ref="J4609">IFERROR(INDEX('Retirement Calculator'!J:J,MATCH('Isaac 401k'!N4609,'Retirement Calculator'!A:A,0),0),0)</f>
        <v>0</v>
      </c>
      <c r="K4609" s="455">
        <f t="shared" ca="1" si="191"/>
        <v>339922669096.07312</v>
      </c>
      <c r="L4609" s="455">
        <f t="shared" ca="1" si="192"/>
        <v>81921363252153.625</v>
      </c>
      <c r="M4609" s="471">
        <f t="shared" si="194"/>
        <v>0.05</v>
      </c>
      <c r="N4609" s="475">
        <f t="shared" si="195"/>
        <v>191328</v>
      </c>
    </row>
    <row r="4610" spans="7:14" ht="11.25" customHeight="1" x14ac:dyDescent="0.3">
      <c r="G4610" s="470"/>
      <c r="H4610" s="470">
        <v>4603</v>
      </c>
      <c r="I4610" s="455">
        <f t="shared" ca="1" si="193"/>
        <v>81921363252153.625</v>
      </c>
      <c r="J4610" s="455">
        <f t="array" ref="J4610">IFERROR(INDEX('Retirement Calculator'!J:J,MATCH('Isaac 401k'!N4610,'Retirement Calculator'!A:A,0),0),0)</f>
        <v>0</v>
      </c>
      <c r="K4610" s="455">
        <f t="shared" ca="1" si="191"/>
        <v>341339013550.64008</v>
      </c>
      <c r="L4610" s="455">
        <f t="shared" ca="1" si="192"/>
        <v>82262702265704.266</v>
      </c>
      <c r="M4610" s="471">
        <f t="shared" si="194"/>
        <v>0.05</v>
      </c>
      <c r="N4610" s="475">
        <f t="shared" si="195"/>
        <v>191358</v>
      </c>
    </row>
    <row r="4611" spans="7:14" ht="11.25" customHeight="1" x14ac:dyDescent="0.3">
      <c r="G4611" s="470"/>
      <c r="H4611" s="470">
        <v>4604</v>
      </c>
      <c r="I4611" s="455">
        <f t="shared" ca="1" si="193"/>
        <v>82262702265704.266</v>
      </c>
      <c r="J4611" s="455">
        <f t="array" ref="J4611">IFERROR(INDEX('Retirement Calculator'!J:J,MATCH('Isaac 401k'!N4611,'Retirement Calculator'!A:A,0),0),0)</f>
        <v>0</v>
      </c>
      <c r="K4611" s="455">
        <f t="shared" ca="1" si="191"/>
        <v>342761259440.43445</v>
      </c>
      <c r="L4611" s="455">
        <f t="shared" ca="1" si="192"/>
        <v>82605463525144.703</v>
      </c>
      <c r="M4611" s="471">
        <f t="shared" si="194"/>
        <v>0.05</v>
      </c>
      <c r="N4611" s="475">
        <f t="shared" si="195"/>
        <v>191389</v>
      </c>
    </row>
    <row r="4612" spans="7:14" ht="11.25" customHeight="1" x14ac:dyDescent="0.3">
      <c r="G4612" s="470"/>
      <c r="H4612" s="470">
        <v>4605</v>
      </c>
      <c r="I4612" s="455">
        <f t="shared" ca="1" si="193"/>
        <v>82605463525144.703</v>
      </c>
      <c r="J4612" s="455">
        <f t="array" ref="J4612">IFERROR(INDEX('Retirement Calculator'!J:J,MATCH('Isaac 401k'!N4612,'Retirement Calculator'!A:A,0),0),0)</f>
        <v>0</v>
      </c>
      <c r="K4612" s="455">
        <f t="shared" ca="1" si="191"/>
        <v>344189431354.76959</v>
      </c>
      <c r="L4612" s="455">
        <f t="shared" ca="1" si="192"/>
        <v>82949652956499.469</v>
      </c>
      <c r="M4612" s="471">
        <f t="shared" si="194"/>
        <v>0.05</v>
      </c>
      <c r="N4612" s="475">
        <f t="shared" si="195"/>
        <v>191420</v>
      </c>
    </row>
    <row r="4613" spans="7:14" ht="11.25" customHeight="1" x14ac:dyDescent="0.3">
      <c r="G4613" s="470"/>
      <c r="H4613" s="470">
        <v>4606</v>
      </c>
      <c r="I4613" s="455">
        <f t="shared" ca="1" si="193"/>
        <v>82949652956499.469</v>
      </c>
      <c r="J4613" s="455">
        <f t="array" ref="J4613">IFERROR(INDEX('Retirement Calculator'!J:J,MATCH('Isaac 401k'!N4613,'Retirement Calculator'!A:A,0),0),0)</f>
        <v>0</v>
      </c>
      <c r="K4613" s="455">
        <f t="shared" ca="1" si="191"/>
        <v>345623553985.41443</v>
      </c>
      <c r="L4613" s="455">
        <f t="shared" ca="1" si="192"/>
        <v>83295276510484.891</v>
      </c>
      <c r="M4613" s="471">
        <f t="shared" si="194"/>
        <v>0.05</v>
      </c>
      <c r="N4613" s="475">
        <f t="shared" si="195"/>
        <v>191449</v>
      </c>
    </row>
    <row r="4614" spans="7:14" ht="11.25" customHeight="1" x14ac:dyDescent="0.3">
      <c r="G4614" s="470"/>
      <c r="H4614" s="470">
        <v>4607</v>
      </c>
      <c r="I4614" s="455">
        <f t="shared" ca="1" si="193"/>
        <v>83295276510484.891</v>
      </c>
      <c r="J4614" s="455">
        <f t="array" ref="J4614">IFERROR(INDEX('Retirement Calculator'!J:J,MATCH('Isaac 401k'!N4614,'Retirement Calculator'!A:A,0),0),0)</f>
        <v>0</v>
      </c>
      <c r="K4614" s="455">
        <f t="shared" ca="1" si="191"/>
        <v>347063652127.02039</v>
      </c>
      <c r="L4614" s="455">
        <f t="shared" ca="1" si="192"/>
        <v>83642340162611.906</v>
      </c>
      <c r="M4614" s="471">
        <f t="shared" si="194"/>
        <v>0.05</v>
      </c>
      <c r="N4614" s="475">
        <f t="shared" si="195"/>
        <v>191480</v>
      </c>
    </row>
    <row r="4615" spans="7:14" ht="11.25" customHeight="1" x14ac:dyDescent="0.3">
      <c r="G4615" s="470"/>
      <c r="H4615" s="470">
        <v>4608</v>
      </c>
      <c r="I4615" s="455">
        <f t="shared" ca="1" si="193"/>
        <v>83642340162611.906</v>
      </c>
      <c r="J4615" s="455">
        <f t="array" ref="J4615">IFERROR(INDEX('Retirement Calculator'!J:J,MATCH('Isaac 401k'!N4615,'Retirement Calculator'!A:A,0),0),0)</f>
        <v>0</v>
      </c>
      <c r="K4615" s="455">
        <f t="shared" ca="1" si="191"/>
        <v>348509750677.54962</v>
      </c>
      <c r="L4615" s="455">
        <f t="shared" ca="1" si="192"/>
        <v>83990849913289.453</v>
      </c>
      <c r="M4615" s="471">
        <f t="shared" si="194"/>
        <v>0.05</v>
      </c>
      <c r="N4615" s="475">
        <f t="shared" si="195"/>
        <v>191510</v>
      </c>
    </row>
    <row r="4616" spans="7:14" ht="11.25" customHeight="1" x14ac:dyDescent="0.3">
      <c r="G4616" s="470"/>
      <c r="H4616" s="470">
        <v>4609</v>
      </c>
      <c r="I4616" s="455">
        <f t="shared" ca="1" si="193"/>
        <v>83990849913289.453</v>
      </c>
      <c r="J4616" s="455">
        <f t="array" ref="J4616">IFERROR(INDEX('Retirement Calculator'!J:J,MATCH('Isaac 401k'!N4616,'Retirement Calculator'!A:A,0),0),0)</f>
        <v>0</v>
      </c>
      <c r="K4616" s="455">
        <f t="shared" ca="1" si="191"/>
        <v>349961874638.70605</v>
      </c>
      <c r="L4616" s="455">
        <f t="shared" ca="1" si="192"/>
        <v>84340811787928.156</v>
      </c>
      <c r="M4616" s="471">
        <f t="shared" si="194"/>
        <v>0.05</v>
      </c>
      <c r="N4616" s="475">
        <f t="shared" si="195"/>
        <v>191541</v>
      </c>
    </row>
    <row r="4617" spans="7:14" ht="11.25" customHeight="1" x14ac:dyDescent="0.3">
      <c r="G4617" s="470"/>
      <c r="H4617" s="470">
        <v>4610</v>
      </c>
      <c r="I4617" s="455">
        <f t="shared" ca="1" si="193"/>
        <v>84340811787928.156</v>
      </c>
      <c r="J4617" s="455">
        <f t="array" ref="J4617">IFERROR(INDEX('Retirement Calculator'!J:J,MATCH('Isaac 401k'!N4617,'Retirement Calculator'!A:A,0),0),0)</f>
        <v>0</v>
      </c>
      <c r="K4617" s="455">
        <f t="shared" ca="1" si="191"/>
        <v>351420049116.36731</v>
      </c>
      <c r="L4617" s="455">
        <f t="shared" ca="1" si="192"/>
        <v>84692231837044.531</v>
      </c>
      <c r="M4617" s="471">
        <f t="shared" si="194"/>
        <v>0.05</v>
      </c>
      <c r="N4617" s="475">
        <f t="shared" si="195"/>
        <v>191571</v>
      </c>
    </row>
    <row r="4618" spans="7:14" ht="11.25" customHeight="1" x14ac:dyDescent="0.3">
      <c r="G4618" s="470"/>
      <c r="H4618" s="470">
        <v>4611</v>
      </c>
      <c r="I4618" s="455">
        <f t="shared" ca="1" si="193"/>
        <v>84692231837044.531</v>
      </c>
      <c r="J4618" s="455">
        <f t="array" ref="J4618">IFERROR(INDEX('Retirement Calculator'!J:J,MATCH('Isaac 401k'!N4618,'Retirement Calculator'!A:A,0),0),0)</f>
        <v>0</v>
      </c>
      <c r="K4618" s="455">
        <f t="shared" ca="1" si="191"/>
        <v>352884299321.01886</v>
      </c>
      <c r="L4618" s="455">
        <f t="shared" ca="1" si="192"/>
        <v>85045116136365.547</v>
      </c>
      <c r="M4618" s="471">
        <f t="shared" si="194"/>
        <v>0.05</v>
      </c>
      <c r="N4618" s="475">
        <f t="shared" si="195"/>
        <v>191602</v>
      </c>
    </row>
    <row r="4619" spans="7:14" ht="11.25" customHeight="1" x14ac:dyDescent="0.3">
      <c r="G4619" s="470"/>
      <c r="H4619" s="470">
        <v>4612</v>
      </c>
      <c r="I4619" s="455">
        <f t="shared" ca="1" si="193"/>
        <v>85045116136365.547</v>
      </c>
      <c r="J4619" s="455">
        <f t="array" ref="J4619">IFERROR(INDEX('Retirement Calculator'!J:J,MATCH('Isaac 401k'!N4619,'Retirement Calculator'!A:A,0),0),0)</f>
        <v>0</v>
      </c>
      <c r="K4619" s="455">
        <f t="shared" ca="1" si="191"/>
        <v>354354650568.18976</v>
      </c>
      <c r="L4619" s="455">
        <f t="shared" ca="1" si="192"/>
        <v>85399470786933.734</v>
      </c>
      <c r="M4619" s="471">
        <f t="shared" si="194"/>
        <v>0.05</v>
      </c>
      <c r="N4619" s="475">
        <f t="shared" si="195"/>
        <v>191633</v>
      </c>
    </row>
    <row r="4620" spans="7:14" ht="11.25" customHeight="1" x14ac:dyDescent="0.3">
      <c r="G4620" s="470"/>
      <c r="H4620" s="470">
        <v>4613</v>
      </c>
      <c r="I4620" s="455">
        <f t="shared" ca="1" si="193"/>
        <v>85399470786933.734</v>
      </c>
      <c r="J4620" s="455">
        <f t="array" ref="J4620">IFERROR(INDEX('Retirement Calculator'!J:J,MATCH('Isaac 401k'!N4620,'Retirement Calculator'!A:A,0),0),0)</f>
        <v>0</v>
      </c>
      <c r="K4620" s="455">
        <f t="shared" ca="1" si="191"/>
        <v>355831128278.89056</v>
      </c>
      <c r="L4620" s="455">
        <f t="shared" ca="1" si="192"/>
        <v>85755301915212.625</v>
      </c>
      <c r="M4620" s="471">
        <f t="shared" si="194"/>
        <v>0.05</v>
      </c>
      <c r="N4620" s="475">
        <f t="shared" si="195"/>
        <v>191663</v>
      </c>
    </row>
    <row r="4621" spans="7:14" ht="11.25" customHeight="1" x14ac:dyDescent="0.3">
      <c r="G4621" s="470"/>
      <c r="H4621" s="470">
        <v>4614</v>
      </c>
      <c r="I4621" s="455">
        <f t="shared" ca="1" si="193"/>
        <v>85755301915212.625</v>
      </c>
      <c r="J4621" s="455">
        <f t="array" ref="J4621">IFERROR(INDEX('Retirement Calculator'!J:J,MATCH('Isaac 401k'!N4621,'Retirement Calculator'!A:A,0),0),0)</f>
        <v>0</v>
      </c>
      <c r="K4621" s="455">
        <f t="shared" ca="1" si="191"/>
        <v>357313757980.05261</v>
      </c>
      <c r="L4621" s="455">
        <f t="shared" ca="1" si="192"/>
        <v>86112615673192.672</v>
      </c>
      <c r="M4621" s="471">
        <f t="shared" si="194"/>
        <v>0.05</v>
      </c>
      <c r="N4621" s="475">
        <f t="shared" si="195"/>
        <v>191694</v>
      </c>
    </row>
    <row r="4622" spans="7:14" ht="11.25" customHeight="1" x14ac:dyDescent="0.3">
      <c r="G4622" s="470"/>
      <c r="H4622" s="470">
        <v>4615</v>
      </c>
      <c r="I4622" s="455">
        <f t="shared" ca="1" si="193"/>
        <v>86112615673192.672</v>
      </c>
      <c r="J4622" s="455">
        <f t="array" ref="J4622">IFERROR(INDEX('Retirement Calculator'!J:J,MATCH('Isaac 401k'!N4622,'Retirement Calculator'!A:A,0),0),0)</f>
        <v>0</v>
      </c>
      <c r="K4622" s="455">
        <f t="shared" ca="1" si="191"/>
        <v>358802565304.96948</v>
      </c>
      <c r="L4622" s="455">
        <f t="shared" ca="1" si="192"/>
        <v>86471418238497.641</v>
      </c>
      <c r="M4622" s="471">
        <f t="shared" si="194"/>
        <v>0.05</v>
      </c>
      <c r="N4622" s="475">
        <f t="shared" si="195"/>
        <v>191724</v>
      </c>
    </row>
    <row r="4623" spans="7:14" ht="11.25" customHeight="1" x14ac:dyDescent="0.3">
      <c r="G4623" s="470"/>
      <c r="H4623" s="470">
        <v>4616</v>
      </c>
      <c r="I4623" s="455">
        <f t="shared" ca="1" si="193"/>
        <v>86471418238497.641</v>
      </c>
      <c r="J4623" s="455">
        <f t="array" ref="J4623">IFERROR(INDEX('Retirement Calculator'!J:J,MATCH('Isaac 401k'!N4623,'Retirement Calculator'!A:A,0),0),0)</f>
        <v>0</v>
      </c>
      <c r="K4623" s="455">
        <f t="shared" ca="1" si="191"/>
        <v>360297575993.74017</v>
      </c>
      <c r="L4623" s="455">
        <f t="shared" ca="1" si="192"/>
        <v>86831715814491.375</v>
      </c>
      <c r="M4623" s="471">
        <f t="shared" si="194"/>
        <v>0.05</v>
      </c>
      <c r="N4623" s="475">
        <f t="shared" si="195"/>
        <v>191755</v>
      </c>
    </row>
    <row r="4624" spans="7:14" ht="11.25" customHeight="1" x14ac:dyDescent="0.3">
      <c r="G4624" s="470"/>
      <c r="H4624" s="470">
        <v>4617</v>
      </c>
      <c r="I4624" s="455">
        <f t="shared" ca="1" si="193"/>
        <v>86831715814491.375</v>
      </c>
      <c r="J4624" s="455">
        <f t="array" ref="J4624">IFERROR(INDEX('Retirement Calculator'!J:J,MATCH('Isaac 401k'!N4624,'Retirement Calculator'!A:A,0),0),0)</f>
        <v>0</v>
      </c>
      <c r="K4624" s="455">
        <f t="shared" ca="1" si="191"/>
        <v>361798815893.71405</v>
      </c>
      <c r="L4624" s="455">
        <f t="shared" ca="1" si="192"/>
        <v>87193514630385.094</v>
      </c>
      <c r="M4624" s="471">
        <f t="shared" si="194"/>
        <v>0.05</v>
      </c>
      <c r="N4624" s="475">
        <f t="shared" si="195"/>
        <v>191786</v>
      </c>
    </row>
    <row r="4625" spans="7:14" ht="11.25" customHeight="1" x14ac:dyDescent="0.3">
      <c r="G4625" s="470"/>
      <c r="H4625" s="470">
        <v>4618</v>
      </c>
      <c r="I4625" s="455">
        <f t="shared" ca="1" si="193"/>
        <v>87193514630385.094</v>
      </c>
      <c r="J4625" s="455">
        <f t="array" ref="J4625">IFERROR(INDEX('Retirement Calculator'!J:J,MATCH('Isaac 401k'!N4625,'Retirement Calculator'!A:A,0),0),0)</f>
        <v>0</v>
      </c>
      <c r="K4625" s="455">
        <f t="shared" ca="1" si="191"/>
        <v>363306310959.93787</v>
      </c>
      <c r="L4625" s="455">
        <f t="shared" ca="1" si="192"/>
        <v>87556820941345.031</v>
      </c>
      <c r="M4625" s="471">
        <f t="shared" si="194"/>
        <v>0.05</v>
      </c>
      <c r="N4625" s="475">
        <f t="shared" si="195"/>
        <v>191814</v>
      </c>
    </row>
    <row r="4626" spans="7:14" ht="11.25" customHeight="1" x14ac:dyDescent="0.3">
      <c r="G4626" s="470"/>
      <c r="H4626" s="470">
        <v>4619</v>
      </c>
      <c r="I4626" s="455">
        <f t="shared" ca="1" si="193"/>
        <v>87556820941345.031</v>
      </c>
      <c r="J4626" s="455">
        <f t="array" ref="J4626">IFERROR(INDEX('Retirement Calculator'!J:J,MATCH('Isaac 401k'!N4626,'Retirement Calculator'!A:A,0),0),0)</f>
        <v>0</v>
      </c>
      <c r="K4626" s="455">
        <f t="shared" ca="1" si="191"/>
        <v>364820087255.60431</v>
      </c>
      <c r="L4626" s="455">
        <f t="shared" ca="1" si="192"/>
        <v>87921641028600.641</v>
      </c>
      <c r="M4626" s="471">
        <f t="shared" si="194"/>
        <v>0.05</v>
      </c>
      <c r="N4626" s="475">
        <f t="shared" si="195"/>
        <v>191845</v>
      </c>
    </row>
    <row r="4627" spans="7:14" ht="11.25" customHeight="1" x14ac:dyDescent="0.3">
      <c r="G4627" s="470"/>
      <c r="H4627" s="470">
        <v>4620</v>
      </c>
      <c r="I4627" s="455">
        <f t="shared" ca="1" si="193"/>
        <v>87921641028600.641</v>
      </c>
      <c r="J4627" s="455">
        <f t="array" ref="J4627">IFERROR(INDEX('Retirement Calculator'!J:J,MATCH('Isaac 401k'!N4627,'Retirement Calculator'!A:A,0),0),0)</f>
        <v>0</v>
      </c>
      <c r="K4627" s="455">
        <f t="shared" ca="1" si="191"/>
        <v>366340170952.50269</v>
      </c>
      <c r="L4627" s="455">
        <f t="shared" ca="1" si="192"/>
        <v>88287981199553.141</v>
      </c>
      <c r="M4627" s="471">
        <f t="shared" si="194"/>
        <v>0.05</v>
      </c>
      <c r="N4627" s="475">
        <f t="shared" si="195"/>
        <v>191875</v>
      </c>
    </row>
    <row r="4628" spans="7:14" ht="11.25" customHeight="1" x14ac:dyDescent="0.3">
      <c r="G4628" s="470"/>
      <c r="H4628" s="470">
        <v>4621</v>
      </c>
      <c r="I4628" s="455">
        <f t="shared" ca="1" si="193"/>
        <v>88287981199553.141</v>
      </c>
      <c r="J4628" s="455">
        <f t="array" ref="J4628">IFERROR(INDEX('Retirement Calculator'!J:J,MATCH('Isaac 401k'!N4628,'Retirement Calculator'!A:A,0),0),0)</f>
        <v>0</v>
      </c>
      <c r="K4628" s="455">
        <f t="shared" ca="1" si="191"/>
        <v>367866588331.47144</v>
      </c>
      <c r="L4628" s="455">
        <f t="shared" ca="1" si="192"/>
        <v>88655847787884.609</v>
      </c>
      <c r="M4628" s="471">
        <f t="shared" si="194"/>
        <v>0.05</v>
      </c>
      <c r="N4628" s="475">
        <f t="shared" si="195"/>
        <v>191906</v>
      </c>
    </row>
    <row r="4629" spans="7:14" ht="11.25" customHeight="1" x14ac:dyDescent="0.3">
      <c r="G4629" s="470"/>
      <c r="H4629" s="470">
        <v>4622</v>
      </c>
      <c r="I4629" s="455">
        <f t="shared" ca="1" si="193"/>
        <v>88655847787884.609</v>
      </c>
      <c r="J4629" s="455">
        <f t="array" ref="J4629">IFERROR(INDEX('Retirement Calculator'!J:J,MATCH('Isaac 401k'!N4629,'Retirement Calculator'!A:A,0),0),0)</f>
        <v>0</v>
      </c>
      <c r="K4629" s="455">
        <f t="shared" ca="1" si="191"/>
        <v>369399365782.85254</v>
      </c>
      <c r="L4629" s="455">
        <f t="shared" ca="1" si="192"/>
        <v>89025247153667.469</v>
      </c>
      <c r="M4629" s="471">
        <f t="shared" si="194"/>
        <v>0.05</v>
      </c>
      <c r="N4629" s="475">
        <f t="shared" si="195"/>
        <v>191936</v>
      </c>
    </row>
    <row r="4630" spans="7:14" ht="11.25" customHeight="1" x14ac:dyDescent="0.3">
      <c r="G4630" s="470"/>
      <c r="H4630" s="470">
        <v>4623</v>
      </c>
      <c r="I4630" s="455">
        <f t="shared" ca="1" si="193"/>
        <v>89025247153667.469</v>
      </c>
      <c r="J4630" s="455">
        <f t="array" ref="J4630">IFERROR(INDEX('Retirement Calculator'!J:J,MATCH('Isaac 401k'!N4630,'Retirement Calculator'!A:A,0),0),0)</f>
        <v>0</v>
      </c>
      <c r="K4630" s="455">
        <f t="shared" ca="1" si="191"/>
        <v>370938529806.94775</v>
      </c>
      <c r="L4630" s="455">
        <f t="shared" ca="1" si="192"/>
        <v>89396185683474.422</v>
      </c>
      <c r="M4630" s="471">
        <f t="shared" si="194"/>
        <v>0.05</v>
      </c>
      <c r="N4630" s="475">
        <f t="shared" si="195"/>
        <v>191967</v>
      </c>
    </row>
    <row r="4631" spans="7:14" ht="11.25" customHeight="1" x14ac:dyDescent="0.3">
      <c r="G4631" s="470"/>
      <c r="H4631" s="470">
        <v>4624</v>
      </c>
      <c r="I4631" s="455">
        <f t="shared" ca="1" si="193"/>
        <v>89396185683474.422</v>
      </c>
      <c r="J4631" s="455">
        <f t="array" ref="J4631">IFERROR(INDEX('Retirement Calculator'!J:J,MATCH('Isaac 401k'!N4631,'Retirement Calculator'!A:A,0),0),0)</f>
        <v>0</v>
      </c>
      <c r="K4631" s="455">
        <f t="shared" ca="1" si="191"/>
        <v>372484107014.47675</v>
      </c>
      <c r="L4631" s="455">
        <f t="shared" ca="1" si="192"/>
        <v>89768669790488.906</v>
      </c>
      <c r="M4631" s="471">
        <f t="shared" si="194"/>
        <v>0.05</v>
      </c>
      <c r="N4631" s="475">
        <f t="shared" si="195"/>
        <v>191998</v>
      </c>
    </row>
    <row r="4632" spans="7:14" ht="11.25" customHeight="1" x14ac:dyDescent="0.3">
      <c r="G4632" s="470"/>
      <c r="H4632" s="470">
        <v>4625</v>
      </c>
      <c r="I4632" s="455">
        <f t="shared" ca="1" si="193"/>
        <v>89768669790488.906</v>
      </c>
      <c r="J4632" s="455">
        <f t="array" ref="J4632">IFERROR(INDEX('Retirement Calculator'!J:J,MATCH('Isaac 401k'!N4632,'Retirement Calculator'!A:A,0),0),0)</f>
        <v>0</v>
      </c>
      <c r="K4632" s="455">
        <f t="shared" ca="1" si="191"/>
        <v>374036124127.03711</v>
      </c>
      <c r="L4632" s="455">
        <f t="shared" ca="1" si="192"/>
        <v>90142705914615.938</v>
      </c>
      <c r="M4632" s="471">
        <f t="shared" si="194"/>
        <v>0.05</v>
      </c>
      <c r="N4632" s="475">
        <f t="shared" si="195"/>
        <v>192028</v>
      </c>
    </row>
    <row r="4633" spans="7:14" ht="11.25" customHeight="1" x14ac:dyDescent="0.3">
      <c r="G4633" s="470"/>
      <c r="H4633" s="470">
        <v>4626</v>
      </c>
      <c r="I4633" s="455">
        <f t="shared" ca="1" si="193"/>
        <v>90142705914615.938</v>
      </c>
      <c r="J4633" s="455">
        <f t="array" ref="J4633">IFERROR(INDEX('Retirement Calculator'!J:J,MATCH('Isaac 401k'!N4633,'Retirement Calculator'!A:A,0),0),0)</f>
        <v>0</v>
      </c>
      <c r="K4633" s="455">
        <f t="shared" ca="1" si="191"/>
        <v>375594607977.56641</v>
      </c>
      <c r="L4633" s="455">
        <f t="shared" ca="1" si="192"/>
        <v>90518300522593.5</v>
      </c>
      <c r="M4633" s="471">
        <f t="shared" si="194"/>
        <v>0.05</v>
      </c>
      <c r="N4633" s="475">
        <f t="shared" si="195"/>
        <v>192059</v>
      </c>
    </row>
    <row r="4634" spans="7:14" ht="11.25" customHeight="1" x14ac:dyDescent="0.3">
      <c r="G4634" s="470"/>
      <c r="H4634" s="470">
        <v>4627</v>
      </c>
      <c r="I4634" s="455">
        <f t="shared" ca="1" si="193"/>
        <v>90518300522593.5</v>
      </c>
      <c r="J4634" s="455">
        <f t="array" ref="J4634">IFERROR(INDEX('Retirement Calculator'!J:J,MATCH('Isaac 401k'!N4634,'Retirement Calculator'!A:A,0),0),0)</f>
        <v>0</v>
      </c>
      <c r="K4634" s="455">
        <f t="shared" ca="1" si="191"/>
        <v>377159585510.80627</v>
      </c>
      <c r="L4634" s="455">
        <f t="shared" ca="1" si="192"/>
        <v>90895460108104.313</v>
      </c>
      <c r="M4634" s="471">
        <f t="shared" si="194"/>
        <v>0.05</v>
      </c>
      <c r="N4634" s="475">
        <f t="shared" si="195"/>
        <v>192089</v>
      </c>
    </row>
    <row r="4635" spans="7:14" ht="11.25" customHeight="1" x14ac:dyDescent="0.3">
      <c r="G4635" s="470"/>
      <c r="H4635" s="470">
        <v>4628</v>
      </c>
      <c r="I4635" s="455">
        <f t="shared" ca="1" si="193"/>
        <v>90895460108104.313</v>
      </c>
      <c r="J4635" s="455">
        <f t="array" ref="J4635">IFERROR(INDEX('Retirement Calculator'!J:J,MATCH('Isaac 401k'!N4635,'Retirement Calculator'!A:A,0),0),0)</f>
        <v>0</v>
      </c>
      <c r="K4635" s="455">
        <f t="shared" ca="1" si="191"/>
        <v>378731083783.76794</v>
      </c>
      <c r="L4635" s="455">
        <f t="shared" ca="1" si="192"/>
        <v>91274191191888.078</v>
      </c>
      <c r="M4635" s="471">
        <f t="shared" si="194"/>
        <v>0.05</v>
      </c>
      <c r="N4635" s="475">
        <f t="shared" si="195"/>
        <v>192120</v>
      </c>
    </row>
    <row r="4636" spans="7:14" ht="11.25" customHeight="1" x14ac:dyDescent="0.3">
      <c r="G4636" s="470"/>
      <c r="H4636" s="470">
        <v>4629</v>
      </c>
      <c r="I4636" s="455">
        <f t="shared" ca="1" si="193"/>
        <v>91274191191888.078</v>
      </c>
      <c r="J4636" s="455">
        <f t="array" ref="J4636">IFERROR(INDEX('Retirement Calculator'!J:J,MATCH('Isaac 401k'!N4636,'Retirement Calculator'!A:A,0),0),0)</f>
        <v>0</v>
      </c>
      <c r="K4636" s="455">
        <f t="shared" ca="1" si="191"/>
        <v>380309129966.20032</v>
      </c>
      <c r="L4636" s="455">
        <f t="shared" ca="1" si="192"/>
        <v>91654500321854.281</v>
      </c>
      <c r="M4636" s="471">
        <f t="shared" si="194"/>
        <v>0.05</v>
      </c>
      <c r="N4636" s="475">
        <f t="shared" si="195"/>
        <v>192151</v>
      </c>
    </row>
    <row r="4637" spans="7:14" ht="11.25" customHeight="1" x14ac:dyDescent="0.3">
      <c r="G4637" s="470"/>
      <c r="H4637" s="470">
        <v>4630</v>
      </c>
      <c r="I4637" s="455">
        <f t="shared" ca="1" si="193"/>
        <v>91654500321854.281</v>
      </c>
      <c r="J4637" s="455">
        <f t="array" ref="J4637">IFERROR(INDEX('Retirement Calculator'!J:J,MATCH('Isaac 401k'!N4637,'Retirement Calculator'!A:A,0),0),0)</f>
        <v>0</v>
      </c>
      <c r="K4637" s="455">
        <f t="shared" ca="1" si="191"/>
        <v>381893751341.05951</v>
      </c>
      <c r="L4637" s="455">
        <f t="shared" ca="1" si="192"/>
        <v>92036394073195.344</v>
      </c>
      <c r="M4637" s="471">
        <f t="shared" si="194"/>
        <v>0.05</v>
      </c>
      <c r="N4637" s="475">
        <f t="shared" si="195"/>
        <v>192179</v>
      </c>
    </row>
    <row r="4638" spans="7:14" ht="11.25" customHeight="1" x14ac:dyDescent="0.3">
      <c r="G4638" s="470"/>
      <c r="H4638" s="470">
        <v>4631</v>
      </c>
      <c r="I4638" s="455">
        <f t="shared" ca="1" si="193"/>
        <v>92036394073195.344</v>
      </c>
      <c r="J4638" s="455">
        <f t="array" ref="J4638">IFERROR(INDEX('Retirement Calculator'!J:J,MATCH('Isaac 401k'!N4638,'Retirement Calculator'!A:A,0),0),0)</f>
        <v>0</v>
      </c>
      <c r="K4638" s="455">
        <f t="shared" ca="1" si="191"/>
        <v>383484975304.98059</v>
      </c>
      <c r="L4638" s="455">
        <f t="shared" ca="1" si="192"/>
        <v>92419879048500.328</v>
      </c>
      <c r="M4638" s="471">
        <f t="shared" si="194"/>
        <v>0.05</v>
      </c>
      <c r="N4638" s="475">
        <f t="shared" si="195"/>
        <v>192210</v>
      </c>
    </row>
    <row r="4639" spans="7:14" ht="11.25" customHeight="1" x14ac:dyDescent="0.3">
      <c r="G4639" s="470"/>
      <c r="H4639" s="470">
        <v>4632</v>
      </c>
      <c r="I4639" s="455">
        <f t="shared" ca="1" si="193"/>
        <v>92419879048500.328</v>
      </c>
      <c r="J4639" s="455">
        <f t="array" ref="J4639">IFERROR(INDEX('Retirement Calculator'!J:J,MATCH('Isaac 401k'!N4639,'Retirement Calculator'!A:A,0),0),0)</f>
        <v>0</v>
      </c>
      <c r="K4639" s="455">
        <f t="shared" ca="1" si="191"/>
        <v>385082829368.75134</v>
      </c>
      <c r="L4639" s="455">
        <f t="shared" ca="1" si="192"/>
        <v>92804961877869.078</v>
      </c>
      <c r="M4639" s="471">
        <f t="shared" si="194"/>
        <v>0.05</v>
      </c>
      <c r="N4639" s="475">
        <f t="shared" si="195"/>
        <v>192240</v>
      </c>
    </row>
    <row r="4640" spans="7:14" ht="11.25" customHeight="1" x14ac:dyDescent="0.3">
      <c r="G4640" s="470"/>
      <c r="H4640" s="470">
        <v>4633</v>
      </c>
      <c r="I4640" s="455">
        <f t="shared" ca="1" si="193"/>
        <v>92804961877869.078</v>
      </c>
      <c r="J4640" s="455">
        <f t="array" ref="J4640">IFERROR(INDEX('Retirement Calculator'!J:J,MATCH('Isaac 401k'!N4640,'Retirement Calculator'!A:A,0),0),0)</f>
        <v>0</v>
      </c>
      <c r="K4640" s="455">
        <f t="shared" ca="1" si="191"/>
        <v>386687341157.78784</v>
      </c>
      <c r="L4640" s="455">
        <f t="shared" ca="1" si="192"/>
        <v>93191649219026.859</v>
      </c>
      <c r="M4640" s="471">
        <f t="shared" si="194"/>
        <v>0.05</v>
      </c>
      <c r="N4640" s="475">
        <f t="shared" si="195"/>
        <v>192271</v>
      </c>
    </row>
    <row r="4641" spans="7:14" ht="11.25" customHeight="1" x14ac:dyDescent="0.3">
      <c r="G4641" s="470"/>
      <c r="H4641" s="470">
        <v>4634</v>
      </c>
      <c r="I4641" s="455">
        <f t="shared" ca="1" si="193"/>
        <v>93191649219026.859</v>
      </c>
      <c r="J4641" s="455">
        <f t="array" ref="J4641">IFERROR(INDEX('Retirement Calculator'!J:J,MATCH('Isaac 401k'!N4641,'Retirement Calculator'!A:A,0),0),0)</f>
        <v>0</v>
      </c>
      <c r="K4641" s="455">
        <f t="shared" ca="1" si="191"/>
        <v>388298538412.61194</v>
      </c>
      <c r="L4641" s="455">
        <f t="shared" ca="1" si="192"/>
        <v>93579947757439.469</v>
      </c>
      <c r="M4641" s="471">
        <f t="shared" si="194"/>
        <v>0.05</v>
      </c>
      <c r="N4641" s="475">
        <f t="shared" si="195"/>
        <v>192301</v>
      </c>
    </row>
    <row r="4642" spans="7:14" ht="11.25" customHeight="1" x14ac:dyDescent="0.3">
      <c r="G4642" s="470"/>
      <c r="H4642" s="470">
        <v>4635</v>
      </c>
      <c r="I4642" s="455">
        <f t="shared" ca="1" si="193"/>
        <v>93579947757439.469</v>
      </c>
      <c r="J4642" s="455">
        <f t="array" ref="J4642">IFERROR(INDEX('Retirement Calculator'!J:J,MATCH('Isaac 401k'!N4642,'Retirement Calculator'!A:A,0),0),0)</f>
        <v>0</v>
      </c>
      <c r="K4642" s="455">
        <f t="shared" ca="1" si="191"/>
        <v>389916448989.33112</v>
      </c>
      <c r="L4642" s="455">
        <f t="shared" ca="1" si="192"/>
        <v>93969864206428.797</v>
      </c>
      <c r="M4642" s="471">
        <f t="shared" si="194"/>
        <v>0.05</v>
      </c>
      <c r="N4642" s="475">
        <f t="shared" si="195"/>
        <v>192332</v>
      </c>
    </row>
    <row r="4643" spans="7:14" ht="11.25" customHeight="1" x14ac:dyDescent="0.3">
      <c r="G4643" s="470"/>
      <c r="H4643" s="470">
        <v>4636</v>
      </c>
      <c r="I4643" s="455">
        <f t="shared" ca="1" si="193"/>
        <v>93969864206428.797</v>
      </c>
      <c r="J4643" s="455">
        <f t="array" ref="J4643">IFERROR(INDEX('Retirement Calculator'!J:J,MATCH('Isaac 401k'!N4643,'Retirement Calculator'!A:A,0),0),0)</f>
        <v>0</v>
      </c>
      <c r="K4643" s="455">
        <f t="shared" ca="1" si="191"/>
        <v>391541100860.12</v>
      </c>
      <c r="L4643" s="455">
        <f t="shared" ca="1" si="192"/>
        <v>94361405307288.922</v>
      </c>
      <c r="M4643" s="471">
        <f t="shared" si="194"/>
        <v>0.05</v>
      </c>
      <c r="N4643" s="475">
        <f t="shared" si="195"/>
        <v>192363</v>
      </c>
    </row>
    <row r="4644" spans="7:14" ht="11.25" customHeight="1" x14ac:dyDescent="0.3">
      <c r="G4644" s="470"/>
      <c r="H4644" s="470">
        <v>4637</v>
      </c>
      <c r="I4644" s="455">
        <f t="shared" ca="1" si="193"/>
        <v>94361405307288.922</v>
      </c>
      <c r="J4644" s="455">
        <f t="array" ref="J4644">IFERROR(INDEX('Retirement Calculator'!J:J,MATCH('Isaac 401k'!N4644,'Retirement Calculator'!A:A,0),0),0)</f>
        <v>0</v>
      </c>
      <c r="K4644" s="455">
        <f t="shared" ca="1" si="191"/>
        <v>393172522113.70386</v>
      </c>
      <c r="L4644" s="455">
        <f t="shared" ca="1" si="192"/>
        <v>94754577829402.625</v>
      </c>
      <c r="M4644" s="471">
        <f t="shared" si="194"/>
        <v>0.05</v>
      </c>
      <c r="N4644" s="475">
        <f t="shared" si="195"/>
        <v>192393</v>
      </c>
    </row>
    <row r="4645" spans="7:14" ht="11.25" customHeight="1" x14ac:dyDescent="0.3">
      <c r="G4645" s="470"/>
      <c r="H4645" s="470">
        <v>4638</v>
      </c>
      <c r="I4645" s="455">
        <f t="shared" ca="1" si="193"/>
        <v>94754577829402.625</v>
      </c>
      <c r="J4645" s="455">
        <f t="array" ref="J4645">IFERROR(INDEX('Retirement Calculator'!J:J,MATCH('Isaac 401k'!N4645,'Retirement Calculator'!A:A,0),0),0)</f>
        <v>0</v>
      </c>
      <c r="K4645" s="455">
        <f t="shared" ca="1" si="191"/>
        <v>394810740955.84424</v>
      </c>
      <c r="L4645" s="455">
        <f t="shared" ca="1" si="192"/>
        <v>95149388570358.469</v>
      </c>
      <c r="M4645" s="471">
        <f t="shared" si="194"/>
        <v>0.05</v>
      </c>
      <c r="N4645" s="475">
        <f t="shared" si="195"/>
        <v>192424</v>
      </c>
    </row>
    <row r="4646" spans="7:14" ht="11.25" customHeight="1" x14ac:dyDescent="0.3">
      <c r="G4646" s="470"/>
      <c r="H4646" s="470">
        <v>4639</v>
      </c>
      <c r="I4646" s="455">
        <f t="shared" ca="1" si="193"/>
        <v>95149388570358.469</v>
      </c>
      <c r="J4646" s="455">
        <f t="array" ref="J4646">IFERROR(INDEX('Retirement Calculator'!J:J,MATCH('Isaac 401k'!N4646,'Retirement Calculator'!A:A,0),0),0)</f>
        <v>0</v>
      </c>
      <c r="K4646" s="455">
        <f t="shared" ca="1" si="191"/>
        <v>396455785709.82697</v>
      </c>
      <c r="L4646" s="455">
        <f t="shared" ca="1" si="192"/>
        <v>95545844356068.297</v>
      </c>
      <c r="M4646" s="471">
        <f t="shared" si="194"/>
        <v>0.05</v>
      </c>
      <c r="N4646" s="475">
        <f t="shared" si="195"/>
        <v>192454</v>
      </c>
    </row>
    <row r="4647" spans="7:14" ht="11.25" customHeight="1" x14ac:dyDescent="0.3">
      <c r="G4647" s="470"/>
      <c r="H4647" s="470">
        <v>4640</v>
      </c>
      <c r="I4647" s="455">
        <f t="shared" ca="1" si="193"/>
        <v>95545844356068.297</v>
      </c>
      <c r="J4647" s="455">
        <f t="array" ref="J4647">IFERROR(INDEX('Retirement Calculator'!J:J,MATCH('Isaac 401k'!N4647,'Retirement Calculator'!A:A,0),0),0)</f>
        <v>0</v>
      </c>
      <c r="K4647" s="455">
        <f t="shared" ca="1" si="191"/>
        <v>398107684816.95123</v>
      </c>
      <c r="L4647" s="455">
        <f t="shared" ca="1" si="192"/>
        <v>95943952040885.25</v>
      </c>
      <c r="M4647" s="471">
        <f t="shared" si="194"/>
        <v>0.05</v>
      </c>
      <c r="N4647" s="475">
        <f t="shared" si="195"/>
        <v>192485</v>
      </c>
    </row>
    <row r="4648" spans="7:14" ht="11.25" customHeight="1" x14ac:dyDescent="0.3">
      <c r="G4648" s="470"/>
      <c r="H4648" s="470">
        <v>4641</v>
      </c>
      <c r="I4648" s="455">
        <f t="shared" ca="1" si="193"/>
        <v>95943952040885.25</v>
      </c>
      <c r="J4648" s="455">
        <f t="array" ref="J4648">IFERROR(INDEX('Retirement Calculator'!J:J,MATCH('Isaac 401k'!N4648,'Retirement Calculator'!A:A,0),0),0)</f>
        <v>0</v>
      </c>
      <c r="K4648" s="455">
        <f t="shared" ca="1" si="191"/>
        <v>399766466837.02185</v>
      </c>
      <c r="L4648" s="455">
        <f t="shared" ca="1" si="192"/>
        <v>96343718507722.266</v>
      </c>
      <c r="M4648" s="471">
        <f t="shared" si="194"/>
        <v>0.05</v>
      </c>
      <c r="N4648" s="475">
        <f t="shared" si="195"/>
        <v>192516</v>
      </c>
    </row>
    <row r="4649" spans="7:14" ht="11.25" customHeight="1" x14ac:dyDescent="0.3">
      <c r="G4649" s="470"/>
      <c r="H4649" s="470">
        <v>4642</v>
      </c>
      <c r="I4649" s="455">
        <f t="shared" ca="1" si="193"/>
        <v>96343718507722.266</v>
      </c>
      <c r="J4649" s="455">
        <f t="array" ref="J4649">IFERROR(INDEX('Retirement Calculator'!J:J,MATCH('Isaac 401k'!N4649,'Retirement Calculator'!A:A,0),0),0)</f>
        <v>0</v>
      </c>
      <c r="K4649" s="455">
        <f t="shared" ca="1" si="191"/>
        <v>401432160448.84277</v>
      </c>
      <c r="L4649" s="455">
        <f t="shared" ca="1" si="192"/>
        <v>96745150668171.109</v>
      </c>
      <c r="M4649" s="471">
        <f t="shared" si="194"/>
        <v>0.05</v>
      </c>
      <c r="N4649" s="475">
        <f t="shared" si="195"/>
        <v>192544</v>
      </c>
    </row>
    <row r="4650" spans="7:14" ht="11.25" customHeight="1" x14ac:dyDescent="0.3">
      <c r="G4650" s="470"/>
      <c r="H4650" s="470">
        <v>4643</v>
      </c>
      <c r="I4650" s="455">
        <f t="shared" ca="1" si="193"/>
        <v>96745150668171.109</v>
      </c>
      <c r="J4650" s="455">
        <f t="array" ref="J4650">IFERROR(INDEX('Retirement Calculator'!J:J,MATCH('Isaac 401k'!N4650,'Retirement Calculator'!A:A,0),0),0)</f>
        <v>0</v>
      </c>
      <c r="K4650" s="455">
        <f t="shared" ca="1" si="191"/>
        <v>403104794450.71295</v>
      </c>
      <c r="L4650" s="455">
        <f t="shared" ca="1" si="192"/>
        <v>97148255462621.828</v>
      </c>
      <c r="M4650" s="471">
        <f t="shared" si="194"/>
        <v>0.05</v>
      </c>
      <c r="N4650" s="475">
        <f t="shared" si="195"/>
        <v>192575</v>
      </c>
    </row>
    <row r="4651" spans="7:14" ht="11.25" customHeight="1" x14ac:dyDescent="0.3">
      <c r="G4651" s="470"/>
      <c r="H4651" s="470">
        <v>4644</v>
      </c>
      <c r="I4651" s="455">
        <f t="shared" ca="1" si="193"/>
        <v>97148255462621.828</v>
      </c>
      <c r="J4651" s="455">
        <f t="array" ref="J4651">IFERROR(INDEX('Retirement Calculator'!J:J,MATCH('Isaac 401k'!N4651,'Retirement Calculator'!A:A,0),0),0)</f>
        <v>0</v>
      </c>
      <c r="K4651" s="455">
        <f t="shared" ca="1" si="191"/>
        <v>404784397760.92426</v>
      </c>
      <c r="L4651" s="455">
        <f t="shared" ca="1" si="192"/>
        <v>97553039860382.75</v>
      </c>
      <c r="M4651" s="471">
        <f t="shared" si="194"/>
        <v>0.05</v>
      </c>
      <c r="N4651" s="475">
        <f t="shared" si="195"/>
        <v>192605</v>
      </c>
    </row>
    <row r="4652" spans="7:14" ht="11.25" customHeight="1" x14ac:dyDescent="0.3">
      <c r="G4652" s="470"/>
      <c r="H4652" s="470">
        <v>4645</v>
      </c>
      <c r="I4652" s="455">
        <f t="shared" ca="1" si="193"/>
        <v>97553039860382.75</v>
      </c>
      <c r="J4652" s="455">
        <f t="array" ref="J4652">IFERROR(INDEX('Retirement Calculator'!J:J,MATCH('Isaac 401k'!N4652,'Retirement Calculator'!A:A,0),0),0)</f>
        <v>0</v>
      </c>
      <c r="K4652" s="455">
        <f t="shared" ca="1" si="191"/>
        <v>406470999418.26147</v>
      </c>
      <c r="L4652" s="455">
        <f t="shared" ca="1" si="192"/>
        <v>97959510859801.016</v>
      </c>
      <c r="M4652" s="471">
        <f t="shared" si="194"/>
        <v>0.05</v>
      </c>
      <c r="N4652" s="475">
        <f t="shared" si="195"/>
        <v>192636</v>
      </c>
    </row>
    <row r="4653" spans="7:14" ht="11.25" customHeight="1" x14ac:dyDescent="0.3">
      <c r="G4653" s="470"/>
      <c r="H4653" s="470">
        <v>4646</v>
      </c>
      <c r="I4653" s="455">
        <f t="shared" ca="1" si="193"/>
        <v>97959510859801.016</v>
      </c>
      <c r="J4653" s="455">
        <f t="array" ref="J4653">IFERROR(INDEX('Retirement Calculator'!J:J,MATCH('Isaac 401k'!N4653,'Retirement Calculator'!A:A,0),0),0)</f>
        <v>0</v>
      </c>
      <c r="K4653" s="455">
        <f t="shared" ca="1" si="191"/>
        <v>408164628582.50421</v>
      </c>
      <c r="L4653" s="455">
        <f t="shared" ca="1" si="192"/>
        <v>98367675488383.516</v>
      </c>
      <c r="M4653" s="471">
        <f t="shared" si="194"/>
        <v>0.05</v>
      </c>
      <c r="N4653" s="475">
        <f t="shared" si="195"/>
        <v>192666</v>
      </c>
    </row>
    <row r="4654" spans="7:14" ht="11.25" customHeight="1" x14ac:dyDescent="0.3">
      <c r="G4654" s="470"/>
      <c r="H4654" s="470">
        <v>4647</v>
      </c>
      <c r="I4654" s="455">
        <f t="shared" ca="1" si="193"/>
        <v>98367675488383.516</v>
      </c>
      <c r="J4654" s="455">
        <f t="array" ref="J4654">IFERROR(INDEX('Retirement Calculator'!J:J,MATCH('Isaac 401k'!N4654,'Retirement Calculator'!A:A,0),0),0)</f>
        <v>0</v>
      </c>
      <c r="K4654" s="455">
        <f t="shared" ca="1" si="191"/>
        <v>409865314534.93134</v>
      </c>
      <c r="L4654" s="455">
        <f t="shared" ca="1" si="192"/>
        <v>98777540802918.453</v>
      </c>
      <c r="M4654" s="471">
        <f t="shared" si="194"/>
        <v>0.05</v>
      </c>
      <c r="N4654" s="475">
        <f t="shared" si="195"/>
        <v>192697</v>
      </c>
    </row>
    <row r="4655" spans="7:14" ht="11.25" customHeight="1" x14ac:dyDescent="0.3">
      <c r="G4655" s="470"/>
      <c r="H4655" s="470">
        <v>4648</v>
      </c>
      <c r="I4655" s="455">
        <f t="shared" ca="1" si="193"/>
        <v>98777540802918.453</v>
      </c>
      <c r="J4655" s="455">
        <f t="array" ref="J4655">IFERROR(INDEX('Retirement Calculator'!J:J,MATCH('Isaac 401k'!N4655,'Retirement Calculator'!A:A,0),0),0)</f>
        <v>0</v>
      </c>
      <c r="K4655" s="455">
        <f t="shared" ca="1" si="191"/>
        <v>411573086678.8269</v>
      </c>
      <c r="L4655" s="455">
        <f t="shared" ca="1" si="192"/>
        <v>99189113889597.281</v>
      </c>
      <c r="M4655" s="471">
        <f t="shared" si="194"/>
        <v>0.05</v>
      </c>
      <c r="N4655" s="475">
        <f t="shared" si="195"/>
        <v>192728</v>
      </c>
    </row>
    <row r="4656" spans="7:14" ht="11.25" customHeight="1" x14ac:dyDescent="0.3">
      <c r="G4656" s="470"/>
      <c r="H4656" s="470">
        <v>4649</v>
      </c>
      <c r="I4656" s="455">
        <f t="shared" ca="1" si="193"/>
        <v>99189113889597.281</v>
      </c>
      <c r="J4656" s="455">
        <f t="array" ref="J4656">IFERROR(INDEX('Retirement Calculator'!J:J,MATCH('Isaac 401k'!N4656,'Retirement Calculator'!A:A,0),0),0)</f>
        <v>0</v>
      </c>
      <c r="K4656" s="455">
        <f t="shared" ca="1" si="191"/>
        <v>413287974539.98865</v>
      </c>
      <c r="L4656" s="455">
        <f t="shared" ca="1" si="192"/>
        <v>99602401864137.266</v>
      </c>
      <c r="M4656" s="471">
        <f t="shared" si="194"/>
        <v>0.05</v>
      </c>
      <c r="N4656" s="475">
        <f t="shared" si="195"/>
        <v>192758</v>
      </c>
    </row>
    <row r="4657" spans="7:14" ht="11.25" customHeight="1" x14ac:dyDescent="0.3">
      <c r="G4657" s="470"/>
      <c r="H4657" s="470">
        <v>4650</v>
      </c>
      <c r="I4657" s="455">
        <f t="shared" ca="1" si="193"/>
        <v>99602401864137.266</v>
      </c>
      <c r="J4657" s="455">
        <f t="array" ref="J4657">IFERROR(INDEX('Retirement Calculator'!J:J,MATCH('Isaac 401k'!N4657,'Retirement Calculator'!A:A,0),0),0)</f>
        <v>0</v>
      </c>
      <c r="K4657" s="455">
        <f t="shared" ca="1" si="191"/>
        <v>415010007767.23859</v>
      </c>
      <c r="L4657" s="455">
        <f t="shared" ca="1" si="192"/>
        <v>100017411871904.5</v>
      </c>
      <c r="M4657" s="471">
        <f t="shared" si="194"/>
        <v>0.05</v>
      </c>
      <c r="N4657" s="475">
        <f t="shared" si="195"/>
        <v>192789</v>
      </c>
    </row>
    <row r="4658" spans="7:14" ht="11.25" customHeight="1" x14ac:dyDescent="0.3">
      <c r="G4658" s="470"/>
      <c r="H4658" s="470">
        <v>4651</v>
      </c>
      <c r="I4658" s="455">
        <f t="shared" ca="1" si="193"/>
        <v>100017411871904.5</v>
      </c>
      <c r="J4658" s="455">
        <f t="array" ref="J4658">IFERROR(INDEX('Retirement Calculator'!J:J,MATCH('Isaac 401k'!N4658,'Retirement Calculator'!A:A,0),0),0)</f>
        <v>0</v>
      </c>
      <c r="K4658" s="455">
        <f t="shared" ca="1" si="191"/>
        <v>416739216132.93542</v>
      </c>
      <c r="L4658" s="455">
        <f t="shared" ca="1" si="192"/>
        <v>100434151088037.44</v>
      </c>
      <c r="M4658" s="471">
        <f t="shared" si="194"/>
        <v>0.05</v>
      </c>
      <c r="N4658" s="475">
        <f t="shared" si="195"/>
        <v>192819</v>
      </c>
    </row>
    <row r="4659" spans="7:14" ht="11.25" customHeight="1" x14ac:dyDescent="0.3">
      <c r="G4659" s="470"/>
      <c r="H4659" s="470">
        <v>4652</v>
      </c>
      <c r="I4659" s="455">
        <f t="shared" ca="1" si="193"/>
        <v>100434151088037.44</v>
      </c>
      <c r="J4659" s="455">
        <f t="array" ref="J4659">IFERROR(INDEX('Retirement Calculator'!J:J,MATCH('Isaac 401k'!N4659,'Retirement Calculator'!A:A,0),0),0)</f>
        <v>0</v>
      </c>
      <c r="K4659" s="455">
        <f t="shared" ca="1" si="191"/>
        <v>418475629533.48932</v>
      </c>
      <c r="L4659" s="455">
        <f t="shared" ca="1" si="192"/>
        <v>100852626717570.92</v>
      </c>
      <c r="M4659" s="471">
        <f t="shared" si="194"/>
        <v>0.05</v>
      </c>
      <c r="N4659" s="475">
        <f t="shared" si="195"/>
        <v>192850</v>
      </c>
    </row>
    <row r="4660" spans="7:14" ht="11.25" customHeight="1" x14ac:dyDescent="0.3">
      <c r="G4660" s="470"/>
      <c r="H4660" s="470">
        <v>4653</v>
      </c>
      <c r="I4660" s="455">
        <f t="shared" ca="1" si="193"/>
        <v>100852626717570.92</v>
      </c>
      <c r="J4660" s="455">
        <f t="array" ref="J4660">IFERROR(INDEX('Retirement Calculator'!J:J,MATCH('Isaac 401k'!N4660,'Retirement Calculator'!A:A,0),0),0)</f>
        <v>0</v>
      </c>
      <c r="K4660" s="455">
        <f t="shared" ca="1" si="191"/>
        <v>420219277989.87885</v>
      </c>
      <c r="L4660" s="455">
        <f t="shared" ca="1" si="192"/>
        <v>101272845995560.8</v>
      </c>
      <c r="M4660" s="471">
        <f t="shared" si="194"/>
        <v>0.05</v>
      </c>
      <c r="N4660" s="475">
        <f t="shared" si="195"/>
        <v>192881</v>
      </c>
    </row>
    <row r="4661" spans="7:14" ht="11.25" customHeight="1" x14ac:dyDescent="0.3">
      <c r="G4661" s="470"/>
      <c r="H4661" s="470">
        <v>4654</v>
      </c>
      <c r="I4661" s="455">
        <f t="shared" ca="1" si="193"/>
        <v>101272845995560.8</v>
      </c>
      <c r="J4661" s="455">
        <f t="array" ref="J4661">IFERROR(INDEX('Retirement Calculator'!J:J,MATCH('Isaac 401k'!N4661,'Retirement Calculator'!A:A,0),0),0)</f>
        <v>0</v>
      </c>
      <c r="K4661" s="455">
        <f t="shared" ca="1" si="191"/>
        <v>421970191648.16998</v>
      </c>
      <c r="L4661" s="455">
        <f t="shared" ca="1" si="192"/>
        <v>101694816187208.97</v>
      </c>
      <c r="M4661" s="471">
        <f t="shared" si="194"/>
        <v>0.05</v>
      </c>
      <c r="N4661" s="475">
        <f t="shared" si="195"/>
        <v>192910</v>
      </c>
    </row>
    <row r="4662" spans="7:14" ht="11.25" customHeight="1" x14ac:dyDescent="0.3">
      <c r="G4662" s="470"/>
      <c r="H4662" s="470">
        <v>4655</v>
      </c>
      <c r="I4662" s="455">
        <f t="shared" ca="1" si="193"/>
        <v>101694816187208.97</v>
      </c>
      <c r="J4662" s="455">
        <f t="array" ref="J4662">IFERROR(INDEX('Retirement Calculator'!J:J,MATCH('Isaac 401k'!N4662,'Retirement Calculator'!A:A,0),0),0)</f>
        <v>0</v>
      </c>
      <c r="K4662" s="455">
        <f t="shared" ca="1" si="191"/>
        <v>423728400780.03735</v>
      </c>
      <c r="L4662" s="455">
        <f t="shared" ca="1" si="192"/>
        <v>102118544587989</v>
      </c>
      <c r="M4662" s="471">
        <f t="shared" si="194"/>
        <v>0.05</v>
      </c>
      <c r="N4662" s="475">
        <f t="shared" si="195"/>
        <v>192941</v>
      </c>
    </row>
    <row r="4663" spans="7:14" ht="11.25" customHeight="1" x14ac:dyDescent="0.3">
      <c r="G4663" s="470"/>
      <c r="H4663" s="470">
        <v>4656</v>
      </c>
      <c r="I4663" s="455">
        <f t="shared" ca="1" si="193"/>
        <v>102118544587989</v>
      </c>
      <c r="J4663" s="455">
        <f t="array" ref="J4663">IFERROR(INDEX('Retirement Calculator'!J:J,MATCH('Isaac 401k'!N4663,'Retirement Calculator'!A:A,0),0),0)</f>
        <v>0</v>
      </c>
      <c r="K4663" s="455">
        <f t="shared" ca="1" si="191"/>
        <v>425493935783.28748</v>
      </c>
      <c r="L4663" s="455">
        <f t="shared" ca="1" si="192"/>
        <v>102544038523772.28</v>
      </c>
      <c r="M4663" s="471">
        <f t="shared" si="194"/>
        <v>0.05</v>
      </c>
      <c r="N4663" s="475">
        <f t="shared" si="195"/>
        <v>192971</v>
      </c>
    </row>
    <row r="4664" spans="7:14" ht="11.25" customHeight="1" x14ac:dyDescent="0.3">
      <c r="G4664" s="470"/>
      <c r="H4664" s="470">
        <v>4657</v>
      </c>
      <c r="I4664" s="455">
        <f t="shared" ca="1" si="193"/>
        <v>102544038523772.28</v>
      </c>
      <c r="J4664" s="455">
        <f t="array" ref="J4664">IFERROR(INDEX('Retirement Calculator'!J:J,MATCH('Isaac 401k'!N4664,'Retirement Calculator'!A:A,0),0),0)</f>
        <v>0</v>
      </c>
      <c r="K4664" s="455">
        <f t="shared" ca="1" si="191"/>
        <v>427266827182.38452</v>
      </c>
      <c r="L4664" s="455">
        <f t="shared" ca="1" si="192"/>
        <v>102971305350954.67</v>
      </c>
      <c r="M4664" s="471">
        <f t="shared" si="194"/>
        <v>0.05</v>
      </c>
      <c r="N4664" s="475">
        <f t="shared" si="195"/>
        <v>193002</v>
      </c>
    </row>
    <row r="4665" spans="7:14" ht="11.25" customHeight="1" x14ac:dyDescent="0.3">
      <c r="G4665" s="470"/>
      <c r="H4665" s="470">
        <v>4658</v>
      </c>
      <c r="I4665" s="455">
        <f t="shared" ca="1" si="193"/>
        <v>102971305350954.67</v>
      </c>
      <c r="J4665" s="455">
        <f t="array" ref="J4665">IFERROR(INDEX('Retirement Calculator'!J:J,MATCH('Isaac 401k'!N4665,'Retirement Calculator'!A:A,0),0),0)</f>
        <v>0</v>
      </c>
      <c r="K4665" s="455">
        <f t="shared" ca="1" si="191"/>
        <v>429047105628.97778</v>
      </c>
      <c r="L4665" s="455">
        <f t="shared" ca="1" si="192"/>
        <v>103400352456583.66</v>
      </c>
      <c r="M4665" s="471">
        <f t="shared" si="194"/>
        <v>0.05</v>
      </c>
      <c r="N4665" s="475">
        <f t="shared" si="195"/>
        <v>193032</v>
      </c>
    </row>
    <row r="4666" spans="7:14" ht="11.25" customHeight="1" x14ac:dyDescent="0.3">
      <c r="G4666" s="470"/>
      <c r="H4666" s="470">
        <v>4659</v>
      </c>
      <c r="I4666" s="455">
        <f t="shared" ca="1" si="193"/>
        <v>103400352456583.66</v>
      </c>
      <c r="J4666" s="455">
        <f t="array" ref="J4666">IFERROR(INDEX('Retirement Calculator'!J:J,MATCH('Isaac 401k'!N4666,'Retirement Calculator'!A:A,0),0),0)</f>
        <v>0</v>
      </c>
      <c r="K4666" s="455">
        <f t="shared" ca="1" si="191"/>
        <v>430834801902.43188</v>
      </c>
      <c r="L4666" s="455">
        <f t="shared" ca="1" si="192"/>
        <v>103831187258486.09</v>
      </c>
      <c r="M4666" s="471">
        <f t="shared" si="194"/>
        <v>0.05</v>
      </c>
      <c r="N4666" s="475">
        <f t="shared" si="195"/>
        <v>193063</v>
      </c>
    </row>
    <row r="4667" spans="7:14" ht="11.25" customHeight="1" x14ac:dyDescent="0.3">
      <c r="G4667" s="470"/>
      <c r="H4667" s="470">
        <v>4660</v>
      </c>
      <c r="I4667" s="455">
        <f t="shared" ca="1" si="193"/>
        <v>103831187258486.09</v>
      </c>
      <c r="J4667" s="455">
        <f t="array" ref="J4667">IFERROR(INDEX('Retirement Calculator'!J:J,MATCH('Isaac 401k'!N4667,'Retirement Calculator'!A:A,0),0),0)</f>
        <v>0</v>
      </c>
      <c r="K4667" s="455">
        <f t="shared" ca="1" si="191"/>
        <v>432629946910.3587</v>
      </c>
      <c r="L4667" s="455">
        <f t="shared" ca="1" si="192"/>
        <v>104263817205396.45</v>
      </c>
      <c r="M4667" s="471">
        <f t="shared" si="194"/>
        <v>0.05</v>
      </c>
      <c r="N4667" s="475">
        <f t="shared" si="195"/>
        <v>193094</v>
      </c>
    </row>
    <row r="4668" spans="7:14" ht="11.25" customHeight="1" x14ac:dyDescent="0.3">
      <c r="G4668" s="470"/>
      <c r="H4668" s="470">
        <v>4661</v>
      </c>
      <c r="I4668" s="455">
        <f t="shared" ca="1" si="193"/>
        <v>104263817205396.45</v>
      </c>
      <c r="J4668" s="455">
        <f t="array" ref="J4668">IFERROR(INDEX('Retirement Calculator'!J:J,MATCH('Isaac 401k'!N4668,'Retirement Calculator'!A:A,0),0),0)</f>
        <v>0</v>
      </c>
      <c r="K4668" s="455">
        <f t="shared" ca="1" si="191"/>
        <v>434432571689.15186</v>
      </c>
      <c r="L4668" s="455">
        <f t="shared" ca="1" si="192"/>
        <v>104698249777085.61</v>
      </c>
      <c r="M4668" s="471">
        <f t="shared" si="194"/>
        <v>0.05</v>
      </c>
      <c r="N4668" s="475">
        <f t="shared" si="195"/>
        <v>193124</v>
      </c>
    </row>
    <row r="4669" spans="7:14" ht="11.25" customHeight="1" x14ac:dyDescent="0.3">
      <c r="G4669" s="470"/>
      <c r="H4669" s="470">
        <v>4662</v>
      </c>
      <c r="I4669" s="455">
        <f t="shared" ca="1" si="193"/>
        <v>104698249777085.61</v>
      </c>
      <c r="J4669" s="455">
        <f t="array" ref="J4669">IFERROR(INDEX('Retirement Calculator'!J:J,MATCH('Isaac 401k'!N4669,'Retirement Calculator'!A:A,0),0),0)</f>
        <v>0</v>
      </c>
      <c r="K4669" s="455">
        <f t="shared" ca="1" si="191"/>
        <v>436242707404.52338</v>
      </c>
      <c r="L4669" s="455">
        <f t="shared" ca="1" si="192"/>
        <v>105134492484490.13</v>
      </c>
      <c r="M4669" s="471">
        <f t="shared" si="194"/>
        <v>0.05</v>
      </c>
      <c r="N4669" s="475">
        <f t="shared" si="195"/>
        <v>193155</v>
      </c>
    </row>
    <row r="4670" spans="7:14" ht="11.25" customHeight="1" x14ac:dyDescent="0.3">
      <c r="G4670" s="470"/>
      <c r="H4670" s="470">
        <v>4663</v>
      </c>
      <c r="I4670" s="455">
        <f t="shared" ca="1" si="193"/>
        <v>105134492484490.13</v>
      </c>
      <c r="J4670" s="455">
        <f t="array" ref="J4670">IFERROR(INDEX('Retirement Calculator'!J:J,MATCH('Isaac 401k'!N4670,'Retirement Calculator'!A:A,0),0),0)</f>
        <v>0</v>
      </c>
      <c r="K4670" s="455">
        <f t="shared" ca="1" si="191"/>
        <v>438060385352.04218</v>
      </c>
      <c r="L4670" s="455">
        <f t="shared" ca="1" si="192"/>
        <v>105572552869842.17</v>
      </c>
      <c r="M4670" s="471">
        <f t="shared" si="194"/>
        <v>0.05</v>
      </c>
      <c r="N4670" s="475">
        <f t="shared" si="195"/>
        <v>193185</v>
      </c>
    </row>
    <row r="4671" spans="7:14" ht="11.25" customHeight="1" x14ac:dyDescent="0.3">
      <c r="G4671" s="470"/>
      <c r="H4671" s="470">
        <v>4664</v>
      </c>
      <c r="I4671" s="455">
        <f t="shared" ca="1" si="193"/>
        <v>105572552869842.17</v>
      </c>
      <c r="J4671" s="455">
        <f t="array" ref="J4671">IFERROR(INDEX('Retirement Calculator'!J:J,MATCH('Isaac 401k'!N4671,'Retirement Calculator'!A:A,0),0),0)</f>
        <v>0</v>
      </c>
      <c r="K4671" s="455">
        <f t="shared" ca="1" si="191"/>
        <v>439885636957.67572</v>
      </c>
      <c r="L4671" s="455">
        <f t="shared" ca="1" si="192"/>
        <v>106012438506799.84</v>
      </c>
      <c r="M4671" s="471">
        <f t="shared" si="194"/>
        <v>0.05</v>
      </c>
      <c r="N4671" s="475">
        <f t="shared" si="195"/>
        <v>193216</v>
      </c>
    </row>
    <row r="4672" spans="7:14" ht="11.25" customHeight="1" x14ac:dyDescent="0.3">
      <c r="G4672" s="470"/>
      <c r="H4672" s="470">
        <v>4665</v>
      </c>
      <c r="I4672" s="455">
        <f t="shared" ca="1" si="193"/>
        <v>106012438506799.84</v>
      </c>
      <c r="J4672" s="455">
        <f t="array" ref="J4672">IFERROR(INDEX('Retirement Calculator'!J:J,MATCH('Isaac 401k'!N4672,'Retirement Calculator'!A:A,0),0),0)</f>
        <v>0</v>
      </c>
      <c r="K4672" s="455">
        <f t="shared" ca="1" si="191"/>
        <v>441718493778.3327</v>
      </c>
      <c r="L4672" s="455">
        <f t="shared" ca="1" si="192"/>
        <v>106454157000578.17</v>
      </c>
      <c r="M4672" s="471">
        <f t="shared" si="194"/>
        <v>0.05</v>
      </c>
      <c r="N4672" s="475">
        <f t="shared" si="195"/>
        <v>193247</v>
      </c>
    </row>
    <row r="4673" spans="7:14" ht="11.25" customHeight="1" x14ac:dyDescent="0.3">
      <c r="G4673" s="470"/>
      <c r="H4673" s="470">
        <v>4666</v>
      </c>
      <c r="I4673" s="455">
        <f t="shared" ca="1" si="193"/>
        <v>106454157000578.17</v>
      </c>
      <c r="J4673" s="455">
        <f t="array" ref="J4673">IFERROR(INDEX('Retirement Calculator'!J:J,MATCH('Isaac 401k'!N4673,'Retirement Calculator'!A:A,0),0),0)</f>
        <v>0</v>
      </c>
      <c r="K4673" s="455">
        <f t="shared" ca="1" si="191"/>
        <v>443558987502.40906</v>
      </c>
      <c r="L4673" s="455">
        <f t="shared" ca="1" si="192"/>
        <v>106897715988080.58</v>
      </c>
      <c r="M4673" s="471">
        <f t="shared" si="194"/>
        <v>0.05</v>
      </c>
      <c r="N4673" s="475">
        <f t="shared" si="195"/>
        <v>193275</v>
      </c>
    </row>
    <row r="4674" spans="7:14" ht="11.25" customHeight="1" x14ac:dyDescent="0.3">
      <c r="G4674" s="470"/>
      <c r="H4674" s="470">
        <v>4667</v>
      </c>
      <c r="I4674" s="455">
        <f t="shared" ca="1" si="193"/>
        <v>106897715988080.58</v>
      </c>
      <c r="J4674" s="455">
        <f t="array" ref="J4674">IFERROR(INDEX('Retirement Calculator'!J:J,MATCH('Isaac 401k'!N4674,'Retirement Calculator'!A:A,0),0),0)</f>
        <v>0</v>
      </c>
      <c r="K4674" s="455">
        <f t="shared" ca="1" si="191"/>
        <v>445407149950.33575</v>
      </c>
      <c r="L4674" s="455">
        <f t="shared" ca="1" si="192"/>
        <v>107343123138030.91</v>
      </c>
      <c r="M4674" s="471">
        <f t="shared" si="194"/>
        <v>0.05</v>
      </c>
      <c r="N4674" s="475">
        <f t="shared" si="195"/>
        <v>193306</v>
      </c>
    </row>
    <row r="4675" spans="7:14" ht="11.25" customHeight="1" x14ac:dyDescent="0.3">
      <c r="G4675" s="470"/>
      <c r="H4675" s="470">
        <v>4668</v>
      </c>
      <c r="I4675" s="455">
        <f t="shared" ca="1" si="193"/>
        <v>107343123138030.91</v>
      </c>
      <c r="J4675" s="455">
        <f t="array" ref="J4675">IFERROR(INDEX('Retirement Calculator'!J:J,MATCH('Isaac 401k'!N4675,'Retirement Calculator'!A:A,0),0),0)</f>
        <v>0</v>
      </c>
      <c r="K4675" s="455">
        <f t="shared" ca="1" si="191"/>
        <v>447263013075.12878</v>
      </c>
      <c r="L4675" s="455">
        <f t="shared" ca="1" si="192"/>
        <v>107790386151106.03</v>
      </c>
      <c r="M4675" s="471">
        <f t="shared" si="194"/>
        <v>0.05</v>
      </c>
      <c r="N4675" s="475">
        <f t="shared" si="195"/>
        <v>193336</v>
      </c>
    </row>
    <row r="4676" spans="7:14" ht="11.25" customHeight="1" x14ac:dyDescent="0.3">
      <c r="G4676" s="470"/>
      <c r="H4676" s="470">
        <v>4669</v>
      </c>
      <c r="I4676" s="455">
        <f t="shared" ca="1" si="193"/>
        <v>107790386151106.03</v>
      </c>
      <c r="J4676" s="455">
        <f t="array" ref="J4676">IFERROR(INDEX('Retirement Calculator'!J:J,MATCH('Isaac 401k'!N4676,'Retirement Calculator'!A:A,0),0),0)</f>
        <v>0</v>
      </c>
      <c r="K4676" s="455">
        <f t="shared" ca="1" si="191"/>
        <v>449126608962.94177</v>
      </c>
      <c r="L4676" s="455">
        <f t="shared" ca="1" si="192"/>
        <v>108239512760068.97</v>
      </c>
      <c r="M4676" s="471">
        <f t="shared" si="194"/>
        <v>0.05</v>
      </c>
      <c r="N4676" s="475">
        <f t="shared" si="195"/>
        <v>193367</v>
      </c>
    </row>
    <row r="4677" spans="7:14" ht="11.25" customHeight="1" x14ac:dyDescent="0.3">
      <c r="G4677" s="470"/>
      <c r="H4677" s="470">
        <v>4670</v>
      </c>
      <c r="I4677" s="455">
        <f t="shared" ca="1" si="193"/>
        <v>108239512760068.97</v>
      </c>
      <c r="J4677" s="455">
        <f t="array" ref="J4677">IFERROR(INDEX('Retirement Calculator'!J:J,MATCH('Isaac 401k'!N4677,'Retirement Calculator'!A:A,0),0),0)</f>
        <v>0</v>
      </c>
      <c r="K4677" s="455">
        <f t="shared" ca="1" si="191"/>
        <v>450997969833.62067</v>
      </c>
      <c r="L4677" s="455">
        <f t="shared" ca="1" si="192"/>
        <v>108690510729902.59</v>
      </c>
      <c r="M4677" s="471">
        <f t="shared" si="194"/>
        <v>0.05</v>
      </c>
      <c r="N4677" s="475">
        <f t="shared" si="195"/>
        <v>193397</v>
      </c>
    </row>
    <row r="4678" spans="7:14" ht="11.25" customHeight="1" x14ac:dyDescent="0.3">
      <c r="G4678" s="470"/>
      <c r="H4678" s="470">
        <v>4671</v>
      </c>
      <c r="I4678" s="455">
        <f t="shared" ca="1" si="193"/>
        <v>108690510729902.59</v>
      </c>
      <c r="J4678" s="455">
        <f t="array" ref="J4678">IFERROR(INDEX('Retirement Calculator'!J:J,MATCH('Isaac 401k'!N4678,'Retirement Calculator'!A:A,0),0),0)</f>
        <v>0</v>
      </c>
      <c r="K4678" s="455">
        <f t="shared" ca="1" si="191"/>
        <v>452877128041.2608</v>
      </c>
      <c r="L4678" s="455">
        <f t="shared" ca="1" si="192"/>
        <v>109143387857943.86</v>
      </c>
      <c r="M4678" s="471">
        <f t="shared" si="194"/>
        <v>0.05</v>
      </c>
      <c r="N4678" s="475">
        <f t="shared" si="195"/>
        <v>193428</v>
      </c>
    </row>
    <row r="4679" spans="7:14" ht="11.25" customHeight="1" x14ac:dyDescent="0.3">
      <c r="G4679" s="470"/>
      <c r="H4679" s="470">
        <v>4672</v>
      </c>
      <c r="I4679" s="455">
        <f t="shared" ca="1" si="193"/>
        <v>109143387857943.86</v>
      </c>
      <c r="J4679" s="455">
        <f t="array" ref="J4679">IFERROR(INDEX('Retirement Calculator'!J:J,MATCH('Isaac 401k'!N4679,'Retirement Calculator'!A:A,0),0),0)</f>
        <v>0</v>
      </c>
      <c r="K4679" s="455">
        <f t="shared" ca="1" si="191"/>
        <v>454764116074.76605</v>
      </c>
      <c r="L4679" s="455">
        <f t="shared" ca="1" si="192"/>
        <v>109598151974018.63</v>
      </c>
      <c r="M4679" s="471">
        <f t="shared" si="194"/>
        <v>0.05</v>
      </c>
      <c r="N4679" s="475">
        <f t="shared" si="195"/>
        <v>193459</v>
      </c>
    </row>
    <row r="4680" spans="7:14" ht="11.25" customHeight="1" x14ac:dyDescent="0.3">
      <c r="G4680" s="470"/>
      <c r="H4680" s="470">
        <v>4673</v>
      </c>
      <c r="I4680" s="455">
        <f t="shared" ca="1" si="193"/>
        <v>109598151974018.63</v>
      </c>
      <c r="J4680" s="455">
        <f t="array" ref="J4680">IFERROR(INDEX('Retirement Calculator'!J:J,MATCH('Isaac 401k'!N4680,'Retirement Calculator'!A:A,0),0),0)</f>
        <v>0</v>
      </c>
      <c r="K4680" s="455">
        <f t="shared" ca="1" si="191"/>
        <v>456658966558.41095</v>
      </c>
      <c r="L4680" s="455">
        <f t="shared" ca="1" si="192"/>
        <v>110054810940577.03</v>
      </c>
      <c r="M4680" s="471">
        <f t="shared" si="194"/>
        <v>0.05</v>
      </c>
      <c r="N4680" s="475">
        <f t="shared" si="195"/>
        <v>193489</v>
      </c>
    </row>
    <row r="4681" spans="7:14" ht="11.25" customHeight="1" x14ac:dyDescent="0.3">
      <c r="G4681" s="470"/>
      <c r="H4681" s="470">
        <v>4674</v>
      </c>
      <c r="I4681" s="455">
        <f t="shared" ca="1" si="193"/>
        <v>110054810940577.03</v>
      </c>
      <c r="J4681" s="455">
        <f t="array" ref="J4681">IFERROR(INDEX('Retirement Calculator'!J:J,MATCH('Isaac 401k'!N4681,'Retirement Calculator'!A:A,0),0),0)</f>
        <v>0</v>
      </c>
      <c r="K4681" s="455">
        <f t="shared" ca="1" si="191"/>
        <v>458561712252.4043</v>
      </c>
      <c r="L4681" s="455">
        <f t="shared" ca="1" si="192"/>
        <v>110513372652829.44</v>
      </c>
      <c r="M4681" s="471">
        <f t="shared" si="194"/>
        <v>0.05</v>
      </c>
      <c r="N4681" s="475">
        <f t="shared" si="195"/>
        <v>193520</v>
      </c>
    </row>
    <row r="4682" spans="7:14" ht="11.25" customHeight="1" x14ac:dyDescent="0.3">
      <c r="G4682" s="470"/>
      <c r="H4682" s="470">
        <v>4675</v>
      </c>
      <c r="I4682" s="455">
        <f t="shared" ca="1" si="193"/>
        <v>110513372652829.44</v>
      </c>
      <c r="J4682" s="455">
        <f t="array" ref="J4682">IFERROR(INDEX('Retirement Calculator'!J:J,MATCH('Isaac 401k'!N4682,'Retirement Calculator'!A:A,0),0),0)</f>
        <v>0</v>
      </c>
      <c r="K4682" s="455">
        <f t="shared" ca="1" si="191"/>
        <v>460472386053.45599</v>
      </c>
      <c r="L4682" s="455">
        <f t="shared" ca="1" si="192"/>
        <v>110973845038882.89</v>
      </c>
      <c r="M4682" s="471">
        <f t="shared" si="194"/>
        <v>0.05</v>
      </c>
      <c r="N4682" s="475">
        <f t="shared" si="195"/>
        <v>193550</v>
      </c>
    </row>
    <row r="4683" spans="7:14" ht="11.25" customHeight="1" x14ac:dyDescent="0.3">
      <c r="G4683" s="470"/>
      <c r="H4683" s="470">
        <v>4676</v>
      </c>
      <c r="I4683" s="455">
        <f t="shared" ca="1" si="193"/>
        <v>110973845038882.89</v>
      </c>
      <c r="J4683" s="455">
        <f t="array" ref="J4683">IFERROR(INDEX('Retirement Calculator'!J:J,MATCH('Isaac 401k'!N4683,'Retirement Calculator'!A:A,0),0),0)</f>
        <v>0</v>
      </c>
      <c r="K4683" s="455">
        <f t="shared" ca="1" si="191"/>
        <v>462391020995.34528</v>
      </c>
      <c r="L4683" s="455">
        <f t="shared" ca="1" si="192"/>
        <v>111436236059878.23</v>
      </c>
      <c r="M4683" s="471">
        <f t="shared" si="194"/>
        <v>0.05</v>
      </c>
      <c r="N4683" s="475">
        <f t="shared" si="195"/>
        <v>193581</v>
      </c>
    </row>
    <row r="4684" spans="7:14" ht="11.25" customHeight="1" x14ac:dyDescent="0.3">
      <c r="G4684" s="470"/>
      <c r="H4684" s="470">
        <v>4677</v>
      </c>
      <c r="I4684" s="455">
        <f t="shared" ca="1" si="193"/>
        <v>111436236059878.23</v>
      </c>
      <c r="J4684" s="455">
        <f t="array" ref="J4684">IFERROR(INDEX('Retirement Calculator'!J:J,MATCH('Isaac 401k'!N4684,'Retirement Calculator'!A:A,0),0),0)</f>
        <v>0</v>
      </c>
      <c r="K4684" s="455">
        <f t="shared" ca="1" si="191"/>
        <v>464317650249.49261</v>
      </c>
      <c r="L4684" s="455">
        <f t="shared" ca="1" si="192"/>
        <v>111900553710127.73</v>
      </c>
      <c r="M4684" s="471">
        <f t="shared" si="194"/>
        <v>0.05</v>
      </c>
      <c r="N4684" s="475">
        <f t="shared" si="195"/>
        <v>193612</v>
      </c>
    </row>
    <row r="4685" spans="7:14" ht="11.25" customHeight="1" x14ac:dyDescent="0.3">
      <c r="G4685" s="470"/>
      <c r="H4685" s="470">
        <v>4678</v>
      </c>
      <c r="I4685" s="455">
        <f t="shared" ca="1" si="193"/>
        <v>111900553710127.73</v>
      </c>
      <c r="J4685" s="455">
        <f t="array" ref="J4685">IFERROR(INDEX('Retirement Calculator'!J:J,MATCH('Isaac 401k'!N4685,'Retirement Calculator'!A:A,0),0),0)</f>
        <v>0</v>
      </c>
      <c r="K4685" s="455">
        <f t="shared" ca="1" si="191"/>
        <v>466252307125.53223</v>
      </c>
      <c r="L4685" s="455">
        <f t="shared" ca="1" si="192"/>
        <v>112366806017253.27</v>
      </c>
      <c r="M4685" s="471">
        <f t="shared" si="194"/>
        <v>0.05</v>
      </c>
      <c r="N4685" s="475">
        <f t="shared" si="195"/>
        <v>193640</v>
      </c>
    </row>
    <row r="4686" spans="7:14" ht="11.25" customHeight="1" x14ac:dyDescent="0.3">
      <c r="G4686" s="470"/>
      <c r="H4686" s="470">
        <v>4679</v>
      </c>
      <c r="I4686" s="455">
        <f t="shared" ca="1" si="193"/>
        <v>112366806017253.27</v>
      </c>
      <c r="J4686" s="455">
        <f t="array" ref="J4686">IFERROR(INDEX('Retirement Calculator'!J:J,MATCH('Isaac 401k'!N4686,'Retirement Calculator'!A:A,0),0),0)</f>
        <v>0</v>
      </c>
      <c r="K4686" s="455">
        <f t="shared" ca="1" si="191"/>
        <v>468195025071.88861</v>
      </c>
      <c r="L4686" s="455">
        <f t="shared" ca="1" si="192"/>
        <v>112835001042325.16</v>
      </c>
      <c r="M4686" s="471">
        <f t="shared" si="194"/>
        <v>0.05</v>
      </c>
      <c r="N4686" s="475">
        <f t="shared" si="195"/>
        <v>193671</v>
      </c>
    </row>
    <row r="4687" spans="7:14" ht="11.25" customHeight="1" x14ac:dyDescent="0.3">
      <c r="G4687" s="470"/>
      <c r="H4687" s="470">
        <v>4680</v>
      </c>
      <c r="I4687" s="455">
        <f t="shared" ca="1" si="193"/>
        <v>112835001042325.16</v>
      </c>
      <c r="J4687" s="455">
        <f t="array" ref="J4687">IFERROR(INDEX('Retirement Calculator'!J:J,MATCH('Isaac 401k'!N4687,'Retirement Calculator'!A:A,0),0),0)</f>
        <v>0</v>
      </c>
      <c r="K4687" s="455">
        <f t="shared" ca="1" si="191"/>
        <v>470145837676.3548</v>
      </c>
      <c r="L4687" s="455">
        <f t="shared" ca="1" si="192"/>
        <v>113305146880001.52</v>
      </c>
      <c r="M4687" s="471">
        <f t="shared" si="194"/>
        <v>0.05</v>
      </c>
      <c r="N4687" s="475">
        <f t="shared" si="195"/>
        <v>193701</v>
      </c>
    </row>
    <row r="4688" spans="7:14" ht="11.25" customHeight="1" x14ac:dyDescent="0.3">
      <c r="G4688" s="470"/>
      <c r="H4688" s="470">
        <v>4681</v>
      </c>
      <c r="I4688" s="455">
        <f t="shared" ca="1" si="193"/>
        <v>113305146880001.52</v>
      </c>
      <c r="J4688" s="455">
        <f t="array" ref="J4688">IFERROR(INDEX('Retirement Calculator'!J:J,MATCH('Isaac 401k'!N4688,'Retirement Calculator'!A:A,0),0),0)</f>
        <v>0</v>
      </c>
      <c r="K4688" s="455">
        <f t="shared" ca="1" si="191"/>
        <v>472104778666.67297</v>
      </c>
      <c r="L4688" s="455">
        <f t="shared" ca="1" si="192"/>
        <v>113777251658668.19</v>
      </c>
      <c r="M4688" s="471">
        <f t="shared" si="194"/>
        <v>0.05</v>
      </c>
      <c r="N4688" s="475">
        <f t="shared" si="195"/>
        <v>193732</v>
      </c>
    </row>
    <row r="4689" spans="7:14" ht="11.25" customHeight="1" x14ac:dyDescent="0.3">
      <c r="G4689" s="470"/>
      <c r="H4689" s="470">
        <v>4682</v>
      </c>
      <c r="I4689" s="455">
        <f t="shared" ca="1" si="193"/>
        <v>113777251658668.19</v>
      </c>
      <c r="J4689" s="455">
        <f t="array" ref="J4689">IFERROR(INDEX('Retirement Calculator'!J:J,MATCH('Isaac 401k'!N4689,'Retirement Calculator'!A:A,0),0),0)</f>
        <v>0</v>
      </c>
      <c r="K4689" s="455">
        <f t="shared" ca="1" si="191"/>
        <v>474071881911.11749</v>
      </c>
      <c r="L4689" s="455">
        <f t="shared" ca="1" si="192"/>
        <v>114251323540579.31</v>
      </c>
      <c r="M4689" s="471">
        <f t="shared" si="194"/>
        <v>0.05</v>
      </c>
      <c r="N4689" s="475">
        <f t="shared" si="195"/>
        <v>193762</v>
      </c>
    </row>
    <row r="4690" spans="7:14" ht="11.25" customHeight="1" x14ac:dyDescent="0.3">
      <c r="G4690" s="470"/>
      <c r="H4690" s="470">
        <v>4683</v>
      </c>
      <c r="I4690" s="455">
        <f t="shared" ca="1" si="193"/>
        <v>114251323540579.31</v>
      </c>
      <c r="J4690" s="455">
        <f t="array" ref="J4690">IFERROR(INDEX('Retirement Calculator'!J:J,MATCH('Isaac 401k'!N4690,'Retirement Calculator'!A:A,0),0),0)</f>
        <v>0</v>
      </c>
      <c r="K4690" s="455">
        <f t="shared" ca="1" si="191"/>
        <v>476047181419.08038</v>
      </c>
      <c r="L4690" s="455">
        <f t="shared" ca="1" si="192"/>
        <v>114727370721998.39</v>
      </c>
      <c r="M4690" s="471">
        <f t="shared" si="194"/>
        <v>0.05</v>
      </c>
      <c r="N4690" s="475">
        <f t="shared" si="195"/>
        <v>193793</v>
      </c>
    </row>
    <row r="4691" spans="7:14" ht="11.25" customHeight="1" x14ac:dyDescent="0.3">
      <c r="G4691" s="470"/>
      <c r="H4691" s="470">
        <v>4684</v>
      </c>
      <c r="I4691" s="455">
        <f t="shared" ca="1" si="193"/>
        <v>114727370721998.39</v>
      </c>
      <c r="J4691" s="455">
        <f t="array" ref="J4691">IFERROR(INDEX('Retirement Calculator'!J:J,MATCH('Isaac 401k'!N4691,'Retirement Calculator'!A:A,0),0),0)</f>
        <v>0</v>
      </c>
      <c r="K4691" s="455">
        <f t="shared" ca="1" si="191"/>
        <v>478030711341.65997</v>
      </c>
      <c r="L4691" s="455">
        <f t="shared" ca="1" si="192"/>
        <v>115205401433340.05</v>
      </c>
      <c r="M4691" s="471">
        <f t="shared" si="194"/>
        <v>0.05</v>
      </c>
      <c r="N4691" s="475">
        <f t="shared" si="195"/>
        <v>193824</v>
      </c>
    </row>
    <row r="4692" spans="7:14" ht="11.25" customHeight="1" x14ac:dyDescent="0.3">
      <c r="G4692" s="470"/>
      <c r="H4692" s="470">
        <v>4685</v>
      </c>
      <c r="I4692" s="455">
        <f t="shared" ca="1" si="193"/>
        <v>115205401433340.05</v>
      </c>
      <c r="J4692" s="455">
        <f t="array" ref="J4692">IFERROR(INDEX('Retirement Calculator'!J:J,MATCH('Isaac 401k'!N4692,'Retirement Calculator'!A:A,0),0),0)</f>
        <v>0</v>
      </c>
      <c r="K4692" s="455">
        <f t="shared" ca="1" si="191"/>
        <v>480022505972.25012</v>
      </c>
      <c r="L4692" s="455">
        <f t="shared" ca="1" si="192"/>
        <v>115685423939312.3</v>
      </c>
      <c r="M4692" s="471">
        <f t="shared" si="194"/>
        <v>0.05</v>
      </c>
      <c r="N4692" s="475">
        <f t="shared" si="195"/>
        <v>193854</v>
      </c>
    </row>
    <row r="4693" spans="7:14" ht="11.25" customHeight="1" x14ac:dyDescent="0.3">
      <c r="G4693" s="470"/>
      <c r="H4693" s="470">
        <v>4686</v>
      </c>
      <c r="I4693" s="455">
        <f t="shared" ca="1" si="193"/>
        <v>115685423939312.3</v>
      </c>
      <c r="J4693" s="455">
        <f t="array" ref="J4693">IFERROR(INDEX('Retirement Calculator'!J:J,MATCH('Isaac 401k'!N4693,'Retirement Calculator'!A:A,0),0),0)</f>
        <v>0</v>
      </c>
      <c r="K4693" s="455">
        <f t="shared" ca="1" si="191"/>
        <v>482022599747.13458</v>
      </c>
      <c r="L4693" s="455">
        <f t="shared" ca="1" si="192"/>
        <v>116167446539059.44</v>
      </c>
      <c r="M4693" s="471">
        <f t="shared" si="194"/>
        <v>0.05</v>
      </c>
      <c r="N4693" s="475">
        <f t="shared" si="195"/>
        <v>193885</v>
      </c>
    </row>
    <row r="4694" spans="7:14" ht="11.25" customHeight="1" x14ac:dyDescent="0.3">
      <c r="G4694" s="470"/>
      <c r="H4694" s="470">
        <v>4687</v>
      </c>
      <c r="I4694" s="455">
        <f t="shared" ca="1" si="193"/>
        <v>116167446539059.44</v>
      </c>
      <c r="J4694" s="455">
        <f t="array" ref="J4694">IFERROR(INDEX('Retirement Calculator'!J:J,MATCH('Isaac 401k'!N4694,'Retirement Calculator'!A:A,0),0),0)</f>
        <v>0</v>
      </c>
      <c r="K4694" s="455">
        <f t="shared" ca="1" si="191"/>
        <v>484031027246.08105</v>
      </c>
      <c r="L4694" s="455">
        <f t="shared" ca="1" si="192"/>
        <v>116651477566305.52</v>
      </c>
      <c r="M4694" s="471">
        <f t="shared" si="194"/>
        <v>0.05</v>
      </c>
      <c r="N4694" s="475">
        <f t="shared" si="195"/>
        <v>193915</v>
      </c>
    </row>
    <row r="4695" spans="7:14" ht="11.25" customHeight="1" x14ac:dyDescent="0.3">
      <c r="G4695" s="470"/>
      <c r="H4695" s="470">
        <v>4688</v>
      </c>
      <c r="I4695" s="455">
        <f t="shared" ca="1" si="193"/>
        <v>116651477566305.52</v>
      </c>
      <c r="J4695" s="455">
        <f t="array" ref="J4695">IFERROR(INDEX('Retirement Calculator'!J:J,MATCH('Isaac 401k'!N4695,'Retirement Calculator'!A:A,0),0),0)</f>
        <v>0</v>
      </c>
      <c r="K4695" s="455">
        <f t="shared" ca="1" si="191"/>
        <v>486047823192.93964</v>
      </c>
      <c r="L4695" s="455">
        <f t="shared" ca="1" si="192"/>
        <v>117137525389498.45</v>
      </c>
      <c r="M4695" s="471">
        <f t="shared" si="194"/>
        <v>0.05</v>
      </c>
      <c r="N4695" s="475">
        <f t="shared" si="195"/>
        <v>193946</v>
      </c>
    </row>
    <row r="4696" spans="7:14" ht="11.25" customHeight="1" x14ac:dyDescent="0.3">
      <c r="G4696" s="470"/>
      <c r="H4696" s="470">
        <v>4689</v>
      </c>
      <c r="I4696" s="455">
        <f t="shared" ca="1" si="193"/>
        <v>117137525389498.45</v>
      </c>
      <c r="J4696" s="455">
        <f t="array" ref="J4696">IFERROR(INDEX('Retirement Calculator'!J:J,MATCH('Isaac 401k'!N4696,'Retirement Calculator'!A:A,0),0),0)</f>
        <v>0</v>
      </c>
      <c r="K4696" s="455">
        <f t="shared" ca="1" si="191"/>
        <v>488073022456.24359</v>
      </c>
      <c r="L4696" s="455">
        <f t="shared" ca="1" si="192"/>
        <v>117625598411954.7</v>
      </c>
      <c r="M4696" s="471">
        <f t="shared" si="194"/>
        <v>0.05</v>
      </c>
      <c r="N4696" s="475">
        <f t="shared" si="195"/>
        <v>193977</v>
      </c>
    </row>
    <row r="4697" spans="7:14" ht="11.25" customHeight="1" x14ac:dyDescent="0.3">
      <c r="G4697" s="470"/>
      <c r="H4697" s="470">
        <v>4690</v>
      </c>
      <c r="I4697" s="455">
        <f t="shared" ca="1" si="193"/>
        <v>117625598411954.7</v>
      </c>
      <c r="J4697" s="455">
        <f t="array" ref="J4697">IFERROR(INDEX('Retirement Calculator'!J:J,MATCH('Isaac 401k'!N4697,'Retirement Calculator'!A:A,0),0),0)</f>
        <v>0</v>
      </c>
      <c r="K4697" s="455">
        <f t="shared" ca="1" si="191"/>
        <v>490106660049.81128</v>
      </c>
      <c r="L4697" s="455">
        <f t="shared" ca="1" si="192"/>
        <v>118115705072004.52</v>
      </c>
      <c r="M4697" s="471">
        <f t="shared" si="194"/>
        <v>0.05</v>
      </c>
      <c r="N4697" s="475">
        <f t="shared" si="195"/>
        <v>194005</v>
      </c>
    </row>
    <row r="4698" spans="7:14" ht="11.25" customHeight="1" x14ac:dyDescent="0.3">
      <c r="G4698" s="470"/>
      <c r="H4698" s="470">
        <v>4691</v>
      </c>
      <c r="I4698" s="455">
        <f t="shared" ca="1" si="193"/>
        <v>118115705072004.52</v>
      </c>
      <c r="J4698" s="455">
        <f t="array" ref="J4698">IFERROR(INDEX('Retirement Calculator'!J:J,MATCH('Isaac 401k'!N4698,'Retirement Calculator'!A:A,0),0),0)</f>
        <v>0</v>
      </c>
      <c r="K4698" s="455">
        <f t="shared" ca="1" si="191"/>
        <v>492148771133.35211</v>
      </c>
      <c r="L4698" s="455">
        <f t="shared" ca="1" si="192"/>
        <v>118607853843137.88</v>
      </c>
      <c r="M4698" s="471">
        <f t="shared" si="194"/>
        <v>0.05</v>
      </c>
      <c r="N4698" s="475">
        <f t="shared" si="195"/>
        <v>194036</v>
      </c>
    </row>
    <row r="4699" spans="7:14" ht="11.25" customHeight="1" x14ac:dyDescent="0.3">
      <c r="G4699" s="470"/>
      <c r="H4699" s="470">
        <v>4692</v>
      </c>
      <c r="I4699" s="455">
        <f t="shared" ca="1" si="193"/>
        <v>118607853843137.88</v>
      </c>
      <c r="J4699" s="455">
        <f t="array" ref="J4699">IFERROR(INDEX('Retirement Calculator'!J:J,MATCH('Isaac 401k'!N4699,'Retirement Calculator'!A:A,0),0),0)</f>
        <v>0</v>
      </c>
      <c r="K4699" s="455">
        <f t="shared" ca="1" si="191"/>
        <v>494199391013.0744</v>
      </c>
      <c r="L4699" s="455">
        <f t="shared" ca="1" si="192"/>
        <v>119102053234150.95</v>
      </c>
      <c r="M4699" s="471">
        <f t="shared" si="194"/>
        <v>0.05</v>
      </c>
      <c r="N4699" s="475">
        <f t="shared" si="195"/>
        <v>194066</v>
      </c>
    </row>
    <row r="4700" spans="7:14" ht="11.25" customHeight="1" x14ac:dyDescent="0.3">
      <c r="G4700" s="470"/>
      <c r="H4700" s="470">
        <v>4693</v>
      </c>
      <c r="I4700" s="455">
        <f t="shared" ca="1" si="193"/>
        <v>119102053234150.95</v>
      </c>
      <c r="J4700" s="455">
        <f t="array" ref="J4700">IFERROR(INDEX('Retirement Calculator'!J:J,MATCH('Isaac 401k'!N4700,'Retirement Calculator'!A:A,0),0),0)</f>
        <v>0</v>
      </c>
      <c r="K4700" s="455">
        <f t="shared" ca="1" si="191"/>
        <v>496258555142.29565</v>
      </c>
      <c r="L4700" s="455">
        <f t="shared" ca="1" si="192"/>
        <v>119598311789293.25</v>
      </c>
      <c r="M4700" s="471">
        <f t="shared" si="194"/>
        <v>0.05</v>
      </c>
      <c r="N4700" s="475">
        <f t="shared" si="195"/>
        <v>194097</v>
      </c>
    </row>
    <row r="4701" spans="7:14" ht="11.25" customHeight="1" x14ac:dyDescent="0.3">
      <c r="G4701" s="470"/>
      <c r="H4701" s="470">
        <v>4694</v>
      </c>
      <c r="I4701" s="455">
        <f t="shared" ca="1" si="193"/>
        <v>119598311789293.25</v>
      </c>
      <c r="J4701" s="455">
        <f t="array" ref="J4701">IFERROR(INDEX('Retirement Calculator'!J:J,MATCH('Isaac 401k'!N4701,'Retirement Calculator'!A:A,0),0),0)</f>
        <v>0</v>
      </c>
      <c r="K4701" s="455">
        <f t="shared" ca="1" si="191"/>
        <v>498326299122.05518</v>
      </c>
      <c r="L4701" s="455">
        <f t="shared" ca="1" si="192"/>
        <v>120096638088415.31</v>
      </c>
      <c r="M4701" s="471">
        <f t="shared" si="194"/>
        <v>0.05</v>
      </c>
      <c r="N4701" s="475">
        <f t="shared" si="195"/>
        <v>194127</v>
      </c>
    </row>
    <row r="4702" spans="7:14" ht="11.25" customHeight="1" x14ac:dyDescent="0.3">
      <c r="G4702" s="470"/>
      <c r="H4702" s="470">
        <v>4695</v>
      </c>
      <c r="I4702" s="455">
        <f t="shared" ca="1" si="193"/>
        <v>120096638088415.31</v>
      </c>
      <c r="J4702" s="455">
        <f t="array" ref="J4702">IFERROR(INDEX('Retirement Calculator'!J:J,MATCH('Isaac 401k'!N4702,'Retirement Calculator'!A:A,0),0),0)</f>
        <v>0</v>
      </c>
      <c r="K4702" s="455">
        <f t="shared" ca="1" si="191"/>
        <v>500402658701.73047</v>
      </c>
      <c r="L4702" s="455">
        <f t="shared" ca="1" si="192"/>
        <v>120597040747117.05</v>
      </c>
      <c r="M4702" s="471">
        <f t="shared" si="194"/>
        <v>0.05</v>
      </c>
      <c r="N4702" s="475">
        <f t="shared" si="195"/>
        <v>194158</v>
      </c>
    </row>
    <row r="4703" spans="7:14" ht="11.25" customHeight="1" x14ac:dyDescent="0.3">
      <c r="G4703" s="470"/>
      <c r="H4703" s="470">
        <v>4696</v>
      </c>
      <c r="I4703" s="455">
        <f t="shared" ca="1" si="193"/>
        <v>120597040747117.05</v>
      </c>
      <c r="J4703" s="455">
        <f t="array" ref="J4703">IFERROR(INDEX('Retirement Calculator'!J:J,MATCH('Isaac 401k'!N4703,'Retirement Calculator'!A:A,0),0),0)</f>
        <v>0</v>
      </c>
      <c r="K4703" s="455">
        <f t="shared" ca="1" si="191"/>
        <v>502487669779.6543</v>
      </c>
      <c r="L4703" s="455">
        <f t="shared" ca="1" si="192"/>
        <v>121099528416896.7</v>
      </c>
      <c r="M4703" s="471">
        <f t="shared" si="194"/>
        <v>0.05</v>
      </c>
      <c r="N4703" s="475">
        <f t="shared" si="195"/>
        <v>194189</v>
      </c>
    </row>
    <row r="4704" spans="7:14" ht="11.25" customHeight="1" x14ac:dyDescent="0.3">
      <c r="G4704" s="470"/>
      <c r="H4704" s="470">
        <v>4697</v>
      </c>
      <c r="I4704" s="455">
        <f t="shared" ca="1" si="193"/>
        <v>121099528416896.7</v>
      </c>
      <c r="J4704" s="455">
        <f t="array" ref="J4704">IFERROR(INDEX('Retirement Calculator'!J:J,MATCH('Isaac 401k'!N4704,'Retirement Calculator'!A:A,0),0),0)</f>
        <v>0</v>
      </c>
      <c r="K4704" s="455">
        <f t="shared" ca="1" si="191"/>
        <v>504581368403.73627</v>
      </c>
      <c r="L4704" s="455">
        <f t="shared" ca="1" si="192"/>
        <v>121604109785300.44</v>
      </c>
      <c r="M4704" s="471">
        <f t="shared" si="194"/>
        <v>0.05</v>
      </c>
      <c r="N4704" s="475">
        <f t="shared" si="195"/>
        <v>194219</v>
      </c>
    </row>
    <row r="4705" spans="7:14" ht="11.25" customHeight="1" x14ac:dyDescent="0.3">
      <c r="G4705" s="470"/>
      <c r="H4705" s="470">
        <v>4698</v>
      </c>
      <c r="I4705" s="455">
        <f t="shared" ca="1" si="193"/>
        <v>121604109785300.44</v>
      </c>
      <c r="J4705" s="455">
        <f t="array" ref="J4705">IFERROR(INDEX('Retirement Calculator'!J:J,MATCH('Isaac 401k'!N4705,'Retirement Calculator'!A:A,0),0),0)</f>
        <v>0</v>
      </c>
      <c r="K4705" s="455">
        <f t="shared" ca="1" si="191"/>
        <v>506683790772.08514</v>
      </c>
      <c r="L4705" s="455">
        <f t="shared" ca="1" si="192"/>
        <v>122110793576072.52</v>
      </c>
      <c r="M4705" s="471">
        <f t="shared" si="194"/>
        <v>0.05</v>
      </c>
      <c r="N4705" s="475">
        <f t="shared" si="195"/>
        <v>194250</v>
      </c>
    </row>
    <row r="4706" spans="7:14" ht="11.25" customHeight="1" x14ac:dyDescent="0.3">
      <c r="G4706" s="470"/>
      <c r="H4706" s="470">
        <v>4699</v>
      </c>
      <c r="I4706" s="455">
        <f t="shared" ca="1" si="193"/>
        <v>122110793576072.52</v>
      </c>
      <c r="J4706" s="455">
        <f t="array" ref="J4706">IFERROR(INDEX('Retirement Calculator'!J:J,MATCH('Isaac 401k'!N4706,'Retirement Calculator'!A:A,0),0),0)</f>
        <v>0</v>
      </c>
      <c r="K4706" s="455">
        <f t="shared" ca="1" si="191"/>
        <v>508794973233.63544</v>
      </c>
      <c r="L4706" s="455">
        <f t="shared" ca="1" si="192"/>
        <v>122619588549306.16</v>
      </c>
      <c r="M4706" s="471">
        <f t="shared" si="194"/>
        <v>0.05</v>
      </c>
      <c r="N4706" s="475">
        <f t="shared" si="195"/>
        <v>194280</v>
      </c>
    </row>
    <row r="4707" spans="7:14" ht="11.25" customHeight="1" x14ac:dyDescent="0.3">
      <c r="G4707" s="470"/>
      <c r="H4707" s="470">
        <v>4700</v>
      </c>
      <c r="I4707" s="455">
        <f t="shared" ca="1" si="193"/>
        <v>122619588549306.16</v>
      </c>
      <c r="J4707" s="455">
        <f t="array" ref="J4707">IFERROR(INDEX('Retirement Calculator'!J:J,MATCH('Isaac 401k'!N4707,'Retirement Calculator'!A:A,0),0),0)</f>
        <v>0</v>
      </c>
      <c r="K4707" s="455">
        <f t="shared" ca="1" si="191"/>
        <v>510914952288.77557</v>
      </c>
      <c r="L4707" s="455">
        <f t="shared" ca="1" si="192"/>
        <v>123130503501594.94</v>
      </c>
      <c r="M4707" s="471">
        <f t="shared" si="194"/>
        <v>0.05</v>
      </c>
      <c r="N4707" s="475">
        <f t="shared" si="195"/>
        <v>194311</v>
      </c>
    </row>
    <row r="4708" spans="7:14" ht="11.25" customHeight="1" x14ac:dyDescent="0.3">
      <c r="G4708" s="470"/>
      <c r="H4708" s="470">
        <v>4701</v>
      </c>
      <c r="I4708" s="455">
        <f t="shared" ca="1" si="193"/>
        <v>123130503501594.94</v>
      </c>
      <c r="J4708" s="455">
        <f t="array" ref="J4708">IFERROR(INDEX('Retirement Calculator'!J:J,MATCH('Isaac 401k'!N4708,'Retirement Calculator'!A:A,0),0),0)</f>
        <v>0</v>
      </c>
      <c r="K4708" s="455">
        <f t="shared" ca="1" si="191"/>
        <v>513043764589.97888</v>
      </c>
      <c r="L4708" s="455">
        <f t="shared" ca="1" si="192"/>
        <v>123643547266184.92</v>
      </c>
      <c r="M4708" s="471">
        <f t="shared" si="194"/>
        <v>0.05</v>
      </c>
      <c r="N4708" s="475">
        <f t="shared" si="195"/>
        <v>194342</v>
      </c>
    </row>
    <row r="4709" spans="7:14" ht="11.25" customHeight="1" x14ac:dyDescent="0.3">
      <c r="G4709" s="470"/>
      <c r="H4709" s="470">
        <v>4702</v>
      </c>
      <c r="I4709" s="455">
        <f t="shared" ca="1" si="193"/>
        <v>123643547266184.92</v>
      </c>
      <c r="J4709" s="455">
        <f t="array" ref="J4709">IFERROR(INDEX('Retirement Calculator'!J:J,MATCH('Isaac 401k'!N4709,'Retirement Calculator'!A:A,0),0),0)</f>
        <v>0</v>
      </c>
      <c r="K4709" s="455">
        <f t="shared" ca="1" si="191"/>
        <v>515181446942.43719</v>
      </c>
      <c r="L4709" s="455">
        <f t="shared" ca="1" si="192"/>
        <v>124158728713127.36</v>
      </c>
      <c r="M4709" s="471">
        <f t="shared" si="194"/>
        <v>0.05</v>
      </c>
      <c r="N4709" s="475">
        <f t="shared" si="195"/>
        <v>194371</v>
      </c>
    </row>
    <row r="4710" spans="7:14" ht="11.25" customHeight="1" x14ac:dyDescent="0.3">
      <c r="G4710" s="470"/>
      <c r="H4710" s="470">
        <v>4703</v>
      </c>
      <c r="I4710" s="455">
        <f t="shared" ca="1" si="193"/>
        <v>124158728713127.36</v>
      </c>
      <c r="J4710" s="455">
        <f t="array" ref="J4710">IFERROR(INDEX('Retirement Calculator'!J:J,MATCH('Isaac 401k'!N4710,'Retirement Calculator'!A:A,0),0),0)</f>
        <v>0</v>
      </c>
      <c r="K4710" s="455">
        <f t="shared" ca="1" si="191"/>
        <v>517328036304.69733</v>
      </c>
      <c r="L4710" s="455">
        <f t="shared" ca="1" si="192"/>
        <v>124676056749432.06</v>
      </c>
      <c r="M4710" s="471">
        <f t="shared" si="194"/>
        <v>0.05</v>
      </c>
      <c r="N4710" s="475">
        <f t="shared" si="195"/>
        <v>194402</v>
      </c>
    </row>
    <row r="4711" spans="7:14" ht="11.25" customHeight="1" x14ac:dyDescent="0.3">
      <c r="G4711" s="470"/>
      <c r="H4711" s="470">
        <v>4704</v>
      </c>
      <c r="I4711" s="455">
        <f t="shared" ca="1" si="193"/>
        <v>124676056749432.06</v>
      </c>
      <c r="J4711" s="455">
        <f t="array" ref="J4711">IFERROR(INDEX('Retirement Calculator'!J:J,MATCH('Isaac 401k'!N4711,'Retirement Calculator'!A:A,0),0),0)</f>
        <v>0</v>
      </c>
      <c r="K4711" s="455">
        <f t="shared" ca="1" si="191"/>
        <v>519483569789.30023</v>
      </c>
      <c r="L4711" s="455">
        <f t="shared" ca="1" si="192"/>
        <v>125195540319221.36</v>
      </c>
      <c r="M4711" s="471">
        <f t="shared" si="194"/>
        <v>0.05</v>
      </c>
      <c r="N4711" s="475">
        <f t="shared" si="195"/>
        <v>194432</v>
      </c>
    </row>
    <row r="4712" spans="7:14" ht="11.25" customHeight="1" x14ac:dyDescent="0.3">
      <c r="G4712" s="470"/>
      <c r="H4712" s="470">
        <v>4705</v>
      </c>
      <c r="I4712" s="455">
        <f t="shared" ca="1" si="193"/>
        <v>125195540319221.36</v>
      </c>
      <c r="J4712" s="455">
        <f t="array" ref="J4712">IFERROR(INDEX('Retirement Calculator'!J:J,MATCH('Isaac 401k'!N4712,'Retirement Calculator'!A:A,0),0),0)</f>
        <v>0</v>
      </c>
      <c r="K4712" s="455">
        <f t="shared" ca="1" si="191"/>
        <v>521648084663.42224</v>
      </c>
      <c r="L4712" s="455">
        <f t="shared" ca="1" si="192"/>
        <v>125717188403884.78</v>
      </c>
      <c r="M4712" s="471">
        <f t="shared" si="194"/>
        <v>0.05</v>
      </c>
      <c r="N4712" s="475">
        <f t="shared" si="195"/>
        <v>194463</v>
      </c>
    </row>
    <row r="4713" spans="7:14" ht="11.25" customHeight="1" x14ac:dyDescent="0.3">
      <c r="G4713" s="470"/>
      <c r="H4713" s="470">
        <v>4706</v>
      </c>
      <c r="I4713" s="455">
        <f t="shared" ca="1" si="193"/>
        <v>125717188403884.78</v>
      </c>
      <c r="J4713" s="455">
        <f t="array" ref="J4713">IFERROR(INDEX('Retirement Calculator'!J:J,MATCH('Isaac 401k'!N4713,'Retirement Calculator'!A:A,0),0),0)</f>
        <v>0</v>
      </c>
      <c r="K4713" s="455">
        <f t="shared" ca="1" si="191"/>
        <v>523821618349.51996</v>
      </c>
      <c r="L4713" s="455">
        <f t="shared" ca="1" si="192"/>
        <v>126241010022234.3</v>
      </c>
      <c r="M4713" s="471">
        <f t="shared" si="194"/>
        <v>0.05</v>
      </c>
      <c r="N4713" s="475">
        <f t="shared" si="195"/>
        <v>194493</v>
      </c>
    </row>
    <row r="4714" spans="7:14" ht="11.25" customHeight="1" x14ac:dyDescent="0.3">
      <c r="G4714" s="470"/>
      <c r="H4714" s="470">
        <v>4707</v>
      </c>
      <c r="I4714" s="455">
        <f t="shared" ca="1" si="193"/>
        <v>126241010022234.3</v>
      </c>
      <c r="J4714" s="455">
        <f t="array" ref="J4714">IFERROR(INDEX('Retirement Calculator'!J:J,MATCH('Isaac 401k'!N4714,'Retirement Calculator'!A:A,0),0),0)</f>
        <v>0</v>
      </c>
      <c r="K4714" s="455">
        <f t="shared" ca="1" si="191"/>
        <v>526004208425.97626</v>
      </c>
      <c r="L4714" s="455">
        <f t="shared" ca="1" si="192"/>
        <v>126767014230660.27</v>
      </c>
      <c r="M4714" s="471">
        <f t="shared" si="194"/>
        <v>0.05</v>
      </c>
      <c r="N4714" s="475">
        <f t="shared" si="195"/>
        <v>194524</v>
      </c>
    </row>
    <row r="4715" spans="7:14" ht="11.25" customHeight="1" x14ac:dyDescent="0.3">
      <c r="G4715" s="470"/>
      <c r="H4715" s="470">
        <v>4708</v>
      </c>
      <c r="I4715" s="455">
        <f t="shared" ca="1" si="193"/>
        <v>126767014230660.27</v>
      </c>
      <c r="J4715" s="455">
        <f t="array" ref="J4715">IFERROR(INDEX('Retirement Calculator'!J:J,MATCH('Isaac 401k'!N4715,'Retirement Calculator'!A:A,0),0),0)</f>
        <v>0</v>
      </c>
      <c r="K4715" s="455">
        <f t="shared" ca="1" si="191"/>
        <v>528195892627.7511</v>
      </c>
      <c r="L4715" s="455">
        <f t="shared" ca="1" si="192"/>
        <v>127295210123288.02</v>
      </c>
      <c r="M4715" s="471">
        <f t="shared" si="194"/>
        <v>0.05</v>
      </c>
      <c r="N4715" s="475">
        <f t="shared" si="195"/>
        <v>194555</v>
      </c>
    </row>
    <row r="4716" spans="7:14" ht="11.25" customHeight="1" x14ac:dyDescent="0.3">
      <c r="G4716" s="470"/>
      <c r="H4716" s="470">
        <v>4709</v>
      </c>
      <c r="I4716" s="455">
        <f t="shared" ca="1" si="193"/>
        <v>127295210123288.02</v>
      </c>
      <c r="J4716" s="455">
        <f t="array" ref="J4716">IFERROR(INDEX('Retirement Calculator'!J:J,MATCH('Isaac 401k'!N4716,'Retirement Calculator'!A:A,0),0),0)</f>
        <v>0</v>
      </c>
      <c r="K4716" s="455">
        <f t="shared" ca="1" si="191"/>
        <v>530396708847.03339</v>
      </c>
      <c r="L4716" s="455">
        <f t="shared" ca="1" si="192"/>
        <v>127825606832135.05</v>
      </c>
      <c r="M4716" s="471">
        <f t="shared" si="194"/>
        <v>0.05</v>
      </c>
      <c r="N4716" s="475">
        <f t="shared" si="195"/>
        <v>194585</v>
      </c>
    </row>
    <row r="4717" spans="7:14" ht="11.25" customHeight="1" x14ac:dyDescent="0.3">
      <c r="G4717" s="470"/>
      <c r="H4717" s="470">
        <v>4710</v>
      </c>
      <c r="I4717" s="455">
        <f t="shared" ca="1" si="193"/>
        <v>127825606832135.05</v>
      </c>
      <c r="J4717" s="455">
        <f t="array" ref="J4717">IFERROR(INDEX('Retirement Calculator'!J:J,MATCH('Isaac 401k'!N4717,'Retirement Calculator'!A:A,0),0),0)</f>
        <v>0</v>
      </c>
      <c r="K4717" s="455">
        <f t="shared" ca="1" si="191"/>
        <v>532606695133.896</v>
      </c>
      <c r="L4717" s="455">
        <f t="shared" ca="1" si="192"/>
        <v>128358213527268.94</v>
      </c>
      <c r="M4717" s="471">
        <f t="shared" si="194"/>
        <v>0.05</v>
      </c>
      <c r="N4717" s="475">
        <f t="shared" si="195"/>
        <v>194616</v>
      </c>
    </row>
    <row r="4718" spans="7:14" ht="11.25" customHeight="1" x14ac:dyDescent="0.3">
      <c r="G4718" s="470"/>
      <c r="H4718" s="470">
        <v>4711</v>
      </c>
      <c r="I4718" s="455">
        <f t="shared" ca="1" si="193"/>
        <v>128358213527268.94</v>
      </c>
      <c r="J4718" s="455">
        <f t="array" ref="J4718">IFERROR(INDEX('Retirement Calculator'!J:J,MATCH('Isaac 401k'!N4718,'Retirement Calculator'!A:A,0),0),0)</f>
        <v>0</v>
      </c>
      <c r="K4718" s="455">
        <f t="shared" ca="1" si="191"/>
        <v>534825889696.95386</v>
      </c>
      <c r="L4718" s="455">
        <f t="shared" ca="1" si="192"/>
        <v>128893039416965.89</v>
      </c>
      <c r="M4718" s="471">
        <f t="shared" si="194"/>
        <v>0.05</v>
      </c>
      <c r="N4718" s="475">
        <f t="shared" si="195"/>
        <v>194646</v>
      </c>
    </row>
    <row r="4719" spans="7:14" ht="11.25" customHeight="1" x14ac:dyDescent="0.3">
      <c r="G4719" s="470"/>
      <c r="H4719" s="470">
        <v>4712</v>
      </c>
      <c r="I4719" s="455">
        <f t="shared" ca="1" si="193"/>
        <v>128893039416965.89</v>
      </c>
      <c r="J4719" s="455">
        <f t="array" ref="J4719">IFERROR(INDEX('Retirement Calculator'!J:J,MATCH('Isaac 401k'!N4719,'Retirement Calculator'!A:A,0),0),0)</f>
        <v>0</v>
      </c>
      <c r="K4719" s="455">
        <f t="shared" ca="1" si="191"/>
        <v>537054330904.02454</v>
      </c>
      <c r="L4719" s="455">
        <f t="shared" ca="1" si="192"/>
        <v>129430093747869.92</v>
      </c>
      <c r="M4719" s="471">
        <f t="shared" si="194"/>
        <v>0.05</v>
      </c>
      <c r="N4719" s="475">
        <f t="shared" si="195"/>
        <v>194677</v>
      </c>
    </row>
    <row r="4720" spans="7:14" ht="11.25" customHeight="1" x14ac:dyDescent="0.3">
      <c r="G4720" s="470"/>
      <c r="H4720" s="470">
        <v>4713</v>
      </c>
      <c r="I4720" s="455">
        <f t="shared" ca="1" si="193"/>
        <v>129430093747869.92</v>
      </c>
      <c r="J4720" s="455">
        <f t="array" ref="J4720">IFERROR(INDEX('Retirement Calculator'!J:J,MATCH('Isaac 401k'!N4720,'Retirement Calculator'!A:A,0),0),0)</f>
        <v>0</v>
      </c>
      <c r="K4720" s="455">
        <f t="shared" ca="1" si="191"/>
        <v>539292057282.79126</v>
      </c>
      <c r="L4720" s="455">
        <f t="shared" ca="1" si="192"/>
        <v>129969385805152.72</v>
      </c>
      <c r="M4720" s="471">
        <f t="shared" si="194"/>
        <v>0.05</v>
      </c>
      <c r="N4720" s="475">
        <f t="shared" si="195"/>
        <v>194708</v>
      </c>
    </row>
    <row r="4721" spans="7:14" ht="11.25" customHeight="1" x14ac:dyDescent="0.3">
      <c r="G4721" s="470"/>
      <c r="H4721" s="470">
        <v>4714</v>
      </c>
      <c r="I4721" s="455">
        <f t="shared" ca="1" si="193"/>
        <v>129969385805152.72</v>
      </c>
      <c r="J4721" s="455">
        <f t="array" ref="J4721">IFERROR(INDEX('Retirement Calculator'!J:J,MATCH('Isaac 401k'!N4721,'Retirement Calculator'!A:A,0),0),0)</f>
        <v>0</v>
      </c>
      <c r="K4721" s="455">
        <f t="shared" ca="1" si="191"/>
        <v>541539107521.4696</v>
      </c>
      <c r="L4721" s="455">
        <f t="shared" ca="1" si="192"/>
        <v>130510924912674.19</v>
      </c>
      <c r="M4721" s="471">
        <f t="shared" si="194"/>
        <v>0.05</v>
      </c>
      <c r="N4721" s="475">
        <f t="shared" si="195"/>
        <v>194736</v>
      </c>
    </row>
    <row r="4722" spans="7:14" ht="11.25" customHeight="1" x14ac:dyDescent="0.3">
      <c r="G4722" s="470"/>
      <c r="H4722" s="470">
        <v>4715</v>
      </c>
      <c r="I4722" s="455">
        <f t="shared" ca="1" si="193"/>
        <v>130510924912674.19</v>
      </c>
      <c r="J4722" s="455">
        <f t="array" ref="J4722">IFERROR(INDEX('Retirement Calculator'!J:J,MATCH('Isaac 401k'!N4722,'Retirement Calculator'!A:A,0),0),0)</f>
        <v>0</v>
      </c>
      <c r="K4722" s="455">
        <f t="shared" ca="1" si="191"/>
        <v>543795520469.47577</v>
      </c>
      <c r="L4722" s="455">
        <f t="shared" ca="1" si="192"/>
        <v>131054720433143.66</v>
      </c>
      <c r="M4722" s="471">
        <f t="shared" si="194"/>
        <v>0.05</v>
      </c>
      <c r="N4722" s="475">
        <f t="shared" si="195"/>
        <v>194767</v>
      </c>
    </row>
    <row r="4723" spans="7:14" ht="11.25" customHeight="1" x14ac:dyDescent="0.3">
      <c r="G4723" s="470"/>
      <c r="H4723" s="470">
        <v>4716</v>
      </c>
      <c r="I4723" s="455">
        <f t="shared" ca="1" si="193"/>
        <v>131054720433143.66</v>
      </c>
      <c r="J4723" s="455">
        <f t="array" ref="J4723">IFERROR(INDEX('Retirement Calculator'!J:J,MATCH('Isaac 401k'!N4723,'Retirement Calculator'!A:A,0),0),0)</f>
        <v>0</v>
      </c>
      <c r="K4723" s="455">
        <f t="shared" ca="1" si="191"/>
        <v>546061335138.09851</v>
      </c>
      <c r="L4723" s="455">
        <f t="shared" ca="1" si="192"/>
        <v>131600781768281.75</v>
      </c>
      <c r="M4723" s="471">
        <f t="shared" si="194"/>
        <v>0.05</v>
      </c>
      <c r="N4723" s="475">
        <f t="shared" si="195"/>
        <v>194797</v>
      </c>
    </row>
    <row r="4724" spans="7:14" ht="11.25" customHeight="1" x14ac:dyDescent="0.3">
      <c r="G4724" s="470"/>
      <c r="H4724" s="470">
        <v>4717</v>
      </c>
      <c r="I4724" s="455">
        <f t="shared" ca="1" si="193"/>
        <v>131600781768281.75</v>
      </c>
      <c r="J4724" s="455">
        <f t="array" ref="J4724">IFERROR(INDEX('Retirement Calculator'!J:J,MATCH('Isaac 401k'!N4724,'Retirement Calculator'!A:A,0),0),0)</f>
        <v>0</v>
      </c>
      <c r="K4724" s="455">
        <f t="shared" ca="1" si="191"/>
        <v>548336590701.17395</v>
      </c>
      <c r="L4724" s="455">
        <f t="shared" ca="1" si="192"/>
        <v>132149118358982.92</v>
      </c>
      <c r="M4724" s="471">
        <f t="shared" si="194"/>
        <v>0.05</v>
      </c>
      <c r="N4724" s="475">
        <f t="shared" si="195"/>
        <v>194828</v>
      </c>
    </row>
    <row r="4725" spans="7:14" ht="11.25" customHeight="1" x14ac:dyDescent="0.3">
      <c r="G4725" s="470"/>
      <c r="H4725" s="470">
        <v>4718</v>
      </c>
      <c r="I4725" s="455">
        <f t="shared" ca="1" si="193"/>
        <v>132149118358982.92</v>
      </c>
      <c r="J4725" s="455">
        <f t="array" ref="J4725">IFERROR(INDEX('Retirement Calculator'!J:J,MATCH('Isaac 401k'!N4725,'Retirement Calculator'!A:A,0),0),0)</f>
        <v>0</v>
      </c>
      <c r="K4725" s="455">
        <f t="shared" ca="1" si="191"/>
        <v>550621326495.76208</v>
      </c>
      <c r="L4725" s="455">
        <f t="shared" ca="1" si="192"/>
        <v>132699739685478.69</v>
      </c>
      <c r="M4725" s="471">
        <f t="shared" si="194"/>
        <v>0.05</v>
      </c>
      <c r="N4725" s="475">
        <f t="shared" si="195"/>
        <v>194858</v>
      </c>
    </row>
    <row r="4726" spans="7:14" ht="11.25" customHeight="1" x14ac:dyDescent="0.3">
      <c r="G4726" s="470"/>
      <c r="H4726" s="470">
        <v>4719</v>
      </c>
      <c r="I4726" s="455">
        <f t="shared" ca="1" si="193"/>
        <v>132699739685478.69</v>
      </c>
      <c r="J4726" s="455">
        <f t="array" ref="J4726">IFERROR(INDEX('Retirement Calculator'!J:J,MATCH('Isaac 401k'!N4726,'Retirement Calculator'!A:A,0),0),0)</f>
        <v>0</v>
      </c>
      <c r="K4726" s="455">
        <f t="shared" ca="1" si="191"/>
        <v>552915582022.82788</v>
      </c>
      <c r="L4726" s="455">
        <f t="shared" ca="1" si="192"/>
        <v>133252655267501.52</v>
      </c>
      <c r="M4726" s="471">
        <f t="shared" si="194"/>
        <v>0.05</v>
      </c>
      <c r="N4726" s="475">
        <f t="shared" si="195"/>
        <v>194889</v>
      </c>
    </row>
    <row r="4727" spans="7:14" ht="11.25" customHeight="1" x14ac:dyDescent="0.3">
      <c r="G4727" s="470"/>
      <c r="H4727" s="470">
        <v>4720</v>
      </c>
      <c r="I4727" s="455">
        <f t="shared" ca="1" si="193"/>
        <v>133252655267501.52</v>
      </c>
      <c r="J4727" s="455">
        <f t="array" ref="J4727">IFERROR(INDEX('Retirement Calculator'!J:J,MATCH('Isaac 401k'!N4727,'Retirement Calculator'!A:A,0),0),0)</f>
        <v>0</v>
      </c>
      <c r="K4727" s="455">
        <f t="shared" ca="1" si="191"/>
        <v>555219396947.92297</v>
      </c>
      <c r="L4727" s="455">
        <f t="shared" ca="1" si="192"/>
        <v>133807874664449.44</v>
      </c>
      <c r="M4727" s="471">
        <f t="shared" si="194"/>
        <v>0.05</v>
      </c>
      <c r="N4727" s="475">
        <f t="shared" si="195"/>
        <v>194920</v>
      </c>
    </row>
    <row r="4728" spans="7:14" ht="11.25" customHeight="1" x14ac:dyDescent="0.3">
      <c r="G4728" s="470"/>
      <c r="H4728" s="470">
        <v>4721</v>
      </c>
      <c r="I4728" s="455">
        <f t="shared" ca="1" si="193"/>
        <v>133807874664449.44</v>
      </c>
      <c r="J4728" s="455">
        <f t="array" ref="J4728">IFERROR(INDEX('Retirement Calculator'!J:J,MATCH('Isaac 401k'!N4728,'Retirement Calculator'!A:A,0),0),0)</f>
        <v>0</v>
      </c>
      <c r="K4728" s="455">
        <f t="shared" ca="1" si="191"/>
        <v>557532811101.87268</v>
      </c>
      <c r="L4728" s="455">
        <f t="shared" ca="1" si="192"/>
        <v>134365407475551.31</v>
      </c>
      <c r="M4728" s="471">
        <f t="shared" si="194"/>
        <v>0.05</v>
      </c>
      <c r="N4728" s="475">
        <f t="shared" si="195"/>
        <v>194950</v>
      </c>
    </row>
    <row r="4729" spans="7:14" ht="11.25" customHeight="1" x14ac:dyDescent="0.3">
      <c r="G4729" s="470"/>
      <c r="H4729" s="470">
        <v>4722</v>
      </c>
      <c r="I4729" s="455">
        <f t="shared" ca="1" si="193"/>
        <v>134365407475551.31</v>
      </c>
      <c r="J4729" s="455">
        <f t="array" ref="J4729">IFERROR(INDEX('Retirement Calculator'!J:J,MATCH('Isaac 401k'!N4729,'Retirement Calculator'!A:A,0),0),0)</f>
        <v>0</v>
      </c>
      <c r="K4729" s="455">
        <f t="shared" ca="1" si="191"/>
        <v>559855864481.46387</v>
      </c>
      <c r="L4729" s="455">
        <f t="shared" ca="1" si="192"/>
        <v>134925263340032.78</v>
      </c>
      <c r="M4729" s="471">
        <f t="shared" si="194"/>
        <v>0.05</v>
      </c>
      <c r="N4729" s="475">
        <f t="shared" si="195"/>
        <v>194981</v>
      </c>
    </row>
    <row r="4730" spans="7:14" ht="11.25" customHeight="1" x14ac:dyDescent="0.3">
      <c r="G4730" s="470"/>
      <c r="H4730" s="470">
        <v>4723</v>
      </c>
      <c r="I4730" s="455">
        <f t="shared" ca="1" si="193"/>
        <v>134925263340032.78</v>
      </c>
      <c r="J4730" s="455">
        <f t="array" ref="J4730">IFERROR(INDEX('Retirement Calculator'!J:J,MATCH('Isaac 401k'!N4730,'Retirement Calculator'!A:A,0),0),0)</f>
        <v>0</v>
      </c>
      <c r="K4730" s="455">
        <f t="shared" ca="1" si="191"/>
        <v>562188597250.1366</v>
      </c>
      <c r="L4730" s="455">
        <f t="shared" ca="1" si="192"/>
        <v>135487451937282.92</v>
      </c>
      <c r="M4730" s="471">
        <f t="shared" si="194"/>
        <v>0.05</v>
      </c>
      <c r="N4730" s="475">
        <f t="shared" si="195"/>
        <v>195011</v>
      </c>
    </row>
    <row r="4731" spans="7:14" ht="11.25" customHeight="1" x14ac:dyDescent="0.3">
      <c r="G4731" s="470"/>
      <c r="H4731" s="470">
        <v>4724</v>
      </c>
      <c r="I4731" s="455">
        <f t="shared" ca="1" si="193"/>
        <v>135487451937282.92</v>
      </c>
      <c r="J4731" s="455">
        <f t="array" ref="J4731">IFERROR(INDEX('Retirement Calculator'!J:J,MATCH('Isaac 401k'!N4731,'Retirement Calculator'!A:A,0),0),0)</f>
        <v>0</v>
      </c>
      <c r="K4731" s="455">
        <f t="shared" ca="1" si="191"/>
        <v>564531049738.67871</v>
      </c>
      <c r="L4731" s="455">
        <f t="shared" ca="1" si="192"/>
        <v>136051982987021.59</v>
      </c>
      <c r="M4731" s="471">
        <f t="shared" si="194"/>
        <v>0.05</v>
      </c>
      <c r="N4731" s="475">
        <f t="shared" si="195"/>
        <v>195042</v>
      </c>
    </row>
    <row r="4732" spans="7:14" ht="11.25" customHeight="1" x14ac:dyDescent="0.3">
      <c r="G4732" s="470"/>
      <c r="H4732" s="470">
        <v>4725</v>
      </c>
      <c r="I4732" s="455">
        <f t="shared" ca="1" si="193"/>
        <v>136051982987021.59</v>
      </c>
      <c r="J4732" s="455">
        <f t="array" ref="J4732">IFERROR(INDEX('Retirement Calculator'!J:J,MATCH('Isaac 401k'!N4732,'Retirement Calculator'!A:A,0),0),0)</f>
        <v>0</v>
      </c>
      <c r="K4732" s="455">
        <f t="shared" ca="1" si="191"/>
        <v>566883262445.92334</v>
      </c>
      <c r="L4732" s="455">
        <f t="shared" ca="1" si="192"/>
        <v>136618866249467.52</v>
      </c>
      <c r="M4732" s="471">
        <f t="shared" si="194"/>
        <v>0.05</v>
      </c>
      <c r="N4732" s="475">
        <f t="shared" si="195"/>
        <v>195073</v>
      </c>
    </row>
    <row r="4733" spans="7:14" ht="11.25" customHeight="1" x14ac:dyDescent="0.3">
      <c r="G4733" s="470"/>
      <c r="H4733" s="470">
        <v>4726</v>
      </c>
      <c r="I4733" s="455">
        <f t="shared" ca="1" si="193"/>
        <v>136618866249467.52</v>
      </c>
      <c r="J4733" s="455">
        <f t="array" ref="J4733">IFERROR(INDEX('Retirement Calculator'!J:J,MATCH('Isaac 401k'!N4733,'Retirement Calculator'!A:A,0),0),0)</f>
        <v>0</v>
      </c>
      <c r="K4733" s="455">
        <f t="shared" ca="1" si="191"/>
        <v>569245276039.448</v>
      </c>
      <c r="L4733" s="455">
        <f t="shared" ca="1" si="192"/>
        <v>137188111525506.97</v>
      </c>
      <c r="M4733" s="471">
        <f t="shared" si="194"/>
        <v>0.05</v>
      </c>
      <c r="N4733" s="475">
        <f t="shared" si="195"/>
        <v>195101</v>
      </c>
    </row>
    <row r="4734" spans="7:14" ht="11.25" customHeight="1" x14ac:dyDescent="0.3">
      <c r="G4734" s="470"/>
      <c r="H4734" s="470">
        <v>4727</v>
      </c>
      <c r="I4734" s="455">
        <f t="shared" ca="1" si="193"/>
        <v>137188111525506.97</v>
      </c>
      <c r="J4734" s="455">
        <f t="array" ref="J4734">IFERROR(INDEX('Retirement Calculator'!J:J,MATCH('Isaac 401k'!N4734,'Retirement Calculator'!A:A,0),0),0)</f>
        <v>0</v>
      </c>
      <c r="K4734" s="455">
        <f t="shared" ca="1" si="191"/>
        <v>571617131356.27905</v>
      </c>
      <c r="L4734" s="455">
        <f t="shared" ca="1" si="192"/>
        <v>137759728656863.25</v>
      </c>
      <c r="M4734" s="471">
        <f t="shared" si="194"/>
        <v>0.05</v>
      </c>
      <c r="N4734" s="475">
        <f t="shared" si="195"/>
        <v>195132</v>
      </c>
    </row>
    <row r="4735" spans="7:14" ht="11.25" customHeight="1" x14ac:dyDescent="0.3">
      <c r="G4735" s="470"/>
      <c r="H4735" s="470">
        <v>4728</v>
      </c>
      <c r="I4735" s="455">
        <f t="shared" ca="1" si="193"/>
        <v>137759728656863.25</v>
      </c>
      <c r="J4735" s="455">
        <f t="array" ref="J4735">IFERROR(INDEX('Retirement Calculator'!J:J,MATCH('Isaac 401k'!N4735,'Retirement Calculator'!A:A,0),0),0)</f>
        <v>0</v>
      </c>
      <c r="K4735" s="455">
        <f t="shared" ca="1" si="191"/>
        <v>573998869403.59692</v>
      </c>
      <c r="L4735" s="455">
        <f t="shared" ca="1" si="192"/>
        <v>138333727526266.84</v>
      </c>
      <c r="M4735" s="471">
        <f t="shared" si="194"/>
        <v>0.05</v>
      </c>
      <c r="N4735" s="475">
        <f t="shared" si="195"/>
        <v>195162</v>
      </c>
    </row>
    <row r="4736" spans="7:14" ht="11.25" customHeight="1" x14ac:dyDescent="0.3">
      <c r="G4736" s="470"/>
      <c r="H4736" s="470">
        <v>4729</v>
      </c>
      <c r="I4736" s="455">
        <f t="shared" ca="1" si="193"/>
        <v>138333727526266.84</v>
      </c>
      <c r="J4736" s="455">
        <f t="array" ref="J4736">IFERROR(INDEX('Retirement Calculator'!J:J,MATCH('Isaac 401k'!N4736,'Retirement Calculator'!A:A,0),0),0)</f>
        <v>0</v>
      </c>
      <c r="K4736" s="455">
        <f t="shared" ca="1" si="191"/>
        <v>576390531359.44519</v>
      </c>
      <c r="L4736" s="455">
        <f t="shared" ca="1" si="192"/>
        <v>138910118057626.28</v>
      </c>
      <c r="M4736" s="471">
        <f t="shared" si="194"/>
        <v>0.05</v>
      </c>
      <c r="N4736" s="475">
        <f t="shared" si="195"/>
        <v>195193</v>
      </c>
    </row>
    <row r="4737" spans="7:14" ht="11.25" customHeight="1" x14ac:dyDescent="0.3">
      <c r="G4737" s="470"/>
      <c r="H4737" s="470">
        <v>4730</v>
      </c>
      <c r="I4737" s="455">
        <f t="shared" ca="1" si="193"/>
        <v>138910118057626.28</v>
      </c>
      <c r="J4737" s="455">
        <f t="array" ref="J4737">IFERROR(INDEX('Retirement Calculator'!J:J,MATCH('Isaac 401k'!N4737,'Retirement Calculator'!A:A,0),0),0)</f>
        <v>0</v>
      </c>
      <c r="K4737" s="455">
        <f t="shared" ca="1" si="191"/>
        <v>578792158573.44287</v>
      </c>
      <c r="L4737" s="455">
        <f t="shared" ca="1" si="192"/>
        <v>139488910216199.72</v>
      </c>
      <c r="M4737" s="471">
        <f t="shared" si="194"/>
        <v>0.05</v>
      </c>
      <c r="N4737" s="475">
        <f t="shared" si="195"/>
        <v>195223</v>
      </c>
    </row>
    <row r="4738" spans="7:14" ht="11.25" customHeight="1" x14ac:dyDescent="0.3">
      <c r="G4738" s="470"/>
      <c r="H4738" s="470">
        <v>4731</v>
      </c>
      <c r="I4738" s="455">
        <f t="shared" ca="1" si="193"/>
        <v>139488910216199.72</v>
      </c>
      <c r="J4738" s="455">
        <f t="array" ref="J4738">IFERROR(INDEX('Retirement Calculator'!J:J,MATCH('Isaac 401k'!N4738,'Retirement Calculator'!A:A,0),0),0)</f>
        <v>0</v>
      </c>
      <c r="K4738" s="455">
        <f t="shared" ca="1" si="191"/>
        <v>581203792567.49878</v>
      </c>
      <c r="L4738" s="455">
        <f t="shared" ca="1" si="192"/>
        <v>140070114008767.22</v>
      </c>
      <c r="M4738" s="471">
        <f t="shared" si="194"/>
        <v>0.05</v>
      </c>
      <c r="N4738" s="475">
        <f t="shared" si="195"/>
        <v>195254</v>
      </c>
    </row>
    <row r="4739" spans="7:14" ht="11.25" customHeight="1" x14ac:dyDescent="0.3">
      <c r="G4739" s="470"/>
      <c r="H4739" s="470">
        <v>4732</v>
      </c>
      <c r="I4739" s="455">
        <f t="shared" ca="1" si="193"/>
        <v>140070114008767.22</v>
      </c>
      <c r="J4739" s="455">
        <f t="array" ref="J4739">IFERROR(INDEX('Retirement Calculator'!J:J,MATCH('Isaac 401k'!N4739,'Retirement Calculator'!A:A,0),0),0)</f>
        <v>0</v>
      </c>
      <c r="K4739" s="455">
        <f t="shared" ca="1" si="191"/>
        <v>583625475036.53003</v>
      </c>
      <c r="L4739" s="455">
        <f t="shared" ca="1" si="192"/>
        <v>140653739483803.75</v>
      </c>
      <c r="M4739" s="471">
        <f t="shared" si="194"/>
        <v>0.05</v>
      </c>
      <c r="N4739" s="475">
        <f t="shared" si="195"/>
        <v>195285</v>
      </c>
    </row>
    <row r="4740" spans="7:14" ht="11.25" customHeight="1" x14ac:dyDescent="0.3">
      <c r="G4740" s="470"/>
      <c r="H4740" s="470">
        <v>4733</v>
      </c>
      <c r="I4740" s="455">
        <f t="shared" ca="1" si="193"/>
        <v>140653739483803.75</v>
      </c>
      <c r="J4740" s="455">
        <f t="array" ref="J4740">IFERROR(INDEX('Retirement Calculator'!J:J,MATCH('Isaac 401k'!N4740,'Retirement Calculator'!A:A,0),0),0)</f>
        <v>0</v>
      </c>
      <c r="K4740" s="455">
        <f t="shared" ca="1" si="191"/>
        <v>586057247849.18225</v>
      </c>
      <c r="L4740" s="455">
        <f t="shared" ca="1" si="192"/>
        <v>141239796731652.94</v>
      </c>
      <c r="M4740" s="471">
        <f t="shared" si="194"/>
        <v>0.05</v>
      </c>
      <c r="N4740" s="475">
        <f t="shared" si="195"/>
        <v>195315</v>
      </c>
    </row>
    <row r="4741" spans="7:14" ht="11.25" customHeight="1" x14ac:dyDescent="0.3">
      <c r="G4741" s="470"/>
      <c r="H4741" s="470">
        <v>4734</v>
      </c>
      <c r="I4741" s="455">
        <f t="shared" ca="1" si="193"/>
        <v>141239796731652.94</v>
      </c>
      <c r="J4741" s="455">
        <f t="array" ref="J4741">IFERROR(INDEX('Retirement Calculator'!J:J,MATCH('Isaac 401k'!N4741,'Retirement Calculator'!A:A,0),0),0)</f>
        <v>0</v>
      </c>
      <c r="K4741" s="455">
        <f t="shared" ca="1" si="191"/>
        <v>588499153048.55396</v>
      </c>
      <c r="L4741" s="455">
        <f t="shared" ca="1" si="192"/>
        <v>141828295884701.5</v>
      </c>
      <c r="M4741" s="471">
        <f t="shared" si="194"/>
        <v>0.05</v>
      </c>
      <c r="N4741" s="475">
        <f t="shared" si="195"/>
        <v>195346</v>
      </c>
    </row>
    <row r="4742" spans="7:14" ht="11.25" customHeight="1" x14ac:dyDescent="0.3">
      <c r="G4742" s="470"/>
      <c r="H4742" s="470">
        <v>4735</v>
      </c>
      <c r="I4742" s="455">
        <f t="shared" ca="1" si="193"/>
        <v>141828295884701.5</v>
      </c>
      <c r="J4742" s="455">
        <f t="array" ref="J4742">IFERROR(INDEX('Retirement Calculator'!J:J,MATCH('Isaac 401k'!N4742,'Retirement Calculator'!A:A,0),0),0)</f>
        <v>0</v>
      </c>
      <c r="K4742" s="455">
        <f t="shared" ca="1" si="191"/>
        <v>590951232852.92285</v>
      </c>
      <c r="L4742" s="455">
        <f t="shared" ca="1" si="192"/>
        <v>142419247117554.44</v>
      </c>
      <c r="M4742" s="471">
        <f t="shared" si="194"/>
        <v>0.05</v>
      </c>
      <c r="N4742" s="475">
        <f t="shared" si="195"/>
        <v>195376</v>
      </c>
    </row>
    <row r="4743" spans="7:14" ht="11.25" customHeight="1" x14ac:dyDescent="0.3">
      <c r="G4743" s="470"/>
      <c r="H4743" s="470">
        <v>4736</v>
      </c>
      <c r="I4743" s="455">
        <f t="shared" ca="1" si="193"/>
        <v>142419247117554.44</v>
      </c>
      <c r="J4743" s="455">
        <f t="array" ref="J4743">IFERROR(INDEX('Retirement Calculator'!J:J,MATCH('Isaac 401k'!N4743,'Retirement Calculator'!A:A,0),0),0)</f>
        <v>0</v>
      </c>
      <c r="K4743" s="455">
        <f t="shared" ca="1" si="191"/>
        <v>593413529656.47681</v>
      </c>
      <c r="L4743" s="455">
        <f t="shared" ca="1" si="192"/>
        <v>143012660647210.91</v>
      </c>
      <c r="M4743" s="471">
        <f t="shared" si="194"/>
        <v>0.05</v>
      </c>
      <c r="N4743" s="475">
        <f t="shared" si="195"/>
        <v>195407</v>
      </c>
    </row>
    <row r="4744" spans="7:14" ht="11.25" customHeight="1" x14ac:dyDescent="0.3">
      <c r="G4744" s="470"/>
      <c r="H4744" s="470">
        <v>4737</v>
      </c>
      <c r="I4744" s="455">
        <f t="shared" ca="1" si="193"/>
        <v>143012660647210.91</v>
      </c>
      <c r="J4744" s="455">
        <f t="array" ref="J4744">IFERROR(INDEX('Retirement Calculator'!J:J,MATCH('Isaac 401k'!N4744,'Retirement Calculator'!A:A,0),0),0)</f>
        <v>0</v>
      </c>
      <c r="K4744" s="455">
        <f t="shared" ca="1" si="191"/>
        <v>595886086030.04541</v>
      </c>
      <c r="L4744" s="455">
        <f t="shared" ca="1" si="192"/>
        <v>143608546733240.94</v>
      </c>
      <c r="M4744" s="471">
        <f t="shared" si="194"/>
        <v>0.05</v>
      </c>
      <c r="N4744" s="475">
        <f t="shared" si="195"/>
        <v>195438</v>
      </c>
    </row>
    <row r="4745" spans="7:14" ht="11.25" customHeight="1" x14ac:dyDescent="0.3">
      <c r="G4745" s="470"/>
      <c r="H4745" s="470">
        <v>4738</v>
      </c>
      <c r="I4745" s="455">
        <f t="shared" ca="1" si="193"/>
        <v>143608546733240.94</v>
      </c>
      <c r="J4745" s="455">
        <f t="array" ref="J4745">IFERROR(INDEX('Retirement Calculator'!J:J,MATCH('Isaac 401k'!N4745,'Retirement Calculator'!A:A,0),0),0)</f>
        <v>0</v>
      </c>
      <c r="K4745" s="455">
        <f t="shared" ca="1" si="191"/>
        <v>598368944721.83728</v>
      </c>
      <c r="L4745" s="455">
        <f t="shared" ca="1" si="192"/>
        <v>144206915677962.78</v>
      </c>
      <c r="M4745" s="471">
        <f t="shared" si="194"/>
        <v>0.05</v>
      </c>
      <c r="N4745" s="475">
        <f t="shared" si="195"/>
        <v>195466</v>
      </c>
    </row>
    <row r="4746" spans="7:14" ht="11.25" customHeight="1" x14ac:dyDescent="0.3">
      <c r="G4746" s="470"/>
      <c r="H4746" s="470">
        <v>4739</v>
      </c>
      <c r="I4746" s="455">
        <f t="shared" ca="1" si="193"/>
        <v>144206915677962.78</v>
      </c>
      <c r="J4746" s="455">
        <f t="array" ref="J4746">IFERROR(INDEX('Retirement Calculator'!J:J,MATCH('Isaac 401k'!N4746,'Retirement Calculator'!A:A,0),0),0)</f>
        <v>0</v>
      </c>
      <c r="K4746" s="455">
        <f t="shared" ca="1" si="191"/>
        <v>600862148658.17822</v>
      </c>
      <c r="L4746" s="455">
        <f t="shared" ca="1" si="192"/>
        <v>144807777826620.97</v>
      </c>
      <c r="M4746" s="471">
        <f t="shared" si="194"/>
        <v>0.05</v>
      </c>
      <c r="N4746" s="475">
        <f t="shared" si="195"/>
        <v>195497</v>
      </c>
    </row>
    <row r="4747" spans="7:14" ht="11.25" customHeight="1" x14ac:dyDescent="0.3">
      <c r="G4747" s="470"/>
      <c r="H4747" s="470">
        <v>4740</v>
      </c>
      <c r="I4747" s="455">
        <f t="shared" ca="1" si="193"/>
        <v>144807777826620.97</v>
      </c>
      <c r="J4747" s="455">
        <f t="array" ref="J4747">IFERROR(INDEX('Retirement Calculator'!J:J,MATCH('Isaac 401k'!N4747,'Retirement Calculator'!A:A,0),0),0)</f>
        <v>0</v>
      </c>
      <c r="K4747" s="455">
        <f t="shared" ca="1" si="191"/>
        <v>603365740944.25403</v>
      </c>
      <c r="L4747" s="455">
        <f t="shared" ca="1" si="192"/>
        <v>145411143567565.22</v>
      </c>
      <c r="M4747" s="471">
        <f t="shared" si="194"/>
        <v>0.05</v>
      </c>
      <c r="N4747" s="475">
        <f t="shared" si="195"/>
        <v>195527</v>
      </c>
    </row>
    <row r="4748" spans="7:14" ht="11.25" customHeight="1" x14ac:dyDescent="0.3">
      <c r="G4748" s="470"/>
      <c r="H4748" s="470">
        <v>4741</v>
      </c>
      <c r="I4748" s="455">
        <f t="shared" ca="1" si="193"/>
        <v>145411143567565.22</v>
      </c>
      <c r="J4748" s="455">
        <f t="array" ref="J4748">IFERROR(INDEX('Retirement Calculator'!J:J,MATCH('Isaac 401k'!N4748,'Retirement Calculator'!A:A,0),0),0)</f>
        <v>0</v>
      </c>
      <c r="K4748" s="455">
        <f t="shared" ca="1" si="191"/>
        <v>605879764864.8551</v>
      </c>
      <c r="L4748" s="455">
        <f t="shared" ca="1" si="192"/>
        <v>146017023332430.06</v>
      </c>
      <c r="M4748" s="471">
        <f t="shared" si="194"/>
        <v>0.05</v>
      </c>
      <c r="N4748" s="475">
        <f t="shared" si="195"/>
        <v>195558</v>
      </c>
    </row>
    <row r="4749" spans="7:14" ht="11.25" customHeight="1" x14ac:dyDescent="0.3">
      <c r="G4749" s="470"/>
      <c r="H4749" s="470">
        <v>4742</v>
      </c>
      <c r="I4749" s="455">
        <f t="shared" ca="1" si="193"/>
        <v>146017023332430.06</v>
      </c>
      <c r="J4749" s="455">
        <f t="array" ref="J4749">IFERROR(INDEX('Retirement Calculator'!J:J,MATCH('Isaac 401k'!N4749,'Retirement Calculator'!A:A,0),0),0)</f>
        <v>0</v>
      </c>
      <c r="K4749" s="455">
        <f t="shared" ca="1" si="191"/>
        <v>608404263885.12524</v>
      </c>
      <c r="L4749" s="455">
        <f t="shared" ca="1" si="192"/>
        <v>146625427596315.19</v>
      </c>
      <c r="M4749" s="471">
        <f t="shared" si="194"/>
        <v>0.05</v>
      </c>
      <c r="N4749" s="475">
        <f t="shared" si="195"/>
        <v>195588</v>
      </c>
    </row>
    <row r="4750" spans="7:14" ht="11.25" customHeight="1" x14ac:dyDescent="0.3">
      <c r="G4750" s="470"/>
      <c r="H4750" s="470">
        <v>4743</v>
      </c>
      <c r="I4750" s="455">
        <f t="shared" ca="1" si="193"/>
        <v>146625427596315.19</v>
      </c>
      <c r="J4750" s="455">
        <f t="array" ref="J4750">IFERROR(INDEX('Retirement Calculator'!J:J,MATCH('Isaac 401k'!N4750,'Retirement Calculator'!A:A,0),0),0)</f>
        <v>0</v>
      </c>
      <c r="K4750" s="455">
        <f t="shared" ca="1" si="191"/>
        <v>610939281651.31323</v>
      </c>
      <c r="L4750" s="455">
        <f t="shared" ca="1" si="192"/>
        <v>147236366877966.5</v>
      </c>
      <c r="M4750" s="471">
        <f t="shared" si="194"/>
        <v>0.05</v>
      </c>
      <c r="N4750" s="475">
        <f t="shared" si="195"/>
        <v>195619</v>
      </c>
    </row>
    <row r="4751" spans="7:14" ht="11.25" customHeight="1" x14ac:dyDescent="0.3">
      <c r="G4751" s="470"/>
      <c r="H4751" s="470">
        <v>4744</v>
      </c>
      <c r="I4751" s="455">
        <f t="shared" ca="1" si="193"/>
        <v>147236366877966.5</v>
      </c>
      <c r="J4751" s="455">
        <f t="array" ref="J4751">IFERROR(INDEX('Retirement Calculator'!J:J,MATCH('Isaac 401k'!N4751,'Retirement Calculator'!A:A,0),0),0)</f>
        <v>0</v>
      </c>
      <c r="K4751" s="455">
        <f t="shared" ca="1" si="191"/>
        <v>613484861991.5271</v>
      </c>
      <c r="L4751" s="455">
        <f t="shared" ca="1" si="192"/>
        <v>147849851739958.03</v>
      </c>
      <c r="M4751" s="471">
        <f t="shared" si="194"/>
        <v>0.05</v>
      </c>
      <c r="N4751" s="475">
        <f t="shared" si="195"/>
        <v>195650</v>
      </c>
    </row>
    <row r="4752" spans="7:14" ht="11.25" customHeight="1" x14ac:dyDescent="0.3">
      <c r="G4752" s="470"/>
      <c r="H4752" s="470">
        <v>4745</v>
      </c>
      <c r="I4752" s="455">
        <f t="shared" ca="1" si="193"/>
        <v>147849851739958.03</v>
      </c>
      <c r="J4752" s="455">
        <f t="array" ref="J4752">IFERROR(INDEX('Retirement Calculator'!J:J,MATCH('Isaac 401k'!N4752,'Retirement Calculator'!A:A,0),0),0)</f>
        <v>0</v>
      </c>
      <c r="K4752" s="455">
        <f t="shared" ca="1" si="191"/>
        <v>616041048916.49182</v>
      </c>
      <c r="L4752" s="455">
        <f t="shared" ca="1" si="192"/>
        <v>148465892788874.53</v>
      </c>
      <c r="M4752" s="471">
        <f t="shared" si="194"/>
        <v>0.05</v>
      </c>
      <c r="N4752" s="475">
        <f t="shared" si="195"/>
        <v>195680</v>
      </c>
    </row>
    <row r="4753" spans="7:14" ht="11.25" customHeight="1" x14ac:dyDescent="0.3">
      <c r="G4753" s="470"/>
      <c r="H4753" s="470">
        <v>4746</v>
      </c>
      <c r="I4753" s="455">
        <f t="shared" ca="1" si="193"/>
        <v>148465892788874.53</v>
      </c>
      <c r="J4753" s="455">
        <f t="array" ref="J4753">IFERROR(INDEX('Retirement Calculator'!J:J,MATCH('Isaac 401k'!N4753,'Retirement Calculator'!A:A,0),0),0)</f>
        <v>0</v>
      </c>
      <c r="K4753" s="455">
        <f t="shared" ca="1" si="191"/>
        <v>618607886620.31055</v>
      </c>
      <c r="L4753" s="455">
        <f t="shared" ca="1" si="192"/>
        <v>149084500675494.84</v>
      </c>
      <c r="M4753" s="471">
        <f t="shared" si="194"/>
        <v>0.05</v>
      </c>
      <c r="N4753" s="475">
        <f t="shared" si="195"/>
        <v>195711</v>
      </c>
    </row>
    <row r="4754" spans="7:14" ht="11.25" customHeight="1" x14ac:dyDescent="0.3">
      <c r="G4754" s="470"/>
      <c r="H4754" s="470">
        <v>4747</v>
      </c>
      <c r="I4754" s="455">
        <f t="shared" ca="1" si="193"/>
        <v>149084500675494.84</v>
      </c>
      <c r="J4754" s="455">
        <f t="array" ref="J4754">IFERROR(INDEX('Retirement Calculator'!J:J,MATCH('Isaac 401k'!N4754,'Retirement Calculator'!A:A,0),0),0)</f>
        <v>0</v>
      </c>
      <c r="K4754" s="455">
        <f t="shared" ca="1" si="191"/>
        <v>621185419481.22852</v>
      </c>
      <c r="L4754" s="455">
        <f t="shared" ca="1" si="192"/>
        <v>149705686094976.06</v>
      </c>
      <c r="M4754" s="471">
        <f t="shared" si="194"/>
        <v>0.05</v>
      </c>
      <c r="N4754" s="475">
        <f t="shared" si="195"/>
        <v>195741</v>
      </c>
    </row>
    <row r="4755" spans="7:14" ht="11.25" customHeight="1" x14ac:dyDescent="0.3">
      <c r="G4755" s="470"/>
      <c r="H4755" s="470">
        <v>4748</v>
      </c>
      <c r="I4755" s="455">
        <f t="shared" ca="1" si="193"/>
        <v>149705686094976.06</v>
      </c>
      <c r="J4755" s="455">
        <f t="array" ref="J4755">IFERROR(INDEX('Retirement Calculator'!J:J,MATCH('Isaac 401k'!N4755,'Retirement Calculator'!A:A,0),0),0)</f>
        <v>0</v>
      </c>
      <c r="K4755" s="455">
        <f t="shared" ca="1" si="191"/>
        <v>623773692062.40027</v>
      </c>
      <c r="L4755" s="455">
        <f t="shared" ca="1" si="192"/>
        <v>150329459787038.47</v>
      </c>
      <c r="M4755" s="471">
        <f t="shared" si="194"/>
        <v>0.05</v>
      </c>
      <c r="N4755" s="475">
        <f t="shared" si="195"/>
        <v>195772</v>
      </c>
    </row>
    <row r="4756" spans="7:14" ht="11.25" customHeight="1" x14ac:dyDescent="0.3">
      <c r="G4756" s="470"/>
      <c r="H4756" s="470">
        <v>4749</v>
      </c>
      <c r="I4756" s="455">
        <f t="shared" ca="1" si="193"/>
        <v>150329459787038.47</v>
      </c>
      <c r="J4756" s="455">
        <f t="array" ref="J4756">IFERROR(INDEX('Retirement Calculator'!J:J,MATCH('Isaac 401k'!N4756,'Retirement Calculator'!A:A,0),0),0)</f>
        <v>0</v>
      </c>
      <c r="K4756" s="455">
        <f t="shared" ca="1" si="191"/>
        <v>626372749112.66028</v>
      </c>
      <c r="L4756" s="455">
        <f t="shared" ca="1" si="192"/>
        <v>150955832536151.13</v>
      </c>
      <c r="M4756" s="471">
        <f t="shared" si="194"/>
        <v>0.05</v>
      </c>
      <c r="N4756" s="475">
        <f t="shared" si="195"/>
        <v>195803</v>
      </c>
    </row>
    <row r="4757" spans="7:14" ht="11.25" customHeight="1" x14ac:dyDescent="0.3">
      <c r="G4757" s="470"/>
      <c r="H4757" s="470">
        <v>4750</v>
      </c>
      <c r="I4757" s="455">
        <f t="shared" ca="1" si="193"/>
        <v>150955832536151.13</v>
      </c>
      <c r="J4757" s="455">
        <f t="array" ref="J4757">IFERROR(INDEX('Retirement Calculator'!J:J,MATCH('Isaac 401k'!N4757,'Retirement Calculator'!A:A,0),0),0)</f>
        <v>0</v>
      </c>
      <c r="K4757" s="455">
        <f t="shared" ca="1" si="191"/>
        <v>628982635567.29639</v>
      </c>
      <c r="L4757" s="455">
        <f t="shared" ca="1" si="192"/>
        <v>151584815171718.41</v>
      </c>
      <c r="M4757" s="471">
        <f t="shared" si="194"/>
        <v>0.05</v>
      </c>
      <c r="N4757" s="475">
        <f t="shared" si="195"/>
        <v>195832</v>
      </c>
    </row>
    <row r="4758" spans="7:14" ht="11.25" customHeight="1" x14ac:dyDescent="0.3">
      <c r="G4758" s="470"/>
      <c r="H4758" s="470">
        <v>4751</v>
      </c>
      <c r="I4758" s="455">
        <f t="shared" ca="1" si="193"/>
        <v>151584815171718.41</v>
      </c>
      <c r="J4758" s="455">
        <f t="array" ref="J4758">IFERROR(INDEX('Retirement Calculator'!J:J,MATCH('Isaac 401k'!N4758,'Retirement Calculator'!A:A,0),0),0)</f>
        <v>0</v>
      </c>
      <c r="K4758" s="455">
        <f t="shared" ca="1" si="191"/>
        <v>631603396548.82666</v>
      </c>
      <c r="L4758" s="455">
        <f t="shared" ca="1" si="192"/>
        <v>152216418568267.22</v>
      </c>
      <c r="M4758" s="471">
        <f t="shared" si="194"/>
        <v>0.05</v>
      </c>
      <c r="N4758" s="475">
        <f t="shared" si="195"/>
        <v>195863</v>
      </c>
    </row>
    <row r="4759" spans="7:14" ht="11.25" customHeight="1" x14ac:dyDescent="0.3">
      <c r="G4759" s="470"/>
      <c r="H4759" s="470">
        <v>4752</v>
      </c>
      <c r="I4759" s="455">
        <f t="shared" ca="1" si="193"/>
        <v>152216418568267.22</v>
      </c>
      <c r="J4759" s="455">
        <f t="array" ref="J4759">IFERROR(INDEX('Retirement Calculator'!J:J,MATCH('Isaac 401k'!N4759,'Retirement Calculator'!A:A,0),0),0)</f>
        <v>0</v>
      </c>
      <c r="K4759" s="455">
        <f t="shared" ca="1" si="191"/>
        <v>634235077367.78003</v>
      </c>
      <c r="L4759" s="455">
        <f t="shared" ca="1" si="192"/>
        <v>152850653645635</v>
      </c>
      <c r="M4759" s="471">
        <f t="shared" si="194"/>
        <v>0.05</v>
      </c>
      <c r="N4759" s="475">
        <f t="shared" si="195"/>
        <v>195893</v>
      </c>
    </row>
    <row r="4760" spans="7:14" ht="11.25" customHeight="1" x14ac:dyDescent="0.3">
      <c r="G4760" s="470"/>
      <c r="H4760" s="470">
        <v>4753</v>
      </c>
      <c r="I4760" s="455">
        <f t="shared" ca="1" si="193"/>
        <v>152850653645635</v>
      </c>
      <c r="J4760" s="455">
        <f t="array" ref="J4760">IFERROR(INDEX('Retirement Calculator'!J:J,MATCH('Isaac 401k'!N4760,'Retirement Calculator'!A:A,0),0),0)</f>
        <v>0</v>
      </c>
      <c r="K4760" s="455">
        <f t="shared" ca="1" si="191"/>
        <v>636877723523.47913</v>
      </c>
      <c r="L4760" s="455">
        <f t="shared" ca="1" si="192"/>
        <v>153487531369158.47</v>
      </c>
      <c r="M4760" s="471">
        <f t="shared" si="194"/>
        <v>0.05</v>
      </c>
      <c r="N4760" s="475">
        <f t="shared" si="195"/>
        <v>195924</v>
      </c>
    </row>
    <row r="4761" spans="7:14" ht="11.25" customHeight="1" x14ac:dyDescent="0.3">
      <c r="G4761" s="470"/>
      <c r="H4761" s="470">
        <v>4754</v>
      </c>
      <c r="I4761" s="455">
        <f t="shared" ca="1" si="193"/>
        <v>153487531369158.47</v>
      </c>
      <c r="J4761" s="455">
        <f t="array" ref="J4761">IFERROR(INDEX('Retirement Calculator'!J:J,MATCH('Isaac 401k'!N4761,'Retirement Calculator'!A:A,0),0),0)</f>
        <v>0</v>
      </c>
      <c r="K4761" s="455">
        <f t="shared" ca="1" si="191"/>
        <v>639531380704.8269</v>
      </c>
      <c r="L4761" s="455">
        <f t="shared" ca="1" si="192"/>
        <v>154127062749863.28</v>
      </c>
      <c r="M4761" s="471">
        <f t="shared" si="194"/>
        <v>0.05</v>
      </c>
      <c r="N4761" s="475">
        <f t="shared" si="195"/>
        <v>195954</v>
      </c>
    </row>
    <row r="4762" spans="7:14" ht="11.25" customHeight="1" x14ac:dyDescent="0.3">
      <c r="G4762" s="470"/>
      <c r="H4762" s="470">
        <v>4755</v>
      </c>
      <c r="I4762" s="455">
        <f t="shared" ca="1" si="193"/>
        <v>154127062749863.28</v>
      </c>
      <c r="J4762" s="455">
        <f t="array" ref="J4762">IFERROR(INDEX('Retirement Calculator'!J:J,MATCH('Isaac 401k'!N4762,'Retirement Calculator'!A:A,0),0),0)</f>
        <v>0</v>
      </c>
      <c r="K4762" s="455">
        <f t="shared" ca="1" si="191"/>
        <v>642196094791.09705</v>
      </c>
      <c r="L4762" s="455">
        <f t="shared" ca="1" si="192"/>
        <v>154769258844654.38</v>
      </c>
      <c r="M4762" s="471">
        <f t="shared" si="194"/>
        <v>0.05</v>
      </c>
      <c r="N4762" s="475">
        <f t="shared" si="195"/>
        <v>195985</v>
      </c>
    </row>
    <row r="4763" spans="7:14" ht="11.25" customHeight="1" x14ac:dyDescent="0.3">
      <c r="G4763" s="470"/>
      <c r="H4763" s="470">
        <v>4756</v>
      </c>
      <c r="I4763" s="455">
        <f t="shared" ca="1" si="193"/>
        <v>154769258844654.38</v>
      </c>
      <c r="J4763" s="455">
        <f t="array" ref="J4763">IFERROR(INDEX('Retirement Calculator'!J:J,MATCH('Isaac 401k'!N4763,'Retirement Calculator'!A:A,0),0),0)</f>
        <v>0</v>
      </c>
      <c r="K4763" s="455">
        <f t="shared" ca="1" si="191"/>
        <v>644871911852.72656</v>
      </c>
      <c r="L4763" s="455">
        <f t="shared" ca="1" si="192"/>
        <v>155414130756507.09</v>
      </c>
      <c r="M4763" s="471">
        <f t="shared" si="194"/>
        <v>0.05</v>
      </c>
      <c r="N4763" s="475">
        <f t="shared" si="195"/>
        <v>196016</v>
      </c>
    </row>
    <row r="4764" spans="7:14" ht="11.25" customHeight="1" x14ac:dyDescent="0.3">
      <c r="G4764" s="470"/>
      <c r="H4764" s="470">
        <v>4757</v>
      </c>
      <c r="I4764" s="455">
        <f t="shared" ca="1" si="193"/>
        <v>155414130756507.09</v>
      </c>
      <c r="J4764" s="455">
        <f t="array" ref="J4764">IFERROR(INDEX('Retirement Calculator'!J:J,MATCH('Isaac 401k'!N4764,'Retirement Calculator'!A:A,0),0),0)</f>
        <v>0</v>
      </c>
      <c r="K4764" s="455">
        <f t="shared" ca="1" si="191"/>
        <v>647558878152.11292</v>
      </c>
      <c r="L4764" s="455">
        <f t="shared" ca="1" si="192"/>
        <v>156061689634659.22</v>
      </c>
      <c r="M4764" s="471">
        <f t="shared" si="194"/>
        <v>0.05</v>
      </c>
      <c r="N4764" s="475">
        <f t="shared" si="195"/>
        <v>196046</v>
      </c>
    </row>
    <row r="4765" spans="7:14" ht="11.25" customHeight="1" x14ac:dyDescent="0.3">
      <c r="G4765" s="470"/>
      <c r="H4765" s="470">
        <v>4758</v>
      </c>
      <c r="I4765" s="455">
        <f t="shared" ca="1" si="193"/>
        <v>156061689634659.22</v>
      </c>
      <c r="J4765" s="455">
        <f t="array" ref="J4765">IFERROR(INDEX('Retirement Calculator'!J:J,MATCH('Isaac 401k'!N4765,'Retirement Calculator'!A:A,0),0),0)</f>
        <v>0</v>
      </c>
      <c r="K4765" s="455">
        <f t="shared" ca="1" si="191"/>
        <v>650257040144.41345</v>
      </c>
      <c r="L4765" s="455">
        <f t="shared" ca="1" si="192"/>
        <v>156711946674803.63</v>
      </c>
      <c r="M4765" s="471">
        <f t="shared" si="194"/>
        <v>0.05</v>
      </c>
      <c r="N4765" s="475">
        <f t="shared" si="195"/>
        <v>196077</v>
      </c>
    </row>
    <row r="4766" spans="7:14" ht="11.25" customHeight="1" x14ac:dyDescent="0.3">
      <c r="G4766" s="470"/>
      <c r="H4766" s="470">
        <v>4759</v>
      </c>
      <c r="I4766" s="455">
        <f t="shared" ca="1" si="193"/>
        <v>156711946674803.63</v>
      </c>
      <c r="J4766" s="455">
        <f t="array" ref="J4766">IFERROR(INDEX('Retirement Calculator'!J:J,MATCH('Isaac 401k'!N4766,'Retirement Calculator'!A:A,0),0),0)</f>
        <v>0</v>
      </c>
      <c r="K4766" s="455">
        <f t="shared" ca="1" si="191"/>
        <v>652966444478.34839</v>
      </c>
      <c r="L4766" s="455">
        <f t="shared" ca="1" si="192"/>
        <v>157364913119281.97</v>
      </c>
      <c r="M4766" s="471">
        <f t="shared" si="194"/>
        <v>0.05</v>
      </c>
      <c r="N4766" s="475">
        <f t="shared" si="195"/>
        <v>196107</v>
      </c>
    </row>
    <row r="4767" spans="7:14" ht="11.25" customHeight="1" x14ac:dyDescent="0.3">
      <c r="G4767" s="470"/>
      <c r="H4767" s="470">
        <v>4760</v>
      </c>
      <c r="I4767" s="455">
        <f t="shared" ca="1" si="193"/>
        <v>157364913119281.97</v>
      </c>
      <c r="J4767" s="455">
        <f t="array" ref="J4767">IFERROR(INDEX('Retirement Calculator'!J:J,MATCH('Isaac 401k'!N4767,'Retirement Calculator'!A:A,0),0),0)</f>
        <v>0</v>
      </c>
      <c r="K4767" s="455">
        <f t="shared" ca="1" si="191"/>
        <v>655687137997.00818</v>
      </c>
      <c r="L4767" s="455">
        <f t="shared" ca="1" si="192"/>
        <v>158020600257278.97</v>
      </c>
      <c r="M4767" s="471">
        <f t="shared" si="194"/>
        <v>0.05</v>
      </c>
      <c r="N4767" s="475">
        <f t="shared" si="195"/>
        <v>196138</v>
      </c>
    </row>
    <row r="4768" spans="7:14" ht="11.25" customHeight="1" x14ac:dyDescent="0.3">
      <c r="G4768" s="470"/>
      <c r="H4768" s="470">
        <v>4761</v>
      </c>
      <c r="I4768" s="455">
        <f t="shared" ca="1" si="193"/>
        <v>158020600257278.97</v>
      </c>
      <c r="J4768" s="455">
        <f t="array" ref="J4768">IFERROR(INDEX('Retirement Calculator'!J:J,MATCH('Isaac 401k'!N4768,'Retirement Calculator'!A:A,0),0),0)</f>
        <v>0</v>
      </c>
      <c r="K4768" s="455">
        <f t="shared" ca="1" si="191"/>
        <v>658419167738.66235</v>
      </c>
      <c r="L4768" s="455">
        <f t="shared" ca="1" si="192"/>
        <v>158679019425017.63</v>
      </c>
      <c r="M4768" s="471">
        <f t="shared" si="194"/>
        <v>0.05</v>
      </c>
      <c r="N4768" s="475">
        <f t="shared" si="195"/>
        <v>196169</v>
      </c>
    </row>
    <row r="4769" spans="7:14" ht="11.25" customHeight="1" x14ac:dyDescent="0.3">
      <c r="G4769" s="470"/>
      <c r="H4769" s="470">
        <v>4762</v>
      </c>
      <c r="I4769" s="455">
        <f t="shared" ca="1" si="193"/>
        <v>158679019425017.63</v>
      </c>
      <c r="J4769" s="455">
        <f t="array" ref="J4769">IFERROR(INDEX('Retirement Calculator'!J:J,MATCH('Isaac 401k'!N4769,'Retirement Calculator'!A:A,0),0),0)</f>
        <v>0</v>
      </c>
      <c r="K4769" s="455">
        <f t="shared" ca="1" si="191"/>
        <v>661162580937.57349</v>
      </c>
      <c r="L4769" s="455">
        <f t="shared" ca="1" si="192"/>
        <v>159340182005955.19</v>
      </c>
      <c r="M4769" s="471">
        <f t="shared" si="194"/>
        <v>0.05</v>
      </c>
      <c r="N4769" s="475">
        <f t="shared" si="195"/>
        <v>196197</v>
      </c>
    </row>
    <row r="4770" spans="7:14" ht="11.25" customHeight="1" x14ac:dyDescent="0.3">
      <c r="G4770" s="470"/>
      <c r="H4770" s="470">
        <v>4763</v>
      </c>
      <c r="I4770" s="455">
        <f t="shared" ca="1" si="193"/>
        <v>159340182005955.19</v>
      </c>
      <c r="J4770" s="455">
        <f t="array" ref="J4770">IFERROR(INDEX('Retirement Calculator'!J:J,MATCH('Isaac 401k'!N4770,'Retirement Calculator'!A:A,0),0),0)</f>
        <v>0</v>
      </c>
      <c r="K4770" s="455">
        <f t="shared" ca="1" si="191"/>
        <v>663917425024.81323</v>
      </c>
      <c r="L4770" s="455">
        <f t="shared" ca="1" si="192"/>
        <v>160004099430980</v>
      </c>
      <c r="M4770" s="471">
        <f t="shared" si="194"/>
        <v>0.05</v>
      </c>
      <c r="N4770" s="475">
        <f t="shared" si="195"/>
        <v>196228</v>
      </c>
    </row>
    <row r="4771" spans="7:14" ht="11.25" customHeight="1" x14ac:dyDescent="0.3">
      <c r="G4771" s="470"/>
      <c r="H4771" s="470">
        <v>4764</v>
      </c>
      <c r="I4771" s="455">
        <f t="shared" ca="1" si="193"/>
        <v>160004099430980</v>
      </c>
      <c r="J4771" s="455">
        <f t="array" ref="J4771">IFERROR(INDEX('Retirement Calculator'!J:J,MATCH('Isaac 401k'!N4771,'Retirement Calculator'!A:A,0),0),0)</f>
        <v>0</v>
      </c>
      <c r="K4771" s="455">
        <f t="shared" ca="1" si="191"/>
        <v>666683747629.08337</v>
      </c>
      <c r="L4771" s="455">
        <f t="shared" ca="1" si="192"/>
        <v>160670783178609.09</v>
      </c>
      <c r="M4771" s="471">
        <f t="shared" si="194"/>
        <v>0.05</v>
      </c>
      <c r="N4771" s="475">
        <f t="shared" si="195"/>
        <v>196258</v>
      </c>
    </row>
    <row r="4772" spans="7:14" ht="11.25" customHeight="1" x14ac:dyDescent="0.3">
      <c r="G4772" s="470"/>
      <c r="H4772" s="470">
        <v>4765</v>
      </c>
      <c r="I4772" s="455">
        <f t="shared" ca="1" si="193"/>
        <v>160670783178609.09</v>
      </c>
      <c r="J4772" s="455">
        <f t="array" ref="J4772">IFERROR(INDEX('Retirement Calculator'!J:J,MATCH('Isaac 401k'!N4772,'Retirement Calculator'!A:A,0),0),0)</f>
        <v>0</v>
      </c>
      <c r="K4772" s="455">
        <f t="shared" ca="1" si="191"/>
        <v>669461596577.53784</v>
      </c>
      <c r="L4772" s="455">
        <f t="shared" ca="1" si="192"/>
        <v>161340244775186.63</v>
      </c>
      <c r="M4772" s="471">
        <f t="shared" si="194"/>
        <v>0.05</v>
      </c>
      <c r="N4772" s="475">
        <f t="shared" si="195"/>
        <v>196289</v>
      </c>
    </row>
    <row r="4773" spans="7:14" ht="11.25" customHeight="1" x14ac:dyDescent="0.3">
      <c r="G4773" s="470"/>
      <c r="H4773" s="470">
        <v>4766</v>
      </c>
      <c r="I4773" s="455">
        <f t="shared" ca="1" si="193"/>
        <v>161340244775186.63</v>
      </c>
      <c r="J4773" s="455">
        <f t="array" ref="J4773">IFERROR(INDEX('Retirement Calculator'!J:J,MATCH('Isaac 401k'!N4773,'Retirement Calculator'!A:A,0),0),0)</f>
        <v>0</v>
      </c>
      <c r="K4773" s="455">
        <f t="shared" ca="1" si="191"/>
        <v>672251019896.61096</v>
      </c>
      <c r="L4773" s="455">
        <f t="shared" ca="1" si="192"/>
        <v>162012495795083.25</v>
      </c>
      <c r="M4773" s="471">
        <f t="shared" si="194"/>
        <v>0.05</v>
      </c>
      <c r="N4773" s="475">
        <f t="shared" si="195"/>
        <v>196319</v>
      </c>
    </row>
    <row r="4774" spans="7:14" ht="11.25" customHeight="1" x14ac:dyDescent="0.3">
      <c r="G4774" s="470"/>
      <c r="H4774" s="470">
        <v>4767</v>
      </c>
      <c r="I4774" s="455">
        <f t="shared" ca="1" si="193"/>
        <v>162012495795083.25</v>
      </c>
      <c r="J4774" s="455">
        <f t="array" ref="J4774">IFERROR(INDEX('Retirement Calculator'!J:J,MATCH('Isaac 401k'!N4774,'Retirement Calculator'!A:A,0),0),0)</f>
        <v>0</v>
      </c>
      <c r="K4774" s="455">
        <f t="shared" ca="1" si="191"/>
        <v>675052065812.84692</v>
      </c>
      <c r="L4774" s="455">
        <f t="shared" ca="1" si="192"/>
        <v>162687547860896.09</v>
      </c>
      <c r="M4774" s="471">
        <f t="shared" si="194"/>
        <v>0.05</v>
      </c>
      <c r="N4774" s="475">
        <f t="shared" si="195"/>
        <v>196350</v>
      </c>
    </row>
    <row r="4775" spans="7:14" ht="11.25" customHeight="1" x14ac:dyDescent="0.3">
      <c r="G4775" s="470"/>
      <c r="H4775" s="470">
        <v>4768</v>
      </c>
      <c r="I4775" s="455">
        <f t="shared" ca="1" si="193"/>
        <v>162687547860896.09</v>
      </c>
      <c r="J4775" s="455">
        <f t="array" ref="J4775">IFERROR(INDEX('Retirement Calculator'!J:J,MATCH('Isaac 401k'!N4775,'Retirement Calculator'!A:A,0),0),0)</f>
        <v>0</v>
      </c>
      <c r="K4775" s="455">
        <f t="shared" ca="1" si="191"/>
        <v>677864782753.73376</v>
      </c>
      <c r="L4775" s="455">
        <f t="shared" ca="1" si="192"/>
        <v>163365412643649.81</v>
      </c>
      <c r="M4775" s="471">
        <f t="shared" si="194"/>
        <v>0.05</v>
      </c>
      <c r="N4775" s="475">
        <f t="shared" si="195"/>
        <v>196381</v>
      </c>
    </row>
    <row r="4776" spans="7:14" ht="11.25" customHeight="1" x14ac:dyDescent="0.3">
      <c r="G4776" s="470"/>
      <c r="H4776" s="470">
        <v>4769</v>
      </c>
      <c r="I4776" s="455">
        <f t="shared" ca="1" si="193"/>
        <v>163365412643649.81</v>
      </c>
      <c r="J4776" s="455">
        <f t="array" ref="J4776">IFERROR(INDEX('Retirement Calculator'!J:J,MATCH('Isaac 401k'!N4776,'Retirement Calculator'!A:A,0),0),0)</f>
        <v>0</v>
      </c>
      <c r="K4776" s="455">
        <f t="shared" ca="1" si="191"/>
        <v>680689219348.54089</v>
      </c>
      <c r="L4776" s="455">
        <f t="shared" ca="1" si="192"/>
        <v>164046101862998.34</v>
      </c>
      <c r="M4776" s="471">
        <f t="shared" si="194"/>
        <v>0.05</v>
      </c>
      <c r="N4776" s="475">
        <f t="shared" si="195"/>
        <v>196411</v>
      </c>
    </row>
    <row r="4777" spans="7:14" ht="11.25" customHeight="1" x14ac:dyDescent="0.3">
      <c r="G4777" s="470"/>
      <c r="H4777" s="470">
        <v>4770</v>
      </c>
      <c r="I4777" s="455">
        <f t="shared" ca="1" si="193"/>
        <v>164046101862998.34</v>
      </c>
      <c r="J4777" s="455">
        <f t="array" ref="J4777">IFERROR(INDEX('Retirement Calculator'!J:J,MATCH('Isaac 401k'!N4777,'Retirement Calculator'!A:A,0),0),0)</f>
        <v>0</v>
      </c>
      <c r="K4777" s="455">
        <f t="shared" ca="1" si="191"/>
        <v>683525424429.15979</v>
      </c>
      <c r="L4777" s="455">
        <f t="shared" ca="1" si="192"/>
        <v>164729627287427.5</v>
      </c>
      <c r="M4777" s="471">
        <f t="shared" si="194"/>
        <v>0.05</v>
      </c>
      <c r="N4777" s="475">
        <f t="shared" si="195"/>
        <v>196442</v>
      </c>
    </row>
    <row r="4778" spans="7:14" ht="11.25" customHeight="1" x14ac:dyDescent="0.3">
      <c r="G4778" s="470"/>
      <c r="H4778" s="470">
        <v>4771</v>
      </c>
      <c r="I4778" s="455">
        <f t="shared" ca="1" si="193"/>
        <v>164729627287427.5</v>
      </c>
      <c r="J4778" s="455">
        <f t="array" ref="J4778">IFERROR(INDEX('Retirement Calculator'!J:J,MATCH('Isaac 401k'!N4778,'Retirement Calculator'!A:A,0),0),0)</f>
        <v>0</v>
      </c>
      <c r="K4778" s="455">
        <f t="shared" ca="1" si="191"/>
        <v>686373447030.94788</v>
      </c>
      <c r="L4778" s="455">
        <f t="shared" ca="1" si="192"/>
        <v>165416000734458.44</v>
      </c>
      <c r="M4778" s="471">
        <f t="shared" si="194"/>
        <v>0.05</v>
      </c>
      <c r="N4778" s="475">
        <f t="shared" si="195"/>
        <v>196472</v>
      </c>
    </row>
    <row r="4779" spans="7:14" ht="11.25" customHeight="1" x14ac:dyDescent="0.3">
      <c r="G4779" s="470"/>
      <c r="H4779" s="470">
        <v>4772</v>
      </c>
      <c r="I4779" s="455">
        <f t="shared" ca="1" si="193"/>
        <v>165416000734458.44</v>
      </c>
      <c r="J4779" s="455">
        <f t="array" ref="J4779">IFERROR(INDEX('Retirement Calculator'!J:J,MATCH('Isaac 401k'!N4779,'Retirement Calculator'!A:A,0),0),0)</f>
        <v>0</v>
      </c>
      <c r="K4779" s="455">
        <f t="shared" ca="1" si="191"/>
        <v>689233336393.57678</v>
      </c>
      <c r="L4779" s="455">
        <f t="shared" ca="1" si="192"/>
        <v>166105234070852</v>
      </c>
      <c r="M4779" s="471">
        <f t="shared" si="194"/>
        <v>0.05</v>
      </c>
      <c r="N4779" s="475">
        <f t="shared" si="195"/>
        <v>196503</v>
      </c>
    </row>
    <row r="4780" spans="7:14" ht="11.25" customHeight="1" x14ac:dyDescent="0.3">
      <c r="G4780" s="470"/>
      <c r="H4780" s="470">
        <v>4773</v>
      </c>
      <c r="I4780" s="455">
        <f t="shared" ca="1" si="193"/>
        <v>166105234070852</v>
      </c>
      <c r="J4780" s="455">
        <f t="array" ref="J4780">IFERROR(INDEX('Retirement Calculator'!J:J,MATCH('Isaac 401k'!N4780,'Retirement Calculator'!A:A,0),0),0)</f>
        <v>0</v>
      </c>
      <c r="K4780" s="455">
        <f t="shared" ca="1" si="191"/>
        <v>692105141961.8833</v>
      </c>
      <c r="L4780" s="455">
        <f t="shared" ca="1" si="192"/>
        <v>166797339212813.88</v>
      </c>
      <c r="M4780" s="471">
        <f t="shared" si="194"/>
        <v>0.05</v>
      </c>
      <c r="N4780" s="475">
        <f t="shared" si="195"/>
        <v>196534</v>
      </c>
    </row>
    <row r="4781" spans="7:14" ht="11.25" customHeight="1" x14ac:dyDescent="0.3">
      <c r="G4781" s="470"/>
      <c r="H4781" s="470">
        <v>4774</v>
      </c>
      <c r="I4781" s="455">
        <f t="shared" ca="1" si="193"/>
        <v>166797339212813.88</v>
      </c>
      <c r="J4781" s="455">
        <f t="array" ref="J4781">IFERROR(INDEX('Retirement Calculator'!J:J,MATCH('Isaac 401k'!N4781,'Retirement Calculator'!A:A,0),0),0)</f>
        <v>0</v>
      </c>
      <c r="K4781" s="455">
        <f t="shared" ca="1" si="191"/>
        <v>694988913386.72449</v>
      </c>
      <c r="L4781" s="455">
        <f t="shared" ca="1" si="192"/>
        <v>167492328126200.59</v>
      </c>
      <c r="M4781" s="471">
        <f t="shared" si="194"/>
        <v>0.05</v>
      </c>
      <c r="N4781" s="475">
        <f t="shared" si="195"/>
        <v>196562</v>
      </c>
    </row>
    <row r="4782" spans="7:14" ht="11.25" customHeight="1" x14ac:dyDescent="0.3">
      <c r="G4782" s="470"/>
      <c r="H4782" s="470">
        <v>4775</v>
      </c>
      <c r="I4782" s="455">
        <f t="shared" ca="1" si="193"/>
        <v>167492328126200.59</v>
      </c>
      <c r="J4782" s="455">
        <f t="array" ref="J4782">IFERROR(INDEX('Retirement Calculator'!J:J,MATCH('Isaac 401k'!N4782,'Retirement Calculator'!A:A,0),0),0)</f>
        <v>0</v>
      </c>
      <c r="K4782" s="455">
        <f t="shared" ca="1" si="191"/>
        <v>697884700525.83582</v>
      </c>
      <c r="L4782" s="455">
        <f t="shared" ca="1" si="192"/>
        <v>168190212826726.44</v>
      </c>
      <c r="M4782" s="471">
        <f t="shared" si="194"/>
        <v>0.05</v>
      </c>
      <c r="N4782" s="475">
        <f t="shared" si="195"/>
        <v>196593</v>
      </c>
    </row>
    <row r="4783" spans="7:14" ht="11.25" customHeight="1" x14ac:dyDescent="0.3">
      <c r="G4783" s="470"/>
      <c r="H4783" s="470">
        <v>4776</v>
      </c>
      <c r="I4783" s="455">
        <f t="shared" ca="1" si="193"/>
        <v>168190212826726.44</v>
      </c>
      <c r="J4783" s="455">
        <f t="array" ref="J4783">IFERROR(INDEX('Retirement Calculator'!J:J,MATCH('Isaac 401k'!N4783,'Retirement Calculator'!A:A,0),0),0)</f>
        <v>0</v>
      </c>
      <c r="K4783" s="455">
        <f t="shared" ca="1" si="191"/>
        <v>700792553444.69348</v>
      </c>
      <c r="L4783" s="455">
        <f t="shared" ca="1" si="192"/>
        <v>168891005380171.13</v>
      </c>
      <c r="M4783" s="471">
        <f t="shared" si="194"/>
        <v>0.05</v>
      </c>
      <c r="N4783" s="475">
        <f t="shared" si="195"/>
        <v>196623</v>
      </c>
    </row>
    <row r="4784" spans="7:14" ht="11.25" customHeight="1" x14ac:dyDescent="0.3">
      <c r="G4784" s="470"/>
      <c r="H4784" s="470">
        <v>4777</v>
      </c>
      <c r="I4784" s="455">
        <f t="shared" ca="1" si="193"/>
        <v>168891005380171.13</v>
      </c>
      <c r="J4784" s="455">
        <f t="array" ref="J4784">IFERROR(INDEX('Retirement Calculator'!J:J,MATCH('Isaac 401k'!N4784,'Retirement Calculator'!A:A,0),0),0)</f>
        <v>0</v>
      </c>
      <c r="K4784" s="455">
        <f t="shared" ca="1" si="191"/>
        <v>703712522417.37964</v>
      </c>
      <c r="L4784" s="455">
        <f t="shared" ca="1" si="192"/>
        <v>169594717902588.5</v>
      </c>
      <c r="M4784" s="471">
        <f t="shared" si="194"/>
        <v>0.05</v>
      </c>
      <c r="N4784" s="475">
        <f t="shared" si="195"/>
        <v>196654</v>
      </c>
    </row>
    <row r="4785" spans="7:14" ht="11.25" customHeight="1" x14ac:dyDescent="0.3">
      <c r="G4785" s="470"/>
      <c r="H4785" s="470">
        <v>4778</v>
      </c>
      <c r="I4785" s="455">
        <f t="shared" ca="1" si="193"/>
        <v>169594717902588.5</v>
      </c>
      <c r="J4785" s="455">
        <f t="array" ref="J4785">IFERROR(INDEX('Retirement Calculator'!J:J,MATCH('Isaac 401k'!N4785,'Retirement Calculator'!A:A,0),0),0)</f>
        <v>0</v>
      </c>
      <c r="K4785" s="455">
        <f t="shared" ca="1" si="191"/>
        <v>706644657927.45203</v>
      </c>
      <c r="L4785" s="455">
        <f t="shared" ca="1" si="192"/>
        <v>170301362560515.94</v>
      </c>
      <c r="M4785" s="471">
        <f t="shared" si="194"/>
        <v>0.05</v>
      </c>
      <c r="N4785" s="475">
        <f t="shared" si="195"/>
        <v>196684</v>
      </c>
    </row>
    <row r="4786" spans="7:14" ht="11.25" customHeight="1" x14ac:dyDescent="0.3">
      <c r="G4786" s="470"/>
      <c r="H4786" s="470">
        <v>4779</v>
      </c>
      <c r="I4786" s="455">
        <f t="shared" ca="1" si="193"/>
        <v>170301362560515.94</v>
      </c>
      <c r="J4786" s="455">
        <f t="array" ref="J4786">IFERROR(INDEX('Retirement Calculator'!J:J,MATCH('Isaac 401k'!N4786,'Retirement Calculator'!A:A,0),0),0)</f>
        <v>0</v>
      </c>
      <c r="K4786" s="455">
        <f t="shared" ca="1" si="191"/>
        <v>709589010668.81641</v>
      </c>
      <c r="L4786" s="455">
        <f t="shared" ca="1" si="192"/>
        <v>171010951571184.75</v>
      </c>
      <c r="M4786" s="471">
        <f t="shared" si="194"/>
        <v>0.05</v>
      </c>
      <c r="N4786" s="475">
        <f t="shared" si="195"/>
        <v>196715</v>
      </c>
    </row>
    <row r="4787" spans="7:14" ht="11.25" customHeight="1" x14ac:dyDescent="0.3">
      <c r="G4787" s="470"/>
      <c r="H4787" s="470">
        <v>4780</v>
      </c>
      <c r="I4787" s="455">
        <f t="shared" ca="1" si="193"/>
        <v>171010951571184.75</v>
      </c>
      <c r="J4787" s="455">
        <f t="array" ref="J4787">IFERROR(INDEX('Retirement Calculator'!J:J,MATCH('Isaac 401k'!N4787,'Retirement Calculator'!A:A,0),0),0)</f>
        <v>0</v>
      </c>
      <c r="K4787" s="455">
        <f t="shared" ca="1" si="191"/>
        <v>712545631546.60315</v>
      </c>
      <c r="L4787" s="455">
        <f t="shared" ca="1" si="192"/>
        <v>171723497202731.34</v>
      </c>
      <c r="M4787" s="471">
        <f t="shared" si="194"/>
        <v>0.05</v>
      </c>
      <c r="N4787" s="475">
        <f t="shared" si="195"/>
        <v>196746</v>
      </c>
    </row>
    <row r="4788" spans="7:14" ht="11.25" customHeight="1" x14ac:dyDescent="0.3">
      <c r="G4788" s="470"/>
      <c r="H4788" s="470">
        <v>4781</v>
      </c>
      <c r="I4788" s="455">
        <f t="shared" ca="1" si="193"/>
        <v>171723497202731.34</v>
      </c>
      <c r="J4788" s="455">
        <f t="array" ref="J4788">IFERROR(INDEX('Retirement Calculator'!J:J,MATCH('Isaac 401k'!N4788,'Retirement Calculator'!A:A,0),0),0)</f>
        <v>0</v>
      </c>
      <c r="K4788" s="455">
        <f t="shared" ca="1" si="191"/>
        <v>715514571678.04724</v>
      </c>
      <c r="L4788" s="455">
        <f t="shared" ca="1" si="192"/>
        <v>172439011774409.41</v>
      </c>
      <c r="M4788" s="471">
        <f t="shared" si="194"/>
        <v>0.05</v>
      </c>
      <c r="N4788" s="475">
        <f t="shared" si="195"/>
        <v>196776</v>
      </c>
    </row>
    <row r="4789" spans="7:14" ht="11.25" customHeight="1" x14ac:dyDescent="0.3">
      <c r="G4789" s="470"/>
      <c r="H4789" s="470">
        <v>4782</v>
      </c>
      <c r="I4789" s="455">
        <f t="shared" ca="1" si="193"/>
        <v>172439011774409.41</v>
      </c>
      <c r="J4789" s="455">
        <f t="array" ref="J4789">IFERROR(INDEX('Retirement Calculator'!J:J,MATCH('Isaac 401k'!N4789,'Retirement Calculator'!A:A,0),0),0)</f>
        <v>0</v>
      </c>
      <c r="K4789" s="455">
        <f t="shared" ca="1" si="191"/>
        <v>718495882393.37256</v>
      </c>
      <c r="L4789" s="455">
        <f t="shared" ca="1" si="192"/>
        <v>173157507656802.78</v>
      </c>
      <c r="M4789" s="471">
        <f t="shared" si="194"/>
        <v>0.05</v>
      </c>
      <c r="N4789" s="475">
        <f t="shared" si="195"/>
        <v>196807</v>
      </c>
    </row>
    <row r="4790" spans="7:14" ht="11.25" customHeight="1" x14ac:dyDescent="0.3">
      <c r="G4790" s="470"/>
      <c r="H4790" s="470">
        <v>4783</v>
      </c>
      <c r="I4790" s="455">
        <f t="shared" ca="1" si="193"/>
        <v>173157507656802.78</v>
      </c>
      <c r="J4790" s="455">
        <f t="array" ref="J4790">IFERROR(INDEX('Retirement Calculator'!J:J,MATCH('Isaac 401k'!N4790,'Retirement Calculator'!A:A,0),0),0)</f>
        <v>0</v>
      </c>
      <c r="K4790" s="455">
        <f t="shared" ca="1" si="191"/>
        <v>721489615236.67822</v>
      </c>
      <c r="L4790" s="455">
        <f t="shared" ca="1" si="192"/>
        <v>173878997272039.47</v>
      </c>
      <c r="M4790" s="471">
        <f t="shared" si="194"/>
        <v>0.05</v>
      </c>
      <c r="N4790" s="475">
        <f t="shared" si="195"/>
        <v>196837</v>
      </c>
    </row>
    <row r="4791" spans="7:14" ht="11.25" customHeight="1" x14ac:dyDescent="0.3">
      <c r="G4791" s="470"/>
      <c r="H4791" s="470">
        <v>4784</v>
      </c>
      <c r="I4791" s="455">
        <f t="shared" ca="1" si="193"/>
        <v>173878997272039.47</v>
      </c>
      <c r="J4791" s="455">
        <f t="array" ref="J4791">IFERROR(INDEX('Retirement Calculator'!J:J,MATCH('Isaac 401k'!N4791,'Retirement Calculator'!A:A,0),0),0)</f>
        <v>0</v>
      </c>
      <c r="K4791" s="455">
        <f t="shared" ca="1" si="191"/>
        <v>724495821966.83105</v>
      </c>
      <c r="L4791" s="455">
        <f t="shared" ca="1" si="192"/>
        <v>174603493094006.31</v>
      </c>
      <c r="M4791" s="471">
        <f t="shared" si="194"/>
        <v>0.05</v>
      </c>
      <c r="N4791" s="475">
        <f t="shared" si="195"/>
        <v>196868</v>
      </c>
    </row>
    <row r="4792" spans="7:14" ht="11.25" customHeight="1" x14ac:dyDescent="0.3">
      <c r="G4792" s="470"/>
      <c r="H4792" s="470">
        <v>4785</v>
      </c>
      <c r="I4792" s="455">
        <f t="shared" ca="1" si="193"/>
        <v>174603493094006.31</v>
      </c>
      <c r="J4792" s="455">
        <f t="array" ref="J4792">IFERROR(INDEX('Retirement Calculator'!J:J,MATCH('Isaac 401k'!N4792,'Retirement Calculator'!A:A,0),0),0)</f>
        <v>0</v>
      </c>
      <c r="K4792" s="455">
        <f t="shared" ca="1" si="191"/>
        <v>727514554558.35962</v>
      </c>
      <c r="L4792" s="455">
        <f t="shared" ca="1" si="192"/>
        <v>175331007648564.69</v>
      </c>
      <c r="M4792" s="471">
        <f t="shared" si="194"/>
        <v>0.05</v>
      </c>
      <c r="N4792" s="475">
        <f t="shared" si="195"/>
        <v>196899</v>
      </c>
    </row>
    <row r="4793" spans="7:14" ht="11.25" customHeight="1" x14ac:dyDescent="0.3">
      <c r="G4793" s="470"/>
      <c r="H4793" s="470">
        <v>4786</v>
      </c>
      <c r="I4793" s="455">
        <f t="shared" ca="1" si="193"/>
        <v>175331007648564.69</v>
      </c>
      <c r="J4793" s="455">
        <f t="array" ref="J4793">IFERROR(INDEX('Retirement Calculator'!J:J,MATCH('Isaac 401k'!N4793,'Retirement Calculator'!A:A,0),0),0)</f>
        <v>0</v>
      </c>
      <c r="K4793" s="455">
        <f t="shared" ca="1" si="191"/>
        <v>730545865202.35291</v>
      </c>
      <c r="L4793" s="455">
        <f t="shared" ca="1" si="192"/>
        <v>176061553513767.03</v>
      </c>
      <c r="M4793" s="471">
        <f t="shared" si="194"/>
        <v>0.05</v>
      </c>
      <c r="N4793" s="475">
        <f t="shared" si="195"/>
        <v>196927</v>
      </c>
    </row>
    <row r="4794" spans="7:14" ht="11.25" customHeight="1" x14ac:dyDescent="0.3">
      <c r="G4794" s="470"/>
      <c r="H4794" s="470">
        <v>4787</v>
      </c>
      <c r="I4794" s="455">
        <f t="shared" ca="1" si="193"/>
        <v>176061553513767.03</v>
      </c>
      <c r="J4794" s="455">
        <f t="array" ref="J4794">IFERROR(INDEX('Retirement Calculator'!J:J,MATCH('Isaac 401k'!N4794,'Retirement Calculator'!A:A,0),0),0)</f>
        <v>0</v>
      </c>
      <c r="K4794" s="455">
        <f t="shared" ca="1" si="191"/>
        <v>733589806307.36267</v>
      </c>
      <c r="L4794" s="455">
        <f t="shared" ca="1" si="192"/>
        <v>176795143320074.41</v>
      </c>
      <c r="M4794" s="471">
        <f t="shared" si="194"/>
        <v>0.05</v>
      </c>
      <c r="N4794" s="475">
        <f t="shared" si="195"/>
        <v>196958</v>
      </c>
    </row>
    <row r="4795" spans="7:14" ht="11.25" customHeight="1" x14ac:dyDescent="0.3">
      <c r="G4795" s="470"/>
      <c r="H4795" s="470">
        <v>4788</v>
      </c>
      <c r="I4795" s="455">
        <f t="shared" ca="1" si="193"/>
        <v>176795143320074.41</v>
      </c>
      <c r="J4795" s="455">
        <f t="array" ref="J4795">IFERROR(INDEX('Retirement Calculator'!J:J,MATCH('Isaac 401k'!N4795,'Retirement Calculator'!A:A,0),0),0)</f>
        <v>0</v>
      </c>
      <c r="K4795" s="455">
        <f t="shared" ca="1" si="191"/>
        <v>736646430500.31006</v>
      </c>
      <c r="L4795" s="455">
        <f t="shared" ca="1" si="192"/>
        <v>177531789750574.72</v>
      </c>
      <c r="M4795" s="471">
        <f t="shared" si="194"/>
        <v>0.05</v>
      </c>
      <c r="N4795" s="475">
        <f t="shared" si="195"/>
        <v>196988</v>
      </c>
    </row>
    <row r="4796" spans="7:14" ht="11.25" customHeight="1" x14ac:dyDescent="0.3">
      <c r="G4796" s="470"/>
      <c r="H4796" s="470">
        <v>4789</v>
      </c>
      <c r="I4796" s="455">
        <f t="shared" ca="1" si="193"/>
        <v>177531789750574.72</v>
      </c>
      <c r="J4796" s="455">
        <f t="array" ref="J4796">IFERROR(INDEX('Retirement Calculator'!J:J,MATCH('Isaac 401k'!N4796,'Retirement Calculator'!A:A,0),0),0)</f>
        <v>0</v>
      </c>
      <c r="K4796" s="455">
        <f t="shared" ca="1" si="191"/>
        <v>739715790627.39465</v>
      </c>
      <c r="L4796" s="455">
        <f t="shared" ca="1" si="192"/>
        <v>178271505541202.13</v>
      </c>
      <c r="M4796" s="471">
        <f t="shared" si="194"/>
        <v>0.05</v>
      </c>
      <c r="N4796" s="475">
        <f t="shared" si="195"/>
        <v>197019</v>
      </c>
    </row>
    <row r="4797" spans="7:14" ht="11.25" customHeight="1" x14ac:dyDescent="0.3">
      <c r="G4797" s="470"/>
      <c r="H4797" s="470">
        <v>4790</v>
      </c>
      <c r="I4797" s="455">
        <f t="shared" ca="1" si="193"/>
        <v>178271505541202.13</v>
      </c>
      <c r="J4797" s="455">
        <f t="array" ref="J4797">IFERROR(INDEX('Retirement Calculator'!J:J,MATCH('Isaac 401k'!N4797,'Retirement Calculator'!A:A,0),0),0)</f>
        <v>0</v>
      </c>
      <c r="K4797" s="455">
        <f t="shared" ca="1" si="191"/>
        <v>742797939755.00879</v>
      </c>
      <c r="L4797" s="455">
        <f t="shared" ca="1" si="192"/>
        <v>179014303480957.13</v>
      </c>
      <c r="M4797" s="471">
        <f t="shared" si="194"/>
        <v>0.05</v>
      </c>
      <c r="N4797" s="475">
        <f t="shared" si="195"/>
        <v>197049</v>
      </c>
    </row>
    <row r="4798" spans="7:14" ht="11.25" customHeight="1" x14ac:dyDescent="0.3">
      <c r="G4798" s="470"/>
      <c r="H4798" s="470">
        <v>4791</v>
      </c>
      <c r="I4798" s="455">
        <f t="shared" ca="1" si="193"/>
        <v>179014303480957.13</v>
      </c>
      <c r="J4798" s="455">
        <f t="array" ref="J4798">IFERROR(INDEX('Retirement Calculator'!J:J,MATCH('Isaac 401k'!N4798,'Retirement Calculator'!A:A,0),0),0)</f>
        <v>0</v>
      </c>
      <c r="K4798" s="455">
        <f t="shared" ca="1" si="191"/>
        <v>745892931170.65466</v>
      </c>
      <c r="L4798" s="455">
        <f t="shared" ca="1" si="192"/>
        <v>179760196412127.78</v>
      </c>
      <c r="M4798" s="471">
        <f t="shared" si="194"/>
        <v>0.05</v>
      </c>
      <c r="N4798" s="475">
        <f t="shared" si="195"/>
        <v>197080</v>
      </c>
    </row>
    <row r="4799" spans="7:14" ht="11.25" customHeight="1" x14ac:dyDescent="0.3">
      <c r="G4799" s="470"/>
      <c r="H4799" s="470">
        <v>4792</v>
      </c>
      <c r="I4799" s="455">
        <f t="shared" ca="1" si="193"/>
        <v>179760196412127.78</v>
      </c>
      <c r="J4799" s="455">
        <f t="array" ref="J4799">IFERROR(INDEX('Retirement Calculator'!J:J,MATCH('Isaac 401k'!N4799,'Retirement Calculator'!A:A,0),0),0)</f>
        <v>0</v>
      </c>
      <c r="K4799" s="455">
        <f t="shared" ca="1" si="191"/>
        <v>749000818383.86572</v>
      </c>
      <c r="L4799" s="455">
        <f t="shared" ca="1" si="192"/>
        <v>180509197230511.66</v>
      </c>
      <c r="M4799" s="471">
        <f t="shared" si="194"/>
        <v>0.05</v>
      </c>
      <c r="N4799" s="475">
        <f t="shared" si="195"/>
        <v>197111</v>
      </c>
    </row>
    <row r="4800" spans="7:14" ht="11.25" customHeight="1" x14ac:dyDescent="0.3">
      <c r="G4800" s="470"/>
      <c r="H4800" s="470">
        <v>4793</v>
      </c>
      <c r="I4800" s="455">
        <f t="shared" ca="1" si="193"/>
        <v>180509197230511.66</v>
      </c>
      <c r="J4800" s="455">
        <f t="array" ref="J4800">IFERROR(INDEX('Retirement Calculator'!J:J,MATCH('Isaac 401k'!N4800,'Retirement Calculator'!A:A,0),0),0)</f>
        <v>0</v>
      </c>
      <c r="K4800" s="455">
        <f t="shared" ca="1" si="191"/>
        <v>752121655127.13184</v>
      </c>
      <c r="L4800" s="455">
        <f t="shared" ca="1" si="192"/>
        <v>181261318885638.78</v>
      </c>
      <c r="M4800" s="471">
        <f t="shared" si="194"/>
        <v>0.05</v>
      </c>
      <c r="N4800" s="475">
        <f t="shared" si="195"/>
        <v>197141</v>
      </c>
    </row>
    <row r="4801" spans="7:14" ht="11.25" customHeight="1" x14ac:dyDescent="0.3">
      <c r="G4801" s="470"/>
      <c r="H4801" s="470">
        <v>4794</v>
      </c>
      <c r="I4801" s="455">
        <f t="shared" ca="1" si="193"/>
        <v>181261318885638.78</v>
      </c>
      <c r="J4801" s="455">
        <f t="array" ref="J4801">IFERROR(INDEX('Retirement Calculator'!J:J,MATCH('Isaac 401k'!N4801,'Retirement Calculator'!A:A,0),0),0)</f>
        <v>0</v>
      </c>
      <c r="K4801" s="455">
        <f t="shared" ca="1" si="191"/>
        <v>755255495356.82825</v>
      </c>
      <c r="L4801" s="455">
        <f t="shared" ca="1" si="192"/>
        <v>182016574380995.63</v>
      </c>
      <c r="M4801" s="471">
        <f t="shared" si="194"/>
        <v>0.05</v>
      </c>
      <c r="N4801" s="475">
        <f t="shared" si="195"/>
        <v>197172</v>
      </c>
    </row>
    <row r="4802" spans="7:14" ht="11.25" customHeight="1" x14ac:dyDescent="0.3">
      <c r="G4802" s="470"/>
      <c r="H4802" s="470">
        <v>4795</v>
      </c>
      <c r="I4802" s="455">
        <f t="shared" ca="1" si="193"/>
        <v>182016574380995.63</v>
      </c>
      <c r="J4802" s="455">
        <f t="array" ref="J4802">IFERROR(INDEX('Retirement Calculator'!J:J,MATCH('Isaac 401k'!N4802,'Retirement Calculator'!A:A,0),0),0)</f>
        <v>0</v>
      </c>
      <c r="K4802" s="455">
        <f t="shared" ca="1" si="191"/>
        <v>758402393254.14844</v>
      </c>
      <c r="L4802" s="455">
        <f t="shared" ca="1" si="192"/>
        <v>182774976774249.78</v>
      </c>
      <c r="M4802" s="471">
        <f t="shared" si="194"/>
        <v>0.05</v>
      </c>
      <c r="N4802" s="475">
        <f t="shared" si="195"/>
        <v>197202</v>
      </c>
    </row>
    <row r="4803" spans="7:14" ht="11.25" customHeight="1" x14ac:dyDescent="0.3">
      <c r="G4803" s="470"/>
      <c r="H4803" s="470">
        <v>4796</v>
      </c>
      <c r="I4803" s="455">
        <f t="shared" ca="1" si="193"/>
        <v>182774976774249.78</v>
      </c>
      <c r="J4803" s="455">
        <f t="array" ref="J4803">IFERROR(INDEX('Retirement Calculator'!J:J,MATCH('Isaac 401k'!N4803,'Retirement Calculator'!A:A,0),0),0)</f>
        <v>0</v>
      </c>
      <c r="K4803" s="455">
        <f t="shared" ca="1" si="191"/>
        <v>761562403226.04077</v>
      </c>
      <c r="L4803" s="455">
        <f t="shared" ca="1" si="192"/>
        <v>183536539177475.81</v>
      </c>
      <c r="M4803" s="471">
        <f t="shared" si="194"/>
        <v>0.05</v>
      </c>
      <c r="N4803" s="475">
        <f t="shared" si="195"/>
        <v>197233</v>
      </c>
    </row>
    <row r="4804" spans="7:14" ht="11.25" customHeight="1" x14ac:dyDescent="0.3">
      <c r="G4804" s="470"/>
      <c r="H4804" s="470">
        <v>4797</v>
      </c>
      <c r="I4804" s="455">
        <f t="shared" ca="1" si="193"/>
        <v>183536539177475.81</v>
      </c>
      <c r="J4804" s="455">
        <f t="array" ref="J4804">IFERROR(INDEX('Retirement Calculator'!J:J,MATCH('Isaac 401k'!N4804,'Retirement Calculator'!A:A,0),0),0)</f>
        <v>0</v>
      </c>
      <c r="K4804" s="455">
        <f t="shared" ca="1" si="191"/>
        <v>764735579906.14917</v>
      </c>
      <c r="L4804" s="455">
        <f t="shared" ca="1" si="192"/>
        <v>184301274757381.97</v>
      </c>
      <c r="M4804" s="471">
        <f t="shared" si="194"/>
        <v>0.05</v>
      </c>
      <c r="N4804" s="475">
        <f t="shared" si="195"/>
        <v>197264</v>
      </c>
    </row>
    <row r="4805" spans="7:14" ht="11.25" customHeight="1" x14ac:dyDescent="0.3">
      <c r="G4805" s="470"/>
      <c r="H4805" s="470">
        <v>4798</v>
      </c>
      <c r="I4805" s="455">
        <f t="shared" ca="1" si="193"/>
        <v>184301274757381.97</v>
      </c>
      <c r="J4805" s="455">
        <f t="array" ref="J4805">IFERROR(INDEX('Retirement Calculator'!J:J,MATCH('Isaac 401k'!N4805,'Retirement Calculator'!A:A,0),0),0)</f>
        <v>0</v>
      </c>
      <c r="K4805" s="455">
        <f t="shared" ca="1" si="191"/>
        <v>767921978155.75818</v>
      </c>
      <c r="L4805" s="455">
        <f t="shared" ca="1" si="192"/>
        <v>185069196735537.72</v>
      </c>
      <c r="M4805" s="471">
        <f t="shared" si="194"/>
        <v>0.05</v>
      </c>
      <c r="N4805" s="475">
        <f t="shared" si="195"/>
        <v>197293</v>
      </c>
    </row>
    <row r="4806" spans="7:14" ht="11.25" customHeight="1" x14ac:dyDescent="0.3">
      <c r="G4806" s="470"/>
      <c r="H4806" s="470">
        <v>4799</v>
      </c>
      <c r="I4806" s="455">
        <f t="shared" ca="1" si="193"/>
        <v>185069196735537.72</v>
      </c>
      <c r="J4806" s="455">
        <f t="array" ref="J4806">IFERROR(INDEX('Retirement Calculator'!J:J,MATCH('Isaac 401k'!N4806,'Retirement Calculator'!A:A,0),0),0)</f>
        <v>0</v>
      </c>
      <c r="K4806" s="455">
        <f t="shared" ca="1" si="191"/>
        <v>771121653064.74048</v>
      </c>
      <c r="L4806" s="455">
        <f t="shared" ca="1" si="192"/>
        <v>185840318388602.47</v>
      </c>
      <c r="M4806" s="471">
        <f t="shared" si="194"/>
        <v>0.05</v>
      </c>
      <c r="N4806" s="475">
        <f t="shared" si="195"/>
        <v>197324</v>
      </c>
    </row>
    <row r="4807" spans="7:14" ht="11.25" customHeight="1" x14ac:dyDescent="0.3">
      <c r="G4807" s="470"/>
      <c r="H4807" s="470">
        <v>4800</v>
      </c>
      <c r="I4807" s="455">
        <f t="shared" ca="1" si="193"/>
        <v>185840318388602.47</v>
      </c>
      <c r="J4807" s="455">
        <f t="array" ref="J4807">IFERROR(INDEX('Retirement Calculator'!J:J,MATCH('Isaac 401k'!N4807,'Retirement Calculator'!A:A,0),0),0)</f>
        <v>0</v>
      </c>
      <c r="K4807" s="455">
        <f t="shared" ca="1" si="191"/>
        <v>774334659952.51025</v>
      </c>
      <c r="L4807" s="455">
        <f t="shared" ca="1" si="192"/>
        <v>186614653048554.97</v>
      </c>
      <c r="M4807" s="471">
        <f t="shared" si="194"/>
        <v>0.05</v>
      </c>
      <c r="N4807" s="475">
        <f t="shared" si="195"/>
        <v>197354</v>
      </c>
    </row>
    <row r="4808" spans="7:14" ht="11.25" customHeight="1" x14ac:dyDescent="0.3">
      <c r="G4808" s="470"/>
      <c r="H4808" s="470">
        <v>4801</v>
      </c>
      <c r="I4808" s="455">
        <f t="shared" ca="1" si="193"/>
        <v>186614653048554.97</v>
      </c>
      <c r="J4808" s="455">
        <f t="array" ref="J4808">IFERROR(INDEX('Retirement Calculator'!J:J,MATCH('Isaac 401k'!N4808,'Retirement Calculator'!A:A,0),0),0)</f>
        <v>0</v>
      </c>
      <c r="K4808" s="455">
        <f t="shared" ca="1" si="191"/>
        <v>777561054368.979</v>
      </c>
      <c r="L4808" s="455">
        <f t="shared" ca="1" si="192"/>
        <v>187392214102923.94</v>
      </c>
      <c r="M4808" s="471">
        <f t="shared" si="194"/>
        <v>0.05</v>
      </c>
      <c r="N4808" s="475">
        <f t="shared" si="195"/>
        <v>197385</v>
      </c>
    </row>
    <row r="4809" spans="7:14" ht="11.25" customHeight="1" x14ac:dyDescent="0.3">
      <c r="G4809" s="470"/>
      <c r="H4809" s="470">
        <v>4802</v>
      </c>
      <c r="I4809" s="455">
        <f t="shared" ca="1" si="193"/>
        <v>187392214102923.94</v>
      </c>
      <c r="J4809" s="455">
        <f t="array" ref="J4809">IFERROR(INDEX('Retirement Calculator'!J:J,MATCH('Isaac 401k'!N4809,'Retirement Calculator'!A:A,0),0),0)</f>
        <v>0</v>
      </c>
      <c r="K4809" s="455">
        <f t="shared" ca="1" si="191"/>
        <v>780800892095.51636</v>
      </c>
      <c r="L4809" s="455">
        <f t="shared" ca="1" si="192"/>
        <v>188173014995019.47</v>
      </c>
      <c r="M4809" s="471">
        <f t="shared" si="194"/>
        <v>0.05</v>
      </c>
      <c r="N4809" s="475">
        <f t="shared" si="195"/>
        <v>197415</v>
      </c>
    </row>
    <row r="4810" spans="7:14" ht="11.25" customHeight="1" x14ac:dyDescent="0.3">
      <c r="G4810" s="470"/>
      <c r="H4810" s="470">
        <v>4803</v>
      </c>
      <c r="I4810" s="455">
        <f t="shared" ca="1" si="193"/>
        <v>188173014995019.47</v>
      </c>
      <c r="J4810" s="455">
        <f t="array" ref="J4810">IFERROR(INDEX('Retirement Calculator'!J:J,MATCH('Isaac 401k'!N4810,'Retirement Calculator'!A:A,0),0),0)</f>
        <v>0</v>
      </c>
      <c r="K4810" s="455">
        <f t="shared" ca="1" si="191"/>
        <v>784054229145.91443</v>
      </c>
      <c r="L4810" s="455">
        <f t="shared" ca="1" si="192"/>
        <v>188957069224165.38</v>
      </c>
      <c r="M4810" s="471">
        <f t="shared" si="194"/>
        <v>0.05</v>
      </c>
      <c r="N4810" s="475">
        <f t="shared" si="195"/>
        <v>197446</v>
      </c>
    </row>
    <row r="4811" spans="7:14" ht="11.25" customHeight="1" x14ac:dyDescent="0.3">
      <c r="G4811" s="470"/>
      <c r="H4811" s="470">
        <v>4804</v>
      </c>
      <c r="I4811" s="455">
        <f t="shared" ca="1" si="193"/>
        <v>188957069224165.38</v>
      </c>
      <c r="J4811" s="455">
        <f t="array" ref="J4811">IFERROR(INDEX('Retirement Calculator'!J:J,MATCH('Isaac 401k'!N4811,'Retirement Calculator'!A:A,0),0),0)</f>
        <v>0</v>
      </c>
      <c r="K4811" s="455">
        <f t="shared" ca="1" si="191"/>
        <v>787321121767.35571</v>
      </c>
      <c r="L4811" s="455">
        <f t="shared" ca="1" si="192"/>
        <v>189744390345932.72</v>
      </c>
      <c r="M4811" s="471">
        <f t="shared" si="194"/>
        <v>0.05</v>
      </c>
      <c r="N4811" s="475">
        <f t="shared" si="195"/>
        <v>197477</v>
      </c>
    </row>
    <row r="4812" spans="7:14" ht="11.25" customHeight="1" x14ac:dyDescent="0.3">
      <c r="G4812" s="470"/>
      <c r="H4812" s="470">
        <v>4805</v>
      </c>
      <c r="I4812" s="455">
        <f t="shared" ca="1" si="193"/>
        <v>189744390345932.72</v>
      </c>
      <c r="J4812" s="455">
        <f t="array" ref="J4812">IFERROR(INDEX('Retirement Calculator'!J:J,MATCH('Isaac 401k'!N4812,'Retirement Calculator'!A:A,0),0),0)</f>
        <v>0</v>
      </c>
      <c r="K4812" s="455">
        <f t="shared" ca="1" si="191"/>
        <v>790601626441.38635</v>
      </c>
      <c r="L4812" s="455">
        <f t="shared" ca="1" si="192"/>
        <v>190534991972374.09</v>
      </c>
      <c r="M4812" s="471">
        <f t="shared" si="194"/>
        <v>0.05</v>
      </c>
      <c r="N4812" s="475">
        <f t="shared" si="195"/>
        <v>197507</v>
      </c>
    </row>
    <row r="4813" spans="7:14" ht="11.25" customHeight="1" x14ac:dyDescent="0.3">
      <c r="G4813" s="470"/>
      <c r="H4813" s="470">
        <v>4806</v>
      </c>
      <c r="I4813" s="455">
        <f t="shared" ca="1" si="193"/>
        <v>190534991972374.09</v>
      </c>
      <c r="J4813" s="455">
        <f t="array" ref="J4813">IFERROR(INDEX('Retirement Calculator'!J:J,MATCH('Isaac 401k'!N4813,'Retirement Calculator'!A:A,0),0),0)</f>
        <v>0</v>
      </c>
      <c r="K4813" s="455">
        <f t="shared" ca="1" si="191"/>
        <v>793895799884.89209</v>
      </c>
      <c r="L4813" s="455">
        <f t="shared" ca="1" si="192"/>
        <v>191328887772259</v>
      </c>
      <c r="M4813" s="471">
        <f t="shared" si="194"/>
        <v>0.05</v>
      </c>
      <c r="N4813" s="475">
        <f t="shared" si="195"/>
        <v>197538</v>
      </c>
    </row>
    <row r="4814" spans="7:14" ht="11.25" customHeight="1" x14ac:dyDescent="0.3">
      <c r="G4814" s="470"/>
      <c r="H4814" s="470">
        <v>4807</v>
      </c>
      <c r="I4814" s="455">
        <f t="shared" ca="1" si="193"/>
        <v>191328887772259</v>
      </c>
      <c r="J4814" s="455">
        <f t="array" ref="J4814">IFERROR(INDEX('Retirement Calculator'!J:J,MATCH('Isaac 401k'!N4814,'Retirement Calculator'!A:A,0),0),0)</f>
        <v>0</v>
      </c>
      <c r="K4814" s="455">
        <f t="shared" ca="1" si="191"/>
        <v>797203699051.0791</v>
      </c>
      <c r="L4814" s="455">
        <f t="shared" ca="1" si="192"/>
        <v>192126091471310.09</v>
      </c>
      <c r="M4814" s="471">
        <f t="shared" si="194"/>
        <v>0.05</v>
      </c>
      <c r="N4814" s="475">
        <f t="shared" si="195"/>
        <v>197568</v>
      </c>
    </row>
    <row r="4815" spans="7:14" ht="11.25" customHeight="1" x14ac:dyDescent="0.3">
      <c r="G4815" s="470"/>
      <c r="H4815" s="470">
        <v>4808</v>
      </c>
      <c r="I4815" s="455">
        <f t="shared" ca="1" si="193"/>
        <v>192126091471310.09</v>
      </c>
      <c r="J4815" s="455">
        <f t="array" ref="J4815">IFERROR(INDEX('Retirement Calculator'!J:J,MATCH('Isaac 401k'!N4815,'Retirement Calculator'!A:A,0),0),0)</f>
        <v>0</v>
      </c>
      <c r="K4815" s="455">
        <f t="shared" ca="1" si="191"/>
        <v>800525381130.45874</v>
      </c>
      <c r="L4815" s="455">
        <f t="shared" ca="1" si="192"/>
        <v>192926616852440.56</v>
      </c>
      <c r="M4815" s="471">
        <f t="shared" si="194"/>
        <v>0.05</v>
      </c>
      <c r="N4815" s="475">
        <f t="shared" si="195"/>
        <v>197599</v>
      </c>
    </row>
    <row r="4816" spans="7:14" ht="11.25" customHeight="1" x14ac:dyDescent="0.3">
      <c r="G4816" s="470"/>
      <c r="H4816" s="470">
        <v>4809</v>
      </c>
      <c r="I4816" s="455">
        <f t="shared" ca="1" si="193"/>
        <v>192926616852440.56</v>
      </c>
      <c r="J4816" s="455">
        <f t="array" ref="J4816">IFERROR(INDEX('Retirement Calculator'!J:J,MATCH('Isaac 401k'!N4816,'Retirement Calculator'!A:A,0),0),0)</f>
        <v>0</v>
      </c>
      <c r="K4816" s="455">
        <f t="shared" ca="1" si="191"/>
        <v>803860903551.83569</v>
      </c>
      <c r="L4816" s="455">
        <f t="shared" ca="1" si="192"/>
        <v>193730477755992.41</v>
      </c>
      <c r="M4816" s="471">
        <f t="shared" si="194"/>
        <v>0.05</v>
      </c>
      <c r="N4816" s="475">
        <f t="shared" si="195"/>
        <v>197630</v>
      </c>
    </row>
    <row r="4817" spans="7:14" ht="11.25" customHeight="1" x14ac:dyDescent="0.3">
      <c r="G4817" s="470"/>
      <c r="H4817" s="470">
        <v>4810</v>
      </c>
      <c r="I4817" s="455">
        <f t="shared" ca="1" si="193"/>
        <v>193730477755992.41</v>
      </c>
      <c r="J4817" s="455">
        <f t="array" ref="J4817">IFERROR(INDEX('Retirement Calculator'!J:J,MATCH('Isaac 401k'!N4817,'Retirement Calculator'!A:A,0),0),0)</f>
        <v>0</v>
      </c>
      <c r="K4817" s="455">
        <f t="shared" ca="1" si="191"/>
        <v>807210323983.30164</v>
      </c>
      <c r="L4817" s="455">
        <f t="shared" ca="1" si="192"/>
        <v>194537688079975.72</v>
      </c>
      <c r="M4817" s="471">
        <f t="shared" si="194"/>
        <v>0.05</v>
      </c>
      <c r="N4817" s="475">
        <f t="shared" si="195"/>
        <v>197658</v>
      </c>
    </row>
    <row r="4818" spans="7:14" ht="11.25" customHeight="1" x14ac:dyDescent="0.3">
      <c r="G4818" s="470"/>
      <c r="H4818" s="470">
        <v>4811</v>
      </c>
      <c r="I4818" s="455">
        <f t="shared" ca="1" si="193"/>
        <v>194537688079975.72</v>
      </c>
      <c r="J4818" s="455">
        <f t="array" ref="J4818">IFERROR(INDEX('Retirement Calculator'!J:J,MATCH('Isaac 401k'!N4818,'Retirement Calculator'!A:A,0),0),0)</f>
        <v>0</v>
      </c>
      <c r="K4818" s="455">
        <f t="shared" ca="1" si="191"/>
        <v>810573700333.23218</v>
      </c>
      <c r="L4818" s="455">
        <f t="shared" ca="1" si="192"/>
        <v>195348261780308.94</v>
      </c>
      <c r="M4818" s="471">
        <f t="shared" si="194"/>
        <v>0.05</v>
      </c>
      <c r="N4818" s="475">
        <f t="shared" si="195"/>
        <v>197689</v>
      </c>
    </row>
    <row r="4819" spans="7:14" ht="11.25" customHeight="1" x14ac:dyDescent="0.3">
      <c r="G4819" s="470"/>
      <c r="H4819" s="470">
        <v>4812</v>
      </c>
      <c r="I4819" s="455">
        <f t="shared" ca="1" si="193"/>
        <v>195348261780308.94</v>
      </c>
      <c r="J4819" s="455">
        <f t="array" ref="J4819">IFERROR(INDEX('Retirement Calculator'!J:J,MATCH('Isaac 401k'!N4819,'Retirement Calculator'!A:A,0),0),0)</f>
        <v>0</v>
      </c>
      <c r="K4819" s="455">
        <f t="shared" ca="1" si="191"/>
        <v>813951090751.28723</v>
      </c>
      <c r="L4819" s="455">
        <f t="shared" ca="1" si="192"/>
        <v>196162212871060.22</v>
      </c>
      <c r="M4819" s="471">
        <f t="shared" si="194"/>
        <v>0.05</v>
      </c>
      <c r="N4819" s="475">
        <f t="shared" si="195"/>
        <v>197719</v>
      </c>
    </row>
    <row r="4820" spans="7:14" ht="11.25" customHeight="1" x14ac:dyDescent="0.3">
      <c r="G4820" s="470"/>
      <c r="H4820" s="470">
        <v>4813</v>
      </c>
      <c r="I4820" s="455">
        <f t="shared" ca="1" si="193"/>
        <v>196162212871060.22</v>
      </c>
      <c r="J4820" s="455">
        <f t="array" ref="J4820">IFERROR(INDEX('Retirement Calculator'!J:J,MATCH('Isaac 401k'!N4820,'Retirement Calculator'!A:A,0),0),0)</f>
        <v>0</v>
      </c>
      <c r="K4820" s="455">
        <f t="shared" ca="1" si="191"/>
        <v>817342553629.4176</v>
      </c>
      <c r="L4820" s="455">
        <f t="shared" ca="1" si="192"/>
        <v>196979555424689.63</v>
      </c>
      <c r="M4820" s="471">
        <f t="shared" si="194"/>
        <v>0.05</v>
      </c>
      <c r="N4820" s="475">
        <f t="shared" si="195"/>
        <v>197750</v>
      </c>
    </row>
    <row r="4821" spans="7:14" ht="11.25" customHeight="1" x14ac:dyDescent="0.3">
      <c r="G4821" s="470"/>
      <c r="H4821" s="470">
        <v>4814</v>
      </c>
      <c r="I4821" s="455">
        <f t="shared" ca="1" si="193"/>
        <v>196979555424689.63</v>
      </c>
      <c r="J4821" s="455">
        <f t="array" ref="J4821">IFERROR(INDEX('Retirement Calculator'!J:J,MATCH('Isaac 401k'!N4821,'Retirement Calculator'!A:A,0),0),0)</f>
        <v>0</v>
      </c>
      <c r="K4821" s="455">
        <f t="shared" ca="1" si="191"/>
        <v>820748147602.87341</v>
      </c>
      <c r="L4821" s="455">
        <f t="shared" ca="1" si="192"/>
        <v>197800303572292.5</v>
      </c>
      <c r="M4821" s="471">
        <f t="shared" si="194"/>
        <v>0.05</v>
      </c>
      <c r="N4821" s="475">
        <f t="shared" si="195"/>
        <v>197780</v>
      </c>
    </row>
    <row r="4822" spans="7:14" ht="11.25" customHeight="1" x14ac:dyDescent="0.3">
      <c r="G4822" s="470"/>
      <c r="H4822" s="470">
        <v>4815</v>
      </c>
      <c r="I4822" s="455">
        <f t="shared" ca="1" si="193"/>
        <v>197800303572292.5</v>
      </c>
      <c r="J4822" s="455">
        <f t="array" ref="J4822">IFERROR(INDEX('Retirement Calculator'!J:J,MATCH('Isaac 401k'!N4822,'Retirement Calculator'!A:A,0),0),0)</f>
        <v>0</v>
      </c>
      <c r="K4822" s="455">
        <f t="shared" ca="1" si="191"/>
        <v>824167931551.21875</v>
      </c>
      <c r="L4822" s="455">
        <f t="shared" ca="1" si="192"/>
        <v>198624471503843.72</v>
      </c>
      <c r="M4822" s="471">
        <f t="shared" si="194"/>
        <v>0.05</v>
      </c>
      <c r="N4822" s="475">
        <f t="shared" si="195"/>
        <v>197811</v>
      </c>
    </row>
    <row r="4823" spans="7:14" ht="11.25" customHeight="1" x14ac:dyDescent="0.3">
      <c r="G4823" s="470"/>
      <c r="H4823" s="470">
        <v>4816</v>
      </c>
      <c r="I4823" s="455">
        <f t="shared" ca="1" si="193"/>
        <v>198624471503843.72</v>
      </c>
      <c r="J4823" s="455">
        <f t="array" ref="J4823">IFERROR(INDEX('Retirement Calculator'!J:J,MATCH('Isaac 401k'!N4823,'Retirement Calculator'!A:A,0),0),0)</f>
        <v>0</v>
      </c>
      <c r="K4823" s="455">
        <f t="shared" ca="1" si="191"/>
        <v>827601964599.34888</v>
      </c>
      <c r="L4823" s="455">
        <f t="shared" ca="1" si="192"/>
        <v>199452073468443.06</v>
      </c>
      <c r="M4823" s="471">
        <f t="shared" si="194"/>
        <v>0.05</v>
      </c>
      <c r="N4823" s="475">
        <f t="shared" si="195"/>
        <v>197842</v>
      </c>
    </row>
    <row r="4824" spans="7:14" ht="11.25" customHeight="1" x14ac:dyDescent="0.3">
      <c r="G4824" s="470"/>
      <c r="H4824" s="470">
        <v>4817</v>
      </c>
      <c r="I4824" s="455">
        <f t="shared" ca="1" si="193"/>
        <v>199452073468443.06</v>
      </c>
      <c r="J4824" s="455">
        <f t="array" ref="J4824">IFERROR(INDEX('Retirement Calculator'!J:J,MATCH('Isaac 401k'!N4824,'Retirement Calculator'!A:A,0),0),0)</f>
        <v>0</v>
      </c>
      <c r="K4824" s="455">
        <f t="shared" ca="1" si="191"/>
        <v>831050306118.5127</v>
      </c>
      <c r="L4824" s="455">
        <f t="shared" ca="1" si="192"/>
        <v>200283123774561.56</v>
      </c>
      <c r="M4824" s="471">
        <f t="shared" si="194"/>
        <v>0.05</v>
      </c>
      <c r="N4824" s="475">
        <f t="shared" si="195"/>
        <v>197872</v>
      </c>
    </row>
    <row r="4825" spans="7:14" ht="11.25" customHeight="1" x14ac:dyDescent="0.3">
      <c r="G4825" s="470"/>
      <c r="H4825" s="470">
        <v>4818</v>
      </c>
      <c r="I4825" s="455">
        <f t="shared" ca="1" si="193"/>
        <v>200283123774561.56</v>
      </c>
      <c r="J4825" s="455">
        <f t="array" ref="J4825">IFERROR(INDEX('Retirement Calculator'!J:J,MATCH('Isaac 401k'!N4825,'Retirement Calculator'!A:A,0),0),0)</f>
        <v>0</v>
      </c>
      <c r="K4825" s="455">
        <f t="shared" ca="1" si="191"/>
        <v>834513015727.33984</v>
      </c>
      <c r="L4825" s="455">
        <f t="shared" ca="1" si="192"/>
        <v>201117636790288.91</v>
      </c>
      <c r="M4825" s="471">
        <f t="shared" si="194"/>
        <v>0.05</v>
      </c>
      <c r="N4825" s="475">
        <f t="shared" si="195"/>
        <v>197903</v>
      </c>
    </row>
    <row r="4826" spans="7:14" ht="11.25" customHeight="1" x14ac:dyDescent="0.3">
      <c r="G4826" s="470"/>
      <c r="H4826" s="470">
        <v>4819</v>
      </c>
      <c r="I4826" s="455">
        <f t="shared" ca="1" si="193"/>
        <v>201117636790288.91</v>
      </c>
      <c r="J4826" s="455">
        <f t="array" ref="J4826">IFERROR(INDEX('Retirement Calculator'!J:J,MATCH('Isaac 401k'!N4826,'Retirement Calculator'!A:A,0),0),0)</f>
        <v>0</v>
      </c>
      <c r="K4826" s="455">
        <f t="shared" ca="1" si="191"/>
        <v>837990153292.87048</v>
      </c>
      <c r="L4826" s="455">
        <f t="shared" ca="1" si="192"/>
        <v>201955626943581.78</v>
      </c>
      <c r="M4826" s="471">
        <f t="shared" si="194"/>
        <v>0.05</v>
      </c>
      <c r="N4826" s="475">
        <f t="shared" si="195"/>
        <v>197933</v>
      </c>
    </row>
    <row r="4827" spans="7:14" ht="11.25" customHeight="1" x14ac:dyDescent="0.3">
      <c r="G4827" s="470"/>
      <c r="H4827" s="470">
        <v>4820</v>
      </c>
      <c r="I4827" s="455">
        <f t="shared" ca="1" si="193"/>
        <v>201955626943581.78</v>
      </c>
      <c r="J4827" s="455">
        <f t="array" ref="J4827">IFERROR(INDEX('Retirement Calculator'!J:J,MATCH('Isaac 401k'!N4827,'Retirement Calculator'!A:A,0),0),0)</f>
        <v>0</v>
      </c>
      <c r="K4827" s="455">
        <f t="shared" ca="1" si="191"/>
        <v>841481778931.5907</v>
      </c>
      <c r="L4827" s="455">
        <f t="shared" ca="1" si="192"/>
        <v>202797108722513.38</v>
      </c>
      <c r="M4827" s="471">
        <f t="shared" si="194"/>
        <v>0.05</v>
      </c>
      <c r="N4827" s="475">
        <f t="shared" si="195"/>
        <v>197964</v>
      </c>
    </row>
    <row r="4828" spans="7:14" ht="11.25" customHeight="1" x14ac:dyDescent="0.3">
      <c r="G4828" s="470"/>
      <c r="H4828" s="470">
        <v>4821</v>
      </c>
      <c r="I4828" s="455">
        <f t="shared" ca="1" si="193"/>
        <v>202797108722513.38</v>
      </c>
      <c r="J4828" s="455">
        <f t="array" ref="J4828">IFERROR(INDEX('Retirement Calculator'!J:J,MATCH('Isaac 401k'!N4828,'Retirement Calculator'!A:A,0),0),0)</f>
        <v>0</v>
      </c>
      <c r="K4828" s="455">
        <f t="shared" ca="1" si="191"/>
        <v>844987953010.47241</v>
      </c>
      <c r="L4828" s="455">
        <f t="shared" ca="1" si="192"/>
        <v>203642096675523.84</v>
      </c>
      <c r="M4828" s="471">
        <f t="shared" si="194"/>
        <v>0.05</v>
      </c>
      <c r="N4828" s="475">
        <f t="shared" si="195"/>
        <v>197995</v>
      </c>
    </row>
    <row r="4829" spans="7:14" ht="11.25" customHeight="1" x14ac:dyDescent="0.3">
      <c r="G4829" s="470"/>
      <c r="H4829" s="470">
        <v>4822</v>
      </c>
      <c r="I4829" s="455">
        <f t="shared" ca="1" si="193"/>
        <v>203642096675523.84</v>
      </c>
      <c r="J4829" s="455">
        <f t="array" ref="J4829">IFERROR(INDEX('Retirement Calculator'!J:J,MATCH('Isaac 401k'!N4829,'Retirement Calculator'!A:A,0),0),0)</f>
        <v>0</v>
      </c>
      <c r="K4829" s="455">
        <f t="shared" ca="1" si="191"/>
        <v>848508736148.01599</v>
      </c>
      <c r="L4829" s="455">
        <f t="shared" ca="1" si="192"/>
        <v>204490605411671.88</v>
      </c>
      <c r="M4829" s="471">
        <f t="shared" si="194"/>
        <v>0.05</v>
      </c>
      <c r="N4829" s="475">
        <f t="shared" si="195"/>
        <v>198023</v>
      </c>
    </row>
    <row r="4830" spans="7:14" ht="11.25" customHeight="1" x14ac:dyDescent="0.3">
      <c r="G4830" s="470"/>
      <c r="H4830" s="470">
        <v>4823</v>
      </c>
      <c r="I4830" s="455">
        <f t="shared" ca="1" si="193"/>
        <v>204490605411671.88</v>
      </c>
      <c r="J4830" s="455">
        <f t="array" ref="J4830">IFERROR(INDEX('Retirement Calculator'!J:J,MATCH('Isaac 401k'!N4830,'Retirement Calculator'!A:A,0),0),0)</f>
        <v>0</v>
      </c>
      <c r="K4830" s="455">
        <f t="shared" ca="1" si="191"/>
        <v>852044189215.29944</v>
      </c>
      <c r="L4830" s="455">
        <f t="shared" ca="1" si="192"/>
        <v>205342649600887.19</v>
      </c>
      <c r="M4830" s="471">
        <f t="shared" si="194"/>
        <v>0.05</v>
      </c>
      <c r="N4830" s="475">
        <f t="shared" si="195"/>
        <v>198054</v>
      </c>
    </row>
    <row r="4831" spans="7:14" ht="11.25" customHeight="1" x14ac:dyDescent="0.3">
      <c r="G4831" s="470"/>
      <c r="H4831" s="470">
        <v>4824</v>
      </c>
      <c r="I4831" s="455">
        <f t="shared" ca="1" si="193"/>
        <v>205342649600887.19</v>
      </c>
      <c r="J4831" s="455">
        <f t="array" ref="J4831">IFERROR(INDEX('Retirement Calculator'!J:J,MATCH('Isaac 401k'!N4831,'Retirement Calculator'!A:A,0),0),0)</f>
        <v>0</v>
      </c>
      <c r="K4831" s="455">
        <f t="shared" ca="1" si="191"/>
        <v>855594373337.02991</v>
      </c>
      <c r="L4831" s="455">
        <f t="shared" ca="1" si="192"/>
        <v>206198243974224.22</v>
      </c>
      <c r="M4831" s="471">
        <f t="shared" si="194"/>
        <v>0.05</v>
      </c>
      <c r="N4831" s="475">
        <f t="shared" si="195"/>
        <v>198084</v>
      </c>
    </row>
    <row r="4832" spans="7:14" ht="11.25" customHeight="1" x14ac:dyDescent="0.3">
      <c r="G4832" s="470"/>
      <c r="H4832" s="470">
        <v>4825</v>
      </c>
      <c r="I4832" s="455">
        <f t="shared" ca="1" si="193"/>
        <v>206198243974224.22</v>
      </c>
      <c r="J4832" s="455">
        <f t="array" ref="J4832">IFERROR(INDEX('Retirement Calculator'!J:J,MATCH('Isaac 401k'!N4832,'Retirement Calculator'!A:A,0),0),0)</f>
        <v>0</v>
      </c>
      <c r="K4832" s="455">
        <f t="shared" ca="1" si="191"/>
        <v>859159349892.60095</v>
      </c>
      <c r="L4832" s="455">
        <f t="shared" ca="1" si="192"/>
        <v>207057403324116.81</v>
      </c>
      <c r="M4832" s="471">
        <f t="shared" si="194"/>
        <v>0.05</v>
      </c>
      <c r="N4832" s="475">
        <f t="shared" si="195"/>
        <v>198115</v>
      </c>
    </row>
    <row r="4833" spans="7:14" ht="11.25" customHeight="1" x14ac:dyDescent="0.3">
      <c r="G4833" s="470"/>
      <c r="H4833" s="470">
        <v>4826</v>
      </c>
      <c r="I4833" s="455">
        <f t="shared" ca="1" si="193"/>
        <v>207057403324116.81</v>
      </c>
      <c r="J4833" s="455">
        <f t="array" ref="J4833">IFERROR(INDEX('Retirement Calculator'!J:J,MATCH('Isaac 401k'!N4833,'Retirement Calculator'!A:A,0),0),0)</f>
        <v>0</v>
      </c>
      <c r="K4833" s="455">
        <f t="shared" ca="1" si="191"/>
        <v>862739180517.15332</v>
      </c>
      <c r="L4833" s="455">
        <f t="shared" ca="1" si="192"/>
        <v>207920142504633.97</v>
      </c>
      <c r="M4833" s="471">
        <f t="shared" si="194"/>
        <v>0.05</v>
      </c>
      <c r="N4833" s="475">
        <f t="shared" si="195"/>
        <v>198145</v>
      </c>
    </row>
    <row r="4834" spans="7:14" ht="11.25" customHeight="1" x14ac:dyDescent="0.3">
      <c r="G4834" s="470"/>
      <c r="H4834" s="470">
        <v>4827</v>
      </c>
      <c r="I4834" s="455">
        <f t="shared" ca="1" si="193"/>
        <v>207920142504633.97</v>
      </c>
      <c r="J4834" s="455">
        <f t="array" ref="J4834">IFERROR(INDEX('Retirement Calculator'!J:J,MATCH('Isaac 401k'!N4834,'Retirement Calculator'!A:A,0),0),0)</f>
        <v>0</v>
      </c>
      <c r="K4834" s="455">
        <f t="shared" ca="1" si="191"/>
        <v>866333927102.64148</v>
      </c>
      <c r="L4834" s="455">
        <f t="shared" ca="1" si="192"/>
        <v>208786476431736.63</v>
      </c>
      <c r="M4834" s="471">
        <f t="shared" si="194"/>
        <v>0.05</v>
      </c>
      <c r="N4834" s="475">
        <f t="shared" si="195"/>
        <v>198176</v>
      </c>
    </row>
    <row r="4835" spans="7:14" ht="11.25" customHeight="1" x14ac:dyDescent="0.3">
      <c r="G4835" s="470"/>
      <c r="H4835" s="470">
        <v>4828</v>
      </c>
      <c r="I4835" s="455">
        <f t="shared" ca="1" si="193"/>
        <v>208786476431736.63</v>
      </c>
      <c r="J4835" s="455">
        <f t="array" ref="J4835">IFERROR(INDEX('Retirement Calculator'!J:J,MATCH('Isaac 401k'!N4835,'Retirement Calculator'!A:A,0),0),0)</f>
        <v>0</v>
      </c>
      <c r="K4835" s="455">
        <f t="shared" ca="1" si="191"/>
        <v>869943651798.90259</v>
      </c>
      <c r="L4835" s="455">
        <f t="shared" ca="1" si="192"/>
        <v>209656420083535.53</v>
      </c>
      <c r="M4835" s="471">
        <f t="shared" si="194"/>
        <v>0.05</v>
      </c>
      <c r="N4835" s="475">
        <f t="shared" si="195"/>
        <v>198207</v>
      </c>
    </row>
    <row r="4836" spans="7:14" ht="11.25" customHeight="1" x14ac:dyDescent="0.3">
      <c r="G4836" s="470"/>
      <c r="H4836" s="470">
        <v>4829</v>
      </c>
      <c r="I4836" s="455">
        <f t="shared" ca="1" si="193"/>
        <v>209656420083535.53</v>
      </c>
      <c r="J4836" s="455">
        <f t="array" ref="J4836">IFERROR(INDEX('Retirement Calculator'!J:J,MATCH('Isaac 401k'!N4836,'Retirement Calculator'!A:A,0),0),0)</f>
        <v>0</v>
      </c>
      <c r="K4836" s="455">
        <f t="shared" ca="1" si="191"/>
        <v>873568417014.73132</v>
      </c>
      <c r="L4836" s="455">
        <f t="shared" ca="1" si="192"/>
        <v>210529988500550.25</v>
      </c>
      <c r="M4836" s="471">
        <f t="shared" si="194"/>
        <v>0.05</v>
      </c>
      <c r="N4836" s="475">
        <f t="shared" si="195"/>
        <v>198237</v>
      </c>
    </row>
    <row r="4837" spans="7:14" ht="11.25" customHeight="1" x14ac:dyDescent="0.3">
      <c r="G4837" s="470"/>
      <c r="H4837" s="470">
        <v>4830</v>
      </c>
      <c r="I4837" s="455">
        <f t="shared" ca="1" si="193"/>
        <v>210529988500550.25</v>
      </c>
      <c r="J4837" s="455">
        <f t="array" ref="J4837">IFERROR(INDEX('Retirement Calculator'!J:J,MATCH('Isaac 401k'!N4837,'Retirement Calculator'!A:A,0),0),0)</f>
        <v>0</v>
      </c>
      <c r="K4837" s="455">
        <f t="shared" ca="1" si="191"/>
        <v>877208285418.95935</v>
      </c>
      <c r="L4837" s="455">
        <f t="shared" ca="1" si="192"/>
        <v>211407196785969.22</v>
      </c>
      <c r="M4837" s="471">
        <f t="shared" si="194"/>
        <v>0.05</v>
      </c>
      <c r="N4837" s="475">
        <f t="shared" si="195"/>
        <v>198268</v>
      </c>
    </row>
    <row r="4838" spans="7:14" ht="11.25" customHeight="1" x14ac:dyDescent="0.3">
      <c r="G4838" s="470"/>
      <c r="H4838" s="470">
        <v>4831</v>
      </c>
      <c r="I4838" s="455">
        <f t="shared" ca="1" si="193"/>
        <v>211407196785969.22</v>
      </c>
      <c r="J4838" s="455">
        <f t="array" ref="J4838">IFERROR(INDEX('Retirement Calculator'!J:J,MATCH('Isaac 401k'!N4838,'Retirement Calculator'!A:A,0),0),0)</f>
        <v>0</v>
      </c>
      <c r="K4838" s="455">
        <f t="shared" ca="1" si="191"/>
        <v>880863319941.53845</v>
      </c>
      <c r="L4838" s="455">
        <f t="shared" ca="1" si="192"/>
        <v>212288060105910.75</v>
      </c>
      <c r="M4838" s="471">
        <f t="shared" si="194"/>
        <v>0.05</v>
      </c>
      <c r="N4838" s="475">
        <f t="shared" si="195"/>
        <v>198298</v>
      </c>
    </row>
    <row r="4839" spans="7:14" ht="11.25" customHeight="1" x14ac:dyDescent="0.3">
      <c r="G4839" s="470"/>
      <c r="H4839" s="470">
        <v>4832</v>
      </c>
      <c r="I4839" s="455">
        <f t="shared" ca="1" si="193"/>
        <v>212288060105910.75</v>
      </c>
      <c r="J4839" s="455">
        <f t="array" ref="J4839">IFERROR(INDEX('Retirement Calculator'!J:J,MATCH('Isaac 401k'!N4839,'Retirement Calculator'!A:A,0),0),0)</f>
        <v>0</v>
      </c>
      <c r="K4839" s="455">
        <f t="shared" ca="1" si="191"/>
        <v>884533583774.62805</v>
      </c>
      <c r="L4839" s="455">
        <f t="shared" ca="1" si="192"/>
        <v>213172593689685.38</v>
      </c>
      <c r="M4839" s="471">
        <f t="shared" si="194"/>
        <v>0.05</v>
      </c>
      <c r="N4839" s="475">
        <f t="shared" si="195"/>
        <v>198329</v>
      </c>
    </row>
    <row r="4840" spans="7:14" ht="11.25" customHeight="1" x14ac:dyDescent="0.3">
      <c r="G4840" s="470"/>
      <c r="H4840" s="470">
        <v>4833</v>
      </c>
      <c r="I4840" s="455">
        <f t="shared" ca="1" si="193"/>
        <v>213172593689685.38</v>
      </c>
      <c r="J4840" s="455">
        <f t="array" ref="J4840">IFERROR(INDEX('Retirement Calculator'!J:J,MATCH('Isaac 401k'!N4840,'Retirement Calculator'!A:A,0),0),0)</f>
        <v>0</v>
      </c>
      <c r="K4840" s="455">
        <f t="shared" ca="1" si="191"/>
        <v>888219140373.68909</v>
      </c>
      <c r="L4840" s="455">
        <f t="shared" ca="1" si="192"/>
        <v>214060812830059.06</v>
      </c>
      <c r="M4840" s="471">
        <f t="shared" si="194"/>
        <v>0.05</v>
      </c>
      <c r="N4840" s="475">
        <f t="shared" si="195"/>
        <v>198360</v>
      </c>
    </row>
    <row r="4841" spans="7:14" ht="11.25" customHeight="1" x14ac:dyDescent="0.3">
      <c r="G4841" s="470"/>
      <c r="H4841" s="470">
        <v>4834</v>
      </c>
      <c r="I4841" s="455">
        <f t="shared" ca="1" si="193"/>
        <v>214060812830059.06</v>
      </c>
      <c r="J4841" s="455">
        <f t="array" ref="J4841">IFERROR(INDEX('Retirement Calculator'!J:J,MATCH('Isaac 401k'!N4841,'Retirement Calculator'!A:A,0),0),0)</f>
        <v>0</v>
      </c>
      <c r="K4841" s="455">
        <f t="shared" ca="1" si="191"/>
        <v>891920053458.57947</v>
      </c>
      <c r="L4841" s="455">
        <f t="shared" ca="1" si="192"/>
        <v>214952732883517.66</v>
      </c>
      <c r="M4841" s="471">
        <f t="shared" si="194"/>
        <v>0.05</v>
      </c>
      <c r="N4841" s="475">
        <f t="shared" si="195"/>
        <v>198388</v>
      </c>
    </row>
    <row r="4842" spans="7:14" ht="11.25" customHeight="1" x14ac:dyDescent="0.3">
      <c r="G4842" s="470"/>
      <c r="H4842" s="470">
        <v>4835</v>
      </c>
      <c r="I4842" s="455">
        <f t="shared" ca="1" si="193"/>
        <v>214952732883517.66</v>
      </c>
      <c r="J4842" s="455">
        <f t="array" ref="J4842">IFERROR(INDEX('Retirement Calculator'!J:J,MATCH('Isaac 401k'!N4842,'Retirement Calculator'!A:A,0),0),0)</f>
        <v>0</v>
      </c>
      <c r="K4842" s="455">
        <f t="shared" ca="1" si="191"/>
        <v>895636387014.65686</v>
      </c>
      <c r="L4842" s="455">
        <f t="shared" ca="1" si="192"/>
        <v>215848369270532.31</v>
      </c>
      <c r="M4842" s="471">
        <f t="shared" si="194"/>
        <v>0.05</v>
      </c>
      <c r="N4842" s="475">
        <f t="shared" si="195"/>
        <v>198419</v>
      </c>
    </row>
    <row r="4843" spans="7:14" ht="11.25" customHeight="1" x14ac:dyDescent="0.3">
      <c r="G4843" s="470"/>
      <c r="H4843" s="470">
        <v>4836</v>
      </c>
      <c r="I4843" s="455">
        <f t="shared" ca="1" si="193"/>
        <v>215848369270532.31</v>
      </c>
      <c r="J4843" s="455">
        <f t="array" ref="J4843">IFERROR(INDEX('Retirement Calculator'!J:J,MATCH('Isaac 401k'!N4843,'Retirement Calculator'!A:A,0),0),0)</f>
        <v>0</v>
      </c>
      <c r="K4843" s="455">
        <f t="shared" ca="1" si="191"/>
        <v>899368205293.88464</v>
      </c>
      <c r="L4843" s="455">
        <f t="shared" ca="1" si="192"/>
        <v>216747737475826.19</v>
      </c>
      <c r="M4843" s="471">
        <f t="shared" si="194"/>
        <v>0.05</v>
      </c>
      <c r="N4843" s="475">
        <f t="shared" si="195"/>
        <v>198449</v>
      </c>
    </row>
    <row r="4844" spans="7:14" ht="11.25" customHeight="1" x14ac:dyDescent="0.3">
      <c r="G4844" s="470"/>
      <c r="H4844" s="470">
        <v>4837</v>
      </c>
      <c r="I4844" s="455">
        <f t="shared" ca="1" si="193"/>
        <v>216747737475826.19</v>
      </c>
      <c r="J4844" s="455">
        <f t="array" ref="J4844">IFERROR(INDEX('Retirement Calculator'!J:J,MATCH('Isaac 401k'!N4844,'Retirement Calculator'!A:A,0),0),0)</f>
        <v>0</v>
      </c>
      <c r="K4844" s="455">
        <f t="shared" ca="1" si="191"/>
        <v>903115572815.94238</v>
      </c>
      <c r="L4844" s="455">
        <f t="shared" ca="1" si="192"/>
        <v>217650853048642.13</v>
      </c>
      <c r="M4844" s="471">
        <f t="shared" si="194"/>
        <v>0.05</v>
      </c>
      <c r="N4844" s="475">
        <f t="shared" si="195"/>
        <v>198480</v>
      </c>
    </row>
    <row r="4845" spans="7:14" ht="11.25" customHeight="1" x14ac:dyDescent="0.3">
      <c r="G4845" s="470"/>
      <c r="H4845" s="470">
        <v>4838</v>
      </c>
      <c r="I4845" s="455">
        <f t="shared" ca="1" si="193"/>
        <v>217650853048642.13</v>
      </c>
      <c r="J4845" s="455">
        <f t="array" ref="J4845">IFERROR(INDEX('Retirement Calculator'!J:J,MATCH('Isaac 401k'!N4845,'Retirement Calculator'!A:A,0),0),0)</f>
        <v>0</v>
      </c>
      <c r="K4845" s="455">
        <f t="shared" ca="1" si="191"/>
        <v>906878554369.34216</v>
      </c>
      <c r="L4845" s="455">
        <f t="shared" ca="1" si="192"/>
        <v>218557731603011.47</v>
      </c>
      <c r="M4845" s="471">
        <f t="shared" si="194"/>
        <v>0.05</v>
      </c>
      <c r="N4845" s="475">
        <f t="shared" si="195"/>
        <v>198510</v>
      </c>
    </row>
    <row r="4846" spans="7:14" ht="11.25" customHeight="1" x14ac:dyDescent="0.3">
      <c r="G4846" s="470"/>
      <c r="H4846" s="470">
        <v>4839</v>
      </c>
      <c r="I4846" s="455">
        <f t="shared" ca="1" si="193"/>
        <v>218557731603011.47</v>
      </c>
      <c r="J4846" s="455">
        <f t="array" ref="J4846">IFERROR(INDEX('Retirement Calculator'!J:J,MATCH('Isaac 401k'!N4846,'Retirement Calculator'!A:A,0),0),0)</f>
        <v>0</v>
      </c>
      <c r="K4846" s="455">
        <f t="shared" ca="1" si="191"/>
        <v>910657215012.54773</v>
      </c>
      <c r="L4846" s="455">
        <f t="shared" ca="1" si="192"/>
        <v>219468388818024.03</v>
      </c>
      <c r="M4846" s="471">
        <f t="shared" si="194"/>
        <v>0.05</v>
      </c>
      <c r="N4846" s="475">
        <f t="shared" si="195"/>
        <v>198541</v>
      </c>
    </row>
    <row r="4847" spans="7:14" ht="11.25" customHeight="1" x14ac:dyDescent="0.3">
      <c r="G4847" s="470"/>
      <c r="H4847" s="470">
        <v>4840</v>
      </c>
      <c r="I4847" s="455">
        <f t="shared" ca="1" si="193"/>
        <v>219468388818024.03</v>
      </c>
      <c r="J4847" s="455">
        <f t="array" ref="J4847">IFERROR(INDEX('Retirement Calculator'!J:J,MATCH('Isaac 401k'!N4847,'Retirement Calculator'!A:A,0),0),0)</f>
        <v>0</v>
      </c>
      <c r="K4847" s="455">
        <f t="shared" ca="1" si="191"/>
        <v>914451620075.10022</v>
      </c>
      <c r="L4847" s="455">
        <f t="shared" ca="1" si="192"/>
        <v>220382840438099.13</v>
      </c>
      <c r="M4847" s="471">
        <f t="shared" si="194"/>
        <v>0.05</v>
      </c>
      <c r="N4847" s="475">
        <f t="shared" si="195"/>
        <v>198572</v>
      </c>
    </row>
    <row r="4848" spans="7:14" ht="11.25" customHeight="1" x14ac:dyDescent="0.3">
      <c r="G4848" s="470"/>
      <c r="H4848" s="470">
        <v>4841</v>
      </c>
      <c r="I4848" s="455">
        <f t="shared" ca="1" si="193"/>
        <v>220382840438099.13</v>
      </c>
      <c r="J4848" s="455">
        <f t="array" ref="J4848">IFERROR(INDEX('Retirement Calculator'!J:J,MATCH('Isaac 401k'!N4848,'Retirement Calculator'!A:A,0),0),0)</f>
        <v>0</v>
      </c>
      <c r="K4848" s="455">
        <f t="shared" ca="1" si="191"/>
        <v>918261835158.74634</v>
      </c>
      <c r="L4848" s="455">
        <f t="shared" ca="1" si="192"/>
        <v>221301102273257.88</v>
      </c>
      <c r="M4848" s="471">
        <f t="shared" si="194"/>
        <v>0.05</v>
      </c>
      <c r="N4848" s="475">
        <f t="shared" si="195"/>
        <v>198602</v>
      </c>
    </row>
    <row r="4849" spans="7:14" ht="11.25" customHeight="1" x14ac:dyDescent="0.3">
      <c r="G4849" s="470"/>
      <c r="H4849" s="470">
        <v>4842</v>
      </c>
      <c r="I4849" s="455">
        <f t="shared" ca="1" si="193"/>
        <v>221301102273257.88</v>
      </c>
      <c r="J4849" s="455">
        <f t="array" ref="J4849">IFERROR(INDEX('Retirement Calculator'!J:J,MATCH('Isaac 401k'!N4849,'Retirement Calculator'!A:A,0),0),0)</f>
        <v>0</v>
      </c>
      <c r="K4849" s="455">
        <f t="shared" ca="1" si="191"/>
        <v>922087926138.57446</v>
      </c>
      <c r="L4849" s="455">
        <f t="shared" ca="1" si="192"/>
        <v>222223190199396.44</v>
      </c>
      <c r="M4849" s="471">
        <f t="shared" si="194"/>
        <v>0.05</v>
      </c>
      <c r="N4849" s="475">
        <f t="shared" si="195"/>
        <v>198633</v>
      </c>
    </row>
    <row r="4850" spans="7:14" ht="11.25" customHeight="1" x14ac:dyDescent="0.3">
      <c r="G4850" s="470"/>
      <c r="H4850" s="470">
        <v>4843</v>
      </c>
      <c r="I4850" s="455">
        <f t="shared" ca="1" si="193"/>
        <v>222223190199396.44</v>
      </c>
      <c r="J4850" s="455">
        <f t="array" ref="J4850">IFERROR(INDEX('Retirement Calculator'!J:J,MATCH('Isaac 401k'!N4850,'Retirement Calculator'!A:A,0),0),0)</f>
        <v>0</v>
      </c>
      <c r="K4850" s="455">
        <f t="shared" ca="1" si="191"/>
        <v>925929959164.15173</v>
      </c>
      <c r="L4850" s="455">
        <f t="shared" ca="1" si="192"/>
        <v>223149120158560.59</v>
      </c>
      <c r="M4850" s="471">
        <f t="shared" si="194"/>
        <v>0.05</v>
      </c>
      <c r="N4850" s="475">
        <f t="shared" si="195"/>
        <v>198663</v>
      </c>
    </row>
    <row r="4851" spans="7:14" ht="11.25" customHeight="1" x14ac:dyDescent="0.3">
      <c r="G4851" s="470"/>
      <c r="H4851" s="470">
        <v>4844</v>
      </c>
      <c r="I4851" s="455">
        <f t="shared" ca="1" si="193"/>
        <v>223149120158560.59</v>
      </c>
      <c r="J4851" s="455">
        <f t="array" ref="J4851">IFERROR(INDEX('Retirement Calculator'!J:J,MATCH('Isaac 401k'!N4851,'Retirement Calculator'!A:A,0),0),0)</f>
        <v>0</v>
      </c>
      <c r="K4851" s="455">
        <f t="shared" ca="1" si="191"/>
        <v>929788000660.66895</v>
      </c>
      <c r="L4851" s="455">
        <f t="shared" ca="1" si="192"/>
        <v>224078908159221.25</v>
      </c>
      <c r="M4851" s="471">
        <f t="shared" si="194"/>
        <v>0.05</v>
      </c>
      <c r="N4851" s="475">
        <f t="shared" si="195"/>
        <v>198694</v>
      </c>
    </row>
    <row r="4852" spans="7:14" ht="11.25" customHeight="1" x14ac:dyDescent="0.3">
      <c r="G4852" s="470"/>
      <c r="H4852" s="470">
        <v>4845</v>
      </c>
      <c r="I4852" s="455">
        <f t="shared" ca="1" si="193"/>
        <v>224078908159221.25</v>
      </c>
      <c r="J4852" s="455">
        <f t="array" ref="J4852">IFERROR(INDEX('Retirement Calculator'!J:J,MATCH('Isaac 401k'!N4852,'Retirement Calculator'!A:A,0),0),0)</f>
        <v>0</v>
      </c>
      <c r="K4852" s="455">
        <f t="shared" ca="1" si="191"/>
        <v>933662117330.08862</v>
      </c>
      <c r="L4852" s="455">
        <f t="shared" ca="1" si="192"/>
        <v>225012570276551.34</v>
      </c>
      <c r="M4852" s="471">
        <f t="shared" si="194"/>
        <v>0.05</v>
      </c>
      <c r="N4852" s="475">
        <f t="shared" si="195"/>
        <v>198725</v>
      </c>
    </row>
    <row r="4853" spans="7:14" ht="11.25" customHeight="1" x14ac:dyDescent="0.3">
      <c r="G4853" s="470"/>
      <c r="H4853" s="470">
        <v>4846</v>
      </c>
      <c r="I4853" s="455">
        <f t="shared" ca="1" si="193"/>
        <v>225012570276551.34</v>
      </c>
      <c r="J4853" s="455">
        <f t="array" ref="J4853">IFERROR(INDEX('Retirement Calculator'!J:J,MATCH('Isaac 401k'!N4853,'Retirement Calculator'!A:A,0),0),0)</f>
        <v>0</v>
      </c>
      <c r="K4853" s="455">
        <f t="shared" ref="K4853:K5107" ca="1" si="196">IPMT(M4853/12,1,12,-I4853+J4853,,0)</f>
        <v>937552376152.29724</v>
      </c>
      <c r="L4853" s="455">
        <f t="shared" ref="L4853:L5107" ca="1" si="197">I4853-J4853+K4853</f>
        <v>225950122652703.66</v>
      </c>
      <c r="M4853" s="471">
        <f t="shared" si="194"/>
        <v>0.05</v>
      </c>
      <c r="N4853" s="475">
        <f t="shared" si="195"/>
        <v>198754</v>
      </c>
    </row>
    <row r="4854" spans="7:14" ht="11.25" customHeight="1" x14ac:dyDescent="0.3">
      <c r="G4854" s="470"/>
      <c r="H4854" s="470">
        <v>4847</v>
      </c>
      <c r="I4854" s="455">
        <f t="shared" ref="I4854:I5108" ca="1" si="198">L4853</f>
        <v>225950122652703.66</v>
      </c>
      <c r="J4854" s="455">
        <f t="array" ref="J4854">IFERROR(INDEX('Retirement Calculator'!J:J,MATCH('Isaac 401k'!N4854,'Retirement Calculator'!A:A,0),0),0)</f>
        <v>0</v>
      </c>
      <c r="K4854" s="455">
        <f t="shared" ca="1" si="196"/>
        <v>941458844386.26526</v>
      </c>
      <c r="L4854" s="455">
        <f t="shared" ca="1" si="197"/>
        <v>226891581497089.91</v>
      </c>
      <c r="M4854" s="471">
        <f t="shared" ref="M4854:M5108" si="199">M4853</f>
        <v>0.05</v>
      </c>
      <c r="N4854" s="475">
        <f t="shared" ref="N4854:N5108" si="200">EDATE(N4853,1)</f>
        <v>198785</v>
      </c>
    </row>
    <row r="4855" spans="7:14" ht="11.25" customHeight="1" x14ac:dyDescent="0.3">
      <c r="G4855" s="470"/>
      <c r="H4855" s="470">
        <v>4848</v>
      </c>
      <c r="I4855" s="455">
        <f t="shared" ca="1" si="198"/>
        <v>226891581497089.91</v>
      </c>
      <c r="J4855" s="455">
        <f t="array" ref="J4855">IFERROR(INDEX('Retirement Calculator'!J:J,MATCH('Isaac 401k'!N4855,'Retirement Calculator'!A:A,0),0),0)</f>
        <v>0</v>
      </c>
      <c r="K4855" s="455">
        <f t="shared" ca="1" si="196"/>
        <v>945381589571.20789</v>
      </c>
      <c r="L4855" s="455">
        <f t="shared" ca="1" si="197"/>
        <v>227836963086661.13</v>
      </c>
      <c r="M4855" s="471">
        <f t="shared" si="199"/>
        <v>0.05</v>
      </c>
      <c r="N4855" s="475">
        <f t="shared" si="200"/>
        <v>198815</v>
      </c>
    </row>
    <row r="4856" spans="7:14" ht="11.25" customHeight="1" x14ac:dyDescent="0.3">
      <c r="G4856" s="470"/>
      <c r="H4856" s="470">
        <v>4849</v>
      </c>
      <c r="I4856" s="455">
        <f t="shared" ca="1" si="198"/>
        <v>227836963086661.13</v>
      </c>
      <c r="J4856" s="455">
        <f t="array" ref="J4856">IFERROR(INDEX('Retirement Calculator'!J:J,MATCH('Isaac 401k'!N4856,'Retirement Calculator'!A:A,0),0),0)</f>
        <v>0</v>
      </c>
      <c r="K4856" s="455">
        <f t="shared" ca="1" si="196"/>
        <v>949320679527.75464</v>
      </c>
      <c r="L4856" s="455">
        <f t="shared" ca="1" si="197"/>
        <v>228786283766188.88</v>
      </c>
      <c r="M4856" s="471">
        <f t="shared" si="199"/>
        <v>0.05</v>
      </c>
      <c r="N4856" s="475">
        <f t="shared" si="200"/>
        <v>198846</v>
      </c>
    </row>
    <row r="4857" spans="7:14" ht="11.25" customHeight="1" x14ac:dyDescent="0.3">
      <c r="G4857" s="470"/>
      <c r="H4857" s="470">
        <v>4850</v>
      </c>
      <c r="I4857" s="455">
        <f t="shared" ca="1" si="198"/>
        <v>228786283766188.88</v>
      </c>
      <c r="J4857" s="455">
        <f t="array" ref="J4857">IFERROR(INDEX('Retirement Calculator'!J:J,MATCH('Isaac 401k'!N4857,'Retirement Calculator'!A:A,0),0),0)</f>
        <v>0</v>
      </c>
      <c r="K4857" s="455">
        <f t="shared" ca="1" si="196"/>
        <v>953276182359.12024</v>
      </c>
      <c r="L4857" s="455">
        <f t="shared" ca="1" si="197"/>
        <v>229739559948548</v>
      </c>
      <c r="M4857" s="471">
        <f t="shared" si="199"/>
        <v>0.05</v>
      </c>
      <c r="N4857" s="475">
        <f t="shared" si="200"/>
        <v>198876</v>
      </c>
    </row>
    <row r="4858" spans="7:14" ht="11.25" customHeight="1" x14ac:dyDescent="0.3">
      <c r="G4858" s="470"/>
      <c r="H4858" s="470">
        <v>4851</v>
      </c>
      <c r="I4858" s="455">
        <f t="shared" ca="1" si="198"/>
        <v>229739559948548</v>
      </c>
      <c r="J4858" s="455">
        <f t="array" ref="J4858">IFERROR(INDEX('Retirement Calculator'!J:J,MATCH('Isaac 401k'!N4858,'Retirement Calculator'!A:A,0),0),0)</f>
        <v>0</v>
      </c>
      <c r="K4858" s="455">
        <f t="shared" ca="1" si="196"/>
        <v>957248166452.28333</v>
      </c>
      <c r="L4858" s="455">
        <f t="shared" ca="1" si="197"/>
        <v>230696808115000.28</v>
      </c>
      <c r="M4858" s="471">
        <f t="shared" si="199"/>
        <v>0.05</v>
      </c>
      <c r="N4858" s="475">
        <f t="shared" si="200"/>
        <v>198907</v>
      </c>
    </row>
    <row r="4859" spans="7:14" ht="11.25" customHeight="1" x14ac:dyDescent="0.3">
      <c r="G4859" s="470"/>
      <c r="H4859" s="470">
        <v>4852</v>
      </c>
      <c r="I4859" s="455">
        <f t="shared" ca="1" si="198"/>
        <v>230696808115000.28</v>
      </c>
      <c r="J4859" s="455">
        <f t="array" ref="J4859">IFERROR(INDEX('Retirement Calculator'!J:J,MATCH('Isaac 401k'!N4859,'Retirement Calculator'!A:A,0),0),0)</f>
        <v>0</v>
      </c>
      <c r="K4859" s="455">
        <f t="shared" ca="1" si="196"/>
        <v>961236700479.16785</v>
      </c>
      <c r="L4859" s="455">
        <f t="shared" ca="1" si="197"/>
        <v>231658044815479.44</v>
      </c>
      <c r="M4859" s="471">
        <f t="shared" si="199"/>
        <v>0.05</v>
      </c>
      <c r="N4859" s="475">
        <f t="shared" si="200"/>
        <v>198938</v>
      </c>
    </row>
    <row r="4860" spans="7:14" ht="11.25" customHeight="1" x14ac:dyDescent="0.3">
      <c r="G4860" s="470"/>
      <c r="H4860" s="470">
        <v>4853</v>
      </c>
      <c r="I4860" s="455">
        <f t="shared" ca="1" si="198"/>
        <v>231658044815479.44</v>
      </c>
      <c r="J4860" s="455">
        <f t="array" ref="J4860">IFERROR(INDEX('Retirement Calculator'!J:J,MATCH('Isaac 401k'!N4860,'Retirement Calculator'!A:A,0),0),0)</f>
        <v>0</v>
      </c>
      <c r="K4860" s="455">
        <f t="shared" ca="1" si="196"/>
        <v>965241853397.83093</v>
      </c>
      <c r="L4860" s="455">
        <f t="shared" ca="1" si="197"/>
        <v>232623286668877.28</v>
      </c>
      <c r="M4860" s="471">
        <f t="shared" si="199"/>
        <v>0.05</v>
      </c>
      <c r="N4860" s="475">
        <f t="shared" si="200"/>
        <v>198968</v>
      </c>
    </row>
    <row r="4861" spans="7:14" ht="11.25" customHeight="1" x14ac:dyDescent="0.3">
      <c r="G4861" s="470"/>
      <c r="H4861" s="470">
        <v>4854</v>
      </c>
      <c r="I4861" s="455">
        <f t="shared" ca="1" si="198"/>
        <v>232623286668877.28</v>
      </c>
      <c r="J4861" s="455">
        <f t="array" ref="J4861">IFERROR(INDEX('Retirement Calculator'!J:J,MATCH('Isaac 401k'!N4861,'Retirement Calculator'!A:A,0),0),0)</f>
        <v>0</v>
      </c>
      <c r="K4861" s="455">
        <f t="shared" ca="1" si="196"/>
        <v>969263694453.65527</v>
      </c>
      <c r="L4861" s="455">
        <f t="shared" ca="1" si="197"/>
        <v>233592550363330.94</v>
      </c>
      <c r="M4861" s="471">
        <f t="shared" si="199"/>
        <v>0.05</v>
      </c>
      <c r="N4861" s="475">
        <f t="shared" si="200"/>
        <v>198999</v>
      </c>
    </row>
    <row r="4862" spans="7:14" ht="11.25" customHeight="1" x14ac:dyDescent="0.3">
      <c r="G4862" s="470"/>
      <c r="H4862" s="470">
        <v>4855</v>
      </c>
      <c r="I4862" s="455">
        <f t="shared" ca="1" si="198"/>
        <v>233592550363330.94</v>
      </c>
      <c r="J4862" s="455">
        <f t="array" ref="J4862">IFERROR(INDEX('Retirement Calculator'!J:J,MATCH('Isaac 401k'!N4862,'Retirement Calculator'!A:A,0),0),0)</f>
        <v>0</v>
      </c>
      <c r="K4862" s="455">
        <f t="shared" ca="1" si="196"/>
        <v>973302293180.54565</v>
      </c>
      <c r="L4862" s="455">
        <f t="shared" ca="1" si="197"/>
        <v>234565852656511.47</v>
      </c>
      <c r="M4862" s="471">
        <f t="shared" si="199"/>
        <v>0.05</v>
      </c>
      <c r="N4862" s="475">
        <f t="shared" si="200"/>
        <v>199029</v>
      </c>
    </row>
    <row r="4863" spans="7:14" ht="11.25" customHeight="1" x14ac:dyDescent="0.3">
      <c r="G4863" s="470"/>
      <c r="H4863" s="470">
        <v>4856</v>
      </c>
      <c r="I4863" s="455">
        <f t="shared" ca="1" si="198"/>
        <v>234565852656511.47</v>
      </c>
      <c r="J4863" s="455">
        <f t="array" ref="J4863">IFERROR(INDEX('Retirement Calculator'!J:J,MATCH('Isaac 401k'!N4863,'Retirement Calculator'!A:A,0),0),0)</f>
        <v>0</v>
      </c>
      <c r="K4863" s="455">
        <f t="shared" ca="1" si="196"/>
        <v>977357719402.1311</v>
      </c>
      <c r="L4863" s="455">
        <f t="shared" ca="1" si="197"/>
        <v>235543210375913.59</v>
      </c>
      <c r="M4863" s="471">
        <f t="shared" si="199"/>
        <v>0.05</v>
      </c>
      <c r="N4863" s="475">
        <f t="shared" si="200"/>
        <v>199060</v>
      </c>
    </row>
    <row r="4864" spans="7:14" ht="11.25" customHeight="1" x14ac:dyDescent="0.3">
      <c r="G4864" s="470"/>
      <c r="H4864" s="470">
        <v>4857</v>
      </c>
      <c r="I4864" s="455">
        <f t="shared" ca="1" si="198"/>
        <v>235543210375913.59</v>
      </c>
      <c r="J4864" s="455">
        <f t="array" ref="J4864">IFERROR(INDEX('Retirement Calculator'!J:J,MATCH('Isaac 401k'!N4864,'Retirement Calculator'!A:A,0),0),0)</f>
        <v>0</v>
      </c>
      <c r="K4864" s="455">
        <f t="shared" ca="1" si="196"/>
        <v>981430043232.97327</v>
      </c>
      <c r="L4864" s="455">
        <f t="shared" ca="1" si="197"/>
        <v>236524640419146.56</v>
      </c>
      <c r="M4864" s="471">
        <f t="shared" si="199"/>
        <v>0.05</v>
      </c>
      <c r="N4864" s="475">
        <f t="shared" si="200"/>
        <v>199091</v>
      </c>
    </row>
    <row r="4865" spans="7:14" ht="11.25" customHeight="1" x14ac:dyDescent="0.3">
      <c r="G4865" s="470"/>
      <c r="H4865" s="470">
        <v>4858</v>
      </c>
      <c r="I4865" s="455">
        <f t="shared" ca="1" si="198"/>
        <v>236524640419146.56</v>
      </c>
      <c r="J4865" s="455">
        <f t="array" ref="J4865">IFERROR(INDEX('Retirement Calculator'!J:J,MATCH('Isaac 401k'!N4865,'Retirement Calculator'!A:A,0),0),0)</f>
        <v>0</v>
      </c>
      <c r="K4865" s="455">
        <f t="shared" ca="1" si="196"/>
        <v>985519335079.77734</v>
      </c>
      <c r="L4865" s="455">
        <f t="shared" ca="1" si="197"/>
        <v>237510159754226.34</v>
      </c>
      <c r="M4865" s="471">
        <f t="shared" si="199"/>
        <v>0.05</v>
      </c>
      <c r="N4865" s="475">
        <f t="shared" si="200"/>
        <v>199119</v>
      </c>
    </row>
    <row r="4866" spans="7:14" ht="11.25" customHeight="1" x14ac:dyDescent="0.3">
      <c r="G4866" s="470"/>
      <c r="H4866" s="470">
        <v>4859</v>
      </c>
      <c r="I4866" s="455">
        <f t="shared" ca="1" si="198"/>
        <v>237510159754226.34</v>
      </c>
      <c r="J4866" s="455">
        <f t="array" ref="J4866">IFERROR(INDEX('Retirement Calculator'!J:J,MATCH('Isaac 401k'!N4866,'Retirement Calculator'!A:A,0),0),0)</f>
        <v>0</v>
      </c>
      <c r="K4866" s="455">
        <f t="shared" ca="1" si="196"/>
        <v>989625665642.60974</v>
      </c>
      <c r="L4866" s="455">
        <f t="shared" ca="1" si="197"/>
        <v>238499785419868.97</v>
      </c>
      <c r="M4866" s="471">
        <f t="shared" si="199"/>
        <v>0.05</v>
      </c>
      <c r="N4866" s="475">
        <f t="shared" si="200"/>
        <v>199150</v>
      </c>
    </row>
    <row r="4867" spans="7:14" ht="11.25" customHeight="1" x14ac:dyDescent="0.3">
      <c r="G4867" s="470"/>
      <c r="H4867" s="470">
        <v>4860</v>
      </c>
      <c r="I4867" s="455">
        <f t="shared" ca="1" si="198"/>
        <v>238499785419868.97</v>
      </c>
      <c r="J4867" s="455">
        <f t="array" ref="J4867">IFERROR(INDEX('Retirement Calculator'!J:J,MATCH('Isaac 401k'!N4867,'Retirement Calculator'!A:A,0),0),0)</f>
        <v>0</v>
      </c>
      <c r="K4867" s="455">
        <f t="shared" ca="1" si="196"/>
        <v>993749105916.12073</v>
      </c>
      <c r="L4867" s="455">
        <f t="shared" ca="1" si="197"/>
        <v>239493534525785.09</v>
      </c>
      <c r="M4867" s="471">
        <f t="shared" si="199"/>
        <v>0.05</v>
      </c>
      <c r="N4867" s="475">
        <f t="shared" si="200"/>
        <v>199180</v>
      </c>
    </row>
    <row r="4868" spans="7:14" ht="11.25" customHeight="1" x14ac:dyDescent="0.3">
      <c r="G4868" s="470"/>
      <c r="H4868" s="470">
        <v>4861</v>
      </c>
      <c r="I4868" s="455">
        <f t="shared" ca="1" si="198"/>
        <v>239493534525785.09</v>
      </c>
      <c r="J4868" s="455">
        <f t="array" ref="J4868">IFERROR(INDEX('Retirement Calculator'!J:J,MATCH('Isaac 401k'!N4868,'Retirement Calculator'!A:A,0),0),0)</f>
        <v>0</v>
      </c>
      <c r="K4868" s="455">
        <f t="shared" ca="1" si="196"/>
        <v>997889727190.77124</v>
      </c>
      <c r="L4868" s="455">
        <f t="shared" ca="1" si="197"/>
        <v>240491424252975.88</v>
      </c>
      <c r="M4868" s="471">
        <f t="shared" si="199"/>
        <v>0.05</v>
      </c>
      <c r="N4868" s="475">
        <f t="shared" si="200"/>
        <v>199211</v>
      </c>
    </row>
    <row r="4869" spans="7:14" ht="11.25" customHeight="1" x14ac:dyDescent="0.3">
      <c r="G4869" s="470"/>
      <c r="H4869" s="470">
        <v>4862</v>
      </c>
      <c r="I4869" s="455">
        <f t="shared" ca="1" si="198"/>
        <v>240491424252975.88</v>
      </c>
      <c r="J4869" s="455">
        <f t="array" ref="J4869">IFERROR(INDEX('Retirement Calculator'!J:J,MATCH('Isaac 401k'!N4869,'Retirement Calculator'!A:A,0),0),0)</f>
        <v>0</v>
      </c>
      <c r="K4869" s="455">
        <f t="shared" ca="1" si="196"/>
        <v>1002047601054.0662</v>
      </c>
      <c r="L4869" s="455">
        <f t="shared" ca="1" si="197"/>
        <v>241493471854029.94</v>
      </c>
      <c r="M4869" s="471">
        <f t="shared" si="199"/>
        <v>0.05</v>
      </c>
      <c r="N4869" s="475">
        <f t="shared" si="200"/>
        <v>199241</v>
      </c>
    </row>
    <row r="4870" spans="7:14" ht="11.25" customHeight="1" x14ac:dyDescent="0.3">
      <c r="G4870" s="470"/>
      <c r="H4870" s="470">
        <v>4863</v>
      </c>
      <c r="I4870" s="455">
        <f t="shared" ca="1" si="198"/>
        <v>241493471854029.94</v>
      </c>
      <c r="J4870" s="455">
        <f t="array" ref="J4870">IFERROR(INDEX('Retirement Calculator'!J:J,MATCH('Isaac 401k'!N4870,'Retirement Calculator'!A:A,0),0),0)</f>
        <v>0</v>
      </c>
      <c r="K4870" s="455">
        <f t="shared" ca="1" si="196"/>
        <v>1006222799391.7914</v>
      </c>
      <c r="L4870" s="455">
        <f t="shared" ca="1" si="197"/>
        <v>242499694653421.72</v>
      </c>
      <c r="M4870" s="471">
        <f t="shared" si="199"/>
        <v>0.05</v>
      </c>
      <c r="N4870" s="475">
        <f t="shared" si="200"/>
        <v>199272</v>
      </c>
    </row>
    <row r="4871" spans="7:14" ht="11.25" customHeight="1" x14ac:dyDescent="0.3">
      <c r="G4871" s="470"/>
      <c r="H4871" s="470">
        <v>4864</v>
      </c>
      <c r="I4871" s="455">
        <f t="shared" ca="1" si="198"/>
        <v>242499694653421.72</v>
      </c>
      <c r="J4871" s="455">
        <f t="array" ref="J4871">IFERROR(INDEX('Retirement Calculator'!J:J,MATCH('Isaac 401k'!N4871,'Retirement Calculator'!A:A,0),0),0)</f>
        <v>0</v>
      </c>
      <c r="K4871" s="455">
        <f t="shared" ca="1" si="196"/>
        <v>1010415394389.257</v>
      </c>
      <c r="L4871" s="455">
        <f t="shared" ca="1" si="197"/>
        <v>243510110047810.97</v>
      </c>
      <c r="M4871" s="471">
        <f t="shared" si="199"/>
        <v>0.05</v>
      </c>
      <c r="N4871" s="475">
        <f t="shared" si="200"/>
        <v>199303</v>
      </c>
    </row>
    <row r="4872" spans="7:14" ht="11.25" customHeight="1" x14ac:dyDescent="0.3">
      <c r="G4872" s="470"/>
      <c r="H4872" s="470">
        <v>4865</v>
      </c>
      <c r="I4872" s="455">
        <f t="shared" ca="1" si="198"/>
        <v>243510110047810.97</v>
      </c>
      <c r="J4872" s="455">
        <f t="array" ref="J4872">IFERROR(INDEX('Retirement Calculator'!J:J,MATCH('Isaac 401k'!N4872,'Retirement Calculator'!A:A,0),0),0)</f>
        <v>0</v>
      </c>
      <c r="K4872" s="455">
        <f t="shared" ca="1" si="196"/>
        <v>1014625458532.5457</v>
      </c>
      <c r="L4872" s="455">
        <f t="shared" ca="1" si="197"/>
        <v>244524735506343.5</v>
      </c>
      <c r="M4872" s="471">
        <f t="shared" si="199"/>
        <v>0.05</v>
      </c>
      <c r="N4872" s="475">
        <f t="shared" si="200"/>
        <v>199333</v>
      </c>
    </row>
    <row r="4873" spans="7:14" ht="11.25" customHeight="1" x14ac:dyDescent="0.3">
      <c r="G4873" s="470"/>
      <c r="H4873" s="470">
        <v>4866</v>
      </c>
      <c r="I4873" s="455">
        <f t="shared" ca="1" si="198"/>
        <v>244524735506343.5</v>
      </c>
      <c r="J4873" s="455">
        <f t="array" ref="J4873">IFERROR(INDEX('Retirement Calculator'!J:J,MATCH('Isaac 401k'!N4873,'Retirement Calculator'!A:A,0),0),0)</f>
        <v>0</v>
      </c>
      <c r="K4873" s="455">
        <f t="shared" ca="1" si="196"/>
        <v>1018853064609.7645</v>
      </c>
      <c r="L4873" s="455">
        <f t="shared" ca="1" si="197"/>
        <v>245543588570953.25</v>
      </c>
      <c r="M4873" s="471">
        <f t="shared" si="199"/>
        <v>0.05</v>
      </c>
      <c r="N4873" s="475">
        <f t="shared" si="200"/>
        <v>199364</v>
      </c>
    </row>
    <row r="4874" spans="7:14" ht="11.25" customHeight="1" x14ac:dyDescent="0.3">
      <c r="G4874" s="470"/>
      <c r="H4874" s="470">
        <v>4867</v>
      </c>
      <c r="I4874" s="455">
        <f t="shared" ca="1" si="198"/>
        <v>245543588570953.25</v>
      </c>
      <c r="J4874" s="455">
        <f t="array" ref="J4874">IFERROR(INDEX('Retirement Calculator'!J:J,MATCH('Isaac 401k'!N4874,'Retirement Calculator'!A:A,0),0),0)</f>
        <v>0</v>
      </c>
      <c r="K4874" s="455">
        <f t="shared" ca="1" si="196"/>
        <v>1023098285712.3052</v>
      </c>
      <c r="L4874" s="455">
        <f t="shared" ca="1" si="197"/>
        <v>246566686856665.56</v>
      </c>
      <c r="M4874" s="471">
        <f t="shared" si="199"/>
        <v>0.05</v>
      </c>
      <c r="N4874" s="475">
        <f t="shared" si="200"/>
        <v>199394</v>
      </c>
    </row>
    <row r="4875" spans="7:14" ht="11.25" customHeight="1" x14ac:dyDescent="0.3">
      <c r="G4875" s="470"/>
      <c r="H4875" s="470">
        <v>4868</v>
      </c>
      <c r="I4875" s="455">
        <f t="shared" ca="1" si="198"/>
        <v>246566686856665.56</v>
      </c>
      <c r="J4875" s="455">
        <f t="array" ref="J4875">IFERROR(INDEX('Retirement Calculator'!J:J,MATCH('Isaac 401k'!N4875,'Retirement Calculator'!A:A,0),0),0)</f>
        <v>0</v>
      </c>
      <c r="K4875" s="455">
        <f t="shared" ca="1" si="196"/>
        <v>1027361195236.1064</v>
      </c>
      <c r="L4875" s="455">
        <f t="shared" ca="1" si="197"/>
        <v>247594048051901.66</v>
      </c>
      <c r="M4875" s="471">
        <f t="shared" si="199"/>
        <v>0.05</v>
      </c>
      <c r="N4875" s="475">
        <f t="shared" si="200"/>
        <v>199425</v>
      </c>
    </row>
    <row r="4876" spans="7:14" ht="11.25" customHeight="1" x14ac:dyDescent="0.3">
      <c r="G4876" s="470"/>
      <c r="H4876" s="470">
        <v>4869</v>
      </c>
      <c r="I4876" s="455">
        <f t="shared" ca="1" si="198"/>
        <v>247594048051901.66</v>
      </c>
      <c r="J4876" s="455">
        <f t="array" ref="J4876">IFERROR(INDEX('Retirement Calculator'!J:J,MATCH('Isaac 401k'!N4876,'Retirement Calculator'!A:A,0),0),0)</f>
        <v>0</v>
      </c>
      <c r="K4876" s="455">
        <f t="shared" ca="1" si="196"/>
        <v>1031641866882.9235</v>
      </c>
      <c r="L4876" s="455">
        <f t="shared" ca="1" si="197"/>
        <v>248625689918784.59</v>
      </c>
      <c r="M4876" s="471">
        <f t="shared" si="199"/>
        <v>0.05</v>
      </c>
      <c r="N4876" s="475">
        <f t="shared" si="200"/>
        <v>199456</v>
      </c>
    </row>
    <row r="4877" spans="7:14" ht="11.25" customHeight="1" x14ac:dyDescent="0.3">
      <c r="G4877" s="470"/>
      <c r="H4877" s="470">
        <v>4870</v>
      </c>
      <c r="I4877" s="455">
        <f t="shared" ca="1" si="198"/>
        <v>248625689918784.59</v>
      </c>
      <c r="J4877" s="455">
        <f t="array" ref="J4877">IFERROR(INDEX('Retirement Calculator'!J:J,MATCH('Isaac 401k'!N4877,'Retirement Calculator'!A:A,0),0),0)</f>
        <v>0</v>
      </c>
      <c r="K4877" s="455">
        <f t="shared" ca="1" si="196"/>
        <v>1035940374661.6025</v>
      </c>
      <c r="L4877" s="455">
        <f t="shared" ca="1" si="197"/>
        <v>249661630293446.19</v>
      </c>
      <c r="M4877" s="471">
        <f t="shared" si="199"/>
        <v>0.05</v>
      </c>
      <c r="N4877" s="475">
        <f t="shared" si="200"/>
        <v>199484</v>
      </c>
    </row>
    <row r="4878" spans="7:14" ht="11.25" customHeight="1" x14ac:dyDescent="0.3">
      <c r="G4878" s="470"/>
      <c r="H4878" s="470">
        <v>4871</v>
      </c>
      <c r="I4878" s="455">
        <f t="shared" ca="1" si="198"/>
        <v>249661630293446.19</v>
      </c>
      <c r="J4878" s="455">
        <f t="array" ref="J4878">IFERROR(INDEX('Retirement Calculator'!J:J,MATCH('Isaac 401k'!N4878,'Retirement Calculator'!A:A,0),0),0)</f>
        <v>0</v>
      </c>
      <c r="K4878" s="455">
        <f t="shared" ca="1" si="196"/>
        <v>1040256792889.3591</v>
      </c>
      <c r="L4878" s="455">
        <f t="shared" ca="1" si="197"/>
        <v>250701887086335.53</v>
      </c>
      <c r="M4878" s="471">
        <f t="shared" si="199"/>
        <v>0.05</v>
      </c>
      <c r="N4878" s="475">
        <f t="shared" si="200"/>
        <v>199515</v>
      </c>
    </row>
    <row r="4879" spans="7:14" ht="11.25" customHeight="1" x14ac:dyDescent="0.3">
      <c r="G4879" s="470"/>
      <c r="H4879" s="470">
        <v>4872</v>
      </c>
      <c r="I4879" s="455">
        <f t="shared" ca="1" si="198"/>
        <v>250701887086335.53</v>
      </c>
      <c r="J4879" s="455">
        <f t="array" ref="J4879">IFERROR(INDEX('Retirement Calculator'!J:J,MATCH('Isaac 401k'!N4879,'Retirement Calculator'!A:A,0),0),0)</f>
        <v>0</v>
      </c>
      <c r="K4879" s="455">
        <f t="shared" ca="1" si="196"/>
        <v>1044591196193.0647</v>
      </c>
      <c r="L4879" s="455">
        <f t="shared" ca="1" si="197"/>
        <v>251746478282528.59</v>
      </c>
      <c r="M4879" s="471">
        <f t="shared" si="199"/>
        <v>0.05</v>
      </c>
      <c r="N4879" s="475">
        <f t="shared" si="200"/>
        <v>199545</v>
      </c>
    </row>
    <row r="4880" spans="7:14" ht="11.25" customHeight="1" x14ac:dyDescent="0.3">
      <c r="G4880" s="470"/>
      <c r="H4880" s="470">
        <v>4873</v>
      </c>
      <c r="I4880" s="455">
        <f t="shared" ca="1" si="198"/>
        <v>251746478282528.59</v>
      </c>
      <c r="J4880" s="455">
        <f t="array" ref="J4880">IFERROR(INDEX('Retirement Calculator'!J:J,MATCH('Isaac 401k'!N4880,'Retirement Calculator'!A:A,0),0),0)</f>
        <v>0</v>
      </c>
      <c r="K4880" s="455">
        <f t="shared" ca="1" si="196"/>
        <v>1048943659510.5359</v>
      </c>
      <c r="L4880" s="455">
        <f t="shared" ca="1" si="197"/>
        <v>252795421942039.13</v>
      </c>
      <c r="M4880" s="471">
        <f t="shared" si="199"/>
        <v>0.05</v>
      </c>
      <c r="N4880" s="475">
        <f t="shared" si="200"/>
        <v>199576</v>
      </c>
    </row>
    <row r="4881" spans="7:14" ht="11.25" customHeight="1" x14ac:dyDescent="0.3">
      <c r="G4881" s="470"/>
      <c r="H4881" s="470">
        <v>4874</v>
      </c>
      <c r="I4881" s="455">
        <f t="shared" ca="1" si="198"/>
        <v>252795421942039.13</v>
      </c>
      <c r="J4881" s="455">
        <f t="array" ref="J4881">IFERROR(INDEX('Retirement Calculator'!J:J,MATCH('Isaac 401k'!N4881,'Retirement Calculator'!A:A,0),0),0)</f>
        <v>0</v>
      </c>
      <c r="K4881" s="455">
        <f t="shared" ca="1" si="196"/>
        <v>1053314258091.8297</v>
      </c>
      <c r="L4881" s="455">
        <f t="shared" ca="1" si="197"/>
        <v>253848736200130.97</v>
      </c>
      <c r="M4881" s="471">
        <f t="shared" si="199"/>
        <v>0.05</v>
      </c>
      <c r="N4881" s="475">
        <f t="shared" si="200"/>
        <v>199606</v>
      </c>
    </row>
    <row r="4882" spans="7:14" ht="11.25" customHeight="1" x14ac:dyDescent="0.3">
      <c r="G4882" s="470"/>
      <c r="H4882" s="470">
        <v>4875</v>
      </c>
      <c r="I4882" s="455">
        <f t="shared" ca="1" si="198"/>
        <v>253848736200130.97</v>
      </c>
      <c r="J4882" s="455">
        <f t="array" ref="J4882">IFERROR(INDEX('Retirement Calculator'!J:J,MATCH('Isaac 401k'!N4882,'Retirement Calculator'!A:A,0),0),0)</f>
        <v>0</v>
      </c>
      <c r="K4882" s="455">
        <f t="shared" ca="1" si="196"/>
        <v>1057703067500.5457</v>
      </c>
      <c r="L4882" s="455">
        <f t="shared" ca="1" si="197"/>
        <v>254906439267631.5</v>
      </c>
      <c r="M4882" s="471">
        <f t="shared" si="199"/>
        <v>0.05</v>
      </c>
      <c r="N4882" s="475">
        <f t="shared" si="200"/>
        <v>199637</v>
      </c>
    </row>
    <row r="4883" spans="7:14" ht="11.25" customHeight="1" x14ac:dyDescent="0.3">
      <c r="G4883" s="470"/>
      <c r="H4883" s="470">
        <v>4876</v>
      </c>
      <c r="I4883" s="455">
        <f t="shared" ca="1" si="198"/>
        <v>254906439267631.5</v>
      </c>
      <c r="J4883" s="455">
        <f t="array" ref="J4883">IFERROR(INDEX('Retirement Calculator'!J:J,MATCH('Isaac 401k'!N4883,'Retirement Calculator'!A:A,0),0),0)</f>
        <v>0</v>
      </c>
      <c r="K4883" s="455">
        <f t="shared" ca="1" si="196"/>
        <v>1062110163615.1312</v>
      </c>
      <c r="L4883" s="455">
        <f t="shared" ca="1" si="197"/>
        <v>255968549431246.63</v>
      </c>
      <c r="M4883" s="471">
        <f t="shared" si="199"/>
        <v>0.05</v>
      </c>
      <c r="N4883" s="475">
        <f t="shared" si="200"/>
        <v>199668</v>
      </c>
    </row>
    <row r="4884" spans="7:14" ht="11.25" customHeight="1" x14ac:dyDescent="0.3">
      <c r="G4884" s="470"/>
      <c r="H4884" s="470">
        <v>4877</v>
      </c>
      <c r="I4884" s="455">
        <f t="shared" ca="1" si="198"/>
        <v>255968549431246.63</v>
      </c>
      <c r="J4884" s="455">
        <f t="array" ref="J4884">IFERROR(INDEX('Retirement Calculator'!J:J,MATCH('Isaac 401k'!N4884,'Retirement Calculator'!A:A,0),0),0)</f>
        <v>0</v>
      </c>
      <c r="K4884" s="455">
        <f t="shared" ca="1" si="196"/>
        <v>1066535622630.1941</v>
      </c>
      <c r="L4884" s="455">
        <f t="shared" ca="1" si="197"/>
        <v>257035085053876.81</v>
      </c>
      <c r="M4884" s="471">
        <f t="shared" si="199"/>
        <v>0.05</v>
      </c>
      <c r="N4884" s="475">
        <f t="shared" si="200"/>
        <v>199698</v>
      </c>
    </row>
    <row r="4885" spans="7:14" ht="11.25" customHeight="1" x14ac:dyDescent="0.3">
      <c r="G4885" s="470"/>
      <c r="H4885" s="470">
        <v>4878</v>
      </c>
      <c r="I4885" s="455">
        <f t="shared" ca="1" si="198"/>
        <v>257035085053876.81</v>
      </c>
      <c r="J4885" s="455">
        <f t="array" ref="J4885">IFERROR(INDEX('Retirement Calculator'!J:J,MATCH('Isaac 401k'!N4885,'Retirement Calculator'!A:A,0),0),0)</f>
        <v>0</v>
      </c>
      <c r="K4885" s="455">
        <f t="shared" ca="1" si="196"/>
        <v>1070979521057.8201</v>
      </c>
      <c r="L4885" s="455">
        <f t="shared" ca="1" si="197"/>
        <v>258106064574934.63</v>
      </c>
      <c r="M4885" s="471">
        <f t="shared" si="199"/>
        <v>0.05</v>
      </c>
      <c r="N4885" s="475">
        <f t="shared" si="200"/>
        <v>199729</v>
      </c>
    </row>
    <row r="4886" spans="7:14" ht="11.25" customHeight="1" x14ac:dyDescent="0.3">
      <c r="G4886" s="470"/>
      <c r="H4886" s="470">
        <v>4879</v>
      </c>
      <c r="I4886" s="455">
        <f t="shared" ca="1" si="198"/>
        <v>258106064574934.63</v>
      </c>
      <c r="J4886" s="455">
        <f t="array" ref="J4886">IFERROR(INDEX('Retirement Calculator'!J:J,MATCH('Isaac 401k'!N4886,'Retirement Calculator'!A:A,0),0),0)</f>
        <v>0</v>
      </c>
      <c r="K4886" s="455">
        <f t="shared" ca="1" si="196"/>
        <v>1075441935728.8943</v>
      </c>
      <c r="L4886" s="455">
        <f t="shared" ca="1" si="197"/>
        <v>259181506510663.53</v>
      </c>
      <c r="M4886" s="471">
        <f t="shared" si="199"/>
        <v>0.05</v>
      </c>
      <c r="N4886" s="475">
        <f t="shared" si="200"/>
        <v>199759</v>
      </c>
    </row>
    <row r="4887" spans="7:14" ht="11.25" customHeight="1" x14ac:dyDescent="0.3">
      <c r="G4887" s="470"/>
      <c r="H4887" s="470">
        <v>4880</v>
      </c>
      <c r="I4887" s="455">
        <f t="shared" ca="1" si="198"/>
        <v>259181506510663.53</v>
      </c>
      <c r="J4887" s="455">
        <f t="array" ref="J4887">IFERROR(INDEX('Retirement Calculator'!J:J,MATCH('Isaac 401k'!N4887,'Retirement Calculator'!A:A,0),0),0)</f>
        <v>0</v>
      </c>
      <c r="K4887" s="455">
        <f t="shared" ca="1" si="196"/>
        <v>1079922943794.4314</v>
      </c>
      <c r="L4887" s="455">
        <f t="shared" ca="1" si="197"/>
        <v>260261429454457.97</v>
      </c>
      <c r="M4887" s="471">
        <f t="shared" si="199"/>
        <v>0.05</v>
      </c>
      <c r="N4887" s="475">
        <f t="shared" si="200"/>
        <v>199790</v>
      </c>
    </row>
    <row r="4888" spans="7:14" ht="11.25" customHeight="1" x14ac:dyDescent="0.3">
      <c r="G4888" s="470"/>
      <c r="H4888" s="470">
        <v>4881</v>
      </c>
      <c r="I4888" s="455">
        <f t="shared" ca="1" si="198"/>
        <v>260261429454457.97</v>
      </c>
      <c r="J4888" s="455">
        <f t="array" ref="J4888">IFERROR(INDEX('Retirement Calculator'!J:J,MATCH('Isaac 401k'!N4888,'Retirement Calculator'!A:A,0),0),0)</f>
        <v>0</v>
      </c>
      <c r="K4888" s="455">
        <f t="shared" ca="1" si="196"/>
        <v>1084422622726.9082</v>
      </c>
      <c r="L4888" s="455">
        <f t="shared" ca="1" si="197"/>
        <v>261345852077184.88</v>
      </c>
      <c r="M4888" s="471">
        <f t="shared" si="199"/>
        <v>0.05</v>
      </c>
      <c r="N4888" s="475">
        <f t="shared" si="200"/>
        <v>199821</v>
      </c>
    </row>
    <row r="4889" spans="7:14" ht="11.25" customHeight="1" x14ac:dyDescent="0.3">
      <c r="G4889" s="470"/>
      <c r="H4889" s="470">
        <v>4882</v>
      </c>
      <c r="I4889" s="455">
        <f t="shared" ca="1" si="198"/>
        <v>261345852077184.88</v>
      </c>
      <c r="J4889" s="455">
        <f t="array" ref="J4889">IFERROR(INDEX('Retirement Calculator'!J:J,MATCH('Isaac 401k'!N4889,'Retirement Calculator'!A:A,0),0),0)</f>
        <v>0</v>
      </c>
      <c r="K4889" s="455">
        <f t="shared" ca="1" si="196"/>
        <v>1088941050321.6036</v>
      </c>
      <c r="L4889" s="455">
        <f t="shared" ca="1" si="197"/>
        <v>262434793127506.47</v>
      </c>
      <c r="M4889" s="471">
        <f t="shared" si="199"/>
        <v>0.05</v>
      </c>
      <c r="N4889" s="475">
        <f t="shared" si="200"/>
        <v>199849</v>
      </c>
    </row>
    <row r="4890" spans="7:14" ht="11.25" customHeight="1" x14ac:dyDescent="0.3">
      <c r="G4890" s="470"/>
      <c r="H4890" s="470">
        <v>4883</v>
      </c>
      <c r="I4890" s="455">
        <f t="shared" ca="1" si="198"/>
        <v>262434793127506.47</v>
      </c>
      <c r="J4890" s="455">
        <f t="array" ref="J4890">IFERROR(INDEX('Retirement Calculator'!J:J,MATCH('Isaac 401k'!N4890,'Retirement Calculator'!A:A,0),0),0)</f>
        <v>0</v>
      </c>
      <c r="K4890" s="455">
        <f t="shared" ca="1" si="196"/>
        <v>1093478304697.9437</v>
      </c>
      <c r="L4890" s="455">
        <f t="shared" ca="1" si="197"/>
        <v>263528271432204.41</v>
      </c>
      <c r="M4890" s="471">
        <f t="shared" si="199"/>
        <v>0.05</v>
      </c>
      <c r="N4890" s="475">
        <f t="shared" si="200"/>
        <v>199880</v>
      </c>
    </row>
    <row r="4891" spans="7:14" ht="11.25" customHeight="1" x14ac:dyDescent="0.3">
      <c r="G4891" s="470"/>
      <c r="H4891" s="470">
        <v>4884</v>
      </c>
      <c r="I4891" s="455">
        <f t="shared" ca="1" si="198"/>
        <v>263528271432204.41</v>
      </c>
      <c r="J4891" s="455">
        <f t="array" ref="J4891">IFERROR(INDEX('Retirement Calculator'!J:J,MATCH('Isaac 401k'!N4891,'Retirement Calculator'!A:A,0),0),0)</f>
        <v>0</v>
      </c>
      <c r="K4891" s="455">
        <f t="shared" ca="1" si="196"/>
        <v>1098034464300.8517</v>
      </c>
      <c r="L4891" s="455">
        <f t="shared" ca="1" si="197"/>
        <v>264626305896505.25</v>
      </c>
      <c r="M4891" s="471">
        <f t="shared" si="199"/>
        <v>0.05</v>
      </c>
      <c r="N4891" s="475">
        <f t="shared" si="200"/>
        <v>199910</v>
      </c>
    </row>
    <row r="4892" spans="7:14" ht="11.25" customHeight="1" x14ac:dyDescent="0.3">
      <c r="G4892" s="470"/>
      <c r="H4892" s="470">
        <v>4885</v>
      </c>
      <c r="I4892" s="455">
        <f t="shared" ca="1" si="198"/>
        <v>264626305896505.25</v>
      </c>
      <c r="J4892" s="455">
        <f t="array" ref="J4892">IFERROR(INDEX('Retirement Calculator'!J:J,MATCH('Isaac 401k'!N4892,'Retirement Calculator'!A:A,0),0),0)</f>
        <v>0</v>
      </c>
      <c r="K4892" s="455">
        <f t="shared" ca="1" si="196"/>
        <v>1102609607902.1052</v>
      </c>
      <c r="L4892" s="455">
        <f t="shared" ca="1" si="197"/>
        <v>265728915504407.34</v>
      </c>
      <c r="M4892" s="471">
        <f t="shared" si="199"/>
        <v>0.05</v>
      </c>
      <c r="N4892" s="475">
        <f t="shared" si="200"/>
        <v>199941</v>
      </c>
    </row>
    <row r="4893" spans="7:14" ht="11.25" customHeight="1" x14ac:dyDescent="0.3">
      <c r="G4893" s="470"/>
      <c r="H4893" s="470">
        <v>4886</v>
      </c>
      <c r="I4893" s="455">
        <f t="shared" ca="1" si="198"/>
        <v>265728915504407.34</v>
      </c>
      <c r="J4893" s="455">
        <f t="array" ref="J4893">IFERROR(INDEX('Retirement Calculator'!J:J,MATCH('Isaac 401k'!N4893,'Retirement Calculator'!A:A,0),0),0)</f>
        <v>0</v>
      </c>
      <c r="K4893" s="455">
        <f t="shared" ca="1" si="196"/>
        <v>1107203814601.697</v>
      </c>
      <c r="L4893" s="455">
        <f t="shared" ca="1" si="197"/>
        <v>266836119319009.03</v>
      </c>
      <c r="M4893" s="471">
        <f t="shared" si="199"/>
        <v>0.05</v>
      </c>
      <c r="N4893" s="475">
        <f t="shared" si="200"/>
        <v>199971</v>
      </c>
    </row>
    <row r="4894" spans="7:14" ht="11.25" customHeight="1" x14ac:dyDescent="0.3">
      <c r="G4894" s="470"/>
      <c r="H4894" s="470">
        <v>4887</v>
      </c>
      <c r="I4894" s="455">
        <f t="shared" ca="1" si="198"/>
        <v>266836119319009.03</v>
      </c>
      <c r="J4894" s="455">
        <f t="array" ref="J4894">IFERROR(INDEX('Retirement Calculator'!J:J,MATCH('Isaac 401k'!N4894,'Retirement Calculator'!A:A,0),0),0)</f>
        <v>0</v>
      </c>
      <c r="K4894" s="455">
        <f t="shared" ca="1" si="196"/>
        <v>1111817163829.2043</v>
      </c>
      <c r="L4894" s="455">
        <f t="shared" ca="1" si="197"/>
        <v>267947936482838.25</v>
      </c>
      <c r="M4894" s="471">
        <f t="shared" si="199"/>
        <v>0.05</v>
      </c>
      <c r="N4894" s="475">
        <f t="shared" si="200"/>
        <v>200002</v>
      </c>
    </row>
    <row r="4895" spans="7:14" ht="11.25" customHeight="1" x14ac:dyDescent="0.3">
      <c r="G4895" s="470"/>
      <c r="H4895" s="470">
        <v>4888</v>
      </c>
      <c r="I4895" s="455">
        <f t="shared" ca="1" si="198"/>
        <v>267947936482838.25</v>
      </c>
      <c r="J4895" s="455">
        <f t="array" ref="J4895">IFERROR(INDEX('Retirement Calculator'!J:J,MATCH('Isaac 401k'!N4895,'Retirement Calculator'!A:A,0),0),0)</f>
        <v>0</v>
      </c>
      <c r="K4895" s="455">
        <f t="shared" ca="1" si="196"/>
        <v>1116449735345.1592</v>
      </c>
      <c r="L4895" s="455">
        <f t="shared" ca="1" si="197"/>
        <v>269064386218183.41</v>
      </c>
      <c r="M4895" s="471">
        <f t="shared" si="199"/>
        <v>0.05</v>
      </c>
      <c r="N4895" s="475">
        <f t="shared" si="200"/>
        <v>200033</v>
      </c>
    </row>
    <row r="4896" spans="7:14" ht="11.25" customHeight="1" x14ac:dyDescent="0.3">
      <c r="G4896" s="470"/>
      <c r="H4896" s="470">
        <v>4889</v>
      </c>
      <c r="I4896" s="455">
        <f t="shared" ca="1" si="198"/>
        <v>269064386218183.41</v>
      </c>
      <c r="J4896" s="455">
        <f t="array" ref="J4896">IFERROR(INDEX('Retirement Calculator'!J:J,MATCH('Isaac 401k'!N4896,'Retirement Calculator'!A:A,0),0),0)</f>
        <v>0</v>
      </c>
      <c r="K4896" s="455">
        <f t="shared" ca="1" si="196"/>
        <v>1121101609242.4309</v>
      </c>
      <c r="L4896" s="455">
        <f t="shared" ca="1" si="197"/>
        <v>270185487827425.84</v>
      </c>
      <c r="M4896" s="471">
        <f t="shared" si="199"/>
        <v>0.05</v>
      </c>
      <c r="N4896" s="475">
        <f t="shared" si="200"/>
        <v>200063</v>
      </c>
    </row>
    <row r="4897" spans="7:14" ht="11.25" customHeight="1" x14ac:dyDescent="0.3">
      <c r="G4897" s="470"/>
      <c r="H4897" s="470">
        <v>4890</v>
      </c>
      <c r="I4897" s="455">
        <f t="shared" ca="1" si="198"/>
        <v>270185487827425.84</v>
      </c>
      <c r="J4897" s="455">
        <f t="array" ref="J4897">IFERROR(INDEX('Retirement Calculator'!J:J,MATCH('Isaac 401k'!N4897,'Retirement Calculator'!A:A,0),0),0)</f>
        <v>0</v>
      </c>
      <c r="K4897" s="455">
        <f t="shared" ca="1" si="196"/>
        <v>1125772865947.6079</v>
      </c>
      <c r="L4897" s="455">
        <f t="shared" ca="1" si="197"/>
        <v>271311260693373.44</v>
      </c>
      <c r="M4897" s="471">
        <f t="shared" si="199"/>
        <v>0.05</v>
      </c>
      <c r="N4897" s="475">
        <f t="shared" si="200"/>
        <v>200094</v>
      </c>
    </row>
    <row r="4898" spans="7:14" ht="11.25" customHeight="1" x14ac:dyDescent="0.3">
      <c r="G4898" s="470"/>
      <c r="H4898" s="470">
        <v>4891</v>
      </c>
      <c r="I4898" s="455">
        <f t="shared" ca="1" si="198"/>
        <v>271311260693373.44</v>
      </c>
      <c r="J4898" s="455">
        <f t="array" ref="J4898">IFERROR(INDEX('Retirement Calculator'!J:J,MATCH('Isaac 401k'!N4898,'Retirement Calculator'!A:A,0),0),0)</f>
        <v>0</v>
      </c>
      <c r="K4898" s="455">
        <f t="shared" ca="1" si="196"/>
        <v>1130463586222.3894</v>
      </c>
      <c r="L4898" s="455">
        <f t="shared" ca="1" si="197"/>
        <v>272441724279595.81</v>
      </c>
      <c r="M4898" s="471">
        <f t="shared" si="199"/>
        <v>0.05</v>
      </c>
      <c r="N4898" s="475">
        <f t="shared" si="200"/>
        <v>200124</v>
      </c>
    </row>
    <row r="4899" spans="7:14" ht="11.25" customHeight="1" x14ac:dyDescent="0.3">
      <c r="G4899" s="470"/>
      <c r="H4899" s="470">
        <v>4892</v>
      </c>
      <c r="I4899" s="455">
        <f t="shared" ca="1" si="198"/>
        <v>272441724279595.81</v>
      </c>
      <c r="J4899" s="455">
        <f t="array" ref="J4899">IFERROR(INDEX('Retirement Calculator'!J:J,MATCH('Isaac 401k'!N4899,'Retirement Calculator'!A:A,0),0),0)</f>
        <v>0</v>
      </c>
      <c r="K4899" s="455">
        <f t="shared" ca="1" si="196"/>
        <v>1135173851164.9827</v>
      </c>
      <c r="L4899" s="455">
        <f t="shared" ca="1" si="197"/>
        <v>273576898130760.78</v>
      </c>
      <c r="M4899" s="471">
        <f t="shared" si="199"/>
        <v>0.05</v>
      </c>
      <c r="N4899" s="475">
        <f t="shared" si="200"/>
        <v>200155</v>
      </c>
    </row>
    <row r="4900" spans="7:14" ht="11.25" customHeight="1" x14ac:dyDescent="0.3">
      <c r="G4900" s="470"/>
      <c r="H4900" s="470">
        <v>4893</v>
      </c>
      <c r="I4900" s="455">
        <f t="shared" ca="1" si="198"/>
        <v>273576898130760.78</v>
      </c>
      <c r="J4900" s="455">
        <f t="array" ref="J4900">IFERROR(INDEX('Retirement Calculator'!J:J,MATCH('Isaac 401k'!N4900,'Retirement Calculator'!A:A,0),0),0)</f>
        <v>0</v>
      </c>
      <c r="K4900" s="455">
        <f t="shared" ca="1" si="196"/>
        <v>1139903742211.5032</v>
      </c>
      <c r="L4900" s="455">
        <f t="shared" ca="1" si="197"/>
        <v>274716801872972.28</v>
      </c>
      <c r="M4900" s="471">
        <f t="shared" si="199"/>
        <v>0.05</v>
      </c>
      <c r="N4900" s="475">
        <f t="shared" si="200"/>
        <v>200186</v>
      </c>
    </row>
    <row r="4901" spans="7:14" ht="11.25" customHeight="1" x14ac:dyDescent="0.3">
      <c r="G4901" s="470"/>
      <c r="H4901" s="470">
        <v>4894</v>
      </c>
      <c r="I4901" s="455">
        <f t="shared" ca="1" si="198"/>
        <v>274716801872972.28</v>
      </c>
      <c r="J4901" s="455">
        <f t="array" ref="J4901">IFERROR(INDEX('Retirement Calculator'!J:J,MATCH('Isaac 401k'!N4901,'Retirement Calculator'!A:A,0),0),0)</f>
        <v>0</v>
      </c>
      <c r="K4901" s="455">
        <f t="shared" ca="1" si="196"/>
        <v>1144653341137.3845</v>
      </c>
      <c r="L4901" s="455">
        <f t="shared" ca="1" si="197"/>
        <v>275861455214109.66</v>
      </c>
      <c r="M4901" s="471">
        <f t="shared" si="199"/>
        <v>0.05</v>
      </c>
      <c r="N4901" s="475">
        <f t="shared" si="200"/>
        <v>200215</v>
      </c>
    </row>
    <row r="4902" spans="7:14" ht="11.25" customHeight="1" x14ac:dyDescent="0.3">
      <c r="G4902" s="470"/>
      <c r="H4902" s="470">
        <v>4895</v>
      </c>
      <c r="I4902" s="455">
        <f t="shared" ca="1" si="198"/>
        <v>275861455214109.66</v>
      </c>
      <c r="J4902" s="455">
        <f t="array" ref="J4902">IFERROR(INDEX('Retirement Calculator'!J:J,MATCH('Isaac 401k'!N4902,'Retirement Calculator'!A:A,0),0),0)</f>
        <v>0</v>
      </c>
      <c r="K4902" s="455">
        <f t="shared" ca="1" si="196"/>
        <v>1149422730058.7903</v>
      </c>
      <c r="L4902" s="455">
        <f t="shared" ca="1" si="197"/>
        <v>277010877944168.44</v>
      </c>
      <c r="M4902" s="471">
        <f t="shared" si="199"/>
        <v>0.05</v>
      </c>
      <c r="N4902" s="475">
        <f t="shared" si="200"/>
        <v>200246</v>
      </c>
    </row>
    <row r="4903" spans="7:14" ht="11.25" customHeight="1" x14ac:dyDescent="0.3">
      <c r="G4903" s="470"/>
      <c r="H4903" s="470">
        <v>4896</v>
      </c>
      <c r="I4903" s="455">
        <f t="shared" ca="1" si="198"/>
        <v>277010877944168.44</v>
      </c>
      <c r="J4903" s="455">
        <f t="array" ref="J4903">IFERROR(INDEX('Retirement Calculator'!J:J,MATCH('Isaac 401k'!N4903,'Retirement Calculator'!A:A,0),0),0)</f>
        <v>0</v>
      </c>
      <c r="K4903" s="455">
        <f t="shared" ca="1" si="196"/>
        <v>1154211991434.0352</v>
      </c>
      <c r="L4903" s="455">
        <f t="shared" ca="1" si="197"/>
        <v>278165089935602.47</v>
      </c>
      <c r="M4903" s="471">
        <f t="shared" si="199"/>
        <v>0.05</v>
      </c>
      <c r="N4903" s="475">
        <f t="shared" si="200"/>
        <v>200276</v>
      </c>
    </row>
    <row r="4904" spans="7:14" ht="11.25" customHeight="1" x14ac:dyDescent="0.3">
      <c r="G4904" s="470"/>
      <c r="H4904" s="470">
        <v>4897</v>
      </c>
      <c r="I4904" s="455">
        <f t="shared" ca="1" si="198"/>
        <v>278165089935602.47</v>
      </c>
      <c r="J4904" s="455">
        <f t="array" ref="J4904">IFERROR(INDEX('Retirement Calculator'!J:J,MATCH('Isaac 401k'!N4904,'Retirement Calculator'!A:A,0),0),0)</f>
        <v>0</v>
      </c>
      <c r="K4904" s="455">
        <f t="shared" ca="1" si="196"/>
        <v>1159021208065.0103</v>
      </c>
      <c r="L4904" s="455">
        <f t="shared" ca="1" si="197"/>
        <v>279324111143667.47</v>
      </c>
      <c r="M4904" s="471">
        <f t="shared" si="199"/>
        <v>0.05</v>
      </c>
      <c r="N4904" s="475">
        <f t="shared" si="200"/>
        <v>200307</v>
      </c>
    </row>
    <row r="4905" spans="7:14" ht="11.25" customHeight="1" x14ac:dyDescent="0.3">
      <c r="G4905" s="470"/>
      <c r="H4905" s="470">
        <v>4898</v>
      </c>
      <c r="I4905" s="455">
        <f t="shared" ca="1" si="198"/>
        <v>279324111143667.47</v>
      </c>
      <c r="J4905" s="455">
        <f t="array" ref="J4905">IFERROR(INDEX('Retirement Calculator'!J:J,MATCH('Isaac 401k'!N4905,'Retirement Calculator'!A:A,0),0),0)</f>
        <v>0</v>
      </c>
      <c r="K4905" s="455">
        <f t="shared" ca="1" si="196"/>
        <v>1163850463098.6143</v>
      </c>
      <c r="L4905" s="455">
        <f t="shared" ca="1" si="197"/>
        <v>280487961606766.09</v>
      </c>
      <c r="M4905" s="471">
        <f t="shared" si="199"/>
        <v>0.05</v>
      </c>
      <c r="N4905" s="475">
        <f t="shared" si="200"/>
        <v>200337</v>
      </c>
    </row>
    <row r="4906" spans="7:14" ht="11.25" customHeight="1" x14ac:dyDescent="0.3">
      <c r="G4906" s="470"/>
      <c r="H4906" s="470">
        <v>4899</v>
      </c>
      <c r="I4906" s="455">
        <f t="shared" ca="1" si="198"/>
        <v>280487961606766.09</v>
      </c>
      <c r="J4906" s="455">
        <f t="array" ref="J4906">IFERROR(INDEX('Retirement Calculator'!J:J,MATCH('Isaac 401k'!N4906,'Retirement Calculator'!A:A,0),0),0)</f>
        <v>0</v>
      </c>
      <c r="K4906" s="455">
        <f t="shared" ca="1" si="196"/>
        <v>1168699840028.1921</v>
      </c>
      <c r="L4906" s="455">
        <f t="shared" ca="1" si="197"/>
        <v>281656661446794.31</v>
      </c>
      <c r="M4906" s="471">
        <f t="shared" si="199"/>
        <v>0.05</v>
      </c>
      <c r="N4906" s="475">
        <f t="shared" si="200"/>
        <v>200368</v>
      </c>
    </row>
    <row r="4907" spans="7:14" ht="11.25" customHeight="1" x14ac:dyDescent="0.3">
      <c r="G4907" s="470"/>
      <c r="H4907" s="470">
        <v>4900</v>
      </c>
      <c r="I4907" s="455">
        <f t="shared" ca="1" si="198"/>
        <v>281656661446794.31</v>
      </c>
      <c r="J4907" s="455">
        <f t="array" ref="J4907">IFERROR(INDEX('Retirement Calculator'!J:J,MATCH('Isaac 401k'!N4907,'Retirement Calculator'!A:A,0),0),0)</f>
        <v>0</v>
      </c>
      <c r="K4907" s="455">
        <f t="shared" ca="1" si="196"/>
        <v>1173569422694.9763</v>
      </c>
      <c r="L4907" s="455">
        <f t="shared" ca="1" si="197"/>
        <v>282830230869489.31</v>
      </c>
      <c r="M4907" s="471">
        <f t="shared" si="199"/>
        <v>0.05</v>
      </c>
      <c r="N4907" s="475">
        <f t="shared" si="200"/>
        <v>200399</v>
      </c>
    </row>
    <row r="4908" spans="7:14" ht="11.25" customHeight="1" x14ac:dyDescent="0.3">
      <c r="G4908" s="470"/>
      <c r="H4908" s="470">
        <v>4901</v>
      </c>
      <c r="I4908" s="455">
        <f t="shared" ca="1" si="198"/>
        <v>282830230869489.31</v>
      </c>
      <c r="J4908" s="455">
        <f t="array" ref="J4908">IFERROR(INDEX('Retirement Calculator'!J:J,MATCH('Isaac 401k'!N4908,'Retirement Calculator'!A:A,0),0),0)</f>
        <v>0</v>
      </c>
      <c r="K4908" s="455">
        <f t="shared" ca="1" si="196"/>
        <v>1178459295289.5388</v>
      </c>
      <c r="L4908" s="455">
        <f t="shared" ca="1" si="197"/>
        <v>284008690164778.88</v>
      </c>
      <c r="M4908" s="471">
        <f t="shared" si="199"/>
        <v>0.05</v>
      </c>
      <c r="N4908" s="475">
        <f t="shared" si="200"/>
        <v>200429</v>
      </c>
    </row>
    <row r="4909" spans="7:14" ht="11.25" customHeight="1" x14ac:dyDescent="0.3">
      <c r="G4909" s="470"/>
      <c r="H4909" s="470">
        <v>4902</v>
      </c>
      <c r="I4909" s="455">
        <f t="shared" ca="1" si="198"/>
        <v>284008690164778.88</v>
      </c>
      <c r="J4909" s="455">
        <f t="array" ref="J4909">IFERROR(INDEX('Retirement Calculator'!J:J,MATCH('Isaac 401k'!N4909,'Retirement Calculator'!A:A,0),0),0)</f>
        <v>0</v>
      </c>
      <c r="K4909" s="455">
        <f t="shared" ca="1" si="196"/>
        <v>1183369542353.2454</v>
      </c>
      <c r="L4909" s="455">
        <f t="shared" ca="1" si="197"/>
        <v>285192059707132.13</v>
      </c>
      <c r="M4909" s="471">
        <f t="shared" si="199"/>
        <v>0.05</v>
      </c>
      <c r="N4909" s="475">
        <f t="shared" si="200"/>
        <v>200460</v>
      </c>
    </row>
    <row r="4910" spans="7:14" ht="11.25" customHeight="1" x14ac:dyDescent="0.3">
      <c r="G4910" s="470"/>
      <c r="H4910" s="470">
        <v>4903</v>
      </c>
      <c r="I4910" s="455">
        <f t="shared" ca="1" si="198"/>
        <v>285192059707132.13</v>
      </c>
      <c r="J4910" s="455">
        <f t="array" ref="J4910">IFERROR(INDEX('Retirement Calculator'!J:J,MATCH('Isaac 401k'!N4910,'Retirement Calculator'!A:A,0),0),0)</f>
        <v>0</v>
      </c>
      <c r="K4910" s="455">
        <f t="shared" ca="1" si="196"/>
        <v>1188300248779.7173</v>
      </c>
      <c r="L4910" s="455">
        <f t="shared" ca="1" si="197"/>
        <v>286380359955911.81</v>
      </c>
      <c r="M4910" s="471">
        <f t="shared" si="199"/>
        <v>0.05</v>
      </c>
      <c r="N4910" s="475">
        <f t="shared" si="200"/>
        <v>200490</v>
      </c>
    </row>
    <row r="4911" spans="7:14" ht="11.25" customHeight="1" x14ac:dyDescent="0.3">
      <c r="G4911" s="470"/>
      <c r="H4911" s="470">
        <v>4904</v>
      </c>
      <c r="I4911" s="455">
        <f t="shared" ca="1" si="198"/>
        <v>286380359955911.81</v>
      </c>
      <c r="J4911" s="455">
        <f t="array" ref="J4911">IFERROR(INDEX('Retirement Calculator'!J:J,MATCH('Isaac 401k'!N4911,'Retirement Calculator'!A:A,0),0),0)</f>
        <v>0</v>
      </c>
      <c r="K4911" s="455">
        <f t="shared" ca="1" si="196"/>
        <v>1193251499816.2993</v>
      </c>
      <c r="L4911" s="455">
        <f t="shared" ca="1" si="197"/>
        <v>287573611455728.13</v>
      </c>
      <c r="M4911" s="471">
        <f t="shared" si="199"/>
        <v>0.05</v>
      </c>
      <c r="N4911" s="475">
        <f t="shared" si="200"/>
        <v>200521</v>
      </c>
    </row>
    <row r="4912" spans="7:14" ht="11.25" customHeight="1" x14ac:dyDescent="0.3">
      <c r="G4912" s="470"/>
      <c r="H4912" s="470">
        <v>4905</v>
      </c>
      <c r="I4912" s="455">
        <f t="shared" ca="1" si="198"/>
        <v>287573611455728.13</v>
      </c>
      <c r="J4912" s="455">
        <f t="array" ref="J4912">IFERROR(INDEX('Retirement Calculator'!J:J,MATCH('Isaac 401k'!N4912,'Retirement Calculator'!A:A,0),0),0)</f>
        <v>0</v>
      </c>
      <c r="K4912" s="455">
        <f t="shared" ca="1" si="196"/>
        <v>1198223381065.5339</v>
      </c>
      <c r="L4912" s="455">
        <f t="shared" ca="1" si="197"/>
        <v>288771834836793.69</v>
      </c>
      <c r="M4912" s="471">
        <f t="shared" si="199"/>
        <v>0.05</v>
      </c>
      <c r="N4912" s="475">
        <f t="shared" si="200"/>
        <v>200552</v>
      </c>
    </row>
    <row r="4913" spans="7:14" ht="11.25" customHeight="1" x14ac:dyDescent="0.3">
      <c r="G4913" s="470"/>
      <c r="H4913" s="470">
        <v>4906</v>
      </c>
      <c r="I4913" s="455">
        <f t="shared" ca="1" si="198"/>
        <v>288771834836793.69</v>
      </c>
      <c r="J4913" s="455">
        <f t="array" ref="J4913">IFERROR(INDEX('Retirement Calculator'!J:J,MATCH('Isaac 401k'!N4913,'Retirement Calculator'!A:A,0),0),0)</f>
        <v>0</v>
      </c>
      <c r="K4913" s="455">
        <f t="shared" ca="1" si="196"/>
        <v>1203215978486.6404</v>
      </c>
      <c r="L4913" s="455">
        <f t="shared" ca="1" si="197"/>
        <v>289975050815280.31</v>
      </c>
      <c r="M4913" s="471">
        <f t="shared" si="199"/>
        <v>0.05</v>
      </c>
      <c r="N4913" s="475">
        <f t="shared" si="200"/>
        <v>200580</v>
      </c>
    </row>
    <row r="4914" spans="7:14" ht="11.25" customHeight="1" x14ac:dyDescent="0.3">
      <c r="G4914" s="470"/>
      <c r="H4914" s="470">
        <v>4907</v>
      </c>
      <c r="I4914" s="455">
        <f t="shared" ca="1" si="198"/>
        <v>289975050815280.31</v>
      </c>
      <c r="J4914" s="455">
        <f t="array" ref="J4914">IFERROR(INDEX('Retirement Calculator'!J:J,MATCH('Isaac 401k'!N4914,'Retirement Calculator'!A:A,0),0),0)</f>
        <v>0</v>
      </c>
      <c r="K4914" s="455">
        <f t="shared" ca="1" si="196"/>
        <v>1208229378397.0012</v>
      </c>
      <c r="L4914" s="455">
        <f t="shared" ca="1" si="197"/>
        <v>291183280193677.31</v>
      </c>
      <c r="M4914" s="471">
        <f t="shared" si="199"/>
        <v>0.05</v>
      </c>
      <c r="N4914" s="475">
        <f t="shared" si="200"/>
        <v>200611</v>
      </c>
    </row>
    <row r="4915" spans="7:14" ht="11.25" customHeight="1" x14ac:dyDescent="0.3">
      <c r="G4915" s="470"/>
      <c r="H4915" s="470">
        <v>4908</v>
      </c>
      <c r="I4915" s="455">
        <f t="shared" ca="1" si="198"/>
        <v>291183280193677.31</v>
      </c>
      <c r="J4915" s="455">
        <f t="array" ref="J4915">IFERROR(INDEX('Retirement Calculator'!J:J,MATCH('Isaac 401k'!N4915,'Retirement Calculator'!A:A,0),0),0)</f>
        <v>0</v>
      </c>
      <c r="K4915" s="455">
        <f t="shared" ca="1" si="196"/>
        <v>1213263667473.6555</v>
      </c>
      <c r="L4915" s="455">
        <f t="shared" ca="1" si="197"/>
        <v>292396543861150.94</v>
      </c>
      <c r="M4915" s="471">
        <f t="shared" si="199"/>
        <v>0.05</v>
      </c>
      <c r="N4915" s="475">
        <f t="shared" si="200"/>
        <v>200641</v>
      </c>
    </row>
    <row r="4916" spans="7:14" ht="11.25" customHeight="1" x14ac:dyDescent="0.3">
      <c r="G4916" s="470"/>
      <c r="H4916" s="470">
        <v>4909</v>
      </c>
      <c r="I4916" s="455">
        <f t="shared" ca="1" si="198"/>
        <v>292396543861150.94</v>
      </c>
      <c r="J4916" s="455">
        <f t="array" ref="J4916">IFERROR(INDEX('Retirement Calculator'!J:J,MATCH('Isaac 401k'!N4916,'Retirement Calculator'!A:A,0),0),0)</f>
        <v>0</v>
      </c>
      <c r="K4916" s="455">
        <f t="shared" ca="1" si="196"/>
        <v>1218318932754.7957</v>
      </c>
      <c r="L4916" s="455">
        <f t="shared" ca="1" si="197"/>
        <v>293614862793905.75</v>
      </c>
      <c r="M4916" s="471">
        <f t="shared" si="199"/>
        <v>0.05</v>
      </c>
      <c r="N4916" s="475">
        <f t="shared" si="200"/>
        <v>200672</v>
      </c>
    </row>
    <row r="4917" spans="7:14" ht="11.25" customHeight="1" x14ac:dyDescent="0.3">
      <c r="G4917" s="470"/>
      <c r="H4917" s="470">
        <v>4910</v>
      </c>
      <c r="I4917" s="455">
        <f t="shared" ca="1" si="198"/>
        <v>293614862793905.75</v>
      </c>
      <c r="J4917" s="455">
        <f t="array" ref="J4917">IFERROR(INDEX('Retirement Calculator'!J:J,MATCH('Isaac 401k'!N4917,'Retirement Calculator'!A:A,0),0),0)</f>
        <v>0</v>
      </c>
      <c r="K4917" s="455">
        <f t="shared" ca="1" si="196"/>
        <v>1223395261641.2739</v>
      </c>
      <c r="L4917" s="455">
        <f t="shared" ca="1" si="197"/>
        <v>294838258055547</v>
      </c>
      <c r="M4917" s="471">
        <f t="shared" si="199"/>
        <v>0.05</v>
      </c>
      <c r="N4917" s="475">
        <f t="shared" si="200"/>
        <v>200702</v>
      </c>
    </row>
    <row r="4918" spans="7:14" ht="11.25" customHeight="1" x14ac:dyDescent="0.3">
      <c r="G4918" s="470"/>
      <c r="H4918" s="470">
        <v>4911</v>
      </c>
      <c r="I4918" s="455">
        <f t="shared" ca="1" si="198"/>
        <v>294838258055547</v>
      </c>
      <c r="J4918" s="455">
        <f t="array" ref="J4918">IFERROR(INDEX('Retirement Calculator'!J:J,MATCH('Isaac 401k'!N4918,'Retirement Calculator'!A:A,0),0),0)</f>
        <v>0</v>
      </c>
      <c r="K4918" s="455">
        <f t="shared" ca="1" si="196"/>
        <v>1228492741898.1125</v>
      </c>
      <c r="L4918" s="455">
        <f t="shared" ca="1" si="197"/>
        <v>296066750797445.13</v>
      </c>
      <c r="M4918" s="471">
        <f t="shared" si="199"/>
        <v>0.05</v>
      </c>
      <c r="N4918" s="475">
        <f t="shared" si="200"/>
        <v>200733</v>
      </c>
    </row>
    <row r="4919" spans="7:14" ht="11.25" customHeight="1" x14ac:dyDescent="0.3">
      <c r="G4919" s="470"/>
      <c r="H4919" s="470">
        <v>4912</v>
      </c>
      <c r="I4919" s="455">
        <f t="shared" ca="1" si="198"/>
        <v>296066750797445.13</v>
      </c>
      <c r="J4919" s="455">
        <f t="array" ref="J4919">IFERROR(INDEX('Retirement Calculator'!J:J,MATCH('Isaac 401k'!N4919,'Retirement Calculator'!A:A,0),0),0)</f>
        <v>0</v>
      </c>
      <c r="K4919" s="455">
        <f t="shared" ca="1" si="196"/>
        <v>1233611461656.0212</v>
      </c>
      <c r="L4919" s="455">
        <f t="shared" ca="1" si="197"/>
        <v>297300362259101.13</v>
      </c>
      <c r="M4919" s="471">
        <f t="shared" si="199"/>
        <v>0.05</v>
      </c>
      <c r="N4919" s="475">
        <f t="shared" si="200"/>
        <v>200764</v>
      </c>
    </row>
    <row r="4920" spans="7:14" ht="11.25" customHeight="1" x14ac:dyDescent="0.3">
      <c r="G4920" s="470"/>
      <c r="H4920" s="470">
        <v>4913</v>
      </c>
      <c r="I4920" s="455">
        <f t="shared" ca="1" si="198"/>
        <v>297300362259101.13</v>
      </c>
      <c r="J4920" s="455">
        <f t="array" ref="J4920">IFERROR(INDEX('Retirement Calculator'!J:J,MATCH('Isaac 401k'!N4920,'Retirement Calculator'!A:A,0),0),0)</f>
        <v>0</v>
      </c>
      <c r="K4920" s="455">
        <f t="shared" ca="1" si="196"/>
        <v>1238751509412.9214</v>
      </c>
      <c r="L4920" s="455">
        <f t="shared" ca="1" si="197"/>
        <v>298539113768514.06</v>
      </c>
      <c r="M4920" s="471">
        <f t="shared" si="199"/>
        <v>0.05</v>
      </c>
      <c r="N4920" s="475">
        <f t="shared" si="200"/>
        <v>200794</v>
      </c>
    </row>
    <row r="4921" spans="7:14" ht="11.25" customHeight="1" x14ac:dyDescent="0.3">
      <c r="G4921" s="470"/>
      <c r="H4921" s="470">
        <v>4914</v>
      </c>
      <c r="I4921" s="455">
        <f t="shared" ca="1" si="198"/>
        <v>298539113768514.06</v>
      </c>
      <c r="J4921" s="455">
        <f t="array" ref="J4921">IFERROR(INDEX('Retirement Calculator'!J:J,MATCH('Isaac 401k'!N4921,'Retirement Calculator'!A:A,0),0),0)</f>
        <v>0</v>
      </c>
      <c r="K4921" s="455">
        <f t="shared" ca="1" si="196"/>
        <v>1243912974035.4753</v>
      </c>
      <c r="L4921" s="455">
        <f t="shared" ca="1" si="197"/>
        <v>299783026742549.56</v>
      </c>
      <c r="M4921" s="471">
        <f t="shared" si="199"/>
        <v>0.05</v>
      </c>
      <c r="N4921" s="475">
        <f t="shared" si="200"/>
        <v>200825</v>
      </c>
    </row>
    <row r="4922" spans="7:14" ht="11.25" customHeight="1" x14ac:dyDescent="0.3">
      <c r="G4922" s="470"/>
      <c r="H4922" s="470">
        <v>4915</v>
      </c>
      <c r="I4922" s="455">
        <f t="shared" ca="1" si="198"/>
        <v>299783026742549.56</v>
      </c>
      <c r="J4922" s="455">
        <f t="array" ref="J4922">IFERROR(INDEX('Retirement Calculator'!J:J,MATCH('Isaac 401k'!N4922,'Retirement Calculator'!A:A,0),0),0)</f>
        <v>0</v>
      </c>
      <c r="K4922" s="455">
        <f t="shared" ca="1" si="196"/>
        <v>1249095944760.623</v>
      </c>
      <c r="L4922" s="455">
        <f t="shared" ca="1" si="197"/>
        <v>301032122687310.19</v>
      </c>
      <c r="M4922" s="471">
        <f t="shared" si="199"/>
        <v>0.05</v>
      </c>
      <c r="N4922" s="475">
        <f t="shared" si="200"/>
        <v>200855</v>
      </c>
    </row>
    <row r="4923" spans="7:14" ht="11.25" customHeight="1" x14ac:dyDescent="0.3">
      <c r="G4923" s="470"/>
      <c r="H4923" s="470">
        <v>4916</v>
      </c>
      <c r="I4923" s="455">
        <f t="shared" ca="1" si="198"/>
        <v>301032122687310.19</v>
      </c>
      <c r="J4923" s="455">
        <f t="array" ref="J4923">IFERROR(INDEX('Retirement Calculator'!J:J,MATCH('Isaac 401k'!N4923,'Retirement Calculator'!A:A,0),0),0)</f>
        <v>0</v>
      </c>
      <c r="K4923" s="455">
        <f t="shared" ca="1" si="196"/>
        <v>1254300511197.1257</v>
      </c>
      <c r="L4923" s="455">
        <f t="shared" ca="1" si="197"/>
        <v>302286423198507.31</v>
      </c>
      <c r="M4923" s="471">
        <f t="shared" si="199"/>
        <v>0.05</v>
      </c>
      <c r="N4923" s="475">
        <f t="shared" si="200"/>
        <v>200886</v>
      </c>
    </row>
    <row r="4924" spans="7:14" ht="11.25" customHeight="1" x14ac:dyDescent="0.3">
      <c r="G4924" s="470"/>
      <c r="H4924" s="470">
        <v>4917</v>
      </c>
      <c r="I4924" s="455">
        <f t="shared" ca="1" si="198"/>
        <v>302286423198507.31</v>
      </c>
      <c r="J4924" s="455">
        <f t="array" ref="J4924">IFERROR(INDEX('Retirement Calculator'!J:J,MATCH('Isaac 401k'!N4924,'Retirement Calculator'!A:A,0),0),0)</f>
        <v>0</v>
      </c>
      <c r="K4924" s="455">
        <f t="shared" ca="1" si="196"/>
        <v>1259526763327.1138</v>
      </c>
      <c r="L4924" s="455">
        <f t="shared" ca="1" si="197"/>
        <v>303545949961834.44</v>
      </c>
      <c r="M4924" s="471">
        <f t="shared" si="199"/>
        <v>0.05</v>
      </c>
      <c r="N4924" s="475">
        <f t="shared" si="200"/>
        <v>200917</v>
      </c>
    </row>
    <row r="4925" spans="7:14" ht="11.25" customHeight="1" x14ac:dyDescent="0.3">
      <c r="G4925" s="470"/>
      <c r="H4925" s="470">
        <v>4918</v>
      </c>
      <c r="I4925" s="455">
        <f t="shared" ca="1" si="198"/>
        <v>303545949961834.44</v>
      </c>
      <c r="J4925" s="455">
        <f t="array" ref="J4925">IFERROR(INDEX('Retirement Calculator'!J:J,MATCH('Isaac 401k'!N4925,'Retirement Calculator'!A:A,0),0),0)</f>
        <v>0</v>
      </c>
      <c r="K4925" s="455">
        <f t="shared" ca="1" si="196"/>
        <v>1264774791507.6436</v>
      </c>
      <c r="L4925" s="455">
        <f t="shared" ca="1" si="197"/>
        <v>304810724753342.06</v>
      </c>
      <c r="M4925" s="471">
        <f t="shared" si="199"/>
        <v>0.05</v>
      </c>
      <c r="N4925" s="475">
        <f t="shared" si="200"/>
        <v>200945</v>
      </c>
    </row>
    <row r="4926" spans="7:14" ht="11.25" customHeight="1" x14ac:dyDescent="0.3">
      <c r="G4926" s="470"/>
      <c r="H4926" s="470">
        <v>4919</v>
      </c>
      <c r="I4926" s="455">
        <f t="shared" ca="1" si="198"/>
        <v>304810724753342.06</v>
      </c>
      <c r="J4926" s="455">
        <f t="array" ref="J4926">IFERROR(INDEX('Retirement Calculator'!J:J,MATCH('Isaac 401k'!N4926,'Retirement Calculator'!A:A,0),0),0)</f>
        <v>0</v>
      </c>
      <c r="K4926" s="455">
        <f t="shared" ca="1" si="196"/>
        <v>1270044686472.2585</v>
      </c>
      <c r="L4926" s="455">
        <f t="shared" ca="1" si="197"/>
        <v>306080769439814.31</v>
      </c>
      <c r="M4926" s="471">
        <f t="shared" si="199"/>
        <v>0.05</v>
      </c>
      <c r="N4926" s="475">
        <f t="shared" si="200"/>
        <v>200976</v>
      </c>
    </row>
    <row r="4927" spans="7:14" ht="11.25" customHeight="1" x14ac:dyDescent="0.3">
      <c r="G4927" s="470"/>
      <c r="H4927" s="470">
        <v>4920</v>
      </c>
      <c r="I4927" s="455">
        <f t="shared" ca="1" si="198"/>
        <v>306080769439814.31</v>
      </c>
      <c r="J4927" s="455">
        <f t="array" ref="J4927">IFERROR(INDEX('Retirement Calculator'!J:J,MATCH('Isaac 401k'!N4927,'Retirement Calculator'!A:A,0),0),0)</f>
        <v>0</v>
      </c>
      <c r="K4927" s="455">
        <f t="shared" ca="1" si="196"/>
        <v>1275336539332.5596</v>
      </c>
      <c r="L4927" s="455">
        <f t="shared" ca="1" si="197"/>
        <v>307356105979146.88</v>
      </c>
      <c r="M4927" s="471">
        <f t="shared" si="199"/>
        <v>0.05</v>
      </c>
      <c r="N4927" s="475">
        <f t="shared" si="200"/>
        <v>201006</v>
      </c>
    </row>
    <row r="4928" spans="7:14" ht="11.25" customHeight="1" x14ac:dyDescent="0.3">
      <c r="G4928" s="470"/>
      <c r="H4928" s="470">
        <v>4921</v>
      </c>
      <c r="I4928" s="455">
        <f t="shared" ca="1" si="198"/>
        <v>307356105979146.88</v>
      </c>
      <c r="J4928" s="455">
        <f t="array" ref="J4928">IFERROR(INDEX('Retirement Calculator'!J:J,MATCH('Isaac 401k'!N4928,'Retirement Calculator'!A:A,0),0),0)</f>
        <v>0</v>
      </c>
      <c r="K4928" s="455">
        <f t="shared" ca="1" si="196"/>
        <v>1280650441579.7786</v>
      </c>
      <c r="L4928" s="455">
        <f t="shared" ca="1" si="197"/>
        <v>308636756420726.63</v>
      </c>
      <c r="M4928" s="471">
        <f t="shared" si="199"/>
        <v>0.05</v>
      </c>
      <c r="N4928" s="475">
        <f t="shared" si="200"/>
        <v>201037</v>
      </c>
    </row>
    <row r="4929" spans="7:14" ht="11.25" customHeight="1" x14ac:dyDescent="0.3">
      <c r="G4929" s="470"/>
      <c r="H4929" s="470">
        <v>4922</v>
      </c>
      <c r="I4929" s="455">
        <f t="shared" ca="1" si="198"/>
        <v>308636756420726.63</v>
      </c>
      <c r="J4929" s="455">
        <f t="array" ref="J4929">IFERROR(INDEX('Retirement Calculator'!J:J,MATCH('Isaac 401k'!N4929,'Retirement Calculator'!A:A,0),0),0)</f>
        <v>0</v>
      </c>
      <c r="K4929" s="455">
        <f t="shared" ca="1" si="196"/>
        <v>1285986485086.3608</v>
      </c>
      <c r="L4929" s="455">
        <f t="shared" ca="1" si="197"/>
        <v>309922742905813</v>
      </c>
      <c r="M4929" s="471">
        <f t="shared" si="199"/>
        <v>0.05</v>
      </c>
      <c r="N4929" s="475">
        <f t="shared" si="200"/>
        <v>201067</v>
      </c>
    </row>
    <row r="4930" spans="7:14" ht="11.25" customHeight="1" x14ac:dyDescent="0.3">
      <c r="G4930" s="470"/>
      <c r="H4930" s="470">
        <v>4923</v>
      </c>
      <c r="I4930" s="455">
        <f t="shared" ca="1" si="198"/>
        <v>309922742905813</v>
      </c>
      <c r="J4930" s="455">
        <f t="array" ref="J4930">IFERROR(INDEX('Retirement Calculator'!J:J,MATCH('Isaac 401k'!N4930,'Retirement Calculator'!A:A,0),0),0)</f>
        <v>0</v>
      </c>
      <c r="K4930" s="455">
        <f t="shared" ca="1" si="196"/>
        <v>1291344762107.5542</v>
      </c>
      <c r="L4930" s="455">
        <f t="shared" ca="1" si="197"/>
        <v>311214087667920.56</v>
      </c>
      <c r="M4930" s="471">
        <f t="shared" si="199"/>
        <v>0.05</v>
      </c>
      <c r="N4930" s="475">
        <f t="shared" si="200"/>
        <v>201098</v>
      </c>
    </row>
    <row r="4931" spans="7:14" ht="11.25" customHeight="1" x14ac:dyDescent="0.3">
      <c r="G4931" s="470"/>
      <c r="H4931" s="470">
        <v>4924</v>
      </c>
      <c r="I4931" s="455">
        <f t="shared" ca="1" si="198"/>
        <v>311214087667920.56</v>
      </c>
      <c r="J4931" s="455">
        <f t="array" ref="J4931">IFERROR(INDEX('Retirement Calculator'!J:J,MATCH('Isaac 401k'!N4931,'Retirement Calculator'!A:A,0),0),0)</f>
        <v>0</v>
      </c>
      <c r="K4931" s="455">
        <f t="shared" ca="1" si="196"/>
        <v>1296725365283.0024</v>
      </c>
      <c r="L4931" s="455">
        <f t="shared" ca="1" si="197"/>
        <v>312510813033203.56</v>
      </c>
      <c r="M4931" s="471">
        <f t="shared" si="199"/>
        <v>0.05</v>
      </c>
      <c r="N4931" s="475">
        <f t="shared" si="200"/>
        <v>201129</v>
      </c>
    </row>
    <row r="4932" spans="7:14" ht="11.25" customHeight="1" x14ac:dyDescent="0.3">
      <c r="G4932" s="470"/>
      <c r="H4932" s="470">
        <v>4925</v>
      </c>
      <c r="I4932" s="455">
        <f t="shared" ca="1" si="198"/>
        <v>312510813033203.56</v>
      </c>
      <c r="J4932" s="455">
        <f t="array" ref="J4932">IFERROR(INDEX('Retirement Calculator'!J:J,MATCH('Isaac 401k'!N4932,'Retirement Calculator'!A:A,0),0),0)</f>
        <v>0</v>
      </c>
      <c r="K4932" s="455">
        <f t="shared" ca="1" si="196"/>
        <v>1302128387638.3481</v>
      </c>
      <c r="L4932" s="455">
        <f t="shared" ca="1" si="197"/>
        <v>313812941420841.94</v>
      </c>
      <c r="M4932" s="471">
        <f t="shared" si="199"/>
        <v>0.05</v>
      </c>
      <c r="N4932" s="475">
        <f t="shared" si="200"/>
        <v>201159</v>
      </c>
    </row>
    <row r="4933" spans="7:14" ht="11.25" customHeight="1" x14ac:dyDescent="0.3">
      <c r="G4933" s="470"/>
      <c r="H4933" s="470">
        <v>4926</v>
      </c>
      <c r="I4933" s="455">
        <f t="shared" ca="1" si="198"/>
        <v>313812941420841.94</v>
      </c>
      <c r="J4933" s="455">
        <f t="array" ref="J4933">IFERROR(INDEX('Retirement Calculator'!J:J,MATCH('Isaac 401k'!N4933,'Retirement Calculator'!A:A,0),0),0)</f>
        <v>0</v>
      </c>
      <c r="K4933" s="455">
        <f t="shared" ca="1" si="196"/>
        <v>1307553922586.8413</v>
      </c>
      <c r="L4933" s="455">
        <f t="shared" ca="1" si="197"/>
        <v>315120495343428.75</v>
      </c>
      <c r="M4933" s="471">
        <f t="shared" si="199"/>
        <v>0.05</v>
      </c>
      <c r="N4933" s="475">
        <f t="shared" si="200"/>
        <v>201190</v>
      </c>
    </row>
    <row r="4934" spans="7:14" ht="11.25" customHeight="1" x14ac:dyDescent="0.3">
      <c r="G4934" s="470"/>
      <c r="H4934" s="470">
        <v>4927</v>
      </c>
      <c r="I4934" s="455">
        <f t="shared" ca="1" si="198"/>
        <v>315120495343428.75</v>
      </c>
      <c r="J4934" s="455">
        <f t="array" ref="J4934">IFERROR(INDEX('Retirement Calculator'!J:J,MATCH('Isaac 401k'!N4934,'Retirement Calculator'!A:A,0),0),0)</f>
        <v>0</v>
      </c>
      <c r="K4934" s="455">
        <f t="shared" ca="1" si="196"/>
        <v>1313002063930.9531</v>
      </c>
      <c r="L4934" s="455">
        <f t="shared" ca="1" si="197"/>
        <v>316433497407359.69</v>
      </c>
      <c r="M4934" s="471">
        <f t="shared" si="199"/>
        <v>0.05</v>
      </c>
      <c r="N4934" s="475">
        <f t="shared" si="200"/>
        <v>201220</v>
      </c>
    </row>
    <row r="4935" spans="7:14" ht="11.25" customHeight="1" x14ac:dyDescent="0.3">
      <c r="G4935" s="470"/>
      <c r="H4935" s="470">
        <v>4928</v>
      </c>
      <c r="I4935" s="455">
        <f t="shared" ca="1" si="198"/>
        <v>316433497407359.69</v>
      </c>
      <c r="J4935" s="455">
        <f t="array" ref="J4935">IFERROR(INDEX('Retirement Calculator'!J:J,MATCH('Isaac 401k'!N4935,'Retirement Calculator'!A:A,0),0),0)</f>
        <v>0</v>
      </c>
      <c r="K4935" s="455">
        <f t="shared" ca="1" si="196"/>
        <v>1318472905863.9988</v>
      </c>
      <c r="L4935" s="455">
        <f t="shared" ca="1" si="197"/>
        <v>317751970313223.69</v>
      </c>
      <c r="M4935" s="471">
        <f t="shared" si="199"/>
        <v>0.05</v>
      </c>
      <c r="N4935" s="475">
        <f t="shared" si="200"/>
        <v>201251</v>
      </c>
    </row>
    <row r="4936" spans="7:14" ht="11.25" customHeight="1" x14ac:dyDescent="0.3">
      <c r="G4936" s="470"/>
      <c r="H4936" s="470">
        <v>4929</v>
      </c>
      <c r="I4936" s="455">
        <f t="shared" ca="1" si="198"/>
        <v>317751970313223.69</v>
      </c>
      <c r="J4936" s="455">
        <f t="array" ref="J4936">IFERROR(INDEX('Retirement Calculator'!J:J,MATCH('Isaac 401k'!N4936,'Retirement Calculator'!A:A,0),0),0)</f>
        <v>0</v>
      </c>
      <c r="K4936" s="455">
        <f t="shared" ca="1" si="196"/>
        <v>1323966542971.7654</v>
      </c>
      <c r="L4936" s="455">
        <f t="shared" ca="1" si="197"/>
        <v>319075936856195.44</v>
      </c>
      <c r="M4936" s="471">
        <f t="shared" si="199"/>
        <v>0.05</v>
      </c>
      <c r="N4936" s="475">
        <f t="shared" si="200"/>
        <v>201282</v>
      </c>
    </row>
    <row r="4937" spans="7:14" ht="11.25" customHeight="1" x14ac:dyDescent="0.3">
      <c r="G4937" s="470"/>
      <c r="H4937" s="470">
        <v>4930</v>
      </c>
      <c r="I4937" s="455">
        <f t="shared" ca="1" si="198"/>
        <v>319075936856195.44</v>
      </c>
      <c r="J4937" s="455">
        <f t="array" ref="J4937">IFERROR(INDEX('Retirement Calculator'!J:J,MATCH('Isaac 401k'!N4937,'Retirement Calculator'!A:A,0),0),0)</f>
        <v>0</v>
      </c>
      <c r="K4937" s="455">
        <f t="shared" ca="1" si="196"/>
        <v>1329483070234.1477</v>
      </c>
      <c r="L4937" s="455">
        <f t="shared" ca="1" si="197"/>
        <v>320405419926429.56</v>
      </c>
      <c r="M4937" s="471">
        <f t="shared" si="199"/>
        <v>0.05</v>
      </c>
      <c r="N4937" s="475">
        <f t="shared" si="200"/>
        <v>201310</v>
      </c>
    </row>
    <row r="4938" spans="7:14" ht="11.25" customHeight="1" x14ac:dyDescent="0.3">
      <c r="G4938" s="470"/>
      <c r="H4938" s="470">
        <v>4931</v>
      </c>
      <c r="I4938" s="455">
        <f t="shared" ca="1" si="198"/>
        <v>320405419926429.56</v>
      </c>
      <c r="J4938" s="455">
        <f t="array" ref="J4938">IFERROR(INDEX('Retirement Calculator'!J:J,MATCH('Isaac 401k'!N4938,'Retirement Calculator'!A:A,0),0),0)</f>
        <v>0</v>
      </c>
      <c r="K4938" s="455">
        <f t="shared" ca="1" si="196"/>
        <v>1335022583026.7898</v>
      </c>
      <c r="L4938" s="455">
        <f t="shared" ca="1" si="197"/>
        <v>321740442509456.38</v>
      </c>
      <c r="M4938" s="471">
        <f t="shared" si="199"/>
        <v>0.05</v>
      </c>
      <c r="N4938" s="475">
        <f t="shared" si="200"/>
        <v>201341</v>
      </c>
    </row>
    <row r="4939" spans="7:14" ht="11.25" customHeight="1" x14ac:dyDescent="0.3">
      <c r="G4939" s="470"/>
      <c r="H4939" s="470">
        <v>4932</v>
      </c>
      <c r="I4939" s="455">
        <f t="shared" ca="1" si="198"/>
        <v>321740442509456.38</v>
      </c>
      <c r="J4939" s="455">
        <f t="array" ref="J4939">IFERROR(INDEX('Retirement Calculator'!J:J,MATCH('Isaac 401k'!N4939,'Retirement Calculator'!A:A,0),0),0)</f>
        <v>0</v>
      </c>
      <c r="K4939" s="455">
        <f t="shared" ca="1" si="196"/>
        <v>1340585177122.7349</v>
      </c>
      <c r="L4939" s="455">
        <f t="shared" ca="1" si="197"/>
        <v>323081027686579.13</v>
      </c>
      <c r="M4939" s="471">
        <f t="shared" si="199"/>
        <v>0.05</v>
      </c>
      <c r="N4939" s="475">
        <f t="shared" si="200"/>
        <v>201371</v>
      </c>
    </row>
    <row r="4940" spans="7:14" ht="11.25" customHeight="1" x14ac:dyDescent="0.3">
      <c r="G4940" s="470"/>
      <c r="H4940" s="470">
        <v>4933</v>
      </c>
      <c r="I4940" s="455">
        <f t="shared" ca="1" si="198"/>
        <v>323081027686579.13</v>
      </c>
      <c r="J4940" s="455">
        <f t="array" ref="J4940">IFERROR(INDEX('Retirement Calculator'!J:J,MATCH('Isaac 401k'!N4940,'Retirement Calculator'!A:A,0),0),0)</f>
        <v>0</v>
      </c>
      <c r="K4940" s="455">
        <f t="shared" ca="1" si="196"/>
        <v>1346170948694.0796</v>
      </c>
      <c r="L4940" s="455">
        <f t="shared" ca="1" si="197"/>
        <v>324427198635273.19</v>
      </c>
      <c r="M4940" s="471">
        <f t="shared" si="199"/>
        <v>0.05</v>
      </c>
      <c r="N4940" s="475">
        <f t="shared" si="200"/>
        <v>201402</v>
      </c>
    </row>
    <row r="4941" spans="7:14" ht="11.25" customHeight="1" x14ac:dyDescent="0.3">
      <c r="G4941" s="470"/>
      <c r="H4941" s="470">
        <v>4934</v>
      </c>
      <c r="I4941" s="455">
        <f t="shared" ca="1" si="198"/>
        <v>324427198635273.19</v>
      </c>
      <c r="J4941" s="455">
        <f t="array" ref="J4941">IFERROR(INDEX('Retirement Calculator'!J:J,MATCH('Isaac 401k'!N4941,'Retirement Calculator'!A:A,0),0),0)</f>
        <v>0</v>
      </c>
      <c r="K4941" s="455">
        <f t="shared" ca="1" si="196"/>
        <v>1351779994313.6382</v>
      </c>
      <c r="L4941" s="455">
        <f t="shared" ca="1" si="197"/>
        <v>325778978629586.81</v>
      </c>
      <c r="M4941" s="471">
        <f t="shared" si="199"/>
        <v>0.05</v>
      </c>
      <c r="N4941" s="475">
        <f t="shared" si="200"/>
        <v>201432</v>
      </c>
    </row>
    <row r="4942" spans="7:14" ht="11.25" customHeight="1" x14ac:dyDescent="0.3">
      <c r="G4942" s="470"/>
      <c r="H4942" s="470">
        <v>4935</v>
      </c>
      <c r="I4942" s="455">
        <f t="shared" ca="1" si="198"/>
        <v>325778978629586.81</v>
      </c>
      <c r="J4942" s="455">
        <f t="array" ref="J4942">IFERROR(INDEX('Retirement Calculator'!J:J,MATCH('Isaac 401k'!N4942,'Retirement Calculator'!A:A,0),0),0)</f>
        <v>0</v>
      </c>
      <c r="K4942" s="455">
        <f t="shared" ca="1" si="196"/>
        <v>1357412410956.6118</v>
      </c>
      <c r="L4942" s="455">
        <f t="shared" ca="1" si="197"/>
        <v>327136391040543.44</v>
      </c>
      <c r="M4942" s="471">
        <f t="shared" si="199"/>
        <v>0.05</v>
      </c>
      <c r="N4942" s="475">
        <f t="shared" si="200"/>
        <v>201463</v>
      </c>
    </row>
    <row r="4943" spans="7:14" ht="11.25" customHeight="1" x14ac:dyDescent="0.3">
      <c r="G4943" s="470"/>
      <c r="H4943" s="470">
        <v>4936</v>
      </c>
      <c r="I4943" s="455">
        <f t="shared" ca="1" si="198"/>
        <v>327136391040543.44</v>
      </c>
      <c r="J4943" s="455">
        <f t="array" ref="J4943">IFERROR(INDEX('Retirement Calculator'!J:J,MATCH('Isaac 401k'!N4943,'Retirement Calculator'!A:A,0),0),0)</f>
        <v>0</v>
      </c>
      <c r="K4943" s="455">
        <f t="shared" ca="1" si="196"/>
        <v>1363068296002.2644</v>
      </c>
      <c r="L4943" s="455">
        <f t="shared" ca="1" si="197"/>
        <v>328499459336545.69</v>
      </c>
      <c r="M4943" s="471">
        <f t="shared" si="199"/>
        <v>0.05</v>
      </c>
      <c r="N4943" s="475">
        <f t="shared" si="200"/>
        <v>201494</v>
      </c>
    </row>
    <row r="4944" spans="7:14" ht="11.25" customHeight="1" x14ac:dyDescent="0.3">
      <c r="G4944" s="470"/>
      <c r="H4944" s="470">
        <v>4937</v>
      </c>
      <c r="I4944" s="455">
        <f t="shared" ca="1" si="198"/>
        <v>328499459336545.69</v>
      </c>
      <c r="J4944" s="455">
        <f t="array" ref="J4944">IFERROR(INDEX('Retirement Calculator'!J:J,MATCH('Isaac 401k'!N4944,'Retirement Calculator'!A:A,0),0),0)</f>
        <v>0</v>
      </c>
      <c r="K4944" s="455">
        <f t="shared" ca="1" si="196"/>
        <v>1368747747235.6069</v>
      </c>
      <c r="L4944" s="455">
        <f t="shared" ca="1" si="197"/>
        <v>329868207083781.31</v>
      </c>
      <c r="M4944" s="471">
        <f t="shared" si="199"/>
        <v>0.05</v>
      </c>
      <c r="N4944" s="475">
        <f t="shared" si="200"/>
        <v>201524</v>
      </c>
    </row>
    <row r="4945" spans="7:14" ht="11.25" customHeight="1" x14ac:dyDescent="0.3">
      <c r="G4945" s="470"/>
      <c r="H4945" s="470">
        <v>4938</v>
      </c>
      <c r="I4945" s="455">
        <f t="shared" ca="1" si="198"/>
        <v>329868207083781.31</v>
      </c>
      <c r="J4945" s="455">
        <f t="array" ref="J4945">IFERROR(INDEX('Retirement Calculator'!J:J,MATCH('Isaac 401k'!N4945,'Retirement Calculator'!A:A,0),0),0)</f>
        <v>0</v>
      </c>
      <c r="K4945" s="455">
        <f t="shared" ca="1" si="196"/>
        <v>1374450862849.0889</v>
      </c>
      <c r="L4945" s="455">
        <f t="shared" ca="1" si="197"/>
        <v>331242657946630.38</v>
      </c>
      <c r="M4945" s="471">
        <f t="shared" si="199"/>
        <v>0.05</v>
      </c>
      <c r="N4945" s="475">
        <f t="shared" si="200"/>
        <v>201555</v>
      </c>
    </row>
    <row r="4946" spans="7:14" ht="11.25" customHeight="1" x14ac:dyDescent="0.3">
      <c r="G4946" s="470"/>
      <c r="H4946" s="470">
        <v>4939</v>
      </c>
      <c r="I4946" s="455">
        <f t="shared" ca="1" si="198"/>
        <v>331242657946630.38</v>
      </c>
      <c r="J4946" s="455">
        <f t="array" ref="J4946">IFERROR(INDEX('Retirement Calculator'!J:J,MATCH('Isaac 401k'!N4946,'Retirement Calculator'!A:A,0),0),0)</f>
        <v>0</v>
      </c>
      <c r="K4946" s="455">
        <f t="shared" ca="1" si="196"/>
        <v>1380177741444.2932</v>
      </c>
      <c r="L4946" s="455">
        <f t="shared" ca="1" si="197"/>
        <v>332622835688074.69</v>
      </c>
      <c r="M4946" s="471">
        <f t="shared" si="199"/>
        <v>0.05</v>
      </c>
      <c r="N4946" s="475">
        <f t="shared" si="200"/>
        <v>201585</v>
      </c>
    </row>
    <row r="4947" spans="7:14" ht="11.25" customHeight="1" x14ac:dyDescent="0.3">
      <c r="G4947" s="470"/>
      <c r="H4947" s="470">
        <v>4940</v>
      </c>
      <c r="I4947" s="455">
        <f t="shared" ca="1" si="198"/>
        <v>332622835688074.69</v>
      </c>
      <c r="J4947" s="455">
        <f t="array" ref="J4947">IFERROR(INDEX('Retirement Calculator'!J:J,MATCH('Isaac 401k'!N4947,'Retirement Calculator'!A:A,0),0),0)</f>
        <v>0</v>
      </c>
      <c r="K4947" s="455">
        <f t="shared" ca="1" si="196"/>
        <v>1385928482033.6445</v>
      </c>
      <c r="L4947" s="455">
        <f t="shared" ca="1" si="197"/>
        <v>334008764170108.31</v>
      </c>
      <c r="M4947" s="471">
        <f t="shared" si="199"/>
        <v>0.05</v>
      </c>
      <c r="N4947" s="475">
        <f t="shared" si="200"/>
        <v>201616</v>
      </c>
    </row>
    <row r="4948" spans="7:14" ht="11.25" customHeight="1" x14ac:dyDescent="0.3">
      <c r="G4948" s="470"/>
      <c r="H4948" s="470">
        <v>4941</v>
      </c>
      <c r="I4948" s="455">
        <f t="shared" ca="1" si="198"/>
        <v>334008764170108.31</v>
      </c>
      <c r="J4948" s="455">
        <f t="array" ref="J4948">IFERROR(INDEX('Retirement Calculator'!J:J,MATCH('Isaac 401k'!N4948,'Retirement Calculator'!A:A,0),0),0)</f>
        <v>0</v>
      </c>
      <c r="K4948" s="455">
        <f t="shared" ca="1" si="196"/>
        <v>1391703184042.1179</v>
      </c>
      <c r="L4948" s="455">
        <f t="shared" ca="1" si="197"/>
        <v>335400467354150.44</v>
      </c>
      <c r="M4948" s="471">
        <f t="shared" si="199"/>
        <v>0.05</v>
      </c>
      <c r="N4948" s="475">
        <f t="shared" si="200"/>
        <v>201647</v>
      </c>
    </row>
    <row r="4949" spans="7:14" ht="11.25" customHeight="1" x14ac:dyDescent="0.3">
      <c r="G4949" s="470"/>
      <c r="H4949" s="470">
        <v>4942</v>
      </c>
      <c r="I4949" s="455">
        <f t="shared" ca="1" si="198"/>
        <v>335400467354150.44</v>
      </c>
      <c r="J4949" s="455">
        <f t="array" ref="J4949">IFERROR(INDEX('Retirement Calculator'!J:J,MATCH('Isaac 401k'!N4949,'Retirement Calculator'!A:A,0),0),0)</f>
        <v>0</v>
      </c>
      <c r="K4949" s="455">
        <f t="shared" ca="1" si="196"/>
        <v>1397501947308.9602</v>
      </c>
      <c r="L4949" s="455">
        <f t="shared" ca="1" si="197"/>
        <v>336797969301459.38</v>
      </c>
      <c r="M4949" s="471">
        <f t="shared" si="199"/>
        <v>0.05</v>
      </c>
      <c r="N4949" s="475">
        <f t="shared" si="200"/>
        <v>201676</v>
      </c>
    </row>
    <row r="4950" spans="7:14" ht="11.25" customHeight="1" x14ac:dyDescent="0.3">
      <c r="G4950" s="470"/>
      <c r="H4950" s="470">
        <v>4943</v>
      </c>
      <c r="I4950" s="455">
        <f t="shared" ca="1" si="198"/>
        <v>336797969301459.38</v>
      </c>
      <c r="J4950" s="455">
        <f t="array" ref="J4950">IFERROR(INDEX('Retirement Calculator'!J:J,MATCH('Isaac 401k'!N4950,'Retirement Calculator'!A:A,0),0),0)</f>
        <v>0</v>
      </c>
      <c r="K4950" s="455">
        <f t="shared" ca="1" si="196"/>
        <v>1403324872089.4141</v>
      </c>
      <c r="L4950" s="455">
        <f t="shared" ca="1" si="197"/>
        <v>338201294173548.81</v>
      </c>
      <c r="M4950" s="471">
        <f t="shared" si="199"/>
        <v>0.05</v>
      </c>
      <c r="N4950" s="475">
        <f t="shared" si="200"/>
        <v>201707</v>
      </c>
    </row>
    <row r="4951" spans="7:14" ht="11.25" customHeight="1" x14ac:dyDescent="0.3">
      <c r="G4951" s="470"/>
      <c r="H4951" s="470">
        <v>4944</v>
      </c>
      <c r="I4951" s="455">
        <f t="shared" ca="1" si="198"/>
        <v>338201294173548.81</v>
      </c>
      <c r="J4951" s="455">
        <f t="array" ref="J4951">IFERROR(INDEX('Retirement Calculator'!J:J,MATCH('Isaac 401k'!N4951,'Retirement Calculator'!A:A,0),0),0)</f>
        <v>0</v>
      </c>
      <c r="K4951" s="455">
        <f t="shared" ca="1" si="196"/>
        <v>1409172059056.4534</v>
      </c>
      <c r="L4951" s="455">
        <f t="shared" ca="1" si="197"/>
        <v>339610466232605.25</v>
      </c>
      <c r="M4951" s="471">
        <f t="shared" si="199"/>
        <v>0.05</v>
      </c>
      <c r="N4951" s="475">
        <f t="shared" si="200"/>
        <v>201737</v>
      </c>
    </row>
    <row r="4952" spans="7:14" ht="11.25" customHeight="1" x14ac:dyDescent="0.3">
      <c r="G4952" s="470"/>
      <c r="H4952" s="470">
        <v>4945</v>
      </c>
      <c r="I4952" s="455">
        <f t="shared" ca="1" si="198"/>
        <v>339610466232605.25</v>
      </c>
      <c r="J4952" s="455">
        <f t="array" ref="J4952">IFERROR(INDEX('Retirement Calculator'!J:J,MATCH('Isaac 401k'!N4952,'Retirement Calculator'!A:A,0),0),0)</f>
        <v>0</v>
      </c>
      <c r="K4952" s="455">
        <f t="shared" ca="1" si="196"/>
        <v>1415043609302.522</v>
      </c>
      <c r="L4952" s="455">
        <f t="shared" ca="1" si="197"/>
        <v>341025509841907.75</v>
      </c>
      <c r="M4952" s="471">
        <f t="shared" si="199"/>
        <v>0.05</v>
      </c>
      <c r="N4952" s="475">
        <f t="shared" si="200"/>
        <v>201768</v>
      </c>
    </row>
    <row r="4953" spans="7:14" ht="11.25" customHeight="1" x14ac:dyDescent="0.3">
      <c r="G4953" s="470"/>
      <c r="H4953" s="470">
        <v>4946</v>
      </c>
      <c r="I4953" s="455">
        <f t="shared" ca="1" si="198"/>
        <v>341025509841907.75</v>
      </c>
      <c r="J4953" s="455">
        <f t="array" ref="J4953">IFERROR(INDEX('Retirement Calculator'!J:J,MATCH('Isaac 401k'!N4953,'Retirement Calculator'!A:A,0),0),0)</f>
        <v>0</v>
      </c>
      <c r="K4953" s="455">
        <f t="shared" ca="1" si="196"/>
        <v>1420939624341.2822</v>
      </c>
      <c r="L4953" s="455">
        <f t="shared" ca="1" si="197"/>
        <v>342446449466249.06</v>
      </c>
      <c r="M4953" s="471">
        <f t="shared" si="199"/>
        <v>0.05</v>
      </c>
      <c r="N4953" s="475">
        <f t="shared" si="200"/>
        <v>201798</v>
      </c>
    </row>
    <row r="4954" spans="7:14" ht="11.25" customHeight="1" x14ac:dyDescent="0.3">
      <c r="G4954" s="470"/>
      <c r="H4954" s="470">
        <v>4947</v>
      </c>
      <c r="I4954" s="455">
        <f t="shared" ca="1" si="198"/>
        <v>342446449466249.06</v>
      </c>
      <c r="J4954" s="455">
        <f t="array" ref="J4954">IFERROR(INDEX('Retirement Calculator'!J:J,MATCH('Isaac 401k'!N4954,'Retirement Calculator'!A:A,0),0),0)</f>
        <v>0</v>
      </c>
      <c r="K4954" s="455">
        <f t="shared" ca="1" si="196"/>
        <v>1426860206109.3711</v>
      </c>
      <c r="L4954" s="455">
        <f t="shared" ca="1" si="197"/>
        <v>343873309672358.44</v>
      </c>
      <c r="M4954" s="471">
        <f t="shared" si="199"/>
        <v>0.05</v>
      </c>
      <c r="N4954" s="475">
        <f t="shared" si="200"/>
        <v>201829</v>
      </c>
    </row>
    <row r="4955" spans="7:14" ht="11.25" customHeight="1" x14ac:dyDescent="0.3">
      <c r="G4955" s="470"/>
      <c r="H4955" s="470">
        <v>4948</v>
      </c>
      <c r="I4955" s="455">
        <f t="shared" ca="1" si="198"/>
        <v>343873309672358.44</v>
      </c>
      <c r="J4955" s="455">
        <f t="array" ref="J4955">IFERROR(INDEX('Retirement Calculator'!J:J,MATCH('Isaac 401k'!N4955,'Retirement Calculator'!A:A,0),0),0)</f>
        <v>0</v>
      </c>
      <c r="K4955" s="455">
        <f t="shared" ca="1" si="196"/>
        <v>1432805456968.1602</v>
      </c>
      <c r="L4955" s="455">
        <f t="shared" ca="1" si="197"/>
        <v>345306115129326.63</v>
      </c>
      <c r="M4955" s="471">
        <f t="shared" si="199"/>
        <v>0.05</v>
      </c>
      <c r="N4955" s="475">
        <f t="shared" si="200"/>
        <v>201860</v>
      </c>
    </row>
    <row r="4956" spans="7:14" ht="11.25" customHeight="1" x14ac:dyDescent="0.3">
      <c r="G4956" s="470"/>
      <c r="H4956" s="470">
        <v>4949</v>
      </c>
      <c r="I4956" s="455">
        <f t="shared" ca="1" si="198"/>
        <v>345306115129326.63</v>
      </c>
      <c r="J4956" s="455">
        <f t="array" ref="J4956">IFERROR(INDEX('Retirement Calculator'!J:J,MATCH('Isaac 401k'!N4956,'Retirement Calculator'!A:A,0),0),0)</f>
        <v>0</v>
      </c>
      <c r="K4956" s="455">
        <f t="shared" ca="1" si="196"/>
        <v>1438775479705.5276</v>
      </c>
      <c r="L4956" s="455">
        <f t="shared" ca="1" si="197"/>
        <v>346744890609032.13</v>
      </c>
      <c r="M4956" s="471">
        <f t="shared" si="199"/>
        <v>0.05</v>
      </c>
      <c r="N4956" s="475">
        <f t="shared" si="200"/>
        <v>201890</v>
      </c>
    </row>
    <row r="4957" spans="7:14" ht="11.25" customHeight="1" x14ac:dyDescent="0.3">
      <c r="G4957" s="470"/>
      <c r="H4957" s="470">
        <v>4950</v>
      </c>
      <c r="I4957" s="455">
        <f t="shared" ca="1" si="198"/>
        <v>346744890609032.13</v>
      </c>
      <c r="J4957" s="455">
        <f t="array" ref="J4957">IFERROR(INDEX('Retirement Calculator'!J:J,MATCH('Isaac 401k'!N4957,'Retirement Calculator'!A:A,0),0),0)</f>
        <v>0</v>
      </c>
      <c r="K4957" s="455">
        <f t="shared" ca="1" si="196"/>
        <v>1444770377537.6338</v>
      </c>
      <c r="L4957" s="455">
        <f t="shared" ca="1" si="197"/>
        <v>348189660986569.75</v>
      </c>
      <c r="M4957" s="471">
        <f t="shared" si="199"/>
        <v>0.05</v>
      </c>
      <c r="N4957" s="475">
        <f t="shared" si="200"/>
        <v>201921</v>
      </c>
    </row>
    <row r="4958" spans="7:14" ht="11.25" customHeight="1" x14ac:dyDescent="0.3">
      <c r="G4958" s="470"/>
      <c r="H4958" s="470">
        <v>4951</v>
      </c>
      <c r="I4958" s="455">
        <f t="shared" ca="1" si="198"/>
        <v>348189660986569.75</v>
      </c>
      <c r="J4958" s="455">
        <f t="array" ref="J4958">IFERROR(INDEX('Retirement Calculator'!J:J,MATCH('Isaac 401k'!N4958,'Retirement Calculator'!A:A,0),0),0)</f>
        <v>0</v>
      </c>
      <c r="K4958" s="455">
        <f t="shared" ca="1" si="196"/>
        <v>1450790254110.7073</v>
      </c>
      <c r="L4958" s="455">
        <f t="shared" ca="1" si="197"/>
        <v>349640451240680.44</v>
      </c>
      <c r="M4958" s="471">
        <f t="shared" si="199"/>
        <v>0.05</v>
      </c>
      <c r="N4958" s="475">
        <f t="shared" si="200"/>
        <v>201951</v>
      </c>
    </row>
    <row r="4959" spans="7:14" ht="11.25" customHeight="1" x14ac:dyDescent="0.3">
      <c r="G4959" s="470"/>
      <c r="H4959" s="470">
        <v>4952</v>
      </c>
      <c r="I4959" s="455">
        <f t="shared" ca="1" si="198"/>
        <v>349640451240680.44</v>
      </c>
      <c r="J4959" s="455">
        <f t="array" ref="J4959">IFERROR(INDEX('Retirement Calculator'!J:J,MATCH('Isaac 401k'!N4959,'Retirement Calculator'!A:A,0),0),0)</f>
        <v>0</v>
      </c>
      <c r="K4959" s="455">
        <f t="shared" ca="1" si="196"/>
        <v>1456835213502.8352</v>
      </c>
      <c r="L4959" s="455">
        <f t="shared" ca="1" si="197"/>
        <v>351097286454183.25</v>
      </c>
      <c r="M4959" s="471">
        <f t="shared" si="199"/>
        <v>0.05</v>
      </c>
      <c r="N4959" s="475">
        <f t="shared" si="200"/>
        <v>201982</v>
      </c>
    </row>
    <row r="4960" spans="7:14" ht="11.25" customHeight="1" x14ac:dyDescent="0.3">
      <c r="G4960" s="470"/>
      <c r="H4960" s="470">
        <v>4953</v>
      </c>
      <c r="I4960" s="455">
        <f t="shared" ca="1" si="198"/>
        <v>351097286454183.25</v>
      </c>
      <c r="J4960" s="455">
        <f t="array" ref="J4960">IFERROR(INDEX('Retirement Calculator'!J:J,MATCH('Isaac 401k'!N4960,'Retirement Calculator'!A:A,0),0),0)</f>
        <v>0</v>
      </c>
      <c r="K4960" s="455">
        <f t="shared" ca="1" si="196"/>
        <v>1462905360225.7634</v>
      </c>
      <c r="L4960" s="455">
        <f t="shared" ca="1" si="197"/>
        <v>352560191814409</v>
      </c>
      <c r="M4960" s="471">
        <f t="shared" si="199"/>
        <v>0.05</v>
      </c>
      <c r="N4960" s="475">
        <f t="shared" si="200"/>
        <v>202013</v>
      </c>
    </row>
    <row r="4961" spans="7:14" ht="11.25" customHeight="1" x14ac:dyDescent="0.3">
      <c r="G4961" s="470"/>
      <c r="H4961" s="470">
        <v>4954</v>
      </c>
      <c r="I4961" s="455">
        <f t="shared" ca="1" si="198"/>
        <v>352560191814409</v>
      </c>
      <c r="J4961" s="455">
        <f t="array" ref="J4961">IFERROR(INDEX('Retirement Calculator'!J:J,MATCH('Isaac 401k'!N4961,'Retirement Calculator'!A:A,0),0),0)</f>
        <v>0</v>
      </c>
      <c r="K4961" s="455">
        <f t="shared" ca="1" si="196"/>
        <v>1469000799226.7041</v>
      </c>
      <c r="L4961" s="455">
        <f t="shared" ca="1" si="197"/>
        <v>354029192613635.69</v>
      </c>
      <c r="M4961" s="471">
        <f t="shared" si="199"/>
        <v>0.05</v>
      </c>
      <c r="N4961" s="475">
        <f t="shared" si="200"/>
        <v>202041</v>
      </c>
    </row>
    <row r="4962" spans="7:14" ht="11.25" customHeight="1" x14ac:dyDescent="0.3">
      <c r="G4962" s="470"/>
      <c r="H4962" s="470">
        <v>4955</v>
      </c>
      <c r="I4962" s="455">
        <f t="shared" ca="1" si="198"/>
        <v>354029192613635.69</v>
      </c>
      <c r="J4962" s="455">
        <f t="array" ref="J4962">IFERROR(INDEX('Retirement Calculator'!J:J,MATCH('Isaac 401k'!N4962,'Retirement Calculator'!A:A,0),0),0)</f>
        <v>0</v>
      </c>
      <c r="K4962" s="455">
        <f t="shared" ca="1" si="196"/>
        <v>1475121635890.1487</v>
      </c>
      <c r="L4962" s="455">
        <f t="shared" ca="1" si="197"/>
        <v>355504314249525.81</v>
      </c>
      <c r="M4962" s="471">
        <f t="shared" si="199"/>
        <v>0.05</v>
      </c>
      <c r="N4962" s="475">
        <f t="shared" si="200"/>
        <v>202072</v>
      </c>
    </row>
    <row r="4963" spans="7:14" ht="11.25" customHeight="1" x14ac:dyDescent="0.3">
      <c r="G4963" s="470"/>
      <c r="H4963" s="470">
        <v>4956</v>
      </c>
      <c r="I4963" s="455">
        <f t="shared" ca="1" si="198"/>
        <v>355504314249525.81</v>
      </c>
      <c r="J4963" s="455">
        <f t="array" ref="J4963">IFERROR(INDEX('Retirement Calculator'!J:J,MATCH('Isaac 401k'!N4963,'Retirement Calculator'!A:A,0),0),0)</f>
        <v>0</v>
      </c>
      <c r="K4963" s="455">
        <f t="shared" ca="1" si="196"/>
        <v>1481267976039.6909</v>
      </c>
      <c r="L4963" s="455">
        <f t="shared" ca="1" si="197"/>
        <v>356985582225565.5</v>
      </c>
      <c r="M4963" s="471">
        <f t="shared" si="199"/>
        <v>0.05</v>
      </c>
      <c r="N4963" s="475">
        <f t="shared" si="200"/>
        <v>202102</v>
      </c>
    </row>
    <row r="4964" spans="7:14" ht="11.25" customHeight="1" x14ac:dyDescent="0.3">
      <c r="G4964" s="470"/>
      <c r="H4964" s="470">
        <v>4957</v>
      </c>
      <c r="I4964" s="455">
        <f t="shared" ca="1" si="198"/>
        <v>356985582225565.5</v>
      </c>
      <c r="J4964" s="455">
        <f t="array" ref="J4964">IFERROR(INDEX('Retirement Calculator'!J:J,MATCH('Isaac 401k'!N4964,'Retirement Calculator'!A:A,0),0),0)</f>
        <v>0</v>
      </c>
      <c r="K4964" s="455">
        <f t="shared" ca="1" si="196"/>
        <v>1487439925939.8562</v>
      </c>
      <c r="L4964" s="455">
        <f t="shared" ca="1" si="197"/>
        <v>358473022151505.38</v>
      </c>
      <c r="M4964" s="471">
        <f t="shared" si="199"/>
        <v>0.05</v>
      </c>
      <c r="N4964" s="475">
        <f t="shared" si="200"/>
        <v>202133</v>
      </c>
    </row>
    <row r="4965" spans="7:14" ht="11.25" customHeight="1" x14ac:dyDescent="0.3">
      <c r="G4965" s="470"/>
      <c r="H4965" s="470">
        <v>4958</v>
      </c>
      <c r="I4965" s="455">
        <f t="shared" ca="1" si="198"/>
        <v>358473022151505.38</v>
      </c>
      <c r="J4965" s="455">
        <f t="array" ref="J4965">IFERROR(INDEX('Retirement Calculator'!J:J,MATCH('Isaac 401k'!N4965,'Retirement Calculator'!A:A,0),0),0)</f>
        <v>0</v>
      </c>
      <c r="K4965" s="455">
        <f t="shared" ca="1" si="196"/>
        <v>1493637592297.939</v>
      </c>
      <c r="L4965" s="455">
        <f t="shared" ca="1" si="197"/>
        <v>359966659743803.31</v>
      </c>
      <c r="M4965" s="471">
        <f t="shared" si="199"/>
        <v>0.05</v>
      </c>
      <c r="N4965" s="475">
        <f t="shared" si="200"/>
        <v>202163</v>
      </c>
    </row>
    <row r="4966" spans="7:14" ht="11.25" customHeight="1" x14ac:dyDescent="0.3">
      <c r="G4966" s="470"/>
      <c r="H4966" s="470">
        <v>4959</v>
      </c>
      <c r="I4966" s="455">
        <f t="shared" ca="1" si="198"/>
        <v>359966659743803.31</v>
      </c>
      <c r="J4966" s="455">
        <f t="array" ref="J4966">IFERROR(INDEX('Retirement Calculator'!J:J,MATCH('Isaac 401k'!N4966,'Retirement Calculator'!A:A,0),0),0)</f>
        <v>0</v>
      </c>
      <c r="K4966" s="455">
        <f t="shared" ca="1" si="196"/>
        <v>1499861082265.8472</v>
      </c>
      <c r="L4966" s="455">
        <f t="shared" ca="1" si="197"/>
        <v>361466520826069.19</v>
      </c>
      <c r="M4966" s="471">
        <f t="shared" si="199"/>
        <v>0.05</v>
      </c>
      <c r="N4966" s="475">
        <f t="shared" si="200"/>
        <v>202194</v>
      </c>
    </row>
    <row r="4967" spans="7:14" ht="11.25" customHeight="1" x14ac:dyDescent="0.3">
      <c r="G4967" s="470"/>
      <c r="H4967" s="470">
        <v>4960</v>
      </c>
      <c r="I4967" s="455">
        <f t="shared" ca="1" si="198"/>
        <v>361466520826069.19</v>
      </c>
      <c r="J4967" s="455">
        <f t="array" ref="J4967">IFERROR(INDEX('Retirement Calculator'!J:J,MATCH('Isaac 401k'!N4967,'Retirement Calculator'!A:A,0),0),0)</f>
        <v>0</v>
      </c>
      <c r="K4967" s="455">
        <f t="shared" ca="1" si="196"/>
        <v>1506110503441.9548</v>
      </c>
      <c r="L4967" s="455">
        <f t="shared" ca="1" si="197"/>
        <v>362972631329511.13</v>
      </c>
      <c r="M4967" s="471">
        <f t="shared" si="199"/>
        <v>0.05</v>
      </c>
      <c r="N4967" s="475">
        <f t="shared" si="200"/>
        <v>202225</v>
      </c>
    </row>
    <row r="4968" spans="7:14" ht="11.25" customHeight="1" x14ac:dyDescent="0.3">
      <c r="G4968" s="470"/>
      <c r="H4968" s="470">
        <v>4961</v>
      </c>
      <c r="I4968" s="455">
        <f t="shared" ca="1" si="198"/>
        <v>362972631329511.13</v>
      </c>
      <c r="J4968" s="455">
        <f t="array" ref="J4968">IFERROR(INDEX('Retirement Calculator'!J:J,MATCH('Isaac 401k'!N4968,'Retirement Calculator'!A:A,0),0),0)</f>
        <v>0</v>
      </c>
      <c r="K4968" s="455">
        <f t="shared" ca="1" si="196"/>
        <v>1512385963872.9629</v>
      </c>
      <c r="L4968" s="455">
        <f t="shared" ca="1" si="197"/>
        <v>364485017293384.06</v>
      </c>
      <c r="M4968" s="471">
        <f t="shared" si="199"/>
        <v>0.05</v>
      </c>
      <c r="N4968" s="475">
        <f t="shared" si="200"/>
        <v>202255</v>
      </c>
    </row>
    <row r="4969" spans="7:14" ht="11.25" customHeight="1" x14ac:dyDescent="0.3">
      <c r="G4969" s="470"/>
      <c r="H4969" s="470">
        <v>4962</v>
      </c>
      <c r="I4969" s="455">
        <f t="shared" ca="1" si="198"/>
        <v>364485017293384.06</v>
      </c>
      <c r="J4969" s="455">
        <f t="array" ref="J4969">IFERROR(INDEX('Retirement Calculator'!J:J,MATCH('Isaac 401k'!N4969,'Retirement Calculator'!A:A,0),0),0)</f>
        <v>0</v>
      </c>
      <c r="K4969" s="455">
        <f t="shared" ca="1" si="196"/>
        <v>1518687572055.7668</v>
      </c>
      <c r="L4969" s="455">
        <f t="shared" ca="1" si="197"/>
        <v>366003704865439.81</v>
      </c>
      <c r="M4969" s="471">
        <f t="shared" si="199"/>
        <v>0.05</v>
      </c>
      <c r="N4969" s="475">
        <f t="shared" si="200"/>
        <v>202286</v>
      </c>
    </row>
    <row r="4970" spans="7:14" ht="11.25" customHeight="1" x14ac:dyDescent="0.3">
      <c r="G4970" s="470"/>
      <c r="H4970" s="470">
        <v>4963</v>
      </c>
      <c r="I4970" s="455">
        <f t="shared" ca="1" si="198"/>
        <v>366003704865439.81</v>
      </c>
      <c r="J4970" s="455">
        <f t="array" ref="J4970">IFERROR(INDEX('Retirement Calculator'!J:J,MATCH('Isaac 401k'!N4970,'Retirement Calculator'!A:A,0),0),0)</f>
        <v>0</v>
      </c>
      <c r="K4970" s="455">
        <f t="shared" ca="1" si="196"/>
        <v>1525015436939.3325</v>
      </c>
      <c r="L4970" s="455">
        <f t="shared" ca="1" si="197"/>
        <v>367528720302379.13</v>
      </c>
      <c r="M4970" s="471">
        <f t="shared" si="199"/>
        <v>0.05</v>
      </c>
      <c r="N4970" s="475">
        <f t="shared" si="200"/>
        <v>202316</v>
      </c>
    </row>
    <row r="4971" spans="7:14" ht="11.25" customHeight="1" x14ac:dyDescent="0.3">
      <c r="G4971" s="470"/>
      <c r="H4971" s="470">
        <v>4964</v>
      </c>
      <c r="I4971" s="455">
        <f t="shared" ca="1" si="198"/>
        <v>367528720302379.13</v>
      </c>
      <c r="J4971" s="455">
        <f t="array" ref="J4971">IFERROR(INDEX('Retirement Calculator'!J:J,MATCH('Isaac 401k'!N4971,'Retirement Calculator'!A:A,0),0),0)</f>
        <v>0</v>
      </c>
      <c r="K4971" s="455">
        <f t="shared" ca="1" si="196"/>
        <v>1531369667926.5796</v>
      </c>
      <c r="L4971" s="455">
        <f t="shared" ca="1" si="197"/>
        <v>369060089970305.69</v>
      </c>
      <c r="M4971" s="471">
        <f t="shared" si="199"/>
        <v>0.05</v>
      </c>
      <c r="N4971" s="475">
        <f t="shared" si="200"/>
        <v>202347</v>
      </c>
    </row>
    <row r="4972" spans="7:14" ht="11.25" customHeight="1" x14ac:dyDescent="0.3">
      <c r="G4972" s="470"/>
      <c r="H4972" s="470">
        <v>4965</v>
      </c>
      <c r="I4972" s="455">
        <f t="shared" ca="1" si="198"/>
        <v>369060089970305.69</v>
      </c>
      <c r="J4972" s="455">
        <f t="array" ref="J4972">IFERROR(INDEX('Retirement Calculator'!J:J,MATCH('Isaac 401k'!N4972,'Retirement Calculator'!A:A,0),0),0)</f>
        <v>0</v>
      </c>
      <c r="K4972" s="455">
        <f t="shared" ca="1" si="196"/>
        <v>1537750374876.2737</v>
      </c>
      <c r="L4972" s="455">
        <f t="shared" ca="1" si="197"/>
        <v>370597840345181.94</v>
      </c>
      <c r="M4972" s="471">
        <f t="shared" si="199"/>
        <v>0.05</v>
      </c>
      <c r="N4972" s="475">
        <f t="shared" si="200"/>
        <v>202378</v>
      </c>
    </row>
    <row r="4973" spans="7:14" ht="11.25" customHeight="1" x14ac:dyDescent="0.3">
      <c r="G4973" s="470"/>
      <c r="H4973" s="470">
        <v>4966</v>
      </c>
      <c r="I4973" s="455">
        <f t="shared" ca="1" si="198"/>
        <v>370597840345181.94</v>
      </c>
      <c r="J4973" s="455">
        <f t="array" ref="J4973">IFERROR(INDEX('Retirement Calculator'!J:J,MATCH('Isaac 401k'!N4973,'Retirement Calculator'!A:A,0),0),0)</f>
        <v>0</v>
      </c>
      <c r="K4973" s="455">
        <f t="shared" ca="1" si="196"/>
        <v>1544157668104.9248</v>
      </c>
      <c r="L4973" s="455">
        <f t="shared" ca="1" si="197"/>
        <v>372141998013286.88</v>
      </c>
      <c r="M4973" s="471">
        <f t="shared" si="199"/>
        <v>0.05</v>
      </c>
      <c r="N4973" s="475">
        <f t="shared" si="200"/>
        <v>202406</v>
      </c>
    </row>
    <row r="4974" spans="7:14" ht="11.25" customHeight="1" x14ac:dyDescent="0.3">
      <c r="G4974" s="470"/>
      <c r="H4974" s="470">
        <v>4967</v>
      </c>
      <c r="I4974" s="455">
        <f t="shared" ca="1" si="198"/>
        <v>372141998013286.88</v>
      </c>
      <c r="J4974" s="455">
        <f t="array" ref="J4974">IFERROR(INDEX('Retirement Calculator'!J:J,MATCH('Isaac 401k'!N4974,'Retirement Calculator'!A:A,0),0),0)</f>
        <v>0</v>
      </c>
      <c r="K4974" s="455">
        <f t="shared" ca="1" si="196"/>
        <v>1550591658388.6953</v>
      </c>
      <c r="L4974" s="455">
        <f t="shared" ca="1" si="197"/>
        <v>373692589671675.56</v>
      </c>
      <c r="M4974" s="471">
        <f t="shared" si="199"/>
        <v>0.05</v>
      </c>
      <c r="N4974" s="475">
        <f t="shared" si="200"/>
        <v>202437</v>
      </c>
    </row>
    <row r="4975" spans="7:14" ht="11.25" customHeight="1" x14ac:dyDescent="0.3">
      <c r="G4975" s="470"/>
      <c r="H4975" s="470">
        <v>4968</v>
      </c>
      <c r="I4975" s="455">
        <f t="shared" ca="1" si="198"/>
        <v>373692589671675.56</v>
      </c>
      <c r="J4975" s="455">
        <f t="array" ref="J4975">IFERROR(INDEX('Retirement Calculator'!J:J,MATCH('Isaac 401k'!N4975,'Retirement Calculator'!A:A,0),0),0)</f>
        <v>0</v>
      </c>
      <c r="K4975" s="455">
        <f t="shared" ca="1" si="196"/>
        <v>1557052456965.3149</v>
      </c>
      <c r="L4975" s="455">
        <f t="shared" ca="1" si="197"/>
        <v>375249642128640.88</v>
      </c>
      <c r="M4975" s="471">
        <f t="shared" si="199"/>
        <v>0.05</v>
      </c>
      <c r="N4975" s="475">
        <f t="shared" si="200"/>
        <v>202467</v>
      </c>
    </row>
    <row r="4976" spans="7:14" ht="11.25" customHeight="1" x14ac:dyDescent="0.3">
      <c r="G4976" s="470"/>
      <c r="H4976" s="470">
        <v>4969</v>
      </c>
      <c r="I4976" s="455">
        <f t="shared" ca="1" si="198"/>
        <v>375249642128640.88</v>
      </c>
      <c r="J4976" s="455">
        <f t="array" ref="J4976">IFERROR(INDEX('Retirement Calculator'!J:J,MATCH('Isaac 401k'!N4976,'Retirement Calculator'!A:A,0),0),0)</f>
        <v>0</v>
      </c>
      <c r="K4976" s="455">
        <f t="shared" ca="1" si="196"/>
        <v>1563540175536.0037</v>
      </c>
      <c r="L4976" s="455">
        <f t="shared" ca="1" si="197"/>
        <v>376813182304176.88</v>
      </c>
      <c r="M4976" s="471">
        <f t="shared" si="199"/>
        <v>0.05</v>
      </c>
      <c r="N4976" s="475">
        <f t="shared" si="200"/>
        <v>202498</v>
      </c>
    </row>
    <row r="4977" spans="7:14" ht="11.25" customHeight="1" x14ac:dyDescent="0.3">
      <c r="G4977" s="470"/>
      <c r="H4977" s="470">
        <v>4970</v>
      </c>
      <c r="I4977" s="455">
        <f t="shared" ca="1" si="198"/>
        <v>376813182304176.88</v>
      </c>
      <c r="J4977" s="455">
        <f t="array" ref="J4977">IFERROR(INDEX('Retirement Calculator'!J:J,MATCH('Isaac 401k'!N4977,'Retirement Calculator'!A:A,0),0),0)</f>
        <v>0</v>
      </c>
      <c r="K4977" s="455">
        <f t="shared" ca="1" si="196"/>
        <v>1570054926267.4036</v>
      </c>
      <c r="L4977" s="455">
        <f t="shared" ca="1" si="197"/>
        <v>378383237230444.25</v>
      </c>
      <c r="M4977" s="471">
        <f t="shared" si="199"/>
        <v>0.05</v>
      </c>
      <c r="N4977" s="475">
        <f t="shared" si="200"/>
        <v>202528</v>
      </c>
    </row>
    <row r="4978" spans="7:14" ht="11.25" customHeight="1" x14ac:dyDescent="0.3">
      <c r="G4978" s="470"/>
      <c r="H4978" s="470">
        <v>4971</v>
      </c>
      <c r="I4978" s="455">
        <f t="shared" ca="1" si="198"/>
        <v>378383237230444.25</v>
      </c>
      <c r="J4978" s="455">
        <f t="array" ref="J4978">IFERROR(INDEX('Retirement Calculator'!J:J,MATCH('Isaac 401k'!N4978,'Retirement Calculator'!A:A,0),0),0)</f>
        <v>0</v>
      </c>
      <c r="K4978" s="455">
        <f t="shared" ca="1" si="196"/>
        <v>1576596821793.5176</v>
      </c>
      <c r="L4978" s="455">
        <f t="shared" ca="1" si="197"/>
        <v>379959834052237.75</v>
      </c>
      <c r="M4978" s="471">
        <f t="shared" si="199"/>
        <v>0.05</v>
      </c>
      <c r="N4978" s="475">
        <f t="shared" si="200"/>
        <v>202559</v>
      </c>
    </row>
    <row r="4979" spans="7:14" ht="11.25" customHeight="1" x14ac:dyDescent="0.3">
      <c r="G4979" s="470"/>
      <c r="H4979" s="470">
        <v>4972</v>
      </c>
      <c r="I4979" s="455">
        <f t="shared" ca="1" si="198"/>
        <v>379959834052237.75</v>
      </c>
      <c r="J4979" s="455">
        <f t="array" ref="J4979">IFERROR(INDEX('Retirement Calculator'!J:J,MATCH('Isaac 401k'!N4979,'Retirement Calculator'!A:A,0),0),0)</f>
        <v>0</v>
      </c>
      <c r="K4979" s="455">
        <f t="shared" ca="1" si="196"/>
        <v>1583165975217.6572</v>
      </c>
      <c r="L4979" s="455">
        <f t="shared" ca="1" si="197"/>
        <v>381543000027455.44</v>
      </c>
      <c r="M4979" s="471">
        <f t="shared" si="199"/>
        <v>0.05</v>
      </c>
      <c r="N4979" s="475">
        <f t="shared" si="200"/>
        <v>202590</v>
      </c>
    </row>
    <row r="4980" spans="7:14" ht="11.25" customHeight="1" x14ac:dyDescent="0.3">
      <c r="G4980" s="470"/>
      <c r="H4980" s="470">
        <v>4973</v>
      </c>
      <c r="I4980" s="455">
        <f t="shared" ca="1" si="198"/>
        <v>381543000027455.44</v>
      </c>
      <c r="J4980" s="455">
        <f t="array" ref="J4980">IFERROR(INDEX('Retirement Calculator'!J:J,MATCH('Isaac 401k'!N4980,'Retirement Calculator'!A:A,0),0),0)</f>
        <v>0</v>
      </c>
      <c r="K4980" s="455">
        <f t="shared" ca="1" si="196"/>
        <v>1589762500114.3977</v>
      </c>
      <c r="L4980" s="455">
        <f t="shared" ca="1" si="197"/>
        <v>383132762527569.81</v>
      </c>
      <c r="M4980" s="471">
        <f t="shared" si="199"/>
        <v>0.05</v>
      </c>
      <c r="N4980" s="475">
        <f t="shared" si="200"/>
        <v>202620</v>
      </c>
    </row>
    <row r="4981" spans="7:14" ht="11.25" customHeight="1" x14ac:dyDescent="0.3">
      <c r="G4981" s="470"/>
      <c r="H4981" s="470">
        <v>4974</v>
      </c>
      <c r="I4981" s="455">
        <f t="shared" ca="1" si="198"/>
        <v>383132762527569.81</v>
      </c>
      <c r="J4981" s="455">
        <f t="array" ref="J4981">IFERROR(INDEX('Retirement Calculator'!J:J,MATCH('Isaac 401k'!N4981,'Retirement Calculator'!A:A,0),0),0)</f>
        <v>0</v>
      </c>
      <c r="K4981" s="455">
        <f t="shared" ca="1" si="196"/>
        <v>1596386510531.5408</v>
      </c>
      <c r="L4981" s="455">
        <f t="shared" ca="1" si="197"/>
        <v>384729149038101.38</v>
      </c>
      <c r="M4981" s="471">
        <f t="shared" si="199"/>
        <v>0.05</v>
      </c>
      <c r="N4981" s="475">
        <f t="shared" si="200"/>
        <v>202651</v>
      </c>
    </row>
    <row r="4982" spans="7:14" ht="11.25" customHeight="1" x14ac:dyDescent="0.3">
      <c r="G4982" s="470"/>
      <c r="H4982" s="470">
        <v>4975</v>
      </c>
      <c r="I4982" s="455">
        <f t="shared" ca="1" si="198"/>
        <v>384729149038101.38</v>
      </c>
      <c r="J4982" s="455">
        <f t="array" ref="J4982">IFERROR(INDEX('Retirement Calculator'!J:J,MATCH('Isaac 401k'!N4982,'Retirement Calculator'!A:A,0),0),0)</f>
        <v>0</v>
      </c>
      <c r="K4982" s="455">
        <f t="shared" ca="1" si="196"/>
        <v>1603038120992.0891</v>
      </c>
      <c r="L4982" s="455">
        <f t="shared" ca="1" si="197"/>
        <v>386332187159093.44</v>
      </c>
      <c r="M4982" s="471">
        <f t="shared" si="199"/>
        <v>0.05</v>
      </c>
      <c r="N4982" s="475">
        <f t="shared" si="200"/>
        <v>202681</v>
      </c>
    </row>
    <row r="4983" spans="7:14" ht="11.25" customHeight="1" x14ac:dyDescent="0.3">
      <c r="G4983" s="470"/>
      <c r="H4983" s="470">
        <v>4976</v>
      </c>
      <c r="I4983" s="455">
        <f t="shared" ca="1" si="198"/>
        <v>386332187159093.44</v>
      </c>
      <c r="J4983" s="455">
        <f t="array" ref="J4983">IFERROR(INDEX('Retirement Calculator'!J:J,MATCH('Isaac 401k'!N4983,'Retirement Calculator'!A:A,0),0),0)</f>
        <v>0</v>
      </c>
      <c r="K4983" s="455">
        <f t="shared" ca="1" si="196"/>
        <v>1609717446496.2227</v>
      </c>
      <c r="L4983" s="455">
        <f t="shared" ca="1" si="197"/>
        <v>387941904605589.69</v>
      </c>
      <c r="M4983" s="471">
        <f t="shared" si="199"/>
        <v>0.05</v>
      </c>
      <c r="N4983" s="475">
        <f t="shared" si="200"/>
        <v>202712</v>
      </c>
    </row>
    <row r="4984" spans="7:14" ht="11.25" customHeight="1" x14ac:dyDescent="0.3">
      <c r="G4984" s="470"/>
      <c r="H4984" s="470">
        <v>4977</v>
      </c>
      <c r="I4984" s="455">
        <f t="shared" ca="1" si="198"/>
        <v>387941904605589.69</v>
      </c>
      <c r="J4984" s="455">
        <f t="array" ref="J4984">IFERROR(INDEX('Retirement Calculator'!J:J,MATCH('Isaac 401k'!N4984,'Retirement Calculator'!A:A,0),0),0)</f>
        <v>0</v>
      </c>
      <c r="K4984" s="455">
        <f t="shared" ca="1" si="196"/>
        <v>1616424602523.2903</v>
      </c>
      <c r="L4984" s="455">
        <f t="shared" ca="1" si="197"/>
        <v>389558329208113</v>
      </c>
      <c r="M4984" s="471">
        <f t="shared" si="199"/>
        <v>0.05</v>
      </c>
      <c r="N4984" s="475">
        <f t="shared" si="200"/>
        <v>202743</v>
      </c>
    </row>
    <row r="4985" spans="7:14" ht="11.25" customHeight="1" x14ac:dyDescent="0.3">
      <c r="G4985" s="470"/>
      <c r="H4985" s="470">
        <v>4978</v>
      </c>
      <c r="I4985" s="455">
        <f t="shared" ca="1" si="198"/>
        <v>389558329208113</v>
      </c>
      <c r="J4985" s="455">
        <f t="array" ref="J4985">IFERROR(INDEX('Retirement Calculator'!J:J,MATCH('Isaac 401k'!N4985,'Retirement Calculator'!A:A,0),0),0)</f>
        <v>0</v>
      </c>
      <c r="K4985" s="455">
        <f t="shared" ca="1" si="196"/>
        <v>1623159705033.8042</v>
      </c>
      <c r="L4985" s="455">
        <f t="shared" ca="1" si="197"/>
        <v>391181488913146.81</v>
      </c>
      <c r="M4985" s="471">
        <f t="shared" si="199"/>
        <v>0.05</v>
      </c>
      <c r="N4985" s="475">
        <f t="shared" si="200"/>
        <v>202771</v>
      </c>
    </row>
    <row r="4986" spans="7:14" ht="11.25" customHeight="1" x14ac:dyDescent="0.3">
      <c r="G4986" s="470"/>
      <c r="H4986" s="470">
        <v>4979</v>
      </c>
      <c r="I4986" s="455">
        <f t="shared" ca="1" si="198"/>
        <v>391181488913146.81</v>
      </c>
      <c r="J4986" s="455">
        <f t="array" ref="J4986">IFERROR(INDEX('Retirement Calculator'!J:J,MATCH('Isaac 401k'!N4986,'Retirement Calculator'!A:A,0),0),0)</f>
        <v>0</v>
      </c>
      <c r="K4986" s="455">
        <f t="shared" ca="1" si="196"/>
        <v>1629922870471.4451</v>
      </c>
      <c r="L4986" s="455">
        <f t="shared" ca="1" si="197"/>
        <v>392811411783618.25</v>
      </c>
      <c r="M4986" s="471">
        <f t="shared" si="199"/>
        <v>0.05</v>
      </c>
      <c r="N4986" s="475">
        <f t="shared" si="200"/>
        <v>202802</v>
      </c>
    </row>
    <row r="4987" spans="7:14" ht="11.25" customHeight="1" x14ac:dyDescent="0.3">
      <c r="G4987" s="470"/>
      <c r="H4987" s="470">
        <v>4980</v>
      </c>
      <c r="I4987" s="455">
        <f t="shared" ca="1" si="198"/>
        <v>392811411783618.25</v>
      </c>
      <c r="J4987" s="455">
        <f t="array" ref="J4987">IFERROR(INDEX('Retirement Calculator'!J:J,MATCH('Isaac 401k'!N4987,'Retirement Calculator'!A:A,0),0),0)</f>
        <v>0</v>
      </c>
      <c r="K4987" s="455">
        <f t="shared" ca="1" si="196"/>
        <v>1636714215765.0759</v>
      </c>
      <c r="L4987" s="455">
        <f t="shared" ca="1" si="197"/>
        <v>394448125999383.31</v>
      </c>
      <c r="M4987" s="471">
        <f t="shared" si="199"/>
        <v>0.05</v>
      </c>
      <c r="N4987" s="475">
        <f t="shared" si="200"/>
        <v>202832</v>
      </c>
    </row>
    <row r="4988" spans="7:14" ht="11.25" customHeight="1" x14ac:dyDescent="0.3">
      <c r="G4988" s="470"/>
      <c r="H4988" s="470">
        <v>4981</v>
      </c>
      <c r="I4988" s="455">
        <f t="shared" ca="1" si="198"/>
        <v>394448125999383.31</v>
      </c>
      <c r="J4988" s="455">
        <f t="array" ref="J4988">IFERROR(INDEX('Retirement Calculator'!J:J,MATCH('Isaac 401k'!N4988,'Retirement Calculator'!A:A,0),0),0)</f>
        <v>0</v>
      </c>
      <c r="K4988" s="455">
        <f t="shared" ca="1" si="196"/>
        <v>1643533858330.7637</v>
      </c>
      <c r="L4988" s="455">
        <f t="shared" ca="1" si="197"/>
        <v>396091659857714.06</v>
      </c>
      <c r="M4988" s="471">
        <f t="shared" si="199"/>
        <v>0.05</v>
      </c>
      <c r="N4988" s="475">
        <f t="shared" si="200"/>
        <v>202863</v>
      </c>
    </row>
    <row r="4989" spans="7:14" ht="11.25" customHeight="1" x14ac:dyDescent="0.3">
      <c r="G4989" s="470"/>
      <c r="H4989" s="470">
        <v>4982</v>
      </c>
      <c r="I4989" s="455">
        <f t="shared" ca="1" si="198"/>
        <v>396091659857714.06</v>
      </c>
      <c r="J4989" s="455">
        <f t="array" ref="J4989">IFERROR(INDEX('Retirement Calculator'!J:J,MATCH('Isaac 401k'!N4989,'Retirement Calculator'!A:A,0),0),0)</f>
        <v>0</v>
      </c>
      <c r="K4989" s="455">
        <f t="shared" ca="1" si="196"/>
        <v>1650381916073.8086</v>
      </c>
      <c r="L4989" s="455">
        <f t="shared" ca="1" si="197"/>
        <v>397742041773787.88</v>
      </c>
      <c r="M4989" s="471">
        <f t="shared" si="199"/>
        <v>0.05</v>
      </c>
      <c r="N4989" s="475">
        <f t="shared" si="200"/>
        <v>202893</v>
      </c>
    </row>
    <row r="4990" spans="7:14" ht="11.25" customHeight="1" x14ac:dyDescent="0.3">
      <c r="G4990" s="470"/>
      <c r="H4990" s="470">
        <v>4983</v>
      </c>
      <c r="I4990" s="455">
        <f t="shared" ca="1" si="198"/>
        <v>397742041773787.88</v>
      </c>
      <c r="J4990" s="455">
        <f t="array" ref="J4990">IFERROR(INDEX('Retirement Calculator'!J:J,MATCH('Isaac 401k'!N4990,'Retirement Calculator'!A:A,0),0),0)</f>
        <v>0</v>
      </c>
      <c r="K4990" s="455">
        <f t="shared" ca="1" si="196"/>
        <v>1657258507390.7827</v>
      </c>
      <c r="L4990" s="455">
        <f t="shared" ca="1" si="197"/>
        <v>399399300281178.69</v>
      </c>
      <c r="M4990" s="471">
        <f t="shared" si="199"/>
        <v>0.05</v>
      </c>
      <c r="N4990" s="475">
        <f t="shared" si="200"/>
        <v>202924</v>
      </c>
    </row>
    <row r="4991" spans="7:14" ht="11.25" customHeight="1" x14ac:dyDescent="0.3">
      <c r="G4991" s="470"/>
      <c r="H4991" s="470">
        <v>4984</v>
      </c>
      <c r="I4991" s="455">
        <f t="shared" ca="1" si="198"/>
        <v>399399300281178.69</v>
      </c>
      <c r="J4991" s="455">
        <f t="array" ref="J4991">IFERROR(INDEX('Retirement Calculator'!J:J,MATCH('Isaac 401k'!N4991,'Retirement Calculator'!A:A,0),0),0)</f>
        <v>0</v>
      </c>
      <c r="K4991" s="455">
        <f t="shared" ca="1" si="196"/>
        <v>1664163751171.5779</v>
      </c>
      <c r="L4991" s="455">
        <f t="shared" ca="1" si="197"/>
        <v>401063464032350.25</v>
      </c>
      <c r="M4991" s="471">
        <f t="shared" si="199"/>
        <v>0.05</v>
      </c>
      <c r="N4991" s="475">
        <f t="shared" si="200"/>
        <v>202955</v>
      </c>
    </row>
    <row r="4992" spans="7:14" ht="11.25" customHeight="1" x14ac:dyDescent="0.3">
      <c r="G4992" s="470"/>
      <c r="H4992" s="470">
        <v>4985</v>
      </c>
      <c r="I4992" s="455">
        <f t="shared" ca="1" si="198"/>
        <v>401063464032350.25</v>
      </c>
      <c r="J4992" s="455">
        <f t="array" ref="J4992">IFERROR(INDEX('Retirement Calculator'!J:J,MATCH('Isaac 401k'!N4992,'Retirement Calculator'!A:A,0),0),0)</f>
        <v>0</v>
      </c>
      <c r="K4992" s="455">
        <f t="shared" ca="1" si="196"/>
        <v>1671097766801.4595</v>
      </c>
      <c r="L4992" s="455">
        <f t="shared" ca="1" si="197"/>
        <v>402734561799151.69</v>
      </c>
      <c r="M4992" s="471">
        <f t="shared" si="199"/>
        <v>0.05</v>
      </c>
      <c r="N4992" s="475">
        <f t="shared" si="200"/>
        <v>202985</v>
      </c>
    </row>
    <row r="4993" spans="7:14" ht="11.25" customHeight="1" x14ac:dyDescent="0.3">
      <c r="G4993" s="470"/>
      <c r="H4993" s="470">
        <v>4986</v>
      </c>
      <c r="I4993" s="455">
        <f t="shared" ca="1" si="198"/>
        <v>402734561799151.69</v>
      </c>
      <c r="J4993" s="455">
        <f t="array" ref="J4993">IFERROR(INDEX('Retirement Calculator'!J:J,MATCH('Isaac 401k'!N4993,'Retirement Calculator'!A:A,0),0),0)</f>
        <v>0</v>
      </c>
      <c r="K4993" s="455">
        <f t="shared" ca="1" si="196"/>
        <v>1678060674163.1321</v>
      </c>
      <c r="L4993" s="455">
        <f t="shared" ca="1" si="197"/>
        <v>404412622473314.81</v>
      </c>
      <c r="M4993" s="471">
        <f t="shared" si="199"/>
        <v>0.05</v>
      </c>
      <c r="N4993" s="475">
        <f t="shared" si="200"/>
        <v>203016</v>
      </c>
    </row>
    <row r="4994" spans="7:14" ht="11.25" customHeight="1" x14ac:dyDescent="0.3">
      <c r="G4994" s="470"/>
      <c r="H4994" s="470">
        <v>4987</v>
      </c>
      <c r="I4994" s="455">
        <f t="shared" ca="1" si="198"/>
        <v>404412622473314.81</v>
      </c>
      <c r="J4994" s="455">
        <f t="array" ref="J4994">IFERROR(INDEX('Retirement Calculator'!J:J,MATCH('Isaac 401k'!N4994,'Retirement Calculator'!A:A,0),0),0)</f>
        <v>0</v>
      </c>
      <c r="K4994" s="455">
        <f t="shared" ca="1" si="196"/>
        <v>1685052593638.8118</v>
      </c>
      <c r="L4994" s="455">
        <f t="shared" ca="1" si="197"/>
        <v>406097675066953.63</v>
      </c>
      <c r="M4994" s="471">
        <f t="shared" si="199"/>
        <v>0.05</v>
      </c>
      <c r="N4994" s="475">
        <f t="shared" si="200"/>
        <v>203046</v>
      </c>
    </row>
    <row r="4995" spans="7:14" ht="11.25" customHeight="1" x14ac:dyDescent="0.3">
      <c r="G4995" s="470"/>
      <c r="H4995" s="470">
        <v>4988</v>
      </c>
      <c r="I4995" s="455">
        <f t="shared" ca="1" si="198"/>
        <v>406097675066953.63</v>
      </c>
      <c r="J4995" s="455">
        <f t="array" ref="J4995">IFERROR(INDEX('Retirement Calculator'!J:J,MATCH('Isaac 401k'!N4995,'Retirement Calculator'!A:A,0),0),0)</f>
        <v>0</v>
      </c>
      <c r="K4995" s="455">
        <f t="shared" ca="1" si="196"/>
        <v>1692073646112.3066</v>
      </c>
      <c r="L4995" s="455">
        <f t="shared" ca="1" si="197"/>
        <v>407789748713065.94</v>
      </c>
      <c r="M4995" s="471">
        <f t="shared" si="199"/>
        <v>0.05</v>
      </c>
      <c r="N4995" s="475">
        <f t="shared" si="200"/>
        <v>203077</v>
      </c>
    </row>
    <row r="4996" spans="7:14" ht="11.25" customHeight="1" x14ac:dyDescent="0.3">
      <c r="G4996" s="470"/>
      <c r="H4996" s="470">
        <v>4989</v>
      </c>
      <c r="I4996" s="455">
        <f t="shared" ca="1" si="198"/>
        <v>407789748713065.94</v>
      </c>
      <c r="J4996" s="455">
        <f t="array" ref="J4996">IFERROR(INDEX('Retirement Calculator'!J:J,MATCH('Isaac 401k'!N4996,'Retirement Calculator'!A:A,0),0),0)</f>
        <v>0</v>
      </c>
      <c r="K4996" s="455">
        <f t="shared" ca="1" si="196"/>
        <v>1699123952971.1082</v>
      </c>
      <c r="L4996" s="455">
        <f t="shared" ca="1" si="197"/>
        <v>409488872666037.06</v>
      </c>
      <c r="M4996" s="471">
        <f t="shared" si="199"/>
        <v>0.05</v>
      </c>
      <c r="N4996" s="475">
        <f t="shared" si="200"/>
        <v>203108</v>
      </c>
    </row>
    <row r="4997" spans="7:14" ht="11.25" customHeight="1" x14ac:dyDescent="0.3">
      <c r="G4997" s="470"/>
      <c r="H4997" s="470">
        <v>4990</v>
      </c>
      <c r="I4997" s="455">
        <f t="shared" ca="1" si="198"/>
        <v>409488872666037.06</v>
      </c>
      <c r="J4997" s="455">
        <f t="array" ref="J4997">IFERROR(INDEX('Retirement Calculator'!J:J,MATCH('Isaac 401k'!N4997,'Retirement Calculator'!A:A,0),0),0)</f>
        <v>0</v>
      </c>
      <c r="K4997" s="455">
        <f t="shared" ca="1" si="196"/>
        <v>1706203636108.4878</v>
      </c>
      <c r="L4997" s="455">
        <f t="shared" ca="1" si="197"/>
        <v>411195076302145.56</v>
      </c>
      <c r="M4997" s="471">
        <f t="shared" si="199"/>
        <v>0.05</v>
      </c>
      <c r="N4997" s="475">
        <f t="shared" si="200"/>
        <v>203137</v>
      </c>
    </row>
    <row r="4998" spans="7:14" ht="11.25" customHeight="1" x14ac:dyDescent="0.3">
      <c r="G4998" s="470"/>
      <c r="H4998" s="470">
        <v>4991</v>
      </c>
      <c r="I4998" s="455">
        <f t="shared" ca="1" si="198"/>
        <v>411195076302145.56</v>
      </c>
      <c r="J4998" s="455">
        <f t="array" ref="J4998">IFERROR(INDEX('Retirement Calculator'!J:J,MATCH('Isaac 401k'!N4998,'Retirement Calculator'!A:A,0),0),0)</f>
        <v>0</v>
      </c>
      <c r="K4998" s="455">
        <f t="shared" ca="1" si="196"/>
        <v>1713312817925.6064</v>
      </c>
      <c r="L4998" s="455">
        <f t="shared" ca="1" si="197"/>
        <v>412908389120071.19</v>
      </c>
      <c r="M4998" s="471">
        <f t="shared" si="199"/>
        <v>0.05</v>
      </c>
      <c r="N4998" s="475">
        <f t="shared" si="200"/>
        <v>203168</v>
      </c>
    </row>
    <row r="4999" spans="7:14" ht="11.25" customHeight="1" x14ac:dyDescent="0.3">
      <c r="G4999" s="470"/>
      <c r="H4999" s="470">
        <v>4992</v>
      </c>
      <c r="I4999" s="455">
        <f t="shared" ca="1" si="198"/>
        <v>412908389120071.19</v>
      </c>
      <c r="J4999" s="455">
        <f t="array" ref="J4999">IFERROR(INDEX('Retirement Calculator'!J:J,MATCH('Isaac 401k'!N4999,'Retirement Calculator'!A:A,0),0),0)</f>
        <v>0</v>
      </c>
      <c r="K4999" s="455">
        <f t="shared" ca="1" si="196"/>
        <v>1720451621333.6299</v>
      </c>
      <c r="L4999" s="455">
        <f t="shared" ca="1" si="197"/>
        <v>414628840741404.81</v>
      </c>
      <c r="M4999" s="471">
        <f t="shared" si="199"/>
        <v>0.05</v>
      </c>
      <c r="N4999" s="475">
        <f t="shared" si="200"/>
        <v>203198</v>
      </c>
    </row>
    <row r="5000" spans="7:14" ht="11.25" customHeight="1" x14ac:dyDescent="0.3">
      <c r="G5000" s="470"/>
      <c r="H5000" s="470">
        <v>4993</v>
      </c>
      <c r="I5000" s="455">
        <f t="shared" ca="1" si="198"/>
        <v>414628840741404.81</v>
      </c>
      <c r="J5000" s="455">
        <f t="array" ref="J5000">IFERROR(INDEX('Retirement Calculator'!J:J,MATCH('Isaac 401k'!N5000,'Retirement Calculator'!A:A,0),0),0)</f>
        <v>0</v>
      </c>
      <c r="K5000" s="455">
        <f t="shared" ca="1" si="196"/>
        <v>1727620169755.8533</v>
      </c>
      <c r="L5000" s="455">
        <f t="shared" ca="1" si="197"/>
        <v>416356460911160.69</v>
      </c>
      <c r="M5000" s="471">
        <f t="shared" si="199"/>
        <v>0.05</v>
      </c>
      <c r="N5000" s="475">
        <f t="shared" si="200"/>
        <v>203229</v>
      </c>
    </row>
    <row r="5001" spans="7:14" ht="11.25" customHeight="1" x14ac:dyDescent="0.3">
      <c r="G5001" s="470"/>
      <c r="H5001" s="470">
        <v>4994</v>
      </c>
      <c r="I5001" s="455">
        <f t="shared" ca="1" si="198"/>
        <v>416356460911160.69</v>
      </c>
      <c r="J5001" s="455">
        <f t="array" ref="J5001">IFERROR(INDEX('Retirement Calculator'!J:J,MATCH('Isaac 401k'!N5001,'Retirement Calculator'!A:A,0),0),0)</f>
        <v>0</v>
      </c>
      <c r="K5001" s="455">
        <f t="shared" ca="1" si="196"/>
        <v>1734818587129.8362</v>
      </c>
      <c r="L5001" s="455">
        <f t="shared" ca="1" si="197"/>
        <v>418091279498290.5</v>
      </c>
      <c r="M5001" s="471">
        <f t="shared" si="199"/>
        <v>0.05</v>
      </c>
      <c r="N5001" s="475">
        <f t="shared" si="200"/>
        <v>203259</v>
      </c>
    </row>
    <row r="5002" spans="7:14" ht="11.25" customHeight="1" x14ac:dyDescent="0.3">
      <c r="G5002" s="470"/>
      <c r="H5002" s="470">
        <v>4995</v>
      </c>
      <c r="I5002" s="455">
        <f t="shared" ca="1" si="198"/>
        <v>418091279498290.5</v>
      </c>
      <c r="J5002" s="455">
        <f t="array" ref="J5002">IFERROR(INDEX('Retirement Calculator'!J:J,MATCH('Isaac 401k'!N5002,'Retirement Calculator'!A:A,0),0),0)</f>
        <v>0</v>
      </c>
      <c r="K5002" s="455">
        <f t="shared" ca="1" si="196"/>
        <v>1742046997909.5437</v>
      </c>
      <c r="L5002" s="455">
        <f t="shared" ca="1" si="197"/>
        <v>419833326496200.06</v>
      </c>
      <c r="M5002" s="471">
        <f t="shared" si="199"/>
        <v>0.05</v>
      </c>
      <c r="N5002" s="475">
        <f t="shared" si="200"/>
        <v>203290</v>
      </c>
    </row>
    <row r="5003" spans="7:14" ht="11.25" customHeight="1" x14ac:dyDescent="0.3">
      <c r="G5003" s="470"/>
      <c r="H5003" s="470">
        <v>4996</v>
      </c>
      <c r="I5003" s="455">
        <f t="shared" ca="1" si="198"/>
        <v>419833326496200.06</v>
      </c>
      <c r="J5003" s="455">
        <f t="array" ref="J5003">IFERROR(INDEX('Retirement Calculator'!J:J,MATCH('Isaac 401k'!N5003,'Retirement Calculator'!A:A,0),0),0)</f>
        <v>0</v>
      </c>
      <c r="K5003" s="455">
        <f t="shared" ca="1" si="196"/>
        <v>1749305527067.5002</v>
      </c>
      <c r="L5003" s="455">
        <f t="shared" ca="1" si="197"/>
        <v>421582632023267.56</v>
      </c>
      <c r="M5003" s="471">
        <f t="shared" si="199"/>
        <v>0.05</v>
      </c>
      <c r="N5003" s="475">
        <f t="shared" si="200"/>
        <v>203321</v>
      </c>
    </row>
    <row r="5004" spans="7:14" ht="11.25" customHeight="1" x14ac:dyDescent="0.3">
      <c r="G5004" s="470"/>
      <c r="H5004" s="470">
        <v>4997</v>
      </c>
      <c r="I5004" s="455">
        <f t="shared" ca="1" si="198"/>
        <v>421582632023267.56</v>
      </c>
      <c r="J5004" s="455">
        <f t="array" ref="J5004">IFERROR(INDEX('Retirement Calculator'!J:J,MATCH('Isaac 401k'!N5004,'Retirement Calculator'!A:A,0),0),0)</f>
        <v>0</v>
      </c>
      <c r="K5004" s="455">
        <f t="shared" ca="1" si="196"/>
        <v>1756594300096.9482</v>
      </c>
      <c r="L5004" s="455">
        <f t="shared" ca="1" si="197"/>
        <v>423339226323364.5</v>
      </c>
      <c r="M5004" s="471">
        <f t="shared" si="199"/>
        <v>0.05</v>
      </c>
      <c r="N5004" s="475">
        <f t="shared" si="200"/>
        <v>203351</v>
      </c>
    </row>
    <row r="5005" spans="7:14" ht="11.25" customHeight="1" x14ac:dyDescent="0.3">
      <c r="G5005" s="470"/>
      <c r="H5005" s="470">
        <v>4998</v>
      </c>
      <c r="I5005" s="455">
        <f t="shared" ca="1" si="198"/>
        <v>423339226323364.5</v>
      </c>
      <c r="J5005" s="455">
        <f t="array" ref="J5005">IFERROR(INDEX('Retirement Calculator'!J:J,MATCH('Isaac 401k'!N5005,'Retirement Calculator'!A:A,0),0),0)</f>
        <v>0</v>
      </c>
      <c r="K5005" s="455">
        <f t="shared" ca="1" si="196"/>
        <v>1763913443014.0188</v>
      </c>
      <c r="L5005" s="455">
        <f t="shared" ca="1" si="197"/>
        <v>425103139766378.5</v>
      </c>
      <c r="M5005" s="471">
        <f t="shared" si="199"/>
        <v>0.05</v>
      </c>
      <c r="N5005" s="475">
        <f t="shared" si="200"/>
        <v>203382</v>
      </c>
    </row>
    <row r="5006" spans="7:14" ht="11.25" customHeight="1" x14ac:dyDescent="0.3">
      <c r="G5006" s="470"/>
      <c r="H5006" s="470">
        <v>4999</v>
      </c>
      <c r="I5006" s="455">
        <f t="shared" ca="1" si="198"/>
        <v>425103139766378.5</v>
      </c>
      <c r="J5006" s="455">
        <f t="array" ref="J5006">IFERROR(INDEX('Retirement Calculator'!J:J,MATCH('Isaac 401k'!N5006,'Retirement Calculator'!A:A,0),0),0)</f>
        <v>0</v>
      </c>
      <c r="K5006" s="455">
        <f t="shared" ca="1" si="196"/>
        <v>1771263082359.9104</v>
      </c>
      <c r="L5006" s="455">
        <f t="shared" ca="1" si="197"/>
        <v>426874402848738.44</v>
      </c>
      <c r="M5006" s="471">
        <f t="shared" si="199"/>
        <v>0.05</v>
      </c>
      <c r="N5006" s="475">
        <f t="shared" si="200"/>
        <v>203412</v>
      </c>
    </row>
    <row r="5007" spans="7:14" ht="11.25" customHeight="1" x14ac:dyDescent="0.3">
      <c r="G5007" s="470"/>
      <c r="H5007" s="470">
        <v>5000</v>
      </c>
      <c r="I5007" s="455">
        <f t="shared" ca="1" si="198"/>
        <v>426874402848738.44</v>
      </c>
      <c r="J5007" s="455">
        <f t="array" ref="J5007">IFERROR(INDEX('Retirement Calculator'!J:J,MATCH('Isaac 401k'!N5007,'Retirement Calculator'!A:A,0),0),0)</f>
        <v>0</v>
      </c>
      <c r="K5007" s="455">
        <f t="shared" ca="1" si="196"/>
        <v>1778643345203.0769</v>
      </c>
      <c r="L5007" s="455">
        <f t="shared" ca="1" si="197"/>
        <v>428653046193941.5</v>
      </c>
      <c r="M5007" s="471">
        <f t="shared" si="199"/>
        <v>0.05</v>
      </c>
      <c r="N5007" s="475">
        <f t="shared" si="200"/>
        <v>203443</v>
      </c>
    </row>
    <row r="5008" spans="7:14" ht="11.25" customHeight="1" x14ac:dyDescent="0.3">
      <c r="G5008" s="470"/>
      <c r="H5008" s="470">
        <v>5001</v>
      </c>
      <c r="I5008" s="455">
        <f t="shared" ca="1" si="198"/>
        <v>428653046193941.5</v>
      </c>
      <c r="J5008" s="455">
        <f t="array" ref="J5008">IFERROR(INDEX('Retirement Calculator'!J:J,MATCH('Isaac 401k'!N5008,'Retirement Calculator'!A:A,0),0),0)</f>
        <v>0</v>
      </c>
      <c r="K5008" s="455">
        <f t="shared" ca="1" si="196"/>
        <v>1786054359141.4229</v>
      </c>
      <c r="L5008" s="455">
        <f t="shared" ca="1" si="197"/>
        <v>430439100553082.94</v>
      </c>
      <c r="M5008" s="471">
        <f t="shared" si="199"/>
        <v>0.05</v>
      </c>
      <c r="N5008" s="475">
        <f t="shared" si="200"/>
        <v>203474</v>
      </c>
    </row>
    <row r="5009" spans="7:14" ht="11.25" customHeight="1" x14ac:dyDescent="0.3">
      <c r="G5009" s="470"/>
      <c r="H5009" s="470">
        <v>5002</v>
      </c>
      <c r="I5009" s="455">
        <f t="shared" ca="1" si="198"/>
        <v>430439100553082.94</v>
      </c>
      <c r="J5009" s="455">
        <f t="array" ref="J5009">IFERROR(INDEX('Retirement Calculator'!J:J,MATCH('Isaac 401k'!N5009,'Retirement Calculator'!A:A,0),0),0)</f>
        <v>0</v>
      </c>
      <c r="K5009" s="455">
        <f t="shared" ca="1" si="196"/>
        <v>1793496252304.5122</v>
      </c>
      <c r="L5009" s="455">
        <f t="shared" ca="1" si="197"/>
        <v>432232596805387.44</v>
      </c>
      <c r="M5009" s="471">
        <f t="shared" si="199"/>
        <v>0.05</v>
      </c>
      <c r="N5009" s="475">
        <f t="shared" si="200"/>
        <v>203502</v>
      </c>
    </row>
    <row r="5010" spans="7:14" ht="11.25" customHeight="1" x14ac:dyDescent="0.3">
      <c r="G5010" s="470"/>
      <c r="H5010" s="470">
        <v>5003</v>
      </c>
      <c r="I5010" s="455">
        <f t="shared" ca="1" si="198"/>
        <v>432232596805387.44</v>
      </c>
      <c r="J5010" s="455">
        <f t="array" ref="J5010">IFERROR(INDEX('Retirement Calculator'!J:J,MATCH('Isaac 401k'!N5010,'Retirement Calculator'!A:A,0),0),0)</f>
        <v>0</v>
      </c>
      <c r="K5010" s="455">
        <f t="shared" ca="1" si="196"/>
        <v>1800969153355.781</v>
      </c>
      <c r="L5010" s="455">
        <f t="shared" ca="1" si="197"/>
        <v>434033565958743.19</v>
      </c>
      <c r="M5010" s="471">
        <f t="shared" si="199"/>
        <v>0.05</v>
      </c>
      <c r="N5010" s="475">
        <f t="shared" si="200"/>
        <v>203533</v>
      </c>
    </row>
    <row r="5011" spans="7:14" ht="11.25" customHeight="1" x14ac:dyDescent="0.3">
      <c r="G5011" s="470"/>
      <c r="H5011" s="470">
        <v>5004</v>
      </c>
      <c r="I5011" s="455">
        <f t="shared" ca="1" si="198"/>
        <v>434033565958743.19</v>
      </c>
      <c r="J5011" s="455">
        <f t="array" ref="J5011">IFERROR(INDEX('Retirement Calculator'!J:J,MATCH('Isaac 401k'!N5011,'Retirement Calculator'!A:A,0),0),0)</f>
        <v>0</v>
      </c>
      <c r="K5011" s="455">
        <f t="shared" ca="1" si="196"/>
        <v>1808473191494.7632</v>
      </c>
      <c r="L5011" s="455">
        <f t="shared" ca="1" si="197"/>
        <v>435842039150237.94</v>
      </c>
      <c r="M5011" s="471">
        <f t="shared" si="199"/>
        <v>0.05</v>
      </c>
      <c r="N5011" s="475">
        <f t="shared" si="200"/>
        <v>203563</v>
      </c>
    </row>
    <row r="5012" spans="7:14" ht="11.25" customHeight="1" x14ac:dyDescent="0.3">
      <c r="G5012" s="470"/>
      <c r="H5012" s="470">
        <v>5005</v>
      </c>
      <c r="I5012" s="455">
        <f t="shared" ca="1" si="198"/>
        <v>435842039150237.94</v>
      </c>
      <c r="J5012" s="455">
        <f t="array" ref="J5012">IFERROR(INDEX('Retirement Calculator'!J:J,MATCH('Isaac 401k'!N5012,'Retirement Calculator'!A:A,0),0),0)</f>
        <v>0</v>
      </c>
      <c r="K5012" s="455">
        <f t="shared" ca="1" si="196"/>
        <v>1816008496459.3247</v>
      </c>
      <c r="L5012" s="455">
        <f t="shared" ca="1" si="197"/>
        <v>437658047646697.25</v>
      </c>
      <c r="M5012" s="471">
        <f t="shared" si="199"/>
        <v>0.05</v>
      </c>
      <c r="N5012" s="475">
        <f t="shared" si="200"/>
        <v>203594</v>
      </c>
    </row>
    <row r="5013" spans="7:14" ht="11.25" customHeight="1" x14ac:dyDescent="0.3">
      <c r="G5013" s="470"/>
      <c r="H5013" s="470">
        <v>5006</v>
      </c>
      <c r="I5013" s="455">
        <f t="shared" ca="1" si="198"/>
        <v>437658047646697.25</v>
      </c>
      <c r="J5013" s="455">
        <f t="array" ref="J5013">IFERROR(INDEX('Retirement Calculator'!J:J,MATCH('Isaac 401k'!N5013,'Retirement Calculator'!A:A,0),0),0)</f>
        <v>0</v>
      </c>
      <c r="K5013" s="455">
        <f t="shared" ca="1" si="196"/>
        <v>1823575198527.9053</v>
      </c>
      <c r="L5013" s="455">
        <f t="shared" ca="1" si="197"/>
        <v>439481622845225.13</v>
      </c>
      <c r="M5013" s="471">
        <f t="shared" si="199"/>
        <v>0.05</v>
      </c>
      <c r="N5013" s="475">
        <f t="shared" si="200"/>
        <v>203624</v>
      </c>
    </row>
    <row r="5014" spans="7:14" ht="11.25" customHeight="1" x14ac:dyDescent="0.3">
      <c r="G5014" s="470"/>
      <c r="H5014" s="470">
        <v>5007</v>
      </c>
      <c r="I5014" s="455">
        <f t="shared" ca="1" si="198"/>
        <v>439481622845225.13</v>
      </c>
      <c r="J5014" s="455">
        <f t="array" ref="J5014">IFERROR(INDEX('Retirement Calculator'!J:J,MATCH('Isaac 401k'!N5014,'Retirement Calculator'!A:A,0),0),0)</f>
        <v>0</v>
      </c>
      <c r="K5014" s="455">
        <f t="shared" ca="1" si="196"/>
        <v>1831173428521.7712</v>
      </c>
      <c r="L5014" s="455">
        <f t="shared" ca="1" si="197"/>
        <v>441312796273746.88</v>
      </c>
      <c r="M5014" s="471">
        <f t="shared" si="199"/>
        <v>0.05</v>
      </c>
      <c r="N5014" s="475">
        <f t="shared" si="200"/>
        <v>203655</v>
      </c>
    </row>
    <row r="5015" spans="7:14" ht="11.25" customHeight="1" x14ac:dyDescent="0.3">
      <c r="G5015" s="470"/>
      <c r="H5015" s="470">
        <v>5008</v>
      </c>
      <c r="I5015" s="455">
        <f t="shared" ca="1" si="198"/>
        <v>441312796273746.88</v>
      </c>
      <c r="J5015" s="455">
        <f t="array" ref="J5015">IFERROR(INDEX('Retirement Calculator'!J:J,MATCH('Isaac 401k'!N5015,'Retirement Calculator'!A:A,0),0),0)</f>
        <v>0</v>
      </c>
      <c r="K5015" s="455">
        <f t="shared" ca="1" si="196"/>
        <v>1838803317807.2786</v>
      </c>
      <c r="L5015" s="455">
        <f t="shared" ca="1" si="197"/>
        <v>443151599591554.13</v>
      </c>
      <c r="M5015" s="471">
        <f t="shared" si="199"/>
        <v>0.05</v>
      </c>
      <c r="N5015" s="475">
        <f t="shared" si="200"/>
        <v>203686</v>
      </c>
    </row>
    <row r="5016" spans="7:14" ht="11.25" customHeight="1" x14ac:dyDescent="0.3">
      <c r="G5016" s="470"/>
      <c r="H5016" s="470">
        <v>5009</v>
      </c>
      <c r="I5016" s="455">
        <f t="shared" ca="1" si="198"/>
        <v>443151599591554.13</v>
      </c>
      <c r="J5016" s="455">
        <f t="array" ref="J5016">IFERROR(INDEX('Retirement Calculator'!J:J,MATCH('Isaac 401k'!N5016,'Retirement Calculator'!A:A,0),0),0)</f>
        <v>0</v>
      </c>
      <c r="K5016" s="455">
        <f t="shared" ca="1" si="196"/>
        <v>1846464998298.1423</v>
      </c>
      <c r="L5016" s="455">
        <f t="shared" ca="1" si="197"/>
        <v>444998064589852.25</v>
      </c>
      <c r="M5016" s="471">
        <f t="shared" si="199"/>
        <v>0.05</v>
      </c>
      <c r="N5016" s="475">
        <f t="shared" si="200"/>
        <v>203716</v>
      </c>
    </row>
    <row r="5017" spans="7:14" ht="11.25" customHeight="1" x14ac:dyDescent="0.3">
      <c r="G5017" s="470"/>
      <c r="H5017" s="470">
        <v>5010</v>
      </c>
      <c r="I5017" s="455">
        <f t="shared" ca="1" si="198"/>
        <v>444998064589852.25</v>
      </c>
      <c r="J5017" s="455">
        <f t="array" ref="J5017">IFERROR(INDEX('Retirement Calculator'!J:J,MATCH('Isaac 401k'!N5017,'Retirement Calculator'!A:A,0),0),0)</f>
        <v>0</v>
      </c>
      <c r="K5017" s="455">
        <f t="shared" ca="1" si="196"/>
        <v>1854158602457.718</v>
      </c>
      <c r="L5017" s="455">
        <f t="shared" ca="1" si="197"/>
        <v>446852223192309.94</v>
      </c>
      <c r="M5017" s="471">
        <f t="shared" si="199"/>
        <v>0.05</v>
      </c>
      <c r="N5017" s="475">
        <f t="shared" si="200"/>
        <v>203747</v>
      </c>
    </row>
    <row r="5018" spans="7:14" ht="11.25" customHeight="1" x14ac:dyDescent="0.3">
      <c r="G5018" s="470"/>
      <c r="H5018" s="470">
        <v>5011</v>
      </c>
      <c r="I5018" s="455">
        <f t="shared" ca="1" si="198"/>
        <v>446852223192309.94</v>
      </c>
      <c r="J5018" s="455">
        <f t="array" ref="J5018">IFERROR(INDEX('Retirement Calculator'!J:J,MATCH('Isaac 401k'!N5018,'Retirement Calculator'!A:A,0),0),0)</f>
        <v>0</v>
      </c>
      <c r="K5018" s="455">
        <f t="shared" ca="1" si="196"/>
        <v>1861884263301.2917</v>
      </c>
      <c r="L5018" s="455">
        <f t="shared" ca="1" si="197"/>
        <v>448714107455611.25</v>
      </c>
      <c r="M5018" s="471">
        <f t="shared" si="199"/>
        <v>0.05</v>
      </c>
      <c r="N5018" s="475">
        <f t="shared" si="200"/>
        <v>203777</v>
      </c>
    </row>
    <row r="5019" spans="7:14" ht="11.25" customHeight="1" x14ac:dyDescent="0.3">
      <c r="G5019" s="470"/>
      <c r="H5019" s="470">
        <v>5012</v>
      </c>
      <c r="I5019" s="455">
        <f t="shared" ca="1" si="198"/>
        <v>448714107455611.25</v>
      </c>
      <c r="J5019" s="455">
        <f t="array" ref="J5019">IFERROR(INDEX('Retirement Calculator'!J:J,MATCH('Isaac 401k'!N5019,'Retirement Calculator'!A:A,0),0),0)</f>
        <v>0</v>
      </c>
      <c r="K5019" s="455">
        <f t="shared" ca="1" si="196"/>
        <v>1869642114398.3801</v>
      </c>
      <c r="L5019" s="455">
        <f t="shared" ca="1" si="197"/>
        <v>450583749570009.63</v>
      </c>
      <c r="M5019" s="471">
        <f t="shared" si="199"/>
        <v>0.05</v>
      </c>
      <c r="N5019" s="475">
        <f t="shared" si="200"/>
        <v>203808</v>
      </c>
    </row>
    <row r="5020" spans="7:14" ht="11.25" customHeight="1" x14ac:dyDescent="0.3">
      <c r="G5020" s="470"/>
      <c r="H5020" s="470">
        <v>5013</v>
      </c>
      <c r="I5020" s="455">
        <f t="shared" ca="1" si="198"/>
        <v>450583749570009.63</v>
      </c>
      <c r="J5020" s="455">
        <f t="array" ref="J5020">IFERROR(INDEX('Retirement Calculator'!J:J,MATCH('Isaac 401k'!N5020,'Retirement Calculator'!A:A,0),0),0)</f>
        <v>0</v>
      </c>
      <c r="K5020" s="455">
        <f t="shared" ca="1" si="196"/>
        <v>1877432289875.04</v>
      </c>
      <c r="L5020" s="455">
        <f t="shared" ca="1" si="197"/>
        <v>452461181859884.69</v>
      </c>
      <c r="M5020" s="471">
        <f t="shared" si="199"/>
        <v>0.05</v>
      </c>
      <c r="N5020" s="475">
        <f t="shared" si="200"/>
        <v>203839</v>
      </c>
    </row>
    <row r="5021" spans="7:14" ht="11.25" customHeight="1" x14ac:dyDescent="0.3">
      <c r="G5021" s="470"/>
      <c r="H5021" s="470">
        <v>5014</v>
      </c>
      <c r="I5021" s="455">
        <f t="shared" ca="1" si="198"/>
        <v>452461181859884.69</v>
      </c>
      <c r="J5021" s="455">
        <f t="array" ref="J5021">IFERROR(INDEX('Retirement Calculator'!J:J,MATCH('Isaac 401k'!N5021,'Retirement Calculator'!A:A,0),0),0)</f>
        <v>0</v>
      </c>
      <c r="K5021" s="455">
        <f t="shared" ca="1" si="196"/>
        <v>1885254924416.1863</v>
      </c>
      <c r="L5021" s="455">
        <f t="shared" ca="1" si="197"/>
        <v>454346436784300.88</v>
      </c>
      <c r="M5021" s="471">
        <f t="shared" si="199"/>
        <v>0.05</v>
      </c>
      <c r="N5021" s="475">
        <f t="shared" si="200"/>
        <v>203867</v>
      </c>
    </row>
    <row r="5022" spans="7:14" ht="11.25" customHeight="1" x14ac:dyDescent="0.3">
      <c r="G5022" s="470"/>
      <c r="H5022" s="470">
        <v>5015</v>
      </c>
      <c r="I5022" s="455">
        <f t="shared" ca="1" si="198"/>
        <v>454346436784300.88</v>
      </c>
      <c r="J5022" s="455">
        <f t="array" ref="J5022">IFERROR(INDEX('Retirement Calculator'!J:J,MATCH('Isaac 401k'!N5022,'Retirement Calculator'!A:A,0),0),0)</f>
        <v>0</v>
      </c>
      <c r="K5022" s="455">
        <f t="shared" ca="1" si="196"/>
        <v>1893110153267.9202</v>
      </c>
      <c r="L5022" s="455">
        <f t="shared" ca="1" si="197"/>
        <v>456239546937568.81</v>
      </c>
      <c r="M5022" s="471">
        <f t="shared" si="199"/>
        <v>0.05</v>
      </c>
      <c r="N5022" s="475">
        <f t="shared" si="200"/>
        <v>203898</v>
      </c>
    </row>
    <row r="5023" spans="7:14" ht="11.25" customHeight="1" x14ac:dyDescent="0.3">
      <c r="G5023" s="470"/>
      <c r="H5023" s="470">
        <v>5016</v>
      </c>
      <c r="I5023" s="455">
        <f t="shared" ca="1" si="198"/>
        <v>456239546937568.81</v>
      </c>
      <c r="J5023" s="455">
        <f t="array" ref="J5023">IFERROR(INDEX('Retirement Calculator'!J:J,MATCH('Isaac 401k'!N5023,'Retirement Calculator'!A:A,0),0),0)</f>
        <v>0</v>
      </c>
      <c r="K5023" s="455">
        <f t="shared" ca="1" si="196"/>
        <v>1900998112239.8701</v>
      </c>
      <c r="L5023" s="455">
        <f t="shared" ca="1" si="197"/>
        <v>458140545049808.69</v>
      </c>
      <c r="M5023" s="471">
        <f t="shared" si="199"/>
        <v>0.05</v>
      </c>
      <c r="N5023" s="475">
        <f t="shared" si="200"/>
        <v>203928</v>
      </c>
    </row>
    <row r="5024" spans="7:14" ht="11.25" customHeight="1" x14ac:dyDescent="0.3">
      <c r="G5024" s="470"/>
      <c r="H5024" s="470">
        <v>5017</v>
      </c>
      <c r="I5024" s="455">
        <f t="shared" ca="1" si="198"/>
        <v>458140545049808.69</v>
      </c>
      <c r="J5024" s="455">
        <f t="array" ref="J5024">IFERROR(INDEX('Retirement Calculator'!J:J,MATCH('Isaac 401k'!N5024,'Retirement Calculator'!A:A,0),0),0)</f>
        <v>0</v>
      </c>
      <c r="K5024" s="455">
        <f t="shared" ca="1" si="196"/>
        <v>1908918937707.5361</v>
      </c>
      <c r="L5024" s="455">
        <f t="shared" ca="1" si="197"/>
        <v>460049463987516.25</v>
      </c>
      <c r="M5024" s="471">
        <f t="shared" si="199"/>
        <v>0.05</v>
      </c>
      <c r="N5024" s="475">
        <f t="shared" si="200"/>
        <v>203959</v>
      </c>
    </row>
    <row r="5025" spans="7:14" ht="11.25" customHeight="1" x14ac:dyDescent="0.3">
      <c r="G5025" s="470"/>
      <c r="H5025" s="470">
        <v>5018</v>
      </c>
      <c r="I5025" s="455">
        <f t="shared" ca="1" si="198"/>
        <v>460049463987516.25</v>
      </c>
      <c r="J5025" s="455">
        <f t="array" ref="J5025">IFERROR(INDEX('Retirement Calculator'!J:J,MATCH('Isaac 401k'!N5025,'Retirement Calculator'!A:A,0),0),0)</f>
        <v>0</v>
      </c>
      <c r="K5025" s="455">
        <f t="shared" ca="1" si="196"/>
        <v>1916872766614.6506</v>
      </c>
      <c r="L5025" s="455">
        <f t="shared" ca="1" si="197"/>
        <v>461966336754130.88</v>
      </c>
      <c r="M5025" s="471">
        <f t="shared" si="199"/>
        <v>0.05</v>
      </c>
      <c r="N5025" s="475">
        <f t="shared" si="200"/>
        <v>203989</v>
      </c>
    </row>
    <row r="5026" spans="7:14" ht="11.25" customHeight="1" x14ac:dyDescent="0.3">
      <c r="G5026" s="470"/>
      <c r="H5026" s="470">
        <v>5019</v>
      </c>
      <c r="I5026" s="455">
        <f t="shared" ca="1" si="198"/>
        <v>461966336754130.88</v>
      </c>
      <c r="J5026" s="455">
        <f t="array" ref="J5026">IFERROR(INDEX('Retirement Calculator'!J:J,MATCH('Isaac 401k'!N5026,'Retirement Calculator'!A:A,0),0),0)</f>
        <v>0</v>
      </c>
      <c r="K5026" s="455">
        <f t="shared" ca="1" si="196"/>
        <v>1924859736475.5452</v>
      </c>
      <c r="L5026" s="455">
        <f t="shared" ca="1" si="197"/>
        <v>463891196490606.44</v>
      </c>
      <c r="M5026" s="471">
        <f t="shared" si="199"/>
        <v>0.05</v>
      </c>
      <c r="N5026" s="475">
        <f t="shared" si="200"/>
        <v>204020</v>
      </c>
    </row>
    <row r="5027" spans="7:14" ht="11.25" customHeight="1" x14ac:dyDescent="0.3">
      <c r="G5027" s="470"/>
      <c r="H5027" s="470">
        <v>5020</v>
      </c>
      <c r="I5027" s="455">
        <f t="shared" ca="1" si="198"/>
        <v>463891196490606.44</v>
      </c>
      <c r="J5027" s="455">
        <f t="array" ref="J5027">IFERROR(INDEX('Retirement Calculator'!J:J,MATCH('Isaac 401k'!N5027,'Retirement Calculator'!A:A,0),0),0)</f>
        <v>0</v>
      </c>
      <c r="K5027" s="455">
        <f t="shared" ca="1" si="196"/>
        <v>1932879985377.5269</v>
      </c>
      <c r="L5027" s="455">
        <f t="shared" ca="1" si="197"/>
        <v>465824076475983.94</v>
      </c>
      <c r="M5027" s="471">
        <f t="shared" si="199"/>
        <v>0.05</v>
      </c>
      <c r="N5027" s="475">
        <f t="shared" si="200"/>
        <v>204051</v>
      </c>
    </row>
    <row r="5028" spans="7:14" ht="11.25" customHeight="1" x14ac:dyDescent="0.3">
      <c r="G5028" s="470"/>
      <c r="H5028" s="470">
        <v>5021</v>
      </c>
      <c r="I5028" s="455">
        <f t="shared" ca="1" si="198"/>
        <v>465824076475983.94</v>
      </c>
      <c r="J5028" s="455">
        <f t="array" ref="J5028">IFERROR(INDEX('Retirement Calculator'!J:J,MATCH('Isaac 401k'!N5028,'Retirement Calculator'!A:A,0),0),0)</f>
        <v>0</v>
      </c>
      <c r="K5028" s="455">
        <f t="shared" ca="1" si="196"/>
        <v>1940933651983.2664</v>
      </c>
      <c r="L5028" s="455">
        <f t="shared" ca="1" si="197"/>
        <v>467765010127967.19</v>
      </c>
      <c r="M5028" s="471">
        <f t="shared" si="199"/>
        <v>0.05</v>
      </c>
      <c r="N5028" s="475">
        <f t="shared" si="200"/>
        <v>204081</v>
      </c>
    </row>
    <row r="5029" spans="7:14" ht="11.25" customHeight="1" x14ac:dyDescent="0.3">
      <c r="G5029" s="470"/>
      <c r="H5029" s="470">
        <v>5022</v>
      </c>
      <c r="I5029" s="455">
        <f t="shared" ca="1" si="198"/>
        <v>467765010127967.19</v>
      </c>
      <c r="J5029" s="455">
        <f t="array" ref="J5029">IFERROR(INDEX('Retirement Calculator'!J:J,MATCH('Isaac 401k'!N5029,'Retirement Calculator'!A:A,0),0),0)</f>
        <v>0</v>
      </c>
      <c r="K5029" s="455">
        <f t="shared" ca="1" si="196"/>
        <v>1949020875533.1965</v>
      </c>
      <c r="L5029" s="455">
        <f t="shared" ca="1" si="197"/>
        <v>469714031003500.38</v>
      </c>
      <c r="M5029" s="471">
        <f t="shared" si="199"/>
        <v>0.05</v>
      </c>
      <c r="N5029" s="475">
        <f t="shared" si="200"/>
        <v>204112</v>
      </c>
    </row>
    <row r="5030" spans="7:14" ht="11.25" customHeight="1" x14ac:dyDescent="0.3">
      <c r="G5030" s="470"/>
      <c r="H5030" s="470">
        <v>5023</v>
      </c>
      <c r="I5030" s="455">
        <f t="shared" ca="1" si="198"/>
        <v>469714031003500.38</v>
      </c>
      <c r="J5030" s="455">
        <f t="array" ref="J5030">IFERROR(INDEX('Retirement Calculator'!J:J,MATCH('Isaac 401k'!N5030,'Retirement Calculator'!A:A,0),0),0)</f>
        <v>0</v>
      </c>
      <c r="K5030" s="455">
        <f t="shared" ca="1" si="196"/>
        <v>1957141795847.9182</v>
      </c>
      <c r="L5030" s="455">
        <f t="shared" ca="1" si="197"/>
        <v>471671172799348.31</v>
      </c>
      <c r="M5030" s="471">
        <f t="shared" si="199"/>
        <v>0.05</v>
      </c>
      <c r="N5030" s="475">
        <f t="shared" si="200"/>
        <v>204142</v>
      </c>
    </row>
    <row r="5031" spans="7:14" ht="11.25" customHeight="1" x14ac:dyDescent="0.3">
      <c r="G5031" s="470"/>
      <c r="H5031" s="470">
        <v>5024</v>
      </c>
      <c r="I5031" s="455">
        <f t="shared" ca="1" si="198"/>
        <v>471671172799348.31</v>
      </c>
      <c r="J5031" s="455">
        <f t="array" ref="J5031">IFERROR(INDEX('Retirement Calculator'!J:J,MATCH('Isaac 401k'!N5031,'Retirement Calculator'!A:A,0),0),0)</f>
        <v>0</v>
      </c>
      <c r="K5031" s="455">
        <f t="shared" ca="1" si="196"/>
        <v>1965296553330.6179</v>
      </c>
      <c r="L5031" s="455">
        <f t="shared" ca="1" si="197"/>
        <v>473636469352678.94</v>
      </c>
      <c r="M5031" s="471">
        <f t="shared" si="199"/>
        <v>0.05</v>
      </c>
      <c r="N5031" s="475">
        <f t="shared" si="200"/>
        <v>204173</v>
      </c>
    </row>
    <row r="5032" spans="7:14" ht="11.25" customHeight="1" x14ac:dyDescent="0.3">
      <c r="G5032" s="470"/>
      <c r="H5032" s="470">
        <v>5025</v>
      </c>
      <c r="I5032" s="455">
        <f t="shared" ca="1" si="198"/>
        <v>473636469352678.94</v>
      </c>
      <c r="J5032" s="455">
        <f t="array" ref="J5032">IFERROR(INDEX('Retirement Calculator'!J:J,MATCH('Isaac 401k'!N5032,'Retirement Calculator'!A:A,0),0),0)</f>
        <v>0</v>
      </c>
      <c r="K5032" s="455">
        <f t="shared" ca="1" si="196"/>
        <v>1973485288969.4956</v>
      </c>
      <c r="L5032" s="455">
        <f t="shared" ca="1" si="197"/>
        <v>475609954641648.44</v>
      </c>
      <c r="M5032" s="471">
        <f t="shared" si="199"/>
        <v>0.05</v>
      </c>
      <c r="N5032" s="475">
        <f t="shared" si="200"/>
        <v>204204</v>
      </c>
    </row>
    <row r="5033" spans="7:14" ht="11.25" customHeight="1" x14ac:dyDescent="0.3">
      <c r="G5033" s="470"/>
      <c r="H5033" s="470">
        <v>5026</v>
      </c>
      <c r="I5033" s="455">
        <f t="shared" ca="1" si="198"/>
        <v>475609954641648.44</v>
      </c>
      <c r="J5033" s="455">
        <f t="array" ref="J5033">IFERROR(INDEX('Retirement Calculator'!J:J,MATCH('Isaac 401k'!N5033,'Retirement Calculator'!A:A,0),0),0)</f>
        <v>0</v>
      </c>
      <c r="K5033" s="455">
        <f t="shared" ca="1" si="196"/>
        <v>1981708144340.2021</v>
      </c>
      <c r="L5033" s="455">
        <f t="shared" ca="1" si="197"/>
        <v>477591662785988.63</v>
      </c>
      <c r="M5033" s="471">
        <f t="shared" si="199"/>
        <v>0.05</v>
      </c>
      <c r="N5033" s="475">
        <f t="shared" si="200"/>
        <v>204232</v>
      </c>
    </row>
    <row r="5034" spans="7:14" ht="11.25" customHeight="1" x14ac:dyDescent="0.3">
      <c r="G5034" s="470"/>
      <c r="H5034" s="470">
        <v>5027</v>
      </c>
      <c r="I5034" s="455">
        <f t="shared" ca="1" si="198"/>
        <v>477591662785988.63</v>
      </c>
      <c r="J5034" s="455">
        <f t="array" ref="J5034">IFERROR(INDEX('Retirement Calculator'!J:J,MATCH('Isaac 401k'!N5034,'Retirement Calculator'!A:A,0),0),0)</f>
        <v>0</v>
      </c>
      <c r="K5034" s="455">
        <f t="shared" ca="1" si="196"/>
        <v>1989965261608.2859</v>
      </c>
      <c r="L5034" s="455">
        <f t="shared" ca="1" si="197"/>
        <v>479581628047596.94</v>
      </c>
      <c r="M5034" s="471">
        <f t="shared" si="199"/>
        <v>0.05</v>
      </c>
      <c r="N5034" s="475">
        <f t="shared" si="200"/>
        <v>204263</v>
      </c>
    </row>
    <row r="5035" spans="7:14" ht="11.25" customHeight="1" x14ac:dyDescent="0.3">
      <c r="G5035" s="470"/>
      <c r="H5035" s="470">
        <v>5028</v>
      </c>
      <c r="I5035" s="455">
        <f t="shared" ca="1" si="198"/>
        <v>479581628047596.94</v>
      </c>
      <c r="J5035" s="455">
        <f t="array" ref="J5035">IFERROR(INDEX('Retirement Calculator'!J:J,MATCH('Isaac 401k'!N5035,'Retirement Calculator'!A:A,0),0),0)</f>
        <v>0</v>
      </c>
      <c r="K5035" s="455">
        <f t="shared" ca="1" si="196"/>
        <v>1998256783531.6541</v>
      </c>
      <c r="L5035" s="455">
        <f t="shared" ca="1" si="197"/>
        <v>481579884831128.56</v>
      </c>
      <c r="M5035" s="471">
        <f t="shared" si="199"/>
        <v>0.05</v>
      </c>
      <c r="N5035" s="475">
        <f t="shared" si="200"/>
        <v>204293</v>
      </c>
    </row>
    <row r="5036" spans="7:14" ht="11.25" customHeight="1" x14ac:dyDescent="0.3">
      <c r="G5036" s="470"/>
      <c r="H5036" s="470">
        <v>5029</v>
      </c>
      <c r="I5036" s="455">
        <f t="shared" ca="1" si="198"/>
        <v>481579884831128.56</v>
      </c>
      <c r="J5036" s="455">
        <f t="array" ref="J5036">IFERROR(INDEX('Retirement Calculator'!J:J,MATCH('Isaac 401k'!N5036,'Retirement Calculator'!A:A,0),0),0)</f>
        <v>0</v>
      </c>
      <c r="K5036" s="455">
        <f t="shared" ca="1" si="196"/>
        <v>2006582853463.0356</v>
      </c>
      <c r="L5036" s="455">
        <f t="shared" ca="1" si="197"/>
        <v>483586467684591.63</v>
      </c>
      <c r="M5036" s="471">
        <f t="shared" si="199"/>
        <v>0.05</v>
      </c>
      <c r="N5036" s="475">
        <f t="shared" si="200"/>
        <v>204324</v>
      </c>
    </row>
    <row r="5037" spans="7:14" ht="11.25" customHeight="1" x14ac:dyDescent="0.3">
      <c r="G5037" s="470"/>
      <c r="H5037" s="470">
        <v>5030</v>
      </c>
      <c r="I5037" s="455">
        <f t="shared" ca="1" si="198"/>
        <v>483586467684591.63</v>
      </c>
      <c r="J5037" s="455">
        <f t="array" ref="J5037">IFERROR(INDEX('Retirement Calculator'!J:J,MATCH('Isaac 401k'!N5037,'Retirement Calculator'!A:A,0),0),0)</f>
        <v>0</v>
      </c>
      <c r="K5037" s="455">
        <f t="shared" ca="1" si="196"/>
        <v>2014943615352.4651</v>
      </c>
      <c r="L5037" s="455">
        <f t="shared" ca="1" si="197"/>
        <v>485601411299944.06</v>
      </c>
      <c r="M5037" s="471">
        <f t="shared" si="199"/>
        <v>0.05</v>
      </c>
      <c r="N5037" s="475">
        <f t="shared" si="200"/>
        <v>204354</v>
      </c>
    </row>
    <row r="5038" spans="7:14" ht="11.25" customHeight="1" x14ac:dyDescent="0.3">
      <c r="G5038" s="470"/>
      <c r="H5038" s="470">
        <v>5031</v>
      </c>
      <c r="I5038" s="455">
        <f t="shared" ca="1" si="198"/>
        <v>485601411299944.06</v>
      </c>
      <c r="J5038" s="455">
        <f t="array" ref="J5038">IFERROR(INDEX('Retirement Calculator'!J:J,MATCH('Isaac 401k'!N5038,'Retirement Calculator'!A:A,0),0),0)</f>
        <v>0</v>
      </c>
      <c r="K5038" s="455">
        <f t="shared" ca="1" si="196"/>
        <v>2023339213749.7668</v>
      </c>
      <c r="L5038" s="455">
        <f t="shared" ca="1" si="197"/>
        <v>487624750513693.81</v>
      </c>
      <c r="M5038" s="471">
        <f t="shared" si="199"/>
        <v>0.05</v>
      </c>
      <c r="N5038" s="475">
        <f t="shared" si="200"/>
        <v>204385</v>
      </c>
    </row>
    <row r="5039" spans="7:14" ht="11.25" customHeight="1" x14ac:dyDescent="0.3">
      <c r="G5039" s="470"/>
      <c r="H5039" s="470">
        <v>5032</v>
      </c>
      <c r="I5039" s="455">
        <f t="shared" ca="1" si="198"/>
        <v>487624750513693.81</v>
      </c>
      <c r="J5039" s="455">
        <f t="array" ref="J5039">IFERROR(INDEX('Retirement Calculator'!J:J,MATCH('Isaac 401k'!N5039,'Retirement Calculator'!A:A,0),0),0)</f>
        <v>0</v>
      </c>
      <c r="K5039" s="455">
        <f t="shared" ca="1" si="196"/>
        <v>2031769793807.0574</v>
      </c>
      <c r="L5039" s="455">
        <f t="shared" ca="1" si="197"/>
        <v>489656520307500.88</v>
      </c>
      <c r="M5039" s="471">
        <f t="shared" si="199"/>
        <v>0.05</v>
      </c>
      <c r="N5039" s="475">
        <f t="shared" si="200"/>
        <v>204416</v>
      </c>
    </row>
    <row r="5040" spans="7:14" ht="11.25" customHeight="1" x14ac:dyDescent="0.3">
      <c r="G5040" s="470"/>
      <c r="H5040" s="470">
        <v>5033</v>
      </c>
      <c r="I5040" s="455">
        <f t="shared" ca="1" si="198"/>
        <v>489656520307500.88</v>
      </c>
      <c r="J5040" s="455">
        <f t="array" ref="J5040">IFERROR(INDEX('Retirement Calculator'!J:J,MATCH('Isaac 401k'!N5040,'Retirement Calculator'!A:A,0),0),0)</f>
        <v>0</v>
      </c>
      <c r="K5040" s="455">
        <f t="shared" ca="1" si="196"/>
        <v>2040235501281.2537</v>
      </c>
      <c r="L5040" s="455">
        <f t="shared" ca="1" si="197"/>
        <v>491696755808782.13</v>
      </c>
      <c r="M5040" s="471">
        <f t="shared" si="199"/>
        <v>0.05</v>
      </c>
      <c r="N5040" s="475">
        <f t="shared" si="200"/>
        <v>204446</v>
      </c>
    </row>
    <row r="5041" spans="7:14" ht="11.25" customHeight="1" x14ac:dyDescent="0.3">
      <c r="G5041" s="470"/>
      <c r="H5041" s="470">
        <v>5034</v>
      </c>
      <c r="I5041" s="455">
        <f t="shared" ca="1" si="198"/>
        <v>491696755808782.13</v>
      </c>
      <c r="J5041" s="455">
        <f t="array" ref="J5041">IFERROR(INDEX('Retirement Calculator'!J:J,MATCH('Isaac 401k'!N5041,'Retirement Calculator'!A:A,0),0),0)</f>
        <v>0</v>
      </c>
      <c r="K5041" s="455">
        <f t="shared" ca="1" si="196"/>
        <v>2048736482536.592</v>
      </c>
      <c r="L5041" s="455">
        <f t="shared" ca="1" si="197"/>
        <v>493745492291318.69</v>
      </c>
      <c r="M5041" s="471">
        <f t="shared" si="199"/>
        <v>0.05</v>
      </c>
      <c r="N5041" s="475">
        <f t="shared" si="200"/>
        <v>204477</v>
      </c>
    </row>
    <row r="5042" spans="7:14" ht="11.25" customHeight="1" x14ac:dyDescent="0.3">
      <c r="G5042" s="470"/>
      <c r="H5042" s="470">
        <v>5035</v>
      </c>
      <c r="I5042" s="455">
        <f t="shared" ca="1" si="198"/>
        <v>493745492291318.69</v>
      </c>
      <c r="J5042" s="455">
        <f t="array" ref="J5042">IFERROR(INDEX('Retirement Calculator'!J:J,MATCH('Isaac 401k'!N5042,'Retirement Calculator'!A:A,0),0),0)</f>
        <v>0</v>
      </c>
      <c r="K5042" s="455">
        <f t="shared" ca="1" si="196"/>
        <v>2057272884547.1611</v>
      </c>
      <c r="L5042" s="455">
        <f t="shared" ca="1" si="197"/>
        <v>495802765175865.88</v>
      </c>
      <c r="M5042" s="471">
        <f t="shared" si="199"/>
        <v>0.05</v>
      </c>
      <c r="N5042" s="475">
        <f t="shared" si="200"/>
        <v>204507</v>
      </c>
    </row>
    <row r="5043" spans="7:14" ht="11.25" customHeight="1" x14ac:dyDescent="0.3">
      <c r="G5043" s="470"/>
      <c r="H5043" s="470">
        <v>5036</v>
      </c>
      <c r="I5043" s="455">
        <f t="shared" ca="1" si="198"/>
        <v>495802765175865.88</v>
      </c>
      <c r="J5043" s="455">
        <f t="array" ref="J5043">IFERROR(INDEX('Retirement Calculator'!J:J,MATCH('Isaac 401k'!N5043,'Retirement Calculator'!A:A,0),0),0)</f>
        <v>0</v>
      </c>
      <c r="K5043" s="455">
        <f t="shared" ca="1" si="196"/>
        <v>2065844854899.4412</v>
      </c>
      <c r="L5043" s="455">
        <f t="shared" ca="1" si="197"/>
        <v>497868610030765.31</v>
      </c>
      <c r="M5043" s="471">
        <f t="shared" si="199"/>
        <v>0.05</v>
      </c>
      <c r="N5043" s="475">
        <f t="shared" si="200"/>
        <v>204538</v>
      </c>
    </row>
    <row r="5044" spans="7:14" ht="11.25" customHeight="1" x14ac:dyDescent="0.3">
      <c r="G5044" s="470"/>
      <c r="H5044" s="470">
        <v>5037</v>
      </c>
      <c r="I5044" s="455">
        <f t="shared" ca="1" si="198"/>
        <v>497868610030765.31</v>
      </c>
      <c r="J5044" s="455">
        <f t="array" ref="J5044">IFERROR(INDEX('Retirement Calculator'!J:J,MATCH('Isaac 401k'!N5044,'Retirement Calculator'!A:A,0),0),0)</f>
        <v>0</v>
      </c>
      <c r="K5044" s="455">
        <f t="shared" ca="1" si="196"/>
        <v>2074452541794.8555</v>
      </c>
      <c r="L5044" s="455">
        <f t="shared" ca="1" si="197"/>
        <v>499943062572560.19</v>
      </c>
      <c r="M5044" s="471">
        <f t="shared" si="199"/>
        <v>0.05</v>
      </c>
      <c r="N5044" s="475">
        <f t="shared" si="200"/>
        <v>204569</v>
      </c>
    </row>
    <row r="5045" spans="7:14" ht="11.25" customHeight="1" x14ac:dyDescent="0.3">
      <c r="G5045" s="470"/>
      <c r="H5045" s="470">
        <v>5038</v>
      </c>
      <c r="I5045" s="455">
        <f t="shared" ca="1" si="198"/>
        <v>499943062572560.19</v>
      </c>
      <c r="J5045" s="455">
        <f t="array" ref="J5045">IFERROR(INDEX('Retirement Calculator'!J:J,MATCH('Isaac 401k'!N5045,'Retirement Calculator'!A:A,0),0),0)</f>
        <v>0</v>
      </c>
      <c r="K5045" s="455">
        <f t="shared" ca="1" si="196"/>
        <v>2083096094052.3337</v>
      </c>
      <c r="L5045" s="455">
        <f t="shared" ca="1" si="197"/>
        <v>502026158666612.5</v>
      </c>
      <c r="M5045" s="471">
        <f t="shared" si="199"/>
        <v>0.05</v>
      </c>
      <c r="N5045" s="475">
        <f t="shared" si="200"/>
        <v>204598</v>
      </c>
    </row>
    <row r="5046" spans="7:14" ht="11.25" customHeight="1" x14ac:dyDescent="0.3">
      <c r="G5046" s="470"/>
      <c r="H5046" s="470">
        <v>5039</v>
      </c>
      <c r="I5046" s="455">
        <f t="shared" ca="1" si="198"/>
        <v>502026158666612.5</v>
      </c>
      <c r="J5046" s="455">
        <f t="array" ref="J5046">IFERROR(INDEX('Retirement Calculator'!J:J,MATCH('Isaac 401k'!N5046,'Retirement Calculator'!A:A,0),0),0)</f>
        <v>0</v>
      </c>
      <c r="K5046" s="455">
        <f t="shared" ca="1" si="196"/>
        <v>2091775661110.8855</v>
      </c>
      <c r="L5046" s="455">
        <f t="shared" ca="1" si="197"/>
        <v>504117934327723.38</v>
      </c>
      <c r="M5046" s="471">
        <f t="shared" si="199"/>
        <v>0.05</v>
      </c>
      <c r="N5046" s="475">
        <f t="shared" si="200"/>
        <v>204629</v>
      </c>
    </row>
    <row r="5047" spans="7:14" ht="11.25" customHeight="1" x14ac:dyDescent="0.3">
      <c r="G5047" s="470"/>
      <c r="H5047" s="470">
        <v>5040</v>
      </c>
      <c r="I5047" s="455">
        <f t="shared" ca="1" si="198"/>
        <v>504117934327723.38</v>
      </c>
      <c r="J5047" s="455">
        <f t="array" ref="J5047">IFERROR(INDEX('Retirement Calculator'!J:J,MATCH('Isaac 401k'!N5047,'Retirement Calculator'!A:A,0),0),0)</f>
        <v>0</v>
      </c>
      <c r="K5047" s="455">
        <f t="shared" ca="1" si="196"/>
        <v>2100491393032.1809</v>
      </c>
      <c r="L5047" s="455">
        <f t="shared" ca="1" si="197"/>
        <v>506218425720755.56</v>
      </c>
      <c r="M5047" s="471">
        <f t="shared" si="199"/>
        <v>0.05</v>
      </c>
      <c r="N5047" s="475">
        <f t="shared" si="200"/>
        <v>204659</v>
      </c>
    </row>
    <row r="5048" spans="7:14" ht="11.25" customHeight="1" x14ac:dyDescent="0.3">
      <c r="G5048" s="470"/>
      <c r="H5048" s="470">
        <v>5041</v>
      </c>
      <c r="I5048" s="455">
        <f t="shared" ca="1" si="198"/>
        <v>506218425720755.56</v>
      </c>
      <c r="J5048" s="455">
        <f t="array" ref="J5048">IFERROR(INDEX('Retirement Calculator'!J:J,MATCH('Isaac 401k'!N5048,'Retirement Calculator'!A:A,0),0),0)</f>
        <v>0</v>
      </c>
      <c r="K5048" s="455">
        <f t="shared" ca="1" si="196"/>
        <v>2109243440503.1482</v>
      </c>
      <c r="L5048" s="455">
        <f t="shared" ca="1" si="197"/>
        <v>508327669161258.69</v>
      </c>
      <c r="M5048" s="471">
        <f t="shared" si="199"/>
        <v>0.05</v>
      </c>
      <c r="N5048" s="475">
        <f t="shared" si="200"/>
        <v>204690</v>
      </c>
    </row>
    <row r="5049" spans="7:14" ht="11.25" customHeight="1" x14ac:dyDescent="0.3">
      <c r="G5049" s="470"/>
      <c r="H5049" s="470">
        <v>5042</v>
      </c>
      <c r="I5049" s="455">
        <f t="shared" ca="1" si="198"/>
        <v>508327669161258.69</v>
      </c>
      <c r="J5049" s="455">
        <f t="array" ref="J5049">IFERROR(INDEX('Retirement Calculator'!J:J,MATCH('Isaac 401k'!N5049,'Retirement Calculator'!A:A,0),0),0)</f>
        <v>0</v>
      </c>
      <c r="K5049" s="455">
        <f t="shared" ca="1" si="196"/>
        <v>2118031954838.5781</v>
      </c>
      <c r="L5049" s="455">
        <f t="shared" ca="1" si="197"/>
        <v>510445701116097.25</v>
      </c>
      <c r="M5049" s="471">
        <f t="shared" si="199"/>
        <v>0.05</v>
      </c>
      <c r="N5049" s="475">
        <f t="shared" si="200"/>
        <v>204720</v>
      </c>
    </row>
    <row r="5050" spans="7:14" ht="11.25" customHeight="1" x14ac:dyDescent="0.3">
      <c r="G5050" s="470"/>
      <c r="H5050" s="470">
        <v>5043</v>
      </c>
      <c r="I5050" s="455">
        <f t="shared" ca="1" si="198"/>
        <v>510445701116097.25</v>
      </c>
      <c r="J5050" s="455">
        <f t="array" ref="J5050">IFERROR(INDEX('Retirement Calculator'!J:J,MATCH('Isaac 401k'!N5050,'Retirement Calculator'!A:A,0),0),0)</f>
        <v>0</v>
      </c>
      <c r="K5050" s="455">
        <f t="shared" ca="1" si="196"/>
        <v>2126857087983.7385</v>
      </c>
      <c r="L5050" s="455">
        <f t="shared" ca="1" si="197"/>
        <v>512572558204081</v>
      </c>
      <c r="M5050" s="471">
        <f t="shared" si="199"/>
        <v>0.05</v>
      </c>
      <c r="N5050" s="475">
        <f t="shared" si="200"/>
        <v>204751</v>
      </c>
    </row>
    <row r="5051" spans="7:14" ht="11.25" customHeight="1" x14ac:dyDescent="0.3">
      <c r="G5051" s="470"/>
      <c r="H5051" s="470">
        <v>5044</v>
      </c>
      <c r="I5051" s="455">
        <f t="shared" ca="1" si="198"/>
        <v>512572558204081</v>
      </c>
      <c r="J5051" s="455">
        <f t="array" ref="J5051">IFERROR(INDEX('Retirement Calculator'!J:J,MATCH('Isaac 401k'!N5051,'Retirement Calculator'!A:A,0),0),0)</f>
        <v>0</v>
      </c>
      <c r="K5051" s="455">
        <f t="shared" ca="1" si="196"/>
        <v>2135718992517.0044</v>
      </c>
      <c r="L5051" s="455">
        <f t="shared" ca="1" si="197"/>
        <v>514708277196598</v>
      </c>
      <c r="M5051" s="471">
        <f t="shared" si="199"/>
        <v>0.05</v>
      </c>
      <c r="N5051" s="475">
        <f t="shared" si="200"/>
        <v>204782</v>
      </c>
    </row>
    <row r="5052" spans="7:14" ht="11.25" customHeight="1" x14ac:dyDescent="0.3">
      <c r="G5052" s="470"/>
      <c r="H5052" s="470">
        <v>5045</v>
      </c>
      <c r="I5052" s="455">
        <f t="shared" ca="1" si="198"/>
        <v>514708277196598</v>
      </c>
      <c r="J5052" s="455">
        <f t="array" ref="J5052">IFERROR(INDEX('Retirement Calculator'!J:J,MATCH('Isaac 401k'!N5052,'Retirement Calculator'!A:A,0),0),0)</f>
        <v>0</v>
      </c>
      <c r="K5052" s="455">
        <f t="shared" ca="1" si="196"/>
        <v>2144617821652.4919</v>
      </c>
      <c r="L5052" s="455">
        <f t="shared" ca="1" si="197"/>
        <v>516852895018250.5</v>
      </c>
      <c r="M5052" s="471">
        <f t="shared" si="199"/>
        <v>0.05</v>
      </c>
      <c r="N5052" s="475">
        <f t="shared" si="200"/>
        <v>204812</v>
      </c>
    </row>
    <row r="5053" spans="7:14" ht="11.25" customHeight="1" x14ac:dyDescent="0.3">
      <c r="G5053" s="470"/>
      <c r="H5053" s="470">
        <v>5046</v>
      </c>
      <c r="I5053" s="455">
        <f t="shared" ca="1" si="198"/>
        <v>516852895018250.5</v>
      </c>
      <c r="J5053" s="455">
        <f t="array" ref="J5053">IFERROR(INDEX('Retirement Calculator'!J:J,MATCH('Isaac 401k'!N5053,'Retirement Calculator'!A:A,0),0),0)</f>
        <v>0</v>
      </c>
      <c r="K5053" s="455">
        <f t="shared" ca="1" si="196"/>
        <v>2153553729242.7104</v>
      </c>
      <c r="L5053" s="455">
        <f t="shared" ca="1" si="197"/>
        <v>519006448747493.19</v>
      </c>
      <c r="M5053" s="471">
        <f t="shared" si="199"/>
        <v>0.05</v>
      </c>
      <c r="N5053" s="475">
        <f t="shared" si="200"/>
        <v>204843</v>
      </c>
    </row>
    <row r="5054" spans="7:14" ht="11.25" customHeight="1" x14ac:dyDescent="0.3">
      <c r="G5054" s="470"/>
      <c r="H5054" s="470">
        <v>5047</v>
      </c>
      <c r="I5054" s="455">
        <f t="shared" ca="1" si="198"/>
        <v>519006448747493.19</v>
      </c>
      <c r="J5054" s="455">
        <f t="array" ref="J5054">IFERROR(INDEX('Retirement Calculator'!J:J,MATCH('Isaac 401k'!N5054,'Retirement Calculator'!A:A,0),0),0)</f>
        <v>0</v>
      </c>
      <c r="K5054" s="455">
        <f t="shared" ca="1" si="196"/>
        <v>2162526869781.2219</v>
      </c>
      <c r="L5054" s="455">
        <f t="shared" ca="1" si="197"/>
        <v>521168975617274.44</v>
      </c>
      <c r="M5054" s="471">
        <f t="shared" si="199"/>
        <v>0.05</v>
      </c>
      <c r="N5054" s="475">
        <f t="shared" si="200"/>
        <v>204873</v>
      </c>
    </row>
    <row r="5055" spans="7:14" ht="11.25" customHeight="1" x14ac:dyDescent="0.3">
      <c r="G5055" s="470"/>
      <c r="H5055" s="470">
        <v>5048</v>
      </c>
      <c r="I5055" s="455">
        <f t="shared" ca="1" si="198"/>
        <v>521168975617274.44</v>
      </c>
      <c r="J5055" s="455">
        <f t="array" ref="J5055">IFERROR(INDEX('Retirement Calculator'!J:J,MATCH('Isaac 401k'!N5055,'Retirement Calculator'!A:A,0),0),0)</f>
        <v>0</v>
      </c>
      <c r="K5055" s="455">
        <f t="shared" ca="1" si="196"/>
        <v>2171537398405.3101</v>
      </c>
      <c r="L5055" s="455">
        <f t="shared" ca="1" si="197"/>
        <v>523340513015679.75</v>
      </c>
      <c r="M5055" s="471">
        <f t="shared" si="199"/>
        <v>0.05</v>
      </c>
      <c r="N5055" s="475">
        <f t="shared" si="200"/>
        <v>204904</v>
      </c>
    </row>
    <row r="5056" spans="7:14" ht="11.25" customHeight="1" x14ac:dyDescent="0.3">
      <c r="G5056" s="470"/>
      <c r="H5056" s="470">
        <v>5049</v>
      </c>
      <c r="I5056" s="455">
        <f t="shared" ca="1" si="198"/>
        <v>523340513015679.75</v>
      </c>
      <c r="J5056" s="455">
        <f t="array" ref="J5056">IFERROR(INDEX('Retirement Calculator'!J:J,MATCH('Isaac 401k'!N5056,'Retirement Calculator'!A:A,0),0),0)</f>
        <v>0</v>
      </c>
      <c r="K5056" s="455">
        <f t="shared" ca="1" si="196"/>
        <v>2180585470898.6655</v>
      </c>
      <c r="L5056" s="455">
        <f t="shared" ca="1" si="197"/>
        <v>525521098486578.44</v>
      </c>
      <c r="M5056" s="471">
        <f t="shared" si="199"/>
        <v>0.05</v>
      </c>
      <c r="N5056" s="475">
        <f t="shared" si="200"/>
        <v>204935</v>
      </c>
    </row>
    <row r="5057" spans="7:14" ht="11.25" customHeight="1" x14ac:dyDescent="0.3">
      <c r="G5057" s="470"/>
      <c r="H5057" s="470">
        <v>5050</v>
      </c>
      <c r="I5057" s="455">
        <f t="shared" ca="1" si="198"/>
        <v>525521098486578.44</v>
      </c>
      <c r="J5057" s="455">
        <f t="array" ref="J5057">IFERROR(INDEX('Retirement Calculator'!J:J,MATCH('Isaac 401k'!N5057,'Retirement Calculator'!A:A,0),0),0)</f>
        <v>0</v>
      </c>
      <c r="K5057" s="455">
        <f t="shared" ca="1" si="196"/>
        <v>2189671243694.0771</v>
      </c>
      <c r="L5057" s="455">
        <f t="shared" ca="1" si="197"/>
        <v>527710769730272.5</v>
      </c>
      <c r="M5057" s="471">
        <f t="shared" si="199"/>
        <v>0.05</v>
      </c>
      <c r="N5057" s="475">
        <f t="shared" si="200"/>
        <v>204963</v>
      </c>
    </row>
    <row r="5058" spans="7:14" ht="11.25" customHeight="1" x14ac:dyDescent="0.3">
      <c r="G5058" s="470"/>
      <c r="H5058" s="470">
        <v>5051</v>
      </c>
      <c r="I5058" s="455">
        <f t="shared" ca="1" si="198"/>
        <v>527710769730272.5</v>
      </c>
      <c r="J5058" s="455">
        <f t="array" ref="J5058">IFERROR(INDEX('Retirement Calculator'!J:J,MATCH('Isaac 401k'!N5058,'Retirement Calculator'!A:A,0),0),0)</f>
        <v>0</v>
      </c>
      <c r="K5058" s="455">
        <f t="shared" ca="1" si="196"/>
        <v>2198794873876.1355</v>
      </c>
      <c r="L5058" s="455">
        <f t="shared" ca="1" si="197"/>
        <v>529909564604148.63</v>
      </c>
      <c r="M5058" s="471">
        <f t="shared" si="199"/>
        <v>0.05</v>
      </c>
      <c r="N5058" s="475">
        <f t="shared" si="200"/>
        <v>204994</v>
      </c>
    </row>
    <row r="5059" spans="7:14" ht="11.25" customHeight="1" x14ac:dyDescent="0.3">
      <c r="G5059" s="470"/>
      <c r="H5059" s="470">
        <v>5052</v>
      </c>
      <c r="I5059" s="455">
        <f t="shared" ca="1" si="198"/>
        <v>529909564604148.63</v>
      </c>
      <c r="J5059" s="455">
        <f t="array" ref="J5059">IFERROR(INDEX('Retirement Calculator'!J:J,MATCH('Isaac 401k'!N5059,'Retirement Calculator'!A:A,0),0),0)</f>
        <v>0</v>
      </c>
      <c r="K5059" s="455">
        <f t="shared" ca="1" si="196"/>
        <v>2207956519183.9526</v>
      </c>
      <c r="L5059" s="455">
        <f t="shared" ca="1" si="197"/>
        <v>532117521123332.56</v>
      </c>
      <c r="M5059" s="471">
        <f t="shared" si="199"/>
        <v>0.05</v>
      </c>
      <c r="N5059" s="475">
        <f t="shared" si="200"/>
        <v>205024</v>
      </c>
    </row>
    <row r="5060" spans="7:14" ht="11.25" customHeight="1" x14ac:dyDescent="0.3">
      <c r="G5060" s="470"/>
      <c r="H5060" s="470">
        <v>5053</v>
      </c>
      <c r="I5060" s="455">
        <f t="shared" ca="1" si="198"/>
        <v>532117521123332.56</v>
      </c>
      <c r="J5060" s="455">
        <f t="array" ref="J5060">IFERROR(INDEX('Retirement Calculator'!J:J,MATCH('Isaac 401k'!N5060,'Retirement Calculator'!A:A,0),0),0)</f>
        <v>0</v>
      </c>
      <c r="K5060" s="455">
        <f t="shared" ca="1" si="196"/>
        <v>2217156338013.8857</v>
      </c>
      <c r="L5060" s="455">
        <f t="shared" ca="1" si="197"/>
        <v>534334677461346.44</v>
      </c>
      <c r="M5060" s="471">
        <f t="shared" si="199"/>
        <v>0.05</v>
      </c>
      <c r="N5060" s="475">
        <f t="shared" si="200"/>
        <v>205055</v>
      </c>
    </row>
    <row r="5061" spans="7:14" ht="11.25" customHeight="1" x14ac:dyDescent="0.3">
      <c r="G5061" s="470"/>
      <c r="H5061" s="470">
        <v>5054</v>
      </c>
      <c r="I5061" s="455">
        <f t="shared" ca="1" si="198"/>
        <v>534334677461346.44</v>
      </c>
      <c r="J5061" s="455">
        <f t="array" ref="J5061">IFERROR(INDEX('Retirement Calculator'!J:J,MATCH('Isaac 401k'!N5061,'Retirement Calculator'!A:A,0),0),0)</f>
        <v>0</v>
      </c>
      <c r="K5061" s="455">
        <f t="shared" ca="1" si="196"/>
        <v>2226394489422.2769</v>
      </c>
      <c r="L5061" s="455">
        <f t="shared" ca="1" si="197"/>
        <v>536561071950768.69</v>
      </c>
      <c r="M5061" s="471">
        <f t="shared" si="199"/>
        <v>0.05</v>
      </c>
      <c r="N5061" s="475">
        <f t="shared" si="200"/>
        <v>205085</v>
      </c>
    </row>
    <row r="5062" spans="7:14" ht="11.25" customHeight="1" x14ac:dyDescent="0.3">
      <c r="G5062" s="470"/>
      <c r="H5062" s="470">
        <v>5055</v>
      </c>
      <c r="I5062" s="455">
        <f t="shared" ca="1" si="198"/>
        <v>536561071950768.69</v>
      </c>
      <c r="J5062" s="455">
        <f t="array" ref="J5062">IFERROR(INDEX('Retirement Calculator'!J:J,MATCH('Isaac 401k'!N5062,'Retirement Calculator'!A:A,0),0),0)</f>
        <v>0</v>
      </c>
      <c r="K5062" s="455">
        <f t="shared" ca="1" si="196"/>
        <v>2235671133128.2026</v>
      </c>
      <c r="L5062" s="455">
        <f t="shared" ca="1" si="197"/>
        <v>538796743083896.88</v>
      </c>
      <c r="M5062" s="471">
        <f t="shared" si="199"/>
        <v>0.05</v>
      </c>
      <c r="N5062" s="475">
        <f t="shared" si="200"/>
        <v>205116</v>
      </c>
    </row>
    <row r="5063" spans="7:14" ht="11.25" customHeight="1" x14ac:dyDescent="0.3">
      <c r="G5063" s="470"/>
      <c r="H5063" s="470">
        <v>5056</v>
      </c>
      <c r="I5063" s="455">
        <f t="shared" ca="1" si="198"/>
        <v>538796743083896.88</v>
      </c>
      <c r="J5063" s="455">
        <f t="array" ref="J5063">IFERROR(INDEX('Retirement Calculator'!J:J,MATCH('Isaac 401k'!N5063,'Retirement Calculator'!A:A,0),0),0)</f>
        <v>0</v>
      </c>
      <c r="K5063" s="455">
        <f t="shared" ca="1" si="196"/>
        <v>2244986429516.2373</v>
      </c>
      <c r="L5063" s="455">
        <f t="shared" ca="1" si="197"/>
        <v>541041729513413.13</v>
      </c>
      <c r="M5063" s="471">
        <f t="shared" si="199"/>
        <v>0.05</v>
      </c>
      <c r="N5063" s="475">
        <f t="shared" si="200"/>
        <v>205147</v>
      </c>
    </row>
    <row r="5064" spans="7:14" ht="11.25" customHeight="1" x14ac:dyDescent="0.3">
      <c r="G5064" s="470"/>
      <c r="H5064" s="470">
        <v>5057</v>
      </c>
      <c r="I5064" s="455">
        <f t="shared" ca="1" si="198"/>
        <v>541041729513413.13</v>
      </c>
      <c r="J5064" s="455">
        <f t="array" ref="J5064">IFERROR(INDEX('Retirement Calculator'!J:J,MATCH('Isaac 401k'!N5064,'Retirement Calculator'!A:A,0),0),0)</f>
        <v>0</v>
      </c>
      <c r="K5064" s="455">
        <f t="shared" ca="1" si="196"/>
        <v>2254340539639.2212</v>
      </c>
      <c r="L5064" s="455">
        <f t="shared" ca="1" si="197"/>
        <v>543296070053052.38</v>
      </c>
      <c r="M5064" s="471">
        <f t="shared" si="199"/>
        <v>0.05</v>
      </c>
      <c r="N5064" s="475">
        <f t="shared" si="200"/>
        <v>205177</v>
      </c>
    </row>
    <row r="5065" spans="7:14" ht="11.25" customHeight="1" x14ac:dyDescent="0.3">
      <c r="G5065" s="470"/>
      <c r="H5065" s="470">
        <v>5058</v>
      </c>
      <c r="I5065" s="455">
        <f t="shared" ca="1" si="198"/>
        <v>543296070053052.38</v>
      </c>
      <c r="J5065" s="455">
        <f t="array" ref="J5065">IFERROR(INDEX('Retirement Calculator'!J:J,MATCH('Isaac 401k'!N5065,'Retirement Calculator'!A:A,0),0),0)</f>
        <v>0</v>
      </c>
      <c r="K5065" s="455">
        <f t="shared" ca="1" si="196"/>
        <v>2263733625221.0518</v>
      </c>
      <c r="L5065" s="455">
        <f t="shared" ca="1" si="197"/>
        <v>545559803678273.44</v>
      </c>
      <c r="M5065" s="471">
        <f t="shared" si="199"/>
        <v>0.05</v>
      </c>
      <c r="N5065" s="475">
        <f t="shared" si="200"/>
        <v>205208</v>
      </c>
    </row>
    <row r="5066" spans="7:14" ht="11.25" customHeight="1" x14ac:dyDescent="0.3">
      <c r="G5066" s="470"/>
      <c r="H5066" s="470">
        <v>5059</v>
      </c>
      <c r="I5066" s="455">
        <f t="shared" ca="1" si="198"/>
        <v>545559803678273.44</v>
      </c>
      <c r="J5066" s="455">
        <f t="array" ref="J5066">IFERROR(INDEX('Retirement Calculator'!J:J,MATCH('Isaac 401k'!N5066,'Retirement Calculator'!A:A,0),0),0)</f>
        <v>0</v>
      </c>
      <c r="K5066" s="455">
        <f t="shared" ca="1" si="196"/>
        <v>2273165848659.4722</v>
      </c>
      <c r="L5066" s="455">
        <f t="shared" ca="1" si="197"/>
        <v>547832969526932.94</v>
      </c>
      <c r="M5066" s="471">
        <f t="shared" si="199"/>
        <v>0.05</v>
      </c>
      <c r="N5066" s="475">
        <f t="shared" si="200"/>
        <v>205238</v>
      </c>
    </row>
    <row r="5067" spans="7:14" ht="11.25" customHeight="1" x14ac:dyDescent="0.3">
      <c r="G5067" s="470"/>
      <c r="H5067" s="470">
        <v>5060</v>
      </c>
      <c r="I5067" s="455">
        <f t="shared" ca="1" si="198"/>
        <v>547832969526932.94</v>
      </c>
      <c r="J5067" s="455">
        <f t="array" ref="J5067">IFERROR(INDEX('Retirement Calculator'!J:J,MATCH('Isaac 401k'!N5067,'Retirement Calculator'!A:A,0),0),0)</f>
        <v>0</v>
      </c>
      <c r="K5067" s="455">
        <f t="shared" ca="1" si="196"/>
        <v>2282637373028.8877</v>
      </c>
      <c r="L5067" s="455">
        <f t="shared" ca="1" si="197"/>
        <v>550115606899961.81</v>
      </c>
      <c r="M5067" s="471">
        <f t="shared" si="199"/>
        <v>0.05</v>
      </c>
      <c r="N5067" s="475">
        <f t="shared" si="200"/>
        <v>205269</v>
      </c>
    </row>
    <row r="5068" spans="7:14" ht="11.25" customHeight="1" x14ac:dyDescent="0.3">
      <c r="G5068" s="470"/>
      <c r="H5068" s="470">
        <v>5061</v>
      </c>
      <c r="I5068" s="455">
        <f t="shared" ca="1" si="198"/>
        <v>550115606899961.81</v>
      </c>
      <c r="J5068" s="455">
        <f t="array" ref="J5068">IFERROR(INDEX('Retirement Calculator'!J:J,MATCH('Isaac 401k'!N5068,'Retirement Calculator'!A:A,0),0),0)</f>
        <v>0</v>
      </c>
      <c r="K5068" s="455">
        <f t="shared" ca="1" si="196"/>
        <v>2292148362083.1743</v>
      </c>
      <c r="L5068" s="455">
        <f t="shared" ca="1" si="197"/>
        <v>552407755262045</v>
      </c>
      <c r="M5068" s="471">
        <f t="shared" si="199"/>
        <v>0.05</v>
      </c>
      <c r="N5068" s="475">
        <f t="shared" si="200"/>
        <v>205300</v>
      </c>
    </row>
    <row r="5069" spans="7:14" ht="11.25" customHeight="1" x14ac:dyDescent="0.3">
      <c r="G5069" s="470"/>
      <c r="H5069" s="470">
        <v>5062</v>
      </c>
      <c r="I5069" s="455">
        <f t="shared" ca="1" si="198"/>
        <v>552407755262045</v>
      </c>
      <c r="J5069" s="455">
        <f t="array" ref="J5069">IFERROR(INDEX('Retirement Calculator'!J:J,MATCH('Isaac 401k'!N5069,'Retirement Calculator'!A:A,0),0),0)</f>
        <v>0</v>
      </c>
      <c r="K5069" s="455">
        <f t="shared" ca="1" si="196"/>
        <v>2301698980258.521</v>
      </c>
      <c r="L5069" s="455">
        <f t="shared" ca="1" si="197"/>
        <v>554709454242303.5</v>
      </c>
      <c r="M5069" s="471">
        <f t="shared" si="199"/>
        <v>0.05</v>
      </c>
      <c r="N5069" s="475">
        <f t="shared" si="200"/>
        <v>205328</v>
      </c>
    </row>
    <row r="5070" spans="7:14" ht="11.25" customHeight="1" x14ac:dyDescent="0.3">
      <c r="G5070" s="470"/>
      <c r="H5070" s="470">
        <v>5063</v>
      </c>
      <c r="I5070" s="455">
        <f t="shared" ca="1" si="198"/>
        <v>554709454242303.5</v>
      </c>
      <c r="J5070" s="455">
        <f t="array" ref="J5070">IFERROR(INDEX('Retirement Calculator'!J:J,MATCH('Isaac 401k'!N5070,'Retirement Calculator'!A:A,0),0),0)</f>
        <v>0</v>
      </c>
      <c r="K5070" s="455">
        <f t="shared" ca="1" si="196"/>
        <v>2311289392676.2642</v>
      </c>
      <c r="L5070" s="455">
        <f t="shared" ca="1" si="197"/>
        <v>557020743634979.75</v>
      </c>
      <c r="M5070" s="471">
        <f t="shared" si="199"/>
        <v>0.05</v>
      </c>
      <c r="N5070" s="475">
        <f t="shared" si="200"/>
        <v>205359</v>
      </c>
    </row>
    <row r="5071" spans="7:14" ht="11.25" customHeight="1" x14ac:dyDescent="0.3">
      <c r="G5071" s="470"/>
      <c r="H5071" s="470">
        <v>5064</v>
      </c>
      <c r="I5071" s="455">
        <f t="shared" ca="1" si="198"/>
        <v>557020743634979.75</v>
      </c>
      <c r="J5071" s="455">
        <f t="array" ref="J5071">IFERROR(INDEX('Retirement Calculator'!J:J,MATCH('Isaac 401k'!N5071,'Retirement Calculator'!A:A,0),0),0)</f>
        <v>0</v>
      </c>
      <c r="K5071" s="455">
        <f t="shared" ca="1" si="196"/>
        <v>2320919765145.749</v>
      </c>
      <c r="L5071" s="455">
        <f t="shared" ca="1" si="197"/>
        <v>559341663400125.5</v>
      </c>
      <c r="M5071" s="471">
        <f t="shared" si="199"/>
        <v>0.05</v>
      </c>
      <c r="N5071" s="475">
        <f t="shared" si="200"/>
        <v>205389</v>
      </c>
    </row>
    <row r="5072" spans="7:14" ht="11.25" customHeight="1" x14ac:dyDescent="0.3">
      <c r="G5072" s="470"/>
      <c r="H5072" s="470">
        <v>5065</v>
      </c>
      <c r="I5072" s="455">
        <f t="shared" ca="1" si="198"/>
        <v>559341663400125.5</v>
      </c>
      <c r="J5072" s="455">
        <f t="array" ref="J5072">IFERROR(INDEX('Retirement Calculator'!J:J,MATCH('Isaac 401k'!N5072,'Retirement Calculator'!A:A,0),0),0)</f>
        <v>0</v>
      </c>
      <c r="K5072" s="455">
        <f t="shared" ca="1" si="196"/>
        <v>2330590264167.1899</v>
      </c>
      <c r="L5072" s="455">
        <f t="shared" ca="1" si="197"/>
        <v>561672253664292.69</v>
      </c>
      <c r="M5072" s="471">
        <f t="shared" si="199"/>
        <v>0.05</v>
      </c>
      <c r="N5072" s="475">
        <f t="shared" si="200"/>
        <v>205420</v>
      </c>
    </row>
    <row r="5073" spans="7:14" ht="11.25" customHeight="1" x14ac:dyDescent="0.3">
      <c r="G5073" s="470"/>
      <c r="H5073" s="470">
        <v>5066</v>
      </c>
      <c r="I5073" s="455">
        <f t="shared" ca="1" si="198"/>
        <v>561672253664292.69</v>
      </c>
      <c r="J5073" s="455">
        <f t="array" ref="J5073">IFERROR(INDEX('Retirement Calculator'!J:J,MATCH('Isaac 401k'!N5073,'Retirement Calculator'!A:A,0),0),0)</f>
        <v>0</v>
      </c>
      <c r="K5073" s="455">
        <f t="shared" ca="1" si="196"/>
        <v>2340301056934.5527</v>
      </c>
      <c r="L5073" s="455">
        <f t="shared" ca="1" si="197"/>
        <v>564012554721227.25</v>
      </c>
      <c r="M5073" s="471">
        <f t="shared" si="199"/>
        <v>0.05</v>
      </c>
      <c r="N5073" s="475">
        <f t="shared" si="200"/>
        <v>205450</v>
      </c>
    </row>
    <row r="5074" spans="7:14" ht="11.25" customHeight="1" x14ac:dyDescent="0.3">
      <c r="G5074" s="470"/>
      <c r="H5074" s="470">
        <v>5067</v>
      </c>
      <c r="I5074" s="455">
        <f t="shared" ca="1" si="198"/>
        <v>564012554721227.25</v>
      </c>
      <c r="J5074" s="455">
        <f t="array" ref="J5074">IFERROR(INDEX('Retirement Calculator'!J:J,MATCH('Isaac 401k'!N5074,'Retirement Calculator'!A:A,0),0),0)</f>
        <v>0</v>
      </c>
      <c r="K5074" s="455">
        <f t="shared" ca="1" si="196"/>
        <v>2350052311338.4468</v>
      </c>
      <c r="L5074" s="455">
        <f t="shared" ca="1" si="197"/>
        <v>566362607032565.75</v>
      </c>
      <c r="M5074" s="471">
        <f t="shared" si="199"/>
        <v>0.05</v>
      </c>
      <c r="N5074" s="475">
        <f t="shared" si="200"/>
        <v>205481</v>
      </c>
    </row>
    <row r="5075" spans="7:14" ht="11.25" customHeight="1" x14ac:dyDescent="0.3">
      <c r="G5075" s="470"/>
      <c r="H5075" s="470">
        <v>5068</v>
      </c>
      <c r="I5075" s="455">
        <f t="shared" ca="1" si="198"/>
        <v>566362607032565.75</v>
      </c>
      <c r="J5075" s="455">
        <f t="array" ref="J5075">IFERROR(INDEX('Retirement Calculator'!J:J,MATCH('Isaac 401k'!N5075,'Retirement Calculator'!A:A,0),0),0)</f>
        <v>0</v>
      </c>
      <c r="K5075" s="455">
        <f t="shared" ca="1" si="196"/>
        <v>2359844195969.0239</v>
      </c>
      <c r="L5075" s="455">
        <f t="shared" ca="1" si="197"/>
        <v>568722451228534.75</v>
      </c>
      <c r="M5075" s="471">
        <f t="shared" si="199"/>
        <v>0.05</v>
      </c>
      <c r="N5075" s="475">
        <f t="shared" si="200"/>
        <v>205512</v>
      </c>
    </row>
    <row r="5076" spans="7:14" ht="11.25" customHeight="1" x14ac:dyDescent="0.3">
      <c r="G5076" s="470"/>
      <c r="H5076" s="470">
        <v>5069</v>
      </c>
      <c r="I5076" s="455">
        <f t="shared" ca="1" si="198"/>
        <v>568722451228534.75</v>
      </c>
      <c r="J5076" s="455">
        <f t="array" ref="J5076">IFERROR(INDEX('Retirement Calculator'!J:J,MATCH('Isaac 401k'!N5076,'Retirement Calculator'!A:A,0),0),0)</f>
        <v>0</v>
      </c>
      <c r="K5076" s="455">
        <f t="shared" ca="1" si="196"/>
        <v>2369676880118.8945</v>
      </c>
      <c r="L5076" s="455">
        <f t="shared" ca="1" si="197"/>
        <v>571092128108653.63</v>
      </c>
      <c r="M5076" s="471">
        <f t="shared" si="199"/>
        <v>0.05</v>
      </c>
      <c r="N5076" s="475">
        <f t="shared" si="200"/>
        <v>205542</v>
      </c>
    </row>
    <row r="5077" spans="7:14" ht="11.25" customHeight="1" x14ac:dyDescent="0.3">
      <c r="G5077" s="470"/>
      <c r="H5077" s="470">
        <v>5070</v>
      </c>
      <c r="I5077" s="455">
        <f t="shared" ca="1" si="198"/>
        <v>571092128108653.63</v>
      </c>
      <c r="J5077" s="455">
        <f t="array" ref="J5077">IFERROR(INDEX('Retirement Calculator'!J:J,MATCH('Isaac 401k'!N5077,'Retirement Calculator'!A:A,0),0),0)</f>
        <v>0</v>
      </c>
      <c r="K5077" s="455">
        <f t="shared" ca="1" si="196"/>
        <v>2379550533786.0566</v>
      </c>
      <c r="L5077" s="455">
        <f t="shared" ca="1" si="197"/>
        <v>573471678642439.63</v>
      </c>
      <c r="M5077" s="471">
        <f t="shared" si="199"/>
        <v>0.05</v>
      </c>
      <c r="N5077" s="475">
        <f t="shared" si="200"/>
        <v>205573</v>
      </c>
    </row>
    <row r="5078" spans="7:14" ht="11.25" customHeight="1" x14ac:dyDescent="0.3">
      <c r="G5078" s="470"/>
      <c r="H5078" s="470">
        <v>5071</v>
      </c>
      <c r="I5078" s="455">
        <f t="shared" ca="1" si="198"/>
        <v>573471678642439.63</v>
      </c>
      <c r="J5078" s="455">
        <f t="array" ref="J5078">IFERROR(INDEX('Retirement Calculator'!J:J,MATCH('Isaac 401k'!N5078,'Retirement Calculator'!A:A,0),0),0)</f>
        <v>0</v>
      </c>
      <c r="K5078" s="455">
        <f t="shared" ca="1" si="196"/>
        <v>2389465327676.8315</v>
      </c>
      <c r="L5078" s="455">
        <f t="shared" ca="1" si="197"/>
        <v>575861143970116.5</v>
      </c>
      <c r="M5078" s="471">
        <f t="shared" si="199"/>
        <v>0.05</v>
      </c>
      <c r="N5078" s="475">
        <f t="shared" si="200"/>
        <v>205603</v>
      </c>
    </row>
    <row r="5079" spans="7:14" ht="11.25" customHeight="1" x14ac:dyDescent="0.3">
      <c r="G5079" s="470"/>
      <c r="H5079" s="470">
        <v>5072</v>
      </c>
      <c r="I5079" s="455">
        <f t="shared" ca="1" si="198"/>
        <v>575861143970116.5</v>
      </c>
      <c r="J5079" s="455">
        <f t="array" ref="J5079">IFERROR(INDEX('Retirement Calculator'!J:J,MATCH('Isaac 401k'!N5079,'Retirement Calculator'!A:A,0),0),0)</f>
        <v>0</v>
      </c>
      <c r="K5079" s="455">
        <f t="shared" ca="1" si="196"/>
        <v>2399421433208.8188</v>
      </c>
      <c r="L5079" s="455">
        <f t="shared" ca="1" si="197"/>
        <v>578260565403325.38</v>
      </c>
      <c r="M5079" s="471">
        <f t="shared" si="199"/>
        <v>0.05</v>
      </c>
      <c r="N5079" s="475">
        <f t="shared" si="200"/>
        <v>205634</v>
      </c>
    </row>
    <row r="5080" spans="7:14" ht="11.25" customHeight="1" x14ac:dyDescent="0.3">
      <c r="G5080" s="470"/>
      <c r="H5080" s="470">
        <v>5073</v>
      </c>
      <c r="I5080" s="455">
        <f t="shared" ca="1" si="198"/>
        <v>578260565403325.38</v>
      </c>
      <c r="J5080" s="455">
        <f t="array" ref="J5080">IFERROR(INDEX('Retirement Calculator'!J:J,MATCH('Isaac 401k'!N5080,'Retirement Calculator'!A:A,0),0),0)</f>
        <v>0</v>
      </c>
      <c r="K5080" s="455">
        <f t="shared" ca="1" si="196"/>
        <v>2409419022513.8555</v>
      </c>
      <c r="L5080" s="455">
        <f t="shared" ca="1" si="197"/>
        <v>580669984425839.25</v>
      </c>
      <c r="M5080" s="471">
        <f t="shared" si="199"/>
        <v>0.05</v>
      </c>
      <c r="N5080" s="475">
        <f t="shared" si="200"/>
        <v>205665</v>
      </c>
    </row>
    <row r="5081" spans="7:14" ht="11.25" customHeight="1" x14ac:dyDescent="0.3">
      <c r="G5081" s="470"/>
      <c r="H5081" s="470">
        <v>5074</v>
      </c>
      <c r="I5081" s="455">
        <f t="shared" ca="1" si="198"/>
        <v>580669984425839.25</v>
      </c>
      <c r="J5081" s="455">
        <f t="array" ref="J5081">IFERROR(INDEX('Retirement Calculator'!J:J,MATCH('Isaac 401k'!N5081,'Retirement Calculator'!A:A,0),0),0)</f>
        <v>0</v>
      </c>
      <c r="K5081" s="455">
        <f t="shared" ca="1" si="196"/>
        <v>2419458268440.9971</v>
      </c>
      <c r="L5081" s="455">
        <f t="shared" ca="1" si="197"/>
        <v>583089442694280.25</v>
      </c>
      <c r="M5081" s="471">
        <f t="shared" si="199"/>
        <v>0.05</v>
      </c>
      <c r="N5081" s="475">
        <f t="shared" si="200"/>
        <v>205693</v>
      </c>
    </row>
    <row r="5082" spans="7:14" ht="11.25" customHeight="1" x14ac:dyDescent="0.3">
      <c r="G5082" s="470"/>
      <c r="H5082" s="470">
        <v>5075</v>
      </c>
      <c r="I5082" s="455">
        <f t="shared" ca="1" si="198"/>
        <v>583089442694280.25</v>
      </c>
      <c r="J5082" s="455">
        <f t="array" ref="J5082">IFERROR(INDEX('Retirement Calculator'!J:J,MATCH('Isaac 401k'!N5082,'Retirement Calculator'!A:A,0),0),0)</f>
        <v>0</v>
      </c>
      <c r="K5082" s="455">
        <f t="shared" ca="1" si="196"/>
        <v>2429539344559.501</v>
      </c>
      <c r="L5082" s="455">
        <f t="shared" ca="1" si="197"/>
        <v>585518982038839.75</v>
      </c>
      <c r="M5082" s="471">
        <f t="shared" si="199"/>
        <v>0.05</v>
      </c>
      <c r="N5082" s="475">
        <f t="shared" si="200"/>
        <v>205724</v>
      </c>
    </row>
    <row r="5083" spans="7:14" ht="11.25" customHeight="1" x14ac:dyDescent="0.3">
      <c r="G5083" s="470"/>
      <c r="H5083" s="470">
        <v>5076</v>
      </c>
      <c r="I5083" s="455">
        <f t="shared" ca="1" si="198"/>
        <v>585518982038839.75</v>
      </c>
      <c r="J5083" s="455">
        <f t="array" ref="J5083">IFERROR(INDEX('Retirement Calculator'!J:J,MATCH('Isaac 401k'!N5083,'Retirement Calculator'!A:A,0),0),0)</f>
        <v>0</v>
      </c>
      <c r="K5083" s="455">
        <f t="shared" ca="1" si="196"/>
        <v>2439662425161.832</v>
      </c>
      <c r="L5083" s="455">
        <f t="shared" ca="1" si="197"/>
        <v>587958644464001.63</v>
      </c>
      <c r="M5083" s="471">
        <f t="shared" si="199"/>
        <v>0.05</v>
      </c>
      <c r="N5083" s="475">
        <f t="shared" si="200"/>
        <v>205754</v>
      </c>
    </row>
    <row r="5084" spans="7:14" ht="11.25" customHeight="1" x14ac:dyDescent="0.3">
      <c r="G5084" s="470"/>
      <c r="H5084" s="470">
        <v>5077</v>
      </c>
      <c r="I5084" s="455">
        <f t="shared" ca="1" si="198"/>
        <v>587958644464001.63</v>
      </c>
      <c r="J5084" s="455">
        <f t="array" ref="J5084">IFERROR(INDEX('Retirement Calculator'!J:J,MATCH('Isaac 401k'!N5084,'Retirement Calculator'!A:A,0),0),0)</f>
        <v>0</v>
      </c>
      <c r="K5084" s="455">
        <f t="shared" ca="1" si="196"/>
        <v>2449827685266.6733</v>
      </c>
      <c r="L5084" s="455">
        <f t="shared" ca="1" si="197"/>
        <v>590408472149268.25</v>
      </c>
      <c r="M5084" s="471">
        <f t="shared" si="199"/>
        <v>0.05</v>
      </c>
      <c r="N5084" s="475">
        <f t="shared" si="200"/>
        <v>205785</v>
      </c>
    </row>
    <row r="5085" spans="7:14" ht="11.25" customHeight="1" x14ac:dyDescent="0.3">
      <c r="G5085" s="470"/>
      <c r="H5085" s="470">
        <v>5078</v>
      </c>
      <c r="I5085" s="455">
        <f t="shared" ca="1" si="198"/>
        <v>590408472149268.25</v>
      </c>
      <c r="J5085" s="455">
        <f t="array" ref="J5085">IFERROR(INDEX('Retirement Calculator'!J:J,MATCH('Isaac 401k'!N5085,'Retirement Calculator'!A:A,0),0),0)</f>
        <v>0</v>
      </c>
      <c r="K5085" s="455">
        <f t="shared" ca="1" si="196"/>
        <v>2460035300621.9512</v>
      </c>
      <c r="L5085" s="455">
        <f t="shared" ca="1" si="197"/>
        <v>592868507449890.25</v>
      </c>
      <c r="M5085" s="471">
        <f t="shared" si="199"/>
        <v>0.05</v>
      </c>
      <c r="N5085" s="475">
        <f t="shared" si="200"/>
        <v>205815</v>
      </c>
    </row>
    <row r="5086" spans="7:14" ht="11.25" customHeight="1" x14ac:dyDescent="0.3">
      <c r="G5086" s="470"/>
      <c r="H5086" s="470">
        <v>5079</v>
      </c>
      <c r="I5086" s="455">
        <f t="shared" ca="1" si="198"/>
        <v>592868507449890.25</v>
      </c>
      <c r="J5086" s="455">
        <f t="array" ref="J5086">IFERROR(INDEX('Retirement Calculator'!J:J,MATCH('Isaac 401k'!N5086,'Retirement Calculator'!A:A,0),0),0)</f>
        <v>0</v>
      </c>
      <c r="K5086" s="455">
        <f t="shared" ca="1" si="196"/>
        <v>2470285447707.876</v>
      </c>
      <c r="L5086" s="455">
        <f t="shared" ca="1" si="197"/>
        <v>595338792897598.13</v>
      </c>
      <c r="M5086" s="471">
        <f t="shared" si="199"/>
        <v>0.05</v>
      </c>
      <c r="N5086" s="475">
        <f t="shared" si="200"/>
        <v>205846</v>
      </c>
    </row>
    <row r="5087" spans="7:14" ht="11.25" customHeight="1" x14ac:dyDescent="0.3">
      <c r="G5087" s="470"/>
      <c r="H5087" s="470">
        <v>5080</v>
      </c>
      <c r="I5087" s="455">
        <f t="shared" ca="1" si="198"/>
        <v>595338792897598.13</v>
      </c>
      <c r="J5087" s="455">
        <f t="array" ref="J5087">IFERROR(INDEX('Retirement Calculator'!J:J,MATCH('Isaac 401k'!N5087,'Retirement Calculator'!A:A,0),0),0)</f>
        <v>0</v>
      </c>
      <c r="K5087" s="455">
        <f t="shared" ca="1" si="196"/>
        <v>2480578303739.9922</v>
      </c>
      <c r="L5087" s="455">
        <f t="shared" ca="1" si="197"/>
        <v>597819371201338.13</v>
      </c>
      <c r="M5087" s="471">
        <f t="shared" si="199"/>
        <v>0.05</v>
      </c>
      <c r="N5087" s="475">
        <f t="shared" si="200"/>
        <v>205877</v>
      </c>
    </row>
    <row r="5088" spans="7:14" ht="11.25" customHeight="1" x14ac:dyDescent="0.3">
      <c r="G5088" s="470"/>
      <c r="H5088" s="470">
        <v>5081</v>
      </c>
      <c r="I5088" s="455">
        <f t="shared" ca="1" si="198"/>
        <v>597819371201338.13</v>
      </c>
      <c r="J5088" s="455">
        <f t="array" ref="J5088">IFERROR(INDEX('Retirement Calculator'!J:J,MATCH('Isaac 401k'!N5088,'Retirement Calculator'!A:A,0),0),0)</f>
        <v>0</v>
      </c>
      <c r="K5088" s="455">
        <f t="shared" ca="1" si="196"/>
        <v>2490914046672.2422</v>
      </c>
      <c r="L5088" s="455">
        <f t="shared" ca="1" si="197"/>
        <v>600310285248010.38</v>
      </c>
      <c r="M5088" s="471">
        <f t="shared" si="199"/>
        <v>0.05</v>
      </c>
      <c r="N5088" s="475">
        <f t="shared" si="200"/>
        <v>205907</v>
      </c>
    </row>
    <row r="5089" spans="7:14" ht="11.25" customHeight="1" x14ac:dyDescent="0.3">
      <c r="G5089" s="470"/>
      <c r="H5089" s="470">
        <v>5082</v>
      </c>
      <c r="I5089" s="455">
        <f t="shared" ca="1" si="198"/>
        <v>600310285248010.38</v>
      </c>
      <c r="J5089" s="455">
        <f t="array" ref="J5089">IFERROR(INDEX('Retirement Calculator'!J:J,MATCH('Isaac 401k'!N5089,'Retirement Calculator'!A:A,0),0),0)</f>
        <v>0</v>
      </c>
      <c r="K5089" s="455">
        <f t="shared" ca="1" si="196"/>
        <v>2501292855200.043</v>
      </c>
      <c r="L5089" s="455">
        <f t="shared" ca="1" si="197"/>
        <v>602811578103210.38</v>
      </c>
      <c r="M5089" s="471">
        <f t="shared" si="199"/>
        <v>0.05</v>
      </c>
      <c r="N5089" s="475">
        <f t="shared" si="200"/>
        <v>205938</v>
      </c>
    </row>
    <row r="5090" spans="7:14" ht="11.25" customHeight="1" x14ac:dyDescent="0.3">
      <c r="G5090" s="470"/>
      <c r="H5090" s="470">
        <v>5083</v>
      </c>
      <c r="I5090" s="455">
        <f t="shared" ca="1" si="198"/>
        <v>602811578103210.38</v>
      </c>
      <c r="J5090" s="455">
        <f t="array" ref="J5090">IFERROR(INDEX('Retirement Calculator'!J:J,MATCH('Isaac 401k'!N5090,'Retirement Calculator'!A:A,0),0),0)</f>
        <v>0</v>
      </c>
      <c r="K5090" s="455">
        <f t="shared" ca="1" si="196"/>
        <v>2511714908763.3765</v>
      </c>
      <c r="L5090" s="455">
        <f t="shared" ca="1" si="197"/>
        <v>605323293011973.75</v>
      </c>
      <c r="M5090" s="471">
        <f t="shared" si="199"/>
        <v>0.05</v>
      </c>
      <c r="N5090" s="475">
        <f t="shared" si="200"/>
        <v>205968</v>
      </c>
    </row>
    <row r="5091" spans="7:14" ht="11.25" customHeight="1" x14ac:dyDescent="0.3">
      <c r="G5091" s="470"/>
      <c r="H5091" s="470">
        <v>5084</v>
      </c>
      <c r="I5091" s="455">
        <f t="shared" ca="1" si="198"/>
        <v>605323293011973.75</v>
      </c>
      <c r="J5091" s="455">
        <f t="array" ref="J5091">IFERROR(INDEX('Retirement Calculator'!J:J,MATCH('Isaac 401k'!N5091,'Retirement Calculator'!A:A,0),0),0)</f>
        <v>0</v>
      </c>
      <c r="K5091" s="455">
        <f t="shared" ca="1" si="196"/>
        <v>2522180387549.8906</v>
      </c>
      <c r="L5091" s="455">
        <f t="shared" ca="1" si="197"/>
        <v>607845473399523.63</v>
      </c>
      <c r="M5091" s="471">
        <f t="shared" si="199"/>
        <v>0.05</v>
      </c>
      <c r="N5091" s="475">
        <f t="shared" si="200"/>
        <v>205999</v>
      </c>
    </row>
    <row r="5092" spans="7:14" ht="11.25" customHeight="1" x14ac:dyDescent="0.3">
      <c r="G5092" s="470"/>
      <c r="H5092" s="470">
        <v>5085</v>
      </c>
      <c r="I5092" s="455">
        <f t="shared" ca="1" si="198"/>
        <v>607845473399523.63</v>
      </c>
      <c r="J5092" s="455">
        <f t="array" ref="J5092">IFERROR(INDEX('Retirement Calculator'!J:J,MATCH('Isaac 401k'!N5092,'Retirement Calculator'!A:A,0),0),0)</f>
        <v>0</v>
      </c>
      <c r="K5092" s="455">
        <f t="shared" ca="1" si="196"/>
        <v>2532689472498.0151</v>
      </c>
      <c r="L5092" s="455">
        <f t="shared" ca="1" si="197"/>
        <v>610378162872021.63</v>
      </c>
      <c r="M5092" s="471">
        <f t="shared" si="199"/>
        <v>0.05</v>
      </c>
      <c r="N5092" s="475">
        <f t="shared" si="200"/>
        <v>206030</v>
      </c>
    </row>
    <row r="5093" spans="7:14" ht="11.25" customHeight="1" x14ac:dyDescent="0.3">
      <c r="G5093" s="470"/>
      <c r="H5093" s="470">
        <v>5086</v>
      </c>
      <c r="I5093" s="455">
        <f t="shared" ca="1" si="198"/>
        <v>610378162872021.63</v>
      </c>
      <c r="J5093" s="455">
        <f t="array" ref="J5093">IFERROR(INDEX('Retirement Calculator'!J:J,MATCH('Isaac 401k'!N5093,'Retirement Calculator'!A:A,0),0),0)</f>
        <v>0</v>
      </c>
      <c r="K5093" s="455">
        <f t="shared" ca="1" si="196"/>
        <v>2543242345300.0898</v>
      </c>
      <c r="L5093" s="455">
        <f t="shared" ca="1" si="197"/>
        <v>612921405217321.75</v>
      </c>
      <c r="M5093" s="471">
        <f t="shared" si="199"/>
        <v>0.05</v>
      </c>
      <c r="N5093" s="475">
        <f t="shared" si="200"/>
        <v>206059</v>
      </c>
    </row>
    <row r="5094" spans="7:14" ht="11.25" customHeight="1" x14ac:dyDescent="0.3">
      <c r="G5094" s="470"/>
      <c r="H5094" s="470">
        <v>5087</v>
      </c>
      <c r="I5094" s="455">
        <f t="shared" ca="1" si="198"/>
        <v>612921405217321.75</v>
      </c>
      <c r="J5094" s="455">
        <f t="array" ref="J5094">IFERROR(INDEX('Retirement Calculator'!J:J,MATCH('Isaac 401k'!N5094,'Retirement Calculator'!A:A,0),0),0)</f>
        <v>0</v>
      </c>
      <c r="K5094" s="455">
        <f t="shared" ca="1" si="196"/>
        <v>2553839188405.5073</v>
      </c>
      <c r="L5094" s="455">
        <f t="shared" ca="1" si="197"/>
        <v>615475244405727.25</v>
      </c>
      <c r="M5094" s="471">
        <f t="shared" si="199"/>
        <v>0.05</v>
      </c>
      <c r="N5094" s="475">
        <f t="shared" si="200"/>
        <v>206090</v>
      </c>
    </row>
    <row r="5095" spans="7:14" ht="11.25" customHeight="1" x14ac:dyDescent="0.3">
      <c r="G5095" s="470"/>
      <c r="H5095" s="470">
        <v>5088</v>
      </c>
      <c r="I5095" s="455">
        <f t="shared" ca="1" si="198"/>
        <v>615475244405727.25</v>
      </c>
      <c r="J5095" s="455">
        <f t="array" ref="J5095">IFERROR(INDEX('Retirement Calculator'!J:J,MATCH('Isaac 401k'!N5095,'Retirement Calculator'!A:A,0),0),0)</f>
        <v>0</v>
      </c>
      <c r="K5095" s="455">
        <f t="shared" ca="1" si="196"/>
        <v>2564480185023.8633</v>
      </c>
      <c r="L5095" s="455">
        <f t="shared" ca="1" si="197"/>
        <v>618039724590751.13</v>
      </c>
      <c r="M5095" s="471">
        <f t="shared" si="199"/>
        <v>0.05</v>
      </c>
      <c r="N5095" s="475">
        <f t="shared" si="200"/>
        <v>206120</v>
      </c>
    </row>
    <row r="5096" spans="7:14" ht="11.25" customHeight="1" x14ac:dyDescent="0.3">
      <c r="G5096" s="470"/>
      <c r="H5096" s="470">
        <v>5089</v>
      </c>
      <c r="I5096" s="455">
        <f t="shared" ca="1" si="198"/>
        <v>618039724590751.13</v>
      </c>
      <c r="J5096" s="455">
        <f t="array" ref="J5096">IFERROR(INDEX('Retirement Calculator'!J:J,MATCH('Isaac 401k'!N5096,'Retirement Calculator'!A:A,0),0),0)</f>
        <v>0</v>
      </c>
      <c r="K5096" s="455">
        <f t="shared" ca="1" si="196"/>
        <v>2575165519128.1299</v>
      </c>
      <c r="L5096" s="455">
        <f t="shared" ca="1" si="197"/>
        <v>620614890109879.25</v>
      </c>
      <c r="M5096" s="471">
        <f t="shared" si="199"/>
        <v>0.05</v>
      </c>
      <c r="N5096" s="475">
        <f t="shared" si="200"/>
        <v>206151</v>
      </c>
    </row>
    <row r="5097" spans="7:14" ht="11.25" customHeight="1" x14ac:dyDescent="0.3">
      <c r="G5097" s="470"/>
      <c r="H5097" s="470">
        <v>5090</v>
      </c>
      <c r="I5097" s="455">
        <f t="shared" ca="1" si="198"/>
        <v>620614890109879.25</v>
      </c>
      <c r="J5097" s="455">
        <f t="array" ref="J5097">IFERROR(INDEX('Retirement Calculator'!J:J,MATCH('Isaac 401k'!N5097,'Retirement Calculator'!A:A,0),0),0)</f>
        <v>0</v>
      </c>
      <c r="K5097" s="455">
        <f t="shared" ca="1" si="196"/>
        <v>2585895375457.8301</v>
      </c>
      <c r="L5097" s="455">
        <f t="shared" ca="1" si="197"/>
        <v>623200785485337.13</v>
      </c>
      <c r="M5097" s="471">
        <f t="shared" si="199"/>
        <v>0.05</v>
      </c>
      <c r="N5097" s="475">
        <f t="shared" si="200"/>
        <v>206181</v>
      </c>
    </row>
    <row r="5098" spans="7:14" ht="11.25" customHeight="1" x14ac:dyDescent="0.3">
      <c r="G5098" s="470"/>
      <c r="H5098" s="470">
        <v>5091</v>
      </c>
      <c r="I5098" s="455">
        <f t="shared" ca="1" si="198"/>
        <v>623200785485337.13</v>
      </c>
      <c r="J5098" s="455">
        <f t="array" ref="J5098">IFERROR(INDEX('Retirement Calculator'!J:J,MATCH('Isaac 401k'!N5098,'Retirement Calculator'!A:A,0),0),0)</f>
        <v>0</v>
      </c>
      <c r="K5098" s="455">
        <f t="shared" ca="1" si="196"/>
        <v>2596669939522.2378</v>
      </c>
      <c r="L5098" s="455">
        <f t="shared" ca="1" si="197"/>
        <v>625797455424859.38</v>
      </c>
      <c r="M5098" s="471">
        <f t="shared" si="199"/>
        <v>0.05</v>
      </c>
      <c r="N5098" s="475">
        <f t="shared" si="200"/>
        <v>206212</v>
      </c>
    </row>
    <row r="5099" spans="7:14" ht="11.25" customHeight="1" x14ac:dyDescent="0.3">
      <c r="G5099" s="470"/>
      <c r="H5099" s="470">
        <v>5092</v>
      </c>
      <c r="I5099" s="455">
        <f t="shared" ca="1" si="198"/>
        <v>625797455424859.38</v>
      </c>
      <c r="J5099" s="455">
        <f t="array" ref="J5099">IFERROR(INDEX('Retirement Calculator'!J:J,MATCH('Isaac 401k'!N5099,'Retirement Calculator'!A:A,0),0),0)</f>
        <v>0</v>
      </c>
      <c r="K5099" s="455">
        <f t="shared" ca="1" si="196"/>
        <v>2607489397603.5806</v>
      </c>
      <c r="L5099" s="455">
        <f t="shared" ca="1" si="197"/>
        <v>628404944822463</v>
      </c>
      <c r="M5099" s="471">
        <f t="shared" si="199"/>
        <v>0.05</v>
      </c>
      <c r="N5099" s="475">
        <f t="shared" si="200"/>
        <v>206243</v>
      </c>
    </row>
    <row r="5100" spans="7:14" ht="11.25" customHeight="1" x14ac:dyDescent="0.3">
      <c r="G5100" s="470"/>
      <c r="H5100" s="470">
        <v>5093</v>
      </c>
      <c r="I5100" s="455">
        <f t="shared" ca="1" si="198"/>
        <v>628404944822463</v>
      </c>
      <c r="J5100" s="455">
        <f t="array" ref="J5100">IFERROR(INDEX('Retirement Calculator'!J:J,MATCH('Isaac 401k'!N5100,'Retirement Calculator'!A:A,0),0),0)</f>
        <v>0</v>
      </c>
      <c r="K5100" s="455">
        <f t="shared" ca="1" si="196"/>
        <v>2618353936760.2627</v>
      </c>
      <c r="L5100" s="455">
        <f t="shared" ca="1" si="197"/>
        <v>631023298759223.25</v>
      </c>
      <c r="M5100" s="471">
        <f t="shared" si="199"/>
        <v>0.05</v>
      </c>
      <c r="N5100" s="475">
        <f t="shared" si="200"/>
        <v>206273</v>
      </c>
    </row>
    <row r="5101" spans="7:14" ht="11.25" customHeight="1" x14ac:dyDescent="0.3">
      <c r="G5101" s="470"/>
      <c r="H5101" s="470">
        <v>5094</v>
      </c>
      <c r="I5101" s="455">
        <f t="shared" ca="1" si="198"/>
        <v>631023298759223.25</v>
      </c>
      <c r="J5101" s="455">
        <f t="array" ref="J5101">IFERROR(INDEX('Retirement Calculator'!J:J,MATCH('Isaac 401k'!N5101,'Retirement Calculator'!A:A,0),0),0)</f>
        <v>0</v>
      </c>
      <c r="K5101" s="455">
        <f t="shared" ca="1" si="196"/>
        <v>2629263744830.0967</v>
      </c>
      <c r="L5101" s="455">
        <f t="shared" ca="1" si="197"/>
        <v>633652562504053.38</v>
      </c>
      <c r="M5101" s="471">
        <f t="shared" si="199"/>
        <v>0.05</v>
      </c>
      <c r="N5101" s="475">
        <f t="shared" si="200"/>
        <v>206304</v>
      </c>
    </row>
    <row r="5102" spans="7:14" ht="11.25" customHeight="1" x14ac:dyDescent="0.3">
      <c r="G5102" s="470"/>
      <c r="H5102" s="470">
        <v>5095</v>
      </c>
      <c r="I5102" s="455">
        <f t="shared" ca="1" si="198"/>
        <v>633652562504053.38</v>
      </c>
      <c r="J5102" s="455">
        <f t="array" ref="J5102">IFERROR(INDEX('Retirement Calculator'!J:J,MATCH('Isaac 401k'!N5102,'Retirement Calculator'!A:A,0),0),0)</f>
        <v>0</v>
      </c>
      <c r="K5102" s="455">
        <f t="shared" ca="1" si="196"/>
        <v>2640219010433.5557</v>
      </c>
      <c r="L5102" s="455">
        <f t="shared" ca="1" si="197"/>
        <v>636292781514486.88</v>
      </c>
      <c r="M5102" s="471">
        <f t="shared" si="199"/>
        <v>0.05</v>
      </c>
      <c r="N5102" s="475">
        <f t="shared" si="200"/>
        <v>206334</v>
      </c>
    </row>
    <row r="5103" spans="7:14" ht="11.25" customHeight="1" x14ac:dyDescent="0.3">
      <c r="G5103" s="470"/>
      <c r="H5103" s="470">
        <v>5096</v>
      </c>
      <c r="I5103" s="455">
        <f t="shared" ca="1" si="198"/>
        <v>636292781514486.88</v>
      </c>
      <c r="J5103" s="455">
        <f t="array" ref="J5103">IFERROR(INDEX('Retirement Calculator'!J:J,MATCH('Isaac 401k'!N5103,'Retirement Calculator'!A:A,0),0),0)</f>
        <v>0</v>
      </c>
      <c r="K5103" s="455">
        <f t="shared" ca="1" si="196"/>
        <v>2651219922977.0288</v>
      </c>
      <c r="L5103" s="455">
        <f t="shared" ca="1" si="197"/>
        <v>638944001437463.88</v>
      </c>
      <c r="M5103" s="471">
        <f t="shared" si="199"/>
        <v>0.05</v>
      </c>
      <c r="N5103" s="475">
        <f t="shared" si="200"/>
        <v>206365</v>
      </c>
    </row>
    <row r="5104" spans="7:14" ht="11.25" customHeight="1" x14ac:dyDescent="0.3">
      <c r="G5104" s="470"/>
      <c r="H5104" s="470">
        <v>5097</v>
      </c>
      <c r="I5104" s="455">
        <f t="shared" ca="1" si="198"/>
        <v>638944001437463.88</v>
      </c>
      <c r="J5104" s="455">
        <f t="array" ref="J5104">IFERROR(INDEX('Retirement Calculator'!J:J,MATCH('Isaac 401k'!N5104,'Retirement Calculator'!A:A,0),0),0)</f>
        <v>0</v>
      </c>
      <c r="K5104" s="455">
        <f t="shared" ca="1" si="196"/>
        <v>2662266672656.0996</v>
      </c>
      <c r="L5104" s="455">
        <f t="shared" ca="1" si="197"/>
        <v>641606268110120</v>
      </c>
      <c r="M5104" s="471">
        <f t="shared" si="199"/>
        <v>0.05</v>
      </c>
      <c r="N5104" s="475">
        <f t="shared" si="200"/>
        <v>206396</v>
      </c>
    </row>
    <row r="5105" spans="7:14" ht="11.25" customHeight="1" x14ac:dyDescent="0.3">
      <c r="G5105" s="470"/>
      <c r="H5105" s="470">
        <v>5098</v>
      </c>
      <c r="I5105" s="455">
        <f t="shared" ca="1" si="198"/>
        <v>641606268110120</v>
      </c>
      <c r="J5105" s="455">
        <f t="array" ref="J5105">IFERROR(INDEX('Retirement Calculator'!J:J,MATCH('Isaac 401k'!N5105,'Retirement Calculator'!A:A,0),0),0)</f>
        <v>0</v>
      </c>
      <c r="K5105" s="455">
        <f t="shared" ca="1" si="196"/>
        <v>2673359450458.8335</v>
      </c>
      <c r="L5105" s="455">
        <f t="shared" ca="1" si="197"/>
        <v>644279627560578.88</v>
      </c>
      <c r="M5105" s="471">
        <f t="shared" si="199"/>
        <v>0.05</v>
      </c>
      <c r="N5105" s="475">
        <f t="shared" si="200"/>
        <v>206424</v>
      </c>
    </row>
    <row r="5106" spans="7:14" ht="11.25" customHeight="1" x14ac:dyDescent="0.3">
      <c r="G5106" s="470"/>
      <c r="H5106" s="470">
        <v>5099</v>
      </c>
      <c r="I5106" s="455">
        <f t="shared" ca="1" si="198"/>
        <v>644279627560578.88</v>
      </c>
      <c r="J5106" s="455">
        <f t="array" ref="J5106">IFERROR(INDEX('Retirement Calculator'!J:J,MATCH('Isaac 401k'!N5106,'Retirement Calculator'!A:A,0),0),0)</f>
        <v>0</v>
      </c>
      <c r="K5106" s="455">
        <f t="shared" ca="1" si="196"/>
        <v>2684498448169.0786</v>
      </c>
      <c r="L5106" s="455">
        <f t="shared" ca="1" si="197"/>
        <v>646964126008748</v>
      </c>
      <c r="M5106" s="471">
        <f t="shared" si="199"/>
        <v>0.05</v>
      </c>
      <c r="N5106" s="475">
        <f t="shared" si="200"/>
        <v>206455</v>
      </c>
    </row>
    <row r="5107" spans="7:14" ht="11.25" customHeight="1" x14ac:dyDescent="0.3">
      <c r="G5107" s="470"/>
      <c r="H5107" s="470">
        <v>5100</v>
      </c>
      <c r="I5107" s="455">
        <f t="shared" ca="1" si="198"/>
        <v>646964126008748</v>
      </c>
      <c r="J5107" s="455">
        <f t="array" ref="J5107">IFERROR(INDEX('Retirement Calculator'!J:J,MATCH('Isaac 401k'!N5107,'Retirement Calculator'!A:A,0),0),0)</f>
        <v>0</v>
      </c>
      <c r="K5107" s="455">
        <f t="shared" ca="1" si="196"/>
        <v>2695683858369.7832</v>
      </c>
      <c r="L5107" s="455">
        <f t="shared" ca="1" si="197"/>
        <v>649659809867117.75</v>
      </c>
      <c r="M5107" s="471">
        <f t="shared" si="199"/>
        <v>0.05</v>
      </c>
      <c r="N5107" s="475">
        <f t="shared" si="200"/>
        <v>206485</v>
      </c>
    </row>
    <row r="5108" spans="7:14" ht="11.25" customHeight="1" x14ac:dyDescent="0.3">
      <c r="G5108" s="470"/>
      <c r="H5108" s="470">
        <v>5101</v>
      </c>
      <c r="I5108" s="455">
        <f t="shared" ca="1" si="198"/>
        <v>649659809867117.75</v>
      </c>
      <c r="J5108" s="455">
        <f t="array" ref="J5108">IFERROR(INDEX('Retirement Calculator'!J:J,MATCH('Isaac 401k'!N5108,'Retirement Calculator'!A:A,0),0),0)</f>
        <v>0</v>
      </c>
      <c r="K5108" s="455">
        <f t="shared" ref="K5108:K5362" ca="1" si="201">IPMT(M5108/12,1,12,-I5108+J5108,,0)</f>
        <v>2706915874446.3237</v>
      </c>
      <c r="L5108" s="455">
        <f t="shared" ref="L5108:L5362" ca="1" si="202">I5108-J5108+K5108</f>
        <v>652366725741564.13</v>
      </c>
      <c r="M5108" s="471">
        <f t="shared" si="199"/>
        <v>0.05</v>
      </c>
      <c r="N5108" s="475">
        <f t="shared" si="200"/>
        <v>206516</v>
      </c>
    </row>
    <row r="5109" spans="7:14" ht="11.25" customHeight="1" x14ac:dyDescent="0.3">
      <c r="G5109" s="470"/>
      <c r="H5109" s="470">
        <v>5102</v>
      </c>
      <c r="I5109" s="455">
        <f t="shared" ref="I5109:I5363" ca="1" si="203">L5108</f>
        <v>652366725741564.13</v>
      </c>
      <c r="J5109" s="455">
        <f t="array" ref="J5109">IFERROR(INDEX('Retirement Calculator'!J:J,MATCH('Isaac 401k'!N5109,'Retirement Calculator'!A:A,0),0),0)</f>
        <v>0</v>
      </c>
      <c r="K5109" s="455">
        <f t="shared" ca="1" si="201"/>
        <v>2718194690589.8506</v>
      </c>
      <c r="L5109" s="455">
        <f t="shared" ca="1" si="202"/>
        <v>655084920432154</v>
      </c>
      <c r="M5109" s="471">
        <f t="shared" ref="M5109:M5363" si="204">M5108</f>
        <v>0.05</v>
      </c>
      <c r="N5109" s="475">
        <f t="shared" ref="N5109:N5363" si="205">EDATE(N5108,1)</f>
        <v>206546</v>
      </c>
    </row>
    <row r="5110" spans="7:14" ht="11.25" customHeight="1" x14ac:dyDescent="0.3">
      <c r="G5110" s="470"/>
      <c r="H5110" s="470">
        <v>5103</v>
      </c>
      <c r="I5110" s="455">
        <f t="shared" ca="1" si="203"/>
        <v>655084920432154</v>
      </c>
      <c r="J5110" s="455">
        <f t="array" ref="J5110">IFERROR(INDEX('Retirement Calculator'!J:J,MATCH('Isaac 401k'!N5110,'Retirement Calculator'!A:A,0),0),0)</f>
        <v>0</v>
      </c>
      <c r="K5110" s="455">
        <f t="shared" ca="1" si="201"/>
        <v>2729520501800.6416</v>
      </c>
      <c r="L5110" s="455">
        <f t="shared" ca="1" si="202"/>
        <v>657814440933954.63</v>
      </c>
      <c r="M5110" s="471">
        <f t="shared" si="204"/>
        <v>0.05</v>
      </c>
      <c r="N5110" s="475">
        <f t="shared" si="205"/>
        <v>206577</v>
      </c>
    </row>
    <row r="5111" spans="7:14" ht="11.25" customHeight="1" x14ac:dyDescent="0.3">
      <c r="G5111" s="470"/>
      <c r="H5111" s="470">
        <v>5104</v>
      </c>
      <c r="I5111" s="455">
        <f t="shared" ca="1" si="203"/>
        <v>657814440933954.63</v>
      </c>
      <c r="J5111" s="455">
        <f t="array" ref="J5111">IFERROR(INDEX('Retirement Calculator'!J:J,MATCH('Isaac 401k'!N5111,'Retirement Calculator'!A:A,0),0),0)</f>
        <v>0</v>
      </c>
      <c r="K5111" s="455">
        <f t="shared" ca="1" si="201"/>
        <v>2740893503891.4775</v>
      </c>
      <c r="L5111" s="455">
        <f t="shared" ca="1" si="202"/>
        <v>660555334437846.13</v>
      </c>
      <c r="M5111" s="471">
        <f t="shared" si="204"/>
        <v>0.05</v>
      </c>
      <c r="N5111" s="475">
        <f t="shared" si="205"/>
        <v>206608</v>
      </c>
    </row>
    <row r="5112" spans="7:14" ht="11.25" customHeight="1" x14ac:dyDescent="0.3">
      <c r="G5112" s="470"/>
      <c r="H5112" s="470">
        <v>5105</v>
      </c>
      <c r="I5112" s="455">
        <f t="shared" ca="1" si="203"/>
        <v>660555334437846.13</v>
      </c>
      <c r="J5112" s="455">
        <f t="array" ref="J5112">IFERROR(INDEX('Retirement Calculator'!J:J,MATCH('Isaac 401k'!N5112,'Retirement Calculator'!A:A,0),0),0)</f>
        <v>0</v>
      </c>
      <c r="K5112" s="455">
        <f t="shared" ca="1" si="201"/>
        <v>2752313893491.0254</v>
      </c>
      <c r="L5112" s="455">
        <f t="shared" ca="1" si="202"/>
        <v>663307648331337.13</v>
      </c>
      <c r="M5112" s="471">
        <f t="shared" si="204"/>
        <v>0.05</v>
      </c>
      <c r="N5112" s="475">
        <f t="shared" si="205"/>
        <v>206638</v>
      </c>
    </row>
    <row r="5113" spans="7:14" ht="11.25" customHeight="1" x14ac:dyDescent="0.3">
      <c r="G5113" s="470"/>
      <c r="H5113" s="470">
        <v>5106</v>
      </c>
      <c r="I5113" s="455">
        <f t="shared" ca="1" si="203"/>
        <v>663307648331337.13</v>
      </c>
      <c r="J5113" s="455">
        <f t="array" ref="J5113">IFERROR(INDEX('Retirement Calculator'!J:J,MATCH('Isaac 401k'!N5113,'Retirement Calculator'!A:A,0),0),0)</f>
        <v>0</v>
      </c>
      <c r="K5113" s="455">
        <f t="shared" ca="1" si="201"/>
        <v>2763781868047.2378</v>
      </c>
      <c r="L5113" s="455">
        <f t="shared" ca="1" si="202"/>
        <v>666071430199384.38</v>
      </c>
      <c r="M5113" s="471">
        <f t="shared" si="204"/>
        <v>0.05</v>
      </c>
      <c r="N5113" s="475">
        <f t="shared" si="205"/>
        <v>206669</v>
      </c>
    </row>
    <row r="5114" spans="7:14" ht="11.25" customHeight="1" x14ac:dyDescent="0.3">
      <c r="G5114" s="470"/>
      <c r="H5114" s="470">
        <v>5107</v>
      </c>
      <c r="I5114" s="455">
        <f t="shared" ca="1" si="203"/>
        <v>666071430199384.38</v>
      </c>
      <c r="J5114" s="455">
        <f t="array" ref="J5114">IFERROR(INDEX('Retirement Calculator'!J:J,MATCH('Isaac 401k'!N5114,'Retirement Calculator'!A:A,0),0),0)</f>
        <v>0</v>
      </c>
      <c r="K5114" s="455">
        <f t="shared" ca="1" si="201"/>
        <v>2775297625830.7681</v>
      </c>
      <c r="L5114" s="455">
        <f t="shared" ca="1" si="202"/>
        <v>668846727825215.13</v>
      </c>
      <c r="M5114" s="471">
        <f t="shared" si="204"/>
        <v>0.05</v>
      </c>
      <c r="N5114" s="475">
        <f t="shared" si="205"/>
        <v>206699</v>
      </c>
    </row>
    <row r="5115" spans="7:14" ht="11.25" customHeight="1" x14ac:dyDescent="0.3">
      <c r="G5115" s="470"/>
      <c r="H5115" s="470">
        <v>5108</v>
      </c>
      <c r="I5115" s="455">
        <f t="shared" ca="1" si="203"/>
        <v>668846727825215.13</v>
      </c>
      <c r="J5115" s="455">
        <f t="array" ref="J5115">IFERROR(INDEX('Retirement Calculator'!J:J,MATCH('Isaac 401k'!N5115,'Retirement Calculator'!A:A,0),0),0)</f>
        <v>0</v>
      </c>
      <c r="K5115" s="455">
        <f t="shared" ca="1" si="201"/>
        <v>2786861365938.3965</v>
      </c>
      <c r="L5115" s="455">
        <f t="shared" ca="1" si="202"/>
        <v>671633589191153.5</v>
      </c>
      <c r="M5115" s="471">
        <f t="shared" si="204"/>
        <v>0.05</v>
      </c>
      <c r="N5115" s="475">
        <f t="shared" si="205"/>
        <v>206730</v>
      </c>
    </row>
    <row r="5116" spans="7:14" ht="11.25" customHeight="1" x14ac:dyDescent="0.3">
      <c r="G5116" s="470"/>
      <c r="H5116" s="470">
        <v>5109</v>
      </c>
      <c r="I5116" s="455">
        <f t="shared" ca="1" si="203"/>
        <v>671633589191153.5</v>
      </c>
      <c r="J5116" s="455">
        <f t="array" ref="J5116">IFERROR(INDEX('Retirement Calculator'!J:J,MATCH('Isaac 401k'!N5116,'Retirement Calculator'!A:A,0),0),0)</f>
        <v>0</v>
      </c>
      <c r="K5116" s="455">
        <f t="shared" ca="1" si="201"/>
        <v>2798473288296.4727</v>
      </c>
      <c r="L5116" s="455">
        <f t="shared" ca="1" si="202"/>
        <v>674432062479450</v>
      </c>
      <c r="M5116" s="471">
        <f t="shared" si="204"/>
        <v>0.05</v>
      </c>
      <c r="N5116" s="475">
        <f t="shared" si="205"/>
        <v>206761</v>
      </c>
    </row>
    <row r="5117" spans="7:14" ht="11.25" customHeight="1" x14ac:dyDescent="0.3">
      <c r="G5117" s="470"/>
      <c r="H5117" s="470">
        <v>5110</v>
      </c>
      <c r="I5117" s="455">
        <f t="shared" ca="1" si="203"/>
        <v>674432062479450</v>
      </c>
      <c r="J5117" s="455">
        <f t="array" ref="J5117">IFERROR(INDEX('Retirement Calculator'!J:J,MATCH('Isaac 401k'!N5117,'Retirement Calculator'!A:A,0),0),0)</f>
        <v>0</v>
      </c>
      <c r="K5117" s="455">
        <f t="shared" ca="1" si="201"/>
        <v>2810133593664.375</v>
      </c>
      <c r="L5117" s="455">
        <f t="shared" ca="1" si="202"/>
        <v>677242196073114.38</v>
      </c>
      <c r="M5117" s="471">
        <f t="shared" si="204"/>
        <v>0.05</v>
      </c>
      <c r="N5117" s="475">
        <f t="shared" si="205"/>
        <v>206789</v>
      </c>
    </row>
    <row r="5118" spans="7:14" ht="11.25" customHeight="1" x14ac:dyDescent="0.3">
      <c r="G5118" s="470"/>
      <c r="H5118" s="470">
        <v>5111</v>
      </c>
      <c r="I5118" s="455">
        <f t="shared" ca="1" si="203"/>
        <v>677242196073114.38</v>
      </c>
      <c r="J5118" s="455">
        <f t="array" ref="J5118">IFERROR(INDEX('Retirement Calculator'!J:J,MATCH('Isaac 401k'!N5118,'Retirement Calculator'!A:A,0),0),0)</f>
        <v>0</v>
      </c>
      <c r="K5118" s="455">
        <f t="shared" ca="1" si="201"/>
        <v>2821842483637.9766</v>
      </c>
      <c r="L5118" s="455">
        <f t="shared" ca="1" si="202"/>
        <v>680064038556752.38</v>
      </c>
      <c r="M5118" s="471">
        <f t="shared" si="204"/>
        <v>0.05</v>
      </c>
      <c r="N5118" s="475">
        <f t="shared" si="205"/>
        <v>206820</v>
      </c>
    </row>
    <row r="5119" spans="7:14" ht="11.25" customHeight="1" x14ac:dyDescent="0.3">
      <c r="G5119" s="470"/>
      <c r="H5119" s="470">
        <v>5112</v>
      </c>
      <c r="I5119" s="455">
        <f t="shared" ca="1" si="203"/>
        <v>680064038556752.38</v>
      </c>
      <c r="J5119" s="455">
        <f t="array" ref="J5119">IFERROR(INDEX('Retirement Calculator'!J:J,MATCH('Isaac 401k'!N5119,'Retirement Calculator'!A:A,0),0),0)</f>
        <v>0</v>
      </c>
      <c r="K5119" s="455">
        <f t="shared" ca="1" si="201"/>
        <v>2833600160653.1348</v>
      </c>
      <c r="L5119" s="455">
        <f t="shared" ca="1" si="202"/>
        <v>682897638717405.5</v>
      </c>
      <c r="M5119" s="471">
        <f t="shared" si="204"/>
        <v>0.05</v>
      </c>
      <c r="N5119" s="475">
        <f t="shared" si="205"/>
        <v>206850</v>
      </c>
    </row>
    <row r="5120" spans="7:14" ht="11.25" customHeight="1" x14ac:dyDescent="0.3">
      <c r="G5120" s="470"/>
      <c r="H5120" s="470">
        <v>5113</v>
      </c>
      <c r="I5120" s="455">
        <f t="shared" ca="1" si="203"/>
        <v>682897638717405.5</v>
      </c>
      <c r="J5120" s="455">
        <f t="array" ref="J5120">IFERROR(INDEX('Retirement Calculator'!J:J,MATCH('Isaac 401k'!N5120,'Retirement Calculator'!A:A,0),0),0)</f>
        <v>0</v>
      </c>
      <c r="K5120" s="455">
        <f t="shared" ca="1" si="201"/>
        <v>2845406827989.1895</v>
      </c>
      <c r="L5120" s="455">
        <f t="shared" ca="1" si="202"/>
        <v>685743045545394.75</v>
      </c>
      <c r="M5120" s="471">
        <f t="shared" si="204"/>
        <v>0.05</v>
      </c>
      <c r="N5120" s="475">
        <f t="shared" si="205"/>
        <v>206881</v>
      </c>
    </row>
    <row r="5121" spans="7:14" ht="11.25" customHeight="1" x14ac:dyDescent="0.3">
      <c r="G5121" s="470"/>
      <c r="H5121" s="470">
        <v>5114</v>
      </c>
      <c r="I5121" s="455">
        <f t="shared" ca="1" si="203"/>
        <v>685743045545394.75</v>
      </c>
      <c r="J5121" s="455">
        <f t="array" ref="J5121">IFERROR(INDEX('Retirement Calculator'!J:J,MATCH('Isaac 401k'!N5121,'Retirement Calculator'!A:A,0),0),0)</f>
        <v>0</v>
      </c>
      <c r="K5121" s="455">
        <f t="shared" ca="1" si="201"/>
        <v>2857262689772.478</v>
      </c>
      <c r="L5121" s="455">
        <f t="shared" ca="1" si="202"/>
        <v>688600308235167.25</v>
      </c>
      <c r="M5121" s="471">
        <f t="shared" si="204"/>
        <v>0.05</v>
      </c>
      <c r="N5121" s="475">
        <f t="shared" si="205"/>
        <v>206911</v>
      </c>
    </row>
    <row r="5122" spans="7:14" ht="11.25" customHeight="1" x14ac:dyDescent="0.3">
      <c r="G5122" s="470"/>
      <c r="H5122" s="470">
        <v>5115</v>
      </c>
      <c r="I5122" s="455">
        <f t="shared" ca="1" si="203"/>
        <v>688600308235167.25</v>
      </c>
      <c r="J5122" s="455">
        <f t="array" ref="J5122">IFERROR(INDEX('Retirement Calculator'!J:J,MATCH('Isaac 401k'!N5122,'Retirement Calculator'!A:A,0),0),0)</f>
        <v>0</v>
      </c>
      <c r="K5122" s="455">
        <f t="shared" ca="1" si="201"/>
        <v>2869167950979.8633</v>
      </c>
      <c r="L5122" s="455">
        <f t="shared" ca="1" si="202"/>
        <v>691469476186147.13</v>
      </c>
      <c r="M5122" s="471">
        <f t="shared" si="204"/>
        <v>0.05</v>
      </c>
      <c r="N5122" s="475">
        <f t="shared" si="205"/>
        <v>206942</v>
      </c>
    </row>
    <row r="5123" spans="7:14" ht="11.25" customHeight="1" x14ac:dyDescent="0.3">
      <c r="G5123" s="470"/>
      <c r="H5123" s="470">
        <v>5116</v>
      </c>
      <c r="I5123" s="455">
        <f t="shared" ca="1" si="203"/>
        <v>691469476186147.13</v>
      </c>
      <c r="J5123" s="455">
        <f t="array" ref="J5123">IFERROR(INDEX('Retirement Calculator'!J:J,MATCH('Isaac 401k'!N5123,'Retirement Calculator'!A:A,0),0),0)</f>
        <v>0</v>
      </c>
      <c r="K5123" s="455">
        <f t="shared" ca="1" si="201"/>
        <v>2881122817442.2798</v>
      </c>
      <c r="L5123" s="455">
        <f t="shared" ca="1" si="202"/>
        <v>694350599003589.38</v>
      </c>
      <c r="M5123" s="471">
        <f t="shared" si="204"/>
        <v>0.05</v>
      </c>
      <c r="N5123" s="475">
        <f t="shared" si="205"/>
        <v>206973</v>
      </c>
    </row>
    <row r="5124" spans="7:14" ht="11.25" customHeight="1" x14ac:dyDescent="0.3">
      <c r="G5124" s="470"/>
      <c r="H5124" s="470">
        <v>5117</v>
      </c>
      <c r="I5124" s="455">
        <f t="shared" ca="1" si="203"/>
        <v>694350599003589.38</v>
      </c>
      <c r="J5124" s="455">
        <f t="array" ref="J5124">IFERROR(INDEX('Retirement Calculator'!J:J,MATCH('Isaac 401k'!N5124,'Retirement Calculator'!A:A,0),0),0)</f>
        <v>0</v>
      </c>
      <c r="K5124" s="455">
        <f t="shared" ca="1" si="201"/>
        <v>2893127495848.2891</v>
      </c>
      <c r="L5124" s="455">
        <f t="shared" ca="1" si="202"/>
        <v>697243726499437.63</v>
      </c>
      <c r="M5124" s="471">
        <f t="shared" si="204"/>
        <v>0.05</v>
      </c>
      <c r="N5124" s="475">
        <f t="shared" si="205"/>
        <v>207003</v>
      </c>
    </row>
    <row r="5125" spans="7:14" ht="11.25" customHeight="1" x14ac:dyDescent="0.3">
      <c r="G5125" s="470"/>
      <c r="H5125" s="470">
        <v>5118</v>
      </c>
      <c r="I5125" s="455">
        <f t="shared" ca="1" si="203"/>
        <v>697243726499437.63</v>
      </c>
      <c r="J5125" s="455">
        <f t="array" ref="J5125">IFERROR(INDEX('Retirement Calculator'!J:J,MATCH('Isaac 401k'!N5125,'Retirement Calculator'!A:A,0),0),0)</f>
        <v>0</v>
      </c>
      <c r="K5125" s="455">
        <f t="shared" ca="1" si="201"/>
        <v>2905182193747.6567</v>
      </c>
      <c r="L5125" s="455">
        <f t="shared" ca="1" si="202"/>
        <v>700148908693185.25</v>
      </c>
      <c r="M5125" s="471">
        <f t="shared" si="204"/>
        <v>0.05</v>
      </c>
      <c r="N5125" s="475">
        <f t="shared" si="205"/>
        <v>207034</v>
      </c>
    </row>
    <row r="5126" spans="7:14" ht="11.25" customHeight="1" x14ac:dyDescent="0.3">
      <c r="G5126" s="470"/>
      <c r="H5126" s="470">
        <v>5119</v>
      </c>
      <c r="I5126" s="455">
        <f t="shared" ca="1" si="203"/>
        <v>700148908693185.25</v>
      </c>
      <c r="J5126" s="455">
        <f t="array" ref="J5126">IFERROR(INDEX('Retirement Calculator'!J:J,MATCH('Isaac 401k'!N5126,'Retirement Calculator'!A:A,0),0),0)</f>
        <v>0</v>
      </c>
      <c r="K5126" s="455">
        <f t="shared" ca="1" si="201"/>
        <v>2917287119554.9385</v>
      </c>
      <c r="L5126" s="455">
        <f t="shared" ca="1" si="202"/>
        <v>703066195812740.25</v>
      </c>
      <c r="M5126" s="471">
        <f t="shared" si="204"/>
        <v>0.05</v>
      </c>
      <c r="N5126" s="475">
        <f t="shared" si="205"/>
        <v>207064</v>
      </c>
    </row>
    <row r="5127" spans="7:14" ht="11.25" customHeight="1" x14ac:dyDescent="0.3">
      <c r="G5127" s="470"/>
      <c r="H5127" s="470">
        <v>5120</v>
      </c>
      <c r="I5127" s="455">
        <f t="shared" ca="1" si="203"/>
        <v>703066195812740.25</v>
      </c>
      <c r="J5127" s="455">
        <f t="array" ref="J5127">IFERROR(INDEX('Retirement Calculator'!J:J,MATCH('Isaac 401k'!N5127,'Retirement Calculator'!A:A,0),0),0)</f>
        <v>0</v>
      </c>
      <c r="K5127" s="455">
        <f t="shared" ca="1" si="201"/>
        <v>2929442482553.0845</v>
      </c>
      <c r="L5127" s="455">
        <f t="shared" ca="1" si="202"/>
        <v>705995638295293.38</v>
      </c>
      <c r="M5127" s="471">
        <f t="shared" si="204"/>
        <v>0.05</v>
      </c>
      <c r="N5127" s="475">
        <f t="shared" si="205"/>
        <v>207095</v>
      </c>
    </row>
    <row r="5128" spans="7:14" ht="11.25" customHeight="1" x14ac:dyDescent="0.3">
      <c r="G5128" s="470"/>
      <c r="H5128" s="470">
        <v>5121</v>
      </c>
      <c r="I5128" s="455">
        <f t="shared" ca="1" si="203"/>
        <v>705995638295293.38</v>
      </c>
      <c r="J5128" s="455">
        <f t="array" ref="J5128">IFERROR(INDEX('Retirement Calculator'!J:J,MATCH('Isaac 401k'!N5128,'Retirement Calculator'!A:A,0),0),0)</f>
        <v>0</v>
      </c>
      <c r="K5128" s="455">
        <f t="shared" ca="1" si="201"/>
        <v>2941648492897.0557</v>
      </c>
      <c r="L5128" s="455">
        <f t="shared" ca="1" si="202"/>
        <v>708937286788190.38</v>
      </c>
      <c r="M5128" s="471">
        <f t="shared" si="204"/>
        <v>0.05</v>
      </c>
      <c r="N5128" s="475">
        <f t="shared" si="205"/>
        <v>207126</v>
      </c>
    </row>
    <row r="5129" spans="7:14" ht="11.25" customHeight="1" x14ac:dyDescent="0.3">
      <c r="G5129" s="470"/>
      <c r="H5129" s="470">
        <v>5122</v>
      </c>
      <c r="I5129" s="455">
        <f t="shared" ca="1" si="203"/>
        <v>708937286788190.38</v>
      </c>
      <c r="J5129" s="455">
        <f t="array" ref="J5129">IFERROR(INDEX('Retirement Calculator'!J:J,MATCH('Isaac 401k'!N5129,'Retirement Calculator'!A:A,0),0),0)</f>
        <v>0</v>
      </c>
      <c r="K5129" s="455">
        <f t="shared" ca="1" si="201"/>
        <v>2953905361617.46</v>
      </c>
      <c r="L5129" s="455">
        <f t="shared" ca="1" si="202"/>
        <v>711891192149807.88</v>
      </c>
      <c r="M5129" s="471">
        <f t="shared" si="204"/>
        <v>0.05</v>
      </c>
      <c r="N5129" s="475">
        <f t="shared" si="205"/>
        <v>207154</v>
      </c>
    </row>
    <row r="5130" spans="7:14" ht="11.25" customHeight="1" x14ac:dyDescent="0.3">
      <c r="G5130" s="470"/>
      <c r="H5130" s="470">
        <v>5123</v>
      </c>
      <c r="I5130" s="455">
        <f t="shared" ca="1" si="203"/>
        <v>711891192149807.88</v>
      </c>
      <c r="J5130" s="455">
        <f t="array" ref="J5130">IFERROR(INDEX('Retirement Calculator'!J:J,MATCH('Isaac 401k'!N5130,'Retirement Calculator'!A:A,0),0),0)</f>
        <v>0</v>
      </c>
      <c r="K5130" s="455">
        <f t="shared" ca="1" si="201"/>
        <v>2966213300624.1992</v>
      </c>
      <c r="L5130" s="455">
        <f t="shared" ca="1" si="202"/>
        <v>714857405450432.13</v>
      </c>
      <c r="M5130" s="471">
        <f t="shared" si="204"/>
        <v>0.05</v>
      </c>
      <c r="N5130" s="475">
        <f t="shared" si="205"/>
        <v>207185</v>
      </c>
    </row>
    <row r="5131" spans="7:14" ht="11.25" customHeight="1" x14ac:dyDescent="0.3">
      <c r="G5131" s="470"/>
      <c r="H5131" s="470">
        <v>5124</v>
      </c>
      <c r="I5131" s="455">
        <f t="shared" ca="1" si="203"/>
        <v>714857405450432.13</v>
      </c>
      <c r="J5131" s="455">
        <f t="array" ref="J5131">IFERROR(INDEX('Retirement Calculator'!J:J,MATCH('Isaac 401k'!N5131,'Retirement Calculator'!A:A,0),0),0)</f>
        <v>0</v>
      </c>
      <c r="K5131" s="455">
        <f t="shared" ca="1" si="201"/>
        <v>2978572522710.1338</v>
      </c>
      <c r="L5131" s="455">
        <f t="shared" ca="1" si="202"/>
        <v>717835977973142.25</v>
      </c>
      <c r="M5131" s="471">
        <f t="shared" si="204"/>
        <v>0.05</v>
      </c>
      <c r="N5131" s="475">
        <f t="shared" si="205"/>
        <v>207215</v>
      </c>
    </row>
    <row r="5132" spans="7:14" ht="11.25" customHeight="1" x14ac:dyDescent="0.3">
      <c r="G5132" s="470"/>
      <c r="H5132" s="470">
        <v>5125</v>
      </c>
      <c r="I5132" s="455">
        <f t="shared" ca="1" si="203"/>
        <v>717835977973142.25</v>
      </c>
      <c r="J5132" s="455">
        <f t="array" ref="J5132">IFERROR(INDEX('Retirement Calculator'!J:J,MATCH('Isaac 401k'!N5132,'Retirement Calculator'!A:A,0),0),0)</f>
        <v>0</v>
      </c>
      <c r="K5132" s="455">
        <f t="shared" ca="1" si="201"/>
        <v>2990983241554.7593</v>
      </c>
      <c r="L5132" s="455">
        <f t="shared" ca="1" si="202"/>
        <v>720826961214697</v>
      </c>
      <c r="M5132" s="471">
        <f t="shared" si="204"/>
        <v>0.05</v>
      </c>
      <c r="N5132" s="475">
        <f t="shared" si="205"/>
        <v>207246</v>
      </c>
    </row>
    <row r="5133" spans="7:14" ht="11.25" customHeight="1" x14ac:dyDescent="0.3">
      <c r="G5133" s="470"/>
      <c r="H5133" s="470">
        <v>5126</v>
      </c>
      <c r="I5133" s="455">
        <f t="shared" ca="1" si="203"/>
        <v>720826961214697</v>
      </c>
      <c r="J5133" s="455">
        <f t="array" ref="J5133">IFERROR(INDEX('Retirement Calculator'!J:J,MATCH('Isaac 401k'!N5133,'Retirement Calculator'!A:A,0),0),0)</f>
        <v>0</v>
      </c>
      <c r="K5133" s="455">
        <f t="shared" ca="1" si="201"/>
        <v>3003445671727.9043</v>
      </c>
      <c r="L5133" s="455">
        <f t="shared" ca="1" si="202"/>
        <v>723830406886424.88</v>
      </c>
      <c r="M5133" s="471">
        <f t="shared" si="204"/>
        <v>0.05</v>
      </c>
      <c r="N5133" s="475">
        <f t="shared" si="205"/>
        <v>207276</v>
      </c>
    </row>
    <row r="5134" spans="7:14" ht="11.25" customHeight="1" x14ac:dyDescent="0.3">
      <c r="G5134" s="470"/>
      <c r="H5134" s="470">
        <v>5127</v>
      </c>
      <c r="I5134" s="455">
        <f t="shared" ca="1" si="203"/>
        <v>723830406886424.88</v>
      </c>
      <c r="J5134" s="455">
        <f t="array" ref="J5134">IFERROR(INDEX('Retirement Calculator'!J:J,MATCH('Isaac 401k'!N5134,'Retirement Calculator'!A:A,0),0),0)</f>
        <v>0</v>
      </c>
      <c r="K5134" s="455">
        <f t="shared" ca="1" si="201"/>
        <v>3015960028693.437</v>
      </c>
      <c r="L5134" s="455">
        <f t="shared" ca="1" si="202"/>
        <v>726846366915118.25</v>
      </c>
      <c r="M5134" s="471">
        <f t="shared" si="204"/>
        <v>0.05</v>
      </c>
      <c r="N5134" s="475">
        <f t="shared" si="205"/>
        <v>207307</v>
      </c>
    </row>
    <row r="5135" spans="7:14" ht="11.25" customHeight="1" x14ac:dyDescent="0.3">
      <c r="G5135" s="470"/>
      <c r="H5135" s="470">
        <v>5128</v>
      </c>
      <c r="I5135" s="455">
        <f t="shared" ca="1" si="203"/>
        <v>726846366915118.25</v>
      </c>
      <c r="J5135" s="455">
        <f t="array" ref="J5135">IFERROR(INDEX('Retirement Calculator'!J:J,MATCH('Isaac 401k'!N5135,'Retirement Calculator'!A:A,0),0),0)</f>
        <v>0</v>
      </c>
      <c r="K5135" s="455">
        <f t="shared" ca="1" si="201"/>
        <v>3028526528812.9927</v>
      </c>
      <c r="L5135" s="455">
        <f t="shared" ca="1" si="202"/>
        <v>729874893443931.25</v>
      </c>
      <c r="M5135" s="471">
        <f t="shared" si="204"/>
        <v>0.05</v>
      </c>
      <c r="N5135" s="475">
        <f t="shared" si="205"/>
        <v>207338</v>
      </c>
    </row>
    <row r="5136" spans="7:14" ht="11.25" customHeight="1" x14ac:dyDescent="0.3">
      <c r="G5136" s="470"/>
      <c r="H5136" s="470">
        <v>5129</v>
      </c>
      <c r="I5136" s="455">
        <f t="shared" ca="1" si="203"/>
        <v>729874893443931.25</v>
      </c>
      <c r="J5136" s="455">
        <f t="array" ref="J5136">IFERROR(INDEX('Retirement Calculator'!J:J,MATCH('Isaac 401k'!N5136,'Retirement Calculator'!A:A,0),0),0)</f>
        <v>0</v>
      </c>
      <c r="K5136" s="455">
        <f t="shared" ca="1" si="201"/>
        <v>3041145389349.7134</v>
      </c>
      <c r="L5136" s="455">
        <f t="shared" ca="1" si="202"/>
        <v>732916038833281</v>
      </c>
      <c r="M5136" s="471">
        <f t="shared" si="204"/>
        <v>0.05</v>
      </c>
      <c r="N5136" s="475">
        <f t="shared" si="205"/>
        <v>207368</v>
      </c>
    </row>
    <row r="5137" spans="7:14" ht="11.25" customHeight="1" x14ac:dyDescent="0.3">
      <c r="G5137" s="470"/>
      <c r="H5137" s="470">
        <v>5130</v>
      </c>
      <c r="I5137" s="455">
        <f t="shared" ca="1" si="203"/>
        <v>732916038833281</v>
      </c>
      <c r="J5137" s="455">
        <f t="array" ref="J5137">IFERROR(INDEX('Retirement Calculator'!J:J,MATCH('Isaac 401k'!N5137,'Retirement Calculator'!A:A,0),0),0)</f>
        <v>0</v>
      </c>
      <c r="K5137" s="455">
        <f t="shared" ca="1" si="201"/>
        <v>3053816828472.0039</v>
      </c>
      <c r="L5137" s="455">
        <f t="shared" ca="1" si="202"/>
        <v>735969855661753</v>
      </c>
      <c r="M5137" s="471">
        <f t="shared" si="204"/>
        <v>0.05</v>
      </c>
      <c r="N5137" s="475">
        <f t="shared" si="205"/>
        <v>207399</v>
      </c>
    </row>
    <row r="5138" spans="7:14" ht="11.25" customHeight="1" x14ac:dyDescent="0.3">
      <c r="G5138" s="470"/>
      <c r="H5138" s="470">
        <v>5131</v>
      </c>
      <c r="I5138" s="455">
        <f t="shared" ca="1" si="203"/>
        <v>735969855661753</v>
      </c>
      <c r="J5138" s="455">
        <f t="array" ref="J5138">IFERROR(INDEX('Retirement Calculator'!J:J,MATCH('Isaac 401k'!N5138,'Retirement Calculator'!A:A,0),0),0)</f>
        <v>0</v>
      </c>
      <c r="K5138" s="455">
        <f t="shared" ca="1" si="201"/>
        <v>3066541065257.3042</v>
      </c>
      <c r="L5138" s="455">
        <f t="shared" ca="1" si="202"/>
        <v>739036396727010.25</v>
      </c>
      <c r="M5138" s="471">
        <f t="shared" si="204"/>
        <v>0.05</v>
      </c>
      <c r="N5138" s="475">
        <f t="shared" si="205"/>
        <v>207429</v>
      </c>
    </row>
    <row r="5139" spans="7:14" ht="11.25" customHeight="1" x14ac:dyDescent="0.3">
      <c r="G5139" s="470"/>
      <c r="H5139" s="470">
        <v>5132</v>
      </c>
      <c r="I5139" s="455">
        <f t="shared" ca="1" si="203"/>
        <v>739036396727010.25</v>
      </c>
      <c r="J5139" s="455">
        <f t="array" ref="J5139">IFERROR(INDEX('Retirement Calculator'!J:J,MATCH('Isaac 401k'!N5139,'Retirement Calculator'!A:A,0),0),0)</f>
        <v>0</v>
      </c>
      <c r="K5139" s="455">
        <f t="shared" ca="1" si="201"/>
        <v>3079318319695.876</v>
      </c>
      <c r="L5139" s="455">
        <f t="shared" ca="1" si="202"/>
        <v>742115715046706.13</v>
      </c>
      <c r="M5139" s="471">
        <f t="shared" si="204"/>
        <v>0.05</v>
      </c>
      <c r="N5139" s="475">
        <f t="shared" si="205"/>
        <v>207460</v>
      </c>
    </row>
    <row r="5140" spans="7:14" ht="11.25" customHeight="1" x14ac:dyDescent="0.3">
      <c r="G5140" s="470"/>
      <c r="H5140" s="470">
        <v>5133</v>
      </c>
      <c r="I5140" s="455">
        <f t="shared" ca="1" si="203"/>
        <v>742115715046706.13</v>
      </c>
      <c r="J5140" s="455">
        <f t="array" ref="J5140">IFERROR(INDEX('Retirement Calculator'!J:J,MATCH('Isaac 401k'!N5140,'Retirement Calculator'!A:A,0),0),0)</f>
        <v>0</v>
      </c>
      <c r="K5140" s="455">
        <f t="shared" ca="1" si="201"/>
        <v>3092148812694.6089</v>
      </c>
      <c r="L5140" s="455">
        <f t="shared" ca="1" si="202"/>
        <v>745207863859400.75</v>
      </c>
      <c r="M5140" s="471">
        <f t="shared" si="204"/>
        <v>0.05</v>
      </c>
      <c r="N5140" s="475">
        <f t="shared" si="205"/>
        <v>207491</v>
      </c>
    </row>
    <row r="5141" spans="7:14" ht="11.25" customHeight="1" x14ac:dyDescent="0.3">
      <c r="G5141" s="470"/>
      <c r="H5141" s="470">
        <v>5134</v>
      </c>
      <c r="I5141" s="455">
        <f t="shared" ca="1" si="203"/>
        <v>745207863859400.75</v>
      </c>
      <c r="J5141" s="455">
        <f t="array" ref="J5141">IFERROR(INDEX('Retirement Calculator'!J:J,MATCH('Isaac 401k'!N5141,'Retirement Calculator'!A:A,0),0),0)</f>
        <v>0</v>
      </c>
      <c r="K5141" s="455">
        <f t="shared" ca="1" si="201"/>
        <v>3105032766080.8364</v>
      </c>
      <c r="L5141" s="455">
        <f t="shared" ca="1" si="202"/>
        <v>748312896625481.63</v>
      </c>
      <c r="M5141" s="471">
        <f t="shared" si="204"/>
        <v>0.05</v>
      </c>
      <c r="N5141" s="475">
        <f t="shared" si="205"/>
        <v>207520</v>
      </c>
    </row>
    <row r="5142" spans="7:14" ht="11.25" customHeight="1" x14ac:dyDescent="0.3">
      <c r="G5142" s="470"/>
      <c r="H5142" s="470">
        <v>5135</v>
      </c>
      <c r="I5142" s="455">
        <f t="shared" ca="1" si="203"/>
        <v>748312896625481.63</v>
      </c>
      <c r="J5142" s="455">
        <f t="array" ref="J5142">IFERROR(INDEX('Retirement Calculator'!J:J,MATCH('Isaac 401k'!N5142,'Retirement Calculator'!A:A,0),0),0)</f>
        <v>0</v>
      </c>
      <c r="K5142" s="455">
        <f t="shared" ca="1" si="201"/>
        <v>3117970402606.1733</v>
      </c>
      <c r="L5142" s="455">
        <f t="shared" ca="1" si="202"/>
        <v>751430867028087.75</v>
      </c>
      <c r="M5142" s="471">
        <f t="shared" si="204"/>
        <v>0.05</v>
      </c>
      <c r="N5142" s="475">
        <f t="shared" si="205"/>
        <v>207551</v>
      </c>
    </row>
    <row r="5143" spans="7:14" ht="11.25" customHeight="1" x14ac:dyDescent="0.3">
      <c r="G5143" s="470"/>
      <c r="H5143" s="470">
        <v>5136</v>
      </c>
      <c r="I5143" s="455">
        <f t="shared" ca="1" si="203"/>
        <v>751430867028087.75</v>
      </c>
      <c r="J5143" s="455">
        <f t="array" ref="J5143">IFERROR(INDEX('Retirement Calculator'!J:J,MATCH('Isaac 401k'!N5143,'Retirement Calculator'!A:A,0),0),0)</f>
        <v>0</v>
      </c>
      <c r="K5143" s="455">
        <f t="shared" ca="1" si="201"/>
        <v>3130961945950.3657</v>
      </c>
      <c r="L5143" s="455">
        <f t="shared" ca="1" si="202"/>
        <v>754561828974038.13</v>
      </c>
      <c r="M5143" s="471">
        <f t="shared" si="204"/>
        <v>0.05</v>
      </c>
      <c r="N5143" s="475">
        <f t="shared" si="205"/>
        <v>207581</v>
      </c>
    </row>
    <row r="5144" spans="7:14" ht="11.25" customHeight="1" x14ac:dyDescent="0.3">
      <c r="G5144" s="470"/>
      <c r="H5144" s="470">
        <v>5137</v>
      </c>
      <c r="I5144" s="455">
        <f t="shared" ca="1" si="203"/>
        <v>754561828974038.13</v>
      </c>
      <c r="J5144" s="455">
        <f t="array" ref="J5144">IFERROR(INDEX('Retirement Calculator'!J:J,MATCH('Isaac 401k'!N5144,'Retirement Calculator'!A:A,0),0),0)</f>
        <v>0</v>
      </c>
      <c r="K5144" s="455">
        <f t="shared" ca="1" si="201"/>
        <v>3144007620725.1587</v>
      </c>
      <c r="L5144" s="455">
        <f t="shared" ca="1" si="202"/>
        <v>757705836594763.25</v>
      </c>
      <c r="M5144" s="471">
        <f t="shared" si="204"/>
        <v>0.05</v>
      </c>
      <c r="N5144" s="475">
        <f t="shared" si="205"/>
        <v>207612</v>
      </c>
    </row>
    <row r="5145" spans="7:14" ht="11.25" customHeight="1" x14ac:dyDescent="0.3">
      <c r="G5145" s="470"/>
      <c r="H5145" s="470">
        <v>5138</v>
      </c>
      <c r="I5145" s="455">
        <f t="shared" ca="1" si="203"/>
        <v>757705836594763.25</v>
      </c>
      <c r="J5145" s="455">
        <f t="array" ref="J5145">IFERROR(INDEX('Retirement Calculator'!J:J,MATCH('Isaac 401k'!N5145,'Retirement Calculator'!A:A,0),0),0)</f>
        <v>0</v>
      </c>
      <c r="K5145" s="455">
        <f t="shared" ca="1" si="201"/>
        <v>3157107652478.1802</v>
      </c>
      <c r="L5145" s="455">
        <f t="shared" ca="1" si="202"/>
        <v>760862944247241.38</v>
      </c>
      <c r="M5145" s="471">
        <f t="shared" si="204"/>
        <v>0.05</v>
      </c>
      <c r="N5145" s="475">
        <f t="shared" si="205"/>
        <v>207642</v>
      </c>
    </row>
    <row r="5146" spans="7:14" ht="11.25" customHeight="1" x14ac:dyDescent="0.3">
      <c r="G5146" s="470"/>
      <c r="H5146" s="470">
        <v>5139</v>
      </c>
      <c r="I5146" s="455">
        <f t="shared" ca="1" si="203"/>
        <v>760862944247241.38</v>
      </c>
      <c r="J5146" s="455">
        <f t="array" ref="J5146">IFERROR(INDEX('Retirement Calculator'!J:J,MATCH('Isaac 401k'!N5146,'Retirement Calculator'!A:A,0),0),0)</f>
        <v>0</v>
      </c>
      <c r="K5146" s="455">
        <f t="shared" ca="1" si="201"/>
        <v>3170262267696.8389</v>
      </c>
      <c r="L5146" s="455">
        <f t="shared" ca="1" si="202"/>
        <v>764033206514938.25</v>
      </c>
      <c r="M5146" s="471">
        <f t="shared" si="204"/>
        <v>0.05</v>
      </c>
      <c r="N5146" s="475">
        <f t="shared" si="205"/>
        <v>207673</v>
      </c>
    </row>
    <row r="5147" spans="7:14" ht="11.25" customHeight="1" x14ac:dyDescent="0.3">
      <c r="G5147" s="470"/>
      <c r="H5147" s="470">
        <v>5140</v>
      </c>
      <c r="I5147" s="455">
        <f t="shared" ca="1" si="203"/>
        <v>764033206514938.25</v>
      </c>
      <c r="J5147" s="455">
        <f t="array" ref="J5147">IFERROR(INDEX('Retirement Calculator'!J:J,MATCH('Isaac 401k'!N5147,'Retirement Calculator'!A:A,0),0),0)</f>
        <v>0</v>
      </c>
      <c r="K5147" s="455">
        <f t="shared" ca="1" si="201"/>
        <v>3183471693812.2427</v>
      </c>
      <c r="L5147" s="455">
        <f t="shared" ca="1" si="202"/>
        <v>767216678208750.5</v>
      </c>
      <c r="M5147" s="471">
        <f t="shared" si="204"/>
        <v>0.05</v>
      </c>
      <c r="N5147" s="475">
        <f t="shared" si="205"/>
        <v>207704</v>
      </c>
    </row>
    <row r="5148" spans="7:14" ht="11.25" customHeight="1" x14ac:dyDescent="0.3">
      <c r="G5148" s="470"/>
      <c r="H5148" s="470">
        <v>5141</v>
      </c>
      <c r="I5148" s="455">
        <f t="shared" ca="1" si="203"/>
        <v>767216678208750.5</v>
      </c>
      <c r="J5148" s="455">
        <f t="array" ref="J5148">IFERROR(INDEX('Retirement Calculator'!J:J,MATCH('Isaac 401k'!N5148,'Retirement Calculator'!A:A,0),0),0)</f>
        <v>0</v>
      </c>
      <c r="K5148" s="455">
        <f t="shared" ca="1" si="201"/>
        <v>3196736159203.127</v>
      </c>
      <c r="L5148" s="455">
        <f t="shared" ca="1" si="202"/>
        <v>770413414367953.63</v>
      </c>
      <c r="M5148" s="471">
        <f t="shared" si="204"/>
        <v>0.05</v>
      </c>
      <c r="N5148" s="475">
        <f t="shared" si="205"/>
        <v>207734</v>
      </c>
    </row>
    <row r="5149" spans="7:14" ht="11.25" customHeight="1" x14ac:dyDescent="0.3">
      <c r="G5149" s="470"/>
      <c r="H5149" s="470">
        <v>5142</v>
      </c>
      <c r="I5149" s="455">
        <f t="shared" ca="1" si="203"/>
        <v>770413414367953.63</v>
      </c>
      <c r="J5149" s="455">
        <f t="array" ref="J5149">IFERROR(INDEX('Retirement Calculator'!J:J,MATCH('Isaac 401k'!N5149,'Retirement Calculator'!A:A,0),0),0)</f>
        <v>0</v>
      </c>
      <c r="K5149" s="455">
        <f t="shared" ca="1" si="201"/>
        <v>3210055893199.8066</v>
      </c>
      <c r="L5149" s="455">
        <f t="shared" ca="1" si="202"/>
        <v>773623470261153.38</v>
      </c>
      <c r="M5149" s="471">
        <f t="shared" si="204"/>
        <v>0.05</v>
      </c>
      <c r="N5149" s="475">
        <f t="shared" si="205"/>
        <v>207765</v>
      </c>
    </row>
    <row r="5150" spans="7:14" ht="11.25" customHeight="1" x14ac:dyDescent="0.3">
      <c r="G5150" s="470"/>
      <c r="H5150" s="470">
        <v>5143</v>
      </c>
      <c r="I5150" s="455">
        <f t="shared" ca="1" si="203"/>
        <v>773623470261153.38</v>
      </c>
      <c r="J5150" s="455">
        <f t="array" ref="J5150">IFERROR(INDEX('Retirement Calculator'!J:J,MATCH('Isaac 401k'!N5150,'Retirement Calculator'!A:A,0),0),0)</f>
        <v>0</v>
      </c>
      <c r="K5150" s="455">
        <f t="shared" ca="1" si="201"/>
        <v>3223431126088.1392</v>
      </c>
      <c r="L5150" s="455">
        <f t="shared" ca="1" si="202"/>
        <v>776846901387241.5</v>
      </c>
      <c r="M5150" s="471">
        <f t="shared" si="204"/>
        <v>0.05</v>
      </c>
      <c r="N5150" s="475">
        <f t="shared" si="205"/>
        <v>207795</v>
      </c>
    </row>
    <row r="5151" spans="7:14" ht="11.25" customHeight="1" x14ac:dyDescent="0.3">
      <c r="G5151" s="470"/>
      <c r="H5151" s="470">
        <v>5144</v>
      </c>
      <c r="I5151" s="455">
        <f t="shared" ca="1" si="203"/>
        <v>776846901387241.5</v>
      </c>
      <c r="J5151" s="455">
        <f t="array" ref="J5151">IFERROR(INDEX('Retirement Calculator'!J:J,MATCH('Isaac 401k'!N5151,'Retirement Calculator'!A:A,0),0),0)</f>
        <v>0</v>
      </c>
      <c r="K5151" s="455">
        <f t="shared" ca="1" si="201"/>
        <v>3236862089113.5063</v>
      </c>
      <c r="L5151" s="455">
        <f t="shared" ca="1" si="202"/>
        <v>780083763476355</v>
      </c>
      <c r="M5151" s="471">
        <f t="shared" si="204"/>
        <v>0.05</v>
      </c>
      <c r="N5151" s="475">
        <f t="shared" si="205"/>
        <v>207826</v>
      </c>
    </row>
    <row r="5152" spans="7:14" ht="11.25" customHeight="1" x14ac:dyDescent="0.3">
      <c r="G5152" s="470"/>
      <c r="H5152" s="470">
        <v>5145</v>
      </c>
      <c r="I5152" s="455">
        <f t="shared" ca="1" si="203"/>
        <v>780083763476355</v>
      </c>
      <c r="J5152" s="455">
        <f t="array" ref="J5152">IFERROR(INDEX('Retirement Calculator'!J:J,MATCH('Isaac 401k'!N5152,'Retirement Calculator'!A:A,0),0),0)</f>
        <v>0</v>
      </c>
      <c r="K5152" s="455">
        <f t="shared" ca="1" si="201"/>
        <v>3250349014484.8125</v>
      </c>
      <c r="L5152" s="455">
        <f t="shared" ca="1" si="202"/>
        <v>783334112490839.75</v>
      </c>
      <c r="M5152" s="471">
        <f t="shared" si="204"/>
        <v>0.05</v>
      </c>
      <c r="N5152" s="475">
        <f t="shared" si="205"/>
        <v>207857</v>
      </c>
    </row>
    <row r="5153" spans="7:14" ht="11.25" customHeight="1" x14ac:dyDescent="0.3">
      <c r="G5153" s="470"/>
      <c r="H5153" s="470">
        <v>5146</v>
      </c>
      <c r="I5153" s="455">
        <f t="shared" ca="1" si="203"/>
        <v>783334112490839.75</v>
      </c>
      <c r="J5153" s="455">
        <f t="array" ref="J5153">IFERROR(INDEX('Retirement Calculator'!J:J,MATCH('Isaac 401k'!N5153,'Retirement Calculator'!A:A,0),0),0)</f>
        <v>0</v>
      </c>
      <c r="K5153" s="455">
        <f t="shared" ca="1" si="201"/>
        <v>3263892135378.499</v>
      </c>
      <c r="L5153" s="455">
        <f t="shared" ca="1" si="202"/>
        <v>786598004626218.25</v>
      </c>
      <c r="M5153" s="471">
        <f t="shared" si="204"/>
        <v>0.05</v>
      </c>
      <c r="N5153" s="475">
        <f t="shared" si="205"/>
        <v>207885</v>
      </c>
    </row>
    <row r="5154" spans="7:14" ht="11.25" customHeight="1" x14ac:dyDescent="0.3">
      <c r="G5154" s="470"/>
      <c r="H5154" s="470">
        <v>5147</v>
      </c>
      <c r="I5154" s="455">
        <f t="shared" ca="1" si="203"/>
        <v>786598004626218.25</v>
      </c>
      <c r="J5154" s="455">
        <f t="array" ref="J5154">IFERROR(INDEX('Retirement Calculator'!J:J,MATCH('Isaac 401k'!N5154,'Retirement Calculator'!A:A,0),0),0)</f>
        <v>0</v>
      </c>
      <c r="K5154" s="455">
        <f t="shared" ca="1" si="201"/>
        <v>3277491685942.5762</v>
      </c>
      <c r="L5154" s="455">
        <f t="shared" ca="1" si="202"/>
        <v>789875496312160.88</v>
      </c>
      <c r="M5154" s="471">
        <f t="shared" si="204"/>
        <v>0.05</v>
      </c>
      <c r="N5154" s="475">
        <f t="shared" si="205"/>
        <v>207916</v>
      </c>
    </row>
    <row r="5155" spans="7:14" ht="11.25" customHeight="1" x14ac:dyDescent="0.3">
      <c r="G5155" s="470"/>
      <c r="H5155" s="470">
        <v>5148</v>
      </c>
      <c r="I5155" s="455">
        <f t="shared" ca="1" si="203"/>
        <v>789875496312160.88</v>
      </c>
      <c r="J5155" s="455">
        <f t="array" ref="J5155">IFERROR(INDEX('Retirement Calculator'!J:J,MATCH('Isaac 401k'!N5155,'Retirement Calculator'!A:A,0),0),0)</f>
        <v>0</v>
      </c>
      <c r="K5155" s="455">
        <f t="shared" ca="1" si="201"/>
        <v>3291147901300.6704</v>
      </c>
      <c r="L5155" s="455">
        <f t="shared" ca="1" si="202"/>
        <v>793166644213461.5</v>
      </c>
      <c r="M5155" s="471">
        <f t="shared" si="204"/>
        <v>0.05</v>
      </c>
      <c r="N5155" s="475">
        <f t="shared" si="205"/>
        <v>207946</v>
      </c>
    </row>
    <row r="5156" spans="7:14" ht="11.25" customHeight="1" x14ac:dyDescent="0.3">
      <c r="G5156" s="470"/>
      <c r="H5156" s="470">
        <v>5149</v>
      </c>
      <c r="I5156" s="455">
        <f t="shared" ca="1" si="203"/>
        <v>793166644213461.5</v>
      </c>
      <c r="J5156" s="455">
        <f t="array" ref="J5156">IFERROR(INDEX('Retirement Calculator'!J:J,MATCH('Isaac 401k'!N5156,'Retirement Calculator'!A:A,0),0),0)</f>
        <v>0</v>
      </c>
      <c r="K5156" s="455">
        <f t="shared" ca="1" si="201"/>
        <v>3304861017556.0894</v>
      </c>
      <c r="L5156" s="455">
        <f t="shared" ca="1" si="202"/>
        <v>796471505231017.63</v>
      </c>
      <c r="M5156" s="471">
        <f t="shared" si="204"/>
        <v>0.05</v>
      </c>
      <c r="N5156" s="475">
        <f t="shared" si="205"/>
        <v>207977</v>
      </c>
    </row>
    <row r="5157" spans="7:14" ht="11.25" customHeight="1" x14ac:dyDescent="0.3">
      <c r="G5157" s="470"/>
      <c r="H5157" s="470">
        <v>5150</v>
      </c>
      <c r="I5157" s="455">
        <f t="shared" ca="1" si="203"/>
        <v>796471505231017.63</v>
      </c>
      <c r="J5157" s="455">
        <f t="array" ref="J5157">IFERROR(INDEX('Retirement Calculator'!J:J,MATCH('Isaac 401k'!N5157,'Retirement Calculator'!A:A,0),0),0)</f>
        <v>0</v>
      </c>
      <c r="K5157" s="455">
        <f t="shared" ca="1" si="201"/>
        <v>3318631271795.9067</v>
      </c>
      <c r="L5157" s="455">
        <f t="shared" ca="1" si="202"/>
        <v>799790136502813.5</v>
      </c>
      <c r="M5157" s="471">
        <f t="shared" si="204"/>
        <v>0.05</v>
      </c>
      <c r="N5157" s="475">
        <f t="shared" si="205"/>
        <v>208007</v>
      </c>
    </row>
    <row r="5158" spans="7:14" ht="11.25" customHeight="1" x14ac:dyDescent="0.3">
      <c r="G5158" s="470"/>
      <c r="H5158" s="470">
        <v>5151</v>
      </c>
      <c r="I5158" s="455">
        <f t="shared" ca="1" si="203"/>
        <v>799790136502813.5</v>
      </c>
      <c r="J5158" s="455">
        <f t="array" ref="J5158">IFERROR(INDEX('Retirement Calculator'!J:J,MATCH('Isaac 401k'!N5158,'Retirement Calculator'!A:A,0),0),0)</f>
        <v>0</v>
      </c>
      <c r="K5158" s="455">
        <f t="shared" ca="1" si="201"/>
        <v>3332458902095.0562</v>
      </c>
      <c r="L5158" s="455">
        <f t="shared" ca="1" si="202"/>
        <v>803122595404908.5</v>
      </c>
      <c r="M5158" s="471">
        <f t="shared" si="204"/>
        <v>0.05</v>
      </c>
      <c r="N5158" s="475">
        <f t="shared" si="205"/>
        <v>208038</v>
      </c>
    </row>
    <row r="5159" spans="7:14" ht="11.25" customHeight="1" x14ac:dyDescent="0.3">
      <c r="G5159" s="470"/>
      <c r="H5159" s="470">
        <v>5152</v>
      </c>
      <c r="I5159" s="455">
        <f t="shared" ca="1" si="203"/>
        <v>803122595404908.5</v>
      </c>
      <c r="J5159" s="455">
        <f t="array" ref="J5159">IFERROR(INDEX('Retirement Calculator'!J:J,MATCH('Isaac 401k'!N5159,'Retirement Calculator'!A:A,0),0),0)</f>
        <v>0</v>
      </c>
      <c r="K5159" s="455">
        <f t="shared" ca="1" si="201"/>
        <v>3346344147520.4521</v>
      </c>
      <c r="L5159" s="455">
        <f t="shared" ca="1" si="202"/>
        <v>806468939552429</v>
      </c>
      <c r="M5159" s="471">
        <f t="shared" si="204"/>
        <v>0.05</v>
      </c>
      <c r="N5159" s="475">
        <f t="shared" si="205"/>
        <v>208069</v>
      </c>
    </row>
    <row r="5160" spans="7:14" ht="11.25" customHeight="1" x14ac:dyDescent="0.3">
      <c r="G5160" s="470"/>
      <c r="H5160" s="470">
        <v>5153</v>
      </c>
      <c r="I5160" s="455">
        <f t="shared" ca="1" si="203"/>
        <v>806468939552429</v>
      </c>
      <c r="J5160" s="455">
        <f t="array" ref="J5160">IFERROR(INDEX('Retirement Calculator'!J:J,MATCH('Isaac 401k'!N5160,'Retirement Calculator'!A:A,0),0),0)</f>
        <v>0</v>
      </c>
      <c r="K5160" s="455">
        <f t="shared" ca="1" si="201"/>
        <v>3360287248135.1206</v>
      </c>
      <c r="L5160" s="455">
        <f t="shared" ca="1" si="202"/>
        <v>809829226800564.13</v>
      </c>
      <c r="M5160" s="471">
        <f t="shared" si="204"/>
        <v>0.05</v>
      </c>
      <c r="N5160" s="475">
        <f t="shared" si="205"/>
        <v>208099</v>
      </c>
    </row>
    <row r="5161" spans="7:14" ht="11.25" customHeight="1" x14ac:dyDescent="0.3">
      <c r="G5161" s="470"/>
      <c r="H5161" s="470">
        <v>5154</v>
      </c>
      <c r="I5161" s="455">
        <f t="shared" ca="1" si="203"/>
        <v>809829226800564.13</v>
      </c>
      <c r="J5161" s="455">
        <f t="array" ref="J5161">IFERROR(INDEX('Retirement Calculator'!J:J,MATCH('Isaac 401k'!N5161,'Retirement Calculator'!A:A,0),0),0)</f>
        <v>0</v>
      </c>
      <c r="K5161" s="455">
        <f t="shared" ca="1" si="201"/>
        <v>3374288445002.3506</v>
      </c>
      <c r="L5161" s="455">
        <f t="shared" ca="1" si="202"/>
        <v>813203515245566.5</v>
      </c>
      <c r="M5161" s="471">
        <f t="shared" si="204"/>
        <v>0.05</v>
      </c>
      <c r="N5161" s="475">
        <f t="shared" si="205"/>
        <v>208130</v>
      </c>
    </row>
    <row r="5162" spans="7:14" ht="11.25" customHeight="1" x14ac:dyDescent="0.3">
      <c r="G5162" s="470"/>
      <c r="H5162" s="470">
        <v>5155</v>
      </c>
      <c r="I5162" s="455">
        <f t="shared" ca="1" si="203"/>
        <v>813203515245566.5</v>
      </c>
      <c r="J5162" s="455">
        <f t="array" ref="J5162">IFERROR(INDEX('Retirement Calculator'!J:J,MATCH('Isaac 401k'!N5162,'Retirement Calculator'!A:A,0),0),0)</f>
        <v>0</v>
      </c>
      <c r="K5162" s="455">
        <f t="shared" ca="1" si="201"/>
        <v>3388347980189.8604</v>
      </c>
      <c r="L5162" s="455">
        <f t="shared" ca="1" si="202"/>
        <v>816591863225756.38</v>
      </c>
      <c r="M5162" s="471">
        <f t="shared" si="204"/>
        <v>0.05</v>
      </c>
      <c r="N5162" s="475">
        <f t="shared" si="205"/>
        <v>208160</v>
      </c>
    </row>
    <row r="5163" spans="7:14" ht="11.25" customHeight="1" x14ac:dyDescent="0.3">
      <c r="G5163" s="470"/>
      <c r="H5163" s="470">
        <v>5156</v>
      </c>
      <c r="I5163" s="455">
        <f t="shared" ca="1" si="203"/>
        <v>816591863225756.38</v>
      </c>
      <c r="J5163" s="455">
        <f t="array" ref="J5163">IFERROR(INDEX('Retirement Calculator'!J:J,MATCH('Isaac 401k'!N5163,'Retirement Calculator'!A:A,0),0),0)</f>
        <v>0</v>
      </c>
      <c r="K5163" s="455">
        <f t="shared" ca="1" si="201"/>
        <v>3402466096773.9849</v>
      </c>
      <c r="L5163" s="455">
        <f t="shared" ca="1" si="202"/>
        <v>819994329322530.38</v>
      </c>
      <c r="M5163" s="471">
        <f t="shared" si="204"/>
        <v>0.05</v>
      </c>
      <c r="N5163" s="475">
        <f t="shared" si="205"/>
        <v>208191</v>
      </c>
    </row>
    <row r="5164" spans="7:14" ht="11.25" customHeight="1" x14ac:dyDescent="0.3">
      <c r="G5164" s="470"/>
      <c r="H5164" s="470">
        <v>5157</v>
      </c>
      <c r="I5164" s="455">
        <f t="shared" ca="1" si="203"/>
        <v>819994329322530.38</v>
      </c>
      <c r="J5164" s="455">
        <f t="array" ref="J5164">IFERROR(INDEX('Retirement Calculator'!J:J,MATCH('Isaac 401k'!N5164,'Retirement Calculator'!A:A,0),0),0)</f>
        <v>0</v>
      </c>
      <c r="K5164" s="455">
        <f t="shared" ca="1" si="201"/>
        <v>3416643038843.8765</v>
      </c>
      <c r="L5164" s="455">
        <f t="shared" ca="1" si="202"/>
        <v>823410972361374.25</v>
      </c>
      <c r="M5164" s="471">
        <f t="shared" si="204"/>
        <v>0.05</v>
      </c>
      <c r="N5164" s="475">
        <f t="shared" si="205"/>
        <v>208222</v>
      </c>
    </row>
    <row r="5165" spans="7:14" ht="11.25" customHeight="1" x14ac:dyDescent="0.3">
      <c r="G5165" s="470"/>
      <c r="H5165" s="470">
        <v>5158</v>
      </c>
      <c r="I5165" s="455">
        <f t="shared" ca="1" si="203"/>
        <v>823410972361374.25</v>
      </c>
      <c r="J5165" s="455">
        <f t="array" ref="J5165">IFERROR(INDEX('Retirement Calculator'!J:J,MATCH('Isaac 401k'!N5165,'Retirement Calculator'!A:A,0),0),0)</f>
        <v>0</v>
      </c>
      <c r="K5165" s="455">
        <f t="shared" ca="1" si="201"/>
        <v>3430879051505.7261</v>
      </c>
      <c r="L5165" s="455">
        <f t="shared" ca="1" si="202"/>
        <v>826841851412880</v>
      </c>
      <c r="M5165" s="471">
        <f t="shared" si="204"/>
        <v>0.05</v>
      </c>
      <c r="N5165" s="475">
        <f t="shared" si="205"/>
        <v>208250</v>
      </c>
    </row>
    <row r="5166" spans="7:14" ht="11.25" customHeight="1" x14ac:dyDescent="0.3">
      <c r="G5166" s="470"/>
      <c r="H5166" s="470">
        <v>5159</v>
      </c>
      <c r="I5166" s="455">
        <f t="shared" ca="1" si="203"/>
        <v>826841851412880</v>
      </c>
      <c r="J5166" s="455">
        <f t="array" ref="J5166">IFERROR(INDEX('Retirement Calculator'!J:J,MATCH('Isaac 401k'!N5166,'Retirement Calculator'!A:A,0),0),0)</f>
        <v>0</v>
      </c>
      <c r="K5166" s="455">
        <f t="shared" ca="1" si="201"/>
        <v>3445174380887</v>
      </c>
      <c r="L5166" s="455">
        <f t="shared" ca="1" si="202"/>
        <v>830287025793767</v>
      </c>
      <c r="M5166" s="471">
        <f t="shared" si="204"/>
        <v>0.05</v>
      </c>
      <c r="N5166" s="475">
        <f t="shared" si="205"/>
        <v>208281</v>
      </c>
    </row>
    <row r="5167" spans="7:14" ht="11.25" customHeight="1" x14ac:dyDescent="0.3">
      <c r="G5167" s="470"/>
      <c r="H5167" s="470">
        <v>5160</v>
      </c>
      <c r="I5167" s="455">
        <f t="shared" ca="1" si="203"/>
        <v>830287025793767</v>
      </c>
      <c r="J5167" s="455">
        <f t="array" ref="J5167">IFERROR(INDEX('Retirement Calculator'!J:J,MATCH('Isaac 401k'!N5167,'Retirement Calculator'!A:A,0),0),0)</f>
        <v>0</v>
      </c>
      <c r="K5167" s="455">
        <f t="shared" ca="1" si="201"/>
        <v>3459529274140.6958</v>
      </c>
      <c r="L5167" s="455">
        <f t="shared" ca="1" si="202"/>
        <v>833746555067907.75</v>
      </c>
      <c r="M5167" s="471">
        <f t="shared" si="204"/>
        <v>0.05</v>
      </c>
      <c r="N5167" s="475">
        <f t="shared" si="205"/>
        <v>208311</v>
      </c>
    </row>
    <row r="5168" spans="7:14" ht="11.25" customHeight="1" x14ac:dyDescent="0.3">
      <c r="G5168" s="470"/>
      <c r="H5168" s="470">
        <v>5161</v>
      </c>
      <c r="I5168" s="455">
        <f t="shared" ca="1" si="203"/>
        <v>833746555067907.75</v>
      </c>
      <c r="J5168" s="455">
        <f t="array" ref="J5168">IFERROR(INDEX('Retirement Calculator'!J:J,MATCH('Isaac 401k'!N5168,'Retirement Calculator'!A:A,0),0),0)</f>
        <v>0</v>
      </c>
      <c r="K5168" s="455">
        <f t="shared" ca="1" si="201"/>
        <v>3473943979449.6157</v>
      </c>
      <c r="L5168" s="455">
        <f t="shared" ca="1" si="202"/>
        <v>837220499047357.38</v>
      </c>
      <c r="M5168" s="471">
        <f t="shared" si="204"/>
        <v>0.05</v>
      </c>
      <c r="N5168" s="475">
        <f t="shared" si="205"/>
        <v>208342</v>
      </c>
    </row>
    <row r="5169" spans="7:14" ht="11.25" customHeight="1" x14ac:dyDescent="0.3">
      <c r="G5169" s="470"/>
      <c r="H5169" s="470">
        <v>5162</v>
      </c>
      <c r="I5169" s="455">
        <f t="shared" ca="1" si="203"/>
        <v>837220499047357.38</v>
      </c>
      <c r="J5169" s="455">
        <f t="array" ref="J5169">IFERROR(INDEX('Retirement Calculator'!J:J,MATCH('Isaac 401k'!N5169,'Retirement Calculator'!A:A,0),0),0)</f>
        <v>0</v>
      </c>
      <c r="K5169" s="455">
        <f t="shared" ca="1" si="201"/>
        <v>3488418746030.6558</v>
      </c>
      <c r="L5169" s="455">
        <f t="shared" ca="1" si="202"/>
        <v>840708917793388</v>
      </c>
      <c r="M5169" s="471">
        <f t="shared" si="204"/>
        <v>0.05</v>
      </c>
      <c r="N5169" s="475">
        <f t="shared" si="205"/>
        <v>208372</v>
      </c>
    </row>
    <row r="5170" spans="7:14" ht="11.25" customHeight="1" x14ac:dyDescent="0.3">
      <c r="G5170" s="470"/>
      <c r="H5170" s="470">
        <v>5163</v>
      </c>
      <c r="I5170" s="455">
        <f t="shared" ca="1" si="203"/>
        <v>840708917793388</v>
      </c>
      <c r="J5170" s="455">
        <f t="array" ref="J5170">IFERROR(INDEX('Retirement Calculator'!J:J,MATCH('Isaac 401k'!N5170,'Retirement Calculator'!A:A,0),0),0)</f>
        <v>0</v>
      </c>
      <c r="K5170" s="455">
        <f t="shared" ca="1" si="201"/>
        <v>3502953824139.1167</v>
      </c>
      <c r="L5170" s="455">
        <f t="shared" ca="1" si="202"/>
        <v>844211871617527.13</v>
      </c>
      <c r="M5170" s="471">
        <f t="shared" si="204"/>
        <v>0.05</v>
      </c>
      <c r="N5170" s="475">
        <f t="shared" si="205"/>
        <v>208403</v>
      </c>
    </row>
    <row r="5171" spans="7:14" ht="11.25" customHeight="1" x14ac:dyDescent="0.3">
      <c r="G5171" s="470"/>
      <c r="H5171" s="470">
        <v>5164</v>
      </c>
      <c r="I5171" s="455">
        <f t="shared" ca="1" si="203"/>
        <v>844211871617527.13</v>
      </c>
      <c r="J5171" s="455">
        <f t="array" ref="J5171">IFERROR(INDEX('Retirement Calculator'!J:J,MATCH('Isaac 401k'!N5171,'Retirement Calculator'!A:A,0),0),0)</f>
        <v>0</v>
      </c>
      <c r="K5171" s="455">
        <f t="shared" ca="1" si="201"/>
        <v>3517549465073.0298</v>
      </c>
      <c r="L5171" s="455">
        <f t="shared" ca="1" si="202"/>
        <v>847729421082600.13</v>
      </c>
      <c r="M5171" s="471">
        <f t="shared" si="204"/>
        <v>0.05</v>
      </c>
      <c r="N5171" s="475">
        <f t="shared" si="205"/>
        <v>208434</v>
      </c>
    </row>
    <row r="5172" spans="7:14" ht="11.25" customHeight="1" x14ac:dyDescent="0.3">
      <c r="G5172" s="470"/>
      <c r="H5172" s="470">
        <v>5165</v>
      </c>
      <c r="I5172" s="455">
        <f t="shared" ca="1" si="203"/>
        <v>847729421082600.13</v>
      </c>
      <c r="J5172" s="455">
        <f t="array" ref="J5172">IFERROR(INDEX('Retirement Calculator'!J:J,MATCH('Isaac 401k'!N5172,'Retirement Calculator'!A:A,0),0),0)</f>
        <v>0</v>
      </c>
      <c r="K5172" s="455">
        <f t="shared" ca="1" si="201"/>
        <v>3532205921177.5005</v>
      </c>
      <c r="L5172" s="455">
        <f t="shared" ca="1" si="202"/>
        <v>851261627003777.63</v>
      </c>
      <c r="M5172" s="471">
        <f t="shared" si="204"/>
        <v>0.05</v>
      </c>
      <c r="N5172" s="475">
        <f t="shared" si="205"/>
        <v>208464</v>
      </c>
    </row>
    <row r="5173" spans="7:14" ht="11.25" customHeight="1" x14ac:dyDescent="0.3">
      <c r="G5173" s="470"/>
      <c r="H5173" s="470">
        <v>5166</v>
      </c>
      <c r="I5173" s="455">
        <f t="shared" ca="1" si="203"/>
        <v>851261627003777.63</v>
      </c>
      <c r="J5173" s="455">
        <f t="array" ref="J5173">IFERROR(INDEX('Retirement Calculator'!J:J,MATCH('Isaac 401k'!N5173,'Retirement Calculator'!A:A,0),0),0)</f>
        <v>0</v>
      </c>
      <c r="K5173" s="455">
        <f t="shared" ca="1" si="201"/>
        <v>3546923445849.0732</v>
      </c>
      <c r="L5173" s="455">
        <f t="shared" ca="1" si="202"/>
        <v>854808550449626.75</v>
      </c>
      <c r="M5173" s="471">
        <f t="shared" si="204"/>
        <v>0.05</v>
      </c>
      <c r="N5173" s="475">
        <f t="shared" si="205"/>
        <v>208495</v>
      </c>
    </row>
    <row r="5174" spans="7:14" ht="11.25" customHeight="1" x14ac:dyDescent="0.3">
      <c r="G5174" s="470"/>
      <c r="H5174" s="470">
        <v>5167</v>
      </c>
      <c r="I5174" s="455">
        <f t="shared" ca="1" si="203"/>
        <v>854808550449626.75</v>
      </c>
      <c r="J5174" s="455">
        <f t="array" ref="J5174">IFERROR(INDEX('Retirement Calculator'!J:J,MATCH('Isaac 401k'!N5174,'Retirement Calculator'!A:A,0),0),0)</f>
        <v>0</v>
      </c>
      <c r="K5174" s="455">
        <f t="shared" ca="1" si="201"/>
        <v>3561702293540.1113</v>
      </c>
      <c r="L5174" s="455">
        <f t="shared" ca="1" si="202"/>
        <v>858370252743166.88</v>
      </c>
      <c r="M5174" s="471">
        <f t="shared" si="204"/>
        <v>0.05</v>
      </c>
      <c r="N5174" s="475">
        <f t="shared" si="205"/>
        <v>208525</v>
      </c>
    </row>
    <row r="5175" spans="7:14" ht="11.25" customHeight="1" x14ac:dyDescent="0.3">
      <c r="G5175" s="470"/>
      <c r="H5175" s="470">
        <v>5168</v>
      </c>
      <c r="I5175" s="455">
        <f t="shared" ca="1" si="203"/>
        <v>858370252743166.88</v>
      </c>
      <c r="J5175" s="455">
        <f t="array" ref="J5175">IFERROR(INDEX('Retirement Calculator'!J:J,MATCH('Isaac 401k'!N5175,'Retirement Calculator'!A:A,0),0),0)</f>
        <v>0</v>
      </c>
      <c r="K5175" s="455">
        <f t="shared" ca="1" si="201"/>
        <v>3576542719763.1953</v>
      </c>
      <c r="L5175" s="455">
        <f t="shared" ca="1" si="202"/>
        <v>861946795462930.13</v>
      </c>
      <c r="M5175" s="471">
        <f t="shared" si="204"/>
        <v>0.05</v>
      </c>
      <c r="N5175" s="475">
        <f t="shared" si="205"/>
        <v>208556</v>
      </c>
    </row>
    <row r="5176" spans="7:14" ht="11.25" customHeight="1" x14ac:dyDescent="0.3">
      <c r="G5176" s="470"/>
      <c r="H5176" s="470">
        <v>5169</v>
      </c>
      <c r="I5176" s="455">
        <f t="shared" ca="1" si="203"/>
        <v>861946795462930.13</v>
      </c>
      <c r="J5176" s="455">
        <f t="array" ref="J5176">IFERROR(INDEX('Retirement Calculator'!J:J,MATCH('Isaac 401k'!N5176,'Retirement Calculator'!A:A,0),0),0)</f>
        <v>0</v>
      </c>
      <c r="K5176" s="455">
        <f t="shared" ca="1" si="201"/>
        <v>3591444981095.542</v>
      </c>
      <c r="L5176" s="455">
        <f t="shared" ca="1" si="202"/>
        <v>865538240444025.63</v>
      </c>
      <c r="M5176" s="471">
        <f t="shared" si="204"/>
        <v>0.05</v>
      </c>
      <c r="N5176" s="475">
        <f t="shared" si="205"/>
        <v>208587</v>
      </c>
    </row>
    <row r="5177" spans="7:14" ht="11.25" customHeight="1" x14ac:dyDescent="0.3">
      <c r="G5177" s="470"/>
      <c r="H5177" s="470">
        <v>5170</v>
      </c>
      <c r="I5177" s="455">
        <f t="shared" ca="1" si="203"/>
        <v>865538240444025.63</v>
      </c>
      <c r="J5177" s="455">
        <f t="array" ref="J5177">IFERROR(INDEX('Retirement Calculator'!J:J,MATCH('Isaac 401k'!N5177,'Retirement Calculator'!A:A,0),0),0)</f>
        <v>0</v>
      </c>
      <c r="K5177" s="455">
        <f t="shared" ca="1" si="201"/>
        <v>3606409335183.4399</v>
      </c>
      <c r="L5177" s="455">
        <f t="shared" ca="1" si="202"/>
        <v>869144649779209.13</v>
      </c>
      <c r="M5177" s="471">
        <f t="shared" si="204"/>
        <v>0.05</v>
      </c>
      <c r="N5177" s="475">
        <f t="shared" si="205"/>
        <v>208615</v>
      </c>
    </row>
    <row r="5178" spans="7:14" ht="11.25" customHeight="1" x14ac:dyDescent="0.3">
      <c r="G5178" s="470"/>
      <c r="H5178" s="470">
        <v>5171</v>
      </c>
      <c r="I5178" s="455">
        <f t="shared" ca="1" si="203"/>
        <v>869144649779209.13</v>
      </c>
      <c r="J5178" s="455">
        <f t="array" ref="J5178">IFERROR(INDEX('Retirement Calculator'!J:J,MATCH('Isaac 401k'!N5178,'Retirement Calculator'!A:A,0),0),0)</f>
        <v>0</v>
      </c>
      <c r="K5178" s="455">
        <f t="shared" ca="1" si="201"/>
        <v>3621436040746.7046</v>
      </c>
      <c r="L5178" s="455">
        <f t="shared" ca="1" si="202"/>
        <v>872766085819955.88</v>
      </c>
      <c r="M5178" s="471">
        <f t="shared" si="204"/>
        <v>0.05</v>
      </c>
      <c r="N5178" s="475">
        <f t="shared" si="205"/>
        <v>208646</v>
      </c>
    </row>
    <row r="5179" spans="7:14" ht="11.25" customHeight="1" x14ac:dyDescent="0.3">
      <c r="G5179" s="470"/>
      <c r="H5179" s="470">
        <v>5172</v>
      </c>
      <c r="I5179" s="455">
        <f t="shared" ca="1" si="203"/>
        <v>872766085819955.88</v>
      </c>
      <c r="J5179" s="455">
        <f t="array" ref="J5179">IFERROR(INDEX('Retirement Calculator'!J:J,MATCH('Isaac 401k'!N5179,'Retirement Calculator'!A:A,0),0),0)</f>
        <v>0</v>
      </c>
      <c r="K5179" s="455">
        <f t="shared" ca="1" si="201"/>
        <v>3636525357583.1494</v>
      </c>
      <c r="L5179" s="455">
        <f t="shared" ca="1" si="202"/>
        <v>876402611177539</v>
      </c>
      <c r="M5179" s="471">
        <f t="shared" si="204"/>
        <v>0.05</v>
      </c>
      <c r="N5179" s="475">
        <f t="shared" si="205"/>
        <v>208676</v>
      </c>
    </row>
    <row r="5180" spans="7:14" ht="11.25" customHeight="1" x14ac:dyDescent="0.3">
      <c r="G5180" s="470"/>
      <c r="H5180" s="470">
        <v>5173</v>
      </c>
      <c r="I5180" s="455">
        <f t="shared" ca="1" si="203"/>
        <v>876402611177539</v>
      </c>
      <c r="J5180" s="455">
        <f t="array" ref="J5180">IFERROR(INDEX('Retirement Calculator'!J:J,MATCH('Isaac 401k'!N5180,'Retirement Calculator'!A:A,0),0),0)</f>
        <v>0</v>
      </c>
      <c r="K5180" s="455">
        <f t="shared" ca="1" si="201"/>
        <v>3651677546573.0791</v>
      </c>
      <c r="L5180" s="455">
        <f t="shared" ca="1" si="202"/>
        <v>880054288724112.13</v>
      </c>
      <c r="M5180" s="471">
        <f t="shared" si="204"/>
        <v>0.05</v>
      </c>
      <c r="N5180" s="475">
        <f t="shared" si="205"/>
        <v>208707</v>
      </c>
    </row>
    <row r="5181" spans="7:14" ht="11.25" customHeight="1" x14ac:dyDescent="0.3">
      <c r="G5181" s="470"/>
      <c r="H5181" s="470">
        <v>5174</v>
      </c>
      <c r="I5181" s="455">
        <f t="shared" ca="1" si="203"/>
        <v>880054288724112.13</v>
      </c>
      <c r="J5181" s="455">
        <f t="array" ref="J5181">IFERROR(INDEX('Retirement Calculator'!J:J,MATCH('Isaac 401k'!N5181,'Retirement Calculator'!A:A,0),0),0)</f>
        <v>0</v>
      </c>
      <c r="K5181" s="455">
        <f t="shared" ca="1" si="201"/>
        <v>3666892869683.8003</v>
      </c>
      <c r="L5181" s="455">
        <f t="shared" ca="1" si="202"/>
        <v>883721181593795.88</v>
      </c>
      <c r="M5181" s="471">
        <f t="shared" si="204"/>
        <v>0.05</v>
      </c>
      <c r="N5181" s="475">
        <f t="shared" si="205"/>
        <v>208737</v>
      </c>
    </row>
    <row r="5182" spans="7:14" ht="11.25" customHeight="1" x14ac:dyDescent="0.3">
      <c r="G5182" s="470"/>
      <c r="H5182" s="470">
        <v>5175</v>
      </c>
      <c r="I5182" s="455">
        <f t="shared" ca="1" si="203"/>
        <v>883721181593795.88</v>
      </c>
      <c r="J5182" s="455">
        <f t="array" ref="J5182">IFERROR(INDEX('Retirement Calculator'!J:J,MATCH('Isaac 401k'!N5182,'Retirement Calculator'!A:A,0),0),0)</f>
        <v>0</v>
      </c>
      <c r="K5182" s="455">
        <f t="shared" ca="1" si="201"/>
        <v>3682171589974.1494</v>
      </c>
      <c r="L5182" s="455">
        <f t="shared" ca="1" si="202"/>
        <v>887403353183770</v>
      </c>
      <c r="M5182" s="471">
        <f t="shared" si="204"/>
        <v>0.05</v>
      </c>
      <c r="N5182" s="475">
        <f t="shared" si="205"/>
        <v>208768</v>
      </c>
    </row>
    <row r="5183" spans="7:14" ht="11.25" customHeight="1" x14ac:dyDescent="0.3">
      <c r="G5183" s="470"/>
      <c r="H5183" s="470">
        <v>5176</v>
      </c>
      <c r="I5183" s="455">
        <f t="shared" ca="1" si="203"/>
        <v>887403353183770</v>
      </c>
      <c r="J5183" s="455">
        <f t="array" ref="J5183">IFERROR(INDEX('Retirement Calculator'!J:J,MATCH('Isaac 401k'!N5183,'Retirement Calculator'!A:A,0),0),0)</f>
        <v>0</v>
      </c>
      <c r="K5183" s="455">
        <f t="shared" ca="1" si="201"/>
        <v>3697513971599.0415</v>
      </c>
      <c r="L5183" s="455">
        <f t="shared" ca="1" si="202"/>
        <v>891100867155369</v>
      </c>
      <c r="M5183" s="471">
        <f t="shared" si="204"/>
        <v>0.05</v>
      </c>
      <c r="N5183" s="475">
        <f t="shared" si="205"/>
        <v>208799</v>
      </c>
    </row>
    <row r="5184" spans="7:14" ht="11.25" customHeight="1" x14ac:dyDescent="0.3">
      <c r="G5184" s="470"/>
      <c r="H5184" s="470">
        <v>5177</v>
      </c>
      <c r="I5184" s="455">
        <f t="shared" ca="1" si="203"/>
        <v>891100867155369</v>
      </c>
      <c r="J5184" s="455">
        <f t="array" ref="J5184">IFERROR(INDEX('Retirement Calculator'!J:J,MATCH('Isaac 401k'!N5184,'Retirement Calculator'!A:A,0),0),0)</f>
        <v>0</v>
      </c>
      <c r="K5184" s="455">
        <f t="shared" ca="1" si="201"/>
        <v>3712920279814.0376</v>
      </c>
      <c r="L5184" s="455">
        <f t="shared" ca="1" si="202"/>
        <v>894813787435183</v>
      </c>
      <c r="M5184" s="471">
        <f t="shared" si="204"/>
        <v>0.05</v>
      </c>
      <c r="N5184" s="475">
        <f t="shared" si="205"/>
        <v>208829</v>
      </c>
    </row>
    <row r="5185" spans="7:14" ht="11.25" customHeight="1" x14ac:dyDescent="0.3">
      <c r="G5185" s="470"/>
      <c r="H5185" s="470">
        <v>5178</v>
      </c>
      <c r="I5185" s="455">
        <f t="shared" ca="1" si="203"/>
        <v>894813787435183</v>
      </c>
      <c r="J5185" s="455">
        <f t="array" ref="J5185">IFERROR(INDEX('Retirement Calculator'!J:J,MATCH('Isaac 401k'!N5185,'Retirement Calculator'!A:A,0),0),0)</f>
        <v>0</v>
      </c>
      <c r="K5185" s="455">
        <f t="shared" ca="1" si="201"/>
        <v>3728390780979.9297</v>
      </c>
      <c r="L5185" s="455">
        <f t="shared" ca="1" si="202"/>
        <v>898542178216162.88</v>
      </c>
      <c r="M5185" s="471">
        <f t="shared" si="204"/>
        <v>0.05</v>
      </c>
      <c r="N5185" s="475">
        <f t="shared" si="205"/>
        <v>208860</v>
      </c>
    </row>
    <row r="5186" spans="7:14" ht="11.25" customHeight="1" x14ac:dyDescent="0.3">
      <c r="G5186" s="470"/>
      <c r="H5186" s="470">
        <v>5179</v>
      </c>
      <c r="I5186" s="455">
        <f t="shared" ca="1" si="203"/>
        <v>898542178216162.88</v>
      </c>
      <c r="J5186" s="455">
        <f t="array" ref="J5186">IFERROR(INDEX('Retirement Calculator'!J:J,MATCH('Isaac 401k'!N5186,'Retirement Calculator'!A:A,0),0),0)</f>
        <v>0</v>
      </c>
      <c r="K5186" s="455">
        <f t="shared" ca="1" si="201"/>
        <v>3743925742567.3452</v>
      </c>
      <c r="L5186" s="455">
        <f t="shared" ca="1" si="202"/>
        <v>902286103958730.25</v>
      </c>
      <c r="M5186" s="471">
        <f t="shared" si="204"/>
        <v>0.05</v>
      </c>
      <c r="N5186" s="475">
        <f t="shared" si="205"/>
        <v>208890</v>
      </c>
    </row>
    <row r="5187" spans="7:14" ht="11.25" customHeight="1" x14ac:dyDescent="0.3">
      <c r="G5187" s="470"/>
      <c r="H5187" s="470">
        <v>5180</v>
      </c>
      <c r="I5187" s="455">
        <f t="shared" ca="1" si="203"/>
        <v>902286103958730.25</v>
      </c>
      <c r="J5187" s="455">
        <f t="array" ref="J5187">IFERROR(INDEX('Retirement Calculator'!J:J,MATCH('Isaac 401k'!N5187,'Retirement Calculator'!A:A,0),0),0)</f>
        <v>0</v>
      </c>
      <c r="K5187" s="455">
        <f t="shared" ca="1" si="201"/>
        <v>3759525433161.3765</v>
      </c>
      <c r="L5187" s="455">
        <f t="shared" ca="1" si="202"/>
        <v>906045629391891.63</v>
      </c>
      <c r="M5187" s="471">
        <f t="shared" si="204"/>
        <v>0.05</v>
      </c>
      <c r="N5187" s="475">
        <f t="shared" si="205"/>
        <v>208921</v>
      </c>
    </row>
    <row r="5188" spans="7:14" ht="11.25" customHeight="1" x14ac:dyDescent="0.3">
      <c r="G5188" s="470"/>
      <c r="H5188" s="470">
        <v>5181</v>
      </c>
      <c r="I5188" s="455">
        <f t="shared" ca="1" si="203"/>
        <v>906045629391891.63</v>
      </c>
      <c r="J5188" s="455">
        <f t="array" ref="J5188">IFERROR(INDEX('Retirement Calculator'!J:J,MATCH('Isaac 401k'!N5188,'Retirement Calculator'!A:A,0),0),0)</f>
        <v>0</v>
      </c>
      <c r="K5188" s="455">
        <f t="shared" ca="1" si="201"/>
        <v>3775190122466.2148</v>
      </c>
      <c r="L5188" s="455">
        <f t="shared" ca="1" si="202"/>
        <v>909820819514357.88</v>
      </c>
      <c r="M5188" s="471">
        <f t="shared" si="204"/>
        <v>0.05</v>
      </c>
      <c r="N5188" s="475">
        <f t="shared" si="205"/>
        <v>208952</v>
      </c>
    </row>
    <row r="5189" spans="7:14" ht="11.25" customHeight="1" x14ac:dyDescent="0.3">
      <c r="G5189" s="470"/>
      <c r="H5189" s="470">
        <v>5182</v>
      </c>
      <c r="I5189" s="455">
        <f t="shared" ca="1" si="203"/>
        <v>909820819514357.88</v>
      </c>
      <c r="J5189" s="455">
        <f t="array" ref="J5189">IFERROR(INDEX('Retirement Calculator'!J:J,MATCH('Isaac 401k'!N5189,'Retirement Calculator'!A:A,0),0),0)</f>
        <v>0</v>
      </c>
      <c r="K5189" s="455">
        <f t="shared" ca="1" si="201"/>
        <v>3790920081309.8242</v>
      </c>
      <c r="L5189" s="455">
        <f t="shared" ca="1" si="202"/>
        <v>913611739595667.75</v>
      </c>
      <c r="M5189" s="471">
        <f t="shared" si="204"/>
        <v>0.05</v>
      </c>
      <c r="N5189" s="475">
        <f t="shared" si="205"/>
        <v>208981</v>
      </c>
    </row>
    <row r="5190" spans="7:14" ht="11.25" customHeight="1" x14ac:dyDescent="0.3">
      <c r="G5190" s="470"/>
      <c r="H5190" s="470">
        <v>5183</v>
      </c>
      <c r="I5190" s="455">
        <f t="shared" ca="1" si="203"/>
        <v>913611739595667.75</v>
      </c>
      <c r="J5190" s="455">
        <f t="array" ref="J5190">IFERROR(INDEX('Retirement Calculator'!J:J,MATCH('Isaac 401k'!N5190,'Retirement Calculator'!A:A,0),0),0)</f>
        <v>0</v>
      </c>
      <c r="K5190" s="455">
        <f t="shared" ca="1" si="201"/>
        <v>3806715581648.6157</v>
      </c>
      <c r="L5190" s="455">
        <f t="shared" ca="1" si="202"/>
        <v>917418455177316.38</v>
      </c>
      <c r="M5190" s="471">
        <f t="shared" si="204"/>
        <v>0.05</v>
      </c>
      <c r="N5190" s="475">
        <f t="shared" si="205"/>
        <v>209012</v>
      </c>
    </row>
    <row r="5191" spans="7:14" ht="11.25" customHeight="1" x14ac:dyDescent="0.3">
      <c r="G5191" s="470"/>
      <c r="H5191" s="470">
        <v>5184</v>
      </c>
      <c r="I5191" s="455">
        <f t="shared" ca="1" si="203"/>
        <v>917418455177316.38</v>
      </c>
      <c r="J5191" s="455">
        <f t="array" ref="J5191">IFERROR(INDEX('Retirement Calculator'!J:J,MATCH('Isaac 401k'!N5191,'Retirement Calculator'!A:A,0),0),0)</f>
        <v>0</v>
      </c>
      <c r="K5191" s="455">
        <f t="shared" ca="1" si="201"/>
        <v>3822576896572.1519</v>
      </c>
      <c r="L5191" s="455">
        <f t="shared" ca="1" si="202"/>
        <v>921241032073888.5</v>
      </c>
      <c r="M5191" s="471">
        <f t="shared" si="204"/>
        <v>0.05</v>
      </c>
      <c r="N5191" s="475">
        <f t="shared" si="205"/>
        <v>209042</v>
      </c>
    </row>
    <row r="5192" spans="7:14" ht="11.25" customHeight="1" x14ac:dyDescent="0.3">
      <c r="G5192" s="470"/>
      <c r="H5192" s="470">
        <v>5185</v>
      </c>
      <c r="I5192" s="455">
        <f t="shared" ca="1" si="203"/>
        <v>921241032073888.5</v>
      </c>
      <c r="J5192" s="455">
        <f t="array" ref="J5192">IFERROR(INDEX('Retirement Calculator'!J:J,MATCH('Isaac 401k'!N5192,'Retirement Calculator'!A:A,0),0),0)</f>
        <v>0</v>
      </c>
      <c r="K5192" s="455">
        <f t="shared" ca="1" si="201"/>
        <v>3838504300307.8682</v>
      </c>
      <c r="L5192" s="455">
        <f t="shared" ca="1" si="202"/>
        <v>925079536374196.38</v>
      </c>
      <c r="M5192" s="471">
        <f t="shared" si="204"/>
        <v>0.05</v>
      </c>
      <c r="N5192" s="475">
        <f t="shared" si="205"/>
        <v>209073</v>
      </c>
    </row>
    <row r="5193" spans="7:14" ht="11.25" customHeight="1" x14ac:dyDescent="0.3">
      <c r="G5193" s="470"/>
      <c r="H5193" s="470">
        <v>5186</v>
      </c>
      <c r="I5193" s="455">
        <f t="shared" ca="1" si="203"/>
        <v>925079536374196.38</v>
      </c>
      <c r="J5193" s="455">
        <f t="array" ref="J5193">IFERROR(INDEX('Retirement Calculator'!J:J,MATCH('Isaac 401k'!N5193,'Retirement Calculator'!A:A,0),0),0)</f>
        <v>0</v>
      </c>
      <c r="K5193" s="455">
        <f t="shared" ca="1" si="201"/>
        <v>3854498068225.8184</v>
      </c>
      <c r="L5193" s="455">
        <f t="shared" ca="1" si="202"/>
        <v>928934034442422.25</v>
      </c>
      <c r="M5193" s="471">
        <f t="shared" si="204"/>
        <v>0.05</v>
      </c>
      <c r="N5193" s="475">
        <f t="shared" si="205"/>
        <v>209103</v>
      </c>
    </row>
    <row r="5194" spans="7:14" ht="11.25" customHeight="1" x14ac:dyDescent="0.3">
      <c r="G5194" s="470"/>
      <c r="H5194" s="470">
        <v>5187</v>
      </c>
      <c r="I5194" s="455">
        <f t="shared" ca="1" si="203"/>
        <v>928934034442422.25</v>
      </c>
      <c r="J5194" s="455">
        <f t="array" ref="J5194">IFERROR(INDEX('Retirement Calculator'!J:J,MATCH('Isaac 401k'!N5194,'Retirement Calculator'!A:A,0),0),0)</f>
        <v>0</v>
      </c>
      <c r="K5194" s="455">
        <f t="shared" ca="1" si="201"/>
        <v>3870558476843.4263</v>
      </c>
      <c r="L5194" s="455">
        <f t="shared" ca="1" si="202"/>
        <v>932804592919265.63</v>
      </c>
      <c r="M5194" s="471">
        <f t="shared" si="204"/>
        <v>0.05</v>
      </c>
      <c r="N5194" s="475">
        <f t="shared" si="205"/>
        <v>209134</v>
      </c>
    </row>
    <row r="5195" spans="7:14" ht="11.25" customHeight="1" x14ac:dyDescent="0.3">
      <c r="G5195" s="470"/>
      <c r="H5195" s="470">
        <v>5188</v>
      </c>
      <c r="I5195" s="455">
        <f t="shared" ca="1" si="203"/>
        <v>932804592919265.63</v>
      </c>
      <c r="J5195" s="455">
        <f t="array" ref="J5195">IFERROR(INDEX('Retirement Calculator'!J:J,MATCH('Isaac 401k'!N5195,'Retirement Calculator'!A:A,0),0),0)</f>
        <v>0</v>
      </c>
      <c r="K5195" s="455">
        <f t="shared" ca="1" si="201"/>
        <v>3886685803830.2739</v>
      </c>
      <c r="L5195" s="455">
        <f t="shared" ca="1" si="202"/>
        <v>936691278723095.88</v>
      </c>
      <c r="M5195" s="471">
        <f t="shared" si="204"/>
        <v>0.05</v>
      </c>
      <c r="N5195" s="475">
        <f t="shared" si="205"/>
        <v>209165</v>
      </c>
    </row>
    <row r="5196" spans="7:14" ht="11.25" customHeight="1" x14ac:dyDescent="0.3">
      <c r="G5196" s="470"/>
      <c r="H5196" s="470">
        <v>5189</v>
      </c>
      <c r="I5196" s="455">
        <f t="shared" ca="1" si="203"/>
        <v>936691278723095.88</v>
      </c>
      <c r="J5196" s="455">
        <f t="array" ref="J5196">IFERROR(INDEX('Retirement Calculator'!J:J,MATCH('Isaac 401k'!N5196,'Retirement Calculator'!A:A,0),0),0)</f>
        <v>0</v>
      </c>
      <c r="K5196" s="455">
        <f t="shared" ca="1" si="201"/>
        <v>3902880328012.8994</v>
      </c>
      <c r="L5196" s="455">
        <f t="shared" ca="1" si="202"/>
        <v>940594159051108.75</v>
      </c>
      <c r="M5196" s="471">
        <f t="shared" si="204"/>
        <v>0.05</v>
      </c>
      <c r="N5196" s="475">
        <f t="shared" si="205"/>
        <v>209195</v>
      </c>
    </row>
    <row r="5197" spans="7:14" ht="11.25" customHeight="1" x14ac:dyDescent="0.3">
      <c r="G5197" s="470"/>
      <c r="H5197" s="470">
        <v>5190</v>
      </c>
      <c r="I5197" s="455">
        <f t="shared" ca="1" si="203"/>
        <v>940594159051108.75</v>
      </c>
      <c r="J5197" s="455">
        <f t="array" ref="J5197">IFERROR(INDEX('Retirement Calculator'!J:J,MATCH('Isaac 401k'!N5197,'Retirement Calculator'!A:A,0),0),0)</f>
        <v>0</v>
      </c>
      <c r="K5197" s="455">
        <f t="shared" ca="1" si="201"/>
        <v>3919142329379.6196</v>
      </c>
      <c r="L5197" s="455">
        <f t="shared" ca="1" si="202"/>
        <v>944513301380488.38</v>
      </c>
      <c r="M5197" s="471">
        <f t="shared" si="204"/>
        <v>0.05</v>
      </c>
      <c r="N5197" s="475">
        <f t="shared" si="205"/>
        <v>209226</v>
      </c>
    </row>
    <row r="5198" spans="7:14" ht="11.25" customHeight="1" x14ac:dyDescent="0.3">
      <c r="G5198" s="470"/>
      <c r="H5198" s="470">
        <v>5191</v>
      </c>
      <c r="I5198" s="455">
        <f t="shared" ca="1" si="203"/>
        <v>944513301380488.38</v>
      </c>
      <c r="J5198" s="455">
        <f t="array" ref="J5198">IFERROR(INDEX('Retirement Calculator'!J:J,MATCH('Isaac 401k'!N5198,'Retirement Calculator'!A:A,0),0),0)</f>
        <v>0</v>
      </c>
      <c r="K5198" s="455">
        <f t="shared" ca="1" si="201"/>
        <v>3935472089085.3677</v>
      </c>
      <c r="L5198" s="455">
        <f t="shared" ca="1" si="202"/>
        <v>948448773469573.75</v>
      </c>
      <c r="M5198" s="471">
        <f t="shared" si="204"/>
        <v>0.05</v>
      </c>
      <c r="N5198" s="475">
        <f t="shared" si="205"/>
        <v>209256</v>
      </c>
    </row>
    <row r="5199" spans="7:14" ht="11.25" customHeight="1" x14ac:dyDescent="0.3">
      <c r="G5199" s="470"/>
      <c r="H5199" s="470">
        <v>5192</v>
      </c>
      <c r="I5199" s="455">
        <f t="shared" ca="1" si="203"/>
        <v>948448773469573.75</v>
      </c>
      <c r="J5199" s="455">
        <f t="array" ref="J5199">IFERROR(INDEX('Retirement Calculator'!J:J,MATCH('Isaac 401k'!N5199,'Retirement Calculator'!A:A,0),0),0)</f>
        <v>0</v>
      </c>
      <c r="K5199" s="455">
        <f t="shared" ca="1" si="201"/>
        <v>3951869889456.5571</v>
      </c>
      <c r="L5199" s="455">
        <f t="shared" ca="1" si="202"/>
        <v>952400643359030.25</v>
      </c>
      <c r="M5199" s="471">
        <f t="shared" si="204"/>
        <v>0.05</v>
      </c>
      <c r="N5199" s="475">
        <f t="shared" si="205"/>
        <v>209287</v>
      </c>
    </row>
    <row r="5200" spans="7:14" ht="11.25" customHeight="1" x14ac:dyDescent="0.3">
      <c r="G5200" s="470"/>
      <c r="H5200" s="470">
        <v>5193</v>
      </c>
      <c r="I5200" s="455">
        <f t="shared" ca="1" si="203"/>
        <v>952400643359030.25</v>
      </c>
      <c r="J5200" s="455">
        <f t="array" ref="J5200">IFERROR(INDEX('Retirement Calculator'!J:J,MATCH('Isaac 401k'!N5200,'Retirement Calculator'!A:A,0),0),0)</f>
        <v>0</v>
      </c>
      <c r="K5200" s="455">
        <f t="shared" ca="1" si="201"/>
        <v>3968336013995.96</v>
      </c>
      <c r="L5200" s="455">
        <f t="shared" ca="1" si="202"/>
        <v>956368979373026.25</v>
      </c>
      <c r="M5200" s="471">
        <f t="shared" si="204"/>
        <v>0.05</v>
      </c>
      <c r="N5200" s="475">
        <f t="shared" si="205"/>
        <v>209318</v>
      </c>
    </row>
    <row r="5201" spans="7:14" ht="11.25" customHeight="1" x14ac:dyDescent="0.3">
      <c r="G5201" s="470"/>
      <c r="H5201" s="470">
        <v>5194</v>
      </c>
      <c r="I5201" s="455">
        <f t="shared" ca="1" si="203"/>
        <v>956368979373026.25</v>
      </c>
      <c r="J5201" s="455">
        <f t="array" ref="J5201">IFERROR(INDEX('Retirement Calculator'!J:J,MATCH('Isaac 401k'!N5201,'Retirement Calculator'!A:A,0),0),0)</f>
        <v>0</v>
      </c>
      <c r="K5201" s="455">
        <f t="shared" ca="1" si="201"/>
        <v>3984870747387.6089</v>
      </c>
      <c r="L5201" s="455">
        <f t="shared" ca="1" si="202"/>
        <v>960353850120413.88</v>
      </c>
      <c r="M5201" s="471">
        <f t="shared" si="204"/>
        <v>0.05</v>
      </c>
      <c r="N5201" s="475">
        <f t="shared" si="205"/>
        <v>209346</v>
      </c>
    </row>
    <row r="5202" spans="7:14" ht="11.25" customHeight="1" x14ac:dyDescent="0.3">
      <c r="G5202" s="470"/>
      <c r="H5202" s="470">
        <v>5195</v>
      </c>
      <c r="I5202" s="455">
        <f t="shared" ca="1" si="203"/>
        <v>960353850120413.88</v>
      </c>
      <c r="J5202" s="455">
        <f t="array" ref="J5202">IFERROR(INDEX('Retirement Calculator'!J:J,MATCH('Isaac 401k'!N5202,'Retirement Calculator'!A:A,0),0),0)</f>
        <v>0</v>
      </c>
      <c r="K5202" s="455">
        <f t="shared" ca="1" si="201"/>
        <v>4001474375501.7246</v>
      </c>
      <c r="L5202" s="455">
        <f t="shared" ca="1" si="202"/>
        <v>964355324495915.63</v>
      </c>
      <c r="M5202" s="471">
        <f t="shared" si="204"/>
        <v>0.05</v>
      </c>
      <c r="N5202" s="475">
        <f t="shared" si="205"/>
        <v>209377</v>
      </c>
    </row>
    <row r="5203" spans="7:14" ht="11.25" customHeight="1" x14ac:dyDescent="0.3">
      <c r="G5203" s="470"/>
      <c r="H5203" s="470">
        <v>5196</v>
      </c>
      <c r="I5203" s="455">
        <f t="shared" ca="1" si="203"/>
        <v>964355324495915.63</v>
      </c>
      <c r="J5203" s="455">
        <f t="array" ref="J5203">IFERROR(INDEX('Retirement Calculator'!J:J,MATCH('Isaac 401k'!N5203,'Retirement Calculator'!A:A,0),0),0)</f>
        <v>0</v>
      </c>
      <c r="K5203" s="455">
        <f t="shared" ca="1" si="201"/>
        <v>4018147185399.6479</v>
      </c>
      <c r="L5203" s="455">
        <f t="shared" ca="1" si="202"/>
        <v>968373471681315.25</v>
      </c>
      <c r="M5203" s="471">
        <f t="shared" si="204"/>
        <v>0.05</v>
      </c>
      <c r="N5203" s="475">
        <f t="shared" si="205"/>
        <v>209407</v>
      </c>
    </row>
    <row r="5204" spans="7:14" ht="11.25" customHeight="1" x14ac:dyDescent="0.3">
      <c r="G5204" s="470"/>
      <c r="H5204" s="470">
        <v>5197</v>
      </c>
      <c r="I5204" s="455">
        <f t="shared" ca="1" si="203"/>
        <v>968373471681315.25</v>
      </c>
      <c r="J5204" s="455">
        <f t="array" ref="J5204">IFERROR(INDEX('Retirement Calculator'!J:J,MATCH('Isaac 401k'!N5204,'Retirement Calculator'!A:A,0),0),0)</f>
        <v>0</v>
      </c>
      <c r="K5204" s="455">
        <f t="shared" ca="1" si="201"/>
        <v>4034889465338.8135</v>
      </c>
      <c r="L5204" s="455">
        <f t="shared" ca="1" si="202"/>
        <v>972408361146654.13</v>
      </c>
      <c r="M5204" s="471">
        <f t="shared" si="204"/>
        <v>0.05</v>
      </c>
      <c r="N5204" s="475">
        <f t="shared" si="205"/>
        <v>209438</v>
      </c>
    </row>
    <row r="5205" spans="7:14" ht="11.25" customHeight="1" x14ac:dyDescent="0.3">
      <c r="G5205" s="470"/>
      <c r="H5205" s="470">
        <v>5198</v>
      </c>
      <c r="I5205" s="455">
        <f t="shared" ca="1" si="203"/>
        <v>972408361146654.13</v>
      </c>
      <c r="J5205" s="455">
        <f t="array" ref="J5205">IFERROR(INDEX('Retirement Calculator'!J:J,MATCH('Isaac 401k'!N5205,'Retirement Calculator'!A:A,0),0),0)</f>
        <v>0</v>
      </c>
      <c r="K5205" s="455">
        <f t="shared" ca="1" si="201"/>
        <v>4051701504777.7261</v>
      </c>
      <c r="L5205" s="455">
        <f t="shared" ca="1" si="202"/>
        <v>976460062651431.88</v>
      </c>
      <c r="M5205" s="471">
        <f t="shared" si="204"/>
        <v>0.05</v>
      </c>
      <c r="N5205" s="475">
        <f t="shared" si="205"/>
        <v>209468</v>
      </c>
    </row>
    <row r="5206" spans="7:14" ht="11.25" customHeight="1" x14ac:dyDescent="0.3">
      <c r="G5206" s="470"/>
      <c r="H5206" s="470">
        <v>5199</v>
      </c>
      <c r="I5206" s="455">
        <f t="shared" ca="1" si="203"/>
        <v>976460062651431.88</v>
      </c>
      <c r="J5206" s="455">
        <f t="array" ref="J5206">IFERROR(INDEX('Retirement Calculator'!J:J,MATCH('Isaac 401k'!N5206,'Retirement Calculator'!A:A,0),0),0)</f>
        <v>0</v>
      </c>
      <c r="K5206" s="455">
        <f t="shared" ca="1" si="201"/>
        <v>4068583594380.9668</v>
      </c>
      <c r="L5206" s="455">
        <f t="shared" ca="1" si="202"/>
        <v>980528646245812.88</v>
      </c>
      <c r="M5206" s="471">
        <f t="shared" si="204"/>
        <v>0.05</v>
      </c>
      <c r="N5206" s="475">
        <f t="shared" si="205"/>
        <v>209499</v>
      </c>
    </row>
    <row r="5207" spans="7:14" ht="11.25" customHeight="1" x14ac:dyDescent="0.3">
      <c r="G5207" s="470"/>
      <c r="H5207" s="470">
        <v>5200</v>
      </c>
      <c r="I5207" s="455">
        <f t="shared" ca="1" si="203"/>
        <v>980528646245812.88</v>
      </c>
      <c r="J5207" s="455">
        <f t="array" ref="J5207">IFERROR(INDEX('Retirement Calculator'!J:J,MATCH('Isaac 401k'!N5207,'Retirement Calculator'!A:A,0),0),0)</f>
        <v>0</v>
      </c>
      <c r="K5207" s="455">
        <f t="shared" ca="1" si="201"/>
        <v>4085536026024.2202</v>
      </c>
      <c r="L5207" s="455">
        <f t="shared" ca="1" si="202"/>
        <v>984614182271837.13</v>
      </c>
      <c r="M5207" s="471">
        <f t="shared" si="204"/>
        <v>0.05</v>
      </c>
      <c r="N5207" s="475">
        <f t="shared" si="205"/>
        <v>209530</v>
      </c>
    </row>
    <row r="5208" spans="7:14" ht="11.25" customHeight="1" x14ac:dyDescent="0.3">
      <c r="G5208" s="470"/>
      <c r="H5208" s="470">
        <v>5201</v>
      </c>
      <c r="I5208" s="455">
        <f t="shared" ca="1" si="203"/>
        <v>984614182271837.13</v>
      </c>
      <c r="J5208" s="455">
        <f t="array" ref="J5208">IFERROR(INDEX('Retirement Calculator'!J:J,MATCH('Isaac 401k'!N5208,'Retirement Calculator'!A:A,0),0),0)</f>
        <v>0</v>
      </c>
      <c r="K5208" s="455">
        <f t="shared" ca="1" si="201"/>
        <v>4102559092799.3213</v>
      </c>
      <c r="L5208" s="455">
        <f t="shared" ca="1" si="202"/>
        <v>988716741364636.5</v>
      </c>
      <c r="M5208" s="471">
        <f t="shared" si="204"/>
        <v>0.05</v>
      </c>
      <c r="N5208" s="475">
        <f t="shared" si="205"/>
        <v>209560</v>
      </c>
    </row>
    <row r="5209" spans="7:14" ht="11.25" customHeight="1" x14ac:dyDescent="0.3">
      <c r="G5209" s="470"/>
      <c r="H5209" s="470">
        <v>5202</v>
      </c>
      <c r="I5209" s="455">
        <f t="shared" ca="1" si="203"/>
        <v>988716741364636.5</v>
      </c>
      <c r="J5209" s="455">
        <f t="array" ref="J5209">IFERROR(INDEX('Retirement Calculator'!J:J,MATCH('Isaac 401k'!N5209,'Retirement Calculator'!A:A,0),0),0)</f>
        <v>0</v>
      </c>
      <c r="K5209" s="455">
        <f t="shared" ca="1" si="201"/>
        <v>4119653089019.3188</v>
      </c>
      <c r="L5209" s="455">
        <f t="shared" ca="1" si="202"/>
        <v>992836394453655.88</v>
      </c>
      <c r="M5209" s="471">
        <f t="shared" si="204"/>
        <v>0.05</v>
      </c>
      <c r="N5209" s="475">
        <f t="shared" si="205"/>
        <v>209591</v>
      </c>
    </row>
    <row r="5210" spans="7:14" ht="11.25" customHeight="1" x14ac:dyDescent="0.3">
      <c r="G5210" s="470"/>
      <c r="H5210" s="470">
        <v>5203</v>
      </c>
      <c r="I5210" s="455">
        <f t="shared" ca="1" si="203"/>
        <v>992836394453655.88</v>
      </c>
      <c r="J5210" s="455">
        <f t="array" ref="J5210">IFERROR(INDEX('Retirement Calculator'!J:J,MATCH('Isaac 401k'!N5210,'Retirement Calculator'!A:A,0),0),0)</f>
        <v>0</v>
      </c>
      <c r="K5210" s="455">
        <f t="shared" ca="1" si="201"/>
        <v>4136818310223.5659</v>
      </c>
      <c r="L5210" s="455">
        <f t="shared" ca="1" si="202"/>
        <v>996973212763879.5</v>
      </c>
      <c r="M5210" s="471">
        <f t="shared" si="204"/>
        <v>0.05</v>
      </c>
      <c r="N5210" s="475">
        <f t="shared" si="205"/>
        <v>209621</v>
      </c>
    </row>
    <row r="5211" spans="7:14" ht="11.25" customHeight="1" x14ac:dyDescent="0.3">
      <c r="G5211" s="470"/>
      <c r="H5211" s="470">
        <v>5204</v>
      </c>
      <c r="I5211" s="455">
        <f t="shared" ca="1" si="203"/>
        <v>996973212763879.5</v>
      </c>
      <c r="J5211" s="455">
        <f t="array" ref="J5211">IFERROR(INDEX('Retirement Calculator'!J:J,MATCH('Isaac 401k'!N5211,'Retirement Calculator'!A:A,0),0),0)</f>
        <v>0</v>
      </c>
      <c r="K5211" s="455">
        <f t="shared" ca="1" si="201"/>
        <v>4154055053182.8311</v>
      </c>
      <c r="L5211" s="455">
        <f t="shared" ca="1" si="202"/>
        <v>1001127267817062.4</v>
      </c>
      <c r="M5211" s="471">
        <f t="shared" si="204"/>
        <v>0.05</v>
      </c>
      <c r="N5211" s="475">
        <f t="shared" si="205"/>
        <v>209652</v>
      </c>
    </row>
    <row r="5212" spans="7:14" ht="11.25" customHeight="1" x14ac:dyDescent="0.3">
      <c r="G5212" s="470"/>
      <c r="H5212" s="470">
        <v>5205</v>
      </c>
      <c r="I5212" s="455">
        <f t="shared" ca="1" si="203"/>
        <v>1001127267817062.4</v>
      </c>
      <c r="J5212" s="455">
        <f t="array" ref="J5212">IFERROR(INDEX('Retirement Calculator'!J:J,MATCH('Isaac 401k'!N5212,'Retirement Calculator'!A:A,0),0),0)</f>
        <v>0</v>
      </c>
      <c r="K5212" s="455">
        <f t="shared" ca="1" si="201"/>
        <v>4171363615904.4263</v>
      </c>
      <c r="L5212" s="455">
        <f t="shared" ca="1" si="202"/>
        <v>1005298631432966.8</v>
      </c>
      <c r="M5212" s="471">
        <f t="shared" si="204"/>
        <v>0.05</v>
      </c>
      <c r="N5212" s="475">
        <f t="shared" si="205"/>
        <v>209683</v>
      </c>
    </row>
    <row r="5213" spans="7:14" ht="11.25" customHeight="1" x14ac:dyDescent="0.3">
      <c r="G5213" s="470"/>
      <c r="H5213" s="470">
        <v>5206</v>
      </c>
      <c r="I5213" s="455">
        <f t="shared" ca="1" si="203"/>
        <v>1005298631432966.8</v>
      </c>
      <c r="J5213" s="455">
        <f t="array" ref="J5213">IFERROR(INDEX('Retirement Calculator'!J:J,MATCH('Isaac 401k'!N5213,'Retirement Calculator'!A:A,0),0),0)</f>
        <v>0</v>
      </c>
      <c r="K5213" s="455">
        <f t="shared" ca="1" si="201"/>
        <v>4188744297637.3613</v>
      </c>
      <c r="L5213" s="455">
        <f t="shared" ca="1" si="202"/>
        <v>1009487375730604.1</v>
      </c>
      <c r="M5213" s="471">
        <f t="shared" si="204"/>
        <v>0.05</v>
      </c>
      <c r="N5213" s="475">
        <f t="shared" si="205"/>
        <v>209711</v>
      </c>
    </row>
    <row r="5214" spans="7:14" ht="11.25" customHeight="1" x14ac:dyDescent="0.3">
      <c r="G5214" s="470"/>
      <c r="H5214" s="470">
        <v>5207</v>
      </c>
      <c r="I5214" s="455">
        <f t="shared" ca="1" si="203"/>
        <v>1009487375730604.1</v>
      </c>
      <c r="J5214" s="455">
        <f t="array" ref="J5214">IFERROR(INDEX('Retirement Calculator'!J:J,MATCH('Isaac 401k'!N5214,'Retirement Calculator'!A:A,0),0),0)</f>
        <v>0</v>
      </c>
      <c r="K5214" s="455">
        <f t="shared" ca="1" si="201"/>
        <v>4206197398877.5171</v>
      </c>
      <c r="L5214" s="455">
        <f t="shared" ca="1" si="202"/>
        <v>1013693573129481.6</v>
      </c>
      <c r="M5214" s="471">
        <f t="shared" si="204"/>
        <v>0.05</v>
      </c>
      <c r="N5214" s="475">
        <f t="shared" si="205"/>
        <v>209742</v>
      </c>
    </row>
    <row r="5215" spans="7:14" ht="11.25" customHeight="1" x14ac:dyDescent="0.3">
      <c r="G5215" s="470"/>
      <c r="H5215" s="470">
        <v>5208</v>
      </c>
      <c r="I5215" s="455">
        <f t="shared" ca="1" si="203"/>
        <v>1013693573129481.6</v>
      </c>
      <c r="J5215" s="455">
        <f t="array" ref="J5215">IFERROR(INDEX('Retirement Calculator'!J:J,MATCH('Isaac 401k'!N5215,'Retirement Calculator'!A:A,0),0),0)</f>
        <v>0</v>
      </c>
      <c r="K5215" s="455">
        <f t="shared" ca="1" si="201"/>
        <v>4223723221372.8398</v>
      </c>
      <c r="L5215" s="455">
        <f t="shared" ca="1" si="202"/>
        <v>1017917296350854.5</v>
      </c>
      <c r="M5215" s="471">
        <f t="shared" si="204"/>
        <v>0.05</v>
      </c>
      <c r="N5215" s="475">
        <f t="shared" si="205"/>
        <v>209772</v>
      </c>
    </row>
    <row r="5216" spans="7:14" ht="11.25" customHeight="1" x14ac:dyDescent="0.3">
      <c r="G5216" s="470"/>
      <c r="H5216" s="470">
        <v>5209</v>
      </c>
      <c r="I5216" s="455">
        <f t="shared" ca="1" si="203"/>
        <v>1017917296350854.5</v>
      </c>
      <c r="J5216" s="455">
        <f t="array" ref="J5216">IFERROR(INDEX('Retirement Calculator'!J:J,MATCH('Isaac 401k'!N5216,'Retirement Calculator'!A:A,0),0),0)</f>
        <v>0</v>
      </c>
      <c r="K5216" s="455">
        <f t="shared" ca="1" si="201"/>
        <v>4241322068128.5601</v>
      </c>
      <c r="L5216" s="455">
        <f t="shared" ca="1" si="202"/>
        <v>1022158618418983</v>
      </c>
      <c r="M5216" s="471">
        <f t="shared" si="204"/>
        <v>0.05</v>
      </c>
      <c r="N5216" s="475">
        <f t="shared" si="205"/>
        <v>209803</v>
      </c>
    </row>
    <row r="5217" spans="7:14" ht="11.25" customHeight="1" x14ac:dyDescent="0.3">
      <c r="G5217" s="470"/>
      <c r="H5217" s="470">
        <v>5210</v>
      </c>
      <c r="I5217" s="455">
        <f t="shared" ca="1" si="203"/>
        <v>1022158618418983</v>
      </c>
      <c r="J5217" s="455">
        <f t="array" ref="J5217">IFERROR(INDEX('Retirement Calculator'!J:J,MATCH('Isaac 401k'!N5217,'Retirement Calculator'!A:A,0),0),0)</f>
        <v>0</v>
      </c>
      <c r="K5217" s="455">
        <f t="shared" ca="1" si="201"/>
        <v>4258994243412.4297</v>
      </c>
      <c r="L5217" s="455">
        <f t="shared" ca="1" si="202"/>
        <v>1026417612662395.4</v>
      </c>
      <c r="M5217" s="471">
        <f t="shared" si="204"/>
        <v>0.05</v>
      </c>
      <c r="N5217" s="475">
        <f t="shared" si="205"/>
        <v>209833</v>
      </c>
    </row>
    <row r="5218" spans="7:14" ht="11.25" customHeight="1" x14ac:dyDescent="0.3">
      <c r="G5218" s="470"/>
      <c r="H5218" s="470">
        <v>5211</v>
      </c>
      <c r="I5218" s="455">
        <f t="shared" ca="1" si="203"/>
        <v>1026417612662395.4</v>
      </c>
      <c r="J5218" s="455">
        <f t="array" ref="J5218">IFERROR(INDEX('Retirement Calculator'!J:J,MATCH('Isaac 401k'!N5218,'Retirement Calculator'!A:A,0),0),0)</f>
        <v>0</v>
      </c>
      <c r="K5218" s="455">
        <f t="shared" ca="1" si="201"/>
        <v>4276740052759.9805</v>
      </c>
      <c r="L5218" s="455">
        <f t="shared" ca="1" si="202"/>
        <v>1030694352715155.4</v>
      </c>
      <c r="M5218" s="471">
        <f t="shared" si="204"/>
        <v>0.05</v>
      </c>
      <c r="N5218" s="475">
        <f t="shared" si="205"/>
        <v>209864</v>
      </c>
    </row>
    <row r="5219" spans="7:14" ht="11.25" customHeight="1" x14ac:dyDescent="0.3">
      <c r="G5219" s="470"/>
      <c r="H5219" s="470">
        <v>5212</v>
      </c>
      <c r="I5219" s="455">
        <f t="shared" ca="1" si="203"/>
        <v>1030694352715155.4</v>
      </c>
      <c r="J5219" s="455">
        <f t="array" ref="J5219">IFERROR(INDEX('Retirement Calculator'!J:J,MATCH('Isaac 401k'!N5219,'Retirement Calculator'!A:A,0),0),0)</f>
        <v>0</v>
      </c>
      <c r="K5219" s="455">
        <f t="shared" ca="1" si="201"/>
        <v>4294559802979.814</v>
      </c>
      <c r="L5219" s="455">
        <f t="shared" ca="1" si="202"/>
        <v>1034988912518135.3</v>
      </c>
      <c r="M5219" s="471">
        <f t="shared" si="204"/>
        <v>0.05</v>
      </c>
      <c r="N5219" s="475">
        <f t="shared" si="205"/>
        <v>209895</v>
      </c>
    </row>
    <row r="5220" spans="7:14" ht="11.25" customHeight="1" x14ac:dyDescent="0.3">
      <c r="G5220" s="470"/>
      <c r="H5220" s="470">
        <v>5213</v>
      </c>
      <c r="I5220" s="455">
        <f t="shared" ca="1" si="203"/>
        <v>1034988912518135.3</v>
      </c>
      <c r="J5220" s="455">
        <f t="array" ref="J5220">IFERROR(INDEX('Retirement Calculator'!J:J,MATCH('Isaac 401k'!N5220,'Retirement Calculator'!A:A,0),0),0)</f>
        <v>0</v>
      </c>
      <c r="K5220" s="455">
        <f t="shared" ca="1" si="201"/>
        <v>4312453802158.897</v>
      </c>
      <c r="L5220" s="455">
        <f t="shared" ca="1" si="202"/>
        <v>1039301366320294.1</v>
      </c>
      <c r="M5220" s="471">
        <f t="shared" si="204"/>
        <v>0.05</v>
      </c>
      <c r="N5220" s="475">
        <f t="shared" si="205"/>
        <v>209925</v>
      </c>
    </row>
    <row r="5221" spans="7:14" ht="11.25" customHeight="1" x14ac:dyDescent="0.3">
      <c r="G5221" s="470"/>
      <c r="H5221" s="470">
        <v>5214</v>
      </c>
      <c r="I5221" s="455">
        <f t="shared" ca="1" si="203"/>
        <v>1039301366320294.1</v>
      </c>
      <c r="J5221" s="455">
        <f t="array" ref="J5221">IFERROR(INDEX('Retirement Calculator'!J:J,MATCH('Isaac 401k'!N5221,'Retirement Calculator'!A:A,0),0),0)</f>
        <v>0</v>
      </c>
      <c r="K5221" s="455">
        <f t="shared" ca="1" si="201"/>
        <v>4330422359667.8921</v>
      </c>
      <c r="L5221" s="455">
        <f t="shared" ca="1" si="202"/>
        <v>1043631788679962</v>
      </c>
      <c r="M5221" s="471">
        <f t="shared" si="204"/>
        <v>0.05</v>
      </c>
      <c r="N5221" s="475">
        <f t="shared" si="205"/>
        <v>209956</v>
      </c>
    </row>
    <row r="5222" spans="7:14" ht="11.25" customHeight="1" x14ac:dyDescent="0.3">
      <c r="G5222" s="470"/>
      <c r="H5222" s="470">
        <v>5215</v>
      </c>
      <c r="I5222" s="455">
        <f t="shared" ca="1" si="203"/>
        <v>1043631788679962</v>
      </c>
      <c r="J5222" s="455">
        <f t="array" ref="J5222">IFERROR(INDEX('Retirement Calculator'!J:J,MATCH('Isaac 401k'!N5222,'Retirement Calculator'!A:A,0),0),0)</f>
        <v>0</v>
      </c>
      <c r="K5222" s="455">
        <f t="shared" ca="1" si="201"/>
        <v>4348465786166.5078</v>
      </c>
      <c r="L5222" s="455">
        <f t="shared" ca="1" si="202"/>
        <v>1047980254466128.5</v>
      </c>
      <c r="M5222" s="471">
        <f t="shared" si="204"/>
        <v>0.05</v>
      </c>
      <c r="N5222" s="475">
        <f t="shared" si="205"/>
        <v>209986</v>
      </c>
    </row>
    <row r="5223" spans="7:14" ht="11.25" customHeight="1" x14ac:dyDescent="0.3">
      <c r="G5223" s="470"/>
      <c r="H5223" s="470">
        <v>5216</v>
      </c>
      <c r="I5223" s="455">
        <f t="shared" ca="1" si="203"/>
        <v>1047980254466128.5</v>
      </c>
      <c r="J5223" s="455">
        <f t="array" ref="J5223">IFERROR(INDEX('Retirement Calculator'!J:J,MATCH('Isaac 401k'!N5223,'Retirement Calculator'!A:A,0),0),0)</f>
        <v>0</v>
      </c>
      <c r="K5223" s="455">
        <f t="shared" ca="1" si="201"/>
        <v>4366584393608.8691</v>
      </c>
      <c r="L5223" s="455">
        <f t="shared" ca="1" si="202"/>
        <v>1052346838859737.4</v>
      </c>
      <c r="M5223" s="471">
        <f t="shared" si="204"/>
        <v>0.05</v>
      </c>
      <c r="N5223" s="475">
        <f t="shared" si="205"/>
        <v>210017</v>
      </c>
    </row>
    <row r="5224" spans="7:14" ht="11.25" customHeight="1" x14ac:dyDescent="0.3">
      <c r="G5224" s="470"/>
      <c r="H5224" s="470">
        <v>5217</v>
      </c>
      <c r="I5224" s="455">
        <f t="shared" ca="1" si="203"/>
        <v>1052346838859737.4</v>
      </c>
      <c r="J5224" s="455">
        <f t="array" ref="J5224">IFERROR(INDEX('Retirement Calculator'!J:J,MATCH('Isaac 401k'!N5224,'Retirement Calculator'!A:A,0),0),0)</f>
        <v>0</v>
      </c>
      <c r="K5224" s="455">
        <f t="shared" ca="1" si="201"/>
        <v>4384778495248.9058</v>
      </c>
      <c r="L5224" s="455">
        <f t="shared" ca="1" si="202"/>
        <v>1056731617354986.3</v>
      </c>
      <c r="M5224" s="471">
        <f t="shared" si="204"/>
        <v>0.05</v>
      </c>
      <c r="N5224" s="475">
        <f t="shared" si="205"/>
        <v>210048</v>
      </c>
    </row>
    <row r="5225" spans="7:14" ht="11.25" customHeight="1" x14ac:dyDescent="0.3">
      <c r="G5225" s="470"/>
      <c r="H5225" s="470">
        <v>5218</v>
      </c>
      <c r="I5225" s="455">
        <f t="shared" ca="1" si="203"/>
        <v>1056731617354986.3</v>
      </c>
      <c r="J5225" s="455">
        <f t="array" ref="J5225">IFERROR(INDEX('Retirement Calculator'!J:J,MATCH('Isaac 401k'!N5225,'Retirement Calculator'!A:A,0),0),0)</f>
        <v>0</v>
      </c>
      <c r="K5225" s="455">
        <f t="shared" ca="1" si="201"/>
        <v>4403048405645.7764</v>
      </c>
      <c r="L5225" s="455">
        <f t="shared" ca="1" si="202"/>
        <v>1061134665760632</v>
      </c>
      <c r="M5225" s="471">
        <f t="shared" si="204"/>
        <v>0.05</v>
      </c>
      <c r="N5225" s="475">
        <f t="shared" si="205"/>
        <v>210076</v>
      </c>
    </row>
    <row r="5226" spans="7:14" ht="11.25" customHeight="1" x14ac:dyDescent="0.3">
      <c r="G5226" s="470"/>
      <c r="H5226" s="470">
        <v>5219</v>
      </c>
      <c r="I5226" s="455">
        <f t="shared" ca="1" si="203"/>
        <v>1061134665760632</v>
      </c>
      <c r="J5226" s="455">
        <f t="array" ref="J5226">IFERROR(INDEX('Retirement Calculator'!J:J,MATCH('Isaac 401k'!N5226,'Retirement Calculator'!A:A,0),0),0)</f>
        <v>0</v>
      </c>
      <c r="K5226" s="455">
        <f t="shared" ca="1" si="201"/>
        <v>4421394440669.3008</v>
      </c>
      <c r="L5226" s="455">
        <f t="shared" ca="1" si="202"/>
        <v>1065556060201301.3</v>
      </c>
      <c r="M5226" s="471">
        <f t="shared" si="204"/>
        <v>0.05</v>
      </c>
      <c r="N5226" s="475">
        <f t="shared" si="205"/>
        <v>210107</v>
      </c>
    </row>
    <row r="5227" spans="7:14" ht="11.25" customHeight="1" x14ac:dyDescent="0.3">
      <c r="G5227" s="470"/>
      <c r="H5227" s="470">
        <v>5220</v>
      </c>
      <c r="I5227" s="455">
        <f t="shared" ca="1" si="203"/>
        <v>1065556060201301.3</v>
      </c>
      <c r="J5227" s="455">
        <f t="array" ref="J5227">IFERROR(INDEX('Retirement Calculator'!J:J,MATCH('Isaac 401k'!N5227,'Retirement Calculator'!A:A,0),0),0)</f>
        <v>0</v>
      </c>
      <c r="K5227" s="455">
        <f t="shared" ca="1" si="201"/>
        <v>4439816917505.4219</v>
      </c>
      <c r="L5227" s="455">
        <f t="shared" ca="1" si="202"/>
        <v>1069995877118806.6</v>
      </c>
      <c r="M5227" s="471">
        <f t="shared" si="204"/>
        <v>0.05</v>
      </c>
      <c r="N5227" s="475">
        <f t="shared" si="205"/>
        <v>210137</v>
      </c>
    </row>
    <row r="5228" spans="7:14" ht="11.25" customHeight="1" x14ac:dyDescent="0.3">
      <c r="G5228" s="470"/>
      <c r="H5228" s="470">
        <v>5221</v>
      </c>
      <c r="I5228" s="455">
        <f t="shared" ca="1" si="203"/>
        <v>1069995877118806.6</v>
      </c>
      <c r="J5228" s="455">
        <f t="array" ref="J5228">IFERROR(INDEX('Retirement Calculator'!J:J,MATCH('Isaac 401k'!N5228,'Retirement Calculator'!A:A,0),0),0)</f>
        <v>0</v>
      </c>
      <c r="K5228" s="455">
        <f t="shared" ca="1" si="201"/>
        <v>4458316154661.6943</v>
      </c>
      <c r="L5228" s="455">
        <f t="shared" ca="1" si="202"/>
        <v>1074454193273468.4</v>
      </c>
      <c r="M5228" s="471">
        <f t="shared" si="204"/>
        <v>0.05</v>
      </c>
      <c r="N5228" s="475">
        <f t="shared" si="205"/>
        <v>210168</v>
      </c>
    </row>
    <row r="5229" spans="7:14" ht="11.25" customHeight="1" x14ac:dyDescent="0.3">
      <c r="G5229" s="470"/>
      <c r="H5229" s="470">
        <v>5222</v>
      </c>
      <c r="I5229" s="455">
        <f t="shared" ca="1" si="203"/>
        <v>1074454193273468.4</v>
      </c>
      <c r="J5229" s="455">
        <f t="array" ref="J5229">IFERROR(INDEX('Retirement Calculator'!J:J,MATCH('Isaac 401k'!N5229,'Retirement Calculator'!A:A,0),0),0)</f>
        <v>0</v>
      </c>
      <c r="K5229" s="455">
        <f t="shared" ca="1" si="201"/>
        <v>4476892471972.7852</v>
      </c>
      <c r="L5229" s="455">
        <f t="shared" ca="1" si="202"/>
        <v>1078931085745441.1</v>
      </c>
      <c r="M5229" s="471">
        <f t="shared" si="204"/>
        <v>0.05</v>
      </c>
      <c r="N5229" s="475">
        <f t="shared" si="205"/>
        <v>210198</v>
      </c>
    </row>
    <row r="5230" spans="7:14" ht="11.25" customHeight="1" x14ac:dyDescent="0.3">
      <c r="G5230" s="470"/>
      <c r="H5230" s="470">
        <v>5223</v>
      </c>
      <c r="I5230" s="455">
        <f t="shared" ca="1" si="203"/>
        <v>1078931085745441.1</v>
      </c>
      <c r="J5230" s="455">
        <f t="array" ref="J5230">IFERROR(INDEX('Retirement Calculator'!J:J,MATCH('Isaac 401k'!N5230,'Retirement Calculator'!A:A,0),0),0)</f>
        <v>0</v>
      </c>
      <c r="K5230" s="455">
        <f t="shared" ca="1" si="201"/>
        <v>4495546190606.0049</v>
      </c>
      <c r="L5230" s="455">
        <f t="shared" ca="1" si="202"/>
        <v>1083426631936047.1</v>
      </c>
      <c r="M5230" s="471">
        <f t="shared" si="204"/>
        <v>0.05</v>
      </c>
      <c r="N5230" s="475">
        <f t="shared" si="205"/>
        <v>210229</v>
      </c>
    </row>
    <row r="5231" spans="7:14" ht="11.25" customHeight="1" x14ac:dyDescent="0.3">
      <c r="G5231" s="470"/>
      <c r="H5231" s="470">
        <v>5224</v>
      </c>
      <c r="I5231" s="455">
        <f t="shared" ca="1" si="203"/>
        <v>1083426631936047.1</v>
      </c>
      <c r="J5231" s="455">
        <f t="array" ref="J5231">IFERROR(INDEX('Retirement Calculator'!J:J,MATCH('Isaac 401k'!N5231,'Retirement Calculator'!A:A,0),0),0)</f>
        <v>0</v>
      </c>
      <c r="K5231" s="455">
        <f t="shared" ca="1" si="201"/>
        <v>4514277633066.8633</v>
      </c>
      <c r="L5231" s="455">
        <f t="shared" ca="1" si="202"/>
        <v>1087940909569114</v>
      </c>
      <c r="M5231" s="471">
        <f t="shared" si="204"/>
        <v>0.05</v>
      </c>
      <c r="N5231" s="475">
        <f t="shared" si="205"/>
        <v>210260</v>
      </c>
    </row>
    <row r="5232" spans="7:14" ht="11.25" customHeight="1" x14ac:dyDescent="0.3">
      <c r="G5232" s="470"/>
      <c r="H5232" s="470">
        <v>5225</v>
      </c>
      <c r="I5232" s="455">
        <f t="shared" ca="1" si="203"/>
        <v>1087940909569114</v>
      </c>
      <c r="J5232" s="455">
        <f t="array" ref="J5232">IFERROR(INDEX('Retirement Calculator'!J:J,MATCH('Isaac 401k'!N5232,'Retirement Calculator'!A:A,0),0),0)</f>
        <v>0</v>
      </c>
      <c r="K5232" s="455">
        <f t="shared" ca="1" si="201"/>
        <v>4533087123204.6406</v>
      </c>
      <c r="L5232" s="455">
        <f t="shared" ca="1" si="202"/>
        <v>1092473996692318.6</v>
      </c>
      <c r="M5232" s="471">
        <f t="shared" si="204"/>
        <v>0.05</v>
      </c>
      <c r="N5232" s="475">
        <f t="shared" si="205"/>
        <v>210290</v>
      </c>
    </row>
    <row r="5233" spans="7:14" ht="11.25" customHeight="1" x14ac:dyDescent="0.3">
      <c r="G5233" s="470"/>
      <c r="H5233" s="470">
        <v>5226</v>
      </c>
      <c r="I5233" s="455">
        <f t="shared" ca="1" si="203"/>
        <v>1092473996692318.6</v>
      </c>
      <c r="J5233" s="455">
        <f t="array" ref="J5233">IFERROR(INDEX('Retirement Calculator'!J:J,MATCH('Isaac 401k'!N5233,'Retirement Calculator'!A:A,0),0),0)</f>
        <v>0</v>
      </c>
      <c r="K5233" s="455">
        <f t="shared" ca="1" si="201"/>
        <v>4551974986217.9941</v>
      </c>
      <c r="L5233" s="455">
        <f t="shared" ca="1" si="202"/>
        <v>1097025971678536.6</v>
      </c>
      <c r="M5233" s="471">
        <f t="shared" si="204"/>
        <v>0.05</v>
      </c>
      <c r="N5233" s="475">
        <f t="shared" si="205"/>
        <v>210321</v>
      </c>
    </row>
    <row r="5234" spans="7:14" ht="11.25" customHeight="1" x14ac:dyDescent="0.3">
      <c r="G5234" s="470"/>
      <c r="H5234" s="470">
        <v>5227</v>
      </c>
      <c r="I5234" s="455">
        <f t="shared" ca="1" si="203"/>
        <v>1097025971678536.6</v>
      </c>
      <c r="J5234" s="455">
        <f t="array" ref="J5234">IFERROR(INDEX('Retirement Calculator'!J:J,MATCH('Isaac 401k'!N5234,'Retirement Calculator'!A:A,0),0),0)</f>
        <v>0</v>
      </c>
      <c r="K5234" s="455">
        <f t="shared" ca="1" si="201"/>
        <v>4570941548660.5693</v>
      </c>
      <c r="L5234" s="455">
        <f t="shared" ca="1" si="202"/>
        <v>1101596913227197.3</v>
      </c>
      <c r="M5234" s="471">
        <f t="shared" si="204"/>
        <v>0.05</v>
      </c>
      <c r="N5234" s="475">
        <f t="shared" si="205"/>
        <v>210351</v>
      </c>
    </row>
    <row r="5235" spans="7:14" ht="11.25" customHeight="1" x14ac:dyDescent="0.3">
      <c r="G5235" s="470"/>
      <c r="H5235" s="470">
        <v>5228</v>
      </c>
      <c r="I5235" s="455">
        <f t="shared" ca="1" si="203"/>
        <v>1101596913227197.3</v>
      </c>
      <c r="J5235" s="455">
        <f t="array" ref="J5235">IFERROR(INDEX('Retirement Calculator'!J:J,MATCH('Isaac 401k'!N5235,'Retirement Calculator'!A:A,0),0),0)</f>
        <v>0</v>
      </c>
      <c r="K5235" s="455">
        <f t="shared" ca="1" si="201"/>
        <v>4589987138446.6553</v>
      </c>
      <c r="L5235" s="455">
        <f t="shared" ca="1" si="202"/>
        <v>1106186900365643.9</v>
      </c>
      <c r="M5235" s="471">
        <f t="shared" si="204"/>
        <v>0.05</v>
      </c>
      <c r="N5235" s="475">
        <f t="shared" si="205"/>
        <v>210382</v>
      </c>
    </row>
    <row r="5236" spans="7:14" ht="11.25" customHeight="1" x14ac:dyDescent="0.3">
      <c r="G5236" s="470"/>
      <c r="H5236" s="470">
        <v>5229</v>
      </c>
      <c r="I5236" s="455">
        <f t="shared" ca="1" si="203"/>
        <v>1106186900365643.9</v>
      </c>
      <c r="J5236" s="455">
        <f t="array" ref="J5236">IFERROR(INDEX('Retirement Calculator'!J:J,MATCH('Isaac 401k'!N5236,'Retirement Calculator'!A:A,0),0),0)</f>
        <v>0</v>
      </c>
      <c r="K5236" s="455">
        <f t="shared" ca="1" si="201"/>
        <v>4609112084856.8496</v>
      </c>
      <c r="L5236" s="455">
        <f t="shared" ca="1" si="202"/>
        <v>1110796012450500.8</v>
      </c>
      <c r="M5236" s="471">
        <f t="shared" si="204"/>
        <v>0.05</v>
      </c>
      <c r="N5236" s="475">
        <f t="shared" si="205"/>
        <v>210413</v>
      </c>
    </row>
    <row r="5237" spans="7:14" ht="11.25" customHeight="1" x14ac:dyDescent="0.3">
      <c r="G5237" s="470"/>
      <c r="H5237" s="470">
        <v>5230</v>
      </c>
      <c r="I5237" s="455">
        <f t="shared" ca="1" si="203"/>
        <v>1110796012450500.8</v>
      </c>
      <c r="J5237" s="455">
        <f t="array" ref="J5237">IFERROR(INDEX('Retirement Calculator'!J:J,MATCH('Isaac 401k'!N5237,'Retirement Calculator'!A:A,0),0),0)</f>
        <v>0</v>
      </c>
      <c r="K5237" s="455">
        <f t="shared" ca="1" si="201"/>
        <v>4628316718543.7529</v>
      </c>
      <c r="L5237" s="455">
        <f t="shared" ca="1" si="202"/>
        <v>1115424329169044.5</v>
      </c>
      <c r="M5237" s="471">
        <f t="shared" si="204"/>
        <v>0.05</v>
      </c>
      <c r="N5237" s="475">
        <f t="shared" si="205"/>
        <v>210442</v>
      </c>
    </row>
    <row r="5238" spans="7:14" ht="11.25" customHeight="1" x14ac:dyDescent="0.3">
      <c r="G5238" s="470"/>
      <c r="H5238" s="470">
        <v>5231</v>
      </c>
      <c r="I5238" s="455">
        <f t="shared" ca="1" si="203"/>
        <v>1115424329169044.5</v>
      </c>
      <c r="J5238" s="455">
        <f t="array" ref="J5238">IFERROR(INDEX('Retirement Calculator'!J:J,MATCH('Isaac 401k'!N5238,'Retirement Calculator'!A:A,0),0),0)</f>
        <v>0</v>
      </c>
      <c r="K5238" s="455">
        <f t="shared" ca="1" si="201"/>
        <v>4647601371537.6855</v>
      </c>
      <c r="L5238" s="455">
        <f t="shared" ca="1" si="202"/>
        <v>1120071930540582.1</v>
      </c>
      <c r="M5238" s="471">
        <f t="shared" si="204"/>
        <v>0.05</v>
      </c>
      <c r="N5238" s="475">
        <f t="shared" si="205"/>
        <v>210473</v>
      </c>
    </row>
    <row r="5239" spans="7:14" ht="11.25" customHeight="1" x14ac:dyDescent="0.3">
      <c r="G5239" s="470"/>
      <c r="H5239" s="470">
        <v>5232</v>
      </c>
      <c r="I5239" s="455">
        <f t="shared" ca="1" si="203"/>
        <v>1120071930540582.1</v>
      </c>
      <c r="J5239" s="455">
        <f t="array" ref="J5239">IFERROR(INDEX('Retirement Calculator'!J:J,MATCH('Isaac 401k'!N5239,'Retirement Calculator'!A:A,0),0),0)</f>
        <v>0</v>
      </c>
      <c r="K5239" s="455">
        <f t="shared" ca="1" si="201"/>
        <v>4666966377252.4258</v>
      </c>
      <c r="L5239" s="455">
        <f t="shared" ca="1" si="202"/>
        <v>1124738896917834.5</v>
      </c>
      <c r="M5239" s="471">
        <f t="shared" si="204"/>
        <v>0.05</v>
      </c>
      <c r="N5239" s="475">
        <f t="shared" si="205"/>
        <v>210503</v>
      </c>
    </row>
    <row r="5240" spans="7:14" ht="11.25" customHeight="1" x14ac:dyDescent="0.3">
      <c r="G5240" s="470"/>
      <c r="H5240" s="470">
        <v>5233</v>
      </c>
      <c r="I5240" s="455">
        <f t="shared" ca="1" si="203"/>
        <v>1124738896917834.5</v>
      </c>
      <c r="J5240" s="455">
        <f t="array" ref="J5240">IFERROR(INDEX('Retirement Calculator'!J:J,MATCH('Isaac 401k'!N5240,'Retirement Calculator'!A:A,0),0),0)</f>
        <v>0</v>
      </c>
      <c r="K5240" s="455">
        <f t="shared" ca="1" si="201"/>
        <v>4686412070490.9766</v>
      </c>
      <c r="L5240" s="455">
        <f t="shared" ca="1" si="202"/>
        <v>1129425308988325.5</v>
      </c>
      <c r="M5240" s="471">
        <f t="shared" si="204"/>
        <v>0.05</v>
      </c>
      <c r="N5240" s="475">
        <f t="shared" si="205"/>
        <v>210534</v>
      </c>
    </row>
    <row r="5241" spans="7:14" ht="11.25" customHeight="1" x14ac:dyDescent="0.3">
      <c r="G5241" s="470"/>
      <c r="H5241" s="470">
        <v>5234</v>
      </c>
      <c r="I5241" s="455">
        <f t="shared" ca="1" si="203"/>
        <v>1129425308988325.5</v>
      </c>
      <c r="J5241" s="455">
        <f t="array" ref="J5241">IFERROR(INDEX('Retirement Calculator'!J:J,MATCH('Isaac 401k'!N5241,'Retirement Calculator'!A:A,0),0),0)</f>
        <v>0</v>
      </c>
      <c r="K5241" s="455">
        <f t="shared" ca="1" si="201"/>
        <v>4705938787451.3564</v>
      </c>
      <c r="L5241" s="455">
        <f t="shared" ca="1" si="202"/>
        <v>1134131247775776.8</v>
      </c>
      <c r="M5241" s="471">
        <f t="shared" si="204"/>
        <v>0.05</v>
      </c>
      <c r="N5241" s="475">
        <f t="shared" si="205"/>
        <v>210564</v>
      </c>
    </row>
    <row r="5242" spans="7:14" ht="11.25" customHeight="1" x14ac:dyDescent="0.3">
      <c r="G5242" s="470"/>
      <c r="H5242" s="470">
        <v>5235</v>
      </c>
      <c r="I5242" s="455">
        <f t="shared" ca="1" si="203"/>
        <v>1134131247775776.8</v>
      </c>
      <c r="J5242" s="455">
        <f t="array" ref="J5242">IFERROR(INDEX('Retirement Calculator'!J:J,MATCH('Isaac 401k'!N5242,'Retirement Calculator'!A:A,0),0),0)</f>
        <v>0</v>
      </c>
      <c r="K5242" s="455">
        <f t="shared" ca="1" si="201"/>
        <v>4725546865732.4033</v>
      </c>
      <c r="L5242" s="455">
        <f t="shared" ca="1" si="202"/>
        <v>1138856794641509.3</v>
      </c>
      <c r="M5242" s="471">
        <f t="shared" si="204"/>
        <v>0.05</v>
      </c>
      <c r="N5242" s="475">
        <f t="shared" si="205"/>
        <v>210595</v>
      </c>
    </row>
    <row r="5243" spans="7:14" ht="11.25" customHeight="1" x14ac:dyDescent="0.3">
      <c r="G5243" s="470"/>
      <c r="H5243" s="470">
        <v>5236</v>
      </c>
      <c r="I5243" s="455">
        <f t="shared" ca="1" si="203"/>
        <v>1138856794641509.3</v>
      </c>
      <c r="J5243" s="455">
        <f t="array" ref="J5243">IFERROR(INDEX('Retirement Calculator'!J:J,MATCH('Isaac 401k'!N5243,'Retirement Calculator'!A:A,0),0),0)</f>
        <v>0</v>
      </c>
      <c r="K5243" s="455">
        <f t="shared" ca="1" si="201"/>
        <v>4745236644339.6221</v>
      </c>
      <c r="L5243" s="455">
        <f t="shared" ca="1" si="202"/>
        <v>1143602031285848.8</v>
      </c>
      <c r="M5243" s="471">
        <f t="shared" si="204"/>
        <v>0.05</v>
      </c>
      <c r="N5243" s="475">
        <f t="shared" si="205"/>
        <v>210626</v>
      </c>
    </row>
    <row r="5244" spans="7:14" ht="11.25" customHeight="1" x14ac:dyDescent="0.3">
      <c r="G5244" s="470"/>
      <c r="H5244" s="470">
        <v>5237</v>
      </c>
      <c r="I5244" s="455">
        <f t="shared" ca="1" si="203"/>
        <v>1143602031285848.8</v>
      </c>
      <c r="J5244" s="455">
        <f t="array" ref="J5244">IFERROR(INDEX('Retirement Calculator'!J:J,MATCH('Isaac 401k'!N5244,'Retirement Calculator'!A:A,0),0),0)</f>
        <v>0</v>
      </c>
      <c r="K5244" s="455">
        <f t="shared" ca="1" si="201"/>
        <v>4765008463691.0361</v>
      </c>
      <c r="L5244" s="455">
        <f t="shared" ca="1" si="202"/>
        <v>1148367039749539.8</v>
      </c>
      <c r="M5244" s="471">
        <f t="shared" si="204"/>
        <v>0.05</v>
      </c>
      <c r="N5244" s="475">
        <f t="shared" si="205"/>
        <v>210656</v>
      </c>
    </row>
    <row r="5245" spans="7:14" ht="11.25" customHeight="1" x14ac:dyDescent="0.3">
      <c r="G5245" s="470"/>
      <c r="H5245" s="470">
        <v>5238</v>
      </c>
      <c r="I5245" s="455">
        <f t="shared" ca="1" si="203"/>
        <v>1148367039749539.8</v>
      </c>
      <c r="J5245" s="455">
        <f t="array" ref="J5245">IFERROR(INDEX('Retirement Calculator'!J:J,MATCH('Isaac 401k'!N5245,'Retirement Calculator'!A:A,0),0),0)</f>
        <v>0</v>
      </c>
      <c r="K5245" s="455">
        <f t="shared" ca="1" si="201"/>
        <v>4784862665623.082</v>
      </c>
      <c r="L5245" s="455">
        <f t="shared" ca="1" si="202"/>
        <v>1153151902415162.8</v>
      </c>
      <c r="M5245" s="471">
        <f t="shared" si="204"/>
        <v>0.05</v>
      </c>
      <c r="N5245" s="475">
        <f t="shared" si="205"/>
        <v>210687</v>
      </c>
    </row>
    <row r="5246" spans="7:14" ht="11.25" customHeight="1" x14ac:dyDescent="0.3">
      <c r="G5246" s="470"/>
      <c r="H5246" s="470">
        <v>5239</v>
      </c>
      <c r="I5246" s="455">
        <f t="shared" ca="1" si="203"/>
        <v>1153151902415162.8</v>
      </c>
      <c r="J5246" s="455">
        <f t="array" ref="J5246">IFERROR(INDEX('Retirement Calculator'!J:J,MATCH('Isaac 401k'!N5246,'Retirement Calculator'!A:A,0),0),0)</f>
        <v>0</v>
      </c>
      <c r="K5246" s="455">
        <f t="shared" ca="1" si="201"/>
        <v>4804799593396.5117</v>
      </c>
      <c r="L5246" s="455">
        <f t="shared" ca="1" si="202"/>
        <v>1157956702008559.3</v>
      </c>
      <c r="M5246" s="471">
        <f t="shared" si="204"/>
        <v>0.05</v>
      </c>
      <c r="N5246" s="475">
        <f t="shared" si="205"/>
        <v>210717</v>
      </c>
    </row>
    <row r="5247" spans="7:14" ht="11.25" customHeight="1" x14ac:dyDescent="0.3">
      <c r="G5247" s="470"/>
      <c r="H5247" s="470">
        <v>5240</v>
      </c>
      <c r="I5247" s="455">
        <f t="shared" ca="1" si="203"/>
        <v>1157956702008559.3</v>
      </c>
      <c r="J5247" s="455">
        <f t="array" ref="J5247">IFERROR(INDEX('Retirement Calculator'!J:J,MATCH('Isaac 401k'!N5247,'Retirement Calculator'!A:A,0),0),0)</f>
        <v>0</v>
      </c>
      <c r="K5247" s="455">
        <f t="shared" ca="1" si="201"/>
        <v>4824819591702.3301</v>
      </c>
      <c r="L5247" s="455">
        <f t="shared" ca="1" si="202"/>
        <v>1162781521600261.5</v>
      </c>
      <c r="M5247" s="471">
        <f t="shared" si="204"/>
        <v>0.05</v>
      </c>
      <c r="N5247" s="475">
        <f t="shared" si="205"/>
        <v>210748</v>
      </c>
    </row>
    <row r="5248" spans="7:14" ht="11.25" customHeight="1" x14ac:dyDescent="0.3">
      <c r="G5248" s="470"/>
      <c r="H5248" s="470">
        <v>5241</v>
      </c>
      <c r="I5248" s="455">
        <f t="shared" ca="1" si="203"/>
        <v>1162781521600261.5</v>
      </c>
      <c r="J5248" s="455">
        <f t="array" ref="J5248">IFERROR(INDEX('Retirement Calculator'!J:J,MATCH('Isaac 401k'!N5248,'Retirement Calculator'!A:A,0),0),0)</f>
        <v>0</v>
      </c>
      <c r="K5248" s="455">
        <f t="shared" ca="1" si="201"/>
        <v>4844923006667.7559</v>
      </c>
      <c r="L5248" s="455">
        <f t="shared" ca="1" si="202"/>
        <v>1167626444606929.3</v>
      </c>
      <c r="M5248" s="471">
        <f t="shared" si="204"/>
        <v>0.05</v>
      </c>
      <c r="N5248" s="475">
        <f t="shared" si="205"/>
        <v>210779</v>
      </c>
    </row>
    <row r="5249" spans="7:14" ht="11.25" customHeight="1" x14ac:dyDescent="0.3">
      <c r="G5249" s="470"/>
      <c r="H5249" s="470">
        <v>5242</v>
      </c>
      <c r="I5249" s="455">
        <f t="shared" ca="1" si="203"/>
        <v>1167626444606929.3</v>
      </c>
      <c r="J5249" s="455">
        <f t="array" ref="J5249">IFERROR(INDEX('Retirement Calculator'!J:J,MATCH('Isaac 401k'!N5249,'Retirement Calculator'!A:A,0),0),0)</f>
        <v>0</v>
      </c>
      <c r="K5249" s="455">
        <f t="shared" ca="1" si="201"/>
        <v>4865110185862.2051</v>
      </c>
      <c r="L5249" s="455">
        <f t="shared" ca="1" si="202"/>
        <v>1172491554792791.5</v>
      </c>
      <c r="M5249" s="471">
        <f t="shared" si="204"/>
        <v>0.05</v>
      </c>
      <c r="N5249" s="475">
        <f t="shared" si="205"/>
        <v>210807</v>
      </c>
    </row>
    <row r="5250" spans="7:14" ht="11.25" customHeight="1" x14ac:dyDescent="0.3">
      <c r="G5250" s="470"/>
      <c r="H5250" s="470">
        <v>5243</v>
      </c>
      <c r="I5250" s="455">
        <f t="shared" ca="1" si="203"/>
        <v>1172491554792791.5</v>
      </c>
      <c r="J5250" s="455">
        <f t="array" ref="J5250">IFERROR(INDEX('Retirement Calculator'!J:J,MATCH('Isaac 401k'!N5250,'Retirement Calculator'!A:A,0),0),0)</f>
        <v>0</v>
      </c>
      <c r="K5250" s="455">
        <f t="shared" ca="1" si="201"/>
        <v>4885381478303.2979</v>
      </c>
      <c r="L5250" s="455">
        <f t="shared" ca="1" si="202"/>
        <v>1177376936271094.8</v>
      </c>
      <c r="M5250" s="471">
        <f t="shared" si="204"/>
        <v>0.05</v>
      </c>
      <c r="N5250" s="475">
        <f t="shared" si="205"/>
        <v>210838</v>
      </c>
    </row>
    <row r="5251" spans="7:14" ht="11.25" customHeight="1" x14ac:dyDescent="0.3">
      <c r="G5251" s="470"/>
      <c r="H5251" s="470">
        <v>5244</v>
      </c>
      <c r="I5251" s="455">
        <f t="shared" ca="1" si="203"/>
        <v>1177376936271094.8</v>
      </c>
      <c r="J5251" s="455">
        <f t="array" ref="J5251">IFERROR(INDEX('Retirement Calculator'!J:J,MATCH('Isaac 401k'!N5251,'Retirement Calculator'!A:A,0),0),0)</f>
        <v>0</v>
      </c>
      <c r="K5251" s="455">
        <f t="shared" ca="1" si="201"/>
        <v>4905737234462.8945</v>
      </c>
      <c r="L5251" s="455">
        <f t="shared" ca="1" si="202"/>
        <v>1182282673505557.8</v>
      </c>
      <c r="M5251" s="471">
        <f t="shared" si="204"/>
        <v>0.05</v>
      </c>
      <c r="N5251" s="475">
        <f t="shared" si="205"/>
        <v>210868</v>
      </c>
    </row>
    <row r="5252" spans="7:14" ht="11.25" customHeight="1" x14ac:dyDescent="0.3">
      <c r="G5252" s="470"/>
      <c r="H5252" s="470">
        <v>5245</v>
      </c>
      <c r="I5252" s="455">
        <f t="shared" ca="1" si="203"/>
        <v>1182282673505557.8</v>
      </c>
      <c r="J5252" s="455">
        <f t="array" ref="J5252">IFERROR(INDEX('Retirement Calculator'!J:J,MATCH('Isaac 401k'!N5252,'Retirement Calculator'!A:A,0),0),0)</f>
        <v>0</v>
      </c>
      <c r="K5252" s="455">
        <f t="shared" ca="1" si="201"/>
        <v>4926177806273.1572</v>
      </c>
      <c r="L5252" s="455">
        <f t="shared" ca="1" si="202"/>
        <v>1187208851311831</v>
      </c>
      <c r="M5252" s="471">
        <f t="shared" si="204"/>
        <v>0.05</v>
      </c>
      <c r="N5252" s="475">
        <f t="shared" si="205"/>
        <v>210899</v>
      </c>
    </row>
    <row r="5253" spans="7:14" ht="11.25" customHeight="1" x14ac:dyDescent="0.3">
      <c r="G5253" s="470"/>
      <c r="H5253" s="470">
        <v>5246</v>
      </c>
      <c r="I5253" s="455">
        <f t="shared" ca="1" si="203"/>
        <v>1187208851311831</v>
      </c>
      <c r="J5253" s="455">
        <f t="array" ref="J5253">IFERROR(INDEX('Retirement Calculator'!J:J,MATCH('Isaac 401k'!N5253,'Retirement Calculator'!A:A,0),0),0)</f>
        <v>0</v>
      </c>
      <c r="K5253" s="455">
        <f t="shared" ca="1" si="201"/>
        <v>4946703547132.6289</v>
      </c>
      <c r="L5253" s="455">
        <f t="shared" ca="1" si="202"/>
        <v>1192155554858963.8</v>
      </c>
      <c r="M5253" s="471">
        <f t="shared" si="204"/>
        <v>0.05</v>
      </c>
      <c r="N5253" s="475">
        <f t="shared" si="205"/>
        <v>210929</v>
      </c>
    </row>
    <row r="5254" spans="7:14" ht="11.25" customHeight="1" x14ac:dyDescent="0.3">
      <c r="G5254" s="470"/>
      <c r="H5254" s="470">
        <v>5247</v>
      </c>
      <c r="I5254" s="455">
        <f t="shared" ca="1" si="203"/>
        <v>1192155554858963.8</v>
      </c>
      <c r="J5254" s="455">
        <f t="array" ref="J5254">IFERROR(INDEX('Retirement Calculator'!J:J,MATCH('Isaac 401k'!N5254,'Retirement Calculator'!A:A,0),0),0)</f>
        <v>0</v>
      </c>
      <c r="K5254" s="455">
        <f t="shared" ca="1" si="201"/>
        <v>4967314811912.3486</v>
      </c>
      <c r="L5254" s="455">
        <f t="shared" ca="1" si="202"/>
        <v>1197122869670876</v>
      </c>
      <c r="M5254" s="471">
        <f t="shared" si="204"/>
        <v>0.05</v>
      </c>
      <c r="N5254" s="475">
        <f t="shared" si="205"/>
        <v>210960</v>
      </c>
    </row>
    <row r="5255" spans="7:14" ht="11.25" customHeight="1" x14ac:dyDescent="0.3">
      <c r="G5255" s="470"/>
      <c r="H5255" s="470">
        <v>5248</v>
      </c>
      <c r="I5255" s="455">
        <f t="shared" ca="1" si="203"/>
        <v>1197122869670876</v>
      </c>
      <c r="J5255" s="455">
        <f t="array" ref="J5255">IFERROR(INDEX('Retirement Calculator'!J:J,MATCH('Isaac 401k'!N5255,'Retirement Calculator'!A:A,0),0),0)</f>
        <v>0</v>
      </c>
      <c r="K5255" s="455">
        <f t="shared" ca="1" si="201"/>
        <v>4988011956961.9834</v>
      </c>
      <c r="L5255" s="455">
        <f t="shared" ca="1" si="202"/>
        <v>1202110881627838</v>
      </c>
      <c r="M5255" s="471">
        <f t="shared" si="204"/>
        <v>0.05</v>
      </c>
      <c r="N5255" s="475">
        <f t="shared" si="205"/>
        <v>210991</v>
      </c>
    </row>
    <row r="5256" spans="7:14" ht="11.25" customHeight="1" x14ac:dyDescent="0.3">
      <c r="G5256" s="470"/>
      <c r="H5256" s="470">
        <v>5249</v>
      </c>
      <c r="I5256" s="455">
        <f t="shared" ca="1" si="203"/>
        <v>1202110881627838</v>
      </c>
      <c r="J5256" s="455">
        <f t="array" ref="J5256">IFERROR(INDEX('Retirement Calculator'!J:J,MATCH('Isaac 401k'!N5256,'Retirement Calculator'!A:A,0),0),0)</f>
        <v>0</v>
      </c>
      <c r="K5256" s="455">
        <f t="shared" ca="1" si="201"/>
        <v>5008795340115.9912</v>
      </c>
      <c r="L5256" s="455">
        <f t="shared" ca="1" si="202"/>
        <v>1207119676967954</v>
      </c>
      <c r="M5256" s="471">
        <f t="shared" si="204"/>
        <v>0.05</v>
      </c>
      <c r="N5256" s="475">
        <f t="shared" si="205"/>
        <v>211021</v>
      </c>
    </row>
    <row r="5257" spans="7:14" ht="11.25" customHeight="1" x14ac:dyDescent="0.3">
      <c r="G5257" s="470"/>
      <c r="H5257" s="470">
        <v>5250</v>
      </c>
      <c r="I5257" s="455">
        <f t="shared" ca="1" si="203"/>
        <v>1207119676967954</v>
      </c>
      <c r="J5257" s="455">
        <f t="array" ref="J5257">IFERROR(INDEX('Retirement Calculator'!J:J,MATCH('Isaac 401k'!N5257,'Retirement Calculator'!A:A,0),0),0)</f>
        <v>0</v>
      </c>
      <c r="K5257" s="455">
        <f t="shared" ca="1" si="201"/>
        <v>5029665320699.8086</v>
      </c>
      <c r="L5257" s="455">
        <f t="shared" ca="1" si="202"/>
        <v>1212149342288653.8</v>
      </c>
      <c r="M5257" s="471">
        <f t="shared" si="204"/>
        <v>0.05</v>
      </c>
      <c r="N5257" s="475">
        <f t="shared" si="205"/>
        <v>211052</v>
      </c>
    </row>
    <row r="5258" spans="7:14" ht="11.25" customHeight="1" x14ac:dyDescent="0.3">
      <c r="G5258" s="470"/>
      <c r="H5258" s="470">
        <v>5251</v>
      </c>
      <c r="I5258" s="455">
        <f t="shared" ca="1" si="203"/>
        <v>1212149342288653.8</v>
      </c>
      <c r="J5258" s="455">
        <f t="array" ref="J5258">IFERROR(INDEX('Retirement Calculator'!J:J,MATCH('Isaac 401k'!N5258,'Retirement Calculator'!A:A,0),0),0)</f>
        <v>0</v>
      </c>
      <c r="K5258" s="455">
        <f t="shared" ca="1" si="201"/>
        <v>5050622259536.0576</v>
      </c>
      <c r="L5258" s="455">
        <f t="shared" ca="1" si="202"/>
        <v>1217199964548189.8</v>
      </c>
      <c r="M5258" s="471">
        <f t="shared" si="204"/>
        <v>0.05</v>
      </c>
      <c r="N5258" s="475">
        <f t="shared" si="205"/>
        <v>211082</v>
      </c>
    </row>
    <row r="5259" spans="7:14" ht="11.25" customHeight="1" x14ac:dyDescent="0.3">
      <c r="G5259" s="470"/>
      <c r="H5259" s="470">
        <v>5252</v>
      </c>
      <c r="I5259" s="455">
        <f t="shared" ca="1" si="203"/>
        <v>1217199964548189.8</v>
      </c>
      <c r="J5259" s="455">
        <f t="array" ref="J5259">IFERROR(INDEX('Retirement Calculator'!J:J,MATCH('Isaac 401k'!N5259,'Retirement Calculator'!A:A,0),0),0)</f>
        <v>0</v>
      </c>
      <c r="K5259" s="455">
        <f t="shared" ca="1" si="201"/>
        <v>5071666518950.791</v>
      </c>
      <c r="L5259" s="455">
        <f t="shared" ca="1" si="202"/>
        <v>1222271631067140.5</v>
      </c>
      <c r="M5259" s="471">
        <f t="shared" si="204"/>
        <v>0.05</v>
      </c>
      <c r="N5259" s="475">
        <f t="shared" si="205"/>
        <v>211113</v>
      </c>
    </row>
    <row r="5260" spans="7:14" ht="11.25" customHeight="1" x14ac:dyDescent="0.3">
      <c r="G5260" s="470"/>
      <c r="H5260" s="470">
        <v>5253</v>
      </c>
      <c r="I5260" s="455">
        <f t="shared" ca="1" si="203"/>
        <v>1222271631067140.5</v>
      </c>
      <c r="J5260" s="455">
        <f t="array" ref="J5260">IFERROR(INDEX('Retirement Calculator'!J:J,MATCH('Isaac 401k'!N5260,'Retirement Calculator'!A:A,0),0),0)</f>
        <v>0</v>
      </c>
      <c r="K5260" s="455">
        <f t="shared" ca="1" si="201"/>
        <v>5092798462779.752</v>
      </c>
      <c r="L5260" s="455">
        <f t="shared" ca="1" si="202"/>
        <v>1227364429529920.3</v>
      </c>
      <c r="M5260" s="471">
        <f t="shared" si="204"/>
        <v>0.05</v>
      </c>
      <c r="N5260" s="475">
        <f t="shared" si="205"/>
        <v>211144</v>
      </c>
    </row>
    <row r="5261" spans="7:14" ht="11.25" customHeight="1" x14ac:dyDescent="0.3">
      <c r="G5261" s="470"/>
      <c r="H5261" s="470">
        <v>5254</v>
      </c>
      <c r="I5261" s="455">
        <f t="shared" ca="1" si="203"/>
        <v>1227364429529920.3</v>
      </c>
      <c r="J5261" s="455">
        <f t="array" ref="J5261">IFERROR(INDEX('Retirement Calculator'!J:J,MATCH('Isaac 401k'!N5261,'Retirement Calculator'!A:A,0),0),0)</f>
        <v>0</v>
      </c>
      <c r="K5261" s="455">
        <f t="shared" ca="1" si="201"/>
        <v>5114018456374.668</v>
      </c>
      <c r="L5261" s="455">
        <f t="shared" ca="1" si="202"/>
        <v>1232478447986295</v>
      </c>
      <c r="M5261" s="471">
        <f t="shared" si="204"/>
        <v>0.05</v>
      </c>
      <c r="N5261" s="475">
        <f t="shared" si="205"/>
        <v>211172</v>
      </c>
    </row>
    <row r="5262" spans="7:14" ht="11.25" customHeight="1" x14ac:dyDescent="0.3">
      <c r="G5262" s="470"/>
      <c r="H5262" s="470">
        <v>5255</v>
      </c>
      <c r="I5262" s="455">
        <f t="shared" ca="1" si="203"/>
        <v>1232478447986295</v>
      </c>
      <c r="J5262" s="455">
        <f t="array" ref="J5262">IFERROR(INDEX('Retirement Calculator'!J:J,MATCH('Isaac 401k'!N5262,'Retirement Calculator'!A:A,0),0),0)</f>
        <v>0</v>
      </c>
      <c r="K5262" s="455">
        <f t="shared" ca="1" si="201"/>
        <v>5135326866609.5625</v>
      </c>
      <c r="L5262" s="455">
        <f t="shared" ca="1" si="202"/>
        <v>1237613774852904.5</v>
      </c>
      <c r="M5262" s="471">
        <f t="shared" si="204"/>
        <v>0.05</v>
      </c>
      <c r="N5262" s="475">
        <f t="shared" si="205"/>
        <v>211203</v>
      </c>
    </row>
    <row r="5263" spans="7:14" ht="11.25" customHeight="1" x14ac:dyDescent="0.3">
      <c r="G5263" s="470"/>
      <c r="H5263" s="470">
        <v>5256</v>
      </c>
      <c r="I5263" s="455">
        <f t="shared" ca="1" si="203"/>
        <v>1237613774852904.5</v>
      </c>
      <c r="J5263" s="455">
        <f t="array" ref="J5263">IFERROR(INDEX('Retirement Calculator'!J:J,MATCH('Isaac 401k'!N5263,'Retirement Calculator'!A:A,0),0),0)</f>
        <v>0</v>
      </c>
      <c r="K5263" s="455">
        <f t="shared" ca="1" si="201"/>
        <v>5156724061887.1016</v>
      </c>
      <c r="L5263" s="455">
        <f t="shared" ca="1" si="202"/>
        <v>1242770498914791.5</v>
      </c>
      <c r="M5263" s="471">
        <f t="shared" si="204"/>
        <v>0.05</v>
      </c>
      <c r="N5263" s="475">
        <f t="shared" si="205"/>
        <v>211233</v>
      </c>
    </row>
    <row r="5264" spans="7:14" ht="11.25" customHeight="1" x14ac:dyDescent="0.3">
      <c r="G5264" s="470"/>
      <c r="H5264" s="470">
        <v>5257</v>
      </c>
      <c r="I5264" s="455">
        <f t="shared" ca="1" si="203"/>
        <v>1242770498914791.5</v>
      </c>
      <c r="J5264" s="455">
        <f t="array" ref="J5264">IFERROR(INDEX('Retirement Calculator'!J:J,MATCH('Isaac 401k'!N5264,'Retirement Calculator'!A:A,0),0),0)</f>
        <v>0</v>
      </c>
      <c r="K5264" s="455">
        <f t="shared" ca="1" si="201"/>
        <v>5178210412144.9648</v>
      </c>
      <c r="L5264" s="455">
        <f t="shared" ca="1" si="202"/>
        <v>1247948709326936.5</v>
      </c>
      <c r="M5264" s="471">
        <f t="shared" si="204"/>
        <v>0.05</v>
      </c>
      <c r="N5264" s="475">
        <f t="shared" si="205"/>
        <v>211264</v>
      </c>
    </row>
    <row r="5265" spans="7:14" ht="11.25" customHeight="1" x14ac:dyDescent="0.3">
      <c r="G5265" s="470"/>
      <c r="H5265" s="470">
        <v>5258</v>
      </c>
      <c r="I5265" s="455">
        <f t="shared" ca="1" si="203"/>
        <v>1247948709326936.5</v>
      </c>
      <c r="J5265" s="455">
        <f t="array" ref="J5265">IFERROR(INDEX('Retirement Calculator'!J:J,MATCH('Isaac 401k'!N5265,'Retirement Calculator'!A:A,0),0),0)</f>
        <v>0</v>
      </c>
      <c r="K5265" s="455">
        <f t="shared" ca="1" si="201"/>
        <v>5199786288862.2354</v>
      </c>
      <c r="L5265" s="455">
        <f t="shared" ca="1" si="202"/>
        <v>1253148495615798.8</v>
      </c>
      <c r="M5265" s="471">
        <f t="shared" si="204"/>
        <v>0.05</v>
      </c>
      <c r="N5265" s="475">
        <f t="shared" si="205"/>
        <v>211294</v>
      </c>
    </row>
    <row r="5266" spans="7:14" ht="11.25" customHeight="1" x14ac:dyDescent="0.3">
      <c r="G5266" s="470"/>
      <c r="H5266" s="470">
        <v>5259</v>
      </c>
      <c r="I5266" s="455">
        <f t="shared" ca="1" si="203"/>
        <v>1253148495615798.8</v>
      </c>
      <c r="J5266" s="455">
        <f t="array" ref="J5266">IFERROR(INDEX('Retirement Calculator'!J:J,MATCH('Isaac 401k'!N5266,'Retirement Calculator'!A:A,0),0),0)</f>
        <v>0</v>
      </c>
      <c r="K5266" s="455">
        <f t="shared" ca="1" si="201"/>
        <v>5221452065065.8281</v>
      </c>
      <c r="L5266" s="455">
        <f t="shared" ca="1" si="202"/>
        <v>1258369947680864.5</v>
      </c>
      <c r="M5266" s="471">
        <f t="shared" si="204"/>
        <v>0.05</v>
      </c>
      <c r="N5266" s="475">
        <f t="shared" si="205"/>
        <v>211325</v>
      </c>
    </row>
    <row r="5267" spans="7:14" ht="11.25" customHeight="1" x14ac:dyDescent="0.3">
      <c r="G5267" s="470"/>
      <c r="H5267" s="470">
        <v>5260</v>
      </c>
      <c r="I5267" s="455">
        <f t="shared" ca="1" si="203"/>
        <v>1258369947680864.5</v>
      </c>
      <c r="J5267" s="455">
        <f t="array" ref="J5267">IFERROR(INDEX('Retirement Calculator'!J:J,MATCH('Isaac 401k'!N5267,'Retirement Calculator'!A:A,0),0),0)</f>
        <v>0</v>
      </c>
      <c r="K5267" s="455">
        <f t="shared" ca="1" si="201"/>
        <v>5243208115336.9355</v>
      </c>
      <c r="L5267" s="455">
        <f t="shared" ca="1" si="202"/>
        <v>1263613155796201.5</v>
      </c>
      <c r="M5267" s="471">
        <f t="shared" si="204"/>
        <v>0.05</v>
      </c>
      <c r="N5267" s="475">
        <f t="shared" si="205"/>
        <v>211356</v>
      </c>
    </row>
    <row r="5268" spans="7:14" ht="11.25" customHeight="1" x14ac:dyDescent="0.3">
      <c r="G5268" s="470"/>
      <c r="H5268" s="470">
        <v>5261</v>
      </c>
      <c r="I5268" s="455">
        <f t="shared" ca="1" si="203"/>
        <v>1263613155796201.5</v>
      </c>
      <c r="J5268" s="455">
        <f t="array" ref="J5268">IFERROR(INDEX('Retirement Calculator'!J:J,MATCH('Isaac 401k'!N5268,'Retirement Calculator'!A:A,0),0),0)</f>
        <v>0</v>
      </c>
      <c r="K5268" s="455">
        <f t="shared" ca="1" si="201"/>
        <v>5265054815817.5059</v>
      </c>
      <c r="L5268" s="455">
        <f t="shared" ca="1" si="202"/>
        <v>1268878210612019</v>
      </c>
      <c r="M5268" s="471">
        <f t="shared" si="204"/>
        <v>0.05</v>
      </c>
      <c r="N5268" s="475">
        <f t="shared" si="205"/>
        <v>211386</v>
      </c>
    </row>
    <row r="5269" spans="7:14" ht="11.25" customHeight="1" x14ac:dyDescent="0.3">
      <c r="G5269" s="470"/>
      <c r="H5269" s="470">
        <v>5262</v>
      </c>
      <c r="I5269" s="455">
        <f t="shared" ca="1" si="203"/>
        <v>1268878210612019</v>
      </c>
      <c r="J5269" s="455">
        <f t="array" ref="J5269">IFERROR(INDEX('Retirement Calculator'!J:J,MATCH('Isaac 401k'!N5269,'Retirement Calculator'!A:A,0),0),0)</f>
        <v>0</v>
      </c>
      <c r="K5269" s="455">
        <f t="shared" ca="1" si="201"/>
        <v>5286992544216.7461</v>
      </c>
      <c r="L5269" s="455">
        <f t="shared" ca="1" si="202"/>
        <v>1274165203156235.8</v>
      </c>
      <c r="M5269" s="471">
        <f t="shared" si="204"/>
        <v>0.05</v>
      </c>
      <c r="N5269" s="475">
        <f t="shared" si="205"/>
        <v>211417</v>
      </c>
    </row>
    <row r="5270" spans="7:14" ht="11.25" customHeight="1" x14ac:dyDescent="0.3">
      <c r="G5270" s="470"/>
      <c r="H5270" s="470">
        <v>5263</v>
      </c>
      <c r="I5270" s="455">
        <f t="shared" ca="1" si="203"/>
        <v>1274165203156235.8</v>
      </c>
      <c r="J5270" s="455">
        <f t="array" ref="J5270">IFERROR(INDEX('Retirement Calculator'!J:J,MATCH('Isaac 401k'!N5270,'Retirement Calculator'!A:A,0),0),0)</f>
        <v>0</v>
      </c>
      <c r="K5270" s="455">
        <f t="shared" ca="1" si="201"/>
        <v>5309021679817.6484</v>
      </c>
      <c r="L5270" s="455">
        <f t="shared" ca="1" si="202"/>
        <v>1279474224836053.5</v>
      </c>
      <c r="M5270" s="471">
        <f t="shared" si="204"/>
        <v>0.05</v>
      </c>
      <c r="N5270" s="475">
        <f t="shared" si="205"/>
        <v>211447</v>
      </c>
    </row>
    <row r="5271" spans="7:14" ht="11.25" customHeight="1" x14ac:dyDescent="0.3">
      <c r="G5271" s="470"/>
      <c r="H5271" s="470">
        <v>5264</v>
      </c>
      <c r="I5271" s="455">
        <f t="shared" ca="1" si="203"/>
        <v>1279474224836053.5</v>
      </c>
      <c r="J5271" s="455">
        <f t="array" ref="J5271">IFERROR(INDEX('Retirement Calculator'!J:J,MATCH('Isaac 401k'!N5271,'Retirement Calculator'!A:A,0),0),0)</f>
        <v>0</v>
      </c>
      <c r="K5271" s="455">
        <f t="shared" ca="1" si="201"/>
        <v>5331142603483.5566</v>
      </c>
      <c r="L5271" s="455">
        <f t="shared" ca="1" si="202"/>
        <v>1284805367439537</v>
      </c>
      <c r="M5271" s="471">
        <f t="shared" si="204"/>
        <v>0.05</v>
      </c>
      <c r="N5271" s="475">
        <f t="shared" si="205"/>
        <v>211478</v>
      </c>
    </row>
    <row r="5272" spans="7:14" ht="11.25" customHeight="1" x14ac:dyDescent="0.3">
      <c r="G5272" s="470"/>
      <c r="H5272" s="470">
        <v>5265</v>
      </c>
      <c r="I5272" s="455">
        <f t="shared" ca="1" si="203"/>
        <v>1284805367439537</v>
      </c>
      <c r="J5272" s="455">
        <f t="array" ref="J5272">IFERROR(INDEX('Retirement Calculator'!J:J,MATCH('Isaac 401k'!N5272,'Retirement Calculator'!A:A,0),0),0)</f>
        <v>0</v>
      </c>
      <c r="K5272" s="455">
        <f t="shared" ca="1" si="201"/>
        <v>5353355697664.7373</v>
      </c>
      <c r="L5272" s="455">
        <f t="shared" ca="1" si="202"/>
        <v>1290158723137201.8</v>
      </c>
      <c r="M5272" s="471">
        <f t="shared" si="204"/>
        <v>0.05</v>
      </c>
      <c r="N5272" s="475">
        <f t="shared" si="205"/>
        <v>211509</v>
      </c>
    </row>
    <row r="5273" spans="7:14" ht="11.25" customHeight="1" x14ac:dyDescent="0.3">
      <c r="G5273" s="470"/>
      <c r="H5273" s="470">
        <v>5266</v>
      </c>
      <c r="I5273" s="455">
        <f t="shared" ca="1" si="203"/>
        <v>1290158723137201.8</v>
      </c>
      <c r="J5273" s="455">
        <f t="array" ref="J5273">IFERROR(INDEX('Retirement Calculator'!J:J,MATCH('Isaac 401k'!N5273,'Retirement Calculator'!A:A,0),0),0)</f>
        <v>0</v>
      </c>
      <c r="K5273" s="455">
        <f t="shared" ca="1" si="201"/>
        <v>5375661346405.0068</v>
      </c>
      <c r="L5273" s="455">
        <f t="shared" ca="1" si="202"/>
        <v>1295534384483606.8</v>
      </c>
      <c r="M5273" s="471">
        <f t="shared" si="204"/>
        <v>0.05</v>
      </c>
      <c r="N5273" s="475">
        <f t="shared" si="205"/>
        <v>211537</v>
      </c>
    </row>
    <row r="5274" spans="7:14" ht="11.25" customHeight="1" x14ac:dyDescent="0.3">
      <c r="G5274" s="470"/>
      <c r="H5274" s="470">
        <v>5267</v>
      </c>
      <c r="I5274" s="455">
        <f t="shared" ca="1" si="203"/>
        <v>1295534384483606.8</v>
      </c>
      <c r="J5274" s="455">
        <f t="array" ref="J5274">IFERROR(INDEX('Retirement Calculator'!J:J,MATCH('Isaac 401k'!N5274,'Retirement Calculator'!A:A,0),0),0)</f>
        <v>0</v>
      </c>
      <c r="K5274" s="455">
        <f t="shared" ca="1" si="201"/>
        <v>5398059935348.3613</v>
      </c>
      <c r="L5274" s="455">
        <f t="shared" ca="1" si="202"/>
        <v>1300932444418955</v>
      </c>
      <c r="M5274" s="471">
        <f t="shared" si="204"/>
        <v>0.05</v>
      </c>
      <c r="N5274" s="475">
        <f t="shared" si="205"/>
        <v>211568</v>
      </c>
    </row>
    <row r="5275" spans="7:14" ht="11.25" customHeight="1" x14ac:dyDescent="0.3">
      <c r="G5275" s="470"/>
      <c r="H5275" s="470">
        <v>5268</v>
      </c>
      <c r="I5275" s="455">
        <f t="shared" ca="1" si="203"/>
        <v>1300932444418955</v>
      </c>
      <c r="J5275" s="455">
        <f t="array" ref="J5275">IFERROR(INDEX('Retirement Calculator'!J:J,MATCH('Isaac 401k'!N5275,'Retirement Calculator'!A:A,0),0),0)</f>
        <v>0</v>
      </c>
      <c r="K5275" s="455">
        <f t="shared" ca="1" si="201"/>
        <v>5420551851745.6455</v>
      </c>
      <c r="L5275" s="455">
        <f t="shared" ca="1" si="202"/>
        <v>1306352996270700.8</v>
      </c>
      <c r="M5275" s="471">
        <f t="shared" si="204"/>
        <v>0.05</v>
      </c>
      <c r="N5275" s="475">
        <f t="shared" si="205"/>
        <v>211598</v>
      </c>
    </row>
    <row r="5276" spans="7:14" ht="11.25" customHeight="1" x14ac:dyDescent="0.3">
      <c r="G5276" s="470"/>
      <c r="H5276" s="470">
        <v>5269</v>
      </c>
      <c r="I5276" s="455">
        <f t="shared" ca="1" si="203"/>
        <v>1306352996270700.8</v>
      </c>
      <c r="J5276" s="455">
        <f t="array" ref="J5276">IFERROR(INDEX('Retirement Calculator'!J:J,MATCH('Isaac 401k'!N5276,'Retirement Calculator'!A:A,0),0),0)</f>
        <v>0</v>
      </c>
      <c r="K5276" s="455">
        <f t="shared" ca="1" si="201"/>
        <v>5443137484461.2529</v>
      </c>
      <c r="L5276" s="455">
        <f t="shared" ca="1" si="202"/>
        <v>1311796133755162</v>
      </c>
      <c r="M5276" s="471">
        <f t="shared" si="204"/>
        <v>0.05</v>
      </c>
      <c r="N5276" s="475">
        <f t="shared" si="205"/>
        <v>211629</v>
      </c>
    </row>
    <row r="5277" spans="7:14" ht="11.25" customHeight="1" x14ac:dyDescent="0.3">
      <c r="G5277" s="470"/>
      <c r="H5277" s="470">
        <v>5270</v>
      </c>
      <c r="I5277" s="455">
        <f t="shared" ca="1" si="203"/>
        <v>1311796133755162</v>
      </c>
      <c r="J5277" s="455">
        <f t="array" ref="J5277">IFERROR(INDEX('Retirement Calculator'!J:J,MATCH('Isaac 401k'!N5277,'Retirement Calculator'!A:A,0),0),0)</f>
        <v>0</v>
      </c>
      <c r="K5277" s="455">
        <f t="shared" ca="1" si="201"/>
        <v>5465817223979.8418</v>
      </c>
      <c r="L5277" s="455">
        <f t="shared" ca="1" si="202"/>
        <v>1317261950979141.8</v>
      </c>
      <c r="M5277" s="471">
        <f t="shared" si="204"/>
        <v>0.05</v>
      </c>
      <c r="N5277" s="475">
        <f t="shared" si="205"/>
        <v>211659</v>
      </c>
    </row>
    <row r="5278" spans="7:14" ht="11.25" customHeight="1" x14ac:dyDescent="0.3">
      <c r="G5278" s="470"/>
      <c r="H5278" s="470">
        <v>5271</v>
      </c>
      <c r="I5278" s="455">
        <f t="shared" ca="1" si="203"/>
        <v>1317261950979141.8</v>
      </c>
      <c r="J5278" s="455">
        <f t="array" ref="J5278">IFERROR(INDEX('Retirement Calculator'!J:J,MATCH('Isaac 401k'!N5278,'Retirement Calculator'!A:A,0),0),0)</f>
        <v>0</v>
      </c>
      <c r="K5278" s="455">
        <f t="shared" ca="1" si="201"/>
        <v>5488591462413.0908</v>
      </c>
      <c r="L5278" s="455">
        <f t="shared" ca="1" si="202"/>
        <v>1322750542441554.8</v>
      </c>
      <c r="M5278" s="471">
        <f t="shared" si="204"/>
        <v>0.05</v>
      </c>
      <c r="N5278" s="475">
        <f t="shared" si="205"/>
        <v>211690</v>
      </c>
    </row>
    <row r="5279" spans="7:14" ht="11.25" customHeight="1" x14ac:dyDescent="0.3">
      <c r="G5279" s="470"/>
      <c r="H5279" s="470">
        <v>5272</v>
      </c>
      <c r="I5279" s="455">
        <f t="shared" ca="1" si="203"/>
        <v>1322750542441554.8</v>
      </c>
      <c r="J5279" s="455">
        <f t="array" ref="J5279">IFERROR(INDEX('Retirement Calculator'!J:J,MATCH('Isaac 401k'!N5279,'Retirement Calculator'!A:A,0),0),0)</f>
        <v>0</v>
      </c>
      <c r="K5279" s="455">
        <f t="shared" ca="1" si="201"/>
        <v>5511460593506.4785</v>
      </c>
      <c r="L5279" s="455">
        <f t="shared" ca="1" si="202"/>
        <v>1328262003035061.3</v>
      </c>
      <c r="M5279" s="471">
        <f t="shared" si="204"/>
        <v>0.05</v>
      </c>
      <c r="N5279" s="475">
        <f t="shared" si="205"/>
        <v>211721</v>
      </c>
    </row>
    <row r="5280" spans="7:14" ht="11.25" customHeight="1" x14ac:dyDescent="0.3">
      <c r="G5280" s="470"/>
      <c r="H5280" s="470">
        <v>5273</v>
      </c>
      <c r="I5280" s="455">
        <f t="shared" ca="1" si="203"/>
        <v>1328262003035061.3</v>
      </c>
      <c r="J5280" s="455">
        <f t="array" ref="J5280">IFERROR(INDEX('Retirement Calculator'!J:J,MATCH('Isaac 401k'!N5280,'Retirement Calculator'!A:A,0),0),0)</f>
        <v>0</v>
      </c>
      <c r="K5280" s="455">
        <f t="shared" ca="1" si="201"/>
        <v>5534425012646.0889</v>
      </c>
      <c r="L5280" s="455">
        <f t="shared" ca="1" si="202"/>
        <v>1333796428047707.3</v>
      </c>
      <c r="M5280" s="471">
        <f t="shared" si="204"/>
        <v>0.05</v>
      </c>
      <c r="N5280" s="475">
        <f t="shared" si="205"/>
        <v>211751</v>
      </c>
    </row>
    <row r="5281" spans="7:14" ht="11.25" customHeight="1" x14ac:dyDescent="0.3">
      <c r="G5281" s="470"/>
      <c r="H5281" s="470">
        <v>5274</v>
      </c>
      <c r="I5281" s="455">
        <f t="shared" ca="1" si="203"/>
        <v>1333796428047707.3</v>
      </c>
      <c r="J5281" s="455">
        <f t="array" ref="J5281">IFERROR(INDEX('Retirement Calculator'!J:J,MATCH('Isaac 401k'!N5281,'Retirement Calculator'!A:A,0),0),0)</f>
        <v>0</v>
      </c>
      <c r="K5281" s="455">
        <f t="shared" ca="1" si="201"/>
        <v>5557485116865.4473</v>
      </c>
      <c r="L5281" s="455">
        <f t="shared" ca="1" si="202"/>
        <v>1339353913164572.8</v>
      </c>
      <c r="M5281" s="471">
        <f t="shared" si="204"/>
        <v>0.05</v>
      </c>
      <c r="N5281" s="475">
        <f t="shared" si="205"/>
        <v>211782</v>
      </c>
    </row>
    <row r="5282" spans="7:14" ht="11.25" customHeight="1" x14ac:dyDescent="0.3">
      <c r="G5282" s="470"/>
      <c r="H5282" s="470">
        <v>5275</v>
      </c>
      <c r="I5282" s="455">
        <f t="shared" ca="1" si="203"/>
        <v>1339353913164572.8</v>
      </c>
      <c r="J5282" s="455">
        <f t="array" ref="J5282">IFERROR(INDEX('Retirement Calculator'!J:J,MATCH('Isaac 401k'!N5282,'Retirement Calculator'!A:A,0),0),0)</f>
        <v>0</v>
      </c>
      <c r="K5282" s="455">
        <f t="shared" ca="1" si="201"/>
        <v>5580641304852.3867</v>
      </c>
      <c r="L5282" s="455">
        <f t="shared" ca="1" si="202"/>
        <v>1344934554469425.3</v>
      </c>
      <c r="M5282" s="471">
        <f t="shared" si="204"/>
        <v>0.05</v>
      </c>
      <c r="N5282" s="475">
        <f t="shared" si="205"/>
        <v>211812</v>
      </c>
    </row>
    <row r="5283" spans="7:14" ht="11.25" customHeight="1" x14ac:dyDescent="0.3">
      <c r="G5283" s="470"/>
      <c r="H5283" s="470">
        <v>5276</v>
      </c>
      <c r="I5283" s="455">
        <f t="shared" ca="1" si="203"/>
        <v>1344934554469425.3</v>
      </c>
      <c r="J5283" s="455">
        <f t="array" ref="J5283">IFERROR(INDEX('Retirement Calculator'!J:J,MATCH('Isaac 401k'!N5283,'Retirement Calculator'!A:A,0),0),0)</f>
        <v>0</v>
      </c>
      <c r="K5283" s="455">
        <f t="shared" ca="1" si="201"/>
        <v>5603893976955.9385</v>
      </c>
      <c r="L5283" s="455">
        <f t="shared" ca="1" si="202"/>
        <v>1350538448446381.3</v>
      </c>
      <c r="M5283" s="471">
        <f t="shared" si="204"/>
        <v>0.05</v>
      </c>
      <c r="N5283" s="475">
        <f t="shared" si="205"/>
        <v>211843</v>
      </c>
    </row>
    <row r="5284" spans="7:14" ht="11.25" customHeight="1" x14ac:dyDescent="0.3">
      <c r="G5284" s="470"/>
      <c r="H5284" s="470">
        <v>5277</v>
      </c>
      <c r="I5284" s="455">
        <f t="shared" ca="1" si="203"/>
        <v>1350538448446381.3</v>
      </c>
      <c r="J5284" s="455">
        <f t="array" ref="J5284">IFERROR(INDEX('Retirement Calculator'!J:J,MATCH('Isaac 401k'!N5284,'Retirement Calculator'!A:A,0),0),0)</f>
        <v>0</v>
      </c>
      <c r="K5284" s="455">
        <f t="shared" ca="1" si="201"/>
        <v>5627243535193.2549</v>
      </c>
      <c r="L5284" s="455">
        <f t="shared" ca="1" si="202"/>
        <v>1356165691981574.5</v>
      </c>
      <c r="M5284" s="471">
        <f t="shared" si="204"/>
        <v>0.05</v>
      </c>
      <c r="N5284" s="475">
        <f t="shared" si="205"/>
        <v>211874</v>
      </c>
    </row>
    <row r="5285" spans="7:14" ht="11.25" customHeight="1" x14ac:dyDescent="0.3">
      <c r="G5285" s="470"/>
      <c r="H5285" s="470">
        <v>5278</v>
      </c>
      <c r="I5285" s="455">
        <f t="shared" ca="1" si="203"/>
        <v>1356165691981574.5</v>
      </c>
      <c r="J5285" s="455">
        <f t="array" ref="J5285">IFERROR(INDEX('Retirement Calculator'!J:J,MATCH('Isaac 401k'!N5285,'Retirement Calculator'!A:A,0),0),0)</f>
        <v>0</v>
      </c>
      <c r="K5285" s="455">
        <f t="shared" ca="1" si="201"/>
        <v>5650690383256.5605</v>
      </c>
      <c r="L5285" s="455">
        <f t="shared" ca="1" si="202"/>
        <v>1361816382364831</v>
      </c>
      <c r="M5285" s="471">
        <f t="shared" si="204"/>
        <v>0.05</v>
      </c>
      <c r="N5285" s="475">
        <f t="shared" si="205"/>
        <v>211903</v>
      </c>
    </row>
    <row r="5286" spans="7:14" ht="11.25" customHeight="1" x14ac:dyDescent="0.3">
      <c r="G5286" s="470"/>
      <c r="H5286" s="470">
        <v>5279</v>
      </c>
      <c r="I5286" s="455">
        <f t="shared" ca="1" si="203"/>
        <v>1361816382364831</v>
      </c>
      <c r="J5286" s="455">
        <f t="array" ref="J5286">IFERROR(INDEX('Retirement Calculator'!J:J,MATCH('Isaac 401k'!N5286,'Retirement Calculator'!A:A,0),0),0)</f>
        <v>0</v>
      </c>
      <c r="K5286" s="455">
        <f t="shared" ca="1" si="201"/>
        <v>5674234926520.1289</v>
      </c>
      <c r="L5286" s="455">
        <f t="shared" ca="1" si="202"/>
        <v>1367490617291351.3</v>
      </c>
      <c r="M5286" s="471">
        <f t="shared" si="204"/>
        <v>0.05</v>
      </c>
      <c r="N5286" s="475">
        <f t="shared" si="205"/>
        <v>211934</v>
      </c>
    </row>
    <row r="5287" spans="7:14" ht="11.25" customHeight="1" x14ac:dyDescent="0.3">
      <c r="G5287" s="470"/>
      <c r="H5287" s="470">
        <v>5280</v>
      </c>
      <c r="I5287" s="455">
        <f t="shared" ca="1" si="203"/>
        <v>1367490617291351.3</v>
      </c>
      <c r="J5287" s="455">
        <f t="array" ref="J5287">IFERROR(INDEX('Retirement Calculator'!J:J,MATCH('Isaac 401k'!N5287,'Retirement Calculator'!A:A,0),0),0)</f>
        <v>0</v>
      </c>
      <c r="K5287" s="455">
        <f t="shared" ca="1" si="201"/>
        <v>5697877572047.2969</v>
      </c>
      <c r="L5287" s="455">
        <f t="shared" ca="1" si="202"/>
        <v>1373188494863398.5</v>
      </c>
      <c r="M5287" s="471">
        <f t="shared" si="204"/>
        <v>0.05</v>
      </c>
      <c r="N5287" s="475">
        <f t="shared" si="205"/>
        <v>211964</v>
      </c>
    </row>
    <row r="5288" spans="7:14" ht="11.25" customHeight="1" x14ac:dyDescent="0.3">
      <c r="G5288" s="470"/>
      <c r="H5288" s="470">
        <v>5281</v>
      </c>
      <c r="I5288" s="455">
        <f t="shared" ca="1" si="203"/>
        <v>1373188494863398.5</v>
      </c>
      <c r="J5288" s="455">
        <f t="array" ref="J5288">IFERROR(INDEX('Retirement Calculator'!J:J,MATCH('Isaac 401k'!N5288,'Retirement Calculator'!A:A,0),0),0)</f>
        <v>0</v>
      </c>
      <c r="K5288" s="455">
        <f t="shared" ca="1" si="201"/>
        <v>5721618728597.4941</v>
      </c>
      <c r="L5288" s="455">
        <f t="shared" ca="1" si="202"/>
        <v>1378910113591996</v>
      </c>
      <c r="M5288" s="471">
        <f t="shared" si="204"/>
        <v>0.05</v>
      </c>
      <c r="N5288" s="475">
        <f t="shared" si="205"/>
        <v>211995</v>
      </c>
    </row>
    <row r="5289" spans="7:14" ht="11.25" customHeight="1" x14ac:dyDescent="0.3">
      <c r="G5289" s="470"/>
      <c r="H5289" s="470">
        <v>5282</v>
      </c>
      <c r="I5289" s="455">
        <f t="shared" ca="1" si="203"/>
        <v>1378910113591996</v>
      </c>
      <c r="J5289" s="455">
        <f t="array" ref="J5289">IFERROR(INDEX('Retirement Calculator'!J:J,MATCH('Isaac 401k'!N5289,'Retirement Calculator'!A:A,0),0),0)</f>
        <v>0</v>
      </c>
      <c r="K5289" s="455">
        <f t="shared" ca="1" si="201"/>
        <v>5745458806633.3164</v>
      </c>
      <c r="L5289" s="455">
        <f t="shared" ca="1" si="202"/>
        <v>1384655572398629.3</v>
      </c>
      <c r="M5289" s="471">
        <f t="shared" si="204"/>
        <v>0.05</v>
      </c>
      <c r="N5289" s="475">
        <f t="shared" si="205"/>
        <v>212025</v>
      </c>
    </row>
    <row r="5290" spans="7:14" ht="11.25" customHeight="1" x14ac:dyDescent="0.3">
      <c r="G5290" s="470"/>
      <c r="H5290" s="470">
        <v>5283</v>
      </c>
      <c r="I5290" s="455">
        <f t="shared" ca="1" si="203"/>
        <v>1384655572398629.3</v>
      </c>
      <c r="J5290" s="455">
        <f t="array" ref="J5290">IFERROR(INDEX('Retirement Calculator'!J:J,MATCH('Isaac 401k'!N5290,'Retirement Calculator'!A:A,0),0),0)</f>
        <v>0</v>
      </c>
      <c r="K5290" s="455">
        <f t="shared" ca="1" si="201"/>
        <v>5769398218327.6221</v>
      </c>
      <c r="L5290" s="455">
        <f t="shared" ca="1" si="202"/>
        <v>1390424970616956.8</v>
      </c>
      <c r="M5290" s="471">
        <f t="shared" si="204"/>
        <v>0.05</v>
      </c>
      <c r="N5290" s="475">
        <f t="shared" si="205"/>
        <v>212056</v>
      </c>
    </row>
    <row r="5291" spans="7:14" ht="11.25" customHeight="1" x14ac:dyDescent="0.3">
      <c r="G5291" s="470"/>
      <c r="H5291" s="470">
        <v>5284</v>
      </c>
      <c r="I5291" s="455">
        <f t="shared" ca="1" si="203"/>
        <v>1390424970616956.8</v>
      </c>
      <c r="J5291" s="455">
        <f t="array" ref="J5291">IFERROR(INDEX('Retirement Calculator'!J:J,MATCH('Isaac 401k'!N5291,'Retirement Calculator'!A:A,0),0),0)</f>
        <v>0</v>
      </c>
      <c r="K5291" s="455">
        <f t="shared" ca="1" si="201"/>
        <v>5793437377570.6533</v>
      </c>
      <c r="L5291" s="455">
        <f t="shared" ca="1" si="202"/>
        <v>1396218407994527.5</v>
      </c>
      <c r="M5291" s="471">
        <f t="shared" si="204"/>
        <v>0.05</v>
      </c>
      <c r="N5291" s="475">
        <f t="shared" si="205"/>
        <v>212087</v>
      </c>
    </row>
    <row r="5292" spans="7:14" ht="11.25" customHeight="1" x14ac:dyDescent="0.3">
      <c r="G5292" s="470"/>
      <c r="H5292" s="470">
        <v>5285</v>
      </c>
      <c r="I5292" s="455">
        <f t="shared" ca="1" si="203"/>
        <v>1396218407994527.5</v>
      </c>
      <c r="J5292" s="455">
        <f t="array" ref="J5292">IFERROR(INDEX('Retirement Calculator'!J:J,MATCH('Isaac 401k'!N5292,'Retirement Calculator'!A:A,0),0),0)</f>
        <v>0</v>
      </c>
      <c r="K5292" s="455">
        <f t="shared" ca="1" si="201"/>
        <v>5817576699977.1982</v>
      </c>
      <c r="L5292" s="455">
        <f t="shared" ca="1" si="202"/>
        <v>1402035984694504.8</v>
      </c>
      <c r="M5292" s="471">
        <f t="shared" si="204"/>
        <v>0.05</v>
      </c>
      <c r="N5292" s="475">
        <f t="shared" si="205"/>
        <v>212117</v>
      </c>
    </row>
    <row r="5293" spans="7:14" ht="11.25" customHeight="1" x14ac:dyDescent="0.3">
      <c r="G5293" s="470"/>
      <c r="H5293" s="470">
        <v>5286</v>
      </c>
      <c r="I5293" s="455">
        <f t="shared" ca="1" si="203"/>
        <v>1402035984694504.8</v>
      </c>
      <c r="J5293" s="455">
        <f t="array" ref="J5293">IFERROR(INDEX('Retirement Calculator'!J:J,MATCH('Isaac 401k'!N5293,'Retirement Calculator'!A:A,0),0),0)</f>
        <v>0</v>
      </c>
      <c r="K5293" s="455">
        <f t="shared" ca="1" si="201"/>
        <v>5841816602893.7695</v>
      </c>
      <c r="L5293" s="455">
        <f t="shared" ca="1" si="202"/>
        <v>1407877801297398.5</v>
      </c>
      <c r="M5293" s="471">
        <f t="shared" si="204"/>
        <v>0.05</v>
      </c>
      <c r="N5293" s="475">
        <f t="shared" si="205"/>
        <v>212148</v>
      </c>
    </row>
    <row r="5294" spans="7:14" ht="11.25" customHeight="1" x14ac:dyDescent="0.3">
      <c r="G5294" s="470"/>
      <c r="H5294" s="470">
        <v>5287</v>
      </c>
      <c r="I5294" s="455">
        <f t="shared" ca="1" si="203"/>
        <v>1407877801297398.5</v>
      </c>
      <c r="J5294" s="455">
        <f t="array" ref="J5294">IFERROR(INDEX('Retirement Calculator'!J:J,MATCH('Isaac 401k'!N5294,'Retirement Calculator'!A:A,0),0),0)</f>
        <v>0</v>
      </c>
      <c r="K5294" s="455">
        <f t="shared" ca="1" si="201"/>
        <v>5866157505405.8271</v>
      </c>
      <c r="L5294" s="455">
        <f t="shared" ca="1" si="202"/>
        <v>1413743958802804.3</v>
      </c>
      <c r="M5294" s="471">
        <f t="shared" si="204"/>
        <v>0.05</v>
      </c>
      <c r="N5294" s="475">
        <f t="shared" si="205"/>
        <v>212178</v>
      </c>
    </row>
    <row r="5295" spans="7:14" ht="11.25" customHeight="1" x14ac:dyDescent="0.3">
      <c r="G5295" s="470"/>
      <c r="H5295" s="470">
        <v>5288</v>
      </c>
      <c r="I5295" s="455">
        <f t="shared" ca="1" si="203"/>
        <v>1413743958802804.3</v>
      </c>
      <c r="J5295" s="455">
        <f t="array" ref="J5295">IFERROR(INDEX('Retirement Calculator'!J:J,MATCH('Isaac 401k'!N5295,'Retirement Calculator'!A:A,0),0),0)</f>
        <v>0</v>
      </c>
      <c r="K5295" s="455">
        <f t="shared" ca="1" si="201"/>
        <v>5890599828345.0176</v>
      </c>
      <c r="L5295" s="455">
        <f t="shared" ca="1" si="202"/>
        <v>1419634558631149.3</v>
      </c>
      <c r="M5295" s="471">
        <f t="shared" si="204"/>
        <v>0.05</v>
      </c>
      <c r="N5295" s="475">
        <f t="shared" si="205"/>
        <v>212209</v>
      </c>
    </row>
    <row r="5296" spans="7:14" ht="11.25" customHeight="1" x14ac:dyDescent="0.3">
      <c r="G5296" s="470"/>
      <c r="H5296" s="470">
        <v>5289</v>
      </c>
      <c r="I5296" s="455">
        <f t="shared" ca="1" si="203"/>
        <v>1419634558631149.3</v>
      </c>
      <c r="J5296" s="455">
        <f t="array" ref="J5296">IFERROR(INDEX('Retirement Calculator'!J:J,MATCH('Isaac 401k'!N5296,'Retirement Calculator'!A:A,0),0),0)</f>
        <v>0</v>
      </c>
      <c r="K5296" s="455">
        <f t="shared" ca="1" si="201"/>
        <v>5915143994296.4551</v>
      </c>
      <c r="L5296" s="455">
        <f t="shared" ca="1" si="202"/>
        <v>1425549702625445.8</v>
      </c>
      <c r="M5296" s="471">
        <f t="shared" si="204"/>
        <v>0.05</v>
      </c>
      <c r="N5296" s="475">
        <f t="shared" si="205"/>
        <v>212240</v>
      </c>
    </row>
    <row r="5297" spans="7:14" ht="11.25" customHeight="1" x14ac:dyDescent="0.3">
      <c r="G5297" s="470"/>
      <c r="H5297" s="470">
        <v>5290</v>
      </c>
      <c r="I5297" s="455">
        <f t="shared" ca="1" si="203"/>
        <v>1425549702625445.8</v>
      </c>
      <c r="J5297" s="455">
        <f t="array" ref="J5297">IFERROR(INDEX('Retirement Calculator'!J:J,MATCH('Isaac 401k'!N5297,'Retirement Calculator'!A:A,0),0),0)</f>
        <v>0</v>
      </c>
      <c r="K5297" s="455">
        <f t="shared" ca="1" si="201"/>
        <v>5939790427606.0234</v>
      </c>
      <c r="L5297" s="455">
        <f t="shared" ca="1" si="202"/>
        <v>1431489493053051.8</v>
      </c>
      <c r="M5297" s="471">
        <f t="shared" si="204"/>
        <v>0.05</v>
      </c>
      <c r="N5297" s="475">
        <f t="shared" si="205"/>
        <v>212268</v>
      </c>
    </row>
    <row r="5298" spans="7:14" ht="11.25" customHeight="1" x14ac:dyDescent="0.3">
      <c r="G5298" s="470"/>
      <c r="H5298" s="470">
        <v>5291</v>
      </c>
      <c r="I5298" s="455">
        <f t="shared" ca="1" si="203"/>
        <v>1431489493053051.8</v>
      </c>
      <c r="J5298" s="455">
        <f t="array" ref="J5298">IFERROR(INDEX('Retirement Calculator'!J:J,MATCH('Isaac 401k'!N5298,'Retirement Calculator'!A:A,0),0),0)</f>
        <v>0</v>
      </c>
      <c r="K5298" s="455">
        <f t="shared" ca="1" si="201"/>
        <v>5964539554387.7158</v>
      </c>
      <c r="L5298" s="455">
        <f t="shared" ca="1" si="202"/>
        <v>1437454032607439.5</v>
      </c>
      <c r="M5298" s="471">
        <f t="shared" si="204"/>
        <v>0.05</v>
      </c>
      <c r="N5298" s="475">
        <f t="shared" si="205"/>
        <v>212299</v>
      </c>
    </row>
    <row r="5299" spans="7:14" ht="11.25" customHeight="1" x14ac:dyDescent="0.3">
      <c r="G5299" s="470"/>
      <c r="H5299" s="470">
        <v>5292</v>
      </c>
      <c r="I5299" s="455">
        <f t="shared" ca="1" si="203"/>
        <v>1437454032607439.5</v>
      </c>
      <c r="J5299" s="455">
        <f t="array" ref="J5299">IFERROR(INDEX('Retirement Calculator'!J:J,MATCH('Isaac 401k'!N5299,'Retirement Calculator'!A:A,0),0),0)</f>
        <v>0</v>
      </c>
      <c r="K5299" s="455">
        <f t="shared" ca="1" si="201"/>
        <v>5989391802530.998</v>
      </c>
      <c r="L5299" s="455">
        <f t="shared" ca="1" si="202"/>
        <v>1443443424409970.5</v>
      </c>
      <c r="M5299" s="471">
        <f t="shared" si="204"/>
        <v>0.05</v>
      </c>
      <c r="N5299" s="475">
        <f t="shared" si="205"/>
        <v>212329</v>
      </c>
    </row>
    <row r="5300" spans="7:14" ht="11.25" customHeight="1" x14ac:dyDescent="0.3">
      <c r="G5300" s="470"/>
      <c r="H5300" s="470">
        <v>5293</v>
      </c>
      <c r="I5300" s="455">
        <f t="shared" ca="1" si="203"/>
        <v>1443443424409970.5</v>
      </c>
      <c r="J5300" s="455">
        <f t="array" ref="J5300">IFERROR(INDEX('Retirement Calculator'!J:J,MATCH('Isaac 401k'!N5300,'Retirement Calculator'!A:A,0),0),0)</f>
        <v>0</v>
      </c>
      <c r="K5300" s="455">
        <f t="shared" ca="1" si="201"/>
        <v>6014347601708.21</v>
      </c>
      <c r="L5300" s="455">
        <f t="shared" ca="1" si="202"/>
        <v>1449457772011678.8</v>
      </c>
      <c r="M5300" s="471">
        <f t="shared" si="204"/>
        <v>0.05</v>
      </c>
      <c r="N5300" s="475">
        <f t="shared" si="205"/>
        <v>212360</v>
      </c>
    </row>
    <row r="5301" spans="7:14" ht="11.25" customHeight="1" x14ac:dyDescent="0.3">
      <c r="G5301" s="470"/>
      <c r="H5301" s="470">
        <v>5294</v>
      </c>
      <c r="I5301" s="455">
        <f t="shared" ca="1" si="203"/>
        <v>1449457772011678.8</v>
      </c>
      <c r="J5301" s="455">
        <f t="array" ref="J5301">IFERROR(INDEX('Retirement Calculator'!J:J,MATCH('Isaac 401k'!N5301,'Retirement Calculator'!A:A,0),0),0)</f>
        <v>0</v>
      </c>
      <c r="K5301" s="455">
        <f t="shared" ca="1" si="201"/>
        <v>6039407383381.9951</v>
      </c>
      <c r="L5301" s="455">
        <f t="shared" ca="1" si="202"/>
        <v>1455497179395060.8</v>
      </c>
      <c r="M5301" s="471">
        <f t="shared" si="204"/>
        <v>0.05</v>
      </c>
      <c r="N5301" s="475">
        <f t="shared" si="205"/>
        <v>212390</v>
      </c>
    </row>
    <row r="5302" spans="7:14" ht="11.25" customHeight="1" x14ac:dyDescent="0.3">
      <c r="G5302" s="470"/>
      <c r="H5302" s="470">
        <v>5295</v>
      </c>
      <c r="I5302" s="455">
        <f t="shared" ca="1" si="203"/>
        <v>1455497179395060.8</v>
      </c>
      <c r="J5302" s="455">
        <f t="array" ref="J5302">IFERROR(INDEX('Retirement Calculator'!J:J,MATCH('Isaac 401k'!N5302,'Retirement Calculator'!A:A,0),0),0)</f>
        <v>0</v>
      </c>
      <c r="K5302" s="455">
        <f t="shared" ca="1" si="201"/>
        <v>6064571580812.7529</v>
      </c>
      <c r="L5302" s="455">
        <f t="shared" ca="1" si="202"/>
        <v>1461561750975873.5</v>
      </c>
      <c r="M5302" s="471">
        <f t="shared" si="204"/>
        <v>0.05</v>
      </c>
      <c r="N5302" s="475">
        <f t="shared" si="205"/>
        <v>212421</v>
      </c>
    </row>
    <row r="5303" spans="7:14" ht="11.25" customHeight="1" x14ac:dyDescent="0.3">
      <c r="G5303" s="470"/>
      <c r="H5303" s="470">
        <v>5296</v>
      </c>
      <c r="I5303" s="455">
        <f t="shared" ca="1" si="203"/>
        <v>1461561750975873.5</v>
      </c>
      <c r="J5303" s="455">
        <f t="array" ref="J5303">IFERROR(INDEX('Retirement Calculator'!J:J,MATCH('Isaac 401k'!N5303,'Retirement Calculator'!A:A,0),0),0)</f>
        <v>0</v>
      </c>
      <c r="K5303" s="455">
        <f t="shared" ca="1" si="201"/>
        <v>6089840629066.1396</v>
      </c>
      <c r="L5303" s="455">
        <f t="shared" ca="1" si="202"/>
        <v>1467651591604939.8</v>
      </c>
      <c r="M5303" s="471">
        <f t="shared" si="204"/>
        <v>0.05</v>
      </c>
      <c r="N5303" s="475">
        <f t="shared" si="205"/>
        <v>212452</v>
      </c>
    </row>
    <row r="5304" spans="7:14" ht="11.25" customHeight="1" x14ac:dyDescent="0.3">
      <c r="G5304" s="470"/>
      <c r="H5304" s="470">
        <v>5297</v>
      </c>
      <c r="I5304" s="455">
        <f t="shared" ca="1" si="203"/>
        <v>1467651591604939.8</v>
      </c>
      <c r="J5304" s="455">
        <f t="array" ref="J5304">IFERROR(INDEX('Retirement Calculator'!J:J,MATCH('Isaac 401k'!N5304,'Retirement Calculator'!A:A,0),0),0)</f>
        <v>0</v>
      </c>
      <c r="K5304" s="455">
        <f t="shared" ca="1" si="201"/>
        <v>6115214965020.582</v>
      </c>
      <c r="L5304" s="455">
        <f t="shared" ca="1" si="202"/>
        <v>1473766806569960.3</v>
      </c>
      <c r="M5304" s="471">
        <f t="shared" si="204"/>
        <v>0.05</v>
      </c>
      <c r="N5304" s="475">
        <f t="shared" si="205"/>
        <v>212482</v>
      </c>
    </row>
    <row r="5305" spans="7:14" ht="11.25" customHeight="1" x14ac:dyDescent="0.3">
      <c r="G5305" s="470"/>
      <c r="H5305" s="470">
        <v>5298</v>
      </c>
      <c r="I5305" s="455">
        <f t="shared" ca="1" si="203"/>
        <v>1473766806569960.3</v>
      </c>
      <c r="J5305" s="455">
        <f t="array" ref="J5305">IFERROR(INDEX('Retirement Calculator'!J:J,MATCH('Isaac 401k'!N5305,'Retirement Calculator'!A:A,0),0),0)</f>
        <v>0</v>
      </c>
      <c r="K5305" s="455">
        <f t="shared" ca="1" si="201"/>
        <v>6140695027374.834</v>
      </c>
      <c r="L5305" s="455">
        <f t="shared" ca="1" si="202"/>
        <v>1479907501597335</v>
      </c>
      <c r="M5305" s="471">
        <f t="shared" si="204"/>
        <v>0.05</v>
      </c>
      <c r="N5305" s="475">
        <f t="shared" si="205"/>
        <v>212513</v>
      </c>
    </row>
    <row r="5306" spans="7:14" ht="11.25" customHeight="1" x14ac:dyDescent="0.3">
      <c r="G5306" s="470"/>
      <c r="H5306" s="470">
        <v>5299</v>
      </c>
      <c r="I5306" s="455">
        <f t="shared" ca="1" si="203"/>
        <v>1479907501597335</v>
      </c>
      <c r="J5306" s="455">
        <f t="array" ref="J5306">IFERROR(INDEX('Retirement Calculator'!J:J,MATCH('Isaac 401k'!N5306,'Retirement Calculator'!A:A,0),0),0)</f>
        <v>0</v>
      </c>
      <c r="K5306" s="455">
        <f t="shared" ca="1" si="201"/>
        <v>6166281256655.5625</v>
      </c>
      <c r="L5306" s="455">
        <f t="shared" ca="1" si="202"/>
        <v>1486073782853990.5</v>
      </c>
      <c r="M5306" s="471">
        <f t="shared" si="204"/>
        <v>0.05</v>
      </c>
      <c r="N5306" s="475">
        <f t="shared" si="205"/>
        <v>212543</v>
      </c>
    </row>
    <row r="5307" spans="7:14" ht="11.25" customHeight="1" x14ac:dyDescent="0.3">
      <c r="G5307" s="470"/>
      <c r="H5307" s="470">
        <v>5300</v>
      </c>
      <c r="I5307" s="455">
        <f t="shared" ca="1" si="203"/>
        <v>1486073782853990.5</v>
      </c>
      <c r="J5307" s="455">
        <f t="array" ref="J5307">IFERROR(INDEX('Retirement Calculator'!J:J,MATCH('Isaac 401k'!N5307,'Retirement Calculator'!A:A,0),0),0)</f>
        <v>0</v>
      </c>
      <c r="K5307" s="455">
        <f t="shared" ca="1" si="201"/>
        <v>6191974095224.96</v>
      </c>
      <c r="L5307" s="455">
        <f t="shared" ca="1" si="202"/>
        <v>1492265756949215.5</v>
      </c>
      <c r="M5307" s="471">
        <f t="shared" si="204"/>
        <v>0.05</v>
      </c>
      <c r="N5307" s="475">
        <f t="shared" si="205"/>
        <v>212574</v>
      </c>
    </row>
    <row r="5308" spans="7:14" ht="11.25" customHeight="1" x14ac:dyDescent="0.3">
      <c r="G5308" s="470"/>
      <c r="H5308" s="470">
        <v>5301</v>
      </c>
      <c r="I5308" s="455">
        <f t="shared" ca="1" si="203"/>
        <v>1492265756949215.5</v>
      </c>
      <c r="J5308" s="455">
        <f t="array" ref="J5308">IFERROR(INDEX('Retirement Calculator'!J:J,MATCH('Isaac 401k'!N5308,'Retirement Calculator'!A:A,0),0),0)</f>
        <v>0</v>
      </c>
      <c r="K5308" s="455">
        <f t="shared" ca="1" si="201"/>
        <v>6217773987288.3975</v>
      </c>
      <c r="L5308" s="455">
        <f t="shared" ca="1" si="202"/>
        <v>1498483530936504</v>
      </c>
      <c r="M5308" s="471">
        <f t="shared" si="204"/>
        <v>0.05</v>
      </c>
      <c r="N5308" s="475">
        <f t="shared" si="205"/>
        <v>212605</v>
      </c>
    </row>
    <row r="5309" spans="7:14" ht="11.25" customHeight="1" x14ac:dyDescent="0.3">
      <c r="G5309" s="470"/>
      <c r="H5309" s="470">
        <v>5302</v>
      </c>
      <c r="I5309" s="455">
        <f t="shared" ca="1" si="203"/>
        <v>1498483530936504</v>
      </c>
      <c r="J5309" s="455">
        <f t="array" ref="J5309">IFERROR(INDEX('Retirement Calculator'!J:J,MATCH('Isaac 401k'!N5309,'Retirement Calculator'!A:A,0),0),0)</f>
        <v>0</v>
      </c>
      <c r="K5309" s="455">
        <f t="shared" ca="1" si="201"/>
        <v>6243681378902.0996</v>
      </c>
      <c r="L5309" s="455">
        <f t="shared" ca="1" si="202"/>
        <v>1504727212315406</v>
      </c>
      <c r="M5309" s="471">
        <f t="shared" si="204"/>
        <v>0.05</v>
      </c>
      <c r="N5309" s="475">
        <f t="shared" si="205"/>
        <v>212633</v>
      </c>
    </row>
    <row r="5310" spans="7:14" ht="11.25" customHeight="1" x14ac:dyDescent="0.3">
      <c r="G5310" s="470"/>
      <c r="H5310" s="470">
        <v>5303</v>
      </c>
      <c r="I5310" s="455">
        <f t="shared" ca="1" si="203"/>
        <v>1504727212315406</v>
      </c>
      <c r="J5310" s="455">
        <f t="array" ref="J5310">IFERROR(INDEX('Retirement Calculator'!J:J,MATCH('Isaac 401k'!N5310,'Retirement Calculator'!A:A,0),0),0)</f>
        <v>0</v>
      </c>
      <c r="K5310" s="455">
        <f t="shared" ca="1" si="201"/>
        <v>6269696717980.8584</v>
      </c>
      <c r="L5310" s="455">
        <f t="shared" ca="1" si="202"/>
        <v>1510996909033386.8</v>
      </c>
      <c r="M5310" s="471">
        <f t="shared" si="204"/>
        <v>0.05</v>
      </c>
      <c r="N5310" s="475">
        <f t="shared" si="205"/>
        <v>212664</v>
      </c>
    </row>
    <row r="5311" spans="7:14" ht="11.25" customHeight="1" x14ac:dyDescent="0.3">
      <c r="G5311" s="470"/>
      <c r="H5311" s="470">
        <v>5304</v>
      </c>
      <c r="I5311" s="455">
        <f t="shared" ca="1" si="203"/>
        <v>1510996909033386.8</v>
      </c>
      <c r="J5311" s="455">
        <f t="array" ref="J5311">IFERROR(INDEX('Retirement Calculator'!J:J,MATCH('Isaac 401k'!N5311,'Retirement Calculator'!A:A,0),0),0)</f>
        <v>0</v>
      </c>
      <c r="K5311" s="455">
        <f t="shared" ca="1" si="201"/>
        <v>6295820454305.7783</v>
      </c>
      <c r="L5311" s="455">
        <f t="shared" ca="1" si="202"/>
        <v>1517292729487692.5</v>
      </c>
      <c r="M5311" s="471">
        <f t="shared" si="204"/>
        <v>0.05</v>
      </c>
      <c r="N5311" s="475">
        <f t="shared" si="205"/>
        <v>212694</v>
      </c>
    </row>
    <row r="5312" spans="7:14" ht="11.25" customHeight="1" x14ac:dyDescent="0.3">
      <c r="G5312" s="470"/>
      <c r="H5312" s="470">
        <v>5305</v>
      </c>
      <c r="I5312" s="455">
        <f t="shared" ca="1" si="203"/>
        <v>1517292729487692.5</v>
      </c>
      <c r="J5312" s="455">
        <f t="array" ref="J5312">IFERROR(INDEX('Retirement Calculator'!J:J,MATCH('Isaac 401k'!N5312,'Retirement Calculator'!A:A,0),0),0)</f>
        <v>0</v>
      </c>
      <c r="K5312" s="455">
        <f t="shared" ca="1" si="201"/>
        <v>6322053039532.0518</v>
      </c>
      <c r="L5312" s="455">
        <f t="shared" ca="1" si="202"/>
        <v>1523614782527224.5</v>
      </c>
      <c r="M5312" s="471">
        <f t="shared" si="204"/>
        <v>0.05</v>
      </c>
      <c r="N5312" s="475">
        <f t="shared" si="205"/>
        <v>212725</v>
      </c>
    </row>
    <row r="5313" spans="7:14" ht="11.25" customHeight="1" x14ac:dyDescent="0.3">
      <c r="G5313" s="470"/>
      <c r="H5313" s="470">
        <v>5306</v>
      </c>
      <c r="I5313" s="455">
        <f t="shared" ca="1" si="203"/>
        <v>1523614782527224.5</v>
      </c>
      <c r="J5313" s="455">
        <f t="array" ref="J5313">IFERROR(INDEX('Retirement Calculator'!J:J,MATCH('Isaac 401k'!N5313,'Retirement Calculator'!A:A,0),0),0)</f>
        <v>0</v>
      </c>
      <c r="K5313" s="455">
        <f t="shared" ca="1" si="201"/>
        <v>6348394927196.7686</v>
      </c>
      <c r="L5313" s="455">
        <f t="shared" ca="1" si="202"/>
        <v>1529963177454421.3</v>
      </c>
      <c r="M5313" s="471">
        <f t="shared" si="204"/>
        <v>0.05</v>
      </c>
      <c r="N5313" s="475">
        <f t="shared" si="205"/>
        <v>212755</v>
      </c>
    </row>
    <row r="5314" spans="7:14" ht="11.25" customHeight="1" x14ac:dyDescent="0.3">
      <c r="G5314" s="470"/>
      <c r="H5314" s="470">
        <v>5307</v>
      </c>
      <c r="I5314" s="455">
        <f t="shared" ca="1" si="203"/>
        <v>1529963177454421.3</v>
      </c>
      <c r="J5314" s="455">
        <f t="array" ref="J5314">IFERROR(INDEX('Retirement Calculator'!J:J,MATCH('Isaac 401k'!N5314,'Retirement Calculator'!A:A,0),0),0)</f>
        <v>0</v>
      </c>
      <c r="K5314" s="455">
        <f t="shared" ca="1" si="201"/>
        <v>6374846572726.7549</v>
      </c>
      <c r="L5314" s="455">
        <f t="shared" ca="1" si="202"/>
        <v>1536338024027148</v>
      </c>
      <c r="M5314" s="471">
        <f t="shared" si="204"/>
        <v>0.05</v>
      </c>
      <c r="N5314" s="475">
        <f t="shared" si="205"/>
        <v>212786</v>
      </c>
    </row>
    <row r="5315" spans="7:14" ht="11.25" customHeight="1" x14ac:dyDescent="0.3">
      <c r="G5315" s="470"/>
      <c r="H5315" s="470">
        <v>5308</v>
      </c>
      <c r="I5315" s="455">
        <f t="shared" ca="1" si="203"/>
        <v>1536338024027148</v>
      </c>
      <c r="J5315" s="455">
        <f t="array" ref="J5315">IFERROR(INDEX('Retirement Calculator'!J:J,MATCH('Isaac 401k'!N5315,'Retirement Calculator'!A:A,0),0),0)</f>
        <v>0</v>
      </c>
      <c r="K5315" s="455">
        <f t="shared" ca="1" si="201"/>
        <v>6401408433446.4502</v>
      </c>
      <c r="L5315" s="455">
        <f t="shared" ca="1" si="202"/>
        <v>1542739432460594.5</v>
      </c>
      <c r="M5315" s="471">
        <f t="shared" si="204"/>
        <v>0.05</v>
      </c>
      <c r="N5315" s="475">
        <f t="shared" si="205"/>
        <v>212817</v>
      </c>
    </row>
    <row r="5316" spans="7:14" ht="11.25" customHeight="1" x14ac:dyDescent="0.3">
      <c r="G5316" s="470"/>
      <c r="H5316" s="470">
        <v>5309</v>
      </c>
      <c r="I5316" s="455">
        <f t="shared" ca="1" si="203"/>
        <v>1542739432460594.5</v>
      </c>
      <c r="J5316" s="455">
        <f t="array" ref="J5316">IFERROR(INDEX('Retirement Calculator'!J:J,MATCH('Isaac 401k'!N5316,'Retirement Calculator'!A:A,0),0),0)</f>
        <v>0</v>
      </c>
      <c r="K5316" s="455">
        <f t="shared" ca="1" si="201"/>
        <v>6428080968585.8105</v>
      </c>
      <c r="L5316" s="455">
        <f t="shared" ca="1" si="202"/>
        <v>1549167513429180.3</v>
      </c>
      <c r="M5316" s="471">
        <f t="shared" si="204"/>
        <v>0.05</v>
      </c>
      <c r="N5316" s="475">
        <f t="shared" si="205"/>
        <v>212847</v>
      </c>
    </row>
    <row r="5317" spans="7:14" ht="11.25" customHeight="1" x14ac:dyDescent="0.3">
      <c r="G5317" s="470"/>
      <c r="H5317" s="470">
        <v>5310</v>
      </c>
      <c r="I5317" s="455">
        <f t="shared" ca="1" si="203"/>
        <v>1549167513429180.3</v>
      </c>
      <c r="J5317" s="455">
        <f t="array" ref="J5317">IFERROR(INDEX('Retirement Calculator'!J:J,MATCH('Isaac 401k'!N5317,'Retirement Calculator'!A:A,0),0),0)</f>
        <v>0</v>
      </c>
      <c r="K5317" s="455">
        <f t="shared" ca="1" si="201"/>
        <v>6454864639288.251</v>
      </c>
      <c r="L5317" s="455">
        <f t="shared" ca="1" si="202"/>
        <v>1555622378068468.5</v>
      </c>
      <c r="M5317" s="471">
        <f t="shared" si="204"/>
        <v>0.05</v>
      </c>
      <c r="N5317" s="475">
        <f t="shared" si="205"/>
        <v>212878</v>
      </c>
    </row>
    <row r="5318" spans="7:14" ht="11.25" customHeight="1" x14ac:dyDescent="0.3">
      <c r="G5318" s="470"/>
      <c r="H5318" s="470">
        <v>5311</v>
      </c>
      <c r="I5318" s="455">
        <f t="shared" ca="1" si="203"/>
        <v>1555622378068468.5</v>
      </c>
      <c r="J5318" s="455">
        <f t="array" ref="J5318">IFERROR(INDEX('Retirement Calculator'!J:J,MATCH('Isaac 401k'!N5318,'Retirement Calculator'!A:A,0),0),0)</f>
        <v>0</v>
      </c>
      <c r="K5318" s="455">
        <f t="shared" ca="1" si="201"/>
        <v>6481759908618.6191</v>
      </c>
      <c r="L5318" s="455">
        <f t="shared" ca="1" si="202"/>
        <v>1562104137977087</v>
      </c>
      <c r="M5318" s="471">
        <f t="shared" si="204"/>
        <v>0.05</v>
      </c>
      <c r="N5318" s="475">
        <f t="shared" si="205"/>
        <v>212908</v>
      </c>
    </row>
    <row r="5319" spans="7:14" ht="11.25" customHeight="1" x14ac:dyDescent="0.3">
      <c r="G5319" s="470"/>
      <c r="H5319" s="470">
        <v>5312</v>
      </c>
      <c r="I5319" s="455">
        <f t="shared" ca="1" si="203"/>
        <v>1562104137977087</v>
      </c>
      <c r="J5319" s="455">
        <f t="array" ref="J5319">IFERROR(INDEX('Retirement Calculator'!J:J,MATCH('Isaac 401k'!N5319,'Retirement Calculator'!A:A,0),0),0)</f>
        <v>0</v>
      </c>
      <c r="K5319" s="455">
        <f t="shared" ca="1" si="201"/>
        <v>6508767241571.1953</v>
      </c>
      <c r="L5319" s="455">
        <f t="shared" ca="1" si="202"/>
        <v>1568612905218658.3</v>
      </c>
      <c r="M5319" s="471">
        <f t="shared" si="204"/>
        <v>0.05</v>
      </c>
      <c r="N5319" s="475">
        <f t="shared" si="205"/>
        <v>212939</v>
      </c>
    </row>
    <row r="5320" spans="7:14" ht="11.25" customHeight="1" x14ac:dyDescent="0.3">
      <c r="G5320" s="470"/>
      <c r="H5320" s="470">
        <v>5313</v>
      </c>
      <c r="I5320" s="455">
        <f t="shared" ca="1" si="203"/>
        <v>1568612905218658.3</v>
      </c>
      <c r="J5320" s="455">
        <f t="array" ref="J5320">IFERROR(INDEX('Retirement Calculator'!J:J,MATCH('Isaac 401k'!N5320,'Retirement Calculator'!A:A,0),0),0)</f>
        <v>0</v>
      </c>
      <c r="K5320" s="455">
        <f t="shared" ca="1" si="201"/>
        <v>6535887105077.7422</v>
      </c>
      <c r="L5320" s="455">
        <f t="shared" ca="1" si="202"/>
        <v>1575148792323736</v>
      </c>
      <c r="M5320" s="471">
        <f t="shared" si="204"/>
        <v>0.05</v>
      </c>
      <c r="N5320" s="475">
        <f t="shared" si="205"/>
        <v>212970</v>
      </c>
    </row>
    <row r="5321" spans="7:14" ht="11.25" customHeight="1" x14ac:dyDescent="0.3">
      <c r="G5321" s="470"/>
      <c r="H5321" s="470">
        <v>5314</v>
      </c>
      <c r="I5321" s="455">
        <f t="shared" ca="1" si="203"/>
        <v>1575148792323736</v>
      </c>
      <c r="J5321" s="455">
        <f t="array" ref="J5321">IFERROR(INDEX('Retirement Calculator'!J:J,MATCH('Isaac 401k'!N5321,'Retirement Calculator'!A:A,0),0),0)</f>
        <v>0</v>
      </c>
      <c r="K5321" s="455">
        <f t="shared" ca="1" si="201"/>
        <v>6563119968015.5664</v>
      </c>
      <c r="L5321" s="455">
        <f t="shared" ca="1" si="202"/>
        <v>1581711912291751.5</v>
      </c>
      <c r="M5321" s="471">
        <f t="shared" si="204"/>
        <v>0.05</v>
      </c>
      <c r="N5321" s="475">
        <f t="shared" si="205"/>
        <v>212998</v>
      </c>
    </row>
    <row r="5322" spans="7:14" ht="11.25" customHeight="1" x14ac:dyDescent="0.3">
      <c r="G5322" s="470"/>
      <c r="H5322" s="470">
        <v>5315</v>
      </c>
      <c r="I5322" s="455">
        <f t="shared" ca="1" si="203"/>
        <v>1581711912291751.5</v>
      </c>
      <c r="J5322" s="455">
        <f t="array" ref="J5322">IFERROR(INDEX('Retirement Calculator'!J:J,MATCH('Isaac 401k'!N5322,'Retirement Calculator'!A:A,0),0),0)</f>
        <v>0</v>
      </c>
      <c r="K5322" s="455">
        <f t="shared" ca="1" si="201"/>
        <v>6590466301215.6309</v>
      </c>
      <c r="L5322" s="455">
        <f t="shared" ca="1" si="202"/>
        <v>1588302378592967.3</v>
      </c>
      <c r="M5322" s="471">
        <f t="shared" si="204"/>
        <v>0.05</v>
      </c>
      <c r="N5322" s="475">
        <f t="shared" si="205"/>
        <v>213029</v>
      </c>
    </row>
    <row r="5323" spans="7:14" ht="11.25" customHeight="1" x14ac:dyDescent="0.3">
      <c r="G5323" s="470"/>
      <c r="H5323" s="470">
        <v>5316</v>
      </c>
      <c r="I5323" s="455">
        <f t="shared" ca="1" si="203"/>
        <v>1588302378592967.3</v>
      </c>
      <c r="J5323" s="455">
        <f t="array" ref="J5323">IFERROR(INDEX('Retirement Calculator'!J:J,MATCH('Isaac 401k'!N5323,'Retirement Calculator'!A:A,0),0),0)</f>
        <v>0</v>
      </c>
      <c r="K5323" s="455">
        <f t="shared" ca="1" si="201"/>
        <v>6617926577470.6973</v>
      </c>
      <c r="L5323" s="455">
        <f t="shared" ca="1" si="202"/>
        <v>1594920305170438</v>
      </c>
      <c r="M5323" s="471">
        <f t="shared" si="204"/>
        <v>0.05</v>
      </c>
      <c r="N5323" s="475">
        <f t="shared" si="205"/>
        <v>213059</v>
      </c>
    </row>
    <row r="5324" spans="7:14" ht="11.25" customHeight="1" x14ac:dyDescent="0.3">
      <c r="G5324" s="470"/>
      <c r="H5324" s="470">
        <v>5317</v>
      </c>
      <c r="I5324" s="455">
        <f t="shared" ca="1" si="203"/>
        <v>1594920305170438</v>
      </c>
      <c r="J5324" s="455">
        <f t="array" ref="J5324">IFERROR(INDEX('Retirement Calculator'!J:J,MATCH('Isaac 401k'!N5324,'Retirement Calculator'!A:A,0),0),0)</f>
        <v>0</v>
      </c>
      <c r="K5324" s="455">
        <f t="shared" ca="1" si="201"/>
        <v>6645501271543.4912</v>
      </c>
      <c r="L5324" s="455">
        <f t="shared" ca="1" si="202"/>
        <v>1601565806441981.5</v>
      </c>
      <c r="M5324" s="471">
        <f t="shared" si="204"/>
        <v>0.05</v>
      </c>
      <c r="N5324" s="475">
        <f t="shared" si="205"/>
        <v>213090</v>
      </c>
    </row>
    <row r="5325" spans="7:14" ht="11.25" customHeight="1" x14ac:dyDescent="0.3">
      <c r="G5325" s="470"/>
      <c r="H5325" s="470">
        <v>5318</v>
      </c>
      <c r="I5325" s="455">
        <f t="shared" ca="1" si="203"/>
        <v>1601565806441981.5</v>
      </c>
      <c r="J5325" s="455">
        <f t="array" ref="J5325">IFERROR(INDEX('Retirement Calculator'!J:J,MATCH('Isaac 401k'!N5325,'Retirement Calculator'!A:A,0),0),0)</f>
        <v>0</v>
      </c>
      <c r="K5325" s="455">
        <f t="shared" ca="1" si="201"/>
        <v>6673190860174.9229</v>
      </c>
      <c r="L5325" s="455">
        <f t="shared" ca="1" si="202"/>
        <v>1608238997302156.5</v>
      </c>
      <c r="M5325" s="471">
        <f t="shared" si="204"/>
        <v>0.05</v>
      </c>
      <c r="N5325" s="475">
        <f t="shared" si="205"/>
        <v>213120</v>
      </c>
    </row>
    <row r="5326" spans="7:14" ht="11.25" customHeight="1" x14ac:dyDescent="0.3">
      <c r="G5326" s="470"/>
      <c r="H5326" s="470">
        <v>5319</v>
      </c>
      <c r="I5326" s="455">
        <f t="shared" ca="1" si="203"/>
        <v>1608238997302156.5</v>
      </c>
      <c r="J5326" s="455">
        <f t="array" ref="J5326">IFERROR(INDEX('Retirement Calculator'!J:J,MATCH('Isaac 401k'!N5326,'Retirement Calculator'!A:A,0),0),0)</f>
        <v>0</v>
      </c>
      <c r="K5326" s="455">
        <f t="shared" ca="1" si="201"/>
        <v>6700995822092.3184</v>
      </c>
      <c r="L5326" s="455">
        <f t="shared" ca="1" si="202"/>
        <v>1614939993124248.8</v>
      </c>
      <c r="M5326" s="471">
        <f t="shared" si="204"/>
        <v>0.05</v>
      </c>
      <c r="N5326" s="475">
        <f t="shared" si="205"/>
        <v>213151</v>
      </c>
    </row>
    <row r="5327" spans="7:14" ht="11.25" customHeight="1" x14ac:dyDescent="0.3">
      <c r="G5327" s="470"/>
      <c r="H5327" s="470">
        <v>5320</v>
      </c>
      <c r="I5327" s="455">
        <f t="shared" ca="1" si="203"/>
        <v>1614939993124248.8</v>
      </c>
      <c r="J5327" s="455">
        <f t="array" ref="J5327">IFERROR(INDEX('Retirement Calculator'!J:J,MATCH('Isaac 401k'!N5327,'Retirement Calculator'!A:A,0),0),0)</f>
        <v>0</v>
      </c>
      <c r="K5327" s="455">
        <f t="shared" ca="1" si="201"/>
        <v>6728916638017.7031</v>
      </c>
      <c r="L5327" s="455">
        <f t="shared" ca="1" si="202"/>
        <v>1621668909762266.5</v>
      </c>
      <c r="M5327" s="471">
        <f t="shared" si="204"/>
        <v>0.05</v>
      </c>
      <c r="N5327" s="475">
        <f t="shared" si="205"/>
        <v>213182</v>
      </c>
    </row>
    <row r="5328" spans="7:14" ht="11.25" customHeight="1" x14ac:dyDescent="0.3">
      <c r="G5328" s="470"/>
      <c r="H5328" s="470">
        <v>5321</v>
      </c>
      <c r="I5328" s="455">
        <f t="shared" ca="1" si="203"/>
        <v>1621668909762266.5</v>
      </c>
      <c r="J5328" s="455">
        <f t="array" ref="J5328">IFERROR(INDEX('Retirement Calculator'!J:J,MATCH('Isaac 401k'!N5328,'Retirement Calculator'!A:A,0),0),0)</f>
        <v>0</v>
      </c>
      <c r="K5328" s="455">
        <f t="shared" ca="1" si="201"/>
        <v>6756953790676.1104</v>
      </c>
      <c r="L5328" s="455">
        <f t="shared" ca="1" si="202"/>
        <v>1628425863552942.5</v>
      </c>
      <c r="M5328" s="471">
        <f t="shared" si="204"/>
        <v>0.05</v>
      </c>
      <c r="N5328" s="475">
        <f t="shared" si="205"/>
        <v>213212</v>
      </c>
    </row>
    <row r="5329" spans="7:14" ht="11.25" customHeight="1" x14ac:dyDescent="0.3">
      <c r="G5329" s="470"/>
      <c r="H5329" s="470">
        <v>5322</v>
      </c>
      <c r="I5329" s="455">
        <f t="shared" ca="1" si="203"/>
        <v>1628425863552942.5</v>
      </c>
      <c r="J5329" s="455">
        <f t="array" ref="J5329">IFERROR(INDEX('Retirement Calculator'!J:J,MATCH('Isaac 401k'!N5329,'Retirement Calculator'!A:A,0),0),0)</f>
        <v>0</v>
      </c>
      <c r="K5329" s="455">
        <f t="shared" ca="1" si="201"/>
        <v>6785107764803.9268</v>
      </c>
      <c r="L5329" s="455">
        <f t="shared" ca="1" si="202"/>
        <v>1635210971317746.5</v>
      </c>
      <c r="M5329" s="471">
        <f t="shared" si="204"/>
        <v>0.05</v>
      </c>
      <c r="N5329" s="475">
        <f t="shared" si="205"/>
        <v>213243</v>
      </c>
    </row>
    <row r="5330" spans="7:14" ht="11.25" customHeight="1" x14ac:dyDescent="0.3">
      <c r="G5330" s="470"/>
      <c r="H5330" s="470">
        <v>5323</v>
      </c>
      <c r="I5330" s="455">
        <f t="shared" ca="1" si="203"/>
        <v>1635210971317746.5</v>
      </c>
      <c r="J5330" s="455">
        <f t="array" ref="J5330">IFERROR(INDEX('Retirement Calculator'!J:J,MATCH('Isaac 401k'!N5330,'Retirement Calculator'!A:A,0),0),0)</f>
        <v>0</v>
      </c>
      <c r="K5330" s="455">
        <f t="shared" ca="1" si="201"/>
        <v>6813379047157.2773</v>
      </c>
      <c r="L5330" s="455">
        <f t="shared" ca="1" si="202"/>
        <v>1642024350364903.8</v>
      </c>
      <c r="M5330" s="471">
        <f t="shared" si="204"/>
        <v>0.05</v>
      </c>
      <c r="N5330" s="475">
        <f t="shared" si="205"/>
        <v>213273</v>
      </c>
    </row>
    <row r="5331" spans="7:14" ht="11.25" customHeight="1" x14ac:dyDescent="0.3">
      <c r="G5331" s="470"/>
      <c r="H5331" s="470">
        <v>5324</v>
      </c>
      <c r="I5331" s="455">
        <f t="shared" ca="1" si="203"/>
        <v>1642024350364903.8</v>
      </c>
      <c r="J5331" s="455">
        <f t="array" ref="J5331">IFERROR(INDEX('Retirement Calculator'!J:J,MATCH('Isaac 401k'!N5331,'Retirement Calculator'!A:A,0),0),0)</f>
        <v>0</v>
      </c>
      <c r="K5331" s="455">
        <f t="shared" ca="1" si="201"/>
        <v>6841768126520.4326</v>
      </c>
      <c r="L5331" s="455">
        <f t="shared" ca="1" si="202"/>
        <v>1648866118491424.3</v>
      </c>
      <c r="M5331" s="471">
        <f t="shared" si="204"/>
        <v>0.05</v>
      </c>
      <c r="N5331" s="475">
        <f t="shared" si="205"/>
        <v>213304</v>
      </c>
    </row>
    <row r="5332" spans="7:14" ht="11.25" customHeight="1" x14ac:dyDescent="0.3">
      <c r="G5332" s="470"/>
      <c r="H5332" s="470">
        <v>5325</v>
      </c>
      <c r="I5332" s="455">
        <f t="shared" ca="1" si="203"/>
        <v>1648866118491424.3</v>
      </c>
      <c r="J5332" s="455">
        <f t="array" ref="J5332">IFERROR(INDEX('Retirement Calculator'!J:J,MATCH('Isaac 401k'!N5332,'Retirement Calculator'!A:A,0),0),0)</f>
        <v>0</v>
      </c>
      <c r="K5332" s="455">
        <f t="shared" ca="1" si="201"/>
        <v>6870275493714.2676</v>
      </c>
      <c r="L5332" s="455">
        <f t="shared" ca="1" si="202"/>
        <v>1655736393985138.5</v>
      </c>
      <c r="M5332" s="471">
        <f t="shared" si="204"/>
        <v>0.05</v>
      </c>
      <c r="N5332" s="475">
        <f t="shared" si="205"/>
        <v>213335</v>
      </c>
    </row>
    <row r="5333" spans="7:14" ht="11.25" customHeight="1" x14ac:dyDescent="0.3">
      <c r="G5333" s="470"/>
      <c r="H5333" s="470">
        <v>5326</v>
      </c>
      <c r="I5333" s="455">
        <f t="shared" ca="1" si="203"/>
        <v>1655736393985138.5</v>
      </c>
      <c r="J5333" s="455">
        <f t="array" ref="J5333">IFERROR(INDEX('Retirement Calculator'!J:J,MATCH('Isaac 401k'!N5333,'Retirement Calculator'!A:A,0),0),0)</f>
        <v>0</v>
      </c>
      <c r="K5333" s="455">
        <f t="shared" ca="1" si="201"/>
        <v>6898901641604.7441</v>
      </c>
      <c r="L5333" s="455">
        <f t="shared" ca="1" si="202"/>
        <v>1662635295626743.3</v>
      </c>
      <c r="M5333" s="471">
        <f t="shared" si="204"/>
        <v>0.05</v>
      </c>
      <c r="N5333" s="475">
        <f t="shared" si="205"/>
        <v>213364</v>
      </c>
    </row>
    <row r="5334" spans="7:14" ht="11.25" customHeight="1" x14ac:dyDescent="0.3">
      <c r="G5334" s="470"/>
      <c r="H5334" s="470">
        <v>5327</v>
      </c>
      <c r="I5334" s="455">
        <f t="shared" ca="1" si="203"/>
        <v>1662635295626743.3</v>
      </c>
      <c r="J5334" s="455">
        <f t="array" ref="J5334">IFERROR(INDEX('Retirement Calculator'!J:J,MATCH('Isaac 401k'!N5334,'Retirement Calculator'!A:A,0),0),0)</f>
        <v>0</v>
      </c>
      <c r="K5334" s="455">
        <f t="shared" ca="1" si="201"/>
        <v>6927647065111.4297</v>
      </c>
      <c r="L5334" s="455">
        <f t="shared" ca="1" si="202"/>
        <v>1669562942691854.8</v>
      </c>
      <c r="M5334" s="471">
        <f t="shared" si="204"/>
        <v>0.05</v>
      </c>
      <c r="N5334" s="475">
        <f t="shared" si="205"/>
        <v>213395</v>
      </c>
    </row>
    <row r="5335" spans="7:14" ht="11.25" customHeight="1" x14ac:dyDescent="0.3">
      <c r="G5335" s="470"/>
      <c r="H5335" s="470">
        <v>5328</v>
      </c>
      <c r="I5335" s="455">
        <f t="shared" ca="1" si="203"/>
        <v>1669562942691854.8</v>
      </c>
      <c r="J5335" s="455">
        <f t="array" ref="J5335">IFERROR(INDEX('Retirement Calculator'!J:J,MATCH('Isaac 401k'!N5335,'Retirement Calculator'!A:A,0),0),0)</f>
        <v>0</v>
      </c>
      <c r="K5335" s="455">
        <f t="shared" ca="1" si="201"/>
        <v>6956512261216.0615</v>
      </c>
      <c r="L5335" s="455">
        <f t="shared" ca="1" si="202"/>
        <v>1676519454953070.8</v>
      </c>
      <c r="M5335" s="471">
        <f t="shared" si="204"/>
        <v>0.05</v>
      </c>
      <c r="N5335" s="475">
        <f t="shared" si="205"/>
        <v>213425</v>
      </c>
    </row>
    <row r="5336" spans="7:14" ht="11.25" customHeight="1" x14ac:dyDescent="0.3">
      <c r="G5336" s="470"/>
      <c r="H5336" s="470">
        <v>5329</v>
      </c>
      <c r="I5336" s="455">
        <f t="shared" ca="1" si="203"/>
        <v>1676519454953070.8</v>
      </c>
      <c r="J5336" s="455">
        <f t="array" ref="J5336">IFERROR(INDEX('Retirement Calculator'!J:J,MATCH('Isaac 401k'!N5336,'Retirement Calculator'!A:A,0),0),0)</f>
        <v>0</v>
      </c>
      <c r="K5336" s="455">
        <f t="shared" ca="1" si="201"/>
        <v>6985497728971.1279</v>
      </c>
      <c r="L5336" s="455">
        <f t="shared" ca="1" si="202"/>
        <v>1683504952682042</v>
      </c>
      <c r="M5336" s="471">
        <f t="shared" si="204"/>
        <v>0.05</v>
      </c>
      <c r="N5336" s="475">
        <f t="shared" si="205"/>
        <v>213456</v>
      </c>
    </row>
    <row r="5337" spans="7:14" ht="11.25" customHeight="1" x14ac:dyDescent="0.3">
      <c r="G5337" s="470"/>
      <c r="H5337" s="470">
        <v>5330</v>
      </c>
      <c r="I5337" s="455">
        <f t="shared" ca="1" si="203"/>
        <v>1683504952682042</v>
      </c>
      <c r="J5337" s="455">
        <f t="array" ref="J5337">IFERROR(INDEX('Retirement Calculator'!J:J,MATCH('Isaac 401k'!N5337,'Retirement Calculator'!A:A,0),0),0)</f>
        <v>0</v>
      </c>
      <c r="K5337" s="455">
        <f t="shared" ca="1" si="201"/>
        <v>7014603969508.5078</v>
      </c>
      <c r="L5337" s="455">
        <f t="shared" ca="1" si="202"/>
        <v>1690519556651550.5</v>
      </c>
      <c r="M5337" s="471">
        <f t="shared" si="204"/>
        <v>0.05</v>
      </c>
      <c r="N5337" s="475">
        <f t="shared" si="205"/>
        <v>213486</v>
      </c>
    </row>
    <row r="5338" spans="7:14" ht="11.25" customHeight="1" x14ac:dyDescent="0.3">
      <c r="G5338" s="470"/>
      <c r="H5338" s="470">
        <v>5331</v>
      </c>
      <c r="I5338" s="455">
        <f t="shared" ca="1" si="203"/>
        <v>1690519556651550.5</v>
      </c>
      <c r="J5338" s="455">
        <f t="array" ref="J5338">IFERROR(INDEX('Retirement Calculator'!J:J,MATCH('Isaac 401k'!N5338,'Retirement Calculator'!A:A,0),0),0)</f>
        <v>0</v>
      </c>
      <c r="K5338" s="455">
        <f t="shared" ca="1" si="201"/>
        <v>7043831486048.127</v>
      </c>
      <c r="L5338" s="455">
        <f t="shared" ca="1" si="202"/>
        <v>1697563388137598.8</v>
      </c>
      <c r="M5338" s="471">
        <f t="shared" si="204"/>
        <v>0.05</v>
      </c>
      <c r="N5338" s="475">
        <f t="shared" si="205"/>
        <v>213517</v>
      </c>
    </row>
    <row r="5339" spans="7:14" ht="11.25" customHeight="1" x14ac:dyDescent="0.3">
      <c r="G5339" s="470"/>
      <c r="H5339" s="470">
        <v>5332</v>
      </c>
      <c r="I5339" s="455">
        <f t="shared" ca="1" si="203"/>
        <v>1697563388137598.8</v>
      </c>
      <c r="J5339" s="455">
        <f t="array" ref="J5339">IFERROR(INDEX('Retirement Calculator'!J:J,MATCH('Isaac 401k'!N5339,'Retirement Calculator'!A:A,0),0),0)</f>
        <v>0</v>
      </c>
      <c r="K5339" s="455">
        <f t="shared" ca="1" si="201"/>
        <v>7073180783906.6611</v>
      </c>
      <c r="L5339" s="455">
        <f t="shared" ca="1" si="202"/>
        <v>1704636568921505.5</v>
      </c>
      <c r="M5339" s="471">
        <f t="shared" si="204"/>
        <v>0.05</v>
      </c>
      <c r="N5339" s="475">
        <f t="shared" si="205"/>
        <v>213548</v>
      </c>
    </row>
    <row r="5340" spans="7:14" ht="11.25" customHeight="1" x14ac:dyDescent="0.3">
      <c r="G5340" s="470"/>
      <c r="H5340" s="470">
        <v>5333</v>
      </c>
      <c r="I5340" s="455">
        <f t="shared" ca="1" si="203"/>
        <v>1704636568921505.5</v>
      </c>
      <c r="J5340" s="455">
        <f t="array" ref="J5340">IFERROR(INDEX('Retirement Calculator'!J:J,MATCH('Isaac 401k'!N5340,'Retirement Calculator'!A:A,0),0),0)</f>
        <v>0</v>
      </c>
      <c r="K5340" s="455">
        <f t="shared" ca="1" si="201"/>
        <v>7102652370506.2725</v>
      </c>
      <c r="L5340" s="455">
        <f t="shared" ca="1" si="202"/>
        <v>1711739221292011.8</v>
      </c>
      <c r="M5340" s="471">
        <f t="shared" si="204"/>
        <v>0.05</v>
      </c>
      <c r="N5340" s="475">
        <f t="shared" si="205"/>
        <v>213578</v>
      </c>
    </row>
    <row r="5341" spans="7:14" ht="11.25" customHeight="1" x14ac:dyDescent="0.3">
      <c r="G5341" s="470"/>
      <c r="H5341" s="470">
        <v>5334</v>
      </c>
      <c r="I5341" s="455">
        <f t="shared" ca="1" si="203"/>
        <v>1711739221292011.8</v>
      </c>
      <c r="J5341" s="455">
        <f t="array" ref="J5341">IFERROR(INDEX('Retirement Calculator'!J:J,MATCH('Isaac 401k'!N5341,'Retirement Calculator'!A:A,0),0),0)</f>
        <v>0</v>
      </c>
      <c r="K5341" s="455">
        <f t="shared" ca="1" si="201"/>
        <v>7132246755383.3818</v>
      </c>
      <c r="L5341" s="455">
        <f t="shared" ca="1" si="202"/>
        <v>1718871468047395.3</v>
      </c>
      <c r="M5341" s="471">
        <f t="shared" si="204"/>
        <v>0.05</v>
      </c>
      <c r="N5341" s="475">
        <f t="shared" si="205"/>
        <v>213609</v>
      </c>
    </row>
    <row r="5342" spans="7:14" ht="11.25" customHeight="1" x14ac:dyDescent="0.3">
      <c r="G5342" s="470"/>
      <c r="H5342" s="470">
        <v>5335</v>
      </c>
      <c r="I5342" s="455">
        <f t="shared" ca="1" si="203"/>
        <v>1718871468047395.3</v>
      </c>
      <c r="J5342" s="455">
        <f t="array" ref="J5342">IFERROR(INDEX('Retirement Calculator'!J:J,MATCH('Isaac 401k'!N5342,'Retirement Calculator'!A:A,0),0),0)</f>
        <v>0</v>
      </c>
      <c r="K5342" s="455">
        <f t="shared" ca="1" si="201"/>
        <v>7161964450197.4805</v>
      </c>
      <c r="L5342" s="455">
        <f t="shared" ca="1" si="202"/>
        <v>1726033432497592.8</v>
      </c>
      <c r="M5342" s="471">
        <f t="shared" si="204"/>
        <v>0.05</v>
      </c>
      <c r="N5342" s="475">
        <f t="shared" si="205"/>
        <v>213639</v>
      </c>
    </row>
    <row r="5343" spans="7:14" ht="11.25" customHeight="1" x14ac:dyDescent="0.3">
      <c r="G5343" s="470"/>
      <c r="H5343" s="470">
        <v>5336</v>
      </c>
      <c r="I5343" s="455">
        <f t="shared" ca="1" si="203"/>
        <v>1726033432497592.8</v>
      </c>
      <c r="J5343" s="455">
        <f t="array" ref="J5343">IFERROR(INDEX('Retirement Calculator'!J:J,MATCH('Isaac 401k'!N5343,'Retirement Calculator'!A:A,0),0),0)</f>
        <v>0</v>
      </c>
      <c r="K5343" s="455">
        <f t="shared" ca="1" si="201"/>
        <v>7191805968739.9697</v>
      </c>
      <c r="L5343" s="455">
        <f t="shared" ca="1" si="202"/>
        <v>1733225238466332.8</v>
      </c>
      <c r="M5343" s="471">
        <f t="shared" si="204"/>
        <v>0.05</v>
      </c>
      <c r="N5343" s="475">
        <f t="shared" si="205"/>
        <v>213670</v>
      </c>
    </row>
    <row r="5344" spans="7:14" ht="11.25" customHeight="1" x14ac:dyDescent="0.3">
      <c r="G5344" s="470"/>
      <c r="H5344" s="470">
        <v>5337</v>
      </c>
      <c r="I5344" s="455">
        <f t="shared" ca="1" si="203"/>
        <v>1733225238466332.8</v>
      </c>
      <c r="J5344" s="455">
        <f t="array" ref="J5344">IFERROR(INDEX('Retirement Calculator'!J:J,MATCH('Isaac 401k'!N5344,'Retirement Calculator'!A:A,0),0),0)</f>
        <v>0</v>
      </c>
      <c r="K5344" s="455">
        <f t="shared" ca="1" si="201"/>
        <v>7221771826943.0527</v>
      </c>
      <c r="L5344" s="455">
        <f t="shared" ca="1" si="202"/>
        <v>1740447010293275.8</v>
      </c>
      <c r="M5344" s="471">
        <f t="shared" si="204"/>
        <v>0.05</v>
      </c>
      <c r="N5344" s="475">
        <f t="shared" si="205"/>
        <v>213701</v>
      </c>
    </row>
    <row r="5345" spans="7:14" ht="11.25" customHeight="1" x14ac:dyDescent="0.3">
      <c r="G5345" s="470"/>
      <c r="H5345" s="470">
        <v>5338</v>
      </c>
      <c r="I5345" s="455">
        <f t="shared" ca="1" si="203"/>
        <v>1740447010293275.8</v>
      </c>
      <c r="J5345" s="455">
        <f t="array" ref="J5345">IFERROR(INDEX('Retirement Calculator'!J:J,MATCH('Isaac 401k'!N5345,'Retirement Calculator'!A:A,0),0),0)</f>
        <v>0</v>
      </c>
      <c r="K5345" s="455">
        <f t="shared" ca="1" si="201"/>
        <v>7251862542888.6484</v>
      </c>
      <c r="L5345" s="455">
        <f t="shared" ca="1" si="202"/>
        <v>1747698872836164.5</v>
      </c>
      <c r="M5345" s="471">
        <f t="shared" si="204"/>
        <v>0.05</v>
      </c>
      <c r="N5345" s="475">
        <f t="shared" si="205"/>
        <v>213729</v>
      </c>
    </row>
    <row r="5346" spans="7:14" ht="11.25" customHeight="1" x14ac:dyDescent="0.3">
      <c r="G5346" s="470"/>
      <c r="H5346" s="470">
        <v>5339</v>
      </c>
      <c r="I5346" s="455">
        <f t="shared" ca="1" si="203"/>
        <v>1747698872836164.5</v>
      </c>
      <c r="J5346" s="455">
        <f t="array" ref="J5346">IFERROR(INDEX('Retirement Calculator'!J:J,MATCH('Isaac 401k'!N5346,'Retirement Calculator'!A:A,0),0),0)</f>
        <v>0</v>
      </c>
      <c r="K5346" s="455">
        <f t="shared" ca="1" si="201"/>
        <v>7282078636817.3516</v>
      </c>
      <c r="L5346" s="455">
        <f t="shared" ca="1" si="202"/>
        <v>1754980951472981.8</v>
      </c>
      <c r="M5346" s="471">
        <f t="shared" si="204"/>
        <v>0.05</v>
      </c>
      <c r="N5346" s="475">
        <f t="shared" si="205"/>
        <v>213760</v>
      </c>
    </row>
    <row r="5347" spans="7:14" ht="11.25" customHeight="1" x14ac:dyDescent="0.3">
      <c r="G5347" s="470"/>
      <c r="H5347" s="470">
        <v>5340</v>
      </c>
      <c r="I5347" s="455">
        <f t="shared" ca="1" si="203"/>
        <v>1754980951472981.8</v>
      </c>
      <c r="J5347" s="455">
        <f t="array" ref="J5347">IFERROR(INDEX('Retirement Calculator'!J:J,MATCH('Isaac 401k'!N5347,'Retirement Calculator'!A:A,0),0),0)</f>
        <v>0</v>
      </c>
      <c r="K5347" s="455">
        <f t="shared" ca="1" si="201"/>
        <v>7312420631137.4238</v>
      </c>
      <c r="L5347" s="455">
        <f t="shared" ca="1" si="202"/>
        <v>1762293372104119.3</v>
      </c>
      <c r="M5347" s="471">
        <f t="shared" si="204"/>
        <v>0.05</v>
      </c>
      <c r="N5347" s="475">
        <f t="shared" si="205"/>
        <v>213790</v>
      </c>
    </row>
    <row r="5348" spans="7:14" ht="11.25" customHeight="1" x14ac:dyDescent="0.3">
      <c r="G5348" s="470"/>
      <c r="H5348" s="470">
        <v>5341</v>
      </c>
      <c r="I5348" s="455">
        <f t="shared" ca="1" si="203"/>
        <v>1762293372104119.3</v>
      </c>
      <c r="J5348" s="455">
        <f t="array" ref="J5348">IFERROR(INDEX('Retirement Calculator'!J:J,MATCH('Isaac 401k'!N5348,'Retirement Calculator'!A:A,0),0),0)</f>
        <v>0</v>
      </c>
      <c r="K5348" s="455">
        <f t="shared" ca="1" si="201"/>
        <v>7342889050433.8291</v>
      </c>
      <c r="L5348" s="455">
        <f t="shared" ca="1" si="202"/>
        <v>1769636261154553</v>
      </c>
      <c r="M5348" s="471">
        <f t="shared" si="204"/>
        <v>0.05</v>
      </c>
      <c r="N5348" s="475">
        <f t="shared" si="205"/>
        <v>213821</v>
      </c>
    </row>
    <row r="5349" spans="7:14" ht="11.25" customHeight="1" x14ac:dyDescent="0.3">
      <c r="G5349" s="470"/>
      <c r="H5349" s="470">
        <v>5342</v>
      </c>
      <c r="I5349" s="455">
        <f t="shared" ca="1" si="203"/>
        <v>1769636261154553</v>
      </c>
      <c r="J5349" s="455">
        <f t="array" ref="J5349">IFERROR(INDEX('Retirement Calculator'!J:J,MATCH('Isaac 401k'!N5349,'Retirement Calculator'!A:A,0),0),0)</f>
        <v>0</v>
      </c>
      <c r="K5349" s="455">
        <f t="shared" ca="1" si="201"/>
        <v>7373484421477.3037</v>
      </c>
      <c r="L5349" s="455">
        <f t="shared" ca="1" si="202"/>
        <v>1777009745576030.3</v>
      </c>
      <c r="M5349" s="471">
        <f t="shared" si="204"/>
        <v>0.05</v>
      </c>
      <c r="N5349" s="475">
        <f t="shared" si="205"/>
        <v>213851</v>
      </c>
    </row>
    <row r="5350" spans="7:14" ht="11.25" customHeight="1" x14ac:dyDescent="0.3">
      <c r="G5350" s="470"/>
      <c r="H5350" s="470">
        <v>5343</v>
      </c>
      <c r="I5350" s="455">
        <f t="shared" ca="1" si="203"/>
        <v>1777009745576030.3</v>
      </c>
      <c r="J5350" s="455">
        <f t="array" ref="J5350">IFERROR(INDEX('Retirement Calculator'!J:J,MATCH('Isaac 401k'!N5350,'Retirement Calculator'!A:A,0),0),0)</f>
        <v>0</v>
      </c>
      <c r="K5350" s="455">
        <f t="shared" ca="1" si="201"/>
        <v>7404207273233.46</v>
      </c>
      <c r="L5350" s="455">
        <f t="shared" ca="1" si="202"/>
        <v>1784413952849263.8</v>
      </c>
      <c r="M5350" s="471">
        <f t="shared" si="204"/>
        <v>0.05</v>
      </c>
      <c r="N5350" s="475">
        <f t="shared" si="205"/>
        <v>213882</v>
      </c>
    </row>
    <row r="5351" spans="7:14" ht="11.25" customHeight="1" x14ac:dyDescent="0.3">
      <c r="G5351" s="470"/>
      <c r="H5351" s="470">
        <v>5344</v>
      </c>
      <c r="I5351" s="455">
        <f t="shared" ca="1" si="203"/>
        <v>1784413952849263.8</v>
      </c>
      <c r="J5351" s="455">
        <f t="array" ref="J5351">IFERROR(INDEX('Retirement Calculator'!J:J,MATCH('Isaac 401k'!N5351,'Retirement Calculator'!A:A,0),0),0)</f>
        <v>0</v>
      </c>
      <c r="K5351" s="455">
        <f t="shared" ca="1" si="201"/>
        <v>7435058136871.9326</v>
      </c>
      <c r="L5351" s="455">
        <f t="shared" ca="1" si="202"/>
        <v>1791849010986135.8</v>
      </c>
      <c r="M5351" s="471">
        <f t="shared" si="204"/>
        <v>0.05</v>
      </c>
      <c r="N5351" s="475">
        <f t="shared" si="205"/>
        <v>213913</v>
      </c>
    </row>
    <row r="5352" spans="7:14" ht="11.25" customHeight="1" x14ac:dyDescent="0.3">
      <c r="G5352" s="470"/>
      <c r="H5352" s="470">
        <v>5345</v>
      </c>
      <c r="I5352" s="455">
        <f t="shared" ca="1" si="203"/>
        <v>1791849010986135.8</v>
      </c>
      <c r="J5352" s="455">
        <f t="array" ref="J5352">IFERROR(INDEX('Retirement Calculator'!J:J,MATCH('Isaac 401k'!N5352,'Retirement Calculator'!A:A,0),0),0)</f>
        <v>0</v>
      </c>
      <c r="K5352" s="455">
        <f t="shared" ca="1" si="201"/>
        <v>7466037545775.5664</v>
      </c>
      <c r="L5352" s="455">
        <f t="shared" ca="1" si="202"/>
        <v>1799315048531911.3</v>
      </c>
      <c r="M5352" s="471">
        <f t="shared" si="204"/>
        <v>0.05</v>
      </c>
      <c r="N5352" s="475">
        <f t="shared" si="205"/>
        <v>213943</v>
      </c>
    </row>
    <row r="5353" spans="7:14" ht="11.25" customHeight="1" x14ac:dyDescent="0.3">
      <c r="G5353" s="470"/>
      <c r="H5353" s="470">
        <v>5346</v>
      </c>
      <c r="I5353" s="455">
        <f t="shared" ca="1" si="203"/>
        <v>1799315048531911.3</v>
      </c>
      <c r="J5353" s="455">
        <f t="array" ref="J5353">IFERROR(INDEX('Retirement Calculator'!J:J,MATCH('Isaac 401k'!N5353,'Retirement Calculator'!A:A,0),0),0)</f>
        <v>0</v>
      </c>
      <c r="K5353" s="455">
        <f t="shared" ca="1" si="201"/>
        <v>7497146035549.6299</v>
      </c>
      <c r="L5353" s="455">
        <f t="shared" ca="1" si="202"/>
        <v>1806812194567461</v>
      </c>
      <c r="M5353" s="471">
        <f t="shared" si="204"/>
        <v>0.05</v>
      </c>
      <c r="N5353" s="475">
        <f t="shared" si="205"/>
        <v>213974</v>
      </c>
    </row>
    <row r="5354" spans="7:14" ht="11.25" customHeight="1" x14ac:dyDescent="0.3">
      <c r="G5354" s="470"/>
      <c r="H5354" s="470">
        <v>5347</v>
      </c>
      <c r="I5354" s="455">
        <f t="shared" ca="1" si="203"/>
        <v>1806812194567461</v>
      </c>
      <c r="J5354" s="455">
        <f t="array" ref="J5354">IFERROR(INDEX('Retirement Calculator'!J:J,MATCH('Isaac 401k'!N5354,'Retirement Calculator'!A:A,0),0),0)</f>
        <v>0</v>
      </c>
      <c r="K5354" s="455">
        <f t="shared" ca="1" si="201"/>
        <v>7528384144031.0859</v>
      </c>
      <c r="L5354" s="455">
        <f t="shared" ca="1" si="202"/>
        <v>1814340578711492</v>
      </c>
      <c r="M5354" s="471">
        <f t="shared" si="204"/>
        <v>0.05</v>
      </c>
      <c r="N5354" s="475">
        <f t="shared" si="205"/>
        <v>214004</v>
      </c>
    </row>
    <row r="5355" spans="7:14" ht="11.25" customHeight="1" x14ac:dyDescent="0.3">
      <c r="G5355" s="470"/>
      <c r="H5355" s="470">
        <v>5348</v>
      </c>
      <c r="I5355" s="455">
        <f t="shared" ca="1" si="203"/>
        <v>1814340578711492</v>
      </c>
      <c r="J5355" s="455">
        <f t="array" ref="J5355">IFERROR(INDEX('Retirement Calculator'!J:J,MATCH('Isaac 401k'!N5355,'Retirement Calculator'!A:A,0),0),0)</f>
        <v>0</v>
      </c>
      <c r="K5355" s="455">
        <f t="shared" ca="1" si="201"/>
        <v>7559752411297.8828</v>
      </c>
      <c r="L5355" s="455">
        <f t="shared" ca="1" si="202"/>
        <v>1821900331122790</v>
      </c>
      <c r="M5355" s="471">
        <f t="shared" si="204"/>
        <v>0.05</v>
      </c>
      <c r="N5355" s="475">
        <f t="shared" si="205"/>
        <v>214035</v>
      </c>
    </row>
    <row r="5356" spans="7:14" ht="11.25" customHeight="1" x14ac:dyDescent="0.3">
      <c r="G5356" s="470"/>
      <c r="H5356" s="470">
        <v>5349</v>
      </c>
      <c r="I5356" s="455">
        <f t="shared" ca="1" si="203"/>
        <v>1821900331122790</v>
      </c>
      <c r="J5356" s="455">
        <f t="array" ref="J5356">IFERROR(INDEX('Retirement Calculator'!J:J,MATCH('Isaac 401k'!N5356,'Retirement Calculator'!A:A,0),0),0)</f>
        <v>0</v>
      </c>
      <c r="K5356" s="455">
        <f t="shared" ca="1" si="201"/>
        <v>7591251379678.29</v>
      </c>
      <c r="L5356" s="455">
        <f t="shared" ca="1" si="202"/>
        <v>1829491582502468.3</v>
      </c>
      <c r="M5356" s="471">
        <f t="shared" si="204"/>
        <v>0.05</v>
      </c>
      <c r="N5356" s="475">
        <f t="shared" si="205"/>
        <v>214066</v>
      </c>
    </row>
    <row r="5357" spans="7:14" ht="11.25" customHeight="1" x14ac:dyDescent="0.3">
      <c r="G5357" s="470"/>
      <c r="H5357" s="470">
        <v>5350</v>
      </c>
      <c r="I5357" s="455">
        <f t="shared" ca="1" si="203"/>
        <v>1829491582502468.3</v>
      </c>
      <c r="J5357" s="455">
        <f t="array" ref="J5357">IFERROR(INDEX('Retirement Calculator'!J:J,MATCH('Isaac 401k'!N5357,'Retirement Calculator'!A:A,0),0),0)</f>
        <v>0</v>
      </c>
      <c r="K5357" s="455">
        <f t="shared" ca="1" si="201"/>
        <v>7622881593760.2842</v>
      </c>
      <c r="L5357" s="455">
        <f t="shared" ca="1" si="202"/>
        <v>1837114464096228.5</v>
      </c>
      <c r="M5357" s="471">
        <f t="shared" si="204"/>
        <v>0.05</v>
      </c>
      <c r="N5357" s="475">
        <f t="shared" si="205"/>
        <v>214094</v>
      </c>
    </row>
    <row r="5358" spans="7:14" ht="11.25" customHeight="1" x14ac:dyDescent="0.3">
      <c r="G5358" s="470"/>
      <c r="H5358" s="470">
        <v>5351</v>
      </c>
      <c r="I5358" s="455">
        <f t="shared" ca="1" si="203"/>
        <v>1837114464096228.5</v>
      </c>
      <c r="J5358" s="455">
        <f t="array" ref="J5358">IFERROR(INDEX('Retirement Calculator'!J:J,MATCH('Isaac 401k'!N5358,'Retirement Calculator'!A:A,0),0),0)</f>
        <v>0</v>
      </c>
      <c r="K5358" s="455">
        <f t="shared" ca="1" si="201"/>
        <v>7654643600400.9521</v>
      </c>
      <c r="L5358" s="455">
        <f t="shared" ca="1" si="202"/>
        <v>1844769107696629.5</v>
      </c>
      <c r="M5358" s="471">
        <f t="shared" si="204"/>
        <v>0.05</v>
      </c>
      <c r="N5358" s="475">
        <f t="shared" si="205"/>
        <v>214125</v>
      </c>
    </row>
    <row r="5359" spans="7:14" ht="11.25" customHeight="1" x14ac:dyDescent="0.3">
      <c r="G5359" s="470"/>
      <c r="H5359" s="470">
        <v>5352</v>
      </c>
      <c r="I5359" s="455">
        <f t="shared" ca="1" si="203"/>
        <v>1844769107696629.5</v>
      </c>
      <c r="J5359" s="455">
        <f t="array" ref="J5359">IFERROR(INDEX('Retirement Calculator'!J:J,MATCH('Isaac 401k'!N5359,'Retirement Calculator'!A:A,0),0),0)</f>
        <v>0</v>
      </c>
      <c r="K5359" s="455">
        <f t="shared" ca="1" si="201"/>
        <v>7686537948735.9561</v>
      </c>
      <c r="L5359" s="455">
        <f t="shared" ca="1" si="202"/>
        <v>1852455645645365.5</v>
      </c>
      <c r="M5359" s="471">
        <f t="shared" si="204"/>
        <v>0.05</v>
      </c>
      <c r="N5359" s="475">
        <f t="shared" si="205"/>
        <v>214155</v>
      </c>
    </row>
    <row r="5360" spans="7:14" ht="11.25" customHeight="1" x14ac:dyDescent="0.3">
      <c r="G5360" s="470"/>
      <c r="H5360" s="470">
        <v>5353</v>
      </c>
      <c r="I5360" s="455">
        <f t="shared" ca="1" si="203"/>
        <v>1852455645645365.5</v>
      </c>
      <c r="J5360" s="455">
        <f t="array" ref="J5360">IFERROR(INDEX('Retirement Calculator'!J:J,MATCH('Isaac 401k'!N5360,'Retirement Calculator'!A:A,0),0),0)</f>
        <v>0</v>
      </c>
      <c r="K5360" s="455">
        <f t="shared" ca="1" si="201"/>
        <v>7718565190189.0215</v>
      </c>
      <c r="L5360" s="455">
        <f t="shared" ca="1" si="202"/>
        <v>1860174210835554.5</v>
      </c>
      <c r="M5360" s="471">
        <f t="shared" si="204"/>
        <v>0.05</v>
      </c>
      <c r="N5360" s="475">
        <f t="shared" si="205"/>
        <v>214186</v>
      </c>
    </row>
    <row r="5361" spans="7:14" ht="11.25" customHeight="1" x14ac:dyDescent="0.3">
      <c r="G5361" s="470"/>
      <c r="H5361" s="470">
        <v>5354</v>
      </c>
      <c r="I5361" s="455">
        <f t="shared" ca="1" si="203"/>
        <v>1860174210835554.5</v>
      </c>
      <c r="J5361" s="455">
        <f t="array" ref="J5361">IFERROR(INDEX('Retirement Calculator'!J:J,MATCH('Isaac 401k'!N5361,'Retirement Calculator'!A:A,0),0),0)</f>
        <v>0</v>
      </c>
      <c r="K5361" s="455">
        <f t="shared" ca="1" si="201"/>
        <v>7750725878481.4756</v>
      </c>
      <c r="L5361" s="455">
        <f t="shared" ca="1" si="202"/>
        <v>1867924936714036</v>
      </c>
      <c r="M5361" s="471">
        <f t="shared" si="204"/>
        <v>0.05</v>
      </c>
      <c r="N5361" s="475">
        <f t="shared" si="205"/>
        <v>214216</v>
      </c>
    </row>
    <row r="5362" spans="7:14" ht="11.25" customHeight="1" x14ac:dyDescent="0.3">
      <c r="G5362" s="470"/>
      <c r="H5362" s="470">
        <v>5355</v>
      </c>
      <c r="I5362" s="455">
        <f t="shared" ca="1" si="203"/>
        <v>1867924936714036</v>
      </c>
      <c r="J5362" s="455">
        <f t="array" ref="J5362">IFERROR(INDEX('Retirement Calculator'!J:J,MATCH('Isaac 401k'!N5362,'Retirement Calculator'!A:A,0),0),0)</f>
        <v>0</v>
      </c>
      <c r="K5362" s="455">
        <f t="shared" ca="1" si="201"/>
        <v>7783020569641.8174</v>
      </c>
      <c r="L5362" s="455">
        <f t="shared" ca="1" si="202"/>
        <v>1875707957283677.8</v>
      </c>
      <c r="M5362" s="471">
        <f t="shared" si="204"/>
        <v>0.05</v>
      </c>
      <c r="N5362" s="475">
        <f t="shared" si="205"/>
        <v>214247</v>
      </c>
    </row>
    <row r="5363" spans="7:14" ht="11.25" customHeight="1" x14ac:dyDescent="0.3">
      <c r="G5363" s="470"/>
      <c r="H5363" s="470">
        <v>5356</v>
      </c>
      <c r="I5363" s="455">
        <f t="shared" ca="1" si="203"/>
        <v>1875707957283677.8</v>
      </c>
      <c r="J5363" s="455">
        <f t="array" ref="J5363">IFERROR(INDEX('Retirement Calculator'!J:J,MATCH('Isaac 401k'!N5363,'Retirement Calculator'!A:A,0),0),0)</f>
        <v>0</v>
      </c>
      <c r="K5363" s="455">
        <f t="shared" ref="K5363:K5617" ca="1" si="206">IPMT(M5363/12,1,12,-I5363+J5363,,0)</f>
        <v>7815449822015.3242</v>
      </c>
      <c r="L5363" s="455">
        <f t="shared" ref="L5363:L5617" ca="1" si="207">I5363-J5363+K5363</f>
        <v>1883523407105693</v>
      </c>
      <c r="M5363" s="471">
        <f t="shared" si="204"/>
        <v>0.05</v>
      </c>
      <c r="N5363" s="475">
        <f t="shared" si="205"/>
        <v>214278</v>
      </c>
    </row>
    <row r="5364" spans="7:14" ht="11.25" customHeight="1" x14ac:dyDescent="0.3">
      <c r="G5364" s="470"/>
      <c r="H5364" s="470">
        <v>5357</v>
      </c>
      <c r="I5364" s="455">
        <f t="shared" ref="I5364:I5618" ca="1" si="208">L5363</f>
        <v>1883523407105693</v>
      </c>
      <c r="J5364" s="455">
        <f t="array" ref="J5364">IFERROR(INDEX('Retirement Calculator'!J:J,MATCH('Isaac 401k'!N5364,'Retirement Calculator'!A:A,0),0),0)</f>
        <v>0</v>
      </c>
      <c r="K5364" s="455">
        <f t="shared" ca="1" si="206"/>
        <v>7848014196273.7207</v>
      </c>
      <c r="L5364" s="455">
        <f t="shared" ca="1" si="207"/>
        <v>1891371421301966.8</v>
      </c>
      <c r="M5364" s="471">
        <f t="shared" ref="M5364:M5618" si="209">M5363</f>
        <v>0.05</v>
      </c>
      <c r="N5364" s="475">
        <f t="shared" ref="N5364:N5618" si="210">EDATE(N5363,1)</f>
        <v>214308</v>
      </c>
    </row>
    <row r="5365" spans="7:14" ht="11.25" customHeight="1" x14ac:dyDescent="0.3">
      <c r="G5365" s="470"/>
      <c r="H5365" s="470">
        <v>5358</v>
      </c>
      <c r="I5365" s="455">
        <f t="shared" ca="1" si="208"/>
        <v>1891371421301966.8</v>
      </c>
      <c r="J5365" s="455">
        <f t="array" ref="J5365">IFERROR(INDEX('Retirement Calculator'!J:J,MATCH('Isaac 401k'!N5365,'Retirement Calculator'!A:A,0),0),0)</f>
        <v>0</v>
      </c>
      <c r="K5365" s="455">
        <f t="shared" ca="1" si="206"/>
        <v>7880714255424.8613</v>
      </c>
      <c r="L5365" s="455">
        <f t="shared" ca="1" si="207"/>
        <v>1899252135557391.5</v>
      </c>
      <c r="M5365" s="471">
        <f t="shared" si="209"/>
        <v>0.05</v>
      </c>
      <c r="N5365" s="475">
        <f t="shared" si="210"/>
        <v>214339</v>
      </c>
    </row>
    <row r="5366" spans="7:14" ht="11.25" customHeight="1" x14ac:dyDescent="0.3">
      <c r="G5366" s="470"/>
      <c r="H5366" s="470">
        <v>5359</v>
      </c>
      <c r="I5366" s="455">
        <f t="shared" ca="1" si="208"/>
        <v>1899252135557391.5</v>
      </c>
      <c r="J5366" s="455">
        <f t="array" ref="J5366">IFERROR(INDEX('Retirement Calculator'!J:J,MATCH('Isaac 401k'!N5366,'Retirement Calculator'!A:A,0),0),0)</f>
        <v>0</v>
      </c>
      <c r="K5366" s="455">
        <f t="shared" ca="1" si="206"/>
        <v>7913550564822.4648</v>
      </c>
      <c r="L5366" s="455">
        <f t="shared" ca="1" si="207"/>
        <v>1907165686122214</v>
      </c>
      <c r="M5366" s="471">
        <f t="shared" si="209"/>
        <v>0.05</v>
      </c>
      <c r="N5366" s="475">
        <f t="shared" si="210"/>
        <v>214369</v>
      </c>
    </row>
    <row r="5367" spans="7:14" ht="11.25" customHeight="1" x14ac:dyDescent="0.3">
      <c r="G5367" s="470"/>
      <c r="H5367" s="470">
        <v>5360</v>
      </c>
      <c r="I5367" s="455">
        <f t="shared" ca="1" si="208"/>
        <v>1907165686122214</v>
      </c>
      <c r="J5367" s="455">
        <f t="array" ref="J5367">IFERROR(INDEX('Retirement Calculator'!J:J,MATCH('Isaac 401k'!N5367,'Retirement Calculator'!A:A,0),0),0)</f>
        <v>0</v>
      </c>
      <c r="K5367" s="455">
        <f t="shared" ca="1" si="206"/>
        <v>7946523692175.8926</v>
      </c>
      <c r="L5367" s="455">
        <f t="shared" ca="1" si="207"/>
        <v>1915112209814390</v>
      </c>
      <c r="M5367" s="471">
        <f t="shared" si="209"/>
        <v>0.05</v>
      </c>
      <c r="N5367" s="475">
        <f t="shared" si="210"/>
        <v>214400</v>
      </c>
    </row>
    <row r="5368" spans="7:14" ht="11.25" customHeight="1" x14ac:dyDescent="0.3">
      <c r="G5368" s="470"/>
      <c r="H5368" s="470">
        <v>5361</v>
      </c>
      <c r="I5368" s="455">
        <f t="shared" ca="1" si="208"/>
        <v>1915112209814390</v>
      </c>
      <c r="J5368" s="455">
        <f t="array" ref="J5368">IFERROR(INDEX('Retirement Calculator'!J:J,MATCH('Isaac 401k'!N5368,'Retirement Calculator'!A:A,0),0),0)</f>
        <v>0</v>
      </c>
      <c r="K5368" s="455">
        <f t="shared" ca="1" si="206"/>
        <v>7979634207559.958</v>
      </c>
      <c r="L5368" s="455">
        <f t="shared" ca="1" si="207"/>
        <v>1923091844021950</v>
      </c>
      <c r="M5368" s="471">
        <f t="shared" si="209"/>
        <v>0.05</v>
      </c>
      <c r="N5368" s="475">
        <f t="shared" si="210"/>
        <v>214431</v>
      </c>
    </row>
    <row r="5369" spans="7:14" ht="11.25" customHeight="1" x14ac:dyDescent="0.3">
      <c r="G5369" s="470"/>
      <c r="H5369" s="470">
        <v>5362</v>
      </c>
      <c r="I5369" s="455">
        <f t="shared" ca="1" si="208"/>
        <v>1923091844021950</v>
      </c>
      <c r="J5369" s="455">
        <f t="array" ref="J5369">IFERROR(INDEX('Retirement Calculator'!J:J,MATCH('Isaac 401k'!N5369,'Retirement Calculator'!A:A,0),0),0)</f>
        <v>0</v>
      </c>
      <c r="K5369" s="455">
        <f t="shared" ca="1" si="206"/>
        <v>8012882683424.793</v>
      </c>
      <c r="L5369" s="455">
        <f t="shared" ca="1" si="207"/>
        <v>1931104726705374.8</v>
      </c>
      <c r="M5369" s="471">
        <f t="shared" si="209"/>
        <v>0.05</v>
      </c>
      <c r="N5369" s="475">
        <f t="shared" si="210"/>
        <v>214459</v>
      </c>
    </row>
    <row r="5370" spans="7:14" ht="11.25" customHeight="1" x14ac:dyDescent="0.3">
      <c r="G5370" s="470"/>
      <c r="H5370" s="470">
        <v>5363</v>
      </c>
      <c r="I5370" s="455">
        <f t="shared" ca="1" si="208"/>
        <v>1931104726705374.8</v>
      </c>
      <c r="J5370" s="455">
        <f t="array" ref="J5370">IFERROR(INDEX('Retirement Calculator'!J:J,MATCH('Isaac 401k'!N5370,'Retirement Calculator'!A:A,0),0),0)</f>
        <v>0</v>
      </c>
      <c r="K5370" s="455">
        <f t="shared" ca="1" si="206"/>
        <v>8046269694605.7275</v>
      </c>
      <c r="L5370" s="455">
        <f t="shared" ca="1" si="207"/>
        <v>1939150996399980.5</v>
      </c>
      <c r="M5370" s="471">
        <f t="shared" si="209"/>
        <v>0.05</v>
      </c>
      <c r="N5370" s="475">
        <f t="shared" si="210"/>
        <v>214490</v>
      </c>
    </row>
    <row r="5371" spans="7:14" ht="11.25" customHeight="1" x14ac:dyDescent="0.3">
      <c r="G5371" s="470"/>
      <c r="H5371" s="470">
        <v>5364</v>
      </c>
      <c r="I5371" s="455">
        <f t="shared" ca="1" si="208"/>
        <v>1939150996399980.5</v>
      </c>
      <c r="J5371" s="455">
        <f t="array" ref="J5371">IFERROR(INDEX('Retirement Calculator'!J:J,MATCH('Isaac 401k'!N5371,'Retirement Calculator'!A:A,0),0),0)</f>
        <v>0</v>
      </c>
      <c r="K5371" s="455">
        <f t="shared" ca="1" si="206"/>
        <v>8079795818333.2529</v>
      </c>
      <c r="L5371" s="455">
        <f t="shared" ca="1" si="207"/>
        <v>1947230792218313.8</v>
      </c>
      <c r="M5371" s="471">
        <f t="shared" si="209"/>
        <v>0.05</v>
      </c>
      <c r="N5371" s="475">
        <f t="shared" si="210"/>
        <v>214520</v>
      </c>
    </row>
    <row r="5372" spans="7:14" ht="11.25" customHeight="1" x14ac:dyDescent="0.3">
      <c r="G5372" s="470"/>
      <c r="H5372" s="470">
        <v>5365</v>
      </c>
      <c r="I5372" s="455">
        <f t="shared" ca="1" si="208"/>
        <v>1947230792218313.8</v>
      </c>
      <c r="J5372" s="455">
        <f t="array" ref="J5372">IFERROR(INDEX('Retirement Calculator'!J:J,MATCH('Isaac 401k'!N5372,'Retirement Calculator'!A:A,0),0),0)</f>
        <v>0</v>
      </c>
      <c r="K5372" s="455">
        <f t="shared" ca="1" si="206"/>
        <v>8113461634242.9727</v>
      </c>
      <c r="L5372" s="455">
        <f t="shared" ca="1" si="207"/>
        <v>1955344253852556.8</v>
      </c>
      <c r="M5372" s="471">
        <f t="shared" si="209"/>
        <v>0.05</v>
      </c>
      <c r="N5372" s="475">
        <f t="shared" si="210"/>
        <v>214551</v>
      </c>
    </row>
    <row r="5373" spans="7:14" ht="11.25" customHeight="1" x14ac:dyDescent="0.3">
      <c r="G5373" s="470"/>
      <c r="H5373" s="470">
        <v>5366</v>
      </c>
      <c r="I5373" s="455">
        <f t="shared" ca="1" si="208"/>
        <v>1955344253852556.8</v>
      </c>
      <c r="J5373" s="455">
        <f t="array" ref="J5373">IFERROR(INDEX('Retirement Calculator'!J:J,MATCH('Isaac 401k'!N5373,'Retirement Calculator'!A:A,0),0),0)</f>
        <v>0</v>
      </c>
      <c r="K5373" s="455">
        <f t="shared" ca="1" si="206"/>
        <v>8147267724385.6533</v>
      </c>
      <c r="L5373" s="455">
        <f t="shared" ca="1" si="207"/>
        <v>1963491521576942.5</v>
      </c>
      <c r="M5373" s="471">
        <f t="shared" si="209"/>
        <v>0.05</v>
      </c>
      <c r="N5373" s="475">
        <f t="shared" si="210"/>
        <v>214581</v>
      </c>
    </row>
    <row r="5374" spans="7:14" ht="11.25" customHeight="1" x14ac:dyDescent="0.3">
      <c r="G5374" s="470"/>
      <c r="H5374" s="470">
        <v>5367</v>
      </c>
      <c r="I5374" s="455">
        <f t="shared" ca="1" si="208"/>
        <v>1963491521576942.5</v>
      </c>
      <c r="J5374" s="455">
        <f t="array" ref="J5374">IFERROR(INDEX('Retirement Calculator'!J:J,MATCH('Isaac 401k'!N5374,'Retirement Calculator'!A:A,0),0),0)</f>
        <v>0</v>
      </c>
      <c r="K5374" s="455">
        <f t="shared" ca="1" si="206"/>
        <v>8181214673237.2617</v>
      </c>
      <c r="L5374" s="455">
        <f t="shared" ca="1" si="207"/>
        <v>1971672736250179.8</v>
      </c>
      <c r="M5374" s="471">
        <f t="shared" si="209"/>
        <v>0.05</v>
      </c>
      <c r="N5374" s="475">
        <f t="shared" si="210"/>
        <v>214612</v>
      </c>
    </row>
    <row r="5375" spans="7:14" ht="11.25" customHeight="1" x14ac:dyDescent="0.3">
      <c r="G5375" s="470"/>
      <c r="H5375" s="470">
        <v>5368</v>
      </c>
      <c r="I5375" s="455">
        <f t="shared" ca="1" si="208"/>
        <v>1971672736250179.8</v>
      </c>
      <c r="J5375" s="455">
        <f t="array" ref="J5375">IFERROR(INDEX('Retirement Calculator'!J:J,MATCH('Isaac 401k'!N5375,'Retirement Calculator'!A:A,0),0),0)</f>
        <v>0</v>
      </c>
      <c r="K5375" s="455">
        <f t="shared" ca="1" si="206"/>
        <v>8215303067709.083</v>
      </c>
      <c r="L5375" s="455">
        <f t="shared" ca="1" si="207"/>
        <v>1979888039317888.8</v>
      </c>
      <c r="M5375" s="471">
        <f t="shared" si="209"/>
        <v>0.05</v>
      </c>
      <c r="N5375" s="475">
        <f t="shared" si="210"/>
        <v>214643</v>
      </c>
    </row>
    <row r="5376" spans="7:14" ht="11.25" customHeight="1" x14ac:dyDescent="0.3">
      <c r="G5376" s="470"/>
      <c r="H5376" s="470">
        <v>5369</v>
      </c>
      <c r="I5376" s="455">
        <f t="shared" ca="1" si="208"/>
        <v>1979888039317888.8</v>
      </c>
      <c r="J5376" s="455">
        <f t="array" ref="J5376">IFERROR(INDEX('Retirement Calculator'!J:J,MATCH('Isaac 401k'!N5376,'Retirement Calculator'!A:A,0),0),0)</f>
        <v>0</v>
      </c>
      <c r="K5376" s="455">
        <f t="shared" ca="1" si="206"/>
        <v>8249533497157.8711</v>
      </c>
      <c r="L5376" s="455">
        <f t="shared" ca="1" si="207"/>
        <v>1988137572815046.5</v>
      </c>
      <c r="M5376" s="471">
        <f t="shared" si="209"/>
        <v>0.05</v>
      </c>
      <c r="N5376" s="475">
        <f t="shared" si="210"/>
        <v>214673</v>
      </c>
    </row>
    <row r="5377" spans="7:14" ht="11.25" customHeight="1" x14ac:dyDescent="0.3">
      <c r="G5377" s="470"/>
      <c r="H5377" s="470">
        <v>5370</v>
      </c>
      <c r="I5377" s="455">
        <f t="shared" ca="1" si="208"/>
        <v>1988137572815046.5</v>
      </c>
      <c r="J5377" s="455">
        <f t="array" ref="J5377">IFERROR(INDEX('Retirement Calculator'!J:J,MATCH('Isaac 401k'!N5377,'Retirement Calculator'!A:A,0),0),0)</f>
        <v>0</v>
      </c>
      <c r="K5377" s="455">
        <f t="shared" ca="1" si="206"/>
        <v>8283906553396.0273</v>
      </c>
      <c r="L5377" s="455">
        <f t="shared" ca="1" si="207"/>
        <v>1996421479368442.5</v>
      </c>
      <c r="M5377" s="471">
        <f t="shared" si="209"/>
        <v>0.05</v>
      </c>
      <c r="N5377" s="475">
        <f t="shared" si="210"/>
        <v>214704</v>
      </c>
    </row>
    <row r="5378" spans="7:14" ht="11.25" customHeight="1" x14ac:dyDescent="0.3">
      <c r="G5378" s="470"/>
      <c r="H5378" s="470">
        <v>5371</v>
      </c>
      <c r="I5378" s="455">
        <f t="shared" ca="1" si="208"/>
        <v>1996421479368442.5</v>
      </c>
      <c r="J5378" s="455">
        <f t="array" ref="J5378">IFERROR(INDEX('Retirement Calculator'!J:J,MATCH('Isaac 401k'!N5378,'Retirement Calculator'!A:A,0),0),0)</f>
        <v>0</v>
      </c>
      <c r="K5378" s="455">
        <f t="shared" ca="1" si="206"/>
        <v>8318422830701.8428</v>
      </c>
      <c r="L5378" s="455">
        <f t="shared" ca="1" si="207"/>
        <v>2004739902199144.3</v>
      </c>
      <c r="M5378" s="471">
        <f t="shared" si="209"/>
        <v>0.05</v>
      </c>
      <c r="N5378" s="475">
        <f t="shared" si="210"/>
        <v>214734</v>
      </c>
    </row>
    <row r="5379" spans="7:14" ht="11.25" customHeight="1" x14ac:dyDescent="0.3">
      <c r="G5379" s="470"/>
      <c r="H5379" s="470">
        <v>5372</v>
      </c>
      <c r="I5379" s="455">
        <f t="shared" ca="1" si="208"/>
        <v>2004739902199144.3</v>
      </c>
      <c r="J5379" s="455">
        <f t="array" ref="J5379">IFERROR(INDEX('Retirement Calculator'!J:J,MATCH('Isaac 401k'!N5379,'Retirement Calculator'!A:A,0),0),0)</f>
        <v>0</v>
      </c>
      <c r="K5379" s="455">
        <f t="shared" ca="1" si="206"/>
        <v>8353082925829.7666</v>
      </c>
      <c r="L5379" s="455">
        <f t="shared" ca="1" si="207"/>
        <v>2013092985124974</v>
      </c>
      <c r="M5379" s="471">
        <f t="shared" si="209"/>
        <v>0.05</v>
      </c>
      <c r="N5379" s="475">
        <f t="shared" si="210"/>
        <v>214765</v>
      </c>
    </row>
    <row r="5380" spans="7:14" ht="11.25" customHeight="1" x14ac:dyDescent="0.3">
      <c r="G5380" s="470"/>
      <c r="H5380" s="470">
        <v>5373</v>
      </c>
      <c r="I5380" s="455">
        <f t="shared" ca="1" si="208"/>
        <v>2013092985124974</v>
      </c>
      <c r="J5380" s="455">
        <f t="array" ref="J5380">IFERROR(INDEX('Retirement Calculator'!J:J,MATCH('Isaac 401k'!N5380,'Retirement Calculator'!A:A,0),0),0)</f>
        <v>0</v>
      </c>
      <c r="K5380" s="455">
        <f t="shared" ca="1" si="206"/>
        <v>8387887438020.7246</v>
      </c>
      <c r="L5380" s="455">
        <f t="shared" ca="1" si="207"/>
        <v>2021480872562994.8</v>
      </c>
      <c r="M5380" s="471">
        <f t="shared" si="209"/>
        <v>0.05</v>
      </c>
      <c r="N5380" s="475">
        <f t="shared" si="210"/>
        <v>214796</v>
      </c>
    </row>
    <row r="5381" spans="7:14" ht="11.25" customHeight="1" x14ac:dyDescent="0.3">
      <c r="G5381" s="470"/>
      <c r="H5381" s="470">
        <v>5374</v>
      </c>
      <c r="I5381" s="455">
        <f t="shared" ca="1" si="208"/>
        <v>2021480872562994.8</v>
      </c>
      <c r="J5381" s="455">
        <f t="array" ref="J5381">IFERROR(INDEX('Retirement Calculator'!J:J,MATCH('Isaac 401k'!N5381,'Retirement Calculator'!A:A,0),0),0)</f>
        <v>0</v>
      </c>
      <c r="K5381" s="455">
        <f t="shared" ca="1" si="206"/>
        <v>8422836969012.4766</v>
      </c>
      <c r="L5381" s="455">
        <f t="shared" ca="1" si="207"/>
        <v>2029903709532007.3</v>
      </c>
      <c r="M5381" s="471">
        <f t="shared" si="209"/>
        <v>0.05</v>
      </c>
      <c r="N5381" s="475">
        <f t="shared" si="210"/>
        <v>214825</v>
      </c>
    </row>
    <row r="5382" spans="7:14" ht="11.25" customHeight="1" x14ac:dyDescent="0.3">
      <c r="G5382" s="470"/>
      <c r="H5382" s="470">
        <v>5375</v>
      </c>
      <c r="I5382" s="455">
        <f t="shared" ca="1" si="208"/>
        <v>2029903709532007.3</v>
      </c>
      <c r="J5382" s="455">
        <f t="array" ref="J5382">IFERROR(INDEX('Retirement Calculator'!J:J,MATCH('Isaac 401k'!N5382,'Retirement Calculator'!A:A,0),0),0)</f>
        <v>0</v>
      </c>
      <c r="K5382" s="455">
        <f t="shared" ca="1" si="206"/>
        <v>8457932123050.0293</v>
      </c>
      <c r="L5382" s="455">
        <f t="shared" ca="1" si="207"/>
        <v>2038361641655057.3</v>
      </c>
      <c r="M5382" s="471">
        <f t="shared" si="209"/>
        <v>0.05</v>
      </c>
      <c r="N5382" s="475">
        <f t="shared" si="210"/>
        <v>214856</v>
      </c>
    </row>
    <row r="5383" spans="7:14" ht="11.25" customHeight="1" x14ac:dyDescent="0.3">
      <c r="G5383" s="470"/>
      <c r="H5383" s="470">
        <v>5376</v>
      </c>
      <c r="I5383" s="455">
        <f t="shared" ca="1" si="208"/>
        <v>2038361641655057.3</v>
      </c>
      <c r="J5383" s="455">
        <f t="array" ref="J5383">IFERROR(INDEX('Retirement Calculator'!J:J,MATCH('Isaac 401k'!N5383,'Retirement Calculator'!A:A,0),0),0)</f>
        <v>0</v>
      </c>
      <c r="K5383" s="455">
        <f t="shared" ca="1" si="206"/>
        <v>8493173506896.0713</v>
      </c>
      <c r="L5383" s="455">
        <f t="shared" ca="1" si="207"/>
        <v>2046854815161953.3</v>
      </c>
      <c r="M5383" s="471">
        <f t="shared" si="209"/>
        <v>0.05</v>
      </c>
      <c r="N5383" s="475">
        <f t="shared" si="210"/>
        <v>214886</v>
      </c>
    </row>
    <row r="5384" spans="7:14" ht="11.25" customHeight="1" x14ac:dyDescent="0.3">
      <c r="G5384" s="470"/>
      <c r="H5384" s="470">
        <v>5377</v>
      </c>
      <c r="I5384" s="455">
        <f t="shared" ca="1" si="208"/>
        <v>2046854815161953.3</v>
      </c>
      <c r="J5384" s="455">
        <f t="array" ref="J5384">IFERROR(INDEX('Retirement Calculator'!J:J,MATCH('Isaac 401k'!N5384,'Retirement Calculator'!A:A,0),0),0)</f>
        <v>0</v>
      </c>
      <c r="K5384" s="455">
        <f t="shared" ca="1" si="206"/>
        <v>8528561729841.4717</v>
      </c>
      <c r="L5384" s="455">
        <f t="shared" ca="1" si="207"/>
        <v>2055383376891794.8</v>
      </c>
      <c r="M5384" s="471">
        <f t="shared" si="209"/>
        <v>0.05</v>
      </c>
      <c r="N5384" s="475">
        <f t="shared" si="210"/>
        <v>214917</v>
      </c>
    </row>
    <row r="5385" spans="7:14" ht="11.25" customHeight="1" x14ac:dyDescent="0.3">
      <c r="G5385" s="470"/>
      <c r="H5385" s="470">
        <v>5378</v>
      </c>
      <c r="I5385" s="455">
        <f t="shared" ca="1" si="208"/>
        <v>2055383376891794.8</v>
      </c>
      <c r="J5385" s="455">
        <f t="array" ref="J5385">IFERROR(INDEX('Retirement Calculator'!J:J,MATCH('Isaac 401k'!N5385,'Retirement Calculator'!A:A,0),0),0)</f>
        <v>0</v>
      </c>
      <c r="K5385" s="455">
        <f t="shared" ca="1" si="206"/>
        <v>8564097403715.8125</v>
      </c>
      <c r="L5385" s="455">
        <f t="shared" ca="1" si="207"/>
        <v>2063947474295510.5</v>
      </c>
      <c r="M5385" s="471">
        <f t="shared" si="209"/>
        <v>0.05</v>
      </c>
      <c r="N5385" s="475">
        <f t="shared" si="210"/>
        <v>214947</v>
      </c>
    </row>
    <row r="5386" spans="7:14" ht="11.25" customHeight="1" x14ac:dyDescent="0.3">
      <c r="G5386" s="470"/>
      <c r="H5386" s="470">
        <v>5379</v>
      </c>
      <c r="I5386" s="455">
        <f t="shared" ca="1" si="208"/>
        <v>2063947474295510.5</v>
      </c>
      <c r="J5386" s="455">
        <f t="array" ref="J5386">IFERROR(INDEX('Retirement Calculator'!J:J,MATCH('Isaac 401k'!N5386,'Retirement Calculator'!A:A,0),0),0)</f>
        <v>0</v>
      </c>
      <c r="K5386" s="455">
        <f t="shared" ca="1" si="206"/>
        <v>8599781142897.96</v>
      </c>
      <c r="L5386" s="455">
        <f t="shared" ca="1" si="207"/>
        <v>2072547255438408.5</v>
      </c>
      <c r="M5386" s="471">
        <f t="shared" si="209"/>
        <v>0.05</v>
      </c>
      <c r="N5386" s="475">
        <f t="shared" si="210"/>
        <v>214978</v>
      </c>
    </row>
    <row r="5387" spans="7:14" ht="11.25" customHeight="1" x14ac:dyDescent="0.3">
      <c r="G5387" s="470"/>
      <c r="H5387" s="470">
        <v>5380</v>
      </c>
      <c r="I5387" s="455">
        <f t="shared" ca="1" si="208"/>
        <v>2072547255438408.5</v>
      </c>
      <c r="J5387" s="455">
        <f t="array" ref="J5387">IFERROR(INDEX('Retirement Calculator'!J:J,MATCH('Isaac 401k'!N5387,'Retirement Calculator'!A:A,0),0),0)</f>
        <v>0</v>
      </c>
      <c r="K5387" s="455">
        <f t="shared" ca="1" si="206"/>
        <v>8635613564326.7031</v>
      </c>
      <c r="L5387" s="455">
        <f t="shared" ca="1" si="207"/>
        <v>2081182869002735.3</v>
      </c>
      <c r="M5387" s="471">
        <f t="shared" si="209"/>
        <v>0.05</v>
      </c>
      <c r="N5387" s="475">
        <f t="shared" si="210"/>
        <v>215009</v>
      </c>
    </row>
    <row r="5388" spans="7:14" ht="11.25" customHeight="1" x14ac:dyDescent="0.3">
      <c r="G5388" s="470"/>
      <c r="H5388" s="470">
        <v>5381</v>
      </c>
      <c r="I5388" s="455">
        <f t="shared" ca="1" si="208"/>
        <v>2081182869002735.3</v>
      </c>
      <c r="J5388" s="455">
        <f t="array" ref="J5388">IFERROR(INDEX('Retirement Calculator'!J:J,MATCH('Isaac 401k'!N5388,'Retirement Calculator'!A:A,0),0),0)</f>
        <v>0</v>
      </c>
      <c r="K5388" s="455">
        <f t="shared" ca="1" si="206"/>
        <v>8671595287511.3965</v>
      </c>
      <c r="L5388" s="455">
        <f t="shared" ca="1" si="207"/>
        <v>2089854464290246.8</v>
      </c>
      <c r="M5388" s="471">
        <f t="shared" si="209"/>
        <v>0.05</v>
      </c>
      <c r="N5388" s="475">
        <f t="shared" si="210"/>
        <v>215039</v>
      </c>
    </row>
    <row r="5389" spans="7:14" ht="11.25" customHeight="1" x14ac:dyDescent="0.3">
      <c r="G5389" s="470"/>
      <c r="H5389" s="470">
        <v>5382</v>
      </c>
      <c r="I5389" s="455">
        <f t="shared" ca="1" si="208"/>
        <v>2089854464290246.8</v>
      </c>
      <c r="J5389" s="455">
        <f t="array" ref="J5389">IFERROR(INDEX('Retirement Calculator'!J:J,MATCH('Isaac 401k'!N5389,'Retirement Calculator'!A:A,0),0),0)</f>
        <v>0</v>
      </c>
      <c r="K5389" s="455">
        <f t="shared" ca="1" si="206"/>
        <v>8707726934542.6943</v>
      </c>
      <c r="L5389" s="455">
        <f t="shared" ca="1" si="207"/>
        <v>2098562191224789.5</v>
      </c>
      <c r="M5389" s="471">
        <f t="shared" si="209"/>
        <v>0.05</v>
      </c>
      <c r="N5389" s="475">
        <f t="shared" si="210"/>
        <v>215070</v>
      </c>
    </row>
    <row r="5390" spans="7:14" ht="11.25" customHeight="1" x14ac:dyDescent="0.3">
      <c r="G5390" s="470"/>
      <c r="H5390" s="470">
        <v>5383</v>
      </c>
      <c r="I5390" s="455">
        <f t="shared" ca="1" si="208"/>
        <v>2098562191224789.5</v>
      </c>
      <c r="J5390" s="455">
        <f t="array" ref="J5390">IFERROR(INDEX('Retirement Calculator'!J:J,MATCH('Isaac 401k'!N5390,'Retirement Calculator'!A:A,0),0),0)</f>
        <v>0</v>
      </c>
      <c r="K5390" s="455">
        <f t="shared" ca="1" si="206"/>
        <v>8744009130103.2891</v>
      </c>
      <c r="L5390" s="455">
        <f t="shared" ca="1" si="207"/>
        <v>2107306200354892.8</v>
      </c>
      <c r="M5390" s="471">
        <f t="shared" si="209"/>
        <v>0.05</v>
      </c>
      <c r="N5390" s="475">
        <f t="shared" si="210"/>
        <v>215100</v>
      </c>
    </row>
    <row r="5391" spans="7:14" ht="11.25" customHeight="1" x14ac:dyDescent="0.3">
      <c r="G5391" s="470"/>
      <c r="H5391" s="470">
        <v>5384</v>
      </c>
      <c r="I5391" s="455">
        <f t="shared" ca="1" si="208"/>
        <v>2107306200354892.8</v>
      </c>
      <c r="J5391" s="455">
        <f t="array" ref="J5391">IFERROR(INDEX('Retirement Calculator'!J:J,MATCH('Isaac 401k'!N5391,'Retirement Calculator'!A:A,0),0),0)</f>
        <v>0</v>
      </c>
      <c r="K5391" s="455">
        <f t="shared" ca="1" si="206"/>
        <v>8780442501478.7188</v>
      </c>
      <c r="L5391" s="455">
        <f t="shared" ca="1" si="207"/>
        <v>2116086642856371.5</v>
      </c>
      <c r="M5391" s="471">
        <f t="shared" si="209"/>
        <v>0.05</v>
      </c>
      <c r="N5391" s="475">
        <f t="shared" si="210"/>
        <v>215131</v>
      </c>
    </row>
    <row r="5392" spans="7:14" ht="11.25" customHeight="1" x14ac:dyDescent="0.3">
      <c r="G5392" s="470"/>
      <c r="H5392" s="470">
        <v>5385</v>
      </c>
      <c r="I5392" s="455">
        <f t="shared" ca="1" si="208"/>
        <v>2116086642856371.5</v>
      </c>
      <c r="J5392" s="455">
        <f t="array" ref="J5392">IFERROR(INDEX('Retirement Calculator'!J:J,MATCH('Isaac 401k'!N5392,'Retirement Calculator'!A:A,0),0),0)</f>
        <v>0</v>
      </c>
      <c r="K5392" s="455">
        <f t="shared" ca="1" si="206"/>
        <v>8817027678568.2148</v>
      </c>
      <c r="L5392" s="455">
        <f t="shared" ca="1" si="207"/>
        <v>2124903670534939.8</v>
      </c>
      <c r="M5392" s="471">
        <f t="shared" si="209"/>
        <v>0.05</v>
      </c>
      <c r="N5392" s="475">
        <f t="shared" si="210"/>
        <v>215162</v>
      </c>
    </row>
    <row r="5393" spans="7:14" ht="11.25" customHeight="1" x14ac:dyDescent="0.3">
      <c r="G5393" s="470"/>
      <c r="H5393" s="470">
        <v>5386</v>
      </c>
      <c r="I5393" s="455">
        <f t="shared" ca="1" si="208"/>
        <v>2124903670534939.8</v>
      </c>
      <c r="J5393" s="455">
        <f t="array" ref="J5393">IFERROR(INDEX('Retirement Calculator'!J:J,MATCH('Isaac 401k'!N5393,'Retirement Calculator'!A:A,0),0),0)</f>
        <v>0</v>
      </c>
      <c r="K5393" s="455">
        <f t="shared" ca="1" si="206"/>
        <v>8853765293895.582</v>
      </c>
      <c r="L5393" s="455">
        <f t="shared" ca="1" si="207"/>
        <v>2133757435828835.3</v>
      </c>
      <c r="M5393" s="471">
        <f t="shared" si="209"/>
        <v>0.05</v>
      </c>
      <c r="N5393" s="475">
        <f t="shared" si="210"/>
        <v>215190</v>
      </c>
    </row>
    <row r="5394" spans="7:14" ht="11.25" customHeight="1" x14ac:dyDescent="0.3">
      <c r="G5394" s="470"/>
      <c r="H5394" s="470">
        <v>5387</v>
      </c>
      <c r="I5394" s="455">
        <f t="shared" ca="1" si="208"/>
        <v>2133757435828835.3</v>
      </c>
      <c r="J5394" s="455">
        <f t="array" ref="J5394">IFERROR(INDEX('Retirement Calculator'!J:J,MATCH('Isaac 401k'!N5394,'Retirement Calculator'!A:A,0),0),0)</f>
        <v>0</v>
      </c>
      <c r="K5394" s="455">
        <f t="shared" ca="1" si="206"/>
        <v>8890655982620.1465</v>
      </c>
      <c r="L5394" s="455">
        <f t="shared" ca="1" si="207"/>
        <v>2142648091811455.5</v>
      </c>
      <c r="M5394" s="471">
        <f t="shared" si="209"/>
        <v>0.05</v>
      </c>
      <c r="N5394" s="475">
        <f t="shared" si="210"/>
        <v>215221</v>
      </c>
    </row>
    <row r="5395" spans="7:14" ht="11.25" customHeight="1" x14ac:dyDescent="0.3">
      <c r="G5395" s="470"/>
      <c r="H5395" s="470">
        <v>5388</v>
      </c>
      <c r="I5395" s="455">
        <f t="shared" ca="1" si="208"/>
        <v>2142648091811455.5</v>
      </c>
      <c r="J5395" s="455">
        <f t="array" ref="J5395">IFERROR(INDEX('Retirement Calculator'!J:J,MATCH('Isaac 401k'!N5395,'Retirement Calculator'!A:A,0),0),0)</f>
        <v>0</v>
      </c>
      <c r="K5395" s="455">
        <f t="shared" ca="1" si="206"/>
        <v>8927700382547.7324</v>
      </c>
      <c r="L5395" s="455">
        <f t="shared" ca="1" si="207"/>
        <v>2151575792194003.3</v>
      </c>
      <c r="M5395" s="471">
        <f t="shared" si="209"/>
        <v>0.05</v>
      </c>
      <c r="N5395" s="475">
        <f t="shared" si="210"/>
        <v>215251</v>
      </c>
    </row>
    <row r="5396" spans="7:14" ht="11.25" customHeight="1" x14ac:dyDescent="0.3">
      <c r="G5396" s="470"/>
      <c r="H5396" s="470">
        <v>5389</v>
      </c>
      <c r="I5396" s="455">
        <f t="shared" ca="1" si="208"/>
        <v>2151575792194003.3</v>
      </c>
      <c r="J5396" s="455">
        <f t="array" ref="J5396">IFERROR(INDEX('Retirement Calculator'!J:J,MATCH('Isaac 401k'!N5396,'Retirement Calculator'!A:A,0),0),0)</f>
        <v>0</v>
      </c>
      <c r="K5396" s="455">
        <f t="shared" ca="1" si="206"/>
        <v>8964899134141.6797</v>
      </c>
      <c r="L5396" s="455">
        <f t="shared" ca="1" si="207"/>
        <v>2160540691328145</v>
      </c>
      <c r="M5396" s="471">
        <f t="shared" si="209"/>
        <v>0.05</v>
      </c>
      <c r="N5396" s="475">
        <f t="shared" si="210"/>
        <v>215282</v>
      </c>
    </row>
    <row r="5397" spans="7:14" ht="11.25" customHeight="1" x14ac:dyDescent="0.3">
      <c r="G5397" s="470"/>
      <c r="H5397" s="470">
        <v>5390</v>
      </c>
      <c r="I5397" s="455">
        <f t="shared" ca="1" si="208"/>
        <v>2160540691328145</v>
      </c>
      <c r="J5397" s="455">
        <f t="array" ref="J5397">IFERROR(INDEX('Retirement Calculator'!J:J,MATCH('Isaac 401k'!N5397,'Retirement Calculator'!A:A,0),0),0)</f>
        <v>0</v>
      </c>
      <c r="K5397" s="455">
        <f t="shared" ca="1" si="206"/>
        <v>9002252880533.9375</v>
      </c>
      <c r="L5397" s="455">
        <f t="shared" ca="1" si="207"/>
        <v>2169542944208679</v>
      </c>
      <c r="M5397" s="471">
        <f t="shared" si="209"/>
        <v>0.05</v>
      </c>
      <c r="N5397" s="475">
        <f t="shared" si="210"/>
        <v>215312</v>
      </c>
    </row>
    <row r="5398" spans="7:14" ht="11.25" customHeight="1" x14ac:dyDescent="0.3">
      <c r="G5398" s="470"/>
      <c r="H5398" s="470">
        <v>5391</v>
      </c>
      <c r="I5398" s="455">
        <f t="shared" ca="1" si="208"/>
        <v>2169542944208679</v>
      </c>
      <c r="J5398" s="455">
        <f t="array" ref="J5398">IFERROR(INDEX('Retirement Calculator'!J:J,MATCH('Isaac 401k'!N5398,'Retirement Calculator'!A:A,0),0),0)</f>
        <v>0</v>
      </c>
      <c r="K5398" s="455">
        <f t="shared" ca="1" si="206"/>
        <v>9039762267536.1621</v>
      </c>
      <c r="L5398" s="455">
        <f t="shared" ca="1" si="207"/>
        <v>2178582706476215.3</v>
      </c>
      <c r="M5398" s="471">
        <f t="shared" si="209"/>
        <v>0.05</v>
      </c>
      <c r="N5398" s="475">
        <f t="shared" si="210"/>
        <v>215343</v>
      </c>
    </row>
    <row r="5399" spans="7:14" ht="11.25" customHeight="1" x14ac:dyDescent="0.3">
      <c r="G5399" s="470"/>
      <c r="H5399" s="470">
        <v>5392</v>
      </c>
      <c r="I5399" s="455">
        <f t="shared" ca="1" si="208"/>
        <v>2178582706476215.3</v>
      </c>
      <c r="J5399" s="455">
        <f t="array" ref="J5399">IFERROR(INDEX('Retirement Calculator'!J:J,MATCH('Isaac 401k'!N5399,'Retirement Calculator'!A:A,0),0),0)</f>
        <v>0</v>
      </c>
      <c r="K5399" s="455">
        <f t="shared" ca="1" si="206"/>
        <v>9077427943650.8965</v>
      </c>
      <c r="L5399" s="455">
        <f t="shared" ca="1" si="207"/>
        <v>2187660134419866.3</v>
      </c>
      <c r="M5399" s="471">
        <f t="shared" si="209"/>
        <v>0.05</v>
      </c>
      <c r="N5399" s="475">
        <f t="shared" si="210"/>
        <v>215374</v>
      </c>
    </row>
    <row r="5400" spans="7:14" ht="11.25" customHeight="1" x14ac:dyDescent="0.3">
      <c r="G5400" s="470"/>
      <c r="H5400" s="470">
        <v>5393</v>
      </c>
      <c r="I5400" s="455">
        <f t="shared" ca="1" si="208"/>
        <v>2187660134419866.3</v>
      </c>
      <c r="J5400" s="455">
        <f t="array" ref="J5400">IFERROR(INDEX('Retirement Calculator'!J:J,MATCH('Isaac 401k'!N5400,'Retirement Calculator'!A:A,0),0),0)</f>
        <v>0</v>
      </c>
      <c r="K5400" s="455">
        <f t="shared" ca="1" si="206"/>
        <v>9115250560082.7773</v>
      </c>
      <c r="L5400" s="455">
        <f t="shared" ca="1" si="207"/>
        <v>2196775384979949</v>
      </c>
      <c r="M5400" s="471">
        <f t="shared" si="209"/>
        <v>0.05</v>
      </c>
      <c r="N5400" s="475">
        <f t="shared" si="210"/>
        <v>215404</v>
      </c>
    </row>
    <row r="5401" spans="7:14" ht="11.25" customHeight="1" x14ac:dyDescent="0.3">
      <c r="G5401" s="470"/>
      <c r="H5401" s="470">
        <v>5394</v>
      </c>
      <c r="I5401" s="455">
        <f t="shared" ca="1" si="208"/>
        <v>2196775384979949</v>
      </c>
      <c r="J5401" s="455">
        <f t="array" ref="J5401">IFERROR(INDEX('Retirement Calculator'!J:J,MATCH('Isaac 401k'!N5401,'Retirement Calculator'!A:A,0),0),0)</f>
        <v>0</v>
      </c>
      <c r="K5401" s="455">
        <f t="shared" ca="1" si="206"/>
        <v>9153230770749.7891</v>
      </c>
      <c r="L5401" s="455">
        <f t="shared" ca="1" si="207"/>
        <v>2205928615750698.8</v>
      </c>
      <c r="M5401" s="471">
        <f t="shared" si="209"/>
        <v>0.05</v>
      </c>
      <c r="N5401" s="475">
        <f t="shared" si="210"/>
        <v>215435</v>
      </c>
    </row>
    <row r="5402" spans="7:14" ht="11.25" customHeight="1" x14ac:dyDescent="0.3">
      <c r="G5402" s="470"/>
      <c r="H5402" s="470">
        <v>5395</v>
      </c>
      <c r="I5402" s="455">
        <f t="shared" ca="1" si="208"/>
        <v>2205928615750698.8</v>
      </c>
      <c r="J5402" s="455">
        <f t="array" ref="J5402">IFERROR(INDEX('Retirement Calculator'!J:J,MATCH('Isaac 401k'!N5402,'Retirement Calculator'!A:A,0),0),0)</f>
        <v>0</v>
      </c>
      <c r="K5402" s="455">
        <f t="shared" ca="1" si="206"/>
        <v>9191369232294.5762</v>
      </c>
      <c r="L5402" s="455">
        <f t="shared" ca="1" si="207"/>
        <v>2215119984982993.3</v>
      </c>
      <c r="M5402" s="471">
        <f t="shared" si="209"/>
        <v>0.05</v>
      </c>
      <c r="N5402" s="475">
        <f t="shared" si="210"/>
        <v>215465</v>
      </c>
    </row>
    <row r="5403" spans="7:14" ht="11.25" customHeight="1" x14ac:dyDescent="0.3">
      <c r="G5403" s="470"/>
      <c r="H5403" s="470">
        <v>5396</v>
      </c>
      <c r="I5403" s="455">
        <f t="shared" ca="1" si="208"/>
        <v>2215119984982993.3</v>
      </c>
      <c r="J5403" s="455">
        <f t="array" ref="J5403">IFERROR(INDEX('Retirement Calculator'!J:J,MATCH('Isaac 401k'!N5403,'Retirement Calculator'!A:A,0),0),0)</f>
        <v>0</v>
      </c>
      <c r="K5403" s="455">
        <f t="shared" ca="1" si="206"/>
        <v>9229666604095.8047</v>
      </c>
      <c r="L5403" s="455">
        <f t="shared" ca="1" si="207"/>
        <v>2224349651587089</v>
      </c>
      <c r="M5403" s="471">
        <f t="shared" si="209"/>
        <v>0.05</v>
      </c>
      <c r="N5403" s="475">
        <f t="shared" si="210"/>
        <v>215496</v>
      </c>
    </row>
    <row r="5404" spans="7:14" ht="11.25" customHeight="1" x14ac:dyDescent="0.3">
      <c r="G5404" s="470"/>
      <c r="H5404" s="470">
        <v>5397</v>
      </c>
      <c r="I5404" s="455">
        <f t="shared" ca="1" si="208"/>
        <v>2224349651587089</v>
      </c>
      <c r="J5404" s="455">
        <f t="array" ref="J5404">IFERROR(INDEX('Retirement Calculator'!J:J,MATCH('Isaac 401k'!N5404,'Retirement Calculator'!A:A,0),0),0)</f>
        <v>0</v>
      </c>
      <c r="K5404" s="455">
        <f t="shared" ca="1" si="206"/>
        <v>9268123548279.5371</v>
      </c>
      <c r="L5404" s="455">
        <f t="shared" ca="1" si="207"/>
        <v>2233617775135368.5</v>
      </c>
      <c r="M5404" s="471">
        <f t="shared" si="209"/>
        <v>0.05</v>
      </c>
      <c r="N5404" s="475">
        <f t="shared" si="210"/>
        <v>215527</v>
      </c>
    </row>
    <row r="5405" spans="7:14" ht="11.25" customHeight="1" x14ac:dyDescent="0.3">
      <c r="G5405" s="470"/>
      <c r="H5405" s="470">
        <v>5398</v>
      </c>
      <c r="I5405" s="455">
        <f t="shared" ca="1" si="208"/>
        <v>2233617775135368.5</v>
      </c>
      <c r="J5405" s="455">
        <f t="array" ref="J5405">IFERROR(INDEX('Retirement Calculator'!J:J,MATCH('Isaac 401k'!N5405,'Retirement Calculator'!A:A,0),0),0)</f>
        <v>0</v>
      </c>
      <c r="K5405" s="455">
        <f t="shared" ca="1" si="206"/>
        <v>9306740729730.7012</v>
      </c>
      <c r="L5405" s="455">
        <f t="shared" ca="1" si="207"/>
        <v>2242924515865099.3</v>
      </c>
      <c r="M5405" s="471">
        <f t="shared" si="209"/>
        <v>0.05</v>
      </c>
      <c r="N5405" s="475">
        <f t="shared" si="210"/>
        <v>215555</v>
      </c>
    </row>
    <row r="5406" spans="7:14" ht="11.25" customHeight="1" x14ac:dyDescent="0.3">
      <c r="G5406" s="470"/>
      <c r="H5406" s="470">
        <v>5399</v>
      </c>
      <c r="I5406" s="455">
        <f t="shared" ca="1" si="208"/>
        <v>2242924515865099.3</v>
      </c>
      <c r="J5406" s="455">
        <f t="array" ref="J5406">IFERROR(INDEX('Retirement Calculator'!J:J,MATCH('Isaac 401k'!N5406,'Retirement Calculator'!A:A,0),0),0)</f>
        <v>0</v>
      </c>
      <c r="K5406" s="455">
        <f t="shared" ca="1" si="206"/>
        <v>9345518816104.5801</v>
      </c>
      <c r="L5406" s="455">
        <f t="shared" ca="1" si="207"/>
        <v>2252270034681204</v>
      </c>
      <c r="M5406" s="471">
        <f t="shared" si="209"/>
        <v>0.05</v>
      </c>
      <c r="N5406" s="475">
        <f t="shared" si="210"/>
        <v>215586</v>
      </c>
    </row>
    <row r="5407" spans="7:14" ht="11.25" customHeight="1" x14ac:dyDescent="0.3">
      <c r="G5407" s="470"/>
      <c r="H5407" s="470">
        <v>5400</v>
      </c>
      <c r="I5407" s="455">
        <f t="shared" ca="1" si="208"/>
        <v>2252270034681204</v>
      </c>
      <c r="J5407" s="455">
        <f t="array" ref="J5407">IFERROR(INDEX('Retirement Calculator'!J:J,MATCH('Isaac 401k'!N5407,'Retirement Calculator'!A:A,0),0),0)</f>
        <v>0</v>
      </c>
      <c r="K5407" s="455">
        <f t="shared" ca="1" si="206"/>
        <v>9384458477838.3496</v>
      </c>
      <c r="L5407" s="455">
        <f t="shared" ca="1" si="207"/>
        <v>2261654493159042.5</v>
      </c>
      <c r="M5407" s="471">
        <f t="shared" si="209"/>
        <v>0.05</v>
      </c>
      <c r="N5407" s="475">
        <f t="shared" si="210"/>
        <v>215616</v>
      </c>
    </row>
    <row r="5408" spans="7:14" ht="11.25" customHeight="1" x14ac:dyDescent="0.3">
      <c r="G5408" s="470"/>
      <c r="H5408" s="470">
        <v>5401</v>
      </c>
      <c r="I5408" s="455">
        <f t="shared" ca="1" si="208"/>
        <v>2261654493159042.5</v>
      </c>
      <c r="J5408" s="455">
        <f t="array" ref="J5408">IFERROR(INDEX('Retirement Calculator'!J:J,MATCH('Isaac 401k'!N5408,'Retirement Calculator'!A:A,0),0),0)</f>
        <v>0</v>
      </c>
      <c r="K5408" s="455">
        <f t="shared" ca="1" si="206"/>
        <v>9423560388162.6777</v>
      </c>
      <c r="L5408" s="455">
        <f t="shared" ca="1" si="207"/>
        <v>2271078053547205</v>
      </c>
      <c r="M5408" s="471">
        <f t="shared" si="209"/>
        <v>0.05</v>
      </c>
      <c r="N5408" s="475">
        <f t="shared" si="210"/>
        <v>215647</v>
      </c>
    </row>
    <row r="5409" spans="7:14" ht="11.25" customHeight="1" x14ac:dyDescent="0.3">
      <c r="G5409" s="470"/>
      <c r="H5409" s="470">
        <v>5402</v>
      </c>
      <c r="I5409" s="455">
        <f t="shared" ca="1" si="208"/>
        <v>2271078053547205</v>
      </c>
      <c r="J5409" s="455">
        <f t="array" ref="J5409">IFERROR(INDEX('Retirement Calculator'!J:J,MATCH('Isaac 401k'!N5409,'Retirement Calculator'!A:A,0),0),0)</f>
        <v>0</v>
      </c>
      <c r="K5409" s="455">
        <f t="shared" ca="1" si="206"/>
        <v>9462825223113.3535</v>
      </c>
      <c r="L5409" s="455">
        <f t="shared" ca="1" si="207"/>
        <v>2280540878770318.5</v>
      </c>
      <c r="M5409" s="471">
        <f t="shared" si="209"/>
        <v>0.05</v>
      </c>
      <c r="N5409" s="475">
        <f t="shared" si="210"/>
        <v>215677</v>
      </c>
    </row>
    <row r="5410" spans="7:14" ht="11.25" customHeight="1" x14ac:dyDescent="0.3">
      <c r="G5410" s="470"/>
      <c r="H5410" s="470">
        <v>5403</v>
      </c>
      <c r="I5410" s="455">
        <f t="shared" ca="1" si="208"/>
        <v>2280540878770318.5</v>
      </c>
      <c r="J5410" s="455">
        <f t="array" ref="J5410">IFERROR(INDEX('Retirement Calculator'!J:J,MATCH('Isaac 401k'!N5410,'Retirement Calculator'!A:A,0),0),0)</f>
        <v>0</v>
      </c>
      <c r="K5410" s="455">
        <f t="shared" ca="1" si="206"/>
        <v>9502253661542.9941</v>
      </c>
      <c r="L5410" s="455">
        <f t="shared" ca="1" si="207"/>
        <v>2290043132431861.5</v>
      </c>
      <c r="M5410" s="471">
        <f t="shared" si="209"/>
        <v>0.05</v>
      </c>
      <c r="N5410" s="475">
        <f t="shared" si="210"/>
        <v>215708</v>
      </c>
    </row>
    <row r="5411" spans="7:14" ht="11.25" customHeight="1" x14ac:dyDescent="0.3">
      <c r="G5411" s="470"/>
      <c r="H5411" s="470">
        <v>5404</v>
      </c>
      <c r="I5411" s="455">
        <f t="shared" ca="1" si="208"/>
        <v>2290043132431861.5</v>
      </c>
      <c r="J5411" s="455">
        <f t="array" ref="J5411">IFERROR(INDEX('Retirement Calculator'!J:J,MATCH('Isaac 401k'!N5411,'Retirement Calculator'!A:A,0),0),0)</f>
        <v>0</v>
      </c>
      <c r="K5411" s="455">
        <f t="shared" ca="1" si="206"/>
        <v>9541846385132.7559</v>
      </c>
      <c r="L5411" s="455">
        <f t="shared" ca="1" si="207"/>
        <v>2299584978816994.5</v>
      </c>
      <c r="M5411" s="471">
        <f t="shared" si="209"/>
        <v>0.05</v>
      </c>
      <c r="N5411" s="475">
        <f t="shared" si="210"/>
        <v>215739</v>
      </c>
    </row>
    <row r="5412" spans="7:14" ht="11.25" customHeight="1" x14ac:dyDescent="0.3">
      <c r="G5412" s="470"/>
      <c r="H5412" s="470">
        <v>5405</v>
      </c>
      <c r="I5412" s="455">
        <f t="shared" ca="1" si="208"/>
        <v>2299584978816994.5</v>
      </c>
      <c r="J5412" s="455">
        <f t="array" ref="J5412">IFERROR(INDEX('Retirement Calculator'!J:J,MATCH('Isaac 401k'!N5412,'Retirement Calculator'!A:A,0),0),0)</f>
        <v>0</v>
      </c>
      <c r="K5412" s="455">
        <f t="shared" ca="1" si="206"/>
        <v>9581604078404.1445</v>
      </c>
      <c r="L5412" s="455">
        <f t="shared" ca="1" si="207"/>
        <v>2309166582895398.5</v>
      </c>
      <c r="M5412" s="471">
        <f t="shared" si="209"/>
        <v>0.05</v>
      </c>
      <c r="N5412" s="475">
        <f t="shared" si="210"/>
        <v>215769</v>
      </c>
    </row>
    <row r="5413" spans="7:14" ht="11.25" customHeight="1" x14ac:dyDescent="0.3">
      <c r="G5413" s="470"/>
      <c r="H5413" s="470">
        <v>5406</v>
      </c>
      <c r="I5413" s="455">
        <f t="shared" ca="1" si="208"/>
        <v>2309166582895398.5</v>
      </c>
      <c r="J5413" s="455">
        <f t="array" ref="J5413">IFERROR(INDEX('Retirement Calculator'!J:J,MATCH('Isaac 401k'!N5413,'Retirement Calculator'!A:A,0),0),0)</f>
        <v>0</v>
      </c>
      <c r="K5413" s="455">
        <f t="shared" ca="1" si="206"/>
        <v>9621527428730.8262</v>
      </c>
      <c r="L5413" s="455">
        <f t="shared" ca="1" si="207"/>
        <v>2318788110324129.5</v>
      </c>
      <c r="M5413" s="471">
        <f t="shared" si="209"/>
        <v>0.05</v>
      </c>
      <c r="N5413" s="475">
        <f t="shared" si="210"/>
        <v>215800</v>
      </c>
    </row>
    <row r="5414" spans="7:14" ht="11.25" customHeight="1" x14ac:dyDescent="0.3">
      <c r="G5414" s="470"/>
      <c r="H5414" s="470">
        <v>5407</v>
      </c>
      <c r="I5414" s="455">
        <f t="shared" ca="1" si="208"/>
        <v>2318788110324129.5</v>
      </c>
      <c r="J5414" s="455">
        <f t="array" ref="J5414">IFERROR(INDEX('Retirement Calculator'!J:J,MATCH('Isaac 401k'!N5414,'Retirement Calculator'!A:A,0),0),0)</f>
        <v>0</v>
      </c>
      <c r="K5414" s="455">
        <f t="shared" ca="1" si="206"/>
        <v>9661617126350.5391</v>
      </c>
      <c r="L5414" s="455">
        <f t="shared" ca="1" si="207"/>
        <v>2328449727450480</v>
      </c>
      <c r="M5414" s="471">
        <f t="shared" si="209"/>
        <v>0.05</v>
      </c>
      <c r="N5414" s="475">
        <f t="shared" si="210"/>
        <v>215830</v>
      </c>
    </row>
    <row r="5415" spans="7:14" ht="11.25" customHeight="1" x14ac:dyDescent="0.3">
      <c r="G5415" s="470"/>
      <c r="H5415" s="470">
        <v>5408</v>
      </c>
      <c r="I5415" s="455">
        <f t="shared" ca="1" si="208"/>
        <v>2328449727450480</v>
      </c>
      <c r="J5415" s="455">
        <f t="array" ref="J5415">IFERROR(INDEX('Retirement Calculator'!J:J,MATCH('Isaac 401k'!N5415,'Retirement Calculator'!A:A,0),0),0)</f>
        <v>0</v>
      </c>
      <c r="K5415" s="455">
        <f t="shared" ca="1" si="206"/>
        <v>9701873864377</v>
      </c>
      <c r="L5415" s="455">
        <f t="shared" ca="1" si="207"/>
        <v>2338151601314857</v>
      </c>
      <c r="M5415" s="471">
        <f t="shared" si="209"/>
        <v>0.05</v>
      </c>
      <c r="N5415" s="475">
        <f t="shared" si="210"/>
        <v>215861</v>
      </c>
    </row>
    <row r="5416" spans="7:14" ht="11.25" customHeight="1" x14ac:dyDescent="0.3">
      <c r="G5416" s="470"/>
      <c r="H5416" s="470">
        <v>5409</v>
      </c>
      <c r="I5416" s="455">
        <f t="shared" ca="1" si="208"/>
        <v>2338151601314857</v>
      </c>
      <c r="J5416" s="455">
        <f t="array" ref="J5416">IFERROR(INDEX('Retirement Calculator'!J:J,MATCH('Isaac 401k'!N5416,'Retirement Calculator'!A:A,0),0),0)</f>
        <v>0</v>
      </c>
      <c r="K5416" s="455">
        <f t="shared" ca="1" si="206"/>
        <v>9742298338811.9043</v>
      </c>
      <c r="L5416" s="455">
        <f t="shared" ca="1" si="207"/>
        <v>2347893899653669</v>
      </c>
      <c r="M5416" s="471">
        <f t="shared" si="209"/>
        <v>0.05</v>
      </c>
      <c r="N5416" s="475">
        <f t="shared" si="210"/>
        <v>215892</v>
      </c>
    </row>
    <row r="5417" spans="7:14" ht="11.25" customHeight="1" x14ac:dyDescent="0.3">
      <c r="G5417" s="470"/>
      <c r="H5417" s="470">
        <v>5410</v>
      </c>
      <c r="I5417" s="455">
        <f t="shared" ca="1" si="208"/>
        <v>2347893899653669</v>
      </c>
      <c r="J5417" s="455">
        <f t="array" ref="J5417">IFERROR(INDEX('Retirement Calculator'!J:J,MATCH('Isaac 401k'!N5417,'Retirement Calculator'!A:A,0),0),0)</f>
        <v>0</v>
      </c>
      <c r="K5417" s="455">
        <f t="shared" ca="1" si="206"/>
        <v>9782891248556.9531</v>
      </c>
      <c r="L5417" s="455">
        <f t="shared" ca="1" si="207"/>
        <v>2357676790902226</v>
      </c>
      <c r="M5417" s="471">
        <f t="shared" si="209"/>
        <v>0.05</v>
      </c>
      <c r="N5417" s="475">
        <f t="shared" si="210"/>
        <v>215920</v>
      </c>
    </row>
    <row r="5418" spans="7:14" ht="11.25" customHeight="1" x14ac:dyDescent="0.3">
      <c r="G5418" s="470"/>
      <c r="H5418" s="470">
        <v>5411</v>
      </c>
      <c r="I5418" s="455">
        <f t="shared" ca="1" si="208"/>
        <v>2357676790902226</v>
      </c>
      <c r="J5418" s="455">
        <f t="array" ref="J5418">IFERROR(INDEX('Retirement Calculator'!J:J,MATCH('Isaac 401k'!N5418,'Retirement Calculator'!A:A,0),0),0)</f>
        <v>0</v>
      </c>
      <c r="K5418" s="455">
        <f t="shared" ca="1" si="206"/>
        <v>9823653295425.9414</v>
      </c>
      <c r="L5418" s="455">
        <f t="shared" ca="1" si="207"/>
        <v>2367500444197652</v>
      </c>
      <c r="M5418" s="471">
        <f t="shared" si="209"/>
        <v>0.05</v>
      </c>
      <c r="N5418" s="475">
        <f t="shared" si="210"/>
        <v>215951</v>
      </c>
    </row>
    <row r="5419" spans="7:14" ht="11.25" customHeight="1" x14ac:dyDescent="0.3">
      <c r="G5419" s="470"/>
      <c r="H5419" s="470">
        <v>5412</v>
      </c>
      <c r="I5419" s="455">
        <f t="shared" ca="1" si="208"/>
        <v>2367500444197652</v>
      </c>
      <c r="J5419" s="455">
        <f t="array" ref="J5419">IFERROR(INDEX('Retirement Calculator'!J:J,MATCH('Isaac 401k'!N5419,'Retirement Calculator'!A:A,0),0),0)</f>
        <v>0</v>
      </c>
      <c r="K5419" s="455">
        <f t="shared" ca="1" si="206"/>
        <v>9864585184156.8828</v>
      </c>
      <c r="L5419" s="455">
        <f t="shared" ca="1" si="207"/>
        <v>2377365029381809</v>
      </c>
      <c r="M5419" s="471">
        <f t="shared" si="209"/>
        <v>0.05</v>
      </c>
      <c r="N5419" s="475">
        <f t="shared" si="210"/>
        <v>215981</v>
      </c>
    </row>
    <row r="5420" spans="7:14" ht="11.25" customHeight="1" x14ac:dyDescent="0.3">
      <c r="G5420" s="470"/>
      <c r="H5420" s="470">
        <v>5413</v>
      </c>
      <c r="I5420" s="455">
        <f t="shared" ca="1" si="208"/>
        <v>2377365029381809</v>
      </c>
      <c r="J5420" s="455">
        <f t="array" ref="J5420">IFERROR(INDEX('Retirement Calculator'!J:J,MATCH('Isaac 401k'!N5420,'Retirement Calculator'!A:A,0),0),0)</f>
        <v>0</v>
      </c>
      <c r="K5420" s="455">
        <f t="shared" ca="1" si="206"/>
        <v>9905687622424.2031</v>
      </c>
      <c r="L5420" s="455">
        <f t="shared" ca="1" si="207"/>
        <v>2387270717004233</v>
      </c>
      <c r="M5420" s="471">
        <f t="shared" si="209"/>
        <v>0.05</v>
      </c>
      <c r="N5420" s="475">
        <f t="shared" si="210"/>
        <v>216012</v>
      </c>
    </row>
    <row r="5421" spans="7:14" ht="11.25" customHeight="1" x14ac:dyDescent="0.3">
      <c r="G5421" s="470"/>
      <c r="H5421" s="470">
        <v>5414</v>
      </c>
      <c r="I5421" s="455">
        <f t="shared" ca="1" si="208"/>
        <v>2387270717004233</v>
      </c>
      <c r="J5421" s="455">
        <f t="array" ref="J5421">IFERROR(INDEX('Retirement Calculator'!J:J,MATCH('Isaac 401k'!N5421,'Retirement Calculator'!A:A,0),0),0)</f>
        <v>0</v>
      </c>
      <c r="K5421" s="455">
        <f t="shared" ca="1" si="206"/>
        <v>9946961320850.9707</v>
      </c>
      <c r="L5421" s="455">
        <f t="shared" ca="1" si="207"/>
        <v>2397217678325084</v>
      </c>
      <c r="M5421" s="471">
        <f t="shared" si="209"/>
        <v>0.05</v>
      </c>
      <c r="N5421" s="475">
        <f t="shared" si="210"/>
        <v>216042</v>
      </c>
    </row>
    <row r="5422" spans="7:14" ht="11.25" customHeight="1" x14ac:dyDescent="0.3">
      <c r="G5422" s="470"/>
      <c r="H5422" s="470">
        <v>5415</v>
      </c>
      <c r="I5422" s="455">
        <f t="shared" ca="1" si="208"/>
        <v>2397217678325084</v>
      </c>
      <c r="J5422" s="455">
        <f t="array" ref="J5422">IFERROR(INDEX('Retirement Calculator'!J:J,MATCH('Isaac 401k'!N5422,'Retirement Calculator'!A:A,0),0),0)</f>
        <v>0</v>
      </c>
      <c r="K5422" s="455">
        <f t="shared" ca="1" si="206"/>
        <v>9988406993021.1836</v>
      </c>
      <c r="L5422" s="455">
        <f t="shared" ca="1" si="207"/>
        <v>2407206085318105</v>
      </c>
      <c r="M5422" s="471">
        <f t="shared" si="209"/>
        <v>0.05</v>
      </c>
      <c r="N5422" s="475">
        <f t="shared" si="210"/>
        <v>216073</v>
      </c>
    </row>
    <row r="5423" spans="7:14" ht="11.25" customHeight="1" x14ac:dyDescent="0.3">
      <c r="G5423" s="470"/>
      <c r="H5423" s="470">
        <v>5416</v>
      </c>
      <c r="I5423" s="455">
        <f t="shared" ca="1" si="208"/>
        <v>2407206085318105</v>
      </c>
      <c r="J5423" s="455">
        <f t="array" ref="J5423">IFERROR(INDEX('Retirement Calculator'!J:J,MATCH('Isaac 401k'!N5423,'Retirement Calculator'!A:A,0),0),0)</f>
        <v>0</v>
      </c>
      <c r="K5423" s="455">
        <f t="shared" ca="1" si="206"/>
        <v>10030025355492.104</v>
      </c>
      <c r="L5423" s="455">
        <f t="shared" ca="1" si="207"/>
        <v>2417236110673597</v>
      </c>
      <c r="M5423" s="471">
        <f t="shared" si="209"/>
        <v>0.05</v>
      </c>
      <c r="N5423" s="475">
        <f t="shared" si="210"/>
        <v>216104</v>
      </c>
    </row>
    <row r="5424" spans="7:14" ht="11.25" customHeight="1" x14ac:dyDescent="0.3">
      <c r="G5424" s="470"/>
      <c r="H5424" s="470">
        <v>5417</v>
      </c>
      <c r="I5424" s="455">
        <f t="shared" ca="1" si="208"/>
        <v>2417236110673597</v>
      </c>
      <c r="J5424" s="455">
        <f t="array" ref="J5424">IFERROR(INDEX('Retirement Calculator'!J:J,MATCH('Isaac 401k'!N5424,'Retirement Calculator'!A:A,0),0),0)</f>
        <v>0</v>
      </c>
      <c r="K5424" s="455">
        <f t="shared" ca="1" si="206"/>
        <v>10071817127806.654</v>
      </c>
      <c r="L5424" s="455">
        <f t="shared" ca="1" si="207"/>
        <v>2427307927801403.5</v>
      </c>
      <c r="M5424" s="471">
        <f t="shared" si="209"/>
        <v>0.05</v>
      </c>
      <c r="N5424" s="475">
        <f t="shared" si="210"/>
        <v>216134</v>
      </c>
    </row>
    <row r="5425" spans="7:14" ht="11.25" customHeight="1" x14ac:dyDescent="0.3">
      <c r="G5425" s="470"/>
      <c r="H5425" s="470">
        <v>5418</v>
      </c>
      <c r="I5425" s="455">
        <f t="shared" ca="1" si="208"/>
        <v>2427307927801403.5</v>
      </c>
      <c r="J5425" s="455">
        <f t="array" ref="J5425">IFERROR(INDEX('Retirement Calculator'!J:J,MATCH('Isaac 401k'!N5425,'Retirement Calculator'!A:A,0),0),0)</f>
        <v>0</v>
      </c>
      <c r="K5425" s="455">
        <f t="shared" ca="1" si="206"/>
        <v>10113783032505.848</v>
      </c>
      <c r="L5425" s="455">
        <f t="shared" ca="1" si="207"/>
        <v>2437421710833909.5</v>
      </c>
      <c r="M5425" s="471">
        <f t="shared" si="209"/>
        <v>0.05</v>
      </c>
      <c r="N5425" s="475">
        <f t="shared" si="210"/>
        <v>216165</v>
      </c>
    </row>
    <row r="5426" spans="7:14" ht="11.25" customHeight="1" x14ac:dyDescent="0.3">
      <c r="G5426" s="470"/>
      <c r="H5426" s="470">
        <v>5419</v>
      </c>
      <c r="I5426" s="455">
        <f t="shared" ca="1" si="208"/>
        <v>2437421710833909.5</v>
      </c>
      <c r="J5426" s="455">
        <f t="array" ref="J5426">IFERROR(INDEX('Retirement Calculator'!J:J,MATCH('Isaac 401k'!N5426,'Retirement Calculator'!A:A,0),0),0)</f>
        <v>0</v>
      </c>
      <c r="K5426" s="455">
        <f t="shared" ca="1" si="206"/>
        <v>10155923795141.289</v>
      </c>
      <c r="L5426" s="455">
        <f t="shared" ca="1" si="207"/>
        <v>2447577634629051</v>
      </c>
      <c r="M5426" s="471">
        <f t="shared" si="209"/>
        <v>0.05</v>
      </c>
      <c r="N5426" s="475">
        <f t="shared" si="210"/>
        <v>216195</v>
      </c>
    </row>
    <row r="5427" spans="7:14" ht="11.25" customHeight="1" x14ac:dyDescent="0.3">
      <c r="G5427" s="470"/>
      <c r="H5427" s="470">
        <v>5420</v>
      </c>
      <c r="I5427" s="455">
        <f t="shared" ca="1" si="208"/>
        <v>2447577634629051</v>
      </c>
      <c r="J5427" s="455">
        <f t="array" ref="J5427">IFERROR(INDEX('Retirement Calculator'!J:J,MATCH('Isaac 401k'!N5427,'Retirement Calculator'!A:A,0),0),0)</f>
        <v>0</v>
      </c>
      <c r="K5427" s="455">
        <f t="shared" ca="1" si="206"/>
        <v>10198240144287.713</v>
      </c>
      <c r="L5427" s="455">
        <f t="shared" ca="1" si="207"/>
        <v>2457775874773338.5</v>
      </c>
      <c r="M5427" s="471">
        <f t="shared" si="209"/>
        <v>0.05</v>
      </c>
      <c r="N5427" s="475">
        <f t="shared" si="210"/>
        <v>216226</v>
      </c>
    </row>
    <row r="5428" spans="7:14" ht="11.25" customHeight="1" x14ac:dyDescent="0.3">
      <c r="G5428" s="470"/>
      <c r="H5428" s="470">
        <v>5421</v>
      </c>
      <c r="I5428" s="455">
        <f t="shared" ca="1" si="208"/>
        <v>2457775874773338.5</v>
      </c>
      <c r="J5428" s="455">
        <f t="array" ref="J5428">IFERROR(INDEX('Retirement Calculator'!J:J,MATCH('Isaac 401k'!N5428,'Retirement Calculator'!A:A,0),0),0)</f>
        <v>0</v>
      </c>
      <c r="K5428" s="455">
        <f t="shared" ca="1" si="206"/>
        <v>10240732811555.576</v>
      </c>
      <c r="L5428" s="455">
        <f t="shared" ca="1" si="207"/>
        <v>2468016607584894</v>
      </c>
      <c r="M5428" s="471">
        <f t="shared" si="209"/>
        <v>0.05</v>
      </c>
      <c r="N5428" s="475">
        <f t="shared" si="210"/>
        <v>216257</v>
      </c>
    </row>
    <row r="5429" spans="7:14" ht="11.25" customHeight="1" x14ac:dyDescent="0.3">
      <c r="G5429" s="470"/>
      <c r="H5429" s="470">
        <v>5422</v>
      </c>
      <c r="I5429" s="455">
        <f t="shared" ca="1" si="208"/>
        <v>2468016607584894</v>
      </c>
      <c r="J5429" s="455">
        <f t="array" ref="J5429">IFERROR(INDEX('Retirement Calculator'!J:J,MATCH('Isaac 401k'!N5429,'Retirement Calculator'!A:A,0),0),0)</f>
        <v>0</v>
      </c>
      <c r="K5429" s="455">
        <f t="shared" ca="1" si="206"/>
        <v>10283402531603.725</v>
      </c>
      <c r="L5429" s="455">
        <f t="shared" ca="1" si="207"/>
        <v>2478300010116497.5</v>
      </c>
      <c r="M5429" s="471">
        <f t="shared" si="209"/>
        <v>0.05</v>
      </c>
      <c r="N5429" s="475">
        <f t="shared" si="210"/>
        <v>216286</v>
      </c>
    </row>
    <row r="5430" spans="7:14" ht="11.25" customHeight="1" x14ac:dyDescent="0.3">
      <c r="G5430" s="470"/>
      <c r="H5430" s="470">
        <v>5423</v>
      </c>
      <c r="I5430" s="455">
        <f t="shared" ca="1" si="208"/>
        <v>2478300010116497.5</v>
      </c>
      <c r="J5430" s="455">
        <f t="array" ref="J5430">IFERROR(INDEX('Retirement Calculator'!J:J,MATCH('Isaac 401k'!N5430,'Retirement Calculator'!A:A,0),0),0)</f>
        <v>0</v>
      </c>
      <c r="K5430" s="455">
        <f t="shared" ca="1" si="206"/>
        <v>10326250042152.072</v>
      </c>
      <c r="L5430" s="455">
        <f t="shared" ca="1" si="207"/>
        <v>2488626260158649.5</v>
      </c>
      <c r="M5430" s="471">
        <f t="shared" si="209"/>
        <v>0.05</v>
      </c>
      <c r="N5430" s="475">
        <f t="shared" si="210"/>
        <v>216317</v>
      </c>
    </row>
    <row r="5431" spans="7:14" ht="11.25" customHeight="1" x14ac:dyDescent="0.3">
      <c r="G5431" s="470"/>
      <c r="H5431" s="470">
        <v>5424</v>
      </c>
      <c r="I5431" s="455">
        <f t="shared" ca="1" si="208"/>
        <v>2488626260158649.5</v>
      </c>
      <c r="J5431" s="455">
        <f t="array" ref="J5431">IFERROR(INDEX('Retirement Calculator'!J:J,MATCH('Isaac 401k'!N5431,'Retirement Calculator'!A:A,0),0),0)</f>
        <v>0</v>
      </c>
      <c r="K5431" s="455">
        <f t="shared" ca="1" si="206"/>
        <v>10369276083994.373</v>
      </c>
      <c r="L5431" s="455">
        <f t="shared" ca="1" si="207"/>
        <v>2498995536242644</v>
      </c>
      <c r="M5431" s="471">
        <f t="shared" si="209"/>
        <v>0.05</v>
      </c>
      <c r="N5431" s="475">
        <f t="shared" si="210"/>
        <v>216347</v>
      </c>
    </row>
    <row r="5432" spans="7:14" ht="11.25" customHeight="1" x14ac:dyDescent="0.3">
      <c r="G5432" s="470"/>
      <c r="H5432" s="470">
        <v>5425</v>
      </c>
      <c r="I5432" s="455">
        <f t="shared" ca="1" si="208"/>
        <v>2498995536242644</v>
      </c>
      <c r="J5432" s="455">
        <f t="array" ref="J5432">IFERROR(INDEX('Retirement Calculator'!J:J,MATCH('Isaac 401k'!N5432,'Retirement Calculator'!A:A,0),0),0)</f>
        <v>0</v>
      </c>
      <c r="K5432" s="455">
        <f t="shared" ca="1" si="206"/>
        <v>10412481401011.016</v>
      </c>
      <c r="L5432" s="455">
        <f t="shared" ca="1" si="207"/>
        <v>2509408017643655</v>
      </c>
      <c r="M5432" s="471">
        <f t="shared" si="209"/>
        <v>0.05</v>
      </c>
      <c r="N5432" s="475">
        <f t="shared" si="210"/>
        <v>216378</v>
      </c>
    </row>
    <row r="5433" spans="7:14" ht="11.25" customHeight="1" x14ac:dyDescent="0.3">
      <c r="G5433" s="470"/>
      <c r="H5433" s="470">
        <v>5426</v>
      </c>
      <c r="I5433" s="455">
        <f t="shared" ca="1" si="208"/>
        <v>2509408017643655</v>
      </c>
      <c r="J5433" s="455">
        <f t="array" ref="J5433">IFERROR(INDEX('Retirement Calculator'!J:J,MATCH('Isaac 401k'!N5433,'Retirement Calculator'!A:A,0),0),0)</f>
        <v>0</v>
      </c>
      <c r="K5433" s="455">
        <f t="shared" ca="1" si="206"/>
        <v>10455866740181.896</v>
      </c>
      <c r="L5433" s="455">
        <f t="shared" ca="1" si="207"/>
        <v>2519863884383837</v>
      </c>
      <c r="M5433" s="471">
        <f t="shared" si="209"/>
        <v>0.05</v>
      </c>
      <c r="N5433" s="475">
        <f t="shared" si="210"/>
        <v>216408</v>
      </c>
    </row>
    <row r="5434" spans="7:14" ht="11.25" customHeight="1" x14ac:dyDescent="0.3">
      <c r="G5434" s="470"/>
      <c r="H5434" s="470">
        <v>5427</v>
      </c>
      <c r="I5434" s="455">
        <f t="shared" ca="1" si="208"/>
        <v>2519863884383837</v>
      </c>
      <c r="J5434" s="455">
        <f t="array" ref="J5434">IFERROR(INDEX('Retirement Calculator'!J:J,MATCH('Isaac 401k'!N5434,'Retirement Calculator'!A:A,0),0),0)</f>
        <v>0</v>
      </c>
      <c r="K5434" s="455">
        <f t="shared" ca="1" si="206"/>
        <v>10499432851599.32</v>
      </c>
      <c r="L5434" s="455">
        <f t="shared" ca="1" si="207"/>
        <v>2530363317235436.5</v>
      </c>
      <c r="M5434" s="471">
        <f t="shared" si="209"/>
        <v>0.05</v>
      </c>
      <c r="N5434" s="475">
        <f t="shared" si="210"/>
        <v>216439</v>
      </c>
    </row>
    <row r="5435" spans="7:14" ht="11.25" customHeight="1" x14ac:dyDescent="0.3">
      <c r="G5435" s="470"/>
      <c r="H5435" s="470">
        <v>5428</v>
      </c>
      <c r="I5435" s="455">
        <f t="shared" ca="1" si="208"/>
        <v>2530363317235436.5</v>
      </c>
      <c r="J5435" s="455">
        <f t="array" ref="J5435">IFERROR(INDEX('Retirement Calculator'!J:J,MATCH('Isaac 401k'!N5435,'Retirement Calculator'!A:A,0),0),0)</f>
        <v>0</v>
      </c>
      <c r="K5435" s="455">
        <f t="shared" ca="1" si="206"/>
        <v>10543180488480.984</v>
      </c>
      <c r="L5435" s="455">
        <f t="shared" ca="1" si="207"/>
        <v>2540906497723917.5</v>
      </c>
      <c r="M5435" s="471">
        <f t="shared" si="209"/>
        <v>0.05</v>
      </c>
      <c r="N5435" s="475">
        <f t="shared" si="210"/>
        <v>216470</v>
      </c>
    </row>
    <row r="5436" spans="7:14" ht="11.25" customHeight="1" x14ac:dyDescent="0.3">
      <c r="G5436" s="470"/>
      <c r="H5436" s="470">
        <v>5429</v>
      </c>
      <c r="I5436" s="455">
        <f t="shared" ca="1" si="208"/>
        <v>2540906497723917.5</v>
      </c>
      <c r="J5436" s="455">
        <f t="array" ref="J5436">IFERROR(INDEX('Retirement Calculator'!J:J,MATCH('Isaac 401k'!N5436,'Retirement Calculator'!A:A,0),0),0)</f>
        <v>0</v>
      </c>
      <c r="K5436" s="455">
        <f t="shared" ca="1" si="206"/>
        <v>10587110407182.99</v>
      </c>
      <c r="L5436" s="455">
        <f t="shared" ca="1" si="207"/>
        <v>2551493608131100.5</v>
      </c>
      <c r="M5436" s="471">
        <f t="shared" si="209"/>
        <v>0.05</v>
      </c>
      <c r="N5436" s="475">
        <f t="shared" si="210"/>
        <v>216500</v>
      </c>
    </row>
    <row r="5437" spans="7:14" ht="11.25" customHeight="1" x14ac:dyDescent="0.3">
      <c r="G5437" s="470"/>
      <c r="H5437" s="470">
        <v>5430</v>
      </c>
      <c r="I5437" s="455">
        <f t="shared" ca="1" si="208"/>
        <v>2551493608131100.5</v>
      </c>
      <c r="J5437" s="455">
        <f t="array" ref="J5437">IFERROR(INDEX('Retirement Calculator'!J:J,MATCH('Isaac 401k'!N5437,'Retirement Calculator'!A:A,0),0),0)</f>
        <v>0</v>
      </c>
      <c r="K5437" s="455">
        <f t="shared" ca="1" si="206"/>
        <v>10631223367212.918</v>
      </c>
      <c r="L5437" s="455">
        <f t="shared" ca="1" si="207"/>
        <v>2562124831498313.5</v>
      </c>
      <c r="M5437" s="471">
        <f t="shared" si="209"/>
        <v>0.05</v>
      </c>
      <c r="N5437" s="475">
        <f t="shared" si="210"/>
        <v>216531</v>
      </c>
    </row>
    <row r="5438" spans="7:14" ht="11.25" customHeight="1" x14ac:dyDescent="0.3">
      <c r="G5438" s="470"/>
      <c r="H5438" s="470">
        <v>5431</v>
      </c>
      <c r="I5438" s="455">
        <f t="shared" ca="1" si="208"/>
        <v>2562124831498313.5</v>
      </c>
      <c r="J5438" s="455">
        <f t="array" ref="J5438">IFERROR(INDEX('Retirement Calculator'!J:J,MATCH('Isaac 401k'!N5438,'Retirement Calculator'!A:A,0),0),0)</f>
        <v>0</v>
      </c>
      <c r="K5438" s="455">
        <f t="shared" ca="1" si="206"/>
        <v>10675520131242.973</v>
      </c>
      <c r="L5438" s="455">
        <f t="shared" ca="1" si="207"/>
        <v>2572800351629556.5</v>
      </c>
      <c r="M5438" s="471">
        <f t="shared" si="209"/>
        <v>0.05</v>
      </c>
      <c r="N5438" s="475">
        <f t="shared" si="210"/>
        <v>216561</v>
      </c>
    </row>
    <row r="5439" spans="7:14" ht="11.25" customHeight="1" x14ac:dyDescent="0.3">
      <c r="G5439" s="470"/>
      <c r="H5439" s="470">
        <v>5432</v>
      </c>
      <c r="I5439" s="455">
        <f t="shared" ca="1" si="208"/>
        <v>2572800351629556.5</v>
      </c>
      <c r="J5439" s="455">
        <f t="array" ref="J5439">IFERROR(INDEX('Retirement Calculator'!J:J,MATCH('Isaac 401k'!N5439,'Retirement Calculator'!A:A,0),0),0)</f>
        <v>0</v>
      </c>
      <c r="K5439" s="455">
        <f t="shared" ca="1" si="206"/>
        <v>10720001465123.152</v>
      </c>
      <c r="L5439" s="455">
        <f t="shared" ca="1" si="207"/>
        <v>2583520353094679.5</v>
      </c>
      <c r="M5439" s="471">
        <f t="shared" si="209"/>
        <v>0.05</v>
      </c>
      <c r="N5439" s="475">
        <f t="shared" si="210"/>
        <v>216592</v>
      </c>
    </row>
    <row r="5440" spans="7:14" ht="11.25" customHeight="1" x14ac:dyDescent="0.3">
      <c r="G5440" s="470"/>
      <c r="H5440" s="470">
        <v>5433</v>
      </c>
      <c r="I5440" s="455">
        <f t="shared" ca="1" si="208"/>
        <v>2583520353094679.5</v>
      </c>
      <c r="J5440" s="455">
        <f t="array" ref="J5440">IFERROR(INDEX('Retirement Calculator'!J:J,MATCH('Isaac 401k'!N5440,'Retirement Calculator'!A:A,0),0),0)</f>
        <v>0</v>
      </c>
      <c r="K5440" s="455">
        <f t="shared" ca="1" si="206"/>
        <v>10764668137894.498</v>
      </c>
      <c r="L5440" s="455">
        <f t="shared" ca="1" si="207"/>
        <v>2594285021232574</v>
      </c>
      <c r="M5440" s="471">
        <f t="shared" si="209"/>
        <v>0.05</v>
      </c>
      <c r="N5440" s="475">
        <f t="shared" si="210"/>
        <v>216623</v>
      </c>
    </row>
    <row r="5441" spans="7:14" ht="11.25" customHeight="1" x14ac:dyDescent="0.3">
      <c r="G5441" s="470"/>
      <c r="H5441" s="470">
        <v>5434</v>
      </c>
      <c r="I5441" s="455">
        <f t="shared" ca="1" si="208"/>
        <v>2594285021232574</v>
      </c>
      <c r="J5441" s="455">
        <f t="array" ref="J5441">IFERROR(INDEX('Retirement Calculator'!J:J,MATCH('Isaac 401k'!N5441,'Retirement Calculator'!A:A,0),0),0)</f>
        <v>0</v>
      </c>
      <c r="K5441" s="455">
        <f t="shared" ca="1" si="206"/>
        <v>10809520921802.391</v>
      </c>
      <c r="L5441" s="455">
        <f t="shared" ca="1" si="207"/>
        <v>2605094542154376.5</v>
      </c>
      <c r="M5441" s="471">
        <f t="shared" si="209"/>
        <v>0.05</v>
      </c>
      <c r="N5441" s="475">
        <f t="shared" si="210"/>
        <v>216651</v>
      </c>
    </row>
    <row r="5442" spans="7:14" ht="11.25" customHeight="1" x14ac:dyDescent="0.3">
      <c r="G5442" s="470"/>
      <c r="H5442" s="470">
        <v>5435</v>
      </c>
      <c r="I5442" s="455">
        <f t="shared" ca="1" si="208"/>
        <v>2605094542154376.5</v>
      </c>
      <c r="J5442" s="455">
        <f t="array" ref="J5442">IFERROR(INDEX('Retirement Calculator'!J:J,MATCH('Isaac 401k'!N5442,'Retirement Calculator'!A:A,0),0),0)</f>
        <v>0</v>
      </c>
      <c r="K5442" s="455">
        <f t="shared" ca="1" si="206"/>
        <v>10854560592309.902</v>
      </c>
      <c r="L5442" s="455">
        <f t="shared" ca="1" si="207"/>
        <v>2615949102746686.5</v>
      </c>
      <c r="M5442" s="471">
        <f t="shared" si="209"/>
        <v>0.05</v>
      </c>
      <c r="N5442" s="475">
        <f t="shared" si="210"/>
        <v>216682</v>
      </c>
    </row>
    <row r="5443" spans="7:14" ht="11.25" customHeight="1" x14ac:dyDescent="0.3">
      <c r="G5443" s="470"/>
      <c r="H5443" s="470">
        <v>5436</v>
      </c>
      <c r="I5443" s="455">
        <f t="shared" ca="1" si="208"/>
        <v>2615949102746686.5</v>
      </c>
      <c r="J5443" s="455">
        <f t="array" ref="J5443">IFERROR(INDEX('Retirement Calculator'!J:J,MATCH('Isaac 401k'!N5443,'Retirement Calculator'!A:A,0),0),0)</f>
        <v>0</v>
      </c>
      <c r="K5443" s="455">
        <f t="shared" ca="1" si="206"/>
        <v>10899787928111.193</v>
      </c>
      <c r="L5443" s="455">
        <f t="shared" ca="1" si="207"/>
        <v>2626848890674797.5</v>
      </c>
      <c r="M5443" s="471">
        <f t="shared" si="209"/>
        <v>0.05</v>
      </c>
      <c r="N5443" s="475">
        <f t="shared" si="210"/>
        <v>216712</v>
      </c>
    </row>
    <row r="5444" spans="7:14" ht="11.25" customHeight="1" x14ac:dyDescent="0.3">
      <c r="G5444" s="470"/>
      <c r="H5444" s="470">
        <v>5437</v>
      </c>
      <c r="I5444" s="455">
        <f t="shared" ca="1" si="208"/>
        <v>2626848890674797.5</v>
      </c>
      <c r="J5444" s="455">
        <f t="array" ref="J5444">IFERROR(INDEX('Retirement Calculator'!J:J,MATCH('Isaac 401k'!N5444,'Retirement Calculator'!A:A,0),0),0)</f>
        <v>0</v>
      </c>
      <c r="K5444" s="455">
        <f t="shared" ca="1" si="206"/>
        <v>10945203711144.99</v>
      </c>
      <c r="L5444" s="455">
        <f t="shared" ca="1" si="207"/>
        <v>2637794094385942.5</v>
      </c>
      <c r="M5444" s="471">
        <f t="shared" si="209"/>
        <v>0.05</v>
      </c>
      <c r="N5444" s="475">
        <f t="shared" si="210"/>
        <v>216743</v>
      </c>
    </row>
    <row r="5445" spans="7:14" ht="11.25" customHeight="1" x14ac:dyDescent="0.3">
      <c r="G5445" s="470"/>
      <c r="H5445" s="470">
        <v>5438</v>
      </c>
      <c r="I5445" s="455">
        <f t="shared" ca="1" si="208"/>
        <v>2637794094385942.5</v>
      </c>
      <c r="J5445" s="455">
        <f t="array" ref="J5445">IFERROR(INDEX('Retirement Calculator'!J:J,MATCH('Isaac 401k'!N5445,'Retirement Calculator'!A:A,0),0),0)</f>
        <v>0</v>
      </c>
      <c r="K5445" s="455">
        <f t="shared" ca="1" si="206"/>
        <v>10990808726608.094</v>
      </c>
      <c r="L5445" s="455">
        <f t="shared" ca="1" si="207"/>
        <v>2648784903112550.5</v>
      </c>
      <c r="M5445" s="471">
        <f t="shared" si="209"/>
        <v>0.05</v>
      </c>
      <c r="N5445" s="475">
        <f t="shared" si="210"/>
        <v>216773</v>
      </c>
    </row>
    <row r="5446" spans="7:14" ht="11.25" customHeight="1" x14ac:dyDescent="0.3">
      <c r="G5446" s="470"/>
      <c r="H5446" s="470">
        <v>5439</v>
      </c>
      <c r="I5446" s="455">
        <f t="shared" ca="1" si="208"/>
        <v>2648784903112550.5</v>
      </c>
      <c r="J5446" s="455">
        <f t="array" ref="J5446">IFERROR(INDEX('Retirement Calculator'!J:J,MATCH('Isaac 401k'!N5446,'Retirement Calculator'!A:A,0),0),0)</f>
        <v>0</v>
      </c>
      <c r="K5446" s="455">
        <f t="shared" ca="1" si="206"/>
        <v>11036603762968.961</v>
      </c>
      <c r="L5446" s="455">
        <f t="shared" ca="1" si="207"/>
        <v>2659821506875519.5</v>
      </c>
      <c r="M5446" s="471">
        <f t="shared" si="209"/>
        <v>0.05</v>
      </c>
      <c r="N5446" s="475">
        <f t="shared" si="210"/>
        <v>216804</v>
      </c>
    </row>
    <row r="5447" spans="7:14" ht="11.25" customHeight="1" x14ac:dyDescent="0.3">
      <c r="G5447" s="470"/>
      <c r="H5447" s="470">
        <v>5440</v>
      </c>
      <c r="I5447" s="455">
        <f t="shared" ca="1" si="208"/>
        <v>2659821506875519.5</v>
      </c>
      <c r="J5447" s="455">
        <f t="array" ref="J5447">IFERROR(INDEX('Retirement Calculator'!J:J,MATCH('Isaac 401k'!N5447,'Retirement Calculator'!A:A,0),0),0)</f>
        <v>0</v>
      </c>
      <c r="K5447" s="455">
        <f t="shared" ca="1" si="206"/>
        <v>11082589611981.332</v>
      </c>
      <c r="L5447" s="455">
        <f t="shared" ca="1" si="207"/>
        <v>2670904096487501</v>
      </c>
      <c r="M5447" s="471">
        <f t="shared" si="209"/>
        <v>0.05</v>
      </c>
      <c r="N5447" s="475">
        <f t="shared" si="210"/>
        <v>216835</v>
      </c>
    </row>
    <row r="5448" spans="7:14" ht="11.25" customHeight="1" x14ac:dyDescent="0.3">
      <c r="G5448" s="470"/>
      <c r="H5448" s="470">
        <v>5441</v>
      </c>
      <c r="I5448" s="455">
        <f t="shared" ca="1" si="208"/>
        <v>2670904096487501</v>
      </c>
      <c r="J5448" s="455">
        <f t="array" ref="J5448">IFERROR(INDEX('Retirement Calculator'!J:J,MATCH('Isaac 401k'!N5448,'Retirement Calculator'!A:A,0),0),0)</f>
        <v>0</v>
      </c>
      <c r="K5448" s="455">
        <f t="shared" ca="1" si="206"/>
        <v>11128767068697.92</v>
      </c>
      <c r="L5448" s="455">
        <f t="shared" ca="1" si="207"/>
        <v>2682032863556199</v>
      </c>
      <c r="M5448" s="471">
        <f t="shared" si="209"/>
        <v>0.05</v>
      </c>
      <c r="N5448" s="475">
        <f t="shared" si="210"/>
        <v>216865</v>
      </c>
    </row>
    <row r="5449" spans="7:14" ht="11.25" customHeight="1" x14ac:dyDescent="0.3">
      <c r="G5449" s="470"/>
      <c r="H5449" s="470">
        <v>5442</v>
      </c>
      <c r="I5449" s="455">
        <f t="shared" ca="1" si="208"/>
        <v>2682032863556199</v>
      </c>
      <c r="J5449" s="455">
        <f t="array" ref="J5449">IFERROR(INDEX('Retirement Calculator'!J:J,MATCH('Isaac 401k'!N5449,'Retirement Calculator'!A:A,0),0),0)</f>
        <v>0</v>
      </c>
      <c r="K5449" s="455">
        <f t="shared" ca="1" si="206"/>
        <v>11175136931484.162</v>
      </c>
      <c r="L5449" s="455">
        <f t="shared" ca="1" si="207"/>
        <v>2693208000487683</v>
      </c>
      <c r="M5449" s="471">
        <f t="shared" si="209"/>
        <v>0.05</v>
      </c>
      <c r="N5449" s="475">
        <f t="shared" si="210"/>
        <v>216896</v>
      </c>
    </row>
    <row r="5450" spans="7:14" ht="11.25" customHeight="1" x14ac:dyDescent="0.3">
      <c r="G5450" s="470"/>
      <c r="H5450" s="470">
        <v>5443</v>
      </c>
      <c r="I5450" s="455">
        <f t="shared" ca="1" si="208"/>
        <v>2693208000487683</v>
      </c>
      <c r="J5450" s="455">
        <f t="array" ref="J5450">IFERROR(INDEX('Retirement Calculator'!J:J,MATCH('Isaac 401k'!N5450,'Retirement Calculator'!A:A,0),0),0)</f>
        <v>0</v>
      </c>
      <c r="K5450" s="455">
        <f t="shared" ca="1" si="206"/>
        <v>11221700002032.012</v>
      </c>
      <c r="L5450" s="455">
        <f t="shared" ca="1" si="207"/>
        <v>2704429700489715</v>
      </c>
      <c r="M5450" s="471">
        <f t="shared" si="209"/>
        <v>0.05</v>
      </c>
      <c r="N5450" s="475">
        <f t="shared" si="210"/>
        <v>216926</v>
      </c>
    </row>
    <row r="5451" spans="7:14" ht="11.25" customHeight="1" x14ac:dyDescent="0.3">
      <c r="G5451" s="470"/>
      <c r="H5451" s="470">
        <v>5444</v>
      </c>
      <c r="I5451" s="455">
        <f t="shared" ca="1" si="208"/>
        <v>2704429700489715</v>
      </c>
      <c r="J5451" s="455">
        <f t="array" ref="J5451">IFERROR(INDEX('Retirement Calculator'!J:J,MATCH('Isaac 401k'!N5451,'Retirement Calculator'!A:A,0),0),0)</f>
        <v>0</v>
      </c>
      <c r="K5451" s="455">
        <f t="shared" ca="1" si="206"/>
        <v>11268457085373.813</v>
      </c>
      <c r="L5451" s="455">
        <f t="shared" ca="1" si="207"/>
        <v>2715698157575089</v>
      </c>
      <c r="M5451" s="471">
        <f t="shared" si="209"/>
        <v>0.05</v>
      </c>
      <c r="N5451" s="475">
        <f t="shared" si="210"/>
        <v>216957</v>
      </c>
    </row>
    <row r="5452" spans="7:14" ht="11.25" customHeight="1" x14ac:dyDescent="0.3">
      <c r="G5452" s="470"/>
      <c r="H5452" s="470">
        <v>5445</v>
      </c>
      <c r="I5452" s="455">
        <f t="shared" ca="1" si="208"/>
        <v>2715698157575089</v>
      </c>
      <c r="J5452" s="455">
        <f t="array" ref="J5452">IFERROR(INDEX('Retirement Calculator'!J:J,MATCH('Isaac 401k'!N5452,'Retirement Calculator'!A:A,0),0),0)</f>
        <v>0</v>
      </c>
      <c r="K5452" s="455">
        <f t="shared" ca="1" si="206"/>
        <v>11315408989896.203</v>
      </c>
      <c r="L5452" s="455">
        <f t="shared" ca="1" si="207"/>
        <v>2727013566564985</v>
      </c>
      <c r="M5452" s="471">
        <f t="shared" si="209"/>
        <v>0.05</v>
      </c>
      <c r="N5452" s="475">
        <f t="shared" si="210"/>
        <v>216988</v>
      </c>
    </row>
    <row r="5453" spans="7:14" ht="11.25" customHeight="1" x14ac:dyDescent="0.3">
      <c r="G5453" s="470"/>
      <c r="H5453" s="470">
        <v>5446</v>
      </c>
      <c r="I5453" s="455">
        <f t="shared" ca="1" si="208"/>
        <v>2727013566564985</v>
      </c>
      <c r="J5453" s="455">
        <f t="array" ref="J5453">IFERROR(INDEX('Retirement Calculator'!J:J,MATCH('Isaac 401k'!N5453,'Retirement Calculator'!A:A,0),0),0)</f>
        <v>0</v>
      </c>
      <c r="K5453" s="455">
        <f t="shared" ca="1" si="206"/>
        <v>11362556527354.104</v>
      </c>
      <c r="L5453" s="455">
        <f t="shared" ca="1" si="207"/>
        <v>2738376123092339</v>
      </c>
      <c r="M5453" s="471">
        <f t="shared" si="209"/>
        <v>0.05</v>
      </c>
      <c r="N5453" s="475">
        <f t="shared" si="210"/>
        <v>217016</v>
      </c>
    </row>
    <row r="5454" spans="7:14" ht="11.25" customHeight="1" x14ac:dyDescent="0.3">
      <c r="G5454" s="470"/>
      <c r="H5454" s="470">
        <v>5447</v>
      </c>
      <c r="I5454" s="455">
        <f t="shared" ca="1" si="208"/>
        <v>2738376123092339</v>
      </c>
      <c r="J5454" s="455">
        <f t="array" ref="J5454">IFERROR(INDEX('Retirement Calculator'!J:J,MATCH('Isaac 401k'!N5454,'Retirement Calculator'!A:A,0),0),0)</f>
        <v>0</v>
      </c>
      <c r="K5454" s="455">
        <f t="shared" ca="1" si="206"/>
        <v>11409900512884.746</v>
      </c>
      <c r="L5454" s="455">
        <f t="shared" ca="1" si="207"/>
        <v>2749786023605223.5</v>
      </c>
      <c r="M5454" s="471">
        <f t="shared" si="209"/>
        <v>0.05</v>
      </c>
      <c r="N5454" s="475">
        <f t="shared" si="210"/>
        <v>217047</v>
      </c>
    </row>
    <row r="5455" spans="7:14" ht="11.25" customHeight="1" x14ac:dyDescent="0.3">
      <c r="G5455" s="470"/>
      <c r="H5455" s="470">
        <v>5448</v>
      </c>
      <c r="I5455" s="455">
        <f t="shared" ca="1" si="208"/>
        <v>2749786023605223.5</v>
      </c>
      <c r="J5455" s="455">
        <f t="array" ref="J5455">IFERROR(INDEX('Retirement Calculator'!J:J,MATCH('Isaac 401k'!N5455,'Retirement Calculator'!A:A,0),0),0)</f>
        <v>0</v>
      </c>
      <c r="K5455" s="455">
        <f t="shared" ca="1" si="206"/>
        <v>11457441765021.764</v>
      </c>
      <c r="L5455" s="455">
        <f t="shared" ca="1" si="207"/>
        <v>2761243465370245.5</v>
      </c>
      <c r="M5455" s="471">
        <f t="shared" si="209"/>
        <v>0.05</v>
      </c>
      <c r="N5455" s="475">
        <f t="shared" si="210"/>
        <v>217077</v>
      </c>
    </row>
    <row r="5456" spans="7:14" ht="11.25" customHeight="1" x14ac:dyDescent="0.3">
      <c r="G5456" s="470"/>
      <c r="H5456" s="470">
        <v>5449</v>
      </c>
      <c r="I5456" s="455">
        <f t="shared" ca="1" si="208"/>
        <v>2761243465370245.5</v>
      </c>
      <c r="J5456" s="455">
        <f t="array" ref="J5456">IFERROR(INDEX('Retirement Calculator'!J:J,MATCH('Isaac 401k'!N5456,'Retirement Calculator'!A:A,0),0),0)</f>
        <v>0</v>
      </c>
      <c r="K5456" s="455">
        <f t="shared" ca="1" si="206"/>
        <v>11505181105709.355</v>
      </c>
      <c r="L5456" s="455">
        <f t="shared" ca="1" si="207"/>
        <v>2772748646475955</v>
      </c>
      <c r="M5456" s="471">
        <f t="shared" si="209"/>
        <v>0.05</v>
      </c>
      <c r="N5456" s="475">
        <f t="shared" si="210"/>
        <v>217108</v>
      </c>
    </row>
    <row r="5457" spans="7:14" ht="11.25" customHeight="1" x14ac:dyDescent="0.3">
      <c r="G5457" s="470"/>
      <c r="H5457" s="470">
        <v>5450</v>
      </c>
      <c r="I5457" s="455">
        <f t="shared" ca="1" si="208"/>
        <v>2772748646475955</v>
      </c>
      <c r="J5457" s="455">
        <f t="array" ref="J5457">IFERROR(INDEX('Retirement Calculator'!J:J,MATCH('Isaac 401k'!N5457,'Retirement Calculator'!A:A,0),0),0)</f>
        <v>0</v>
      </c>
      <c r="K5457" s="455">
        <f t="shared" ca="1" si="206"/>
        <v>11553119360316.479</v>
      </c>
      <c r="L5457" s="455">
        <f t="shared" ca="1" si="207"/>
        <v>2784301765836271.5</v>
      </c>
      <c r="M5457" s="471">
        <f t="shared" si="209"/>
        <v>0.05</v>
      </c>
      <c r="N5457" s="475">
        <f t="shared" si="210"/>
        <v>217138</v>
      </c>
    </row>
    <row r="5458" spans="7:14" ht="11.25" customHeight="1" x14ac:dyDescent="0.3">
      <c r="G5458" s="470"/>
      <c r="H5458" s="470">
        <v>5451</v>
      </c>
      <c r="I5458" s="455">
        <f t="shared" ca="1" si="208"/>
        <v>2784301765836271.5</v>
      </c>
      <c r="J5458" s="455">
        <f t="array" ref="J5458">IFERROR(INDEX('Retirement Calculator'!J:J,MATCH('Isaac 401k'!N5458,'Retirement Calculator'!A:A,0),0),0)</f>
        <v>0</v>
      </c>
      <c r="K5458" s="455">
        <f t="shared" ca="1" si="206"/>
        <v>11601257357651.131</v>
      </c>
      <c r="L5458" s="455">
        <f t="shared" ca="1" si="207"/>
        <v>2795903023193922.5</v>
      </c>
      <c r="M5458" s="471">
        <f t="shared" si="209"/>
        <v>0.05</v>
      </c>
      <c r="N5458" s="475">
        <f t="shared" si="210"/>
        <v>217169</v>
      </c>
    </row>
    <row r="5459" spans="7:14" ht="11.25" customHeight="1" x14ac:dyDescent="0.3">
      <c r="G5459" s="470"/>
      <c r="H5459" s="470">
        <v>5452</v>
      </c>
      <c r="I5459" s="455">
        <f t="shared" ca="1" si="208"/>
        <v>2795903023193922.5</v>
      </c>
      <c r="J5459" s="455">
        <f t="array" ref="J5459">IFERROR(INDEX('Retirement Calculator'!J:J,MATCH('Isaac 401k'!N5459,'Retirement Calculator'!A:A,0),0),0)</f>
        <v>0</v>
      </c>
      <c r="K5459" s="455">
        <f t="shared" ca="1" si="206"/>
        <v>11649595929974.678</v>
      </c>
      <c r="L5459" s="455">
        <f t="shared" ca="1" si="207"/>
        <v>2807552619123897</v>
      </c>
      <c r="M5459" s="471">
        <f t="shared" si="209"/>
        <v>0.05</v>
      </c>
      <c r="N5459" s="475">
        <f t="shared" si="210"/>
        <v>217200</v>
      </c>
    </row>
    <row r="5460" spans="7:14" ht="11.25" customHeight="1" x14ac:dyDescent="0.3">
      <c r="G5460" s="470"/>
      <c r="H5460" s="470">
        <v>5453</v>
      </c>
      <c r="I5460" s="455">
        <f t="shared" ca="1" si="208"/>
        <v>2807552619123897</v>
      </c>
      <c r="J5460" s="455">
        <f t="array" ref="J5460">IFERROR(INDEX('Retirement Calculator'!J:J,MATCH('Isaac 401k'!N5460,'Retirement Calculator'!A:A,0),0),0)</f>
        <v>0</v>
      </c>
      <c r="K5460" s="455">
        <f t="shared" ca="1" si="206"/>
        <v>11698135913016.238</v>
      </c>
      <c r="L5460" s="455">
        <f t="shared" ca="1" si="207"/>
        <v>2819250755036913</v>
      </c>
      <c r="M5460" s="471">
        <f t="shared" si="209"/>
        <v>0.05</v>
      </c>
      <c r="N5460" s="475">
        <f t="shared" si="210"/>
        <v>217230</v>
      </c>
    </row>
    <row r="5461" spans="7:14" ht="11.25" customHeight="1" x14ac:dyDescent="0.3">
      <c r="G5461" s="470"/>
      <c r="H5461" s="470">
        <v>5454</v>
      </c>
      <c r="I5461" s="455">
        <f t="shared" ca="1" si="208"/>
        <v>2819250755036913</v>
      </c>
      <c r="J5461" s="455">
        <f t="array" ref="J5461">IFERROR(INDEX('Retirement Calculator'!J:J,MATCH('Isaac 401k'!N5461,'Retirement Calculator'!A:A,0),0),0)</f>
        <v>0</v>
      </c>
      <c r="K5461" s="455">
        <f t="shared" ca="1" si="206"/>
        <v>11746878145987.137</v>
      </c>
      <c r="L5461" s="455">
        <f t="shared" ca="1" si="207"/>
        <v>2830997633182900</v>
      </c>
      <c r="M5461" s="471">
        <f t="shared" si="209"/>
        <v>0.05</v>
      </c>
      <c r="N5461" s="475">
        <f t="shared" si="210"/>
        <v>217261</v>
      </c>
    </row>
    <row r="5462" spans="7:14" ht="11.25" customHeight="1" x14ac:dyDescent="0.3">
      <c r="G5462" s="470"/>
      <c r="H5462" s="470">
        <v>5455</v>
      </c>
      <c r="I5462" s="455">
        <f t="shared" ca="1" si="208"/>
        <v>2830997633182900</v>
      </c>
      <c r="J5462" s="455">
        <f t="array" ref="J5462">IFERROR(INDEX('Retirement Calculator'!J:J,MATCH('Isaac 401k'!N5462,'Retirement Calculator'!A:A,0),0),0)</f>
        <v>0</v>
      </c>
      <c r="K5462" s="455">
        <f t="shared" ca="1" si="206"/>
        <v>11795823471595.416</v>
      </c>
      <c r="L5462" s="455">
        <f t="shared" ca="1" si="207"/>
        <v>2842793456654495.5</v>
      </c>
      <c r="M5462" s="471">
        <f t="shared" si="209"/>
        <v>0.05</v>
      </c>
      <c r="N5462" s="475">
        <f t="shared" si="210"/>
        <v>217291</v>
      </c>
    </row>
    <row r="5463" spans="7:14" ht="11.25" customHeight="1" x14ac:dyDescent="0.3">
      <c r="G5463" s="470"/>
      <c r="H5463" s="470">
        <v>5456</v>
      </c>
      <c r="I5463" s="455">
        <f t="shared" ca="1" si="208"/>
        <v>2842793456654495.5</v>
      </c>
      <c r="J5463" s="455">
        <f t="array" ref="J5463">IFERROR(INDEX('Retirement Calculator'!J:J,MATCH('Isaac 401k'!N5463,'Retirement Calculator'!A:A,0),0),0)</f>
        <v>0</v>
      </c>
      <c r="K5463" s="455">
        <f t="shared" ca="1" si="206"/>
        <v>11844972736060.398</v>
      </c>
      <c r="L5463" s="455">
        <f t="shared" ca="1" si="207"/>
        <v>2854638429390556</v>
      </c>
      <c r="M5463" s="471">
        <f t="shared" si="209"/>
        <v>0.05</v>
      </c>
      <c r="N5463" s="475">
        <f t="shared" si="210"/>
        <v>217322</v>
      </c>
    </row>
    <row r="5464" spans="7:14" ht="11.25" customHeight="1" x14ac:dyDescent="0.3">
      <c r="G5464" s="470"/>
      <c r="H5464" s="470">
        <v>5457</v>
      </c>
      <c r="I5464" s="455">
        <f t="shared" ca="1" si="208"/>
        <v>2854638429390556</v>
      </c>
      <c r="J5464" s="455">
        <f t="array" ref="J5464">IFERROR(INDEX('Retirement Calculator'!J:J,MATCH('Isaac 401k'!N5464,'Retirement Calculator'!A:A,0),0),0)</f>
        <v>0</v>
      </c>
      <c r="K5464" s="455">
        <f t="shared" ca="1" si="206"/>
        <v>11894326789127.316</v>
      </c>
      <c r="L5464" s="455">
        <f t="shared" ca="1" si="207"/>
        <v>2866532756179683.5</v>
      </c>
      <c r="M5464" s="471">
        <f t="shared" si="209"/>
        <v>0.05</v>
      </c>
      <c r="N5464" s="475">
        <f t="shared" si="210"/>
        <v>217353</v>
      </c>
    </row>
    <row r="5465" spans="7:14" ht="11.25" customHeight="1" x14ac:dyDescent="0.3">
      <c r="G5465" s="470"/>
      <c r="H5465" s="470">
        <v>5458</v>
      </c>
      <c r="I5465" s="455">
        <f t="shared" ca="1" si="208"/>
        <v>2866532756179683.5</v>
      </c>
      <c r="J5465" s="455">
        <f t="array" ref="J5465">IFERROR(INDEX('Retirement Calculator'!J:J,MATCH('Isaac 401k'!N5465,'Retirement Calculator'!A:A,0),0),0)</f>
        <v>0</v>
      </c>
      <c r="K5465" s="455">
        <f t="shared" ca="1" si="206"/>
        <v>11943886484082.014</v>
      </c>
      <c r="L5465" s="455">
        <f t="shared" ca="1" si="207"/>
        <v>2878476642663765.5</v>
      </c>
      <c r="M5465" s="471">
        <f t="shared" si="209"/>
        <v>0.05</v>
      </c>
      <c r="N5465" s="475">
        <f t="shared" si="210"/>
        <v>217381</v>
      </c>
    </row>
    <row r="5466" spans="7:14" ht="11.25" customHeight="1" x14ac:dyDescent="0.3">
      <c r="G5466" s="470"/>
      <c r="H5466" s="470">
        <v>5459</v>
      </c>
      <c r="I5466" s="455">
        <f t="shared" ca="1" si="208"/>
        <v>2878476642663765.5</v>
      </c>
      <c r="J5466" s="455">
        <f t="array" ref="J5466">IFERROR(INDEX('Retirement Calculator'!J:J,MATCH('Isaac 401k'!N5466,'Retirement Calculator'!A:A,0),0),0)</f>
        <v>0</v>
      </c>
      <c r="K5466" s="455">
        <f t="shared" ca="1" si="206"/>
        <v>11993652677765.689</v>
      </c>
      <c r="L5466" s="455">
        <f t="shared" ca="1" si="207"/>
        <v>2890470295341531</v>
      </c>
      <c r="M5466" s="471">
        <f t="shared" si="209"/>
        <v>0.05</v>
      </c>
      <c r="N5466" s="475">
        <f t="shared" si="210"/>
        <v>217412</v>
      </c>
    </row>
    <row r="5467" spans="7:14" ht="11.25" customHeight="1" x14ac:dyDescent="0.3">
      <c r="G5467" s="470"/>
      <c r="H5467" s="470">
        <v>5460</v>
      </c>
      <c r="I5467" s="455">
        <f t="shared" ca="1" si="208"/>
        <v>2890470295341531</v>
      </c>
      <c r="J5467" s="455">
        <f t="array" ref="J5467">IFERROR(INDEX('Retirement Calculator'!J:J,MATCH('Isaac 401k'!N5467,'Retirement Calculator'!A:A,0),0),0)</f>
        <v>0</v>
      </c>
      <c r="K5467" s="455">
        <f t="shared" ca="1" si="206"/>
        <v>12043626230589.713</v>
      </c>
      <c r="L5467" s="455">
        <f t="shared" ca="1" si="207"/>
        <v>2902513921572120.5</v>
      </c>
      <c r="M5467" s="471">
        <f t="shared" si="209"/>
        <v>0.05</v>
      </c>
      <c r="N5467" s="475">
        <f t="shared" si="210"/>
        <v>217442</v>
      </c>
    </row>
    <row r="5468" spans="7:14" ht="11.25" customHeight="1" x14ac:dyDescent="0.3">
      <c r="G5468" s="470"/>
      <c r="H5468" s="470">
        <v>5461</v>
      </c>
      <c r="I5468" s="455">
        <f t="shared" ca="1" si="208"/>
        <v>2902513921572120.5</v>
      </c>
      <c r="J5468" s="455">
        <f t="array" ref="J5468">IFERROR(INDEX('Retirement Calculator'!J:J,MATCH('Isaac 401k'!N5468,'Retirement Calculator'!A:A,0),0),0)</f>
        <v>0</v>
      </c>
      <c r="K5468" s="455">
        <f t="shared" ca="1" si="206"/>
        <v>12093808006550.502</v>
      </c>
      <c r="L5468" s="455">
        <f t="shared" ca="1" si="207"/>
        <v>2914607729578671</v>
      </c>
      <c r="M5468" s="471">
        <f t="shared" si="209"/>
        <v>0.05</v>
      </c>
      <c r="N5468" s="475">
        <f t="shared" si="210"/>
        <v>217473</v>
      </c>
    </row>
    <row r="5469" spans="7:14" ht="11.25" customHeight="1" x14ac:dyDescent="0.3">
      <c r="G5469" s="470"/>
      <c r="H5469" s="470">
        <v>5462</v>
      </c>
      <c r="I5469" s="455">
        <f t="shared" ca="1" si="208"/>
        <v>2914607729578671</v>
      </c>
      <c r="J5469" s="455">
        <f t="array" ref="J5469">IFERROR(INDEX('Retirement Calculator'!J:J,MATCH('Isaac 401k'!N5469,'Retirement Calculator'!A:A,0),0),0)</f>
        <v>0</v>
      </c>
      <c r="K5469" s="455">
        <f t="shared" ca="1" si="206"/>
        <v>12144198873244.463</v>
      </c>
      <c r="L5469" s="455">
        <f t="shared" ca="1" si="207"/>
        <v>2926751928451915.5</v>
      </c>
      <c r="M5469" s="471">
        <f t="shared" si="209"/>
        <v>0.05</v>
      </c>
      <c r="N5469" s="475">
        <f t="shared" si="210"/>
        <v>217503</v>
      </c>
    </row>
    <row r="5470" spans="7:14" ht="11.25" customHeight="1" x14ac:dyDescent="0.3">
      <c r="G5470" s="470"/>
      <c r="H5470" s="470">
        <v>5463</v>
      </c>
      <c r="I5470" s="455">
        <f t="shared" ca="1" si="208"/>
        <v>2926751928451915.5</v>
      </c>
      <c r="J5470" s="455">
        <f t="array" ref="J5470">IFERROR(INDEX('Retirement Calculator'!J:J,MATCH('Isaac 401k'!N5470,'Retirement Calculator'!A:A,0),0),0)</f>
        <v>0</v>
      </c>
      <c r="K5470" s="455">
        <f t="shared" ca="1" si="206"/>
        <v>12194799701882.98</v>
      </c>
      <c r="L5470" s="455">
        <f t="shared" ca="1" si="207"/>
        <v>2938946728153798.5</v>
      </c>
      <c r="M5470" s="471">
        <f t="shared" si="209"/>
        <v>0.05</v>
      </c>
      <c r="N5470" s="475">
        <f t="shared" si="210"/>
        <v>217534</v>
      </c>
    </row>
    <row r="5471" spans="7:14" ht="11.25" customHeight="1" x14ac:dyDescent="0.3">
      <c r="G5471" s="470"/>
      <c r="H5471" s="470">
        <v>5464</v>
      </c>
      <c r="I5471" s="455">
        <f t="shared" ca="1" si="208"/>
        <v>2938946728153798.5</v>
      </c>
      <c r="J5471" s="455">
        <f t="array" ref="J5471">IFERROR(INDEX('Retirement Calculator'!J:J,MATCH('Isaac 401k'!N5471,'Retirement Calculator'!A:A,0),0),0)</f>
        <v>0</v>
      </c>
      <c r="K5471" s="455">
        <f t="shared" ca="1" si="206"/>
        <v>12245611367307.494</v>
      </c>
      <c r="L5471" s="455">
        <f t="shared" ca="1" si="207"/>
        <v>2951192339521106</v>
      </c>
      <c r="M5471" s="471">
        <f t="shared" si="209"/>
        <v>0.05</v>
      </c>
      <c r="N5471" s="475">
        <f t="shared" si="210"/>
        <v>217565</v>
      </c>
    </row>
    <row r="5472" spans="7:14" ht="11.25" customHeight="1" x14ac:dyDescent="0.3">
      <c r="G5472" s="470"/>
      <c r="H5472" s="470">
        <v>5465</v>
      </c>
      <c r="I5472" s="455">
        <f t="shared" ca="1" si="208"/>
        <v>2951192339521106</v>
      </c>
      <c r="J5472" s="455">
        <f t="array" ref="J5472">IFERROR(INDEX('Retirement Calculator'!J:J,MATCH('Isaac 401k'!N5472,'Retirement Calculator'!A:A,0),0),0)</f>
        <v>0</v>
      </c>
      <c r="K5472" s="455">
        <f t="shared" ca="1" si="206"/>
        <v>12296634748004.607</v>
      </c>
      <c r="L5472" s="455">
        <f t="shared" ca="1" si="207"/>
        <v>2963488974269110.5</v>
      </c>
      <c r="M5472" s="471">
        <f t="shared" si="209"/>
        <v>0.05</v>
      </c>
      <c r="N5472" s="475">
        <f t="shared" si="210"/>
        <v>217595</v>
      </c>
    </row>
    <row r="5473" spans="7:14" ht="11.25" customHeight="1" x14ac:dyDescent="0.3">
      <c r="G5473" s="470"/>
      <c r="H5473" s="470">
        <v>5466</v>
      </c>
      <c r="I5473" s="455">
        <f t="shared" ca="1" si="208"/>
        <v>2963488974269110.5</v>
      </c>
      <c r="J5473" s="455">
        <f t="array" ref="J5473">IFERROR(INDEX('Retirement Calculator'!J:J,MATCH('Isaac 401k'!N5473,'Retirement Calculator'!A:A,0),0),0)</f>
        <v>0</v>
      </c>
      <c r="K5473" s="455">
        <f t="shared" ca="1" si="206"/>
        <v>12347870726121.293</v>
      </c>
      <c r="L5473" s="455">
        <f t="shared" ca="1" si="207"/>
        <v>2975836844995232</v>
      </c>
      <c r="M5473" s="471">
        <f t="shared" si="209"/>
        <v>0.05</v>
      </c>
      <c r="N5473" s="475">
        <f t="shared" si="210"/>
        <v>217626</v>
      </c>
    </row>
    <row r="5474" spans="7:14" ht="11.25" customHeight="1" x14ac:dyDescent="0.3">
      <c r="G5474" s="470"/>
      <c r="H5474" s="470">
        <v>5467</v>
      </c>
      <c r="I5474" s="455">
        <f t="shared" ca="1" si="208"/>
        <v>2975836844995232</v>
      </c>
      <c r="J5474" s="455">
        <f t="array" ref="J5474">IFERROR(INDEX('Retirement Calculator'!J:J,MATCH('Isaac 401k'!N5474,'Retirement Calculator'!A:A,0),0),0)</f>
        <v>0</v>
      </c>
      <c r="K5474" s="455">
        <f t="shared" ca="1" si="206"/>
        <v>12399320187480.133</v>
      </c>
      <c r="L5474" s="455">
        <f t="shared" ca="1" si="207"/>
        <v>2988236165182712</v>
      </c>
      <c r="M5474" s="471">
        <f t="shared" si="209"/>
        <v>0.05</v>
      </c>
      <c r="N5474" s="475">
        <f t="shared" si="210"/>
        <v>217656</v>
      </c>
    </row>
    <row r="5475" spans="7:14" ht="11.25" customHeight="1" x14ac:dyDescent="0.3">
      <c r="G5475" s="470"/>
      <c r="H5475" s="470">
        <v>5468</v>
      </c>
      <c r="I5475" s="455">
        <f t="shared" ca="1" si="208"/>
        <v>2988236165182712</v>
      </c>
      <c r="J5475" s="455">
        <f t="array" ref="J5475">IFERROR(INDEX('Retirement Calculator'!J:J,MATCH('Isaac 401k'!N5475,'Retirement Calculator'!A:A,0),0),0)</f>
        <v>0</v>
      </c>
      <c r="K5475" s="455">
        <f t="shared" ca="1" si="206"/>
        <v>12450984021594.633</v>
      </c>
      <c r="L5475" s="455">
        <f t="shared" ca="1" si="207"/>
        <v>3000687149204306.5</v>
      </c>
      <c r="M5475" s="471">
        <f t="shared" si="209"/>
        <v>0.05</v>
      </c>
      <c r="N5475" s="475">
        <f t="shared" si="210"/>
        <v>217687</v>
      </c>
    </row>
    <row r="5476" spans="7:14" ht="11.25" customHeight="1" x14ac:dyDescent="0.3">
      <c r="G5476" s="470"/>
      <c r="H5476" s="470">
        <v>5469</v>
      </c>
      <c r="I5476" s="455">
        <f t="shared" ca="1" si="208"/>
        <v>3000687149204306.5</v>
      </c>
      <c r="J5476" s="455">
        <f t="array" ref="J5476">IFERROR(INDEX('Retirement Calculator'!J:J,MATCH('Isaac 401k'!N5476,'Retirement Calculator'!A:A,0),0),0)</f>
        <v>0</v>
      </c>
      <c r="K5476" s="455">
        <f t="shared" ca="1" si="206"/>
        <v>12502863121684.609</v>
      </c>
      <c r="L5476" s="455">
        <f t="shared" ca="1" si="207"/>
        <v>3013190012325991</v>
      </c>
      <c r="M5476" s="471">
        <f t="shared" si="209"/>
        <v>0.05</v>
      </c>
      <c r="N5476" s="475">
        <f t="shared" si="210"/>
        <v>217718</v>
      </c>
    </row>
    <row r="5477" spans="7:14" ht="11.25" customHeight="1" x14ac:dyDescent="0.3">
      <c r="G5477" s="470"/>
      <c r="H5477" s="470">
        <v>5470</v>
      </c>
      <c r="I5477" s="455">
        <f t="shared" ca="1" si="208"/>
        <v>3013190012325991</v>
      </c>
      <c r="J5477" s="455">
        <f t="array" ref="J5477">IFERROR(INDEX('Retirement Calculator'!J:J,MATCH('Isaac 401k'!N5477,'Retirement Calculator'!A:A,0),0),0)</f>
        <v>0</v>
      </c>
      <c r="K5477" s="455">
        <f t="shared" ca="1" si="206"/>
        <v>12554958384691.629</v>
      </c>
      <c r="L5477" s="455">
        <f t="shared" ca="1" si="207"/>
        <v>3025744970710682.5</v>
      </c>
      <c r="M5477" s="471">
        <f t="shared" si="209"/>
        <v>0.05</v>
      </c>
      <c r="N5477" s="475">
        <f t="shared" si="210"/>
        <v>217747</v>
      </c>
    </row>
    <row r="5478" spans="7:14" ht="11.25" customHeight="1" x14ac:dyDescent="0.3">
      <c r="G5478" s="470"/>
      <c r="H5478" s="470">
        <v>5471</v>
      </c>
      <c r="I5478" s="455">
        <f t="shared" ca="1" si="208"/>
        <v>3025744970710682.5</v>
      </c>
      <c r="J5478" s="455">
        <f t="array" ref="J5478">IFERROR(INDEX('Retirement Calculator'!J:J,MATCH('Isaac 401k'!N5478,'Retirement Calculator'!A:A,0),0),0)</f>
        <v>0</v>
      </c>
      <c r="K5478" s="455">
        <f t="shared" ca="1" si="206"/>
        <v>12607270711294.51</v>
      </c>
      <c r="L5478" s="455">
        <f t="shared" ca="1" si="207"/>
        <v>3038352241421977</v>
      </c>
      <c r="M5478" s="471">
        <f t="shared" si="209"/>
        <v>0.05</v>
      </c>
      <c r="N5478" s="475">
        <f t="shared" si="210"/>
        <v>217778</v>
      </c>
    </row>
    <row r="5479" spans="7:14" ht="11.25" customHeight="1" x14ac:dyDescent="0.3">
      <c r="G5479" s="470"/>
      <c r="H5479" s="470">
        <v>5472</v>
      </c>
      <c r="I5479" s="455">
        <f t="shared" ca="1" si="208"/>
        <v>3038352241421977</v>
      </c>
      <c r="J5479" s="455">
        <f t="array" ref="J5479">IFERROR(INDEX('Retirement Calculator'!J:J,MATCH('Isaac 401k'!N5479,'Retirement Calculator'!A:A,0),0),0)</f>
        <v>0</v>
      </c>
      <c r="K5479" s="455">
        <f t="shared" ca="1" si="206"/>
        <v>12659801005924.904</v>
      </c>
      <c r="L5479" s="455">
        <f t="shared" ca="1" si="207"/>
        <v>3051012042427902</v>
      </c>
      <c r="M5479" s="471">
        <f t="shared" si="209"/>
        <v>0.05</v>
      </c>
      <c r="N5479" s="475">
        <f t="shared" si="210"/>
        <v>217808</v>
      </c>
    </row>
    <row r="5480" spans="7:14" ht="11.25" customHeight="1" x14ac:dyDescent="0.3">
      <c r="G5480" s="470"/>
      <c r="H5480" s="470">
        <v>5473</v>
      </c>
      <c r="I5480" s="455">
        <f t="shared" ca="1" si="208"/>
        <v>3051012042427902</v>
      </c>
      <c r="J5480" s="455">
        <f t="array" ref="J5480">IFERROR(INDEX('Retirement Calculator'!J:J,MATCH('Isaac 401k'!N5480,'Retirement Calculator'!A:A,0),0),0)</f>
        <v>0</v>
      </c>
      <c r="K5480" s="455">
        <f t="shared" ca="1" si="206"/>
        <v>12712550176782.926</v>
      </c>
      <c r="L5480" s="455">
        <f t="shared" ca="1" si="207"/>
        <v>3063724592604685</v>
      </c>
      <c r="M5480" s="471">
        <f t="shared" si="209"/>
        <v>0.05</v>
      </c>
      <c r="N5480" s="475">
        <f t="shared" si="210"/>
        <v>217839</v>
      </c>
    </row>
    <row r="5481" spans="7:14" ht="11.25" customHeight="1" x14ac:dyDescent="0.3">
      <c r="G5481" s="470"/>
      <c r="H5481" s="470">
        <v>5474</v>
      </c>
      <c r="I5481" s="455">
        <f t="shared" ca="1" si="208"/>
        <v>3063724592604685</v>
      </c>
      <c r="J5481" s="455">
        <f t="array" ref="J5481">IFERROR(INDEX('Retirement Calculator'!J:J,MATCH('Isaac 401k'!N5481,'Retirement Calculator'!A:A,0),0),0)</f>
        <v>0</v>
      </c>
      <c r="K5481" s="455">
        <f t="shared" ca="1" si="206"/>
        <v>12765519135852.854</v>
      </c>
      <c r="L5481" s="455">
        <f t="shared" ca="1" si="207"/>
        <v>3076490111740538</v>
      </c>
      <c r="M5481" s="471">
        <f t="shared" si="209"/>
        <v>0.05</v>
      </c>
      <c r="N5481" s="475">
        <f t="shared" si="210"/>
        <v>217869</v>
      </c>
    </row>
    <row r="5482" spans="7:14" ht="11.25" customHeight="1" x14ac:dyDescent="0.3">
      <c r="G5482" s="470"/>
      <c r="H5482" s="470">
        <v>5475</v>
      </c>
      <c r="I5482" s="455">
        <f t="shared" ca="1" si="208"/>
        <v>3076490111740538</v>
      </c>
      <c r="J5482" s="455">
        <f t="array" ref="J5482">IFERROR(INDEX('Retirement Calculator'!J:J,MATCH('Isaac 401k'!N5482,'Retirement Calculator'!A:A,0),0),0)</f>
        <v>0</v>
      </c>
      <c r="K5482" s="455">
        <f t="shared" ca="1" si="206"/>
        <v>12818708798918.908</v>
      </c>
      <c r="L5482" s="455">
        <f t="shared" ca="1" si="207"/>
        <v>3089308820539457</v>
      </c>
      <c r="M5482" s="471">
        <f t="shared" si="209"/>
        <v>0.05</v>
      </c>
      <c r="N5482" s="475">
        <f t="shared" si="210"/>
        <v>217900</v>
      </c>
    </row>
    <row r="5483" spans="7:14" ht="11.25" customHeight="1" x14ac:dyDescent="0.3">
      <c r="G5483" s="470"/>
      <c r="H5483" s="470">
        <v>5476</v>
      </c>
      <c r="I5483" s="455">
        <f t="shared" ca="1" si="208"/>
        <v>3089308820539457</v>
      </c>
      <c r="J5483" s="455">
        <f t="array" ref="J5483">IFERROR(INDEX('Retirement Calculator'!J:J,MATCH('Isaac 401k'!N5483,'Retirement Calculator'!A:A,0),0),0)</f>
        <v>0</v>
      </c>
      <c r="K5483" s="455">
        <f t="shared" ca="1" si="206"/>
        <v>12872120085581.07</v>
      </c>
      <c r="L5483" s="455">
        <f t="shared" ca="1" si="207"/>
        <v>3102180940625038</v>
      </c>
      <c r="M5483" s="471">
        <f t="shared" si="209"/>
        <v>0.05</v>
      </c>
      <c r="N5483" s="475">
        <f t="shared" si="210"/>
        <v>217931</v>
      </c>
    </row>
    <row r="5484" spans="7:14" ht="11.25" customHeight="1" x14ac:dyDescent="0.3">
      <c r="G5484" s="470"/>
      <c r="H5484" s="470">
        <v>5477</v>
      </c>
      <c r="I5484" s="455">
        <f t="shared" ca="1" si="208"/>
        <v>3102180940625038</v>
      </c>
      <c r="J5484" s="455">
        <f t="array" ref="J5484">IFERROR(INDEX('Retirement Calculator'!J:J,MATCH('Isaac 401k'!N5484,'Retirement Calculator'!A:A,0),0),0)</f>
        <v>0</v>
      </c>
      <c r="K5484" s="455">
        <f t="shared" ca="1" si="206"/>
        <v>12925753919270.992</v>
      </c>
      <c r="L5484" s="455">
        <f t="shared" ca="1" si="207"/>
        <v>3115106694544309</v>
      </c>
      <c r="M5484" s="471">
        <f t="shared" si="209"/>
        <v>0.05</v>
      </c>
      <c r="N5484" s="475">
        <f t="shared" si="210"/>
        <v>217961</v>
      </c>
    </row>
    <row r="5485" spans="7:14" ht="11.25" customHeight="1" x14ac:dyDescent="0.3">
      <c r="G5485" s="470"/>
      <c r="H5485" s="470">
        <v>5478</v>
      </c>
      <c r="I5485" s="455">
        <f t="shared" ca="1" si="208"/>
        <v>3115106694544309</v>
      </c>
      <c r="J5485" s="455">
        <f t="array" ref="J5485">IFERROR(INDEX('Retirement Calculator'!J:J,MATCH('Isaac 401k'!N5485,'Retirement Calculator'!A:A,0),0),0)</f>
        <v>0</v>
      </c>
      <c r="K5485" s="455">
        <f t="shared" ca="1" si="206"/>
        <v>12979611227267.953</v>
      </c>
      <c r="L5485" s="455">
        <f t="shared" ca="1" si="207"/>
        <v>3128086305771577</v>
      </c>
      <c r="M5485" s="471">
        <f t="shared" si="209"/>
        <v>0.05</v>
      </c>
      <c r="N5485" s="475">
        <f t="shared" si="210"/>
        <v>217992</v>
      </c>
    </row>
    <row r="5486" spans="7:14" ht="11.25" customHeight="1" x14ac:dyDescent="0.3">
      <c r="G5486" s="470"/>
      <c r="H5486" s="470">
        <v>5479</v>
      </c>
      <c r="I5486" s="455">
        <f t="shared" ca="1" si="208"/>
        <v>3128086305771577</v>
      </c>
      <c r="J5486" s="455">
        <f t="array" ref="J5486">IFERROR(INDEX('Retirement Calculator'!J:J,MATCH('Isaac 401k'!N5486,'Retirement Calculator'!A:A,0),0),0)</f>
        <v>0</v>
      </c>
      <c r="K5486" s="455">
        <f t="shared" ca="1" si="206"/>
        <v>13033692940714.904</v>
      </c>
      <c r="L5486" s="455">
        <f t="shared" ca="1" si="207"/>
        <v>3141119998712292</v>
      </c>
      <c r="M5486" s="471">
        <f t="shared" si="209"/>
        <v>0.05</v>
      </c>
      <c r="N5486" s="475">
        <f t="shared" si="210"/>
        <v>218022</v>
      </c>
    </row>
    <row r="5487" spans="7:14" ht="11.25" customHeight="1" x14ac:dyDescent="0.3">
      <c r="G5487" s="470"/>
      <c r="H5487" s="470">
        <v>5480</v>
      </c>
      <c r="I5487" s="455">
        <f t="shared" ca="1" si="208"/>
        <v>3141119998712292</v>
      </c>
      <c r="J5487" s="455">
        <f t="array" ref="J5487">IFERROR(INDEX('Retirement Calculator'!J:J,MATCH('Isaac 401k'!N5487,'Retirement Calculator'!A:A,0),0),0)</f>
        <v>0</v>
      </c>
      <c r="K5487" s="455">
        <f t="shared" ca="1" si="206"/>
        <v>13087999994634.551</v>
      </c>
      <c r="L5487" s="455">
        <f t="shared" ca="1" si="207"/>
        <v>3154207998706926.5</v>
      </c>
      <c r="M5487" s="471">
        <f t="shared" si="209"/>
        <v>0.05</v>
      </c>
      <c r="N5487" s="475">
        <f t="shared" si="210"/>
        <v>218053</v>
      </c>
    </row>
    <row r="5488" spans="7:14" ht="11.25" customHeight="1" x14ac:dyDescent="0.3">
      <c r="G5488" s="470"/>
      <c r="H5488" s="470">
        <v>5481</v>
      </c>
      <c r="I5488" s="455">
        <f t="shared" ca="1" si="208"/>
        <v>3154207998706926.5</v>
      </c>
      <c r="J5488" s="455">
        <f t="array" ref="J5488">IFERROR(INDEX('Retirement Calculator'!J:J,MATCH('Isaac 401k'!N5488,'Retirement Calculator'!A:A,0),0),0)</f>
        <v>0</v>
      </c>
      <c r="K5488" s="455">
        <f t="shared" ca="1" si="206"/>
        <v>13142533327945.527</v>
      </c>
      <c r="L5488" s="455">
        <f t="shared" ca="1" si="207"/>
        <v>3167350532034872</v>
      </c>
      <c r="M5488" s="471">
        <f t="shared" si="209"/>
        <v>0.05</v>
      </c>
      <c r="N5488" s="475">
        <f t="shared" si="210"/>
        <v>218084</v>
      </c>
    </row>
    <row r="5489" spans="7:14" ht="11.25" customHeight="1" x14ac:dyDescent="0.3">
      <c r="G5489" s="470"/>
      <c r="H5489" s="470">
        <v>5482</v>
      </c>
      <c r="I5489" s="455">
        <f t="shared" ca="1" si="208"/>
        <v>3167350532034872</v>
      </c>
      <c r="J5489" s="455">
        <f t="array" ref="J5489">IFERROR(INDEX('Retirement Calculator'!J:J,MATCH('Isaac 401k'!N5489,'Retirement Calculator'!A:A,0),0),0)</f>
        <v>0</v>
      </c>
      <c r="K5489" s="455">
        <f t="shared" ca="1" si="206"/>
        <v>13197293883478.633</v>
      </c>
      <c r="L5489" s="455">
        <f t="shared" ca="1" si="207"/>
        <v>3180547825918350.5</v>
      </c>
      <c r="M5489" s="471">
        <f t="shared" si="209"/>
        <v>0.05</v>
      </c>
      <c r="N5489" s="475">
        <f t="shared" si="210"/>
        <v>218112</v>
      </c>
    </row>
    <row r="5490" spans="7:14" ht="11.25" customHeight="1" x14ac:dyDescent="0.3">
      <c r="G5490" s="470"/>
      <c r="H5490" s="470">
        <v>5483</v>
      </c>
      <c r="I5490" s="455">
        <f t="shared" ca="1" si="208"/>
        <v>3180547825918350.5</v>
      </c>
      <c r="J5490" s="455">
        <f t="array" ref="J5490">IFERROR(INDEX('Retirement Calculator'!J:J,MATCH('Isaac 401k'!N5490,'Retirement Calculator'!A:A,0),0),0)</f>
        <v>0</v>
      </c>
      <c r="K5490" s="455">
        <f t="shared" ca="1" si="206"/>
        <v>13252282607993.127</v>
      </c>
      <c r="L5490" s="455">
        <f t="shared" ca="1" si="207"/>
        <v>3193800108526343.5</v>
      </c>
      <c r="M5490" s="471">
        <f t="shared" si="209"/>
        <v>0.05</v>
      </c>
      <c r="N5490" s="475">
        <f t="shared" si="210"/>
        <v>218143</v>
      </c>
    </row>
    <row r="5491" spans="7:14" ht="11.25" customHeight="1" x14ac:dyDescent="0.3">
      <c r="G5491" s="470"/>
      <c r="H5491" s="470">
        <v>5484</v>
      </c>
      <c r="I5491" s="455">
        <f t="shared" ca="1" si="208"/>
        <v>3193800108526343.5</v>
      </c>
      <c r="J5491" s="455">
        <f t="array" ref="J5491">IFERROR(INDEX('Retirement Calculator'!J:J,MATCH('Isaac 401k'!N5491,'Retirement Calculator'!A:A,0),0),0)</f>
        <v>0</v>
      </c>
      <c r="K5491" s="455">
        <f t="shared" ca="1" si="206"/>
        <v>13307500452193.098</v>
      </c>
      <c r="L5491" s="455">
        <f t="shared" ca="1" si="207"/>
        <v>3207107608978536.5</v>
      </c>
      <c r="M5491" s="471">
        <f t="shared" si="209"/>
        <v>0.05</v>
      </c>
      <c r="N5491" s="475">
        <f t="shared" si="210"/>
        <v>218173</v>
      </c>
    </row>
    <row r="5492" spans="7:14" ht="11.25" customHeight="1" x14ac:dyDescent="0.3">
      <c r="G5492" s="470"/>
      <c r="H5492" s="470">
        <v>5485</v>
      </c>
      <c r="I5492" s="455">
        <f t="shared" ca="1" si="208"/>
        <v>3207107608978536.5</v>
      </c>
      <c r="J5492" s="455">
        <f t="array" ref="J5492">IFERROR(INDEX('Retirement Calculator'!J:J,MATCH('Isaac 401k'!N5492,'Retirement Calculator'!A:A,0),0),0)</f>
        <v>0</v>
      </c>
      <c r="K5492" s="455">
        <f t="shared" ca="1" si="206"/>
        <v>13362948370743.902</v>
      </c>
      <c r="L5492" s="455">
        <f t="shared" ca="1" si="207"/>
        <v>3220470557349280.5</v>
      </c>
      <c r="M5492" s="471">
        <f t="shared" si="209"/>
        <v>0.05</v>
      </c>
      <c r="N5492" s="475">
        <f t="shared" si="210"/>
        <v>218204</v>
      </c>
    </row>
    <row r="5493" spans="7:14" ht="11.25" customHeight="1" x14ac:dyDescent="0.3">
      <c r="G5493" s="470"/>
      <c r="H5493" s="470">
        <v>5486</v>
      </c>
      <c r="I5493" s="455">
        <f t="shared" ca="1" si="208"/>
        <v>3220470557349280.5</v>
      </c>
      <c r="J5493" s="455">
        <f t="array" ref="J5493">IFERROR(INDEX('Retirement Calculator'!J:J,MATCH('Isaac 401k'!N5493,'Retirement Calculator'!A:A,0),0),0)</f>
        <v>0</v>
      </c>
      <c r="K5493" s="455">
        <f t="shared" ca="1" si="206"/>
        <v>13418627322288.668</v>
      </c>
      <c r="L5493" s="455">
        <f t="shared" ca="1" si="207"/>
        <v>3233889184671569</v>
      </c>
      <c r="M5493" s="471">
        <f t="shared" si="209"/>
        <v>0.05</v>
      </c>
      <c r="N5493" s="475">
        <f t="shared" si="210"/>
        <v>218234</v>
      </c>
    </row>
    <row r="5494" spans="7:14" ht="11.25" customHeight="1" x14ac:dyDescent="0.3">
      <c r="G5494" s="470"/>
      <c r="H5494" s="470">
        <v>5487</v>
      </c>
      <c r="I5494" s="455">
        <f t="shared" ca="1" si="208"/>
        <v>3233889184671569</v>
      </c>
      <c r="J5494" s="455">
        <f t="array" ref="J5494">IFERROR(INDEX('Retirement Calculator'!J:J,MATCH('Isaac 401k'!N5494,'Retirement Calculator'!A:A,0),0),0)</f>
        <v>0</v>
      </c>
      <c r="K5494" s="455">
        <f t="shared" ca="1" si="206"/>
        <v>13474538269464.871</v>
      </c>
      <c r="L5494" s="455">
        <f t="shared" ca="1" si="207"/>
        <v>3247363722941034</v>
      </c>
      <c r="M5494" s="471">
        <f t="shared" si="209"/>
        <v>0.05</v>
      </c>
      <c r="N5494" s="475">
        <f t="shared" si="210"/>
        <v>218265</v>
      </c>
    </row>
    <row r="5495" spans="7:14" ht="11.25" customHeight="1" x14ac:dyDescent="0.3">
      <c r="G5495" s="470"/>
      <c r="H5495" s="470">
        <v>5488</v>
      </c>
      <c r="I5495" s="455">
        <f t="shared" ca="1" si="208"/>
        <v>3247363722941034</v>
      </c>
      <c r="J5495" s="455">
        <f t="array" ref="J5495">IFERROR(INDEX('Retirement Calculator'!J:J,MATCH('Isaac 401k'!N5495,'Retirement Calculator'!A:A,0),0),0)</f>
        <v>0</v>
      </c>
      <c r="K5495" s="455">
        <f t="shared" ca="1" si="206"/>
        <v>13530682178920.975</v>
      </c>
      <c r="L5495" s="455">
        <f t="shared" ca="1" si="207"/>
        <v>3260894405119955</v>
      </c>
      <c r="M5495" s="471">
        <f t="shared" si="209"/>
        <v>0.05</v>
      </c>
      <c r="N5495" s="475">
        <f t="shared" si="210"/>
        <v>218296</v>
      </c>
    </row>
    <row r="5496" spans="7:14" ht="11.25" customHeight="1" x14ac:dyDescent="0.3">
      <c r="G5496" s="470"/>
      <c r="H5496" s="470">
        <v>5489</v>
      </c>
      <c r="I5496" s="455">
        <f t="shared" ca="1" si="208"/>
        <v>3260894405119955</v>
      </c>
      <c r="J5496" s="455">
        <f t="array" ref="J5496">IFERROR(INDEX('Retirement Calculator'!J:J,MATCH('Isaac 401k'!N5496,'Retirement Calculator'!A:A,0),0),0)</f>
        <v>0</v>
      </c>
      <c r="K5496" s="455">
        <f t="shared" ca="1" si="206"/>
        <v>13587060021333.146</v>
      </c>
      <c r="L5496" s="455">
        <f t="shared" ca="1" si="207"/>
        <v>3274481465141288</v>
      </c>
      <c r="M5496" s="471">
        <f t="shared" si="209"/>
        <v>0.05</v>
      </c>
      <c r="N5496" s="475">
        <f t="shared" si="210"/>
        <v>218326</v>
      </c>
    </row>
    <row r="5497" spans="7:14" ht="11.25" customHeight="1" x14ac:dyDescent="0.3">
      <c r="G5497" s="470"/>
      <c r="H5497" s="470">
        <v>5490</v>
      </c>
      <c r="I5497" s="455">
        <f t="shared" ca="1" si="208"/>
        <v>3274481465141288</v>
      </c>
      <c r="J5497" s="455">
        <f t="array" ref="J5497">IFERROR(INDEX('Retirement Calculator'!J:J,MATCH('Isaac 401k'!N5497,'Retirement Calculator'!A:A,0),0),0)</f>
        <v>0</v>
      </c>
      <c r="K5497" s="455">
        <f t="shared" ca="1" si="206"/>
        <v>13643672771422.033</v>
      </c>
      <c r="L5497" s="455">
        <f t="shared" ca="1" si="207"/>
        <v>3288125137912710</v>
      </c>
      <c r="M5497" s="471">
        <f t="shared" si="209"/>
        <v>0.05</v>
      </c>
      <c r="N5497" s="475">
        <f t="shared" si="210"/>
        <v>218357</v>
      </c>
    </row>
    <row r="5498" spans="7:14" ht="11.25" customHeight="1" x14ac:dyDescent="0.3">
      <c r="G5498" s="470"/>
      <c r="H5498" s="470">
        <v>5491</v>
      </c>
      <c r="I5498" s="455">
        <f t="shared" ca="1" si="208"/>
        <v>3288125137912710</v>
      </c>
      <c r="J5498" s="455">
        <f t="array" ref="J5498">IFERROR(INDEX('Retirement Calculator'!J:J,MATCH('Isaac 401k'!N5498,'Retirement Calculator'!A:A,0),0),0)</f>
        <v>0</v>
      </c>
      <c r="K5498" s="455">
        <f t="shared" ca="1" si="206"/>
        <v>13700521407969.625</v>
      </c>
      <c r="L5498" s="455">
        <f t="shared" ca="1" si="207"/>
        <v>3301825659320679.5</v>
      </c>
      <c r="M5498" s="471">
        <f t="shared" si="209"/>
        <v>0.05</v>
      </c>
      <c r="N5498" s="475">
        <f t="shared" si="210"/>
        <v>218387</v>
      </c>
    </row>
    <row r="5499" spans="7:14" ht="11.25" customHeight="1" x14ac:dyDescent="0.3">
      <c r="G5499" s="470"/>
      <c r="H5499" s="470">
        <v>5492</v>
      </c>
      <c r="I5499" s="455">
        <f t="shared" ca="1" si="208"/>
        <v>3301825659320679.5</v>
      </c>
      <c r="J5499" s="455">
        <f t="array" ref="J5499">IFERROR(INDEX('Retirement Calculator'!J:J,MATCH('Isaac 401k'!N5499,'Retirement Calculator'!A:A,0),0),0)</f>
        <v>0</v>
      </c>
      <c r="K5499" s="455">
        <f t="shared" ca="1" si="206"/>
        <v>13757606913836.164</v>
      </c>
      <c r="L5499" s="455">
        <f t="shared" ca="1" si="207"/>
        <v>3315583266234515.5</v>
      </c>
      <c r="M5499" s="471">
        <f t="shared" si="209"/>
        <v>0.05</v>
      </c>
      <c r="N5499" s="475">
        <f t="shared" si="210"/>
        <v>218418</v>
      </c>
    </row>
    <row r="5500" spans="7:14" ht="11.25" customHeight="1" x14ac:dyDescent="0.3">
      <c r="G5500" s="470"/>
      <c r="H5500" s="470">
        <v>5493</v>
      </c>
      <c r="I5500" s="455">
        <f t="shared" ca="1" si="208"/>
        <v>3315583266234515.5</v>
      </c>
      <c r="J5500" s="455">
        <f t="array" ref="J5500">IFERROR(INDEX('Retirement Calculator'!J:J,MATCH('Isaac 401k'!N5500,'Retirement Calculator'!A:A,0),0),0)</f>
        <v>0</v>
      </c>
      <c r="K5500" s="455">
        <f t="shared" ca="1" si="206"/>
        <v>13814930275977.148</v>
      </c>
      <c r="L5500" s="455">
        <f t="shared" ca="1" si="207"/>
        <v>3329398196510492.5</v>
      </c>
      <c r="M5500" s="471">
        <f t="shared" si="209"/>
        <v>0.05</v>
      </c>
      <c r="N5500" s="475">
        <f t="shared" si="210"/>
        <v>218449</v>
      </c>
    </row>
    <row r="5501" spans="7:14" ht="11.25" customHeight="1" x14ac:dyDescent="0.3">
      <c r="G5501" s="470"/>
      <c r="H5501" s="470">
        <v>5494</v>
      </c>
      <c r="I5501" s="455">
        <f t="shared" ca="1" si="208"/>
        <v>3329398196510492.5</v>
      </c>
      <c r="J5501" s="455">
        <f t="array" ref="J5501">IFERROR(INDEX('Retirement Calculator'!J:J,MATCH('Isaac 401k'!N5501,'Retirement Calculator'!A:A,0),0),0)</f>
        <v>0</v>
      </c>
      <c r="K5501" s="455">
        <f t="shared" ca="1" si="206"/>
        <v>13872492485460.385</v>
      </c>
      <c r="L5501" s="455">
        <f t="shared" ca="1" si="207"/>
        <v>3343270688995953</v>
      </c>
      <c r="M5501" s="471">
        <f t="shared" si="209"/>
        <v>0.05</v>
      </c>
      <c r="N5501" s="475">
        <f t="shared" si="210"/>
        <v>218477</v>
      </c>
    </row>
    <row r="5502" spans="7:14" ht="11.25" customHeight="1" x14ac:dyDescent="0.3">
      <c r="G5502" s="470"/>
      <c r="H5502" s="470">
        <v>5495</v>
      </c>
      <c r="I5502" s="455">
        <f t="shared" ca="1" si="208"/>
        <v>3343270688995953</v>
      </c>
      <c r="J5502" s="455">
        <f t="array" ref="J5502">IFERROR(INDEX('Retirement Calculator'!J:J,MATCH('Isaac 401k'!N5502,'Retirement Calculator'!A:A,0),0),0)</f>
        <v>0</v>
      </c>
      <c r="K5502" s="455">
        <f t="shared" ca="1" si="206"/>
        <v>13930294537483.137</v>
      </c>
      <c r="L5502" s="455">
        <f t="shared" ca="1" si="207"/>
        <v>3357200983533436</v>
      </c>
      <c r="M5502" s="471">
        <f t="shared" si="209"/>
        <v>0.05</v>
      </c>
      <c r="N5502" s="475">
        <f t="shared" si="210"/>
        <v>218508</v>
      </c>
    </row>
    <row r="5503" spans="7:14" ht="11.25" customHeight="1" x14ac:dyDescent="0.3">
      <c r="G5503" s="470"/>
      <c r="H5503" s="470">
        <v>5496</v>
      </c>
      <c r="I5503" s="455">
        <f t="shared" ca="1" si="208"/>
        <v>3357200983533436</v>
      </c>
      <c r="J5503" s="455">
        <f t="array" ref="J5503">IFERROR(INDEX('Retirement Calculator'!J:J,MATCH('Isaac 401k'!N5503,'Retirement Calculator'!A:A,0),0),0)</f>
        <v>0</v>
      </c>
      <c r="K5503" s="455">
        <f t="shared" ca="1" si="206"/>
        <v>13988337431389.316</v>
      </c>
      <c r="L5503" s="455">
        <f t="shared" ca="1" si="207"/>
        <v>3371189320964825.5</v>
      </c>
      <c r="M5503" s="471">
        <f t="shared" si="209"/>
        <v>0.05</v>
      </c>
      <c r="N5503" s="475">
        <f t="shared" si="210"/>
        <v>218538</v>
      </c>
    </row>
    <row r="5504" spans="7:14" ht="11.25" customHeight="1" x14ac:dyDescent="0.3">
      <c r="G5504" s="470"/>
      <c r="H5504" s="470">
        <v>5497</v>
      </c>
      <c r="I5504" s="455">
        <f t="shared" ca="1" si="208"/>
        <v>3371189320964825.5</v>
      </c>
      <c r="J5504" s="455">
        <f t="array" ref="J5504">IFERROR(INDEX('Retirement Calculator'!J:J,MATCH('Isaac 401k'!N5504,'Retirement Calculator'!A:A,0),0),0)</f>
        <v>0</v>
      </c>
      <c r="K5504" s="455">
        <f t="shared" ca="1" si="206"/>
        <v>14046622170686.773</v>
      </c>
      <c r="L5504" s="455">
        <f t="shared" ca="1" si="207"/>
        <v>3385235943135512.5</v>
      </c>
      <c r="M5504" s="471">
        <f t="shared" si="209"/>
        <v>0.05</v>
      </c>
      <c r="N5504" s="475">
        <f t="shared" si="210"/>
        <v>218569</v>
      </c>
    </row>
    <row r="5505" spans="7:14" ht="11.25" customHeight="1" x14ac:dyDescent="0.3">
      <c r="G5505" s="470"/>
      <c r="H5505" s="470">
        <v>5498</v>
      </c>
      <c r="I5505" s="455">
        <f t="shared" ca="1" si="208"/>
        <v>3385235943135512.5</v>
      </c>
      <c r="J5505" s="455">
        <f t="array" ref="J5505">IFERROR(INDEX('Retirement Calculator'!J:J,MATCH('Isaac 401k'!N5505,'Retirement Calculator'!A:A,0),0),0)</f>
        <v>0</v>
      </c>
      <c r="K5505" s="455">
        <f t="shared" ca="1" si="206"/>
        <v>14105149763064.635</v>
      </c>
      <c r="L5505" s="455">
        <f t="shared" ca="1" si="207"/>
        <v>3399341092898577</v>
      </c>
      <c r="M5505" s="471">
        <f t="shared" si="209"/>
        <v>0.05</v>
      </c>
      <c r="N5505" s="475">
        <f t="shared" si="210"/>
        <v>218599</v>
      </c>
    </row>
    <row r="5506" spans="7:14" ht="11.25" customHeight="1" x14ac:dyDescent="0.3">
      <c r="G5506" s="470"/>
      <c r="H5506" s="470">
        <v>5499</v>
      </c>
      <c r="I5506" s="455">
        <f t="shared" ca="1" si="208"/>
        <v>3399341092898577</v>
      </c>
      <c r="J5506" s="455">
        <f t="array" ref="J5506">IFERROR(INDEX('Retirement Calculator'!J:J,MATCH('Isaac 401k'!N5506,'Retirement Calculator'!A:A,0),0),0)</f>
        <v>0</v>
      </c>
      <c r="K5506" s="455">
        <f t="shared" ca="1" si="206"/>
        <v>14163921220410.736</v>
      </c>
      <c r="L5506" s="455">
        <f t="shared" ca="1" si="207"/>
        <v>3413505014118987.5</v>
      </c>
      <c r="M5506" s="471">
        <f t="shared" si="209"/>
        <v>0.05</v>
      </c>
      <c r="N5506" s="475">
        <f t="shared" si="210"/>
        <v>218630</v>
      </c>
    </row>
    <row r="5507" spans="7:14" ht="11.25" customHeight="1" x14ac:dyDescent="0.3">
      <c r="G5507" s="470"/>
      <c r="H5507" s="470">
        <v>5500</v>
      </c>
      <c r="I5507" s="455">
        <f t="shared" ca="1" si="208"/>
        <v>3413505014118987.5</v>
      </c>
      <c r="J5507" s="455">
        <f t="array" ref="J5507">IFERROR(INDEX('Retirement Calculator'!J:J,MATCH('Isaac 401k'!N5507,'Retirement Calculator'!A:A,0),0),0)</f>
        <v>0</v>
      </c>
      <c r="K5507" s="455">
        <f t="shared" ca="1" si="206"/>
        <v>14222937558829.115</v>
      </c>
      <c r="L5507" s="455">
        <f t="shared" ca="1" si="207"/>
        <v>3427727951677816.5</v>
      </c>
      <c r="M5507" s="471">
        <f t="shared" si="209"/>
        <v>0.05</v>
      </c>
      <c r="N5507" s="475">
        <f t="shared" si="210"/>
        <v>218661</v>
      </c>
    </row>
    <row r="5508" spans="7:14" ht="11.25" customHeight="1" x14ac:dyDescent="0.3">
      <c r="G5508" s="470"/>
      <c r="H5508" s="470">
        <v>5501</v>
      </c>
      <c r="I5508" s="455">
        <f t="shared" ca="1" si="208"/>
        <v>3427727951677816.5</v>
      </c>
      <c r="J5508" s="455">
        <f t="array" ref="J5508">IFERROR(INDEX('Retirement Calculator'!J:J,MATCH('Isaac 401k'!N5508,'Retirement Calculator'!A:A,0),0),0)</f>
        <v>0</v>
      </c>
      <c r="K5508" s="455">
        <f t="shared" ca="1" si="206"/>
        <v>14282199798657.568</v>
      </c>
      <c r="L5508" s="455">
        <f t="shared" ca="1" si="207"/>
        <v>3442010151476474</v>
      </c>
      <c r="M5508" s="471">
        <f t="shared" si="209"/>
        <v>0.05</v>
      </c>
      <c r="N5508" s="475">
        <f t="shared" si="210"/>
        <v>218691</v>
      </c>
    </row>
    <row r="5509" spans="7:14" ht="11.25" customHeight="1" x14ac:dyDescent="0.3">
      <c r="G5509" s="470"/>
      <c r="H5509" s="470">
        <v>5502</v>
      </c>
      <c r="I5509" s="455">
        <f t="shared" ca="1" si="208"/>
        <v>3442010151476474</v>
      </c>
      <c r="J5509" s="455">
        <f t="array" ref="J5509">IFERROR(INDEX('Retirement Calculator'!J:J,MATCH('Isaac 401k'!N5509,'Retirement Calculator'!A:A,0),0),0)</f>
        <v>0</v>
      </c>
      <c r="K5509" s="455">
        <f t="shared" ca="1" si="206"/>
        <v>14341708964485.309</v>
      </c>
      <c r="L5509" s="455">
        <f t="shared" ca="1" si="207"/>
        <v>3456351860440959.5</v>
      </c>
      <c r="M5509" s="471">
        <f t="shared" si="209"/>
        <v>0.05</v>
      </c>
      <c r="N5509" s="475">
        <f t="shared" si="210"/>
        <v>218722</v>
      </c>
    </row>
    <row r="5510" spans="7:14" ht="11.25" customHeight="1" x14ac:dyDescent="0.3">
      <c r="G5510" s="470"/>
      <c r="H5510" s="470">
        <v>5503</v>
      </c>
      <c r="I5510" s="455">
        <f t="shared" ca="1" si="208"/>
        <v>3456351860440959.5</v>
      </c>
      <c r="J5510" s="455">
        <f t="array" ref="J5510">IFERROR(INDEX('Retirement Calculator'!J:J,MATCH('Isaac 401k'!N5510,'Retirement Calculator'!A:A,0),0),0)</f>
        <v>0</v>
      </c>
      <c r="K5510" s="455">
        <f t="shared" ca="1" si="206"/>
        <v>14401466085170.664</v>
      </c>
      <c r="L5510" s="455">
        <f t="shared" ca="1" si="207"/>
        <v>3470753326526130</v>
      </c>
      <c r="M5510" s="471">
        <f t="shared" si="209"/>
        <v>0.05</v>
      </c>
      <c r="N5510" s="475">
        <f t="shared" si="210"/>
        <v>218752</v>
      </c>
    </row>
    <row r="5511" spans="7:14" ht="11.25" customHeight="1" x14ac:dyDescent="0.3">
      <c r="G5511" s="470"/>
      <c r="H5511" s="470">
        <v>5504</v>
      </c>
      <c r="I5511" s="455">
        <f t="shared" ca="1" si="208"/>
        <v>3470753326526130</v>
      </c>
      <c r="J5511" s="455">
        <f t="array" ref="J5511">IFERROR(INDEX('Retirement Calculator'!J:J,MATCH('Isaac 401k'!N5511,'Retirement Calculator'!A:A,0),0),0)</f>
        <v>0</v>
      </c>
      <c r="K5511" s="455">
        <f t="shared" ca="1" si="206"/>
        <v>14461472193858.875</v>
      </c>
      <c r="L5511" s="455">
        <f t="shared" ca="1" si="207"/>
        <v>3485214798719989</v>
      </c>
      <c r="M5511" s="471">
        <f t="shared" si="209"/>
        <v>0.05</v>
      </c>
      <c r="N5511" s="475">
        <f t="shared" si="210"/>
        <v>218783</v>
      </c>
    </row>
    <row r="5512" spans="7:14" ht="11.25" customHeight="1" x14ac:dyDescent="0.3">
      <c r="G5512" s="470"/>
      <c r="H5512" s="470">
        <v>5505</v>
      </c>
      <c r="I5512" s="455">
        <f t="shared" ca="1" si="208"/>
        <v>3485214798719989</v>
      </c>
      <c r="J5512" s="455">
        <f t="array" ref="J5512">IFERROR(INDEX('Retirement Calculator'!J:J,MATCH('Isaac 401k'!N5512,'Retirement Calculator'!A:A,0),0),0)</f>
        <v>0</v>
      </c>
      <c r="K5512" s="455">
        <f t="shared" ca="1" si="206"/>
        <v>14521728327999.953</v>
      </c>
      <c r="L5512" s="455">
        <f t="shared" ca="1" si="207"/>
        <v>3499736527047989</v>
      </c>
      <c r="M5512" s="471">
        <f t="shared" si="209"/>
        <v>0.05</v>
      </c>
      <c r="N5512" s="475">
        <f t="shared" si="210"/>
        <v>218814</v>
      </c>
    </row>
    <row r="5513" spans="7:14" ht="11.25" customHeight="1" x14ac:dyDescent="0.3">
      <c r="G5513" s="470"/>
      <c r="H5513" s="470">
        <v>5506</v>
      </c>
      <c r="I5513" s="455">
        <f t="shared" ca="1" si="208"/>
        <v>3499736527047989</v>
      </c>
      <c r="J5513" s="455">
        <f t="array" ref="J5513">IFERROR(INDEX('Retirement Calculator'!J:J,MATCH('Isaac 401k'!N5513,'Retirement Calculator'!A:A,0),0),0)</f>
        <v>0</v>
      </c>
      <c r="K5513" s="455">
        <f t="shared" ca="1" si="206"/>
        <v>14582235529366.621</v>
      </c>
      <c r="L5513" s="455">
        <f t="shared" ca="1" si="207"/>
        <v>3514318762577355.5</v>
      </c>
      <c r="M5513" s="471">
        <f t="shared" si="209"/>
        <v>0.05</v>
      </c>
      <c r="N5513" s="475">
        <f t="shared" si="210"/>
        <v>218842</v>
      </c>
    </row>
    <row r="5514" spans="7:14" ht="11.25" customHeight="1" x14ac:dyDescent="0.3">
      <c r="G5514" s="470"/>
      <c r="H5514" s="470">
        <v>5507</v>
      </c>
      <c r="I5514" s="455">
        <f t="shared" ca="1" si="208"/>
        <v>3514318762577355.5</v>
      </c>
      <c r="J5514" s="455">
        <f t="array" ref="J5514">IFERROR(INDEX('Retirement Calculator'!J:J,MATCH('Isaac 401k'!N5514,'Retirement Calculator'!A:A,0),0),0)</f>
        <v>0</v>
      </c>
      <c r="K5514" s="455">
        <f t="shared" ca="1" si="206"/>
        <v>14642994844072.313</v>
      </c>
      <c r="L5514" s="455">
        <f t="shared" ca="1" si="207"/>
        <v>3528961757421428</v>
      </c>
      <c r="M5514" s="471">
        <f t="shared" si="209"/>
        <v>0.05</v>
      </c>
      <c r="N5514" s="475">
        <f t="shared" si="210"/>
        <v>218873</v>
      </c>
    </row>
    <row r="5515" spans="7:14" ht="11.25" customHeight="1" x14ac:dyDescent="0.3">
      <c r="G5515" s="470"/>
      <c r="H5515" s="470">
        <v>5508</v>
      </c>
      <c r="I5515" s="455">
        <f t="shared" ca="1" si="208"/>
        <v>3528961757421428</v>
      </c>
      <c r="J5515" s="455">
        <f t="array" ref="J5515">IFERROR(INDEX('Retirement Calculator'!J:J,MATCH('Isaac 401k'!N5515,'Retirement Calculator'!A:A,0),0),0)</f>
        <v>0</v>
      </c>
      <c r="K5515" s="455">
        <f t="shared" ca="1" si="206"/>
        <v>14704007322589.283</v>
      </c>
      <c r="L5515" s="455">
        <f t="shared" ca="1" si="207"/>
        <v>3543665764744017.5</v>
      </c>
      <c r="M5515" s="471">
        <f t="shared" si="209"/>
        <v>0.05</v>
      </c>
      <c r="N5515" s="475">
        <f t="shared" si="210"/>
        <v>218903</v>
      </c>
    </row>
    <row r="5516" spans="7:14" ht="11.25" customHeight="1" x14ac:dyDescent="0.3">
      <c r="G5516" s="470"/>
      <c r="H5516" s="470">
        <v>5509</v>
      </c>
      <c r="I5516" s="455">
        <f t="shared" ca="1" si="208"/>
        <v>3543665764744017.5</v>
      </c>
      <c r="J5516" s="455">
        <f t="array" ref="J5516">IFERROR(INDEX('Retirement Calculator'!J:J,MATCH('Isaac 401k'!N5516,'Retirement Calculator'!A:A,0),0),0)</f>
        <v>0</v>
      </c>
      <c r="K5516" s="455">
        <f t="shared" ca="1" si="206"/>
        <v>14765274019766.74</v>
      </c>
      <c r="L5516" s="455">
        <f t="shared" ca="1" si="207"/>
        <v>3558431038763784</v>
      </c>
      <c r="M5516" s="471">
        <f t="shared" si="209"/>
        <v>0.05</v>
      </c>
      <c r="N5516" s="475">
        <f t="shared" si="210"/>
        <v>218934</v>
      </c>
    </row>
    <row r="5517" spans="7:14" ht="11.25" customHeight="1" x14ac:dyDescent="0.3">
      <c r="G5517" s="470"/>
      <c r="H5517" s="470">
        <v>5510</v>
      </c>
      <c r="I5517" s="455">
        <f t="shared" ca="1" si="208"/>
        <v>3558431038763784</v>
      </c>
      <c r="J5517" s="455">
        <f t="array" ref="J5517">IFERROR(INDEX('Retirement Calculator'!J:J,MATCH('Isaac 401k'!N5517,'Retirement Calculator'!A:A,0),0),0)</f>
        <v>0</v>
      </c>
      <c r="K5517" s="455">
        <f t="shared" ca="1" si="206"/>
        <v>14826795994849.1</v>
      </c>
      <c r="L5517" s="455">
        <f t="shared" ca="1" si="207"/>
        <v>3573257834758633</v>
      </c>
      <c r="M5517" s="471">
        <f t="shared" si="209"/>
        <v>0.05</v>
      </c>
      <c r="N5517" s="475">
        <f t="shared" si="210"/>
        <v>218964</v>
      </c>
    </row>
    <row r="5518" spans="7:14" ht="11.25" customHeight="1" x14ac:dyDescent="0.3">
      <c r="G5518" s="470"/>
      <c r="H5518" s="470">
        <v>5511</v>
      </c>
      <c r="I5518" s="455">
        <f t="shared" ca="1" si="208"/>
        <v>3573257834758633</v>
      </c>
      <c r="J5518" s="455">
        <f t="array" ref="J5518">IFERROR(INDEX('Retirement Calculator'!J:J,MATCH('Isaac 401k'!N5518,'Retirement Calculator'!A:A,0),0),0)</f>
        <v>0</v>
      </c>
      <c r="K5518" s="455">
        <f t="shared" ca="1" si="206"/>
        <v>14888574311494.303</v>
      </c>
      <c r="L5518" s="455">
        <f t="shared" ca="1" si="207"/>
        <v>3588146409070127.5</v>
      </c>
      <c r="M5518" s="471">
        <f t="shared" si="209"/>
        <v>0.05</v>
      </c>
      <c r="N5518" s="475">
        <f t="shared" si="210"/>
        <v>218995</v>
      </c>
    </row>
    <row r="5519" spans="7:14" ht="11.25" customHeight="1" x14ac:dyDescent="0.3">
      <c r="G5519" s="470"/>
      <c r="H5519" s="470">
        <v>5512</v>
      </c>
      <c r="I5519" s="455">
        <f t="shared" ca="1" si="208"/>
        <v>3588146409070127.5</v>
      </c>
      <c r="J5519" s="455">
        <f t="array" ref="J5519">IFERROR(INDEX('Retirement Calculator'!J:J,MATCH('Isaac 401k'!N5519,'Retirement Calculator'!A:A,0),0),0)</f>
        <v>0</v>
      </c>
      <c r="K5519" s="455">
        <f t="shared" ca="1" si="206"/>
        <v>14950610037792.197</v>
      </c>
      <c r="L5519" s="455">
        <f t="shared" ca="1" si="207"/>
        <v>3603097019107919.5</v>
      </c>
      <c r="M5519" s="471">
        <f t="shared" si="209"/>
        <v>0.05</v>
      </c>
      <c r="N5519" s="475">
        <f t="shared" si="210"/>
        <v>219026</v>
      </c>
    </row>
    <row r="5520" spans="7:14" ht="11.25" customHeight="1" x14ac:dyDescent="0.3">
      <c r="G5520" s="470"/>
      <c r="H5520" s="470">
        <v>5513</v>
      </c>
      <c r="I5520" s="455">
        <f t="shared" ca="1" si="208"/>
        <v>3603097019107919.5</v>
      </c>
      <c r="J5520" s="455">
        <f t="array" ref="J5520">IFERROR(INDEX('Retirement Calculator'!J:J,MATCH('Isaac 401k'!N5520,'Retirement Calculator'!A:A,0),0),0)</f>
        <v>0</v>
      </c>
      <c r="K5520" s="455">
        <f t="shared" ca="1" si="206"/>
        <v>15012904246282.998</v>
      </c>
      <c r="L5520" s="455">
        <f t="shared" ca="1" si="207"/>
        <v>3618109923354202.5</v>
      </c>
      <c r="M5520" s="471">
        <f t="shared" si="209"/>
        <v>0.05</v>
      </c>
      <c r="N5520" s="475">
        <f t="shared" si="210"/>
        <v>219056</v>
      </c>
    </row>
    <row r="5521" spans="7:14" ht="11.25" customHeight="1" x14ac:dyDescent="0.3">
      <c r="G5521" s="470"/>
      <c r="H5521" s="470">
        <v>5514</v>
      </c>
      <c r="I5521" s="455">
        <f t="shared" ca="1" si="208"/>
        <v>3618109923354202.5</v>
      </c>
      <c r="J5521" s="455">
        <f t="array" ref="J5521">IFERROR(INDEX('Retirement Calculator'!J:J,MATCH('Isaac 401k'!N5521,'Retirement Calculator'!A:A,0),0),0)</f>
        <v>0</v>
      </c>
      <c r="K5521" s="455">
        <f t="shared" ca="1" si="206"/>
        <v>15075458013975.842</v>
      </c>
      <c r="L5521" s="455">
        <f t="shared" ca="1" si="207"/>
        <v>3633185381368178.5</v>
      </c>
      <c r="M5521" s="471">
        <f t="shared" si="209"/>
        <v>0.05</v>
      </c>
      <c r="N5521" s="475">
        <f t="shared" si="210"/>
        <v>219087</v>
      </c>
    </row>
    <row r="5522" spans="7:14" ht="11.25" customHeight="1" x14ac:dyDescent="0.3">
      <c r="G5522" s="470"/>
      <c r="H5522" s="470">
        <v>5515</v>
      </c>
      <c r="I5522" s="455">
        <f t="shared" ca="1" si="208"/>
        <v>3633185381368178.5</v>
      </c>
      <c r="J5522" s="455">
        <f t="array" ref="J5522">IFERROR(INDEX('Retirement Calculator'!J:J,MATCH('Isaac 401k'!N5522,'Retirement Calculator'!A:A,0),0),0)</f>
        <v>0</v>
      </c>
      <c r="K5522" s="455">
        <f t="shared" ca="1" si="206"/>
        <v>15138272422367.41</v>
      </c>
      <c r="L5522" s="455">
        <f t="shared" ca="1" si="207"/>
        <v>3648323653790546</v>
      </c>
      <c r="M5522" s="471">
        <f t="shared" si="209"/>
        <v>0.05</v>
      </c>
      <c r="N5522" s="475">
        <f t="shared" si="210"/>
        <v>219117</v>
      </c>
    </row>
    <row r="5523" spans="7:14" ht="11.25" customHeight="1" x14ac:dyDescent="0.3">
      <c r="G5523" s="470"/>
      <c r="H5523" s="470">
        <v>5516</v>
      </c>
      <c r="I5523" s="455">
        <f t="shared" ca="1" si="208"/>
        <v>3648323653790546</v>
      </c>
      <c r="J5523" s="455">
        <f t="array" ref="J5523">IFERROR(INDEX('Retirement Calculator'!J:J,MATCH('Isaac 401k'!N5523,'Retirement Calculator'!A:A,0),0),0)</f>
        <v>0</v>
      </c>
      <c r="K5523" s="455">
        <f t="shared" ca="1" si="206"/>
        <v>15201348557460.605</v>
      </c>
      <c r="L5523" s="455">
        <f t="shared" ca="1" si="207"/>
        <v>3663525002348006.5</v>
      </c>
      <c r="M5523" s="471">
        <f t="shared" si="209"/>
        <v>0.05</v>
      </c>
      <c r="N5523" s="475">
        <f t="shared" si="210"/>
        <v>219148</v>
      </c>
    </row>
    <row r="5524" spans="7:14" ht="11.25" customHeight="1" x14ac:dyDescent="0.3">
      <c r="G5524" s="470"/>
      <c r="H5524" s="470">
        <v>5517</v>
      </c>
      <c r="I5524" s="455">
        <f t="shared" ca="1" si="208"/>
        <v>3663525002348006.5</v>
      </c>
      <c r="J5524" s="455">
        <f t="array" ref="J5524">IFERROR(INDEX('Retirement Calculator'!J:J,MATCH('Isaac 401k'!N5524,'Retirement Calculator'!A:A,0),0),0)</f>
        <v>0</v>
      </c>
      <c r="K5524" s="455">
        <f t="shared" ca="1" si="206"/>
        <v>15264687509783.357</v>
      </c>
      <c r="L5524" s="455">
        <f t="shared" ca="1" si="207"/>
        <v>3678789689857790</v>
      </c>
      <c r="M5524" s="471">
        <f t="shared" si="209"/>
        <v>0.05</v>
      </c>
      <c r="N5524" s="475">
        <f t="shared" si="210"/>
        <v>219179</v>
      </c>
    </row>
    <row r="5525" spans="7:14" ht="11.25" customHeight="1" x14ac:dyDescent="0.3">
      <c r="G5525" s="470"/>
      <c r="H5525" s="470">
        <v>5518</v>
      </c>
      <c r="I5525" s="455">
        <f t="shared" ca="1" si="208"/>
        <v>3678789689857790</v>
      </c>
      <c r="J5525" s="455">
        <f t="array" ref="J5525">IFERROR(INDEX('Retirement Calculator'!J:J,MATCH('Isaac 401k'!N5525,'Retirement Calculator'!A:A,0),0),0)</f>
        <v>0</v>
      </c>
      <c r="K5525" s="455">
        <f t="shared" ca="1" si="206"/>
        <v>15328290374407.459</v>
      </c>
      <c r="L5525" s="455">
        <f t="shared" ca="1" si="207"/>
        <v>3694117980232197.5</v>
      </c>
      <c r="M5525" s="471">
        <f t="shared" si="209"/>
        <v>0.05</v>
      </c>
      <c r="N5525" s="475">
        <f t="shared" si="210"/>
        <v>219207</v>
      </c>
    </row>
    <row r="5526" spans="7:14" ht="11.25" customHeight="1" x14ac:dyDescent="0.3">
      <c r="G5526" s="470"/>
      <c r="H5526" s="470">
        <v>5519</v>
      </c>
      <c r="I5526" s="455">
        <f t="shared" ca="1" si="208"/>
        <v>3694117980232197.5</v>
      </c>
      <c r="J5526" s="455">
        <f t="array" ref="J5526">IFERROR(INDEX('Retirement Calculator'!J:J,MATCH('Isaac 401k'!N5526,'Retirement Calculator'!A:A,0),0),0)</f>
        <v>0</v>
      </c>
      <c r="K5526" s="455">
        <f t="shared" ca="1" si="206"/>
        <v>15392158250967.486</v>
      </c>
      <c r="L5526" s="455">
        <f t="shared" ca="1" si="207"/>
        <v>3709510138483165</v>
      </c>
      <c r="M5526" s="471">
        <f t="shared" si="209"/>
        <v>0.05</v>
      </c>
      <c r="N5526" s="475">
        <f t="shared" si="210"/>
        <v>219238</v>
      </c>
    </row>
    <row r="5527" spans="7:14" ht="11.25" customHeight="1" x14ac:dyDescent="0.3">
      <c r="G5527" s="470"/>
      <c r="H5527" s="470">
        <v>5520</v>
      </c>
      <c r="I5527" s="455">
        <f t="shared" ca="1" si="208"/>
        <v>3709510138483165</v>
      </c>
      <c r="J5527" s="455">
        <f t="array" ref="J5527">IFERROR(INDEX('Retirement Calculator'!J:J,MATCH('Isaac 401k'!N5527,'Retirement Calculator'!A:A,0),0),0)</f>
        <v>0</v>
      </c>
      <c r="K5527" s="455">
        <f t="shared" ca="1" si="206"/>
        <v>15456292243679.854</v>
      </c>
      <c r="L5527" s="455">
        <f t="shared" ca="1" si="207"/>
        <v>3724966430726845</v>
      </c>
      <c r="M5527" s="471">
        <f t="shared" si="209"/>
        <v>0.05</v>
      </c>
      <c r="N5527" s="475">
        <f t="shared" si="210"/>
        <v>219268</v>
      </c>
    </row>
    <row r="5528" spans="7:14" ht="11.25" customHeight="1" x14ac:dyDescent="0.3">
      <c r="G5528" s="470"/>
      <c r="H5528" s="470">
        <v>5521</v>
      </c>
      <c r="I5528" s="455">
        <f t="shared" ca="1" si="208"/>
        <v>3724966430726845</v>
      </c>
      <c r="J5528" s="455">
        <f t="array" ref="J5528">IFERROR(INDEX('Retirement Calculator'!J:J,MATCH('Isaac 401k'!N5528,'Retirement Calculator'!A:A,0),0),0)</f>
        <v>0</v>
      </c>
      <c r="K5528" s="455">
        <f t="shared" ca="1" si="206"/>
        <v>15520693461361.854</v>
      </c>
      <c r="L5528" s="455">
        <f t="shared" ca="1" si="207"/>
        <v>3740487124188207</v>
      </c>
      <c r="M5528" s="471">
        <f t="shared" si="209"/>
        <v>0.05</v>
      </c>
      <c r="N5528" s="475">
        <f t="shared" si="210"/>
        <v>219299</v>
      </c>
    </row>
    <row r="5529" spans="7:14" ht="11.25" customHeight="1" x14ac:dyDescent="0.3">
      <c r="G5529" s="470"/>
      <c r="H5529" s="470">
        <v>5522</v>
      </c>
      <c r="I5529" s="455">
        <f t="shared" ca="1" si="208"/>
        <v>3740487124188207</v>
      </c>
      <c r="J5529" s="455">
        <f t="array" ref="J5529">IFERROR(INDEX('Retirement Calculator'!J:J,MATCH('Isaac 401k'!N5529,'Retirement Calculator'!A:A,0),0),0)</f>
        <v>0</v>
      </c>
      <c r="K5529" s="455">
        <f t="shared" ca="1" si="206"/>
        <v>15585363017450.861</v>
      </c>
      <c r="L5529" s="455">
        <f t="shared" ca="1" si="207"/>
        <v>3756072487205658</v>
      </c>
      <c r="M5529" s="471">
        <f t="shared" si="209"/>
        <v>0.05</v>
      </c>
      <c r="N5529" s="475">
        <f t="shared" si="210"/>
        <v>219329</v>
      </c>
    </row>
    <row r="5530" spans="7:14" ht="11.25" customHeight="1" x14ac:dyDescent="0.3">
      <c r="G5530" s="470"/>
      <c r="H5530" s="470">
        <v>5523</v>
      </c>
      <c r="I5530" s="455">
        <f t="shared" ca="1" si="208"/>
        <v>3756072487205658</v>
      </c>
      <c r="J5530" s="455">
        <f t="array" ref="J5530">IFERROR(INDEX('Retirement Calculator'!J:J,MATCH('Isaac 401k'!N5530,'Retirement Calculator'!A:A,0),0),0)</f>
        <v>0</v>
      </c>
      <c r="K5530" s="455">
        <f t="shared" ca="1" si="206"/>
        <v>15650302030023.574</v>
      </c>
      <c r="L5530" s="455">
        <f t="shared" ca="1" si="207"/>
        <v>3771722789235681.5</v>
      </c>
      <c r="M5530" s="471">
        <f t="shared" si="209"/>
        <v>0.05</v>
      </c>
      <c r="N5530" s="475">
        <f t="shared" si="210"/>
        <v>219360</v>
      </c>
    </row>
    <row r="5531" spans="7:14" ht="11.25" customHeight="1" x14ac:dyDescent="0.3">
      <c r="G5531" s="470"/>
      <c r="H5531" s="470">
        <v>5524</v>
      </c>
      <c r="I5531" s="455">
        <f t="shared" ca="1" si="208"/>
        <v>3771722789235681.5</v>
      </c>
      <c r="J5531" s="455">
        <f t="array" ref="J5531">IFERROR(INDEX('Retirement Calculator'!J:J,MATCH('Isaac 401k'!N5531,'Retirement Calculator'!A:A,0),0),0)</f>
        <v>0</v>
      </c>
      <c r="K5531" s="455">
        <f t="shared" ca="1" si="206"/>
        <v>15715511621815.34</v>
      </c>
      <c r="L5531" s="455">
        <f t="shared" ca="1" si="207"/>
        <v>3787438300857497</v>
      </c>
      <c r="M5531" s="471">
        <f t="shared" si="209"/>
        <v>0.05</v>
      </c>
      <c r="N5531" s="475">
        <f t="shared" si="210"/>
        <v>219391</v>
      </c>
    </row>
    <row r="5532" spans="7:14" ht="11.25" customHeight="1" x14ac:dyDescent="0.3">
      <c r="G5532" s="470"/>
      <c r="H5532" s="470">
        <v>5525</v>
      </c>
      <c r="I5532" s="455">
        <f t="shared" ca="1" si="208"/>
        <v>3787438300857497</v>
      </c>
      <c r="J5532" s="455">
        <f t="array" ref="J5532">IFERROR(INDEX('Retirement Calculator'!J:J,MATCH('Isaac 401k'!N5532,'Retirement Calculator'!A:A,0),0),0)</f>
        <v>0</v>
      </c>
      <c r="K5532" s="455">
        <f t="shared" ca="1" si="206"/>
        <v>15780992920239.57</v>
      </c>
      <c r="L5532" s="455">
        <f t="shared" ca="1" si="207"/>
        <v>3803219293777736.5</v>
      </c>
      <c r="M5532" s="471">
        <f t="shared" si="209"/>
        <v>0.05</v>
      </c>
      <c r="N5532" s="475">
        <f t="shared" si="210"/>
        <v>219421</v>
      </c>
    </row>
    <row r="5533" spans="7:14" ht="11.25" customHeight="1" x14ac:dyDescent="0.3">
      <c r="G5533" s="470"/>
      <c r="H5533" s="470">
        <v>5526</v>
      </c>
      <c r="I5533" s="455">
        <f t="shared" ca="1" si="208"/>
        <v>3803219293777736.5</v>
      </c>
      <c r="J5533" s="455">
        <f t="array" ref="J5533">IFERROR(INDEX('Retirement Calculator'!J:J,MATCH('Isaac 401k'!N5533,'Retirement Calculator'!A:A,0),0),0)</f>
        <v>0</v>
      </c>
      <c r="K5533" s="455">
        <f t="shared" ca="1" si="206"/>
        <v>15846747057407.234</v>
      </c>
      <c r="L5533" s="455">
        <f t="shared" ca="1" si="207"/>
        <v>3819066040835143.5</v>
      </c>
      <c r="M5533" s="471">
        <f t="shared" si="209"/>
        <v>0.05</v>
      </c>
      <c r="N5533" s="475">
        <f t="shared" si="210"/>
        <v>219452</v>
      </c>
    </row>
    <row r="5534" spans="7:14" ht="11.25" customHeight="1" x14ac:dyDescent="0.3">
      <c r="G5534" s="470"/>
      <c r="H5534" s="470">
        <v>5527</v>
      </c>
      <c r="I5534" s="455">
        <f t="shared" ca="1" si="208"/>
        <v>3819066040835143.5</v>
      </c>
      <c r="J5534" s="455">
        <f t="array" ref="J5534">IFERROR(INDEX('Retirement Calculator'!J:J,MATCH('Isaac 401k'!N5534,'Retirement Calculator'!A:A,0),0),0)</f>
        <v>0</v>
      </c>
      <c r="K5534" s="455">
        <f t="shared" ca="1" si="206"/>
        <v>15912775170146.432</v>
      </c>
      <c r="L5534" s="455">
        <f t="shared" ca="1" si="207"/>
        <v>3834978816005290</v>
      </c>
      <c r="M5534" s="471">
        <f t="shared" si="209"/>
        <v>0.05</v>
      </c>
      <c r="N5534" s="475">
        <f t="shared" si="210"/>
        <v>219482</v>
      </c>
    </row>
    <row r="5535" spans="7:14" ht="11.25" customHeight="1" x14ac:dyDescent="0.3">
      <c r="G5535" s="470"/>
      <c r="H5535" s="470">
        <v>5528</v>
      </c>
      <c r="I5535" s="455">
        <f t="shared" ca="1" si="208"/>
        <v>3834978816005290</v>
      </c>
      <c r="J5535" s="455">
        <f t="array" ref="J5535">IFERROR(INDEX('Retirement Calculator'!J:J,MATCH('Isaac 401k'!N5535,'Retirement Calculator'!A:A,0),0),0)</f>
        <v>0</v>
      </c>
      <c r="K5535" s="455">
        <f t="shared" ca="1" si="206"/>
        <v>15979078400022.039</v>
      </c>
      <c r="L5535" s="455">
        <f t="shared" ca="1" si="207"/>
        <v>3850957894405312</v>
      </c>
      <c r="M5535" s="471">
        <f t="shared" si="209"/>
        <v>0.05</v>
      </c>
      <c r="N5535" s="475">
        <f t="shared" si="210"/>
        <v>219513</v>
      </c>
    </row>
    <row r="5536" spans="7:14" ht="11.25" customHeight="1" x14ac:dyDescent="0.3">
      <c r="G5536" s="470"/>
      <c r="H5536" s="470">
        <v>5529</v>
      </c>
      <c r="I5536" s="455">
        <f t="shared" ca="1" si="208"/>
        <v>3850957894405312</v>
      </c>
      <c r="J5536" s="455">
        <f t="array" ref="J5536">IFERROR(INDEX('Retirement Calculator'!J:J,MATCH('Isaac 401k'!N5536,'Retirement Calculator'!A:A,0),0),0)</f>
        <v>0</v>
      </c>
      <c r="K5536" s="455">
        <f t="shared" ca="1" si="206"/>
        <v>16045657893355.467</v>
      </c>
      <c r="L5536" s="455">
        <f t="shared" ca="1" si="207"/>
        <v>3867003552298667.5</v>
      </c>
      <c r="M5536" s="471">
        <f t="shared" si="209"/>
        <v>0.05</v>
      </c>
      <c r="N5536" s="475">
        <f t="shared" si="210"/>
        <v>219544</v>
      </c>
    </row>
    <row r="5537" spans="7:14" ht="11.25" customHeight="1" x14ac:dyDescent="0.3">
      <c r="G5537" s="470"/>
      <c r="H5537" s="470">
        <v>5530</v>
      </c>
      <c r="I5537" s="455">
        <f t="shared" ca="1" si="208"/>
        <v>3867003552298667.5</v>
      </c>
      <c r="J5537" s="455">
        <f t="array" ref="J5537">IFERROR(INDEX('Retirement Calculator'!J:J,MATCH('Isaac 401k'!N5537,'Retirement Calculator'!A:A,0),0),0)</f>
        <v>0</v>
      </c>
      <c r="K5537" s="455">
        <f t="shared" ca="1" si="206"/>
        <v>16112514801244.447</v>
      </c>
      <c r="L5537" s="455">
        <f t="shared" ca="1" si="207"/>
        <v>3883116067099912</v>
      </c>
      <c r="M5537" s="471">
        <f t="shared" si="209"/>
        <v>0.05</v>
      </c>
      <c r="N5537" s="475">
        <f t="shared" si="210"/>
        <v>219572</v>
      </c>
    </row>
    <row r="5538" spans="7:14" ht="11.25" customHeight="1" x14ac:dyDescent="0.3">
      <c r="G5538" s="470"/>
      <c r="H5538" s="470">
        <v>5531</v>
      </c>
      <c r="I5538" s="455">
        <f t="shared" ca="1" si="208"/>
        <v>3883116067099912</v>
      </c>
      <c r="J5538" s="455">
        <f t="array" ref="J5538">IFERROR(INDEX('Retirement Calculator'!J:J,MATCH('Isaac 401k'!N5538,'Retirement Calculator'!A:A,0),0),0)</f>
        <v>0</v>
      </c>
      <c r="K5538" s="455">
        <f t="shared" ca="1" si="206"/>
        <v>16179650279582.967</v>
      </c>
      <c r="L5538" s="455">
        <f t="shared" ca="1" si="207"/>
        <v>3899295717379495</v>
      </c>
      <c r="M5538" s="471">
        <f t="shared" si="209"/>
        <v>0.05</v>
      </c>
      <c r="N5538" s="475">
        <f t="shared" si="210"/>
        <v>219603</v>
      </c>
    </row>
    <row r="5539" spans="7:14" ht="11.25" customHeight="1" x14ac:dyDescent="0.3">
      <c r="G5539" s="470"/>
      <c r="H5539" s="470">
        <v>5532</v>
      </c>
      <c r="I5539" s="455">
        <f t="shared" ca="1" si="208"/>
        <v>3899295717379495</v>
      </c>
      <c r="J5539" s="455">
        <f t="array" ref="J5539">IFERROR(INDEX('Retirement Calculator'!J:J,MATCH('Isaac 401k'!N5539,'Retirement Calculator'!A:A,0),0),0)</f>
        <v>0</v>
      </c>
      <c r="K5539" s="455">
        <f t="shared" ca="1" si="206"/>
        <v>16247065489081.229</v>
      </c>
      <c r="L5539" s="455">
        <f t="shared" ca="1" si="207"/>
        <v>3915542782868576</v>
      </c>
      <c r="M5539" s="471">
        <f t="shared" si="209"/>
        <v>0.05</v>
      </c>
      <c r="N5539" s="475">
        <f t="shared" si="210"/>
        <v>219633</v>
      </c>
    </row>
    <row r="5540" spans="7:14" ht="11.25" customHeight="1" x14ac:dyDescent="0.3">
      <c r="G5540" s="470"/>
      <c r="H5540" s="470">
        <v>5533</v>
      </c>
      <c r="I5540" s="455">
        <f t="shared" ca="1" si="208"/>
        <v>3915542782868576</v>
      </c>
      <c r="J5540" s="455">
        <f t="array" ref="J5540">IFERROR(INDEX('Retirement Calculator'!J:J,MATCH('Isaac 401k'!N5540,'Retirement Calculator'!A:A,0),0),0)</f>
        <v>0</v>
      </c>
      <c r="K5540" s="455">
        <f t="shared" ca="1" si="206"/>
        <v>16314761595285.732</v>
      </c>
      <c r="L5540" s="455">
        <f t="shared" ca="1" si="207"/>
        <v>3931857544463861.5</v>
      </c>
      <c r="M5540" s="471">
        <f t="shared" si="209"/>
        <v>0.05</v>
      </c>
      <c r="N5540" s="475">
        <f t="shared" si="210"/>
        <v>219664</v>
      </c>
    </row>
    <row r="5541" spans="7:14" ht="11.25" customHeight="1" x14ac:dyDescent="0.3">
      <c r="G5541" s="470"/>
      <c r="H5541" s="470">
        <v>5534</v>
      </c>
      <c r="I5541" s="455">
        <f t="shared" ca="1" si="208"/>
        <v>3931857544463861.5</v>
      </c>
      <c r="J5541" s="455">
        <f t="array" ref="J5541">IFERROR(INDEX('Retirement Calculator'!J:J,MATCH('Isaac 401k'!N5541,'Retirement Calculator'!A:A,0),0),0)</f>
        <v>0</v>
      </c>
      <c r="K5541" s="455">
        <f t="shared" ca="1" si="206"/>
        <v>16382739768599.424</v>
      </c>
      <c r="L5541" s="455">
        <f t="shared" ca="1" si="207"/>
        <v>3948240284232461</v>
      </c>
      <c r="M5541" s="471">
        <f t="shared" si="209"/>
        <v>0.05</v>
      </c>
      <c r="N5541" s="475">
        <f t="shared" si="210"/>
        <v>219694</v>
      </c>
    </row>
    <row r="5542" spans="7:14" ht="11.25" customHeight="1" x14ac:dyDescent="0.3">
      <c r="G5542" s="470"/>
      <c r="H5542" s="470">
        <v>5535</v>
      </c>
      <c r="I5542" s="455">
        <f t="shared" ca="1" si="208"/>
        <v>3948240284232461</v>
      </c>
      <c r="J5542" s="455">
        <f t="array" ref="J5542">IFERROR(INDEX('Retirement Calculator'!J:J,MATCH('Isaac 401k'!N5542,'Retirement Calculator'!A:A,0),0),0)</f>
        <v>0</v>
      </c>
      <c r="K5542" s="455">
        <f t="shared" ca="1" si="206"/>
        <v>16451001184301.92</v>
      </c>
      <c r="L5542" s="455">
        <f t="shared" ca="1" si="207"/>
        <v>3964691285416763</v>
      </c>
      <c r="M5542" s="471">
        <f t="shared" si="209"/>
        <v>0.05</v>
      </c>
      <c r="N5542" s="475">
        <f t="shared" si="210"/>
        <v>219725</v>
      </c>
    </row>
    <row r="5543" spans="7:14" ht="11.25" customHeight="1" x14ac:dyDescent="0.3">
      <c r="G5543" s="470"/>
      <c r="H5543" s="470">
        <v>5536</v>
      </c>
      <c r="I5543" s="455">
        <f t="shared" ca="1" si="208"/>
        <v>3964691285416763</v>
      </c>
      <c r="J5543" s="455">
        <f t="array" ref="J5543">IFERROR(INDEX('Retirement Calculator'!J:J,MATCH('Isaac 401k'!N5543,'Retirement Calculator'!A:A,0),0),0)</f>
        <v>0</v>
      </c>
      <c r="K5543" s="455">
        <f t="shared" ca="1" si="206"/>
        <v>16519547022569.846</v>
      </c>
      <c r="L5543" s="455">
        <f t="shared" ca="1" si="207"/>
        <v>3981210832439333</v>
      </c>
      <c r="M5543" s="471">
        <f t="shared" si="209"/>
        <v>0.05</v>
      </c>
      <c r="N5543" s="475">
        <f t="shared" si="210"/>
        <v>219756</v>
      </c>
    </row>
    <row r="5544" spans="7:14" ht="11.25" customHeight="1" x14ac:dyDescent="0.3">
      <c r="G5544" s="470"/>
      <c r="H5544" s="470">
        <v>5537</v>
      </c>
      <c r="I5544" s="455">
        <f t="shared" ca="1" si="208"/>
        <v>3981210832439333</v>
      </c>
      <c r="J5544" s="455">
        <f t="array" ref="J5544">IFERROR(INDEX('Retirement Calculator'!J:J,MATCH('Isaac 401k'!N5544,'Retirement Calculator'!A:A,0),0),0)</f>
        <v>0</v>
      </c>
      <c r="K5544" s="455">
        <f t="shared" ca="1" si="206"/>
        <v>16588378468497.221</v>
      </c>
      <c r="L5544" s="455">
        <f t="shared" ca="1" si="207"/>
        <v>3997799210907830</v>
      </c>
      <c r="M5544" s="471">
        <f t="shared" si="209"/>
        <v>0.05</v>
      </c>
      <c r="N5544" s="475">
        <f t="shared" si="210"/>
        <v>219786</v>
      </c>
    </row>
    <row r="5545" spans="7:14" ht="11.25" customHeight="1" x14ac:dyDescent="0.3">
      <c r="G5545" s="470"/>
      <c r="H5545" s="470">
        <v>5538</v>
      </c>
      <c r="I5545" s="455">
        <f t="shared" ca="1" si="208"/>
        <v>3997799210907830</v>
      </c>
      <c r="J5545" s="455">
        <f t="array" ref="J5545">IFERROR(INDEX('Retirement Calculator'!J:J,MATCH('Isaac 401k'!N5545,'Retirement Calculator'!A:A,0),0),0)</f>
        <v>0</v>
      </c>
      <c r="K5545" s="455">
        <f t="shared" ca="1" si="206"/>
        <v>16657496712115.959</v>
      </c>
      <c r="L5545" s="455">
        <f t="shared" ca="1" si="207"/>
        <v>4014456707619946</v>
      </c>
      <c r="M5545" s="471">
        <f t="shared" si="209"/>
        <v>0.05</v>
      </c>
      <c r="N5545" s="475">
        <f t="shared" si="210"/>
        <v>219817</v>
      </c>
    </row>
    <row r="5546" spans="7:14" ht="11.25" customHeight="1" x14ac:dyDescent="0.3">
      <c r="G5546" s="470"/>
      <c r="H5546" s="470">
        <v>5539</v>
      </c>
      <c r="I5546" s="455">
        <f t="shared" ca="1" si="208"/>
        <v>4014456707619946</v>
      </c>
      <c r="J5546" s="455">
        <f t="array" ref="J5546">IFERROR(INDEX('Retirement Calculator'!J:J,MATCH('Isaac 401k'!N5546,'Retirement Calculator'!A:A,0),0),0)</f>
        <v>0</v>
      </c>
      <c r="K5546" s="455">
        <f t="shared" ca="1" si="206"/>
        <v>16726902948416.443</v>
      </c>
      <c r="L5546" s="455">
        <f t="shared" ca="1" si="207"/>
        <v>4031183610568362.5</v>
      </c>
      <c r="M5546" s="471">
        <f t="shared" si="209"/>
        <v>0.05</v>
      </c>
      <c r="N5546" s="475">
        <f t="shared" si="210"/>
        <v>219847</v>
      </c>
    </row>
    <row r="5547" spans="7:14" ht="11.25" customHeight="1" x14ac:dyDescent="0.3">
      <c r="G5547" s="470"/>
      <c r="H5547" s="470">
        <v>5540</v>
      </c>
      <c r="I5547" s="455">
        <f t="shared" ca="1" si="208"/>
        <v>4031183610568362.5</v>
      </c>
      <c r="J5547" s="455">
        <f t="array" ref="J5547">IFERROR(INDEX('Retirement Calculator'!J:J,MATCH('Isaac 401k'!N5547,'Retirement Calculator'!A:A,0),0),0)</f>
        <v>0</v>
      </c>
      <c r="K5547" s="455">
        <f t="shared" ca="1" si="206"/>
        <v>16796598377368.178</v>
      </c>
      <c r="L5547" s="455">
        <f t="shared" ca="1" si="207"/>
        <v>4047980208945730.5</v>
      </c>
      <c r="M5547" s="471">
        <f t="shared" si="209"/>
        <v>0.05</v>
      </c>
      <c r="N5547" s="475">
        <f t="shared" si="210"/>
        <v>219878</v>
      </c>
    </row>
    <row r="5548" spans="7:14" ht="11.25" customHeight="1" x14ac:dyDescent="0.3">
      <c r="G5548" s="470"/>
      <c r="H5548" s="470">
        <v>5541</v>
      </c>
      <c r="I5548" s="455">
        <f t="shared" ca="1" si="208"/>
        <v>4047980208945730.5</v>
      </c>
      <c r="J5548" s="455">
        <f t="array" ref="J5548">IFERROR(INDEX('Retirement Calculator'!J:J,MATCH('Isaac 401k'!N5548,'Retirement Calculator'!A:A,0),0),0)</f>
        <v>0</v>
      </c>
      <c r="K5548" s="455">
        <f t="shared" ca="1" si="206"/>
        <v>16866584203940.543</v>
      </c>
      <c r="L5548" s="455">
        <f t="shared" ca="1" si="207"/>
        <v>4064846793149671</v>
      </c>
      <c r="M5548" s="471">
        <f t="shared" si="209"/>
        <v>0.05</v>
      </c>
      <c r="N5548" s="475">
        <f t="shared" si="210"/>
        <v>219909</v>
      </c>
    </row>
    <row r="5549" spans="7:14" ht="11.25" customHeight="1" x14ac:dyDescent="0.3">
      <c r="G5549" s="470"/>
      <c r="H5549" s="470">
        <v>5542</v>
      </c>
      <c r="I5549" s="455">
        <f t="shared" ca="1" si="208"/>
        <v>4064846793149671</v>
      </c>
      <c r="J5549" s="455">
        <f t="array" ref="J5549">IFERROR(INDEX('Retirement Calculator'!J:J,MATCH('Isaac 401k'!N5549,'Retirement Calculator'!A:A,0),0),0)</f>
        <v>0</v>
      </c>
      <c r="K5549" s="455">
        <f t="shared" ca="1" si="206"/>
        <v>16936861638123.629</v>
      </c>
      <c r="L5549" s="455">
        <f t="shared" ca="1" si="207"/>
        <v>4081783654787794.5</v>
      </c>
      <c r="M5549" s="471">
        <f t="shared" si="209"/>
        <v>0.05</v>
      </c>
      <c r="N5549" s="475">
        <f t="shared" si="210"/>
        <v>219937</v>
      </c>
    </row>
    <row r="5550" spans="7:14" ht="11.25" customHeight="1" x14ac:dyDescent="0.3">
      <c r="G5550" s="470"/>
      <c r="H5550" s="470">
        <v>5543</v>
      </c>
      <c r="I5550" s="455">
        <f t="shared" ca="1" si="208"/>
        <v>4081783654787794.5</v>
      </c>
      <c r="J5550" s="455">
        <f t="array" ref="J5550">IFERROR(INDEX('Retirement Calculator'!J:J,MATCH('Isaac 401k'!N5550,'Retirement Calculator'!A:A,0),0),0)</f>
        <v>0</v>
      </c>
      <c r="K5550" s="455">
        <f t="shared" ca="1" si="206"/>
        <v>17007431894949.143</v>
      </c>
      <c r="L5550" s="455">
        <f t="shared" ca="1" si="207"/>
        <v>4098791086682743.5</v>
      </c>
      <c r="M5550" s="471">
        <f t="shared" si="209"/>
        <v>0.05</v>
      </c>
      <c r="N5550" s="475">
        <f t="shared" si="210"/>
        <v>219968</v>
      </c>
    </row>
    <row r="5551" spans="7:14" ht="11.25" customHeight="1" x14ac:dyDescent="0.3">
      <c r="G5551" s="470"/>
      <c r="H5551" s="470">
        <v>5544</v>
      </c>
      <c r="I5551" s="455">
        <f t="shared" ca="1" si="208"/>
        <v>4098791086682743.5</v>
      </c>
      <c r="J5551" s="455">
        <f t="array" ref="J5551">IFERROR(INDEX('Retirement Calculator'!J:J,MATCH('Isaac 401k'!N5551,'Retirement Calculator'!A:A,0),0),0)</f>
        <v>0</v>
      </c>
      <c r="K5551" s="455">
        <f t="shared" ca="1" si="206"/>
        <v>17078296194511.43</v>
      </c>
      <c r="L5551" s="455">
        <f t="shared" ca="1" si="207"/>
        <v>4115869382877255</v>
      </c>
      <c r="M5551" s="471">
        <f t="shared" si="209"/>
        <v>0.05</v>
      </c>
      <c r="N5551" s="475">
        <f t="shared" si="210"/>
        <v>219998</v>
      </c>
    </row>
    <row r="5552" spans="7:14" ht="11.25" customHeight="1" x14ac:dyDescent="0.3">
      <c r="G5552" s="470"/>
      <c r="H5552" s="470">
        <v>5545</v>
      </c>
      <c r="I5552" s="455">
        <f t="shared" ca="1" si="208"/>
        <v>4115869382877255</v>
      </c>
      <c r="J5552" s="455">
        <f t="array" ref="J5552">IFERROR(INDEX('Retirement Calculator'!J:J,MATCH('Isaac 401k'!N5552,'Retirement Calculator'!A:A,0),0),0)</f>
        <v>0</v>
      </c>
      <c r="K5552" s="455">
        <f t="shared" ca="1" si="206"/>
        <v>17149455761988.563</v>
      </c>
      <c r="L5552" s="455">
        <f t="shared" ca="1" si="207"/>
        <v>4133018838639243.5</v>
      </c>
      <c r="M5552" s="471">
        <f t="shared" si="209"/>
        <v>0.05</v>
      </c>
      <c r="N5552" s="475">
        <f t="shared" si="210"/>
        <v>220029</v>
      </c>
    </row>
    <row r="5553" spans="7:14" ht="11.25" customHeight="1" x14ac:dyDescent="0.3">
      <c r="G5553" s="470"/>
      <c r="H5553" s="470">
        <v>5546</v>
      </c>
      <c r="I5553" s="455">
        <f t="shared" ca="1" si="208"/>
        <v>4133018838639243.5</v>
      </c>
      <c r="J5553" s="455">
        <f t="array" ref="J5553">IFERROR(INDEX('Retirement Calculator'!J:J,MATCH('Isaac 401k'!N5553,'Retirement Calculator'!A:A,0),0),0)</f>
        <v>0</v>
      </c>
      <c r="K5553" s="455">
        <f t="shared" ca="1" si="206"/>
        <v>17220911827663.514</v>
      </c>
      <c r="L5553" s="455">
        <f t="shared" ca="1" si="207"/>
        <v>4150239750466907</v>
      </c>
      <c r="M5553" s="471">
        <f t="shared" si="209"/>
        <v>0.05</v>
      </c>
      <c r="N5553" s="475">
        <f t="shared" si="210"/>
        <v>220059</v>
      </c>
    </row>
    <row r="5554" spans="7:14" ht="11.25" customHeight="1" x14ac:dyDescent="0.3">
      <c r="G5554" s="470"/>
      <c r="H5554" s="470">
        <v>5547</v>
      </c>
      <c r="I5554" s="455">
        <f t="shared" ca="1" si="208"/>
        <v>4150239750466907</v>
      </c>
      <c r="J5554" s="455">
        <f t="array" ref="J5554">IFERROR(INDEX('Retirement Calculator'!J:J,MATCH('Isaac 401k'!N5554,'Retirement Calculator'!A:A,0),0),0)</f>
        <v>0</v>
      </c>
      <c r="K5554" s="455">
        <f t="shared" ca="1" si="206"/>
        <v>17292665626945.447</v>
      </c>
      <c r="L5554" s="455">
        <f t="shared" ca="1" si="207"/>
        <v>4167532416093852.5</v>
      </c>
      <c r="M5554" s="471">
        <f t="shared" si="209"/>
        <v>0.05</v>
      </c>
      <c r="N5554" s="475">
        <f t="shared" si="210"/>
        <v>220090</v>
      </c>
    </row>
    <row r="5555" spans="7:14" ht="11.25" customHeight="1" x14ac:dyDescent="0.3">
      <c r="G5555" s="470"/>
      <c r="H5555" s="470">
        <v>5548</v>
      </c>
      <c r="I5555" s="455">
        <f t="shared" ca="1" si="208"/>
        <v>4167532416093852.5</v>
      </c>
      <c r="J5555" s="455">
        <f t="array" ref="J5555">IFERROR(INDEX('Retirement Calculator'!J:J,MATCH('Isaac 401k'!N5555,'Retirement Calculator'!A:A,0),0),0)</f>
        <v>0</v>
      </c>
      <c r="K5555" s="455">
        <f t="shared" ca="1" si="206"/>
        <v>17364718400391.049</v>
      </c>
      <c r="L5555" s="455">
        <f t="shared" ca="1" si="207"/>
        <v>4184897134494243.5</v>
      </c>
      <c r="M5555" s="471">
        <f t="shared" si="209"/>
        <v>0.05</v>
      </c>
      <c r="N5555" s="475">
        <f t="shared" si="210"/>
        <v>220121</v>
      </c>
    </row>
    <row r="5556" spans="7:14" ht="11.25" customHeight="1" x14ac:dyDescent="0.3">
      <c r="G5556" s="470"/>
      <c r="H5556" s="470">
        <v>5549</v>
      </c>
      <c r="I5556" s="455">
        <f t="shared" ca="1" si="208"/>
        <v>4184897134494243.5</v>
      </c>
      <c r="J5556" s="455">
        <f t="array" ref="J5556">IFERROR(INDEX('Retirement Calculator'!J:J,MATCH('Isaac 401k'!N5556,'Retirement Calculator'!A:A,0),0),0)</f>
        <v>0</v>
      </c>
      <c r="K5556" s="455">
        <f t="shared" ca="1" si="206"/>
        <v>17437071393726.012</v>
      </c>
      <c r="L5556" s="455">
        <f t="shared" ca="1" si="207"/>
        <v>4202334205887969.5</v>
      </c>
      <c r="M5556" s="471">
        <f t="shared" si="209"/>
        <v>0.05</v>
      </c>
      <c r="N5556" s="475">
        <f t="shared" si="210"/>
        <v>220151</v>
      </c>
    </row>
    <row r="5557" spans="7:14" ht="11.25" customHeight="1" x14ac:dyDescent="0.3">
      <c r="G5557" s="470"/>
      <c r="H5557" s="470">
        <v>5550</v>
      </c>
      <c r="I5557" s="455">
        <f t="shared" ca="1" si="208"/>
        <v>4202334205887969.5</v>
      </c>
      <c r="J5557" s="455">
        <f t="array" ref="J5557">IFERROR(INDEX('Retirement Calculator'!J:J,MATCH('Isaac 401k'!N5557,'Retirement Calculator'!A:A,0),0),0)</f>
        <v>0</v>
      </c>
      <c r="K5557" s="455">
        <f t="shared" ca="1" si="206"/>
        <v>17509725857866.537</v>
      </c>
      <c r="L5557" s="455">
        <f t="shared" ca="1" si="207"/>
        <v>4219843931745836</v>
      </c>
      <c r="M5557" s="471">
        <f t="shared" si="209"/>
        <v>0.05</v>
      </c>
      <c r="N5557" s="475">
        <f t="shared" si="210"/>
        <v>220182</v>
      </c>
    </row>
    <row r="5558" spans="7:14" ht="11.25" customHeight="1" x14ac:dyDescent="0.3">
      <c r="G5558" s="470"/>
      <c r="H5558" s="470">
        <v>5551</v>
      </c>
      <c r="I5558" s="455">
        <f t="shared" ca="1" si="208"/>
        <v>4219843931745836</v>
      </c>
      <c r="J5558" s="455">
        <f t="array" ref="J5558">IFERROR(INDEX('Retirement Calculator'!J:J,MATCH('Isaac 401k'!N5558,'Retirement Calculator'!A:A,0),0),0)</f>
        <v>0</v>
      </c>
      <c r="K5558" s="455">
        <f t="shared" ca="1" si="206"/>
        <v>17582683048940.982</v>
      </c>
      <c r="L5558" s="455">
        <f t="shared" ca="1" si="207"/>
        <v>4237426614794777</v>
      </c>
      <c r="M5558" s="471">
        <f t="shared" si="209"/>
        <v>0.05</v>
      </c>
      <c r="N5558" s="475">
        <f t="shared" si="210"/>
        <v>220212</v>
      </c>
    </row>
    <row r="5559" spans="7:14" ht="11.25" customHeight="1" x14ac:dyDescent="0.3">
      <c r="G5559" s="470"/>
      <c r="H5559" s="470">
        <v>5552</v>
      </c>
      <c r="I5559" s="455">
        <f t="shared" ca="1" si="208"/>
        <v>4237426614794777</v>
      </c>
      <c r="J5559" s="455">
        <f t="array" ref="J5559">IFERROR(INDEX('Retirement Calculator'!J:J,MATCH('Isaac 401k'!N5559,'Retirement Calculator'!A:A,0),0),0)</f>
        <v>0</v>
      </c>
      <c r="K5559" s="455">
        <f t="shared" ca="1" si="206"/>
        <v>17655944228311.57</v>
      </c>
      <c r="L5559" s="455">
        <f t="shared" ca="1" si="207"/>
        <v>4255082559023088.5</v>
      </c>
      <c r="M5559" s="471">
        <f t="shared" si="209"/>
        <v>0.05</v>
      </c>
      <c r="N5559" s="475">
        <f t="shared" si="210"/>
        <v>220243</v>
      </c>
    </row>
    <row r="5560" spans="7:14" ht="11.25" customHeight="1" x14ac:dyDescent="0.3">
      <c r="G5560" s="470"/>
      <c r="H5560" s="470">
        <v>5553</v>
      </c>
      <c r="I5560" s="455">
        <f t="shared" ca="1" si="208"/>
        <v>4255082559023088.5</v>
      </c>
      <c r="J5560" s="455">
        <f t="array" ref="J5560">IFERROR(INDEX('Retirement Calculator'!J:J,MATCH('Isaac 401k'!N5560,'Retirement Calculator'!A:A,0),0),0)</f>
        <v>0</v>
      </c>
      <c r="K5560" s="455">
        <f t="shared" ca="1" si="206"/>
        <v>17729510662596.199</v>
      </c>
      <c r="L5560" s="455">
        <f t="shared" ca="1" si="207"/>
        <v>4272812069685684.5</v>
      </c>
      <c r="M5560" s="471">
        <f t="shared" si="209"/>
        <v>0.05</v>
      </c>
      <c r="N5560" s="475">
        <f t="shared" si="210"/>
        <v>220274</v>
      </c>
    </row>
    <row r="5561" spans="7:14" ht="11.25" customHeight="1" x14ac:dyDescent="0.3">
      <c r="G5561" s="470"/>
      <c r="H5561" s="470">
        <v>5554</v>
      </c>
      <c r="I5561" s="455">
        <f t="shared" ca="1" si="208"/>
        <v>4272812069685684.5</v>
      </c>
      <c r="J5561" s="455">
        <f t="array" ref="J5561">IFERROR(INDEX('Retirement Calculator'!J:J,MATCH('Isaac 401k'!N5561,'Retirement Calculator'!A:A,0),0),0)</f>
        <v>0</v>
      </c>
      <c r="K5561" s="455">
        <f t="shared" ca="1" si="206"/>
        <v>17803383623690.352</v>
      </c>
      <c r="L5561" s="455">
        <f t="shared" ca="1" si="207"/>
        <v>4290615453309375</v>
      </c>
      <c r="M5561" s="471">
        <f t="shared" si="209"/>
        <v>0.05</v>
      </c>
      <c r="N5561" s="475">
        <f t="shared" si="210"/>
        <v>220302</v>
      </c>
    </row>
    <row r="5562" spans="7:14" ht="11.25" customHeight="1" x14ac:dyDescent="0.3">
      <c r="G5562" s="470"/>
      <c r="H5562" s="470">
        <v>5555</v>
      </c>
      <c r="I5562" s="455">
        <f t="shared" ca="1" si="208"/>
        <v>4290615453309375</v>
      </c>
      <c r="J5562" s="455">
        <f t="array" ref="J5562">IFERROR(INDEX('Retirement Calculator'!J:J,MATCH('Isaac 401k'!N5562,'Retirement Calculator'!A:A,0),0),0)</f>
        <v>0</v>
      </c>
      <c r="K5562" s="455">
        <f t="shared" ca="1" si="206"/>
        <v>17877564388789.059</v>
      </c>
      <c r="L5562" s="455">
        <f t="shared" ca="1" si="207"/>
        <v>4308493017698164</v>
      </c>
      <c r="M5562" s="471">
        <f t="shared" si="209"/>
        <v>0.05</v>
      </c>
      <c r="N5562" s="475">
        <f t="shared" si="210"/>
        <v>220333</v>
      </c>
    </row>
    <row r="5563" spans="7:14" ht="11.25" customHeight="1" x14ac:dyDescent="0.3">
      <c r="G5563" s="470"/>
      <c r="H5563" s="470">
        <v>5556</v>
      </c>
      <c r="I5563" s="455">
        <f t="shared" ca="1" si="208"/>
        <v>4308493017698164</v>
      </c>
      <c r="J5563" s="455">
        <f t="array" ref="J5563">IFERROR(INDEX('Retirement Calculator'!J:J,MATCH('Isaac 401k'!N5563,'Retirement Calculator'!A:A,0),0),0)</f>
        <v>0</v>
      </c>
      <c r="K5563" s="455">
        <f t="shared" ca="1" si="206"/>
        <v>17952054240409.016</v>
      </c>
      <c r="L5563" s="455">
        <f t="shared" ca="1" si="207"/>
        <v>4326445071938573</v>
      </c>
      <c r="M5563" s="471">
        <f t="shared" si="209"/>
        <v>0.05</v>
      </c>
      <c r="N5563" s="475">
        <f t="shared" si="210"/>
        <v>220363</v>
      </c>
    </row>
    <row r="5564" spans="7:14" ht="11.25" customHeight="1" x14ac:dyDescent="0.3">
      <c r="G5564" s="470"/>
      <c r="H5564" s="470">
        <v>5557</v>
      </c>
      <c r="I5564" s="455">
        <f t="shared" ca="1" si="208"/>
        <v>4326445071938573</v>
      </c>
      <c r="J5564" s="455">
        <f t="array" ref="J5564">IFERROR(INDEX('Retirement Calculator'!J:J,MATCH('Isaac 401k'!N5564,'Retirement Calculator'!A:A,0),0),0)</f>
        <v>0</v>
      </c>
      <c r="K5564" s="455">
        <f t="shared" ca="1" si="206"/>
        <v>18026854466410.719</v>
      </c>
      <c r="L5564" s="455">
        <f t="shared" ca="1" si="207"/>
        <v>4344471926404983.5</v>
      </c>
      <c r="M5564" s="471">
        <f t="shared" si="209"/>
        <v>0.05</v>
      </c>
      <c r="N5564" s="475">
        <f t="shared" si="210"/>
        <v>220394</v>
      </c>
    </row>
    <row r="5565" spans="7:14" ht="11.25" customHeight="1" x14ac:dyDescent="0.3">
      <c r="G5565" s="470"/>
      <c r="H5565" s="470">
        <v>5558</v>
      </c>
      <c r="I5565" s="455">
        <f t="shared" ca="1" si="208"/>
        <v>4344471926404983.5</v>
      </c>
      <c r="J5565" s="455">
        <f t="array" ref="J5565">IFERROR(INDEX('Retirement Calculator'!J:J,MATCH('Isaac 401k'!N5565,'Retirement Calculator'!A:A,0),0),0)</f>
        <v>0</v>
      </c>
      <c r="K5565" s="455">
        <f t="shared" ca="1" si="206"/>
        <v>18101966360020.766</v>
      </c>
      <c r="L5565" s="455">
        <f t="shared" ca="1" si="207"/>
        <v>4362573892765004.5</v>
      </c>
      <c r="M5565" s="471">
        <f t="shared" si="209"/>
        <v>0.05</v>
      </c>
      <c r="N5565" s="475">
        <f t="shared" si="210"/>
        <v>220424</v>
      </c>
    </row>
    <row r="5566" spans="7:14" ht="11.25" customHeight="1" x14ac:dyDescent="0.3">
      <c r="G5566" s="470"/>
      <c r="H5566" s="470">
        <v>5559</v>
      </c>
      <c r="I5566" s="455">
        <f t="shared" ca="1" si="208"/>
        <v>4362573892765004.5</v>
      </c>
      <c r="J5566" s="455">
        <f t="array" ref="J5566">IFERROR(INDEX('Retirement Calculator'!J:J,MATCH('Isaac 401k'!N5566,'Retirement Calculator'!A:A,0),0),0)</f>
        <v>0</v>
      </c>
      <c r="K5566" s="455">
        <f t="shared" ca="1" si="206"/>
        <v>18177391219854.184</v>
      </c>
      <c r="L5566" s="455">
        <f t="shared" ca="1" si="207"/>
        <v>4380751283984858.5</v>
      </c>
      <c r="M5566" s="471">
        <f t="shared" si="209"/>
        <v>0.05</v>
      </c>
      <c r="N5566" s="475">
        <f t="shared" si="210"/>
        <v>220455</v>
      </c>
    </row>
    <row r="5567" spans="7:14" ht="11.25" customHeight="1" x14ac:dyDescent="0.3">
      <c r="G5567" s="470"/>
      <c r="H5567" s="470">
        <v>5560</v>
      </c>
      <c r="I5567" s="455">
        <f t="shared" ca="1" si="208"/>
        <v>4380751283984858.5</v>
      </c>
      <c r="J5567" s="455">
        <f t="array" ref="J5567">IFERROR(INDEX('Retirement Calculator'!J:J,MATCH('Isaac 401k'!N5567,'Retirement Calculator'!A:A,0),0),0)</f>
        <v>0</v>
      </c>
      <c r="K5567" s="455">
        <f t="shared" ca="1" si="206"/>
        <v>18253130349936.914</v>
      </c>
      <c r="L5567" s="455">
        <f t="shared" ca="1" si="207"/>
        <v>4399004414334795.5</v>
      </c>
      <c r="M5567" s="471">
        <f t="shared" si="209"/>
        <v>0.05</v>
      </c>
      <c r="N5567" s="475">
        <f t="shared" si="210"/>
        <v>220486</v>
      </c>
    </row>
    <row r="5568" spans="7:14" ht="11.25" customHeight="1" x14ac:dyDescent="0.3">
      <c r="G5568" s="470"/>
      <c r="H5568" s="470">
        <v>5561</v>
      </c>
      <c r="I5568" s="455">
        <f t="shared" ca="1" si="208"/>
        <v>4399004414334795.5</v>
      </c>
      <c r="J5568" s="455">
        <f t="array" ref="J5568">IFERROR(INDEX('Retirement Calculator'!J:J,MATCH('Isaac 401k'!N5568,'Retirement Calculator'!A:A,0),0),0)</f>
        <v>0</v>
      </c>
      <c r="K5568" s="455">
        <f t="shared" ca="1" si="206"/>
        <v>18329185059728.313</v>
      </c>
      <c r="L5568" s="455">
        <f t="shared" ca="1" si="207"/>
        <v>4417333599394524</v>
      </c>
      <c r="M5568" s="471">
        <f t="shared" si="209"/>
        <v>0.05</v>
      </c>
      <c r="N5568" s="475">
        <f t="shared" si="210"/>
        <v>220516</v>
      </c>
    </row>
    <row r="5569" spans="7:14" ht="11.25" customHeight="1" x14ac:dyDescent="0.3">
      <c r="G5569" s="470"/>
      <c r="H5569" s="470">
        <v>5562</v>
      </c>
      <c r="I5569" s="455">
        <f t="shared" ca="1" si="208"/>
        <v>4417333599394524</v>
      </c>
      <c r="J5569" s="455">
        <f t="array" ref="J5569">IFERROR(INDEX('Retirement Calculator'!J:J,MATCH('Isaac 401k'!N5569,'Retirement Calculator'!A:A,0),0),0)</f>
        <v>0</v>
      </c>
      <c r="K5569" s="455">
        <f t="shared" ca="1" si="206"/>
        <v>18405556664143.852</v>
      </c>
      <c r="L5569" s="455">
        <f t="shared" ca="1" si="207"/>
        <v>4435739156058668</v>
      </c>
      <c r="M5569" s="471">
        <f t="shared" si="209"/>
        <v>0.05</v>
      </c>
      <c r="N5569" s="475">
        <f t="shared" si="210"/>
        <v>220547</v>
      </c>
    </row>
    <row r="5570" spans="7:14" ht="11.25" customHeight="1" x14ac:dyDescent="0.3">
      <c r="G5570" s="470"/>
      <c r="H5570" s="470">
        <v>5563</v>
      </c>
      <c r="I5570" s="455">
        <f t="shared" ca="1" si="208"/>
        <v>4435739156058668</v>
      </c>
      <c r="J5570" s="455">
        <f t="array" ref="J5570">IFERROR(INDEX('Retirement Calculator'!J:J,MATCH('Isaac 401k'!N5570,'Retirement Calculator'!A:A,0),0),0)</f>
        <v>0</v>
      </c>
      <c r="K5570" s="455">
        <f t="shared" ca="1" si="206"/>
        <v>18482246483577.785</v>
      </c>
      <c r="L5570" s="455">
        <f t="shared" ca="1" si="207"/>
        <v>4454221402542246</v>
      </c>
      <c r="M5570" s="471">
        <f t="shared" si="209"/>
        <v>0.05</v>
      </c>
      <c r="N5570" s="475">
        <f t="shared" si="210"/>
        <v>220577</v>
      </c>
    </row>
    <row r="5571" spans="7:14" ht="11.25" customHeight="1" x14ac:dyDescent="0.3">
      <c r="G5571" s="470"/>
      <c r="H5571" s="470">
        <v>5564</v>
      </c>
      <c r="I5571" s="455">
        <f t="shared" ca="1" si="208"/>
        <v>4454221402542246</v>
      </c>
      <c r="J5571" s="455">
        <f t="array" ref="J5571">IFERROR(INDEX('Retirement Calculator'!J:J,MATCH('Isaac 401k'!N5571,'Retirement Calculator'!A:A,0),0),0)</f>
        <v>0</v>
      </c>
      <c r="K5571" s="455">
        <f t="shared" ca="1" si="206"/>
        <v>18559255843926.027</v>
      </c>
      <c r="L5571" s="455">
        <f t="shared" ca="1" si="207"/>
        <v>4472780658386172</v>
      </c>
      <c r="M5571" s="471">
        <f t="shared" si="209"/>
        <v>0.05</v>
      </c>
      <c r="N5571" s="475">
        <f t="shared" si="210"/>
        <v>220608</v>
      </c>
    </row>
    <row r="5572" spans="7:14" ht="11.25" customHeight="1" x14ac:dyDescent="0.3">
      <c r="G5572" s="470"/>
      <c r="H5572" s="470">
        <v>5565</v>
      </c>
      <c r="I5572" s="455">
        <f t="shared" ca="1" si="208"/>
        <v>4472780658386172</v>
      </c>
      <c r="J5572" s="455">
        <f t="array" ref="J5572">IFERROR(INDEX('Retirement Calculator'!J:J,MATCH('Isaac 401k'!N5572,'Retirement Calculator'!A:A,0),0),0)</f>
        <v>0</v>
      </c>
      <c r="K5572" s="455">
        <f t="shared" ca="1" si="206"/>
        <v>18636586076609.051</v>
      </c>
      <c r="L5572" s="455">
        <f t="shared" ca="1" si="207"/>
        <v>4491417244462781</v>
      </c>
      <c r="M5572" s="471">
        <f t="shared" si="209"/>
        <v>0.05</v>
      </c>
      <c r="N5572" s="475">
        <f t="shared" si="210"/>
        <v>220639</v>
      </c>
    </row>
    <row r="5573" spans="7:14" ht="11.25" customHeight="1" x14ac:dyDescent="0.3">
      <c r="G5573" s="470"/>
      <c r="H5573" s="470">
        <v>5566</v>
      </c>
      <c r="I5573" s="455">
        <f t="shared" ca="1" si="208"/>
        <v>4491417244462781</v>
      </c>
      <c r="J5573" s="455">
        <f t="array" ref="J5573">IFERROR(INDEX('Retirement Calculator'!J:J,MATCH('Isaac 401k'!N5573,'Retirement Calculator'!A:A,0),0),0)</f>
        <v>0</v>
      </c>
      <c r="K5573" s="455">
        <f t="shared" ca="1" si="206"/>
        <v>18714238518594.922</v>
      </c>
      <c r="L5573" s="455">
        <f t="shared" ca="1" si="207"/>
        <v>4510131482981376</v>
      </c>
      <c r="M5573" s="471">
        <f t="shared" si="209"/>
        <v>0.05</v>
      </c>
      <c r="N5573" s="475">
        <f t="shared" si="210"/>
        <v>220668</v>
      </c>
    </row>
    <row r="5574" spans="7:14" ht="11.25" customHeight="1" x14ac:dyDescent="0.3">
      <c r="G5574" s="470"/>
      <c r="H5574" s="470">
        <v>5567</v>
      </c>
      <c r="I5574" s="455">
        <f t="shared" ca="1" si="208"/>
        <v>4510131482981376</v>
      </c>
      <c r="J5574" s="455">
        <f t="array" ref="J5574">IFERROR(INDEX('Retirement Calculator'!J:J,MATCH('Isaac 401k'!N5574,'Retirement Calculator'!A:A,0),0),0)</f>
        <v>0</v>
      </c>
      <c r="K5574" s="455">
        <f t="shared" ca="1" si="206"/>
        <v>18792214512422.398</v>
      </c>
      <c r="L5574" s="455">
        <f t="shared" ca="1" si="207"/>
        <v>4528923697493798</v>
      </c>
      <c r="M5574" s="471">
        <f t="shared" si="209"/>
        <v>0.05</v>
      </c>
      <c r="N5574" s="475">
        <f t="shared" si="210"/>
        <v>220699</v>
      </c>
    </row>
    <row r="5575" spans="7:14" ht="11.25" customHeight="1" x14ac:dyDescent="0.3">
      <c r="G5575" s="470"/>
      <c r="H5575" s="470">
        <v>5568</v>
      </c>
      <c r="I5575" s="455">
        <f t="shared" ca="1" si="208"/>
        <v>4528923697493798</v>
      </c>
      <c r="J5575" s="455">
        <f t="array" ref="J5575">IFERROR(INDEX('Retirement Calculator'!J:J,MATCH('Isaac 401k'!N5575,'Retirement Calculator'!A:A,0),0),0)</f>
        <v>0</v>
      </c>
      <c r="K5575" s="455">
        <f t="shared" ca="1" si="206"/>
        <v>18870515406224.156</v>
      </c>
      <c r="L5575" s="455">
        <f t="shared" ca="1" si="207"/>
        <v>4547794212900022</v>
      </c>
      <c r="M5575" s="471">
        <f t="shared" si="209"/>
        <v>0.05</v>
      </c>
      <c r="N5575" s="475">
        <f t="shared" si="210"/>
        <v>220729</v>
      </c>
    </row>
    <row r="5576" spans="7:14" ht="11.25" customHeight="1" x14ac:dyDescent="0.3">
      <c r="G5576" s="470"/>
      <c r="H5576" s="470">
        <v>5569</v>
      </c>
      <c r="I5576" s="455">
        <f t="shared" ca="1" si="208"/>
        <v>4547794212900022</v>
      </c>
      <c r="J5576" s="455">
        <f t="array" ref="J5576">IFERROR(INDEX('Retirement Calculator'!J:J,MATCH('Isaac 401k'!N5576,'Retirement Calculator'!A:A,0),0),0)</f>
        <v>0</v>
      </c>
      <c r="K5576" s="455">
        <f t="shared" ca="1" si="206"/>
        <v>18949142553750.09</v>
      </c>
      <c r="L5576" s="455">
        <f t="shared" ca="1" si="207"/>
        <v>4566743355453772</v>
      </c>
      <c r="M5576" s="471">
        <f t="shared" si="209"/>
        <v>0.05</v>
      </c>
      <c r="N5576" s="475">
        <f t="shared" si="210"/>
        <v>220760</v>
      </c>
    </row>
    <row r="5577" spans="7:14" ht="11.25" customHeight="1" x14ac:dyDescent="0.3">
      <c r="G5577" s="470"/>
      <c r="H5577" s="470">
        <v>5570</v>
      </c>
      <c r="I5577" s="455">
        <f t="shared" ca="1" si="208"/>
        <v>4566743355453772</v>
      </c>
      <c r="J5577" s="455">
        <f t="array" ref="J5577">IFERROR(INDEX('Retirement Calculator'!J:J,MATCH('Isaac 401k'!N5577,'Retirement Calculator'!A:A,0),0),0)</f>
        <v>0</v>
      </c>
      <c r="K5577" s="455">
        <f t="shared" ca="1" si="206"/>
        <v>19028097314390.715</v>
      </c>
      <c r="L5577" s="455">
        <f t="shared" ca="1" si="207"/>
        <v>4585771452768163</v>
      </c>
      <c r="M5577" s="471">
        <f t="shared" si="209"/>
        <v>0.05</v>
      </c>
      <c r="N5577" s="475">
        <f t="shared" si="210"/>
        <v>220790</v>
      </c>
    </row>
    <row r="5578" spans="7:14" ht="11.25" customHeight="1" x14ac:dyDescent="0.3">
      <c r="G5578" s="470"/>
      <c r="H5578" s="470">
        <v>5571</v>
      </c>
      <c r="I5578" s="455">
        <f t="shared" ca="1" si="208"/>
        <v>4585771452768163</v>
      </c>
      <c r="J5578" s="455">
        <f t="array" ref="J5578">IFERROR(INDEX('Retirement Calculator'!J:J,MATCH('Isaac 401k'!N5578,'Retirement Calculator'!A:A,0),0),0)</f>
        <v>0</v>
      </c>
      <c r="K5578" s="455">
        <f t="shared" ca="1" si="206"/>
        <v>19107381053200.68</v>
      </c>
      <c r="L5578" s="455">
        <f t="shared" ca="1" si="207"/>
        <v>4604878833821364</v>
      </c>
      <c r="M5578" s="471">
        <f t="shared" si="209"/>
        <v>0.05</v>
      </c>
      <c r="N5578" s="475">
        <f t="shared" si="210"/>
        <v>220821</v>
      </c>
    </row>
    <row r="5579" spans="7:14" ht="11.25" customHeight="1" x14ac:dyDescent="0.3">
      <c r="G5579" s="470"/>
      <c r="H5579" s="470">
        <v>5572</v>
      </c>
      <c r="I5579" s="455">
        <f t="shared" ca="1" si="208"/>
        <v>4604878833821364</v>
      </c>
      <c r="J5579" s="455">
        <f t="array" ref="J5579">IFERROR(INDEX('Retirement Calculator'!J:J,MATCH('Isaac 401k'!N5579,'Retirement Calculator'!A:A,0),0),0)</f>
        <v>0</v>
      </c>
      <c r="K5579" s="455">
        <f t="shared" ca="1" si="206"/>
        <v>19186995140922.352</v>
      </c>
      <c r="L5579" s="455">
        <f t="shared" ca="1" si="207"/>
        <v>4624065828962286</v>
      </c>
      <c r="M5579" s="471">
        <f t="shared" si="209"/>
        <v>0.05</v>
      </c>
      <c r="N5579" s="475">
        <f t="shared" si="210"/>
        <v>220852</v>
      </c>
    </row>
    <row r="5580" spans="7:14" ht="11.25" customHeight="1" x14ac:dyDescent="0.3">
      <c r="G5580" s="470"/>
      <c r="H5580" s="470">
        <v>5573</v>
      </c>
      <c r="I5580" s="455">
        <f t="shared" ca="1" si="208"/>
        <v>4624065828962286</v>
      </c>
      <c r="J5580" s="455">
        <f t="array" ref="J5580">IFERROR(INDEX('Retirement Calculator'!J:J,MATCH('Isaac 401k'!N5580,'Retirement Calculator'!A:A,0),0),0)</f>
        <v>0</v>
      </c>
      <c r="K5580" s="455">
        <f t="shared" ca="1" si="206"/>
        <v>19266940954009.523</v>
      </c>
      <c r="L5580" s="455">
        <f t="shared" ca="1" si="207"/>
        <v>4643332769916296</v>
      </c>
      <c r="M5580" s="471">
        <f t="shared" si="209"/>
        <v>0.05</v>
      </c>
      <c r="N5580" s="475">
        <f t="shared" si="210"/>
        <v>220882</v>
      </c>
    </row>
    <row r="5581" spans="7:14" ht="11.25" customHeight="1" x14ac:dyDescent="0.3">
      <c r="G5581" s="470"/>
      <c r="H5581" s="470">
        <v>5574</v>
      </c>
      <c r="I5581" s="455">
        <f t="shared" ca="1" si="208"/>
        <v>4643332769916296</v>
      </c>
      <c r="J5581" s="455">
        <f t="array" ref="J5581">IFERROR(INDEX('Retirement Calculator'!J:J,MATCH('Isaac 401k'!N5581,'Retirement Calculator'!A:A,0),0),0)</f>
        <v>0</v>
      </c>
      <c r="K5581" s="455">
        <f t="shared" ca="1" si="206"/>
        <v>19347219874651.234</v>
      </c>
      <c r="L5581" s="455">
        <f t="shared" ca="1" si="207"/>
        <v>4662679989790947</v>
      </c>
      <c r="M5581" s="471">
        <f t="shared" si="209"/>
        <v>0.05</v>
      </c>
      <c r="N5581" s="475">
        <f t="shared" si="210"/>
        <v>220913</v>
      </c>
    </row>
    <row r="5582" spans="7:14" ht="11.25" customHeight="1" x14ac:dyDescent="0.3">
      <c r="G5582" s="470"/>
      <c r="H5582" s="470">
        <v>5575</v>
      </c>
      <c r="I5582" s="455">
        <f t="shared" ca="1" si="208"/>
        <v>4662679989790947</v>
      </c>
      <c r="J5582" s="455">
        <f t="array" ref="J5582">IFERROR(INDEX('Retirement Calculator'!J:J,MATCH('Isaac 401k'!N5582,'Retirement Calculator'!A:A,0),0),0)</f>
        <v>0</v>
      </c>
      <c r="K5582" s="455">
        <f t="shared" ca="1" si="206"/>
        <v>19427833290795.613</v>
      </c>
      <c r="L5582" s="455">
        <f t="shared" ca="1" si="207"/>
        <v>4682107823081743</v>
      </c>
      <c r="M5582" s="471">
        <f t="shared" si="209"/>
        <v>0.05</v>
      </c>
      <c r="N5582" s="475">
        <f t="shared" si="210"/>
        <v>220943</v>
      </c>
    </row>
    <row r="5583" spans="7:14" ht="11.25" customHeight="1" x14ac:dyDescent="0.3">
      <c r="G5583" s="470"/>
      <c r="H5583" s="470">
        <v>5576</v>
      </c>
      <c r="I5583" s="455">
        <f t="shared" ca="1" si="208"/>
        <v>4682107823081743</v>
      </c>
      <c r="J5583" s="455">
        <f t="array" ref="J5583">IFERROR(INDEX('Retirement Calculator'!J:J,MATCH('Isaac 401k'!N5583,'Retirement Calculator'!A:A,0),0),0)</f>
        <v>0</v>
      </c>
      <c r="K5583" s="455">
        <f t="shared" ca="1" si="206"/>
        <v>19508782596173.93</v>
      </c>
      <c r="L5583" s="455">
        <f t="shared" ca="1" si="207"/>
        <v>4701616605677917</v>
      </c>
      <c r="M5583" s="471">
        <f t="shared" si="209"/>
        <v>0.05</v>
      </c>
      <c r="N5583" s="475">
        <f t="shared" si="210"/>
        <v>220974</v>
      </c>
    </row>
    <row r="5584" spans="7:14" ht="11.25" customHeight="1" x14ac:dyDescent="0.3">
      <c r="G5584" s="470"/>
      <c r="H5584" s="470">
        <v>5577</v>
      </c>
      <c r="I5584" s="455">
        <f t="shared" ca="1" si="208"/>
        <v>4701616605677917</v>
      </c>
      <c r="J5584" s="455">
        <f t="array" ref="J5584">IFERROR(INDEX('Retirement Calculator'!J:J,MATCH('Isaac 401k'!N5584,'Retirement Calculator'!A:A,0),0),0)</f>
        <v>0</v>
      </c>
      <c r="K5584" s="455">
        <f t="shared" ca="1" si="206"/>
        <v>19590069190324.652</v>
      </c>
      <c r="L5584" s="455">
        <f t="shared" ca="1" si="207"/>
        <v>4721206674868242</v>
      </c>
      <c r="M5584" s="471">
        <f t="shared" si="209"/>
        <v>0.05</v>
      </c>
      <c r="N5584" s="475">
        <f t="shared" si="210"/>
        <v>221005</v>
      </c>
    </row>
    <row r="5585" spans="7:14" ht="11.25" customHeight="1" x14ac:dyDescent="0.3">
      <c r="G5585" s="470"/>
      <c r="H5585" s="470">
        <v>5578</v>
      </c>
      <c r="I5585" s="455">
        <f t="shared" ca="1" si="208"/>
        <v>4721206674868242</v>
      </c>
      <c r="J5585" s="455">
        <f t="array" ref="J5585">IFERROR(INDEX('Retirement Calculator'!J:J,MATCH('Isaac 401k'!N5585,'Retirement Calculator'!A:A,0),0),0)</f>
        <v>0</v>
      </c>
      <c r="K5585" s="455">
        <f t="shared" ca="1" si="206"/>
        <v>19671694478617.676</v>
      </c>
      <c r="L5585" s="455">
        <f t="shared" ca="1" si="207"/>
        <v>4740878369346860</v>
      </c>
      <c r="M5585" s="471">
        <f t="shared" si="209"/>
        <v>0.05</v>
      </c>
      <c r="N5585" s="475">
        <f t="shared" si="210"/>
        <v>221033</v>
      </c>
    </row>
    <row r="5586" spans="7:14" ht="11.25" customHeight="1" x14ac:dyDescent="0.3">
      <c r="G5586" s="470"/>
      <c r="H5586" s="470">
        <v>5579</v>
      </c>
      <c r="I5586" s="455">
        <f t="shared" ca="1" si="208"/>
        <v>4740878369346860</v>
      </c>
      <c r="J5586" s="455">
        <f t="array" ref="J5586">IFERROR(INDEX('Retirement Calculator'!J:J,MATCH('Isaac 401k'!N5586,'Retirement Calculator'!A:A,0),0),0)</f>
        <v>0</v>
      </c>
      <c r="K5586" s="455">
        <f t="shared" ca="1" si="206"/>
        <v>19753659872278.582</v>
      </c>
      <c r="L5586" s="455">
        <f t="shared" ca="1" si="207"/>
        <v>4760632029219139</v>
      </c>
      <c r="M5586" s="471">
        <f t="shared" si="209"/>
        <v>0.05</v>
      </c>
      <c r="N5586" s="475">
        <f t="shared" si="210"/>
        <v>221064</v>
      </c>
    </row>
    <row r="5587" spans="7:14" ht="11.25" customHeight="1" x14ac:dyDescent="0.3">
      <c r="G5587" s="470"/>
      <c r="H5587" s="470">
        <v>5580</v>
      </c>
      <c r="I5587" s="455">
        <f t="shared" ca="1" si="208"/>
        <v>4760632029219139</v>
      </c>
      <c r="J5587" s="455">
        <f t="array" ref="J5587">IFERROR(INDEX('Retirement Calculator'!J:J,MATCH('Isaac 401k'!N5587,'Retirement Calculator'!A:A,0),0),0)</f>
        <v>0</v>
      </c>
      <c r="K5587" s="455">
        <f t="shared" ca="1" si="206"/>
        <v>19835966788413.078</v>
      </c>
      <c r="L5587" s="455">
        <f t="shared" ca="1" si="207"/>
        <v>4780467996007552</v>
      </c>
      <c r="M5587" s="471">
        <f t="shared" si="209"/>
        <v>0.05</v>
      </c>
      <c r="N5587" s="475">
        <f t="shared" si="210"/>
        <v>221094</v>
      </c>
    </row>
    <row r="5588" spans="7:14" ht="11.25" customHeight="1" x14ac:dyDescent="0.3">
      <c r="G5588" s="470"/>
      <c r="H5588" s="470">
        <v>5581</v>
      </c>
      <c r="I5588" s="455">
        <f t="shared" ca="1" si="208"/>
        <v>4780467996007552</v>
      </c>
      <c r="J5588" s="455">
        <f t="array" ref="J5588">IFERROR(INDEX('Retirement Calculator'!J:J,MATCH('Isaac 401k'!N5588,'Retirement Calculator'!A:A,0),0),0)</f>
        <v>0</v>
      </c>
      <c r="K5588" s="455">
        <f t="shared" ca="1" si="206"/>
        <v>19918616650031.465</v>
      </c>
      <c r="L5588" s="455">
        <f t="shared" ca="1" si="207"/>
        <v>4800386612657583</v>
      </c>
      <c r="M5588" s="471">
        <f t="shared" si="209"/>
        <v>0.05</v>
      </c>
      <c r="N5588" s="475">
        <f t="shared" si="210"/>
        <v>221125</v>
      </c>
    </row>
    <row r="5589" spans="7:14" ht="11.25" customHeight="1" x14ac:dyDescent="0.3">
      <c r="G5589" s="470"/>
      <c r="H5589" s="470">
        <v>5582</v>
      </c>
      <c r="I5589" s="455">
        <f t="shared" ca="1" si="208"/>
        <v>4800386612657583</v>
      </c>
      <c r="J5589" s="455">
        <f t="array" ref="J5589">IFERROR(INDEX('Retirement Calculator'!J:J,MATCH('Isaac 401k'!N5589,'Retirement Calculator'!A:A,0),0),0)</f>
        <v>0</v>
      </c>
      <c r="K5589" s="455">
        <f t="shared" ca="1" si="206"/>
        <v>20001610886073.262</v>
      </c>
      <c r="L5589" s="455">
        <f t="shared" ca="1" si="207"/>
        <v>4820388223543656</v>
      </c>
      <c r="M5589" s="471">
        <f t="shared" si="209"/>
        <v>0.05</v>
      </c>
      <c r="N5589" s="475">
        <f t="shared" si="210"/>
        <v>221155</v>
      </c>
    </row>
    <row r="5590" spans="7:14" ht="11.25" customHeight="1" x14ac:dyDescent="0.3">
      <c r="G5590" s="470"/>
      <c r="H5590" s="470">
        <v>5583</v>
      </c>
      <c r="I5590" s="455">
        <f t="shared" ca="1" si="208"/>
        <v>4820388223543656</v>
      </c>
      <c r="J5590" s="455">
        <f t="array" ref="J5590">IFERROR(INDEX('Retirement Calculator'!J:J,MATCH('Isaac 401k'!N5590,'Retirement Calculator'!A:A,0),0),0)</f>
        <v>0</v>
      </c>
      <c r="K5590" s="455">
        <f t="shared" ca="1" si="206"/>
        <v>20084950931431.898</v>
      </c>
      <c r="L5590" s="455">
        <f t="shared" ca="1" si="207"/>
        <v>4840473174475088</v>
      </c>
      <c r="M5590" s="471">
        <f t="shared" si="209"/>
        <v>0.05</v>
      </c>
      <c r="N5590" s="475">
        <f t="shared" si="210"/>
        <v>221186</v>
      </c>
    </row>
    <row r="5591" spans="7:14" ht="11.25" customHeight="1" x14ac:dyDescent="0.3">
      <c r="G5591" s="470"/>
      <c r="H5591" s="470">
        <v>5584</v>
      </c>
      <c r="I5591" s="455">
        <f t="shared" ca="1" si="208"/>
        <v>4840473174475088</v>
      </c>
      <c r="J5591" s="455">
        <f t="array" ref="J5591">IFERROR(INDEX('Retirement Calculator'!J:J,MATCH('Isaac 401k'!N5591,'Retirement Calculator'!A:A,0),0),0)</f>
        <v>0</v>
      </c>
      <c r="K5591" s="455">
        <f t="shared" ca="1" si="206"/>
        <v>20168638226979.531</v>
      </c>
      <c r="L5591" s="455">
        <f t="shared" ca="1" si="207"/>
        <v>4860641812702068</v>
      </c>
      <c r="M5591" s="471">
        <f t="shared" si="209"/>
        <v>0.05</v>
      </c>
      <c r="N5591" s="475">
        <f t="shared" si="210"/>
        <v>221217</v>
      </c>
    </row>
    <row r="5592" spans="7:14" ht="11.25" customHeight="1" x14ac:dyDescent="0.3">
      <c r="G5592" s="470"/>
      <c r="H5592" s="470">
        <v>5585</v>
      </c>
      <c r="I5592" s="455">
        <f t="shared" ca="1" si="208"/>
        <v>4860641812702068</v>
      </c>
      <c r="J5592" s="455">
        <f t="array" ref="J5592">IFERROR(INDEX('Retirement Calculator'!J:J,MATCH('Isaac 401k'!N5592,'Retirement Calculator'!A:A,0),0),0)</f>
        <v>0</v>
      </c>
      <c r="K5592" s="455">
        <f t="shared" ca="1" si="206"/>
        <v>20252674219591.949</v>
      </c>
      <c r="L5592" s="455">
        <f t="shared" ca="1" si="207"/>
        <v>4880894486921660</v>
      </c>
      <c r="M5592" s="471">
        <f t="shared" si="209"/>
        <v>0.05</v>
      </c>
      <c r="N5592" s="475">
        <f t="shared" si="210"/>
        <v>221247</v>
      </c>
    </row>
    <row r="5593" spans="7:14" ht="11.25" customHeight="1" x14ac:dyDescent="0.3">
      <c r="G5593" s="470"/>
      <c r="H5593" s="470">
        <v>5586</v>
      </c>
      <c r="I5593" s="455">
        <f t="shared" ca="1" si="208"/>
        <v>4880894486921660</v>
      </c>
      <c r="J5593" s="455">
        <f t="array" ref="J5593">IFERROR(INDEX('Retirement Calculator'!J:J,MATCH('Isaac 401k'!N5593,'Retirement Calculator'!A:A,0),0),0)</f>
        <v>0</v>
      </c>
      <c r="K5593" s="455">
        <f t="shared" ca="1" si="206"/>
        <v>20337060362173.582</v>
      </c>
      <c r="L5593" s="455">
        <f t="shared" ca="1" si="207"/>
        <v>4901231547283834</v>
      </c>
      <c r="M5593" s="471">
        <f t="shared" si="209"/>
        <v>0.05</v>
      </c>
      <c r="N5593" s="475">
        <f t="shared" si="210"/>
        <v>221278</v>
      </c>
    </row>
    <row r="5594" spans="7:14" ht="11.25" customHeight="1" x14ac:dyDescent="0.3">
      <c r="G5594" s="470"/>
      <c r="H5594" s="470">
        <v>5587</v>
      </c>
      <c r="I5594" s="455">
        <f t="shared" ca="1" si="208"/>
        <v>4901231547283834</v>
      </c>
      <c r="J5594" s="455">
        <f t="array" ref="J5594">IFERROR(INDEX('Retirement Calculator'!J:J,MATCH('Isaac 401k'!N5594,'Retirement Calculator'!A:A,0),0),0)</f>
        <v>0</v>
      </c>
      <c r="K5594" s="455">
        <f t="shared" ca="1" si="206"/>
        <v>20421798113682.641</v>
      </c>
      <c r="L5594" s="455">
        <f t="shared" ca="1" si="207"/>
        <v>4921653345397517</v>
      </c>
      <c r="M5594" s="471">
        <f t="shared" si="209"/>
        <v>0.05</v>
      </c>
      <c r="N5594" s="475">
        <f t="shared" si="210"/>
        <v>221308</v>
      </c>
    </row>
    <row r="5595" spans="7:14" ht="11.25" customHeight="1" x14ac:dyDescent="0.3">
      <c r="G5595" s="470"/>
      <c r="H5595" s="470">
        <v>5588</v>
      </c>
      <c r="I5595" s="455">
        <f t="shared" ca="1" si="208"/>
        <v>4921653345397517</v>
      </c>
      <c r="J5595" s="455">
        <f t="array" ref="J5595">IFERROR(INDEX('Retirement Calculator'!J:J,MATCH('Isaac 401k'!N5595,'Retirement Calculator'!A:A,0),0),0)</f>
        <v>0</v>
      </c>
      <c r="K5595" s="455">
        <f t="shared" ca="1" si="206"/>
        <v>20506888939156.32</v>
      </c>
      <c r="L5595" s="455">
        <f t="shared" ca="1" si="207"/>
        <v>4942160234336673</v>
      </c>
      <c r="M5595" s="471">
        <f t="shared" si="209"/>
        <v>0.05</v>
      </c>
      <c r="N5595" s="475">
        <f t="shared" si="210"/>
        <v>221339</v>
      </c>
    </row>
    <row r="5596" spans="7:14" ht="11.25" customHeight="1" x14ac:dyDescent="0.3">
      <c r="G5596" s="470"/>
      <c r="H5596" s="470">
        <v>5589</v>
      </c>
      <c r="I5596" s="455">
        <f t="shared" ca="1" si="208"/>
        <v>4942160234336673</v>
      </c>
      <c r="J5596" s="455">
        <f t="array" ref="J5596">IFERROR(INDEX('Retirement Calculator'!J:J,MATCH('Isaac 401k'!N5596,'Retirement Calculator'!A:A,0),0),0)</f>
        <v>0</v>
      </c>
      <c r="K5596" s="455">
        <f t="shared" ca="1" si="206"/>
        <v>20592334309736.137</v>
      </c>
      <c r="L5596" s="455">
        <f t="shared" ca="1" si="207"/>
        <v>4962752568646409</v>
      </c>
      <c r="M5596" s="471">
        <f t="shared" si="209"/>
        <v>0.05</v>
      </c>
      <c r="N5596" s="475">
        <f t="shared" si="210"/>
        <v>221370</v>
      </c>
    </row>
    <row r="5597" spans="7:14" ht="11.25" customHeight="1" x14ac:dyDescent="0.3">
      <c r="G5597" s="470"/>
      <c r="H5597" s="470">
        <v>5590</v>
      </c>
      <c r="I5597" s="455">
        <f t="shared" ca="1" si="208"/>
        <v>4962752568646409</v>
      </c>
      <c r="J5597" s="455">
        <f t="array" ref="J5597">IFERROR(INDEX('Retirement Calculator'!J:J,MATCH('Isaac 401k'!N5597,'Retirement Calculator'!A:A,0),0),0)</f>
        <v>0</v>
      </c>
      <c r="K5597" s="455">
        <f t="shared" ca="1" si="206"/>
        <v>20678135702693.371</v>
      </c>
      <c r="L5597" s="455">
        <f t="shared" ca="1" si="207"/>
        <v>4983430704349102</v>
      </c>
      <c r="M5597" s="471">
        <f t="shared" si="209"/>
        <v>0.05</v>
      </c>
      <c r="N5597" s="475">
        <f t="shared" si="210"/>
        <v>221398</v>
      </c>
    </row>
    <row r="5598" spans="7:14" ht="11.25" customHeight="1" x14ac:dyDescent="0.3">
      <c r="G5598" s="470"/>
      <c r="H5598" s="470">
        <v>5591</v>
      </c>
      <c r="I5598" s="455">
        <f t="shared" ca="1" si="208"/>
        <v>4983430704349102</v>
      </c>
      <c r="J5598" s="455">
        <f t="array" ref="J5598">IFERROR(INDEX('Retirement Calculator'!J:J,MATCH('Isaac 401k'!N5598,'Retirement Calculator'!A:A,0),0),0)</f>
        <v>0</v>
      </c>
      <c r="K5598" s="455">
        <f t="shared" ca="1" si="206"/>
        <v>20764294601454.59</v>
      </c>
      <c r="L5598" s="455">
        <f t="shared" ca="1" si="207"/>
        <v>5004194998950557</v>
      </c>
      <c r="M5598" s="471">
        <f t="shared" si="209"/>
        <v>0.05</v>
      </c>
      <c r="N5598" s="475">
        <f t="shared" si="210"/>
        <v>221429</v>
      </c>
    </row>
    <row r="5599" spans="7:14" ht="11.25" customHeight="1" x14ac:dyDescent="0.3">
      <c r="G5599" s="470"/>
      <c r="H5599" s="470">
        <v>5592</v>
      </c>
      <c r="I5599" s="455">
        <f t="shared" ca="1" si="208"/>
        <v>5004194998950557</v>
      </c>
      <c r="J5599" s="455">
        <f t="array" ref="J5599">IFERROR(INDEX('Retirement Calculator'!J:J,MATCH('Isaac 401k'!N5599,'Retirement Calculator'!A:A,0),0),0)</f>
        <v>0</v>
      </c>
      <c r="K5599" s="455">
        <f t="shared" ca="1" si="206"/>
        <v>20850812495627.32</v>
      </c>
      <c r="L5599" s="455">
        <f t="shared" ca="1" si="207"/>
        <v>5025045811446184</v>
      </c>
      <c r="M5599" s="471">
        <f t="shared" si="209"/>
        <v>0.05</v>
      </c>
      <c r="N5599" s="475">
        <f t="shared" si="210"/>
        <v>221459</v>
      </c>
    </row>
    <row r="5600" spans="7:14" ht="11.25" customHeight="1" x14ac:dyDescent="0.3">
      <c r="G5600" s="470"/>
      <c r="H5600" s="470">
        <v>5593</v>
      </c>
      <c r="I5600" s="455">
        <f t="shared" ca="1" si="208"/>
        <v>5025045811446184</v>
      </c>
      <c r="J5600" s="455">
        <f t="array" ref="J5600">IFERROR(INDEX('Retirement Calculator'!J:J,MATCH('Isaac 401k'!N5600,'Retirement Calculator'!A:A,0),0),0)</f>
        <v>0</v>
      </c>
      <c r="K5600" s="455">
        <f t="shared" ca="1" si="206"/>
        <v>20937690881025.766</v>
      </c>
      <c r="L5600" s="455">
        <f t="shared" ca="1" si="207"/>
        <v>5045983502327210</v>
      </c>
      <c r="M5600" s="471">
        <f t="shared" si="209"/>
        <v>0.05</v>
      </c>
      <c r="N5600" s="475">
        <f t="shared" si="210"/>
        <v>221490</v>
      </c>
    </row>
    <row r="5601" spans="7:14" ht="11.25" customHeight="1" x14ac:dyDescent="0.3">
      <c r="G5601" s="470"/>
      <c r="H5601" s="470">
        <v>5594</v>
      </c>
      <c r="I5601" s="455">
        <f t="shared" ca="1" si="208"/>
        <v>5045983502327210</v>
      </c>
      <c r="J5601" s="455">
        <f t="array" ref="J5601">IFERROR(INDEX('Retirement Calculator'!J:J,MATCH('Isaac 401k'!N5601,'Retirement Calculator'!A:A,0),0),0)</f>
        <v>0</v>
      </c>
      <c r="K5601" s="455">
        <f t="shared" ca="1" si="206"/>
        <v>21024931259696.707</v>
      </c>
      <c r="L5601" s="455">
        <f t="shared" ca="1" si="207"/>
        <v>5067008433586907</v>
      </c>
      <c r="M5601" s="471">
        <f t="shared" si="209"/>
        <v>0.05</v>
      </c>
      <c r="N5601" s="475">
        <f t="shared" si="210"/>
        <v>221520</v>
      </c>
    </row>
    <row r="5602" spans="7:14" ht="11.25" customHeight="1" x14ac:dyDescent="0.3">
      <c r="G5602" s="470"/>
      <c r="H5602" s="470">
        <v>5595</v>
      </c>
      <c r="I5602" s="455">
        <f t="shared" ca="1" si="208"/>
        <v>5067008433586907</v>
      </c>
      <c r="J5602" s="455">
        <f t="array" ref="J5602">IFERROR(INDEX('Retirement Calculator'!J:J,MATCH('Isaac 401k'!N5602,'Retirement Calculator'!A:A,0),0),0)</f>
        <v>0</v>
      </c>
      <c r="K5602" s="455">
        <f t="shared" ca="1" si="206"/>
        <v>21112535139945.445</v>
      </c>
      <c r="L5602" s="455">
        <f t="shared" ca="1" si="207"/>
        <v>5088120968726852</v>
      </c>
      <c r="M5602" s="471">
        <f t="shared" si="209"/>
        <v>0.05</v>
      </c>
      <c r="N5602" s="475">
        <f t="shared" si="210"/>
        <v>221551</v>
      </c>
    </row>
    <row r="5603" spans="7:14" ht="11.25" customHeight="1" x14ac:dyDescent="0.3">
      <c r="G5603" s="470"/>
      <c r="H5603" s="470">
        <v>5596</v>
      </c>
      <c r="I5603" s="455">
        <f t="shared" ca="1" si="208"/>
        <v>5088120968726852</v>
      </c>
      <c r="J5603" s="455">
        <f t="array" ref="J5603">IFERROR(INDEX('Retirement Calculator'!J:J,MATCH('Isaac 401k'!N5603,'Retirement Calculator'!A:A,0),0),0)</f>
        <v>0</v>
      </c>
      <c r="K5603" s="455">
        <f t="shared" ca="1" si="206"/>
        <v>21200504036361.883</v>
      </c>
      <c r="L5603" s="455">
        <f t="shared" ca="1" si="207"/>
        <v>5109321472763214</v>
      </c>
      <c r="M5603" s="471">
        <f t="shared" si="209"/>
        <v>0.05</v>
      </c>
      <c r="N5603" s="475">
        <f t="shared" si="210"/>
        <v>221582</v>
      </c>
    </row>
    <row r="5604" spans="7:14" ht="11.25" customHeight="1" x14ac:dyDescent="0.3">
      <c r="G5604" s="470"/>
      <c r="H5604" s="470">
        <v>5597</v>
      </c>
      <c r="I5604" s="455">
        <f t="shared" ca="1" si="208"/>
        <v>5109321472763214</v>
      </c>
      <c r="J5604" s="455">
        <f t="array" ref="J5604">IFERROR(INDEX('Retirement Calculator'!J:J,MATCH('Isaac 401k'!N5604,'Retirement Calculator'!A:A,0),0),0)</f>
        <v>0</v>
      </c>
      <c r="K5604" s="455">
        <f t="shared" ca="1" si="206"/>
        <v>21288839469846.727</v>
      </c>
      <c r="L5604" s="455">
        <f t="shared" ca="1" si="207"/>
        <v>5130610312233061</v>
      </c>
      <c r="M5604" s="471">
        <f t="shared" si="209"/>
        <v>0.05</v>
      </c>
      <c r="N5604" s="475">
        <f t="shared" si="210"/>
        <v>221612</v>
      </c>
    </row>
    <row r="5605" spans="7:14" ht="11.25" customHeight="1" x14ac:dyDescent="0.3">
      <c r="G5605" s="470"/>
      <c r="H5605" s="470">
        <v>5598</v>
      </c>
      <c r="I5605" s="455">
        <f t="shared" ca="1" si="208"/>
        <v>5130610312233061</v>
      </c>
      <c r="J5605" s="455">
        <f t="array" ref="J5605">IFERROR(INDEX('Retirement Calculator'!J:J,MATCH('Isaac 401k'!N5605,'Retirement Calculator'!A:A,0),0),0)</f>
        <v>0</v>
      </c>
      <c r="K5605" s="455">
        <f t="shared" ca="1" si="206"/>
        <v>21377542967637.754</v>
      </c>
      <c r="L5605" s="455">
        <f t="shared" ca="1" si="207"/>
        <v>5151987855200699</v>
      </c>
      <c r="M5605" s="471">
        <f t="shared" si="209"/>
        <v>0.05</v>
      </c>
      <c r="N5605" s="475">
        <f t="shared" si="210"/>
        <v>221643</v>
      </c>
    </row>
    <row r="5606" spans="7:14" ht="11.25" customHeight="1" x14ac:dyDescent="0.3">
      <c r="G5606" s="470"/>
      <c r="H5606" s="470">
        <v>5599</v>
      </c>
      <c r="I5606" s="455">
        <f t="shared" ca="1" si="208"/>
        <v>5151987855200699</v>
      </c>
      <c r="J5606" s="455">
        <f t="array" ref="J5606">IFERROR(INDEX('Retirement Calculator'!J:J,MATCH('Isaac 401k'!N5606,'Retirement Calculator'!A:A,0),0),0)</f>
        <v>0</v>
      </c>
      <c r="K5606" s="455">
        <f t="shared" ca="1" si="206"/>
        <v>21466616063336.246</v>
      </c>
      <c r="L5606" s="455">
        <f t="shared" ca="1" si="207"/>
        <v>5173454471264035</v>
      </c>
      <c r="M5606" s="471">
        <f t="shared" si="209"/>
        <v>0.05</v>
      </c>
      <c r="N5606" s="475">
        <f t="shared" si="210"/>
        <v>221673</v>
      </c>
    </row>
    <row r="5607" spans="7:14" ht="11.25" customHeight="1" x14ac:dyDescent="0.3">
      <c r="G5607" s="470"/>
      <c r="H5607" s="470">
        <v>5600</v>
      </c>
      <c r="I5607" s="455">
        <f t="shared" ca="1" si="208"/>
        <v>5173454471264035</v>
      </c>
      <c r="J5607" s="455">
        <f t="array" ref="J5607">IFERROR(INDEX('Retirement Calculator'!J:J,MATCH('Isaac 401k'!N5607,'Retirement Calculator'!A:A,0),0),0)</f>
        <v>0</v>
      </c>
      <c r="K5607" s="455">
        <f t="shared" ca="1" si="206"/>
        <v>21556060296933.48</v>
      </c>
      <c r="L5607" s="455">
        <f t="shared" ca="1" si="207"/>
        <v>5195010531560968</v>
      </c>
      <c r="M5607" s="471">
        <f t="shared" si="209"/>
        <v>0.05</v>
      </c>
      <c r="N5607" s="475">
        <f t="shared" si="210"/>
        <v>221704</v>
      </c>
    </row>
    <row r="5608" spans="7:14" ht="11.25" customHeight="1" x14ac:dyDescent="0.3">
      <c r="G5608" s="470"/>
      <c r="H5608" s="470">
        <v>5601</v>
      </c>
      <c r="I5608" s="455">
        <f t="shared" ca="1" si="208"/>
        <v>5195010531560968</v>
      </c>
      <c r="J5608" s="455">
        <f t="array" ref="J5608">IFERROR(INDEX('Retirement Calculator'!J:J,MATCH('Isaac 401k'!N5608,'Retirement Calculator'!A:A,0),0),0)</f>
        <v>0</v>
      </c>
      <c r="K5608" s="455">
        <f t="shared" ca="1" si="206"/>
        <v>21645877214837.367</v>
      </c>
      <c r="L5608" s="455">
        <f t="shared" ca="1" si="207"/>
        <v>5216656408775805</v>
      </c>
      <c r="M5608" s="471">
        <f t="shared" si="209"/>
        <v>0.05</v>
      </c>
      <c r="N5608" s="475">
        <f t="shared" si="210"/>
        <v>221735</v>
      </c>
    </row>
    <row r="5609" spans="7:14" ht="11.25" customHeight="1" x14ac:dyDescent="0.3">
      <c r="G5609" s="470"/>
      <c r="H5609" s="470">
        <v>5602</v>
      </c>
      <c r="I5609" s="455">
        <f t="shared" ca="1" si="208"/>
        <v>5216656408775805</v>
      </c>
      <c r="J5609" s="455">
        <f t="array" ref="J5609">IFERROR(INDEX('Retirement Calculator'!J:J,MATCH('Isaac 401k'!N5609,'Retirement Calculator'!A:A,0),0),0)</f>
        <v>0</v>
      </c>
      <c r="K5609" s="455">
        <f t="shared" ca="1" si="206"/>
        <v>21736068369899.188</v>
      </c>
      <c r="L5609" s="455">
        <f t="shared" ca="1" si="207"/>
        <v>5238392477145704</v>
      </c>
      <c r="M5609" s="471">
        <f t="shared" si="209"/>
        <v>0.05</v>
      </c>
      <c r="N5609" s="475">
        <f t="shared" si="210"/>
        <v>221763</v>
      </c>
    </row>
    <row r="5610" spans="7:14" ht="11.25" customHeight="1" x14ac:dyDescent="0.3">
      <c r="G5610" s="470"/>
      <c r="H5610" s="470">
        <v>5603</v>
      </c>
      <c r="I5610" s="455">
        <f t="shared" ca="1" si="208"/>
        <v>5238392477145704</v>
      </c>
      <c r="J5610" s="455">
        <f t="array" ref="J5610">IFERROR(INDEX('Retirement Calculator'!J:J,MATCH('Isaac 401k'!N5610,'Retirement Calculator'!A:A,0),0),0)</f>
        <v>0</v>
      </c>
      <c r="K5610" s="455">
        <f t="shared" ca="1" si="206"/>
        <v>21826635321440.434</v>
      </c>
      <c r="L5610" s="455">
        <f t="shared" ca="1" si="207"/>
        <v>5260219112467144</v>
      </c>
      <c r="M5610" s="471">
        <f t="shared" si="209"/>
        <v>0.05</v>
      </c>
      <c r="N5610" s="475">
        <f t="shared" si="210"/>
        <v>221794</v>
      </c>
    </row>
    <row r="5611" spans="7:14" ht="11.25" customHeight="1" x14ac:dyDescent="0.3">
      <c r="G5611" s="470"/>
      <c r="H5611" s="470">
        <v>5604</v>
      </c>
      <c r="I5611" s="455">
        <f t="shared" ca="1" si="208"/>
        <v>5260219112467144</v>
      </c>
      <c r="J5611" s="455">
        <f t="array" ref="J5611">IFERROR(INDEX('Retirement Calculator'!J:J,MATCH('Isaac 401k'!N5611,'Retirement Calculator'!A:A,0),0),0)</f>
        <v>0</v>
      </c>
      <c r="K5611" s="455">
        <f t="shared" ca="1" si="206"/>
        <v>21917579635279.766</v>
      </c>
      <c r="L5611" s="455">
        <f t="shared" ca="1" si="207"/>
        <v>5282136692102424</v>
      </c>
      <c r="M5611" s="471">
        <f t="shared" si="209"/>
        <v>0.05</v>
      </c>
      <c r="N5611" s="475">
        <f t="shared" si="210"/>
        <v>221824</v>
      </c>
    </row>
    <row r="5612" spans="7:14" ht="11.25" customHeight="1" x14ac:dyDescent="0.3">
      <c r="G5612" s="470"/>
      <c r="H5612" s="470">
        <v>5605</v>
      </c>
      <c r="I5612" s="455">
        <f t="shared" ca="1" si="208"/>
        <v>5282136692102424</v>
      </c>
      <c r="J5612" s="455">
        <f t="array" ref="J5612">IFERROR(INDEX('Retirement Calculator'!J:J,MATCH('Isaac 401k'!N5612,'Retirement Calculator'!A:A,0),0),0)</f>
        <v>0</v>
      </c>
      <c r="K5612" s="455">
        <f t="shared" ca="1" si="206"/>
        <v>22008902883760.102</v>
      </c>
      <c r="L5612" s="455">
        <f t="shared" ca="1" si="207"/>
        <v>5304145594986184</v>
      </c>
      <c r="M5612" s="471">
        <f t="shared" si="209"/>
        <v>0.05</v>
      </c>
      <c r="N5612" s="475">
        <f t="shared" si="210"/>
        <v>221855</v>
      </c>
    </row>
    <row r="5613" spans="7:14" ht="11.25" customHeight="1" x14ac:dyDescent="0.3">
      <c r="G5613" s="470"/>
      <c r="H5613" s="470">
        <v>5606</v>
      </c>
      <c r="I5613" s="455">
        <f t="shared" ca="1" si="208"/>
        <v>5304145594986184</v>
      </c>
      <c r="J5613" s="455">
        <f t="array" ref="J5613">IFERROR(INDEX('Retirement Calculator'!J:J,MATCH('Isaac 401k'!N5613,'Retirement Calculator'!A:A,0),0),0)</f>
        <v>0</v>
      </c>
      <c r="K5613" s="455">
        <f t="shared" ca="1" si="206"/>
        <v>22100606645775.766</v>
      </c>
      <c r="L5613" s="455">
        <f t="shared" ca="1" si="207"/>
        <v>5326246201631960</v>
      </c>
      <c r="M5613" s="471">
        <f t="shared" si="209"/>
        <v>0.05</v>
      </c>
      <c r="N5613" s="475">
        <f t="shared" si="210"/>
        <v>221885</v>
      </c>
    </row>
    <row r="5614" spans="7:14" ht="11.25" customHeight="1" x14ac:dyDescent="0.3">
      <c r="G5614" s="470"/>
      <c r="H5614" s="470">
        <v>5607</v>
      </c>
      <c r="I5614" s="455">
        <f t="shared" ca="1" si="208"/>
        <v>5326246201631960</v>
      </c>
      <c r="J5614" s="455">
        <f t="array" ref="J5614">IFERROR(INDEX('Retirement Calculator'!J:J,MATCH('Isaac 401k'!N5614,'Retirement Calculator'!A:A,0),0),0)</f>
        <v>0</v>
      </c>
      <c r="K5614" s="455">
        <f t="shared" ca="1" si="206"/>
        <v>22192692506799.832</v>
      </c>
      <c r="L5614" s="455">
        <f t="shared" ca="1" si="207"/>
        <v>5348438894138760</v>
      </c>
      <c r="M5614" s="471">
        <f t="shared" si="209"/>
        <v>0.05</v>
      </c>
      <c r="N5614" s="475">
        <f t="shared" si="210"/>
        <v>221916</v>
      </c>
    </row>
    <row r="5615" spans="7:14" ht="11.25" customHeight="1" x14ac:dyDescent="0.3">
      <c r="G5615" s="470"/>
      <c r="H5615" s="470">
        <v>5608</v>
      </c>
      <c r="I5615" s="455">
        <f t="shared" ca="1" si="208"/>
        <v>5348438894138760</v>
      </c>
      <c r="J5615" s="455">
        <f t="array" ref="J5615">IFERROR(INDEX('Retirement Calculator'!J:J,MATCH('Isaac 401k'!N5615,'Retirement Calculator'!A:A,0),0),0)</f>
        <v>0</v>
      </c>
      <c r="K5615" s="455">
        <f t="shared" ca="1" si="206"/>
        <v>22285162058911.5</v>
      </c>
      <c r="L5615" s="455">
        <f t="shared" ca="1" si="207"/>
        <v>5370724056197672</v>
      </c>
      <c r="M5615" s="471">
        <f t="shared" si="209"/>
        <v>0.05</v>
      </c>
      <c r="N5615" s="475">
        <f t="shared" si="210"/>
        <v>221947</v>
      </c>
    </row>
    <row r="5616" spans="7:14" ht="11.25" customHeight="1" x14ac:dyDescent="0.3">
      <c r="G5616" s="470"/>
      <c r="H5616" s="470">
        <v>5609</v>
      </c>
      <c r="I5616" s="455">
        <f t="shared" ca="1" si="208"/>
        <v>5370724056197672</v>
      </c>
      <c r="J5616" s="455">
        <f t="array" ref="J5616">IFERROR(INDEX('Retirement Calculator'!J:J,MATCH('Isaac 401k'!N5616,'Retirement Calculator'!A:A,0),0),0)</f>
        <v>0</v>
      </c>
      <c r="K5616" s="455">
        <f t="shared" ca="1" si="206"/>
        <v>22378016900823.633</v>
      </c>
      <c r="L5616" s="455">
        <f t="shared" ca="1" si="207"/>
        <v>5393102073098496</v>
      </c>
      <c r="M5616" s="471">
        <f t="shared" si="209"/>
        <v>0.05</v>
      </c>
      <c r="N5616" s="475">
        <f t="shared" si="210"/>
        <v>221977</v>
      </c>
    </row>
    <row r="5617" spans="7:14" ht="11.25" customHeight="1" x14ac:dyDescent="0.3">
      <c r="G5617" s="470"/>
      <c r="H5617" s="470">
        <v>5610</v>
      </c>
      <c r="I5617" s="455">
        <f t="shared" ca="1" si="208"/>
        <v>5393102073098496</v>
      </c>
      <c r="J5617" s="455">
        <f t="array" ref="J5617">IFERROR(INDEX('Retirement Calculator'!J:J,MATCH('Isaac 401k'!N5617,'Retirement Calculator'!A:A,0),0),0)</f>
        <v>0</v>
      </c>
      <c r="K5617" s="455">
        <f t="shared" ca="1" si="206"/>
        <v>22471258637910.398</v>
      </c>
      <c r="L5617" s="455">
        <f t="shared" ca="1" si="207"/>
        <v>5415573331736406</v>
      </c>
      <c r="M5617" s="471">
        <f t="shared" si="209"/>
        <v>0.05</v>
      </c>
      <c r="N5617" s="475">
        <f t="shared" si="210"/>
        <v>222008</v>
      </c>
    </row>
    <row r="5618" spans="7:14" ht="11.25" customHeight="1" x14ac:dyDescent="0.3">
      <c r="G5618" s="470"/>
      <c r="H5618" s="470">
        <v>5611</v>
      </c>
      <c r="I5618" s="455">
        <f t="shared" ca="1" si="208"/>
        <v>5415573331736406</v>
      </c>
      <c r="J5618" s="455">
        <f t="array" ref="J5618">IFERROR(INDEX('Retirement Calculator'!J:J,MATCH('Isaac 401k'!N5618,'Retirement Calculator'!A:A,0),0),0)</f>
        <v>0</v>
      </c>
      <c r="K5618" s="455">
        <f t="shared" ref="K5618:K5872" ca="1" si="211">IPMT(M5618/12,1,12,-I5618+J5618,,0)</f>
        <v>22564888882235.023</v>
      </c>
      <c r="L5618" s="455">
        <f t="shared" ref="L5618:L5872" ca="1" si="212">I5618-J5618+K5618</f>
        <v>5438138220618641</v>
      </c>
      <c r="M5618" s="471">
        <f t="shared" si="209"/>
        <v>0.05</v>
      </c>
      <c r="N5618" s="475">
        <f t="shared" si="210"/>
        <v>222038</v>
      </c>
    </row>
    <row r="5619" spans="7:14" ht="11.25" customHeight="1" x14ac:dyDescent="0.3">
      <c r="G5619" s="470"/>
      <c r="H5619" s="470">
        <v>5612</v>
      </c>
      <c r="I5619" s="455">
        <f t="shared" ref="I5619:I5873" ca="1" si="213">L5618</f>
        <v>5438138220618641</v>
      </c>
      <c r="J5619" s="455">
        <f t="array" ref="J5619">IFERROR(INDEX('Retirement Calculator'!J:J,MATCH('Isaac 401k'!N5619,'Retirement Calculator'!A:A,0),0),0)</f>
        <v>0</v>
      </c>
      <c r="K5619" s="455">
        <f t="shared" ca="1" si="211"/>
        <v>22658909252577.672</v>
      </c>
      <c r="L5619" s="455">
        <f t="shared" ca="1" si="212"/>
        <v>5460797129871219</v>
      </c>
      <c r="M5619" s="471">
        <f t="shared" ref="M5619:M5873" si="214">M5618</f>
        <v>0.05</v>
      </c>
      <c r="N5619" s="475">
        <f t="shared" ref="N5619:N5873" si="215">EDATE(N5618,1)</f>
        <v>222069</v>
      </c>
    </row>
    <row r="5620" spans="7:14" ht="11.25" customHeight="1" x14ac:dyDescent="0.3">
      <c r="G5620" s="470"/>
      <c r="H5620" s="470">
        <v>5613</v>
      </c>
      <c r="I5620" s="455">
        <f t="shared" ca="1" si="213"/>
        <v>5460797129871219</v>
      </c>
      <c r="J5620" s="455">
        <f t="array" ref="J5620">IFERROR(INDEX('Retirement Calculator'!J:J,MATCH('Isaac 401k'!N5620,'Retirement Calculator'!A:A,0),0),0)</f>
        <v>0</v>
      </c>
      <c r="K5620" s="455">
        <f t="shared" ca="1" si="211"/>
        <v>22753321374463.414</v>
      </c>
      <c r="L5620" s="455">
        <f t="shared" ca="1" si="212"/>
        <v>5483550451245682</v>
      </c>
      <c r="M5620" s="471">
        <f t="shared" si="214"/>
        <v>0.05</v>
      </c>
      <c r="N5620" s="475">
        <f t="shared" si="215"/>
        <v>222100</v>
      </c>
    </row>
    <row r="5621" spans="7:14" ht="11.25" customHeight="1" x14ac:dyDescent="0.3">
      <c r="G5621" s="470"/>
      <c r="H5621" s="470">
        <v>5614</v>
      </c>
      <c r="I5621" s="455">
        <f t="shared" ca="1" si="213"/>
        <v>5483550451245682</v>
      </c>
      <c r="J5621" s="455">
        <f t="array" ref="J5621">IFERROR(INDEX('Retirement Calculator'!J:J,MATCH('Isaac 401k'!N5621,'Retirement Calculator'!A:A,0),0),0)</f>
        <v>0</v>
      </c>
      <c r="K5621" s="455">
        <f t="shared" ca="1" si="211"/>
        <v>22848126880190.34</v>
      </c>
      <c r="L5621" s="455">
        <f t="shared" ca="1" si="212"/>
        <v>5506398578125872</v>
      </c>
      <c r="M5621" s="471">
        <f t="shared" si="214"/>
        <v>0.05</v>
      </c>
      <c r="N5621" s="475">
        <f t="shared" si="215"/>
        <v>222129</v>
      </c>
    </row>
    <row r="5622" spans="7:14" ht="11.25" customHeight="1" x14ac:dyDescent="0.3">
      <c r="G5622" s="470"/>
      <c r="H5622" s="470">
        <v>5615</v>
      </c>
      <c r="I5622" s="455">
        <f t="shared" ca="1" si="213"/>
        <v>5506398578125872</v>
      </c>
      <c r="J5622" s="455">
        <f t="array" ref="J5622">IFERROR(INDEX('Retirement Calculator'!J:J,MATCH('Isaac 401k'!N5622,'Retirement Calculator'!A:A,0),0),0)</f>
        <v>0</v>
      </c>
      <c r="K5622" s="455">
        <f t="shared" ca="1" si="211"/>
        <v>22943327408857.801</v>
      </c>
      <c r="L5622" s="455">
        <f t="shared" ca="1" si="212"/>
        <v>5529341905534730</v>
      </c>
      <c r="M5622" s="471">
        <f t="shared" si="214"/>
        <v>0.05</v>
      </c>
      <c r="N5622" s="475">
        <f t="shared" si="215"/>
        <v>222160</v>
      </c>
    </row>
    <row r="5623" spans="7:14" ht="11.25" customHeight="1" x14ac:dyDescent="0.3">
      <c r="G5623" s="470"/>
      <c r="H5623" s="470">
        <v>5616</v>
      </c>
      <c r="I5623" s="455">
        <f t="shared" ca="1" si="213"/>
        <v>5529341905534730</v>
      </c>
      <c r="J5623" s="455">
        <f t="array" ref="J5623">IFERROR(INDEX('Retirement Calculator'!J:J,MATCH('Isaac 401k'!N5623,'Retirement Calculator'!A:A,0),0),0)</f>
        <v>0</v>
      </c>
      <c r="K5623" s="455">
        <f t="shared" ca="1" si="211"/>
        <v>23038924606394.707</v>
      </c>
      <c r="L5623" s="455">
        <f t="shared" ca="1" si="212"/>
        <v>5552380830141125</v>
      </c>
      <c r="M5623" s="471">
        <f t="shared" si="214"/>
        <v>0.05</v>
      </c>
      <c r="N5623" s="475">
        <f t="shared" si="215"/>
        <v>222190</v>
      </c>
    </row>
    <row r="5624" spans="7:14" ht="11.25" customHeight="1" x14ac:dyDescent="0.3">
      <c r="G5624" s="470"/>
      <c r="H5624" s="470">
        <v>5617</v>
      </c>
      <c r="I5624" s="455">
        <f t="shared" ca="1" si="213"/>
        <v>5552380830141125</v>
      </c>
      <c r="J5624" s="455">
        <f t="array" ref="J5624">IFERROR(INDEX('Retirement Calculator'!J:J,MATCH('Isaac 401k'!N5624,'Retirement Calculator'!A:A,0),0),0)</f>
        <v>0</v>
      </c>
      <c r="K5624" s="455">
        <f t="shared" ca="1" si="211"/>
        <v>23134920125588.02</v>
      </c>
      <c r="L5624" s="455">
        <f t="shared" ca="1" si="212"/>
        <v>5575515750266713</v>
      </c>
      <c r="M5624" s="471">
        <f t="shared" si="214"/>
        <v>0.05</v>
      </c>
      <c r="N5624" s="475">
        <f t="shared" si="215"/>
        <v>222221</v>
      </c>
    </row>
    <row r="5625" spans="7:14" ht="11.25" customHeight="1" x14ac:dyDescent="0.3">
      <c r="G5625" s="470"/>
      <c r="H5625" s="470">
        <v>5618</v>
      </c>
      <c r="I5625" s="455">
        <f t="shared" ca="1" si="213"/>
        <v>5575515750266713</v>
      </c>
      <c r="J5625" s="455">
        <f t="array" ref="J5625">IFERROR(INDEX('Retirement Calculator'!J:J,MATCH('Isaac 401k'!N5625,'Retirement Calculator'!A:A,0),0),0)</f>
        <v>0</v>
      </c>
      <c r="K5625" s="455">
        <f t="shared" ca="1" si="211"/>
        <v>23231315626111.305</v>
      </c>
      <c r="L5625" s="455">
        <f t="shared" ca="1" si="212"/>
        <v>5598747065892824</v>
      </c>
      <c r="M5625" s="471">
        <f t="shared" si="214"/>
        <v>0.05</v>
      </c>
      <c r="N5625" s="475">
        <f t="shared" si="215"/>
        <v>222251</v>
      </c>
    </row>
    <row r="5626" spans="7:14" ht="11.25" customHeight="1" x14ac:dyDescent="0.3">
      <c r="G5626" s="470"/>
      <c r="H5626" s="470">
        <v>5619</v>
      </c>
      <c r="I5626" s="455">
        <f t="shared" ca="1" si="213"/>
        <v>5598747065892824</v>
      </c>
      <c r="J5626" s="455">
        <f t="array" ref="J5626">IFERROR(INDEX('Retirement Calculator'!J:J,MATCH('Isaac 401k'!N5626,'Retirement Calculator'!A:A,0),0),0)</f>
        <v>0</v>
      </c>
      <c r="K5626" s="455">
        <f t="shared" ca="1" si="211"/>
        <v>23328112774553.434</v>
      </c>
      <c r="L5626" s="455">
        <f t="shared" ca="1" si="212"/>
        <v>5622075178667377</v>
      </c>
      <c r="M5626" s="471">
        <f t="shared" si="214"/>
        <v>0.05</v>
      </c>
      <c r="N5626" s="475">
        <f t="shared" si="215"/>
        <v>222282</v>
      </c>
    </row>
    <row r="5627" spans="7:14" ht="11.25" customHeight="1" x14ac:dyDescent="0.3">
      <c r="G5627" s="470"/>
      <c r="H5627" s="470">
        <v>5620</v>
      </c>
      <c r="I5627" s="455">
        <f t="shared" ca="1" si="213"/>
        <v>5622075178667377</v>
      </c>
      <c r="J5627" s="455">
        <f t="array" ref="J5627">IFERROR(INDEX('Retirement Calculator'!J:J,MATCH('Isaac 401k'!N5627,'Retirement Calculator'!A:A,0),0),0)</f>
        <v>0</v>
      </c>
      <c r="K5627" s="455">
        <f t="shared" ca="1" si="211"/>
        <v>23425313244447.402</v>
      </c>
      <c r="L5627" s="455">
        <f t="shared" ca="1" si="212"/>
        <v>5645500491911824</v>
      </c>
      <c r="M5627" s="471">
        <f t="shared" si="214"/>
        <v>0.05</v>
      </c>
      <c r="N5627" s="475">
        <f t="shared" si="215"/>
        <v>222313</v>
      </c>
    </row>
    <row r="5628" spans="7:14" ht="11.25" customHeight="1" x14ac:dyDescent="0.3">
      <c r="G5628" s="470"/>
      <c r="H5628" s="470">
        <v>5621</v>
      </c>
      <c r="I5628" s="455">
        <f t="shared" ca="1" si="213"/>
        <v>5645500491911824</v>
      </c>
      <c r="J5628" s="455">
        <f t="array" ref="J5628">IFERROR(INDEX('Retirement Calculator'!J:J,MATCH('Isaac 401k'!N5628,'Retirement Calculator'!A:A,0),0),0)</f>
        <v>0</v>
      </c>
      <c r="K5628" s="455">
        <f t="shared" ca="1" si="211"/>
        <v>23522918716299.266</v>
      </c>
      <c r="L5628" s="455">
        <f t="shared" ca="1" si="212"/>
        <v>5669023410628123</v>
      </c>
      <c r="M5628" s="471">
        <f t="shared" si="214"/>
        <v>0.05</v>
      </c>
      <c r="N5628" s="475">
        <f t="shared" si="215"/>
        <v>222343</v>
      </c>
    </row>
    <row r="5629" spans="7:14" ht="11.25" customHeight="1" x14ac:dyDescent="0.3">
      <c r="G5629" s="470"/>
      <c r="H5629" s="470">
        <v>5622</v>
      </c>
      <c r="I5629" s="455">
        <f t="shared" ca="1" si="213"/>
        <v>5669023410628123</v>
      </c>
      <c r="J5629" s="455">
        <f t="array" ref="J5629">IFERROR(INDEX('Retirement Calculator'!J:J,MATCH('Isaac 401k'!N5629,'Retirement Calculator'!A:A,0),0),0)</f>
        <v>0</v>
      </c>
      <c r="K5629" s="455">
        <f t="shared" ca="1" si="211"/>
        <v>23620930877617.18</v>
      </c>
      <c r="L5629" s="455">
        <f t="shared" ca="1" si="212"/>
        <v>5692644341505740</v>
      </c>
      <c r="M5629" s="471">
        <f t="shared" si="214"/>
        <v>0.05</v>
      </c>
      <c r="N5629" s="475">
        <f t="shared" si="215"/>
        <v>222374</v>
      </c>
    </row>
    <row r="5630" spans="7:14" ht="11.25" customHeight="1" x14ac:dyDescent="0.3">
      <c r="G5630" s="470"/>
      <c r="H5630" s="470">
        <v>5623</v>
      </c>
      <c r="I5630" s="455">
        <f t="shared" ca="1" si="213"/>
        <v>5692644341505740</v>
      </c>
      <c r="J5630" s="455">
        <f t="array" ref="J5630">IFERROR(INDEX('Retirement Calculator'!J:J,MATCH('Isaac 401k'!N5630,'Retirement Calculator'!A:A,0),0),0)</f>
        <v>0</v>
      </c>
      <c r="K5630" s="455">
        <f t="shared" ca="1" si="211"/>
        <v>23719351422940.582</v>
      </c>
      <c r="L5630" s="455">
        <f t="shared" ca="1" si="212"/>
        <v>5716363692928681</v>
      </c>
      <c r="M5630" s="471">
        <f t="shared" si="214"/>
        <v>0.05</v>
      </c>
      <c r="N5630" s="475">
        <f t="shared" si="215"/>
        <v>222404</v>
      </c>
    </row>
    <row r="5631" spans="7:14" ht="11.25" customHeight="1" x14ac:dyDescent="0.3">
      <c r="G5631" s="470"/>
      <c r="H5631" s="470">
        <v>5624</v>
      </c>
      <c r="I5631" s="455">
        <f t="shared" ca="1" si="213"/>
        <v>5716363692928681</v>
      </c>
      <c r="J5631" s="455">
        <f t="array" ref="J5631">IFERROR(INDEX('Retirement Calculator'!J:J,MATCH('Isaac 401k'!N5631,'Retirement Calculator'!A:A,0),0),0)</f>
        <v>0</v>
      </c>
      <c r="K5631" s="455">
        <f t="shared" ca="1" si="211"/>
        <v>23818182053869.504</v>
      </c>
      <c r="L5631" s="455">
        <f t="shared" ca="1" si="212"/>
        <v>5740181874982551</v>
      </c>
      <c r="M5631" s="471">
        <f t="shared" si="214"/>
        <v>0.05</v>
      </c>
      <c r="N5631" s="475">
        <f t="shared" si="215"/>
        <v>222435</v>
      </c>
    </row>
    <row r="5632" spans="7:14" ht="11.25" customHeight="1" x14ac:dyDescent="0.3">
      <c r="G5632" s="470"/>
      <c r="H5632" s="470">
        <v>5625</v>
      </c>
      <c r="I5632" s="455">
        <f t="shared" ca="1" si="213"/>
        <v>5740181874982551</v>
      </c>
      <c r="J5632" s="455">
        <f t="array" ref="J5632">IFERROR(INDEX('Retirement Calculator'!J:J,MATCH('Isaac 401k'!N5632,'Retirement Calculator'!A:A,0),0),0)</f>
        <v>0</v>
      </c>
      <c r="K5632" s="455">
        <f t="shared" ca="1" si="211"/>
        <v>23917424479093.961</v>
      </c>
      <c r="L5632" s="455">
        <f t="shared" ca="1" si="212"/>
        <v>5764099299461645</v>
      </c>
      <c r="M5632" s="471">
        <f t="shared" si="214"/>
        <v>0.05</v>
      </c>
      <c r="N5632" s="475">
        <f t="shared" si="215"/>
        <v>222466</v>
      </c>
    </row>
    <row r="5633" spans="7:14" ht="11.25" customHeight="1" x14ac:dyDescent="0.3">
      <c r="G5633" s="470"/>
      <c r="H5633" s="470">
        <v>5626</v>
      </c>
      <c r="I5633" s="455">
        <f t="shared" ca="1" si="213"/>
        <v>5764099299461645</v>
      </c>
      <c r="J5633" s="455">
        <f t="array" ref="J5633">IFERROR(INDEX('Retirement Calculator'!J:J,MATCH('Isaac 401k'!N5633,'Retirement Calculator'!A:A,0),0),0)</f>
        <v>0</v>
      </c>
      <c r="K5633" s="455">
        <f t="shared" ca="1" si="211"/>
        <v>24017080414423.52</v>
      </c>
      <c r="L5633" s="455">
        <f t="shared" ca="1" si="212"/>
        <v>5788116379876069</v>
      </c>
      <c r="M5633" s="471">
        <f t="shared" si="214"/>
        <v>0.05</v>
      </c>
      <c r="N5633" s="475">
        <f t="shared" si="215"/>
        <v>222494</v>
      </c>
    </row>
    <row r="5634" spans="7:14" ht="11.25" customHeight="1" x14ac:dyDescent="0.3">
      <c r="G5634" s="470"/>
      <c r="H5634" s="470">
        <v>5627</v>
      </c>
      <c r="I5634" s="455">
        <f t="shared" ca="1" si="213"/>
        <v>5788116379876069</v>
      </c>
      <c r="J5634" s="455">
        <f t="array" ref="J5634">IFERROR(INDEX('Retirement Calculator'!J:J,MATCH('Isaac 401k'!N5634,'Retirement Calculator'!A:A,0),0),0)</f>
        <v>0</v>
      </c>
      <c r="K5634" s="455">
        <f t="shared" ca="1" si="211"/>
        <v>24117151582816.953</v>
      </c>
      <c r="L5634" s="455">
        <f t="shared" ca="1" si="212"/>
        <v>5812233531458886</v>
      </c>
      <c r="M5634" s="471">
        <f t="shared" si="214"/>
        <v>0.05</v>
      </c>
      <c r="N5634" s="475">
        <f t="shared" si="215"/>
        <v>222525</v>
      </c>
    </row>
    <row r="5635" spans="7:14" ht="11.25" customHeight="1" x14ac:dyDescent="0.3">
      <c r="G5635" s="470"/>
      <c r="H5635" s="470">
        <v>5628</v>
      </c>
      <c r="I5635" s="455">
        <f t="shared" ca="1" si="213"/>
        <v>5812233531458886</v>
      </c>
      <c r="J5635" s="455">
        <f t="array" ref="J5635">IFERROR(INDEX('Retirement Calculator'!J:J,MATCH('Isaac 401k'!N5635,'Retirement Calculator'!A:A,0),0),0)</f>
        <v>0</v>
      </c>
      <c r="K5635" s="455">
        <f t="shared" ca="1" si="211"/>
        <v>24217639714412.023</v>
      </c>
      <c r="L5635" s="455">
        <f t="shared" ca="1" si="212"/>
        <v>5836451171173298</v>
      </c>
      <c r="M5635" s="471">
        <f t="shared" si="214"/>
        <v>0.05</v>
      </c>
      <c r="N5635" s="475">
        <f t="shared" si="215"/>
        <v>222555</v>
      </c>
    </row>
    <row r="5636" spans="7:14" ht="11.25" customHeight="1" x14ac:dyDescent="0.3">
      <c r="G5636" s="470"/>
      <c r="H5636" s="470">
        <v>5629</v>
      </c>
      <c r="I5636" s="455">
        <f t="shared" ca="1" si="213"/>
        <v>5836451171173298</v>
      </c>
      <c r="J5636" s="455">
        <f t="array" ref="J5636">IFERROR(INDEX('Retirement Calculator'!J:J,MATCH('Isaac 401k'!N5636,'Retirement Calculator'!A:A,0),0),0)</f>
        <v>0</v>
      </c>
      <c r="K5636" s="455">
        <f t="shared" ca="1" si="211"/>
        <v>24318546546555.406</v>
      </c>
      <c r="L5636" s="455">
        <f t="shared" ca="1" si="212"/>
        <v>5860769717719853</v>
      </c>
      <c r="M5636" s="471">
        <f t="shared" si="214"/>
        <v>0.05</v>
      </c>
      <c r="N5636" s="475">
        <f t="shared" si="215"/>
        <v>222586</v>
      </c>
    </row>
    <row r="5637" spans="7:14" ht="11.25" customHeight="1" x14ac:dyDescent="0.3">
      <c r="G5637" s="470"/>
      <c r="H5637" s="470">
        <v>5630</v>
      </c>
      <c r="I5637" s="455">
        <f t="shared" ca="1" si="213"/>
        <v>5860769717719853</v>
      </c>
      <c r="J5637" s="455">
        <f t="array" ref="J5637">IFERROR(INDEX('Retirement Calculator'!J:J,MATCH('Isaac 401k'!N5637,'Retirement Calculator'!A:A,0),0),0)</f>
        <v>0</v>
      </c>
      <c r="K5637" s="455">
        <f t="shared" ca="1" si="211"/>
        <v>24419873823832.719</v>
      </c>
      <c r="L5637" s="455">
        <f t="shared" ca="1" si="212"/>
        <v>5885189591543686</v>
      </c>
      <c r="M5637" s="471">
        <f t="shared" si="214"/>
        <v>0.05</v>
      </c>
      <c r="N5637" s="475">
        <f t="shared" si="215"/>
        <v>222616</v>
      </c>
    </row>
    <row r="5638" spans="7:14" ht="11.25" customHeight="1" x14ac:dyDescent="0.3">
      <c r="G5638" s="470"/>
      <c r="H5638" s="470">
        <v>5631</v>
      </c>
      <c r="I5638" s="455">
        <f t="shared" ca="1" si="213"/>
        <v>5885189591543686</v>
      </c>
      <c r="J5638" s="455">
        <f t="array" ref="J5638">IFERROR(INDEX('Retirement Calculator'!J:J,MATCH('Isaac 401k'!N5638,'Retirement Calculator'!A:A,0),0),0)</f>
        <v>0</v>
      </c>
      <c r="K5638" s="455">
        <f t="shared" ca="1" si="211"/>
        <v>24521623298098.691</v>
      </c>
      <c r="L5638" s="455">
        <f t="shared" ca="1" si="212"/>
        <v>5909711214841785</v>
      </c>
      <c r="M5638" s="471">
        <f t="shared" si="214"/>
        <v>0.05</v>
      </c>
      <c r="N5638" s="475">
        <f t="shared" si="215"/>
        <v>222647</v>
      </c>
    </row>
    <row r="5639" spans="7:14" ht="11.25" customHeight="1" x14ac:dyDescent="0.3">
      <c r="G5639" s="470"/>
      <c r="H5639" s="470">
        <v>5632</v>
      </c>
      <c r="I5639" s="455">
        <f t="shared" ca="1" si="213"/>
        <v>5909711214841785</v>
      </c>
      <c r="J5639" s="455">
        <f t="array" ref="J5639">IFERROR(INDEX('Retirement Calculator'!J:J,MATCH('Isaac 401k'!N5639,'Retirement Calculator'!A:A,0),0),0)</f>
        <v>0</v>
      </c>
      <c r="K5639" s="455">
        <f t="shared" ca="1" si="211"/>
        <v>24623796728507.438</v>
      </c>
      <c r="L5639" s="455">
        <f t="shared" ca="1" si="212"/>
        <v>5934335011570292</v>
      </c>
      <c r="M5639" s="471">
        <f t="shared" si="214"/>
        <v>0.05</v>
      </c>
      <c r="N5639" s="475">
        <f t="shared" si="215"/>
        <v>222678</v>
      </c>
    </row>
    <row r="5640" spans="7:14" ht="11.25" customHeight="1" x14ac:dyDescent="0.3">
      <c r="G5640" s="470"/>
      <c r="H5640" s="470">
        <v>5633</v>
      </c>
      <c r="I5640" s="455">
        <f t="shared" ca="1" si="213"/>
        <v>5934335011570292</v>
      </c>
      <c r="J5640" s="455">
        <f t="array" ref="J5640">IFERROR(INDEX('Retirement Calculator'!J:J,MATCH('Isaac 401k'!N5640,'Retirement Calculator'!A:A,0),0),0)</f>
        <v>0</v>
      </c>
      <c r="K5640" s="455">
        <f t="shared" ca="1" si="211"/>
        <v>24726395881542.883</v>
      </c>
      <c r="L5640" s="455">
        <f t="shared" ca="1" si="212"/>
        <v>5959061407451835</v>
      </c>
      <c r="M5640" s="471">
        <f t="shared" si="214"/>
        <v>0.05</v>
      </c>
      <c r="N5640" s="475">
        <f t="shared" si="215"/>
        <v>222708</v>
      </c>
    </row>
    <row r="5641" spans="7:14" ht="11.25" customHeight="1" x14ac:dyDescent="0.3">
      <c r="G5641" s="470"/>
      <c r="H5641" s="470">
        <v>5634</v>
      </c>
      <c r="I5641" s="455">
        <f t="shared" ca="1" si="213"/>
        <v>5959061407451835</v>
      </c>
      <c r="J5641" s="455">
        <f t="array" ref="J5641">IFERROR(INDEX('Retirement Calculator'!J:J,MATCH('Isaac 401k'!N5641,'Retirement Calculator'!A:A,0),0),0)</f>
        <v>0</v>
      </c>
      <c r="K5641" s="455">
        <f t="shared" ca="1" si="211"/>
        <v>24829422531049.313</v>
      </c>
      <c r="L5641" s="455">
        <f t="shared" ca="1" si="212"/>
        <v>5983890829982884</v>
      </c>
      <c r="M5641" s="471">
        <f t="shared" si="214"/>
        <v>0.05</v>
      </c>
      <c r="N5641" s="475">
        <f t="shared" si="215"/>
        <v>222739</v>
      </c>
    </row>
    <row r="5642" spans="7:14" ht="11.25" customHeight="1" x14ac:dyDescent="0.3">
      <c r="G5642" s="470"/>
      <c r="H5642" s="470">
        <v>5635</v>
      </c>
      <c r="I5642" s="455">
        <f t="shared" ca="1" si="213"/>
        <v>5983890829982884</v>
      </c>
      <c r="J5642" s="455">
        <f t="array" ref="J5642">IFERROR(INDEX('Retirement Calculator'!J:J,MATCH('Isaac 401k'!N5642,'Retirement Calculator'!A:A,0),0),0)</f>
        <v>0</v>
      </c>
      <c r="K5642" s="455">
        <f t="shared" ca="1" si="211"/>
        <v>24932878458262.016</v>
      </c>
      <c r="L5642" s="455">
        <f t="shared" ca="1" si="212"/>
        <v>6008823708441146</v>
      </c>
      <c r="M5642" s="471">
        <f t="shared" si="214"/>
        <v>0.05</v>
      </c>
      <c r="N5642" s="475">
        <f t="shared" si="215"/>
        <v>222769</v>
      </c>
    </row>
    <row r="5643" spans="7:14" ht="11.25" customHeight="1" x14ac:dyDescent="0.3">
      <c r="G5643" s="470"/>
      <c r="H5643" s="470">
        <v>5636</v>
      </c>
      <c r="I5643" s="455">
        <f t="shared" ca="1" si="213"/>
        <v>6008823708441146</v>
      </c>
      <c r="J5643" s="455">
        <f t="array" ref="J5643">IFERROR(INDEX('Retirement Calculator'!J:J,MATCH('Isaac 401k'!N5643,'Retirement Calculator'!A:A,0),0),0)</f>
        <v>0</v>
      </c>
      <c r="K5643" s="455">
        <f t="shared" ca="1" si="211"/>
        <v>25036765451838.109</v>
      </c>
      <c r="L5643" s="455">
        <f t="shared" ca="1" si="212"/>
        <v>6033860473892984</v>
      </c>
      <c r="M5643" s="471">
        <f t="shared" si="214"/>
        <v>0.05</v>
      </c>
      <c r="N5643" s="475">
        <f t="shared" si="215"/>
        <v>222800</v>
      </c>
    </row>
    <row r="5644" spans="7:14" ht="11.25" customHeight="1" x14ac:dyDescent="0.3">
      <c r="G5644" s="470"/>
      <c r="H5644" s="470">
        <v>5637</v>
      </c>
      <c r="I5644" s="455">
        <f t="shared" ca="1" si="213"/>
        <v>6033860473892984</v>
      </c>
      <c r="J5644" s="455">
        <f t="array" ref="J5644">IFERROR(INDEX('Retirement Calculator'!J:J,MATCH('Isaac 401k'!N5644,'Retirement Calculator'!A:A,0),0),0)</f>
        <v>0</v>
      </c>
      <c r="K5644" s="455">
        <f t="shared" ca="1" si="211"/>
        <v>25141085307887.434</v>
      </c>
      <c r="L5644" s="455">
        <f t="shared" ca="1" si="212"/>
        <v>6059001559200871</v>
      </c>
      <c r="M5644" s="471">
        <f t="shared" si="214"/>
        <v>0.05</v>
      </c>
      <c r="N5644" s="475">
        <f t="shared" si="215"/>
        <v>222831</v>
      </c>
    </row>
    <row r="5645" spans="7:14" ht="11.25" customHeight="1" x14ac:dyDescent="0.3">
      <c r="G5645" s="470"/>
      <c r="H5645" s="470">
        <v>5638</v>
      </c>
      <c r="I5645" s="455">
        <f t="shared" ca="1" si="213"/>
        <v>6059001559200871</v>
      </c>
      <c r="J5645" s="455">
        <f t="array" ref="J5645">IFERROR(INDEX('Retirement Calculator'!J:J,MATCH('Isaac 401k'!N5645,'Retirement Calculator'!A:A,0),0),0)</f>
        <v>0</v>
      </c>
      <c r="K5645" s="455">
        <f t="shared" ca="1" si="211"/>
        <v>25245839830003.629</v>
      </c>
      <c r="L5645" s="455">
        <f t="shared" ca="1" si="212"/>
        <v>6084247399030875</v>
      </c>
      <c r="M5645" s="471">
        <f t="shared" si="214"/>
        <v>0.05</v>
      </c>
      <c r="N5645" s="475">
        <f t="shared" si="215"/>
        <v>222859</v>
      </c>
    </row>
    <row r="5646" spans="7:14" ht="11.25" customHeight="1" x14ac:dyDescent="0.3">
      <c r="G5646" s="470"/>
      <c r="H5646" s="470">
        <v>5639</v>
      </c>
      <c r="I5646" s="455">
        <f t="shared" ca="1" si="213"/>
        <v>6084247399030875</v>
      </c>
      <c r="J5646" s="455">
        <f t="array" ref="J5646">IFERROR(INDEX('Retirement Calculator'!J:J,MATCH('Isaac 401k'!N5646,'Retirement Calculator'!A:A,0),0),0)</f>
        <v>0</v>
      </c>
      <c r="K5646" s="455">
        <f t="shared" ca="1" si="211"/>
        <v>25351030829295.313</v>
      </c>
      <c r="L5646" s="455">
        <f t="shared" ca="1" si="212"/>
        <v>6109598429860170</v>
      </c>
      <c r="M5646" s="471">
        <f t="shared" si="214"/>
        <v>0.05</v>
      </c>
      <c r="N5646" s="475">
        <f t="shared" si="215"/>
        <v>222890</v>
      </c>
    </row>
    <row r="5647" spans="7:14" ht="11.25" customHeight="1" x14ac:dyDescent="0.3">
      <c r="G5647" s="470"/>
      <c r="H5647" s="470">
        <v>5640</v>
      </c>
      <c r="I5647" s="455">
        <f t="shared" ca="1" si="213"/>
        <v>6109598429860170</v>
      </c>
      <c r="J5647" s="455">
        <f t="array" ref="J5647">IFERROR(INDEX('Retirement Calculator'!J:J,MATCH('Isaac 401k'!N5647,'Retirement Calculator'!A:A,0),0),0)</f>
        <v>0</v>
      </c>
      <c r="K5647" s="455">
        <f t="shared" ca="1" si="211"/>
        <v>25456660124417.375</v>
      </c>
      <c r="L5647" s="455">
        <f t="shared" ca="1" si="212"/>
        <v>6135055089984587</v>
      </c>
      <c r="M5647" s="471">
        <f t="shared" si="214"/>
        <v>0.05</v>
      </c>
      <c r="N5647" s="475">
        <f t="shared" si="215"/>
        <v>222920</v>
      </c>
    </row>
    <row r="5648" spans="7:14" ht="11.25" customHeight="1" x14ac:dyDescent="0.3">
      <c r="G5648" s="470"/>
      <c r="H5648" s="470">
        <v>5641</v>
      </c>
      <c r="I5648" s="455">
        <f t="shared" ca="1" si="213"/>
        <v>6135055089984587</v>
      </c>
      <c r="J5648" s="455">
        <f t="array" ref="J5648">IFERROR(INDEX('Retirement Calculator'!J:J,MATCH('Isaac 401k'!N5648,'Retirement Calculator'!A:A,0),0),0)</f>
        <v>0</v>
      </c>
      <c r="K5648" s="455">
        <f t="shared" ca="1" si="211"/>
        <v>25562729541602.445</v>
      </c>
      <c r="L5648" s="455">
        <f t="shared" ca="1" si="212"/>
        <v>6160617819526189</v>
      </c>
      <c r="M5648" s="471">
        <f t="shared" si="214"/>
        <v>0.05</v>
      </c>
      <c r="N5648" s="475">
        <f t="shared" si="215"/>
        <v>222951</v>
      </c>
    </row>
    <row r="5649" spans="7:14" ht="11.25" customHeight="1" x14ac:dyDescent="0.3">
      <c r="G5649" s="470"/>
      <c r="H5649" s="470">
        <v>5642</v>
      </c>
      <c r="I5649" s="455">
        <f t="shared" ca="1" si="213"/>
        <v>6160617819526189</v>
      </c>
      <c r="J5649" s="455">
        <f t="array" ref="J5649">IFERROR(INDEX('Retirement Calculator'!J:J,MATCH('Isaac 401k'!N5649,'Retirement Calculator'!A:A,0),0),0)</f>
        <v>0</v>
      </c>
      <c r="K5649" s="455">
        <f t="shared" ca="1" si="211"/>
        <v>25669240914692.453</v>
      </c>
      <c r="L5649" s="455">
        <f t="shared" ca="1" si="212"/>
        <v>6186287060440881</v>
      </c>
      <c r="M5649" s="471">
        <f t="shared" si="214"/>
        <v>0.05</v>
      </c>
      <c r="N5649" s="475">
        <f t="shared" si="215"/>
        <v>222981</v>
      </c>
    </row>
    <row r="5650" spans="7:14" ht="11.25" customHeight="1" x14ac:dyDescent="0.3">
      <c r="G5650" s="470"/>
      <c r="H5650" s="470">
        <v>5643</v>
      </c>
      <c r="I5650" s="455">
        <f t="shared" ca="1" si="213"/>
        <v>6186287060440881</v>
      </c>
      <c r="J5650" s="455">
        <f t="array" ref="J5650">IFERROR(INDEX('Retirement Calculator'!J:J,MATCH('Isaac 401k'!N5650,'Retirement Calculator'!A:A,0),0),0)</f>
        <v>0</v>
      </c>
      <c r="K5650" s="455">
        <f t="shared" ca="1" si="211"/>
        <v>25776196085170.336</v>
      </c>
      <c r="L5650" s="455">
        <f t="shared" ca="1" si="212"/>
        <v>6212063256526051</v>
      </c>
      <c r="M5650" s="471">
        <f t="shared" si="214"/>
        <v>0.05</v>
      </c>
      <c r="N5650" s="475">
        <f t="shared" si="215"/>
        <v>223012</v>
      </c>
    </row>
    <row r="5651" spans="7:14" ht="11.25" customHeight="1" x14ac:dyDescent="0.3">
      <c r="G5651" s="470"/>
      <c r="H5651" s="470">
        <v>5644</v>
      </c>
      <c r="I5651" s="455">
        <f t="shared" ca="1" si="213"/>
        <v>6212063256526051</v>
      </c>
      <c r="J5651" s="455">
        <f t="array" ref="J5651">IFERROR(INDEX('Retirement Calculator'!J:J,MATCH('Isaac 401k'!N5651,'Retirement Calculator'!A:A,0),0),0)</f>
        <v>0</v>
      </c>
      <c r="K5651" s="455">
        <f t="shared" ca="1" si="211"/>
        <v>25883596902191.879</v>
      </c>
      <c r="L5651" s="455">
        <f t="shared" ca="1" si="212"/>
        <v>6237946853428243</v>
      </c>
      <c r="M5651" s="471">
        <f t="shared" si="214"/>
        <v>0.05</v>
      </c>
      <c r="N5651" s="475">
        <f t="shared" si="215"/>
        <v>223043</v>
      </c>
    </row>
    <row r="5652" spans="7:14" ht="11.25" customHeight="1" x14ac:dyDescent="0.3">
      <c r="G5652" s="470"/>
      <c r="H5652" s="470">
        <v>5645</v>
      </c>
      <c r="I5652" s="455">
        <f t="shared" ca="1" si="213"/>
        <v>6237946853428243</v>
      </c>
      <c r="J5652" s="455">
        <f t="array" ref="J5652">IFERROR(INDEX('Retirement Calculator'!J:J,MATCH('Isaac 401k'!N5652,'Retirement Calculator'!A:A,0),0),0)</f>
        <v>0</v>
      </c>
      <c r="K5652" s="455">
        <f t="shared" ca="1" si="211"/>
        <v>25991445222617.68</v>
      </c>
      <c r="L5652" s="455">
        <f t="shared" ca="1" si="212"/>
        <v>6263938298650861</v>
      </c>
      <c r="M5652" s="471">
        <f t="shared" si="214"/>
        <v>0.05</v>
      </c>
      <c r="N5652" s="475">
        <f t="shared" si="215"/>
        <v>223073</v>
      </c>
    </row>
    <row r="5653" spans="7:14" ht="11.25" customHeight="1" x14ac:dyDescent="0.3">
      <c r="G5653" s="470"/>
      <c r="H5653" s="470">
        <v>5646</v>
      </c>
      <c r="I5653" s="455">
        <f t="shared" ca="1" si="213"/>
        <v>6263938298650861</v>
      </c>
      <c r="J5653" s="455">
        <f t="array" ref="J5653">IFERROR(INDEX('Retirement Calculator'!J:J,MATCH('Isaac 401k'!N5653,'Retirement Calculator'!A:A,0),0),0)</f>
        <v>0</v>
      </c>
      <c r="K5653" s="455">
        <f t="shared" ca="1" si="211"/>
        <v>26099742911045.254</v>
      </c>
      <c r="L5653" s="455">
        <f t="shared" ca="1" si="212"/>
        <v>6290038041561906</v>
      </c>
      <c r="M5653" s="471">
        <f t="shared" si="214"/>
        <v>0.05</v>
      </c>
      <c r="N5653" s="475">
        <f t="shared" si="215"/>
        <v>223104</v>
      </c>
    </row>
    <row r="5654" spans="7:14" ht="11.25" customHeight="1" x14ac:dyDescent="0.3">
      <c r="G5654" s="470"/>
      <c r="H5654" s="470">
        <v>5647</v>
      </c>
      <c r="I5654" s="455">
        <f t="shared" ca="1" si="213"/>
        <v>6290038041561906</v>
      </c>
      <c r="J5654" s="455">
        <f t="array" ref="J5654">IFERROR(INDEX('Retirement Calculator'!J:J,MATCH('Isaac 401k'!N5654,'Retirement Calculator'!A:A,0),0),0)</f>
        <v>0</v>
      </c>
      <c r="K5654" s="455">
        <f t="shared" ca="1" si="211"/>
        <v>26208491839841.273</v>
      </c>
      <c r="L5654" s="455">
        <f t="shared" ca="1" si="212"/>
        <v>6316246533401747</v>
      </c>
      <c r="M5654" s="471">
        <f t="shared" si="214"/>
        <v>0.05</v>
      </c>
      <c r="N5654" s="475">
        <f t="shared" si="215"/>
        <v>223134</v>
      </c>
    </row>
    <row r="5655" spans="7:14" ht="11.25" customHeight="1" x14ac:dyDescent="0.3">
      <c r="G5655" s="470"/>
      <c r="H5655" s="470">
        <v>5648</v>
      </c>
      <c r="I5655" s="455">
        <f t="shared" ca="1" si="213"/>
        <v>6316246533401747</v>
      </c>
      <c r="J5655" s="455">
        <f t="array" ref="J5655">IFERROR(INDEX('Retirement Calculator'!J:J,MATCH('Isaac 401k'!N5655,'Retirement Calculator'!A:A,0),0),0)</f>
        <v>0</v>
      </c>
      <c r="K5655" s="455">
        <f t="shared" ca="1" si="211"/>
        <v>26317693889173.945</v>
      </c>
      <c r="L5655" s="455">
        <f t="shared" ca="1" si="212"/>
        <v>6342564227290921</v>
      </c>
      <c r="M5655" s="471">
        <f t="shared" si="214"/>
        <v>0.05</v>
      </c>
      <c r="N5655" s="475">
        <f t="shared" si="215"/>
        <v>223165</v>
      </c>
    </row>
    <row r="5656" spans="7:14" ht="11.25" customHeight="1" x14ac:dyDescent="0.3">
      <c r="G5656" s="470"/>
      <c r="H5656" s="470">
        <v>5649</v>
      </c>
      <c r="I5656" s="455">
        <f t="shared" ca="1" si="213"/>
        <v>6342564227290921</v>
      </c>
      <c r="J5656" s="455">
        <f t="array" ref="J5656">IFERROR(INDEX('Retirement Calculator'!J:J,MATCH('Isaac 401k'!N5656,'Retirement Calculator'!A:A,0),0),0)</f>
        <v>0</v>
      </c>
      <c r="K5656" s="455">
        <f t="shared" ca="1" si="211"/>
        <v>26427350947045.504</v>
      </c>
      <c r="L5656" s="455">
        <f t="shared" ca="1" si="212"/>
        <v>6368991578237967</v>
      </c>
      <c r="M5656" s="471">
        <f t="shared" si="214"/>
        <v>0.05</v>
      </c>
      <c r="N5656" s="475">
        <f t="shared" si="215"/>
        <v>223196</v>
      </c>
    </row>
    <row r="5657" spans="7:14" ht="11.25" customHeight="1" x14ac:dyDescent="0.3">
      <c r="G5657" s="470"/>
      <c r="H5657" s="470">
        <v>5650</v>
      </c>
      <c r="I5657" s="455">
        <f t="shared" ca="1" si="213"/>
        <v>6368991578237967</v>
      </c>
      <c r="J5657" s="455">
        <f t="array" ref="J5657">IFERROR(INDEX('Retirement Calculator'!J:J,MATCH('Isaac 401k'!N5657,'Retirement Calculator'!A:A,0),0),0)</f>
        <v>0</v>
      </c>
      <c r="K5657" s="455">
        <f t="shared" ca="1" si="211"/>
        <v>26537464909324.863</v>
      </c>
      <c r="L5657" s="455">
        <f t="shared" ca="1" si="212"/>
        <v>6395529043147292</v>
      </c>
      <c r="M5657" s="471">
        <f t="shared" si="214"/>
        <v>0.05</v>
      </c>
      <c r="N5657" s="475">
        <f t="shared" si="215"/>
        <v>223224</v>
      </c>
    </row>
    <row r="5658" spans="7:14" ht="11.25" customHeight="1" x14ac:dyDescent="0.3">
      <c r="G5658" s="470"/>
      <c r="H5658" s="470">
        <v>5651</v>
      </c>
      <c r="I5658" s="455">
        <f t="shared" ca="1" si="213"/>
        <v>6395529043147292</v>
      </c>
      <c r="J5658" s="455">
        <f t="array" ref="J5658">IFERROR(INDEX('Retirement Calculator'!J:J,MATCH('Isaac 401k'!N5658,'Retirement Calculator'!A:A,0),0),0)</f>
        <v>0</v>
      </c>
      <c r="K5658" s="455">
        <f t="shared" ca="1" si="211"/>
        <v>26648037679780.383</v>
      </c>
      <c r="L5658" s="455">
        <f t="shared" ca="1" si="212"/>
        <v>6422177080827072</v>
      </c>
      <c r="M5658" s="471">
        <f t="shared" si="214"/>
        <v>0.05</v>
      </c>
      <c r="N5658" s="475">
        <f t="shared" si="215"/>
        <v>223255</v>
      </c>
    </row>
    <row r="5659" spans="7:14" ht="11.25" customHeight="1" x14ac:dyDescent="0.3">
      <c r="G5659" s="470"/>
      <c r="H5659" s="470">
        <v>5652</v>
      </c>
      <c r="I5659" s="455">
        <f t="shared" ca="1" si="213"/>
        <v>6422177080827072</v>
      </c>
      <c r="J5659" s="455">
        <f t="array" ref="J5659">IFERROR(INDEX('Retirement Calculator'!J:J,MATCH('Isaac 401k'!N5659,'Retirement Calculator'!A:A,0),0),0)</f>
        <v>0</v>
      </c>
      <c r="K5659" s="455">
        <f t="shared" ca="1" si="211"/>
        <v>26759071170112.801</v>
      </c>
      <c r="L5659" s="455">
        <f t="shared" ca="1" si="212"/>
        <v>6448936151997185</v>
      </c>
      <c r="M5659" s="471">
        <f t="shared" si="214"/>
        <v>0.05</v>
      </c>
      <c r="N5659" s="475">
        <f t="shared" si="215"/>
        <v>223285</v>
      </c>
    </row>
    <row r="5660" spans="7:14" ht="11.25" customHeight="1" x14ac:dyDescent="0.3">
      <c r="G5660" s="470"/>
      <c r="H5660" s="470">
        <v>5653</v>
      </c>
      <c r="I5660" s="455">
        <f t="shared" ca="1" si="213"/>
        <v>6448936151997185</v>
      </c>
      <c r="J5660" s="455">
        <f t="array" ref="J5660">IFERROR(INDEX('Retirement Calculator'!J:J,MATCH('Isaac 401k'!N5660,'Retirement Calculator'!A:A,0),0),0)</f>
        <v>0</v>
      </c>
      <c r="K5660" s="455">
        <f t="shared" ca="1" si="211"/>
        <v>26870567299988.27</v>
      </c>
      <c r="L5660" s="455">
        <f t="shared" ca="1" si="212"/>
        <v>6475806719297173</v>
      </c>
      <c r="M5660" s="471">
        <f t="shared" si="214"/>
        <v>0.05</v>
      </c>
      <c r="N5660" s="475">
        <f t="shared" si="215"/>
        <v>223316</v>
      </c>
    </row>
    <row r="5661" spans="7:14" ht="11.25" customHeight="1" x14ac:dyDescent="0.3">
      <c r="G5661" s="470"/>
      <c r="H5661" s="470">
        <v>5654</v>
      </c>
      <c r="I5661" s="455">
        <f t="shared" ca="1" si="213"/>
        <v>6475806719297173</v>
      </c>
      <c r="J5661" s="455">
        <f t="array" ref="J5661">IFERROR(INDEX('Retirement Calculator'!J:J,MATCH('Isaac 401k'!N5661,'Retirement Calculator'!A:A,0),0),0)</f>
        <v>0</v>
      </c>
      <c r="K5661" s="455">
        <f t="shared" ca="1" si="211"/>
        <v>26982527997071.555</v>
      </c>
      <c r="L5661" s="455">
        <f t="shared" ca="1" si="212"/>
        <v>6502789247294245</v>
      </c>
      <c r="M5661" s="471">
        <f t="shared" si="214"/>
        <v>0.05</v>
      </c>
      <c r="N5661" s="475">
        <f t="shared" si="215"/>
        <v>223346</v>
      </c>
    </row>
    <row r="5662" spans="7:14" ht="11.25" customHeight="1" x14ac:dyDescent="0.3">
      <c r="G5662" s="470"/>
      <c r="H5662" s="470">
        <v>5655</v>
      </c>
      <c r="I5662" s="455">
        <f t="shared" ca="1" si="213"/>
        <v>6502789247294245</v>
      </c>
      <c r="J5662" s="455">
        <f t="array" ref="J5662">IFERROR(INDEX('Retirement Calculator'!J:J,MATCH('Isaac 401k'!N5662,'Retirement Calculator'!A:A,0),0),0)</f>
        <v>0</v>
      </c>
      <c r="K5662" s="455">
        <f t="shared" ca="1" si="211"/>
        <v>27094955197059.355</v>
      </c>
      <c r="L5662" s="455">
        <f t="shared" ca="1" si="212"/>
        <v>6529884202491304</v>
      </c>
      <c r="M5662" s="471">
        <f t="shared" si="214"/>
        <v>0.05</v>
      </c>
      <c r="N5662" s="475">
        <f t="shared" si="215"/>
        <v>223377</v>
      </c>
    </row>
    <row r="5663" spans="7:14" ht="11.25" customHeight="1" x14ac:dyDescent="0.3">
      <c r="G5663" s="470"/>
      <c r="H5663" s="470">
        <v>5656</v>
      </c>
      <c r="I5663" s="455">
        <f t="shared" ca="1" si="213"/>
        <v>6529884202491304</v>
      </c>
      <c r="J5663" s="455">
        <f t="array" ref="J5663">IFERROR(INDEX('Retirement Calculator'!J:J,MATCH('Isaac 401k'!N5663,'Retirement Calculator'!A:A,0),0),0)</f>
        <v>0</v>
      </c>
      <c r="K5663" s="455">
        <f t="shared" ca="1" si="211"/>
        <v>27207850843713.766</v>
      </c>
      <c r="L5663" s="455">
        <f t="shared" ca="1" si="212"/>
        <v>6557092053335018</v>
      </c>
      <c r="M5663" s="471">
        <f t="shared" si="214"/>
        <v>0.05</v>
      </c>
      <c r="N5663" s="475">
        <f t="shared" si="215"/>
        <v>223408</v>
      </c>
    </row>
    <row r="5664" spans="7:14" ht="11.25" customHeight="1" x14ac:dyDescent="0.3">
      <c r="G5664" s="470"/>
      <c r="H5664" s="470">
        <v>5657</v>
      </c>
      <c r="I5664" s="455">
        <f t="shared" ca="1" si="213"/>
        <v>6557092053335018</v>
      </c>
      <c r="J5664" s="455">
        <f t="array" ref="J5664">IFERROR(INDEX('Retirement Calculator'!J:J,MATCH('Isaac 401k'!N5664,'Retirement Calculator'!A:A,0),0),0)</f>
        <v>0</v>
      </c>
      <c r="K5664" s="455">
        <f t="shared" ca="1" si="211"/>
        <v>27321216888895.906</v>
      </c>
      <c r="L5664" s="455">
        <f t="shared" ca="1" si="212"/>
        <v>6584413270223914</v>
      </c>
      <c r="M5664" s="471">
        <f t="shared" si="214"/>
        <v>0.05</v>
      </c>
      <c r="N5664" s="475">
        <f t="shared" si="215"/>
        <v>223438</v>
      </c>
    </row>
    <row r="5665" spans="7:14" ht="11.25" customHeight="1" x14ac:dyDescent="0.3">
      <c r="G5665" s="470"/>
      <c r="H5665" s="470">
        <v>5658</v>
      </c>
      <c r="I5665" s="455">
        <f t="shared" ca="1" si="213"/>
        <v>6584413270223914</v>
      </c>
      <c r="J5665" s="455">
        <f t="array" ref="J5665">IFERROR(INDEX('Retirement Calculator'!J:J,MATCH('Isaac 401k'!N5665,'Retirement Calculator'!A:A,0),0),0)</f>
        <v>0</v>
      </c>
      <c r="K5665" s="455">
        <f t="shared" ca="1" si="211"/>
        <v>27435055292599.641</v>
      </c>
      <c r="L5665" s="455">
        <f t="shared" ca="1" si="212"/>
        <v>6611848325516514</v>
      </c>
      <c r="M5665" s="471">
        <f t="shared" si="214"/>
        <v>0.05</v>
      </c>
      <c r="N5665" s="475">
        <f t="shared" si="215"/>
        <v>223469</v>
      </c>
    </row>
    <row r="5666" spans="7:14" ht="11.25" customHeight="1" x14ac:dyDescent="0.3">
      <c r="G5666" s="470"/>
      <c r="H5666" s="470">
        <v>5659</v>
      </c>
      <c r="I5666" s="455">
        <f t="shared" ca="1" si="213"/>
        <v>6611848325516514</v>
      </c>
      <c r="J5666" s="455">
        <f t="array" ref="J5666">IFERROR(INDEX('Retirement Calculator'!J:J,MATCH('Isaac 401k'!N5666,'Retirement Calculator'!A:A,0),0),0)</f>
        <v>0</v>
      </c>
      <c r="K5666" s="455">
        <f t="shared" ca="1" si="211"/>
        <v>27549368022985.477</v>
      </c>
      <c r="L5666" s="455">
        <f t="shared" ca="1" si="212"/>
        <v>6639397693539499</v>
      </c>
      <c r="M5666" s="471">
        <f t="shared" si="214"/>
        <v>0.05</v>
      </c>
      <c r="N5666" s="475">
        <f t="shared" si="215"/>
        <v>223499</v>
      </c>
    </row>
    <row r="5667" spans="7:14" ht="11.25" customHeight="1" x14ac:dyDescent="0.3">
      <c r="G5667" s="470"/>
      <c r="H5667" s="470">
        <v>5660</v>
      </c>
      <c r="I5667" s="455">
        <f t="shared" ca="1" si="213"/>
        <v>6639397693539499</v>
      </c>
      <c r="J5667" s="455">
        <f t="array" ref="J5667">IFERROR(INDEX('Retirement Calculator'!J:J,MATCH('Isaac 401k'!N5667,'Retirement Calculator'!A:A,0),0),0)</f>
        <v>0</v>
      </c>
      <c r="K5667" s="455">
        <f t="shared" ca="1" si="211"/>
        <v>27664157056414.578</v>
      </c>
      <c r="L5667" s="455">
        <f t="shared" ca="1" si="212"/>
        <v>6667061850595914</v>
      </c>
      <c r="M5667" s="471">
        <f t="shared" si="214"/>
        <v>0.05</v>
      </c>
      <c r="N5667" s="475">
        <f t="shared" si="215"/>
        <v>223530</v>
      </c>
    </row>
    <row r="5668" spans="7:14" ht="11.25" customHeight="1" x14ac:dyDescent="0.3">
      <c r="G5668" s="470"/>
      <c r="H5668" s="470">
        <v>5661</v>
      </c>
      <c r="I5668" s="455">
        <f t="shared" ca="1" si="213"/>
        <v>6667061850595914</v>
      </c>
      <c r="J5668" s="455">
        <f t="array" ref="J5668">IFERROR(INDEX('Retirement Calculator'!J:J,MATCH('Isaac 401k'!N5668,'Retirement Calculator'!A:A,0),0),0)</f>
        <v>0</v>
      </c>
      <c r="K5668" s="455">
        <f t="shared" ca="1" si="211"/>
        <v>27779424377482.977</v>
      </c>
      <c r="L5668" s="455">
        <f t="shared" ca="1" si="212"/>
        <v>6694841274973397</v>
      </c>
      <c r="M5668" s="471">
        <f t="shared" si="214"/>
        <v>0.05</v>
      </c>
      <c r="N5668" s="475">
        <f t="shared" si="215"/>
        <v>223561</v>
      </c>
    </row>
    <row r="5669" spans="7:14" ht="11.25" customHeight="1" x14ac:dyDescent="0.3">
      <c r="G5669" s="470"/>
      <c r="H5669" s="470">
        <v>5662</v>
      </c>
      <c r="I5669" s="455">
        <f t="shared" ca="1" si="213"/>
        <v>6694841274973397</v>
      </c>
      <c r="J5669" s="455">
        <f t="array" ref="J5669">IFERROR(INDEX('Retirement Calculator'!J:J,MATCH('Isaac 401k'!N5669,'Retirement Calculator'!A:A,0),0),0)</f>
        <v>0</v>
      </c>
      <c r="K5669" s="455">
        <f t="shared" ca="1" si="211"/>
        <v>27895171979055.82</v>
      </c>
      <c r="L5669" s="455">
        <f t="shared" ca="1" si="212"/>
        <v>6722736446952453</v>
      </c>
      <c r="M5669" s="471">
        <f t="shared" si="214"/>
        <v>0.05</v>
      </c>
      <c r="N5669" s="475">
        <f t="shared" si="215"/>
        <v>223590</v>
      </c>
    </row>
    <row r="5670" spans="7:14" ht="11.25" customHeight="1" x14ac:dyDescent="0.3">
      <c r="G5670" s="470"/>
      <c r="H5670" s="470">
        <v>5663</v>
      </c>
      <c r="I5670" s="455">
        <f t="shared" ca="1" si="213"/>
        <v>6722736446952453</v>
      </c>
      <c r="J5670" s="455">
        <f t="array" ref="J5670">IFERROR(INDEX('Retirement Calculator'!J:J,MATCH('Isaac 401k'!N5670,'Retirement Calculator'!A:A,0),0),0)</f>
        <v>0</v>
      </c>
      <c r="K5670" s="455">
        <f t="shared" ca="1" si="211"/>
        <v>28011401862301.887</v>
      </c>
      <c r="L5670" s="455">
        <f t="shared" ca="1" si="212"/>
        <v>6750747848814755</v>
      </c>
      <c r="M5670" s="471">
        <f t="shared" si="214"/>
        <v>0.05</v>
      </c>
      <c r="N5670" s="475">
        <f t="shared" si="215"/>
        <v>223621</v>
      </c>
    </row>
    <row r="5671" spans="7:14" ht="11.25" customHeight="1" x14ac:dyDescent="0.3">
      <c r="G5671" s="470"/>
      <c r="H5671" s="470">
        <v>5664</v>
      </c>
      <c r="I5671" s="455">
        <f t="shared" ca="1" si="213"/>
        <v>6750747848814755</v>
      </c>
      <c r="J5671" s="455">
        <f t="array" ref="J5671">IFERROR(INDEX('Retirement Calculator'!J:J,MATCH('Isaac 401k'!N5671,'Retirement Calculator'!A:A,0),0),0)</f>
        <v>0</v>
      </c>
      <c r="K5671" s="455">
        <f t="shared" ca="1" si="211"/>
        <v>28128116036728.145</v>
      </c>
      <c r="L5671" s="455">
        <f t="shared" ca="1" si="212"/>
        <v>6778875964851483</v>
      </c>
      <c r="M5671" s="471">
        <f t="shared" si="214"/>
        <v>0.05</v>
      </c>
      <c r="N5671" s="475">
        <f t="shared" si="215"/>
        <v>223651</v>
      </c>
    </row>
    <row r="5672" spans="7:14" ht="11.25" customHeight="1" x14ac:dyDescent="0.3">
      <c r="G5672" s="470"/>
      <c r="H5672" s="470">
        <v>5665</v>
      </c>
      <c r="I5672" s="455">
        <f t="shared" ca="1" si="213"/>
        <v>6778875964851483</v>
      </c>
      <c r="J5672" s="455">
        <f t="array" ref="J5672">IFERROR(INDEX('Retirement Calculator'!J:J,MATCH('Isaac 401k'!N5672,'Retirement Calculator'!A:A,0),0),0)</f>
        <v>0</v>
      </c>
      <c r="K5672" s="455">
        <f t="shared" ca="1" si="211"/>
        <v>28245316520214.512</v>
      </c>
      <c r="L5672" s="455">
        <f t="shared" ca="1" si="212"/>
        <v>6807121281371698</v>
      </c>
      <c r="M5672" s="471">
        <f t="shared" si="214"/>
        <v>0.05</v>
      </c>
      <c r="N5672" s="475">
        <f t="shared" si="215"/>
        <v>223682</v>
      </c>
    </row>
    <row r="5673" spans="7:14" ht="11.25" customHeight="1" x14ac:dyDescent="0.3">
      <c r="G5673" s="470"/>
      <c r="H5673" s="470">
        <v>5666</v>
      </c>
      <c r="I5673" s="455">
        <f t="shared" ca="1" si="213"/>
        <v>6807121281371698</v>
      </c>
      <c r="J5673" s="455">
        <f t="array" ref="J5673">IFERROR(INDEX('Retirement Calculator'!J:J,MATCH('Isaac 401k'!N5673,'Retirement Calculator'!A:A,0),0),0)</f>
        <v>0</v>
      </c>
      <c r="K5673" s="455">
        <f t="shared" ca="1" si="211"/>
        <v>28363005339048.742</v>
      </c>
      <c r="L5673" s="455">
        <f t="shared" ca="1" si="212"/>
        <v>6835484286710747</v>
      </c>
      <c r="M5673" s="471">
        <f t="shared" si="214"/>
        <v>0.05</v>
      </c>
      <c r="N5673" s="475">
        <f t="shared" si="215"/>
        <v>223712</v>
      </c>
    </row>
    <row r="5674" spans="7:14" ht="11.25" customHeight="1" x14ac:dyDescent="0.3">
      <c r="G5674" s="470"/>
      <c r="H5674" s="470">
        <v>5667</v>
      </c>
      <c r="I5674" s="455">
        <f t="shared" ca="1" si="213"/>
        <v>6835484286710747</v>
      </c>
      <c r="J5674" s="455">
        <f t="array" ref="J5674">IFERROR(INDEX('Retirement Calculator'!J:J,MATCH('Isaac 401k'!N5674,'Retirement Calculator'!A:A,0),0),0)</f>
        <v>0</v>
      </c>
      <c r="K5674" s="455">
        <f t="shared" ca="1" si="211"/>
        <v>28481184527961.445</v>
      </c>
      <c r="L5674" s="455">
        <f t="shared" ca="1" si="212"/>
        <v>6863965471238708</v>
      </c>
      <c r="M5674" s="471">
        <f t="shared" si="214"/>
        <v>0.05</v>
      </c>
      <c r="N5674" s="475">
        <f t="shared" si="215"/>
        <v>223743</v>
      </c>
    </row>
    <row r="5675" spans="7:14" ht="11.25" customHeight="1" x14ac:dyDescent="0.3">
      <c r="G5675" s="470"/>
      <c r="H5675" s="470">
        <v>5668</v>
      </c>
      <c r="I5675" s="455">
        <f t="shared" ca="1" si="213"/>
        <v>6863965471238708</v>
      </c>
      <c r="J5675" s="455">
        <f t="array" ref="J5675">IFERROR(INDEX('Retirement Calculator'!J:J,MATCH('Isaac 401k'!N5675,'Retirement Calculator'!A:A,0),0),0)</f>
        <v>0</v>
      </c>
      <c r="K5675" s="455">
        <f t="shared" ca="1" si="211"/>
        <v>28599856130161.281</v>
      </c>
      <c r="L5675" s="455">
        <f t="shared" ca="1" si="212"/>
        <v>6892565327368869</v>
      </c>
      <c r="M5675" s="471">
        <f t="shared" si="214"/>
        <v>0.05</v>
      </c>
      <c r="N5675" s="475">
        <f t="shared" si="215"/>
        <v>223774</v>
      </c>
    </row>
    <row r="5676" spans="7:14" ht="11.25" customHeight="1" x14ac:dyDescent="0.3">
      <c r="G5676" s="470"/>
      <c r="H5676" s="470">
        <v>5669</v>
      </c>
      <c r="I5676" s="455">
        <f t="shared" ca="1" si="213"/>
        <v>6892565327368869</v>
      </c>
      <c r="J5676" s="455">
        <f t="array" ref="J5676">IFERROR(INDEX('Retirement Calculator'!J:J,MATCH('Isaac 401k'!N5676,'Retirement Calculator'!A:A,0),0),0)</f>
        <v>0</v>
      </c>
      <c r="K5676" s="455">
        <f t="shared" ca="1" si="211"/>
        <v>28719022197370.285</v>
      </c>
      <c r="L5676" s="455">
        <f t="shared" ca="1" si="212"/>
        <v>6921284349566239</v>
      </c>
      <c r="M5676" s="471">
        <f t="shared" si="214"/>
        <v>0.05</v>
      </c>
      <c r="N5676" s="475">
        <f t="shared" si="215"/>
        <v>223804</v>
      </c>
    </row>
    <row r="5677" spans="7:14" ht="11.25" customHeight="1" x14ac:dyDescent="0.3">
      <c r="G5677" s="470"/>
      <c r="H5677" s="470">
        <v>5670</v>
      </c>
      <c r="I5677" s="455">
        <f t="shared" ca="1" si="213"/>
        <v>6921284349566239</v>
      </c>
      <c r="J5677" s="455">
        <f t="array" ref="J5677">IFERROR(INDEX('Retirement Calculator'!J:J,MATCH('Isaac 401k'!N5677,'Retirement Calculator'!A:A,0),0),0)</f>
        <v>0</v>
      </c>
      <c r="K5677" s="455">
        <f t="shared" ca="1" si="211"/>
        <v>28838684789859.328</v>
      </c>
      <c r="L5677" s="455">
        <f t="shared" ca="1" si="212"/>
        <v>6950123034356098</v>
      </c>
      <c r="M5677" s="471">
        <f t="shared" si="214"/>
        <v>0.05</v>
      </c>
      <c r="N5677" s="475">
        <f t="shared" si="215"/>
        <v>223835</v>
      </c>
    </row>
    <row r="5678" spans="7:14" ht="11.25" customHeight="1" x14ac:dyDescent="0.3">
      <c r="G5678" s="470"/>
      <c r="H5678" s="470">
        <v>5671</v>
      </c>
      <c r="I5678" s="455">
        <f t="shared" ca="1" si="213"/>
        <v>6950123034356098</v>
      </c>
      <c r="J5678" s="455">
        <f t="array" ref="J5678">IFERROR(INDEX('Retirement Calculator'!J:J,MATCH('Isaac 401k'!N5678,'Retirement Calculator'!A:A,0),0),0)</f>
        <v>0</v>
      </c>
      <c r="K5678" s="455">
        <f t="shared" ca="1" si="211"/>
        <v>28958845976483.742</v>
      </c>
      <c r="L5678" s="455">
        <f t="shared" ca="1" si="212"/>
        <v>6979081880332582</v>
      </c>
      <c r="M5678" s="471">
        <f t="shared" si="214"/>
        <v>0.05</v>
      </c>
      <c r="N5678" s="475">
        <f t="shared" si="215"/>
        <v>223865</v>
      </c>
    </row>
    <row r="5679" spans="7:14" ht="11.25" customHeight="1" x14ac:dyDescent="0.3">
      <c r="G5679" s="470"/>
      <c r="H5679" s="470">
        <v>5672</v>
      </c>
      <c r="I5679" s="455">
        <f t="shared" ca="1" si="213"/>
        <v>6979081880332582</v>
      </c>
      <c r="J5679" s="455">
        <f t="array" ref="J5679">IFERROR(INDEX('Retirement Calculator'!J:J,MATCH('Isaac 401k'!N5679,'Retirement Calculator'!A:A,0),0),0)</f>
        <v>0</v>
      </c>
      <c r="K5679" s="455">
        <f t="shared" ca="1" si="211"/>
        <v>29079507834719.09</v>
      </c>
      <c r="L5679" s="455">
        <f t="shared" ca="1" si="212"/>
        <v>7008161388167301</v>
      </c>
      <c r="M5679" s="471">
        <f t="shared" si="214"/>
        <v>0.05</v>
      </c>
      <c r="N5679" s="475">
        <f t="shared" si="215"/>
        <v>223896</v>
      </c>
    </row>
    <row r="5680" spans="7:14" ht="11.25" customHeight="1" x14ac:dyDescent="0.3">
      <c r="G5680" s="470"/>
      <c r="H5680" s="470">
        <v>5673</v>
      </c>
      <c r="I5680" s="455">
        <f t="shared" ca="1" si="213"/>
        <v>7008161388167301</v>
      </c>
      <c r="J5680" s="455">
        <f t="array" ref="J5680">IFERROR(INDEX('Retirement Calculator'!J:J,MATCH('Isaac 401k'!N5680,'Retirement Calculator'!A:A,0),0),0)</f>
        <v>0</v>
      </c>
      <c r="K5680" s="455">
        <f t="shared" ca="1" si="211"/>
        <v>29200672450697.086</v>
      </c>
      <c r="L5680" s="455">
        <f t="shared" ca="1" si="212"/>
        <v>7037362060617998</v>
      </c>
      <c r="M5680" s="471">
        <f t="shared" si="214"/>
        <v>0.05</v>
      </c>
      <c r="N5680" s="475">
        <f t="shared" si="215"/>
        <v>223927</v>
      </c>
    </row>
    <row r="5681" spans="7:14" ht="11.25" customHeight="1" x14ac:dyDescent="0.3">
      <c r="G5681" s="470"/>
      <c r="H5681" s="470">
        <v>5674</v>
      </c>
      <c r="I5681" s="455">
        <f t="shared" ca="1" si="213"/>
        <v>7037362060617998</v>
      </c>
      <c r="J5681" s="455">
        <f t="array" ref="J5681">IFERROR(INDEX('Retirement Calculator'!J:J,MATCH('Isaac 401k'!N5681,'Retirement Calculator'!A:A,0),0),0)</f>
        <v>0</v>
      </c>
      <c r="K5681" s="455">
        <f t="shared" ca="1" si="211"/>
        <v>29322341919241.656</v>
      </c>
      <c r="L5681" s="455">
        <f t="shared" ca="1" si="212"/>
        <v>7066684402537240</v>
      </c>
      <c r="M5681" s="471">
        <f t="shared" si="214"/>
        <v>0.05</v>
      </c>
      <c r="N5681" s="475">
        <f t="shared" si="215"/>
        <v>223955</v>
      </c>
    </row>
    <row r="5682" spans="7:14" ht="11.25" customHeight="1" x14ac:dyDescent="0.3">
      <c r="G5682" s="470"/>
      <c r="H5682" s="470">
        <v>5675</v>
      </c>
      <c r="I5682" s="455">
        <f t="shared" ca="1" si="213"/>
        <v>7066684402537240</v>
      </c>
      <c r="J5682" s="455">
        <f t="array" ref="J5682">IFERROR(INDEX('Retirement Calculator'!J:J,MATCH('Isaac 401k'!N5682,'Retirement Calculator'!A:A,0),0),0)</f>
        <v>0</v>
      </c>
      <c r="K5682" s="455">
        <f t="shared" ca="1" si="211"/>
        <v>29444518343905.168</v>
      </c>
      <c r="L5682" s="455">
        <f t="shared" ca="1" si="212"/>
        <v>7096128920881145</v>
      </c>
      <c r="M5682" s="471">
        <f t="shared" si="214"/>
        <v>0.05</v>
      </c>
      <c r="N5682" s="475">
        <f t="shared" si="215"/>
        <v>223986</v>
      </c>
    </row>
    <row r="5683" spans="7:14" ht="11.25" customHeight="1" x14ac:dyDescent="0.3">
      <c r="G5683" s="470"/>
      <c r="H5683" s="470">
        <v>5676</v>
      </c>
      <c r="I5683" s="455">
        <f t="shared" ca="1" si="213"/>
        <v>7096128920881145</v>
      </c>
      <c r="J5683" s="455">
        <f t="array" ref="J5683">IFERROR(INDEX('Retirement Calculator'!J:J,MATCH('Isaac 401k'!N5683,'Retirement Calculator'!A:A,0),0),0)</f>
        <v>0</v>
      </c>
      <c r="K5683" s="455">
        <f t="shared" ca="1" si="211"/>
        <v>29567203837004.766</v>
      </c>
      <c r="L5683" s="455">
        <f t="shared" ca="1" si="212"/>
        <v>7125696124718150</v>
      </c>
      <c r="M5683" s="471">
        <f t="shared" si="214"/>
        <v>0.05</v>
      </c>
      <c r="N5683" s="475">
        <f t="shared" si="215"/>
        <v>224016</v>
      </c>
    </row>
    <row r="5684" spans="7:14" ht="11.25" customHeight="1" x14ac:dyDescent="0.3">
      <c r="G5684" s="470"/>
      <c r="H5684" s="470">
        <v>5677</v>
      </c>
      <c r="I5684" s="455">
        <f t="shared" ca="1" si="213"/>
        <v>7125696124718150</v>
      </c>
      <c r="J5684" s="455">
        <f t="array" ref="J5684">IFERROR(INDEX('Retirement Calculator'!J:J,MATCH('Isaac 401k'!N5684,'Retirement Calculator'!A:A,0),0),0)</f>
        <v>0</v>
      </c>
      <c r="K5684" s="455">
        <f t="shared" ca="1" si="211"/>
        <v>29690400519658.957</v>
      </c>
      <c r="L5684" s="455">
        <f t="shared" ca="1" si="212"/>
        <v>7155386525237809</v>
      </c>
      <c r="M5684" s="471">
        <f t="shared" si="214"/>
        <v>0.05</v>
      </c>
      <c r="N5684" s="475">
        <f t="shared" si="215"/>
        <v>224047</v>
      </c>
    </row>
    <row r="5685" spans="7:14" ht="11.25" customHeight="1" x14ac:dyDescent="0.3">
      <c r="G5685" s="470"/>
      <c r="H5685" s="470">
        <v>5678</v>
      </c>
      <c r="I5685" s="455">
        <f t="shared" ca="1" si="213"/>
        <v>7155386525237809</v>
      </c>
      <c r="J5685" s="455">
        <f t="array" ref="J5685">IFERROR(INDEX('Retirement Calculator'!J:J,MATCH('Isaac 401k'!N5685,'Retirement Calculator'!A:A,0),0),0)</f>
        <v>0</v>
      </c>
      <c r="K5685" s="455">
        <f t="shared" ca="1" si="211"/>
        <v>29814110521824.203</v>
      </c>
      <c r="L5685" s="455">
        <f t="shared" ca="1" si="212"/>
        <v>7185200635759633</v>
      </c>
      <c r="M5685" s="471">
        <f t="shared" si="214"/>
        <v>0.05</v>
      </c>
      <c r="N5685" s="475">
        <f t="shared" si="215"/>
        <v>224077</v>
      </c>
    </row>
    <row r="5686" spans="7:14" ht="11.25" customHeight="1" x14ac:dyDescent="0.3">
      <c r="G5686" s="470"/>
      <c r="H5686" s="470">
        <v>5679</v>
      </c>
      <c r="I5686" s="455">
        <f t="shared" ca="1" si="213"/>
        <v>7185200635759633</v>
      </c>
      <c r="J5686" s="455">
        <f t="array" ref="J5686">IFERROR(INDEX('Retirement Calculator'!J:J,MATCH('Isaac 401k'!N5686,'Retirement Calculator'!A:A,0),0),0)</f>
        <v>0</v>
      </c>
      <c r="K5686" s="455">
        <f t="shared" ca="1" si="211"/>
        <v>29938335982331.805</v>
      </c>
      <c r="L5686" s="455">
        <f t="shared" ca="1" si="212"/>
        <v>7215138971741965</v>
      </c>
      <c r="M5686" s="471">
        <f t="shared" si="214"/>
        <v>0.05</v>
      </c>
      <c r="N5686" s="475">
        <f t="shared" si="215"/>
        <v>224108</v>
      </c>
    </row>
    <row r="5687" spans="7:14" ht="11.25" customHeight="1" x14ac:dyDescent="0.3">
      <c r="G5687" s="470"/>
      <c r="H5687" s="470">
        <v>5680</v>
      </c>
      <c r="I5687" s="455">
        <f t="shared" ca="1" si="213"/>
        <v>7215138971741965</v>
      </c>
      <c r="J5687" s="455">
        <f t="array" ref="J5687">IFERROR(INDEX('Retirement Calculator'!J:J,MATCH('Isaac 401k'!N5687,'Retirement Calculator'!A:A,0),0),0)</f>
        <v>0</v>
      </c>
      <c r="K5687" s="455">
        <f t="shared" ca="1" si="211"/>
        <v>30063079048924.855</v>
      </c>
      <c r="L5687" s="455">
        <f t="shared" ca="1" si="212"/>
        <v>7245202050790890</v>
      </c>
      <c r="M5687" s="471">
        <f t="shared" si="214"/>
        <v>0.05</v>
      </c>
      <c r="N5687" s="475">
        <f t="shared" si="215"/>
        <v>224139</v>
      </c>
    </row>
    <row r="5688" spans="7:14" ht="11.25" customHeight="1" x14ac:dyDescent="0.3">
      <c r="G5688" s="470"/>
      <c r="H5688" s="470">
        <v>5681</v>
      </c>
      <c r="I5688" s="455">
        <f t="shared" ca="1" si="213"/>
        <v>7245202050790890</v>
      </c>
      <c r="J5688" s="455">
        <f t="array" ref="J5688">IFERROR(INDEX('Retirement Calculator'!J:J,MATCH('Isaac 401k'!N5688,'Retirement Calculator'!A:A,0),0),0)</f>
        <v>0</v>
      </c>
      <c r="K5688" s="455">
        <f t="shared" ca="1" si="211"/>
        <v>30188341878295.379</v>
      </c>
      <c r="L5688" s="455">
        <f t="shared" ca="1" si="212"/>
        <v>7275390392669185</v>
      </c>
      <c r="M5688" s="471">
        <f t="shared" si="214"/>
        <v>0.05</v>
      </c>
      <c r="N5688" s="475">
        <f t="shared" si="215"/>
        <v>224169</v>
      </c>
    </row>
    <row r="5689" spans="7:14" ht="11.25" customHeight="1" x14ac:dyDescent="0.3">
      <c r="G5689" s="470"/>
      <c r="H5689" s="470">
        <v>5682</v>
      </c>
      <c r="I5689" s="455">
        <f t="shared" ca="1" si="213"/>
        <v>7275390392669185</v>
      </c>
      <c r="J5689" s="455">
        <f t="array" ref="J5689">IFERROR(INDEX('Retirement Calculator'!J:J,MATCH('Isaac 401k'!N5689,'Retirement Calculator'!A:A,0),0),0)</f>
        <v>0</v>
      </c>
      <c r="K5689" s="455">
        <f t="shared" ca="1" si="211"/>
        <v>30314126636121.605</v>
      </c>
      <c r="L5689" s="455">
        <f t="shared" ca="1" si="212"/>
        <v>7305704519305307</v>
      </c>
      <c r="M5689" s="471">
        <f t="shared" si="214"/>
        <v>0.05</v>
      </c>
      <c r="N5689" s="475">
        <f t="shared" si="215"/>
        <v>224200</v>
      </c>
    </row>
    <row r="5690" spans="7:14" ht="11.25" customHeight="1" x14ac:dyDescent="0.3">
      <c r="G5690" s="470"/>
      <c r="H5690" s="470">
        <v>5683</v>
      </c>
      <c r="I5690" s="455">
        <f t="shared" ca="1" si="213"/>
        <v>7305704519305307</v>
      </c>
      <c r="J5690" s="455">
        <f t="array" ref="J5690">IFERROR(INDEX('Retirement Calculator'!J:J,MATCH('Isaac 401k'!N5690,'Retirement Calculator'!A:A,0),0),0)</f>
        <v>0</v>
      </c>
      <c r="K5690" s="455">
        <f t="shared" ca="1" si="211"/>
        <v>30440435497105.445</v>
      </c>
      <c r="L5690" s="455">
        <f t="shared" ca="1" si="212"/>
        <v>7336144954802412</v>
      </c>
      <c r="M5690" s="471">
        <f t="shared" si="214"/>
        <v>0.05</v>
      </c>
      <c r="N5690" s="475">
        <f t="shared" si="215"/>
        <v>224230</v>
      </c>
    </row>
    <row r="5691" spans="7:14" ht="11.25" customHeight="1" x14ac:dyDescent="0.3">
      <c r="G5691" s="470"/>
      <c r="H5691" s="470">
        <v>5684</v>
      </c>
      <c r="I5691" s="455">
        <f t="shared" ca="1" si="213"/>
        <v>7336144954802412</v>
      </c>
      <c r="J5691" s="455">
        <f t="array" ref="J5691">IFERROR(INDEX('Retirement Calculator'!J:J,MATCH('Isaac 401k'!N5691,'Retirement Calculator'!A:A,0),0),0)</f>
        <v>0</v>
      </c>
      <c r="K5691" s="455">
        <f t="shared" ca="1" si="211"/>
        <v>30567270645010.051</v>
      </c>
      <c r="L5691" s="455">
        <f t="shared" ca="1" si="212"/>
        <v>7366712225447422</v>
      </c>
      <c r="M5691" s="471">
        <f t="shared" si="214"/>
        <v>0.05</v>
      </c>
      <c r="N5691" s="475">
        <f t="shared" si="215"/>
        <v>224261</v>
      </c>
    </row>
    <row r="5692" spans="7:14" ht="11.25" customHeight="1" x14ac:dyDescent="0.3">
      <c r="G5692" s="470"/>
      <c r="H5692" s="470">
        <v>5685</v>
      </c>
      <c r="I5692" s="455">
        <f t="shared" ca="1" si="213"/>
        <v>7366712225447422</v>
      </c>
      <c r="J5692" s="455">
        <f t="array" ref="J5692">IFERROR(INDEX('Retirement Calculator'!J:J,MATCH('Isaac 401k'!N5692,'Retirement Calculator'!A:A,0),0),0)</f>
        <v>0</v>
      </c>
      <c r="K5692" s="455">
        <f t="shared" ca="1" si="211"/>
        <v>30694634272697.594</v>
      </c>
      <c r="L5692" s="455">
        <f t="shared" ca="1" si="212"/>
        <v>7397406859720120</v>
      </c>
      <c r="M5692" s="471">
        <f t="shared" si="214"/>
        <v>0.05</v>
      </c>
      <c r="N5692" s="475">
        <f t="shared" si="215"/>
        <v>224292</v>
      </c>
    </row>
    <row r="5693" spans="7:14" ht="11.25" customHeight="1" x14ac:dyDescent="0.3">
      <c r="G5693" s="470"/>
      <c r="H5693" s="470">
        <v>5686</v>
      </c>
      <c r="I5693" s="455">
        <f t="shared" ca="1" si="213"/>
        <v>7397406859720120</v>
      </c>
      <c r="J5693" s="455">
        <f t="array" ref="J5693">IFERROR(INDEX('Retirement Calculator'!J:J,MATCH('Isaac 401k'!N5693,'Retirement Calculator'!A:A,0),0),0)</f>
        <v>0</v>
      </c>
      <c r="K5693" s="455">
        <f t="shared" ca="1" si="211"/>
        <v>30822528582167.168</v>
      </c>
      <c r="L5693" s="455">
        <f t="shared" ca="1" si="212"/>
        <v>7428229388302287</v>
      </c>
      <c r="M5693" s="471">
        <f t="shared" si="214"/>
        <v>0.05</v>
      </c>
      <c r="N5693" s="475">
        <f t="shared" si="215"/>
        <v>224320</v>
      </c>
    </row>
    <row r="5694" spans="7:14" ht="11.25" customHeight="1" x14ac:dyDescent="0.3">
      <c r="G5694" s="470"/>
      <c r="H5694" s="470">
        <v>5687</v>
      </c>
      <c r="I5694" s="455">
        <f t="shared" ca="1" si="213"/>
        <v>7428229388302287</v>
      </c>
      <c r="J5694" s="455">
        <f t="array" ref="J5694">IFERROR(INDEX('Retirement Calculator'!J:J,MATCH('Isaac 401k'!N5694,'Retirement Calculator'!A:A,0),0),0)</f>
        <v>0</v>
      </c>
      <c r="K5694" s="455">
        <f t="shared" ca="1" si="211"/>
        <v>30950955784592.863</v>
      </c>
      <c r="L5694" s="455">
        <f t="shared" ca="1" si="212"/>
        <v>7459180344086880</v>
      </c>
      <c r="M5694" s="471">
        <f t="shared" si="214"/>
        <v>0.05</v>
      </c>
      <c r="N5694" s="475">
        <f t="shared" si="215"/>
        <v>224351</v>
      </c>
    </row>
    <row r="5695" spans="7:14" ht="11.25" customHeight="1" x14ac:dyDescent="0.3">
      <c r="G5695" s="470"/>
      <c r="H5695" s="470">
        <v>5688</v>
      </c>
      <c r="I5695" s="455">
        <f t="shared" ca="1" si="213"/>
        <v>7459180344086880</v>
      </c>
      <c r="J5695" s="455">
        <f t="array" ref="J5695">IFERROR(INDEX('Retirement Calculator'!J:J,MATCH('Isaac 401k'!N5695,'Retirement Calculator'!A:A,0),0),0)</f>
        <v>0</v>
      </c>
      <c r="K5695" s="455">
        <f t="shared" ca="1" si="211"/>
        <v>31079918100362.004</v>
      </c>
      <c r="L5695" s="455">
        <f t="shared" ca="1" si="212"/>
        <v>7490260262187242</v>
      </c>
      <c r="M5695" s="471">
        <f t="shared" si="214"/>
        <v>0.05</v>
      </c>
      <c r="N5695" s="475">
        <f t="shared" si="215"/>
        <v>224381</v>
      </c>
    </row>
    <row r="5696" spans="7:14" ht="11.25" customHeight="1" x14ac:dyDescent="0.3">
      <c r="G5696" s="470"/>
      <c r="H5696" s="470">
        <v>5689</v>
      </c>
      <c r="I5696" s="455">
        <f t="shared" ca="1" si="213"/>
        <v>7490260262187242</v>
      </c>
      <c r="J5696" s="455">
        <f t="array" ref="J5696">IFERROR(INDEX('Retirement Calculator'!J:J,MATCH('Isaac 401k'!N5696,'Retirement Calculator'!A:A,0),0),0)</f>
        <v>0</v>
      </c>
      <c r="K5696" s="455">
        <f t="shared" ca="1" si="211"/>
        <v>31209417759113.508</v>
      </c>
      <c r="L5696" s="455">
        <f t="shared" ca="1" si="212"/>
        <v>7521469679946356</v>
      </c>
      <c r="M5696" s="471">
        <f t="shared" si="214"/>
        <v>0.05</v>
      </c>
      <c r="N5696" s="475">
        <f t="shared" si="215"/>
        <v>224412</v>
      </c>
    </row>
    <row r="5697" spans="7:14" ht="11.25" customHeight="1" x14ac:dyDescent="0.3">
      <c r="G5697" s="470"/>
      <c r="H5697" s="470">
        <v>5690</v>
      </c>
      <c r="I5697" s="455">
        <f t="shared" ca="1" si="213"/>
        <v>7521469679946356</v>
      </c>
      <c r="J5697" s="455">
        <f t="array" ref="J5697">IFERROR(INDEX('Retirement Calculator'!J:J,MATCH('Isaac 401k'!N5697,'Retirement Calculator'!A:A,0),0),0)</f>
        <v>0</v>
      </c>
      <c r="K5697" s="455">
        <f t="shared" ca="1" si="211"/>
        <v>31339456999776.484</v>
      </c>
      <c r="L5697" s="455">
        <f t="shared" ca="1" si="212"/>
        <v>7552809136946132</v>
      </c>
      <c r="M5697" s="471">
        <f t="shared" si="214"/>
        <v>0.05</v>
      </c>
      <c r="N5697" s="475">
        <f t="shared" si="215"/>
        <v>224442</v>
      </c>
    </row>
    <row r="5698" spans="7:14" ht="11.25" customHeight="1" x14ac:dyDescent="0.3">
      <c r="G5698" s="470"/>
      <c r="H5698" s="470">
        <v>5691</v>
      </c>
      <c r="I5698" s="455">
        <f t="shared" ca="1" si="213"/>
        <v>7552809136946132</v>
      </c>
      <c r="J5698" s="455">
        <f t="array" ref="J5698">IFERROR(INDEX('Retirement Calculator'!J:J,MATCH('Isaac 401k'!N5698,'Retirement Calculator'!A:A,0),0),0)</f>
        <v>0</v>
      </c>
      <c r="K5698" s="455">
        <f t="shared" ca="1" si="211"/>
        <v>31470038070608.883</v>
      </c>
      <c r="L5698" s="455">
        <f t="shared" ca="1" si="212"/>
        <v>7584279175016741</v>
      </c>
      <c r="M5698" s="471">
        <f t="shared" si="214"/>
        <v>0.05</v>
      </c>
      <c r="N5698" s="475">
        <f t="shared" si="215"/>
        <v>224473</v>
      </c>
    </row>
    <row r="5699" spans="7:14" ht="11.25" customHeight="1" x14ac:dyDescent="0.3">
      <c r="G5699" s="470"/>
      <c r="H5699" s="470">
        <v>5692</v>
      </c>
      <c r="I5699" s="455">
        <f t="shared" ca="1" si="213"/>
        <v>7584279175016741</v>
      </c>
      <c r="J5699" s="455">
        <f t="array" ref="J5699">IFERROR(INDEX('Retirement Calculator'!J:J,MATCH('Isaac 401k'!N5699,'Retirement Calculator'!A:A,0),0),0)</f>
        <v>0</v>
      </c>
      <c r="K5699" s="455">
        <f t="shared" ca="1" si="211"/>
        <v>31601163229236.422</v>
      </c>
      <c r="L5699" s="455">
        <f t="shared" ca="1" si="212"/>
        <v>7615880338245977</v>
      </c>
      <c r="M5699" s="471">
        <f t="shared" si="214"/>
        <v>0.05</v>
      </c>
      <c r="N5699" s="475">
        <f t="shared" si="215"/>
        <v>224504</v>
      </c>
    </row>
    <row r="5700" spans="7:14" ht="11.25" customHeight="1" x14ac:dyDescent="0.3">
      <c r="G5700" s="470"/>
      <c r="H5700" s="470">
        <v>5693</v>
      </c>
      <c r="I5700" s="455">
        <f t="shared" ca="1" si="213"/>
        <v>7615880338245977</v>
      </c>
      <c r="J5700" s="455">
        <f t="array" ref="J5700">IFERROR(INDEX('Retirement Calculator'!J:J,MATCH('Isaac 401k'!N5700,'Retirement Calculator'!A:A,0),0),0)</f>
        <v>0</v>
      </c>
      <c r="K5700" s="455">
        <f t="shared" ca="1" si="211"/>
        <v>31732834742691.57</v>
      </c>
      <c r="L5700" s="455">
        <f t="shared" ca="1" si="212"/>
        <v>7647613172988669</v>
      </c>
      <c r="M5700" s="471">
        <f t="shared" si="214"/>
        <v>0.05</v>
      </c>
      <c r="N5700" s="475">
        <f t="shared" si="215"/>
        <v>224534</v>
      </c>
    </row>
    <row r="5701" spans="7:14" ht="11.25" customHeight="1" x14ac:dyDescent="0.3">
      <c r="G5701" s="470"/>
      <c r="H5701" s="470">
        <v>5694</v>
      </c>
      <c r="I5701" s="455">
        <f t="shared" ca="1" si="213"/>
        <v>7647613172988669</v>
      </c>
      <c r="J5701" s="455">
        <f t="array" ref="J5701">IFERROR(INDEX('Retirement Calculator'!J:J,MATCH('Isaac 401k'!N5701,'Retirement Calculator'!A:A,0),0),0)</f>
        <v>0</v>
      </c>
      <c r="K5701" s="455">
        <f t="shared" ca="1" si="211"/>
        <v>31865054887452.785</v>
      </c>
      <c r="L5701" s="455">
        <f t="shared" ca="1" si="212"/>
        <v>7679478227876122</v>
      </c>
      <c r="M5701" s="471">
        <f t="shared" si="214"/>
        <v>0.05</v>
      </c>
      <c r="N5701" s="475">
        <f t="shared" si="215"/>
        <v>224565</v>
      </c>
    </row>
    <row r="5702" spans="7:14" ht="11.25" customHeight="1" x14ac:dyDescent="0.3">
      <c r="G5702" s="470"/>
      <c r="H5702" s="470">
        <v>5695</v>
      </c>
      <c r="I5702" s="455">
        <f t="shared" ca="1" si="213"/>
        <v>7679478227876122</v>
      </c>
      <c r="J5702" s="455">
        <f t="array" ref="J5702">IFERROR(INDEX('Retirement Calculator'!J:J,MATCH('Isaac 401k'!N5702,'Retirement Calculator'!A:A,0),0),0)</f>
        <v>0</v>
      </c>
      <c r="K5702" s="455">
        <f t="shared" ca="1" si="211"/>
        <v>31997825949483.84</v>
      </c>
      <c r="L5702" s="455">
        <f t="shared" ca="1" si="212"/>
        <v>7711476053825606</v>
      </c>
      <c r="M5702" s="471">
        <f t="shared" si="214"/>
        <v>0.05</v>
      </c>
      <c r="N5702" s="475">
        <f t="shared" si="215"/>
        <v>224595</v>
      </c>
    </row>
    <row r="5703" spans="7:14" ht="11.25" customHeight="1" x14ac:dyDescent="0.3">
      <c r="G5703" s="470"/>
      <c r="H5703" s="470">
        <v>5696</v>
      </c>
      <c r="I5703" s="455">
        <f t="shared" ca="1" si="213"/>
        <v>7711476053825606</v>
      </c>
      <c r="J5703" s="455">
        <f t="array" ref="J5703">IFERROR(INDEX('Retirement Calculator'!J:J,MATCH('Isaac 401k'!N5703,'Retirement Calculator'!A:A,0),0),0)</f>
        <v>0</v>
      </c>
      <c r="K5703" s="455">
        <f t="shared" ca="1" si="211"/>
        <v>32131150224273.355</v>
      </c>
      <c r="L5703" s="455">
        <f t="shared" ca="1" si="212"/>
        <v>7743607204049879</v>
      </c>
      <c r="M5703" s="471">
        <f t="shared" si="214"/>
        <v>0.05</v>
      </c>
      <c r="N5703" s="475">
        <f t="shared" si="215"/>
        <v>224626</v>
      </c>
    </row>
    <row r="5704" spans="7:14" ht="11.25" customHeight="1" x14ac:dyDescent="0.3">
      <c r="G5704" s="470"/>
      <c r="H5704" s="470">
        <v>5697</v>
      </c>
      <c r="I5704" s="455">
        <f t="shared" ca="1" si="213"/>
        <v>7743607204049879</v>
      </c>
      <c r="J5704" s="455">
        <f t="array" ref="J5704">IFERROR(INDEX('Retirement Calculator'!J:J,MATCH('Isaac 401k'!N5704,'Retirement Calculator'!A:A,0),0),0)</f>
        <v>0</v>
      </c>
      <c r="K5704" s="455">
        <f t="shared" ca="1" si="211"/>
        <v>32265030016874.5</v>
      </c>
      <c r="L5704" s="455">
        <f t="shared" ca="1" si="212"/>
        <v>7775872234066754</v>
      </c>
      <c r="M5704" s="471">
        <f t="shared" si="214"/>
        <v>0.05</v>
      </c>
      <c r="N5704" s="475">
        <f t="shared" si="215"/>
        <v>224657</v>
      </c>
    </row>
    <row r="5705" spans="7:14" ht="11.25" customHeight="1" x14ac:dyDescent="0.3">
      <c r="G5705" s="470"/>
      <c r="H5705" s="470">
        <v>5698</v>
      </c>
      <c r="I5705" s="455">
        <f t="shared" ca="1" si="213"/>
        <v>7775872234066754</v>
      </c>
      <c r="J5705" s="455">
        <f t="array" ref="J5705">IFERROR(INDEX('Retirement Calculator'!J:J,MATCH('Isaac 401k'!N5705,'Retirement Calculator'!A:A,0),0),0)</f>
        <v>0</v>
      </c>
      <c r="K5705" s="455">
        <f t="shared" ca="1" si="211"/>
        <v>32399467641944.805</v>
      </c>
      <c r="L5705" s="455">
        <f t="shared" ca="1" si="212"/>
        <v>7808271701708699</v>
      </c>
      <c r="M5705" s="471">
        <f t="shared" si="214"/>
        <v>0.05</v>
      </c>
      <c r="N5705" s="475">
        <f t="shared" si="215"/>
        <v>224685</v>
      </c>
    </row>
    <row r="5706" spans="7:14" ht="11.25" customHeight="1" x14ac:dyDescent="0.3">
      <c r="G5706" s="470"/>
      <c r="H5706" s="470">
        <v>5699</v>
      </c>
      <c r="I5706" s="455">
        <f t="shared" ca="1" si="213"/>
        <v>7808271701708699</v>
      </c>
      <c r="J5706" s="455">
        <f t="array" ref="J5706">IFERROR(INDEX('Retirement Calculator'!J:J,MATCH('Isaac 401k'!N5706,'Retirement Calculator'!A:A,0),0),0)</f>
        <v>0</v>
      </c>
      <c r="K5706" s="455">
        <f t="shared" ca="1" si="211"/>
        <v>32534465423786.246</v>
      </c>
      <c r="L5706" s="455">
        <f t="shared" ca="1" si="212"/>
        <v>7840806167132485</v>
      </c>
      <c r="M5706" s="471">
        <f t="shared" si="214"/>
        <v>0.05</v>
      </c>
      <c r="N5706" s="475">
        <f t="shared" si="215"/>
        <v>224716</v>
      </c>
    </row>
    <row r="5707" spans="7:14" ht="11.25" customHeight="1" x14ac:dyDescent="0.3">
      <c r="G5707" s="470"/>
      <c r="H5707" s="470">
        <v>5700</v>
      </c>
      <c r="I5707" s="455">
        <f t="shared" ca="1" si="213"/>
        <v>7840806167132485</v>
      </c>
      <c r="J5707" s="455">
        <f t="array" ref="J5707">IFERROR(INDEX('Retirement Calculator'!J:J,MATCH('Isaac 401k'!N5707,'Retirement Calculator'!A:A,0),0),0)</f>
        <v>0</v>
      </c>
      <c r="K5707" s="455">
        <f t="shared" ca="1" si="211"/>
        <v>32670025696385.355</v>
      </c>
      <c r="L5707" s="455">
        <f t="shared" ca="1" si="212"/>
        <v>7873476192828870</v>
      </c>
      <c r="M5707" s="471">
        <f t="shared" si="214"/>
        <v>0.05</v>
      </c>
      <c r="N5707" s="475">
        <f t="shared" si="215"/>
        <v>224746</v>
      </c>
    </row>
    <row r="5708" spans="7:14" ht="11.25" customHeight="1" x14ac:dyDescent="0.3">
      <c r="G5708" s="470"/>
      <c r="H5708" s="470">
        <v>5701</v>
      </c>
      <c r="I5708" s="455">
        <f t="shared" ca="1" si="213"/>
        <v>7873476192828870</v>
      </c>
      <c r="J5708" s="455">
        <f t="array" ref="J5708">IFERROR(INDEX('Retirement Calculator'!J:J,MATCH('Isaac 401k'!N5708,'Retirement Calculator'!A:A,0),0),0)</f>
        <v>0</v>
      </c>
      <c r="K5708" s="455">
        <f t="shared" ca="1" si="211"/>
        <v>32806150803453.621</v>
      </c>
      <c r="L5708" s="455">
        <f t="shared" ca="1" si="212"/>
        <v>7906282343632324</v>
      </c>
      <c r="M5708" s="471">
        <f t="shared" si="214"/>
        <v>0.05</v>
      </c>
      <c r="N5708" s="475">
        <f t="shared" si="215"/>
        <v>224777</v>
      </c>
    </row>
    <row r="5709" spans="7:14" ht="11.25" customHeight="1" x14ac:dyDescent="0.3">
      <c r="G5709" s="470"/>
      <c r="H5709" s="470">
        <v>5702</v>
      </c>
      <c r="I5709" s="455">
        <f t="shared" ca="1" si="213"/>
        <v>7906282343632324</v>
      </c>
      <c r="J5709" s="455">
        <f t="array" ref="J5709">IFERROR(INDEX('Retirement Calculator'!J:J,MATCH('Isaac 401k'!N5709,'Retirement Calculator'!A:A,0),0),0)</f>
        <v>0</v>
      </c>
      <c r="K5709" s="455">
        <f t="shared" ca="1" si="211"/>
        <v>32942843098468.012</v>
      </c>
      <c r="L5709" s="455">
        <f t="shared" ca="1" si="212"/>
        <v>7939225186730792</v>
      </c>
      <c r="M5709" s="471">
        <f t="shared" si="214"/>
        <v>0.05</v>
      </c>
      <c r="N5709" s="475">
        <f t="shared" si="215"/>
        <v>224807</v>
      </c>
    </row>
    <row r="5710" spans="7:14" ht="11.25" customHeight="1" x14ac:dyDescent="0.3">
      <c r="G5710" s="470"/>
      <c r="H5710" s="470">
        <v>5703</v>
      </c>
      <c r="I5710" s="455">
        <f t="shared" ca="1" si="213"/>
        <v>7939225186730792</v>
      </c>
      <c r="J5710" s="455">
        <f t="array" ref="J5710">IFERROR(INDEX('Retirement Calculator'!J:J,MATCH('Isaac 401k'!N5710,'Retirement Calculator'!A:A,0),0),0)</f>
        <v>0</v>
      </c>
      <c r="K5710" s="455">
        <f t="shared" ca="1" si="211"/>
        <v>33080104944711.637</v>
      </c>
      <c r="L5710" s="455">
        <f t="shared" ca="1" si="212"/>
        <v>7972305291675504</v>
      </c>
      <c r="M5710" s="471">
        <f t="shared" si="214"/>
        <v>0.05</v>
      </c>
      <c r="N5710" s="475">
        <f t="shared" si="215"/>
        <v>224838</v>
      </c>
    </row>
    <row r="5711" spans="7:14" ht="11.25" customHeight="1" x14ac:dyDescent="0.3">
      <c r="G5711" s="470"/>
      <c r="H5711" s="470">
        <v>5704</v>
      </c>
      <c r="I5711" s="455">
        <f t="shared" ca="1" si="213"/>
        <v>7972305291675504</v>
      </c>
      <c r="J5711" s="455">
        <f t="array" ref="J5711">IFERROR(INDEX('Retirement Calculator'!J:J,MATCH('Isaac 401k'!N5711,'Retirement Calculator'!A:A,0),0),0)</f>
        <v>0</v>
      </c>
      <c r="K5711" s="455">
        <f t="shared" ca="1" si="211"/>
        <v>33217938715314.598</v>
      </c>
      <c r="L5711" s="455">
        <f t="shared" ca="1" si="212"/>
        <v>8005523230390819</v>
      </c>
      <c r="M5711" s="471">
        <f t="shared" si="214"/>
        <v>0.05</v>
      </c>
      <c r="N5711" s="475">
        <f t="shared" si="215"/>
        <v>224869</v>
      </c>
    </row>
    <row r="5712" spans="7:14" ht="11.25" customHeight="1" x14ac:dyDescent="0.3">
      <c r="G5712" s="470"/>
      <c r="H5712" s="470">
        <v>5705</v>
      </c>
      <c r="I5712" s="455">
        <f t="shared" ca="1" si="213"/>
        <v>8005523230390819</v>
      </c>
      <c r="J5712" s="455">
        <f t="array" ref="J5712">IFERROR(INDEX('Retirement Calculator'!J:J,MATCH('Isaac 401k'!N5712,'Retirement Calculator'!A:A,0),0),0)</f>
        <v>0</v>
      </c>
      <c r="K5712" s="455">
        <f t="shared" ca="1" si="211"/>
        <v>33356346793295.074</v>
      </c>
      <c r="L5712" s="455">
        <f t="shared" ca="1" si="212"/>
        <v>8038879577184114</v>
      </c>
      <c r="M5712" s="471">
        <f t="shared" si="214"/>
        <v>0.05</v>
      </c>
      <c r="N5712" s="475">
        <f t="shared" si="215"/>
        <v>224899</v>
      </c>
    </row>
    <row r="5713" spans="7:14" ht="11.25" customHeight="1" x14ac:dyDescent="0.3">
      <c r="G5713" s="470"/>
      <c r="H5713" s="470">
        <v>5706</v>
      </c>
      <c r="I5713" s="455">
        <f t="shared" ca="1" si="213"/>
        <v>8038879577184114</v>
      </c>
      <c r="J5713" s="455">
        <f t="array" ref="J5713">IFERROR(INDEX('Retirement Calculator'!J:J,MATCH('Isaac 401k'!N5713,'Retirement Calculator'!A:A,0),0),0)</f>
        <v>0</v>
      </c>
      <c r="K5713" s="455">
        <f t="shared" ca="1" si="211"/>
        <v>33495331571600.469</v>
      </c>
      <c r="L5713" s="455">
        <f t="shared" ca="1" si="212"/>
        <v>8072374908755714</v>
      </c>
      <c r="M5713" s="471">
        <f t="shared" si="214"/>
        <v>0.05</v>
      </c>
      <c r="N5713" s="475">
        <f t="shared" si="215"/>
        <v>224930</v>
      </c>
    </row>
    <row r="5714" spans="7:14" ht="11.25" customHeight="1" x14ac:dyDescent="0.3">
      <c r="G5714" s="470"/>
      <c r="H5714" s="470">
        <v>5707</v>
      </c>
      <c r="I5714" s="455">
        <f t="shared" ca="1" si="213"/>
        <v>8072374908755714</v>
      </c>
      <c r="J5714" s="455">
        <f t="array" ref="J5714">IFERROR(INDEX('Retirement Calculator'!J:J,MATCH('Isaac 401k'!N5714,'Retirement Calculator'!A:A,0),0),0)</f>
        <v>0</v>
      </c>
      <c r="K5714" s="455">
        <f t="shared" ca="1" si="211"/>
        <v>33634895453148.805</v>
      </c>
      <c r="L5714" s="455">
        <f t="shared" ca="1" si="212"/>
        <v>8106009804208863</v>
      </c>
      <c r="M5714" s="471">
        <f t="shared" si="214"/>
        <v>0.05</v>
      </c>
      <c r="N5714" s="475">
        <f t="shared" si="215"/>
        <v>224960</v>
      </c>
    </row>
    <row r="5715" spans="7:14" ht="11.25" customHeight="1" x14ac:dyDescent="0.3">
      <c r="G5715" s="470"/>
      <c r="H5715" s="470">
        <v>5708</v>
      </c>
      <c r="I5715" s="455">
        <f t="shared" ca="1" si="213"/>
        <v>8106009804208863</v>
      </c>
      <c r="J5715" s="455">
        <f t="array" ref="J5715">IFERROR(INDEX('Retirement Calculator'!J:J,MATCH('Isaac 401k'!N5715,'Retirement Calculator'!A:A,0),0),0)</f>
        <v>0</v>
      </c>
      <c r="K5715" s="455">
        <f t="shared" ca="1" si="211"/>
        <v>33775040850870.262</v>
      </c>
      <c r="L5715" s="455">
        <f t="shared" ca="1" si="212"/>
        <v>8139784845059733</v>
      </c>
      <c r="M5715" s="471">
        <f t="shared" si="214"/>
        <v>0.05</v>
      </c>
      <c r="N5715" s="475">
        <f t="shared" si="215"/>
        <v>224991</v>
      </c>
    </row>
    <row r="5716" spans="7:14" ht="11.25" customHeight="1" x14ac:dyDescent="0.3">
      <c r="G5716" s="470"/>
      <c r="H5716" s="470">
        <v>5709</v>
      </c>
      <c r="I5716" s="455">
        <f t="shared" ca="1" si="213"/>
        <v>8139784845059733</v>
      </c>
      <c r="J5716" s="455">
        <f t="array" ref="J5716">IFERROR(INDEX('Retirement Calculator'!J:J,MATCH('Isaac 401k'!N5716,'Retirement Calculator'!A:A,0),0),0)</f>
        <v>0</v>
      </c>
      <c r="K5716" s="455">
        <f t="shared" ca="1" si="211"/>
        <v>33915770187748.887</v>
      </c>
      <c r="L5716" s="455">
        <f t="shared" ca="1" si="212"/>
        <v>8173700615247482</v>
      </c>
      <c r="M5716" s="471">
        <f t="shared" si="214"/>
        <v>0.05</v>
      </c>
      <c r="N5716" s="475">
        <f t="shared" si="215"/>
        <v>225022</v>
      </c>
    </row>
    <row r="5717" spans="7:14" ht="11.25" customHeight="1" x14ac:dyDescent="0.3">
      <c r="G5717" s="470"/>
      <c r="H5717" s="470">
        <v>5710</v>
      </c>
      <c r="I5717" s="455">
        <f t="shared" ca="1" si="213"/>
        <v>8173700615247482</v>
      </c>
      <c r="J5717" s="455">
        <f t="array" ref="J5717">IFERROR(INDEX('Retirement Calculator'!J:J,MATCH('Isaac 401k'!N5717,'Retirement Calculator'!A:A,0),0),0)</f>
        <v>0</v>
      </c>
      <c r="K5717" s="455">
        <f t="shared" ca="1" si="211"/>
        <v>34057085896864.504</v>
      </c>
      <c r="L5717" s="455">
        <f t="shared" ca="1" si="212"/>
        <v>8207757701144347</v>
      </c>
      <c r="M5717" s="471">
        <f t="shared" si="214"/>
        <v>0.05</v>
      </c>
      <c r="N5717" s="475">
        <f t="shared" si="215"/>
        <v>225051</v>
      </c>
    </row>
    <row r="5718" spans="7:14" ht="11.25" customHeight="1" x14ac:dyDescent="0.3">
      <c r="G5718" s="470"/>
      <c r="H5718" s="470">
        <v>5711</v>
      </c>
      <c r="I5718" s="455">
        <f t="shared" ca="1" si="213"/>
        <v>8207757701144347</v>
      </c>
      <c r="J5718" s="455">
        <f t="array" ref="J5718">IFERROR(INDEX('Retirement Calculator'!J:J,MATCH('Isaac 401k'!N5718,'Retirement Calculator'!A:A,0),0),0)</f>
        <v>0</v>
      </c>
      <c r="K5718" s="455">
        <f t="shared" ca="1" si="211"/>
        <v>34198990421434.773</v>
      </c>
      <c r="L5718" s="455">
        <f t="shared" ca="1" si="212"/>
        <v>8241956691565782</v>
      </c>
      <c r="M5718" s="471">
        <f t="shared" si="214"/>
        <v>0.05</v>
      </c>
      <c r="N5718" s="475">
        <f t="shared" si="215"/>
        <v>225082</v>
      </c>
    </row>
    <row r="5719" spans="7:14" ht="11.25" customHeight="1" x14ac:dyDescent="0.3">
      <c r="G5719" s="470"/>
      <c r="H5719" s="470">
        <v>5712</v>
      </c>
      <c r="I5719" s="455">
        <f t="shared" ca="1" si="213"/>
        <v>8241956691565782</v>
      </c>
      <c r="J5719" s="455">
        <f t="array" ref="J5719">IFERROR(INDEX('Retirement Calculator'!J:J,MATCH('Isaac 401k'!N5719,'Retirement Calculator'!A:A,0),0),0)</f>
        <v>0</v>
      </c>
      <c r="K5719" s="455">
        <f t="shared" ca="1" si="211"/>
        <v>34341486214857.43</v>
      </c>
      <c r="L5719" s="455">
        <f t="shared" ca="1" si="212"/>
        <v>8276298177780639</v>
      </c>
      <c r="M5719" s="471">
        <f t="shared" si="214"/>
        <v>0.05</v>
      </c>
      <c r="N5719" s="475">
        <f t="shared" si="215"/>
        <v>225112</v>
      </c>
    </row>
    <row r="5720" spans="7:14" ht="11.25" customHeight="1" x14ac:dyDescent="0.3">
      <c r="G5720" s="470"/>
      <c r="H5720" s="470">
        <v>5713</v>
      </c>
      <c r="I5720" s="455">
        <f t="shared" ca="1" si="213"/>
        <v>8276298177780639</v>
      </c>
      <c r="J5720" s="455">
        <f t="array" ref="J5720">IFERROR(INDEX('Retirement Calculator'!J:J,MATCH('Isaac 401k'!N5720,'Retirement Calculator'!A:A,0),0),0)</f>
        <v>0</v>
      </c>
      <c r="K5720" s="455">
        <f t="shared" ca="1" si="211"/>
        <v>34484575740752.66</v>
      </c>
      <c r="L5720" s="455">
        <f t="shared" ca="1" si="212"/>
        <v>8310782753521392</v>
      </c>
      <c r="M5720" s="471">
        <f t="shared" si="214"/>
        <v>0.05</v>
      </c>
      <c r="N5720" s="475">
        <f t="shared" si="215"/>
        <v>225143</v>
      </c>
    </row>
    <row r="5721" spans="7:14" ht="11.25" customHeight="1" x14ac:dyDescent="0.3">
      <c r="G5721" s="470"/>
      <c r="H5721" s="470">
        <v>5714</v>
      </c>
      <c r="I5721" s="455">
        <f t="shared" ca="1" si="213"/>
        <v>8310782753521392</v>
      </c>
      <c r="J5721" s="455">
        <f t="array" ref="J5721">IFERROR(INDEX('Retirement Calculator'!J:J,MATCH('Isaac 401k'!N5721,'Retirement Calculator'!A:A,0),0),0)</f>
        <v>0</v>
      </c>
      <c r="K5721" s="455">
        <f t="shared" ca="1" si="211"/>
        <v>34628261473005.805</v>
      </c>
      <c r="L5721" s="455">
        <f t="shared" ca="1" si="212"/>
        <v>8345411014994398</v>
      </c>
      <c r="M5721" s="471">
        <f t="shared" si="214"/>
        <v>0.05</v>
      </c>
      <c r="N5721" s="475">
        <f t="shared" si="215"/>
        <v>225173</v>
      </c>
    </row>
    <row r="5722" spans="7:14" ht="11.25" customHeight="1" x14ac:dyDescent="0.3">
      <c r="G5722" s="470"/>
      <c r="H5722" s="470">
        <v>5715</v>
      </c>
      <c r="I5722" s="455">
        <f t="shared" ca="1" si="213"/>
        <v>8345411014994398</v>
      </c>
      <c r="J5722" s="455">
        <f t="array" ref="J5722">IFERROR(INDEX('Retirement Calculator'!J:J,MATCH('Isaac 401k'!N5722,'Retirement Calculator'!A:A,0),0),0)</f>
        <v>0</v>
      </c>
      <c r="K5722" s="455">
        <f t="shared" ca="1" si="211"/>
        <v>34772545895809.992</v>
      </c>
      <c r="L5722" s="455">
        <f t="shared" ca="1" si="212"/>
        <v>8380183560890208</v>
      </c>
      <c r="M5722" s="471">
        <f t="shared" si="214"/>
        <v>0.05</v>
      </c>
      <c r="N5722" s="475">
        <f t="shared" si="215"/>
        <v>225204</v>
      </c>
    </row>
    <row r="5723" spans="7:14" ht="11.25" customHeight="1" x14ac:dyDescent="0.3">
      <c r="G5723" s="470"/>
      <c r="H5723" s="470">
        <v>5716</v>
      </c>
      <c r="I5723" s="455">
        <f t="shared" ca="1" si="213"/>
        <v>8380183560890208</v>
      </c>
      <c r="J5723" s="455">
        <f t="array" ref="J5723">IFERROR(INDEX('Retirement Calculator'!J:J,MATCH('Isaac 401k'!N5723,'Retirement Calculator'!A:A,0),0),0)</f>
        <v>0</v>
      </c>
      <c r="K5723" s="455">
        <f t="shared" ca="1" si="211"/>
        <v>34917431503709.199</v>
      </c>
      <c r="L5723" s="455">
        <f t="shared" ca="1" si="212"/>
        <v>8415100992393917</v>
      </c>
      <c r="M5723" s="471">
        <f t="shared" si="214"/>
        <v>0.05</v>
      </c>
      <c r="N5723" s="475">
        <f t="shared" si="215"/>
        <v>225235</v>
      </c>
    </row>
    <row r="5724" spans="7:14" ht="11.25" customHeight="1" x14ac:dyDescent="0.3">
      <c r="G5724" s="470"/>
      <c r="H5724" s="470">
        <v>5717</v>
      </c>
      <c r="I5724" s="455">
        <f t="shared" ca="1" si="213"/>
        <v>8415100992393917</v>
      </c>
      <c r="J5724" s="455">
        <f t="array" ref="J5724">IFERROR(INDEX('Retirement Calculator'!J:J,MATCH('Isaac 401k'!N5724,'Retirement Calculator'!A:A,0),0),0)</f>
        <v>0</v>
      </c>
      <c r="K5724" s="455">
        <f t="shared" ca="1" si="211"/>
        <v>35062920801641.316</v>
      </c>
      <c r="L5724" s="455">
        <f t="shared" ca="1" si="212"/>
        <v>8450163913195558</v>
      </c>
      <c r="M5724" s="471">
        <f t="shared" si="214"/>
        <v>0.05</v>
      </c>
      <c r="N5724" s="475">
        <f t="shared" si="215"/>
        <v>225265</v>
      </c>
    </row>
    <row r="5725" spans="7:14" ht="11.25" customHeight="1" x14ac:dyDescent="0.3">
      <c r="G5725" s="470"/>
      <c r="H5725" s="470">
        <v>5718</v>
      </c>
      <c r="I5725" s="455">
        <f t="shared" ca="1" si="213"/>
        <v>8450163913195558</v>
      </c>
      <c r="J5725" s="455">
        <f t="array" ref="J5725">IFERROR(INDEX('Retirement Calculator'!J:J,MATCH('Isaac 401k'!N5725,'Retirement Calculator'!A:A,0),0),0)</f>
        <v>0</v>
      </c>
      <c r="K5725" s="455">
        <f t="shared" ca="1" si="211"/>
        <v>35209016304981.484</v>
      </c>
      <c r="L5725" s="455">
        <f t="shared" ca="1" si="212"/>
        <v>8485372929500539</v>
      </c>
      <c r="M5725" s="471">
        <f t="shared" si="214"/>
        <v>0.05</v>
      </c>
      <c r="N5725" s="475">
        <f t="shared" si="215"/>
        <v>225296</v>
      </c>
    </row>
    <row r="5726" spans="7:14" ht="11.25" customHeight="1" x14ac:dyDescent="0.3">
      <c r="G5726" s="470"/>
      <c r="H5726" s="470">
        <v>5719</v>
      </c>
      <c r="I5726" s="455">
        <f t="shared" ca="1" si="213"/>
        <v>8485372929500539</v>
      </c>
      <c r="J5726" s="455">
        <f t="array" ref="J5726">IFERROR(INDEX('Retirement Calculator'!J:J,MATCH('Isaac 401k'!N5726,'Retirement Calculator'!A:A,0),0),0)</f>
        <v>0</v>
      </c>
      <c r="K5726" s="455">
        <f t="shared" ca="1" si="211"/>
        <v>35355720539585.578</v>
      </c>
      <c r="L5726" s="455">
        <f t="shared" ca="1" si="212"/>
        <v>8520728650040125</v>
      </c>
      <c r="M5726" s="471">
        <f t="shared" si="214"/>
        <v>0.05</v>
      </c>
      <c r="N5726" s="475">
        <f t="shared" si="215"/>
        <v>225326</v>
      </c>
    </row>
    <row r="5727" spans="7:14" ht="11.25" customHeight="1" x14ac:dyDescent="0.3">
      <c r="G5727" s="470"/>
      <c r="H5727" s="470">
        <v>5720</v>
      </c>
      <c r="I5727" s="455">
        <f t="shared" ca="1" si="213"/>
        <v>8520728650040125</v>
      </c>
      <c r="J5727" s="455">
        <f t="array" ref="J5727">IFERROR(INDEX('Retirement Calculator'!J:J,MATCH('Isaac 401k'!N5727,'Retirement Calculator'!A:A,0),0),0)</f>
        <v>0</v>
      </c>
      <c r="K5727" s="455">
        <f t="shared" ca="1" si="211"/>
        <v>35503036041833.852</v>
      </c>
      <c r="L5727" s="455">
        <f t="shared" ca="1" si="212"/>
        <v>8556231686081959</v>
      </c>
      <c r="M5727" s="471">
        <f t="shared" si="214"/>
        <v>0.05</v>
      </c>
      <c r="N5727" s="475">
        <f t="shared" si="215"/>
        <v>225357</v>
      </c>
    </row>
    <row r="5728" spans="7:14" ht="11.25" customHeight="1" x14ac:dyDescent="0.3">
      <c r="G5728" s="470"/>
      <c r="H5728" s="470">
        <v>5721</v>
      </c>
      <c r="I5728" s="455">
        <f t="shared" ca="1" si="213"/>
        <v>8556231686081959</v>
      </c>
      <c r="J5728" s="455">
        <f t="array" ref="J5728">IFERROR(INDEX('Retirement Calculator'!J:J,MATCH('Isaac 401k'!N5728,'Retirement Calculator'!A:A,0),0),0)</f>
        <v>0</v>
      </c>
      <c r="K5728" s="455">
        <f t="shared" ca="1" si="211"/>
        <v>35650965358674.828</v>
      </c>
      <c r="L5728" s="455">
        <f t="shared" ca="1" si="212"/>
        <v>8591882651440634</v>
      </c>
      <c r="M5728" s="471">
        <f t="shared" si="214"/>
        <v>0.05</v>
      </c>
      <c r="N5728" s="475">
        <f t="shared" si="215"/>
        <v>225388</v>
      </c>
    </row>
    <row r="5729" spans="7:14" ht="11.25" customHeight="1" x14ac:dyDescent="0.3">
      <c r="G5729" s="470"/>
      <c r="H5729" s="470">
        <v>5722</v>
      </c>
      <c r="I5729" s="455">
        <f t="shared" ca="1" si="213"/>
        <v>8591882651440634</v>
      </c>
      <c r="J5729" s="455">
        <f t="array" ref="J5729">IFERROR(INDEX('Retirement Calculator'!J:J,MATCH('Isaac 401k'!N5729,'Retirement Calculator'!A:A,0),0),0)</f>
        <v>0</v>
      </c>
      <c r="K5729" s="455">
        <f t="shared" ca="1" si="211"/>
        <v>35799511047669.313</v>
      </c>
      <c r="L5729" s="455">
        <f t="shared" ca="1" si="212"/>
        <v>8627682162488303</v>
      </c>
      <c r="M5729" s="471">
        <f t="shared" si="214"/>
        <v>0.05</v>
      </c>
      <c r="N5729" s="475">
        <f t="shared" si="215"/>
        <v>225416</v>
      </c>
    </row>
    <row r="5730" spans="7:14" ht="11.25" customHeight="1" x14ac:dyDescent="0.3">
      <c r="G5730" s="470"/>
      <c r="H5730" s="470">
        <v>5723</v>
      </c>
      <c r="I5730" s="455">
        <f t="shared" ca="1" si="213"/>
        <v>8627682162488303</v>
      </c>
      <c r="J5730" s="455">
        <f t="array" ref="J5730">IFERROR(INDEX('Retirement Calculator'!J:J,MATCH('Isaac 401k'!N5730,'Retirement Calculator'!A:A,0),0),0)</f>
        <v>0</v>
      </c>
      <c r="K5730" s="455">
        <f t="shared" ca="1" si="211"/>
        <v>35948675677034.594</v>
      </c>
      <c r="L5730" s="455">
        <f t="shared" ca="1" si="212"/>
        <v>8663630838165338</v>
      </c>
      <c r="M5730" s="471">
        <f t="shared" si="214"/>
        <v>0.05</v>
      </c>
      <c r="N5730" s="475">
        <f t="shared" si="215"/>
        <v>225447</v>
      </c>
    </row>
    <row r="5731" spans="7:14" ht="11.25" customHeight="1" x14ac:dyDescent="0.3">
      <c r="G5731" s="470"/>
      <c r="H5731" s="470">
        <v>5724</v>
      </c>
      <c r="I5731" s="455">
        <f t="shared" ca="1" si="213"/>
        <v>8663630838165338</v>
      </c>
      <c r="J5731" s="455">
        <f t="array" ref="J5731">IFERROR(INDEX('Retirement Calculator'!J:J,MATCH('Isaac 401k'!N5731,'Retirement Calculator'!A:A,0),0),0)</f>
        <v>0</v>
      </c>
      <c r="K5731" s="455">
        <f t="shared" ca="1" si="211"/>
        <v>36098461825688.906</v>
      </c>
      <c r="L5731" s="455">
        <f t="shared" ca="1" si="212"/>
        <v>8699729299991027</v>
      </c>
      <c r="M5731" s="471">
        <f t="shared" si="214"/>
        <v>0.05</v>
      </c>
      <c r="N5731" s="475">
        <f t="shared" si="215"/>
        <v>225477</v>
      </c>
    </row>
    <row r="5732" spans="7:14" ht="11.25" customHeight="1" x14ac:dyDescent="0.3">
      <c r="G5732" s="470"/>
      <c r="H5732" s="470">
        <v>5725</v>
      </c>
      <c r="I5732" s="455">
        <f t="shared" ca="1" si="213"/>
        <v>8699729299991027</v>
      </c>
      <c r="J5732" s="455">
        <f t="array" ref="J5732">IFERROR(INDEX('Retirement Calculator'!J:J,MATCH('Isaac 401k'!N5732,'Retirement Calculator'!A:A,0),0),0)</f>
        <v>0</v>
      </c>
      <c r="K5732" s="455">
        <f t="shared" ca="1" si="211"/>
        <v>36248872083295.945</v>
      </c>
      <c r="L5732" s="455">
        <f t="shared" ca="1" si="212"/>
        <v>8735978172074323</v>
      </c>
      <c r="M5732" s="471">
        <f t="shared" si="214"/>
        <v>0.05</v>
      </c>
      <c r="N5732" s="475">
        <f t="shared" si="215"/>
        <v>225508</v>
      </c>
    </row>
    <row r="5733" spans="7:14" ht="11.25" customHeight="1" x14ac:dyDescent="0.3">
      <c r="G5733" s="470"/>
      <c r="H5733" s="470">
        <v>5726</v>
      </c>
      <c r="I5733" s="455">
        <f t="shared" ca="1" si="213"/>
        <v>8735978172074323</v>
      </c>
      <c r="J5733" s="455">
        <f t="array" ref="J5733">IFERROR(INDEX('Retirement Calculator'!J:J,MATCH('Isaac 401k'!N5733,'Retirement Calculator'!A:A,0),0),0)</f>
        <v>0</v>
      </c>
      <c r="K5733" s="455">
        <f t="shared" ca="1" si="211"/>
        <v>36399909050309.68</v>
      </c>
      <c r="L5733" s="455">
        <f t="shared" ca="1" si="212"/>
        <v>8772378081124633</v>
      </c>
      <c r="M5733" s="471">
        <f t="shared" si="214"/>
        <v>0.05</v>
      </c>
      <c r="N5733" s="475">
        <f t="shared" si="215"/>
        <v>225538</v>
      </c>
    </row>
    <row r="5734" spans="7:14" ht="11.25" customHeight="1" x14ac:dyDescent="0.3">
      <c r="G5734" s="470"/>
      <c r="H5734" s="470">
        <v>5727</v>
      </c>
      <c r="I5734" s="455">
        <f t="shared" ca="1" si="213"/>
        <v>8772378081124633</v>
      </c>
      <c r="J5734" s="455">
        <f t="array" ref="J5734">IFERROR(INDEX('Retirement Calculator'!J:J,MATCH('Isaac 401k'!N5734,'Retirement Calculator'!A:A,0),0),0)</f>
        <v>0</v>
      </c>
      <c r="K5734" s="455">
        <f t="shared" ca="1" si="211"/>
        <v>36551575338019.305</v>
      </c>
      <c r="L5734" s="455">
        <f t="shared" ca="1" si="212"/>
        <v>8808929656462652</v>
      </c>
      <c r="M5734" s="471">
        <f t="shared" si="214"/>
        <v>0.05</v>
      </c>
      <c r="N5734" s="475">
        <f t="shared" si="215"/>
        <v>225569</v>
      </c>
    </row>
    <row r="5735" spans="7:14" ht="11.25" customHeight="1" x14ac:dyDescent="0.3">
      <c r="G5735" s="470"/>
      <c r="H5735" s="470">
        <v>5728</v>
      </c>
      <c r="I5735" s="455">
        <f t="shared" ca="1" si="213"/>
        <v>8808929656462652</v>
      </c>
      <c r="J5735" s="455">
        <f t="array" ref="J5735">IFERROR(INDEX('Retirement Calculator'!J:J,MATCH('Isaac 401k'!N5735,'Retirement Calculator'!A:A,0),0),0)</f>
        <v>0</v>
      </c>
      <c r="K5735" s="455">
        <f t="shared" ca="1" si="211"/>
        <v>36703873568594.391</v>
      </c>
      <c r="L5735" s="455">
        <f t="shared" ca="1" si="212"/>
        <v>8845633530031246</v>
      </c>
      <c r="M5735" s="471">
        <f t="shared" si="214"/>
        <v>0.05</v>
      </c>
      <c r="N5735" s="475">
        <f t="shared" si="215"/>
        <v>225600</v>
      </c>
    </row>
    <row r="5736" spans="7:14" ht="11.25" customHeight="1" x14ac:dyDescent="0.3">
      <c r="G5736" s="470"/>
      <c r="H5736" s="470">
        <v>5729</v>
      </c>
      <c r="I5736" s="455">
        <f t="shared" ca="1" si="213"/>
        <v>8845633530031246</v>
      </c>
      <c r="J5736" s="455">
        <f t="array" ref="J5736">IFERROR(INDEX('Retirement Calculator'!J:J,MATCH('Isaac 401k'!N5736,'Retirement Calculator'!A:A,0),0),0)</f>
        <v>0</v>
      </c>
      <c r="K5736" s="455">
        <f t="shared" ca="1" si="211"/>
        <v>36856806375130.188</v>
      </c>
      <c r="L5736" s="455">
        <f t="shared" ca="1" si="212"/>
        <v>8882490336406376</v>
      </c>
      <c r="M5736" s="471">
        <f t="shared" si="214"/>
        <v>0.05</v>
      </c>
      <c r="N5736" s="475">
        <f t="shared" si="215"/>
        <v>225630</v>
      </c>
    </row>
    <row r="5737" spans="7:14" ht="11.25" customHeight="1" x14ac:dyDescent="0.3">
      <c r="G5737" s="470"/>
      <c r="H5737" s="470">
        <v>5730</v>
      </c>
      <c r="I5737" s="455">
        <f t="shared" ca="1" si="213"/>
        <v>8882490336406376</v>
      </c>
      <c r="J5737" s="455">
        <f t="array" ref="J5737">IFERROR(INDEX('Retirement Calculator'!J:J,MATCH('Isaac 401k'!N5737,'Retirement Calculator'!A:A,0),0),0)</f>
        <v>0</v>
      </c>
      <c r="K5737" s="455">
        <f t="shared" ca="1" si="211"/>
        <v>37010376401693.234</v>
      </c>
      <c r="L5737" s="455">
        <f t="shared" ca="1" si="212"/>
        <v>8919500712808069</v>
      </c>
      <c r="M5737" s="471">
        <f t="shared" si="214"/>
        <v>0.05</v>
      </c>
      <c r="N5737" s="475">
        <f t="shared" si="215"/>
        <v>225661</v>
      </c>
    </row>
    <row r="5738" spans="7:14" ht="11.25" customHeight="1" x14ac:dyDescent="0.3">
      <c r="G5738" s="470"/>
      <c r="H5738" s="470">
        <v>5731</v>
      </c>
      <c r="I5738" s="455">
        <f t="shared" ca="1" si="213"/>
        <v>8919500712808069</v>
      </c>
      <c r="J5738" s="455">
        <f t="array" ref="J5738">IFERROR(INDEX('Retirement Calculator'!J:J,MATCH('Isaac 401k'!N5738,'Retirement Calculator'!A:A,0),0),0)</f>
        <v>0</v>
      </c>
      <c r="K5738" s="455">
        <f t="shared" ca="1" si="211"/>
        <v>37164586303366.961</v>
      </c>
      <c r="L5738" s="455">
        <f t="shared" ca="1" si="212"/>
        <v>8956665299111436</v>
      </c>
      <c r="M5738" s="471">
        <f t="shared" si="214"/>
        <v>0.05</v>
      </c>
      <c r="N5738" s="475">
        <f t="shared" si="215"/>
        <v>225691</v>
      </c>
    </row>
    <row r="5739" spans="7:14" ht="11.25" customHeight="1" x14ac:dyDescent="0.3">
      <c r="G5739" s="470"/>
      <c r="H5739" s="470">
        <v>5732</v>
      </c>
      <c r="I5739" s="455">
        <f t="shared" ca="1" si="213"/>
        <v>8956665299111436</v>
      </c>
      <c r="J5739" s="455">
        <f t="array" ref="J5739">IFERROR(INDEX('Retirement Calculator'!J:J,MATCH('Isaac 401k'!N5739,'Retirement Calculator'!A:A,0),0),0)</f>
        <v>0</v>
      </c>
      <c r="K5739" s="455">
        <f t="shared" ca="1" si="211"/>
        <v>37319438746297.648</v>
      </c>
      <c r="L5739" s="455">
        <f t="shared" ca="1" si="212"/>
        <v>8993984737857734</v>
      </c>
      <c r="M5739" s="471">
        <f t="shared" si="214"/>
        <v>0.05</v>
      </c>
      <c r="N5739" s="475">
        <f t="shared" si="215"/>
        <v>225722</v>
      </c>
    </row>
    <row r="5740" spans="7:14" ht="11.25" customHeight="1" x14ac:dyDescent="0.3">
      <c r="G5740" s="470"/>
      <c r="H5740" s="470">
        <v>5733</v>
      </c>
      <c r="I5740" s="455">
        <f t="shared" ca="1" si="213"/>
        <v>8993984737857734</v>
      </c>
      <c r="J5740" s="455">
        <f t="array" ref="J5740">IFERROR(INDEX('Retirement Calculator'!J:J,MATCH('Isaac 401k'!N5740,'Retirement Calculator'!A:A,0),0),0)</f>
        <v>0</v>
      </c>
      <c r="K5740" s="455">
        <f t="shared" ca="1" si="211"/>
        <v>37474936407740.563</v>
      </c>
      <c r="L5740" s="455">
        <f t="shared" ca="1" si="212"/>
        <v>9031459674265474</v>
      </c>
      <c r="M5740" s="471">
        <f t="shared" si="214"/>
        <v>0.05</v>
      </c>
      <c r="N5740" s="475">
        <f t="shared" si="215"/>
        <v>225753</v>
      </c>
    </row>
    <row r="5741" spans="7:14" ht="11.25" customHeight="1" x14ac:dyDescent="0.3">
      <c r="G5741" s="470"/>
      <c r="H5741" s="470">
        <v>5734</v>
      </c>
      <c r="I5741" s="455">
        <f t="shared" ca="1" si="213"/>
        <v>9031459674265474</v>
      </c>
      <c r="J5741" s="455">
        <f t="array" ref="J5741">IFERROR(INDEX('Retirement Calculator'!J:J,MATCH('Isaac 401k'!N5741,'Retirement Calculator'!A:A,0),0),0)</f>
        <v>0</v>
      </c>
      <c r="K5741" s="455">
        <f t="shared" ca="1" si="211"/>
        <v>37631081976106.141</v>
      </c>
      <c r="L5741" s="455">
        <f t="shared" ca="1" si="212"/>
        <v>9069090756241580</v>
      </c>
      <c r="M5741" s="471">
        <f t="shared" si="214"/>
        <v>0.05</v>
      </c>
      <c r="N5741" s="475">
        <f t="shared" si="215"/>
        <v>225781</v>
      </c>
    </row>
    <row r="5742" spans="7:14" ht="11.25" customHeight="1" x14ac:dyDescent="0.3">
      <c r="G5742" s="470"/>
      <c r="H5742" s="470">
        <v>5735</v>
      </c>
      <c r="I5742" s="455">
        <f t="shared" ca="1" si="213"/>
        <v>9069090756241580</v>
      </c>
      <c r="J5742" s="455">
        <f t="array" ref="J5742">IFERROR(INDEX('Retirement Calculator'!J:J,MATCH('Isaac 401k'!N5742,'Retirement Calculator'!A:A,0),0),0)</f>
        <v>0</v>
      </c>
      <c r="K5742" s="455">
        <f t="shared" ca="1" si="211"/>
        <v>37787878151006.586</v>
      </c>
      <c r="L5742" s="455">
        <f t="shared" ca="1" si="212"/>
        <v>9106878634392586</v>
      </c>
      <c r="M5742" s="471">
        <f t="shared" si="214"/>
        <v>0.05</v>
      </c>
      <c r="N5742" s="475">
        <f t="shared" si="215"/>
        <v>225812</v>
      </c>
    </row>
    <row r="5743" spans="7:14" ht="11.25" customHeight="1" x14ac:dyDescent="0.3">
      <c r="G5743" s="470"/>
      <c r="H5743" s="470">
        <v>5736</v>
      </c>
      <c r="I5743" s="455">
        <f t="shared" ca="1" si="213"/>
        <v>9106878634392586</v>
      </c>
      <c r="J5743" s="455">
        <f t="array" ref="J5743">IFERROR(INDEX('Retirement Calculator'!J:J,MATCH('Isaac 401k'!N5743,'Retirement Calculator'!A:A,0),0),0)</f>
        <v>0</v>
      </c>
      <c r="K5743" s="455">
        <f t="shared" ca="1" si="211"/>
        <v>37945327643302.438</v>
      </c>
      <c r="L5743" s="455">
        <f t="shared" ca="1" si="212"/>
        <v>9144823962035888</v>
      </c>
      <c r="M5743" s="471">
        <f t="shared" si="214"/>
        <v>0.05</v>
      </c>
      <c r="N5743" s="475">
        <f t="shared" si="215"/>
        <v>225842</v>
      </c>
    </row>
    <row r="5744" spans="7:14" ht="11.25" customHeight="1" x14ac:dyDescent="0.3">
      <c r="G5744" s="470"/>
      <c r="H5744" s="470">
        <v>5737</v>
      </c>
      <c r="I5744" s="455">
        <f t="shared" ca="1" si="213"/>
        <v>9144823962035888</v>
      </c>
      <c r="J5744" s="455">
        <f t="array" ref="J5744">IFERROR(INDEX('Retirement Calculator'!J:J,MATCH('Isaac 401k'!N5744,'Retirement Calculator'!A:A,0),0),0)</f>
        <v>0</v>
      </c>
      <c r="K5744" s="455">
        <f t="shared" ca="1" si="211"/>
        <v>38103433175149.531</v>
      </c>
      <c r="L5744" s="455">
        <f t="shared" ca="1" si="212"/>
        <v>9182927395211038</v>
      </c>
      <c r="M5744" s="471">
        <f t="shared" si="214"/>
        <v>0.05</v>
      </c>
      <c r="N5744" s="475">
        <f t="shared" si="215"/>
        <v>225873</v>
      </c>
    </row>
    <row r="5745" spans="7:14" ht="11.25" customHeight="1" x14ac:dyDescent="0.3">
      <c r="G5745" s="470"/>
      <c r="H5745" s="470">
        <v>5738</v>
      </c>
      <c r="I5745" s="455">
        <f t="shared" ca="1" si="213"/>
        <v>9182927395211038</v>
      </c>
      <c r="J5745" s="455">
        <f t="array" ref="J5745">IFERROR(INDEX('Retirement Calculator'!J:J,MATCH('Isaac 401k'!N5745,'Retirement Calculator'!A:A,0),0),0)</f>
        <v>0</v>
      </c>
      <c r="K5745" s="455">
        <f t="shared" ca="1" si="211"/>
        <v>38262197480045.992</v>
      </c>
      <c r="L5745" s="455">
        <f t="shared" ca="1" si="212"/>
        <v>9221189592691084</v>
      </c>
      <c r="M5745" s="471">
        <f t="shared" si="214"/>
        <v>0.05</v>
      </c>
      <c r="N5745" s="475">
        <f t="shared" si="215"/>
        <v>225903</v>
      </c>
    </row>
    <row r="5746" spans="7:14" ht="11.25" customHeight="1" x14ac:dyDescent="0.3">
      <c r="G5746" s="470"/>
      <c r="H5746" s="470">
        <v>5739</v>
      </c>
      <c r="I5746" s="455">
        <f t="shared" ca="1" si="213"/>
        <v>9221189592691084</v>
      </c>
      <c r="J5746" s="455">
        <f t="array" ref="J5746">IFERROR(INDEX('Retirement Calculator'!J:J,MATCH('Isaac 401k'!N5746,'Retirement Calculator'!A:A,0),0),0)</f>
        <v>0</v>
      </c>
      <c r="K5746" s="455">
        <f t="shared" ca="1" si="211"/>
        <v>38421623302879.516</v>
      </c>
      <c r="L5746" s="455">
        <f t="shared" ca="1" si="212"/>
        <v>9259611215993964</v>
      </c>
      <c r="M5746" s="471">
        <f t="shared" si="214"/>
        <v>0.05</v>
      </c>
      <c r="N5746" s="475">
        <f t="shared" si="215"/>
        <v>225934</v>
      </c>
    </row>
    <row r="5747" spans="7:14" ht="11.25" customHeight="1" x14ac:dyDescent="0.3">
      <c r="G5747" s="470"/>
      <c r="H5747" s="470">
        <v>5740</v>
      </c>
      <c r="I5747" s="455">
        <f t="shared" ca="1" si="213"/>
        <v>9259611215993964</v>
      </c>
      <c r="J5747" s="455">
        <f t="array" ref="J5747">IFERROR(INDEX('Retirement Calculator'!J:J,MATCH('Isaac 401k'!N5747,'Retirement Calculator'!A:A,0),0),0)</f>
        <v>0</v>
      </c>
      <c r="K5747" s="455">
        <f t="shared" ca="1" si="211"/>
        <v>38581713399974.852</v>
      </c>
      <c r="L5747" s="455">
        <f t="shared" ca="1" si="212"/>
        <v>9298192929393938</v>
      </c>
      <c r="M5747" s="471">
        <f t="shared" si="214"/>
        <v>0.05</v>
      </c>
      <c r="N5747" s="475">
        <f t="shared" si="215"/>
        <v>225965</v>
      </c>
    </row>
    <row r="5748" spans="7:14" ht="11.25" customHeight="1" x14ac:dyDescent="0.3">
      <c r="G5748" s="470"/>
      <c r="H5748" s="470">
        <v>5741</v>
      </c>
      <c r="I5748" s="455">
        <f t="shared" ca="1" si="213"/>
        <v>9298192929393938</v>
      </c>
      <c r="J5748" s="455">
        <f t="array" ref="J5748">IFERROR(INDEX('Retirement Calculator'!J:J,MATCH('Isaac 401k'!N5748,'Retirement Calculator'!A:A,0),0),0)</f>
        <v>0</v>
      </c>
      <c r="K5748" s="455">
        <f t="shared" ca="1" si="211"/>
        <v>38742470539141.406</v>
      </c>
      <c r="L5748" s="455">
        <f t="shared" ca="1" si="212"/>
        <v>9336935399933080</v>
      </c>
      <c r="M5748" s="471">
        <f t="shared" si="214"/>
        <v>0.05</v>
      </c>
      <c r="N5748" s="475">
        <f t="shared" si="215"/>
        <v>225995</v>
      </c>
    </row>
    <row r="5749" spans="7:14" ht="11.25" customHeight="1" x14ac:dyDescent="0.3">
      <c r="G5749" s="470"/>
      <c r="H5749" s="470">
        <v>5742</v>
      </c>
      <c r="I5749" s="455">
        <f t="shared" ca="1" si="213"/>
        <v>9336935399933080</v>
      </c>
      <c r="J5749" s="455">
        <f t="array" ref="J5749">IFERROR(INDEX('Retirement Calculator'!J:J,MATCH('Isaac 401k'!N5749,'Retirement Calculator'!A:A,0),0),0)</f>
        <v>0</v>
      </c>
      <c r="K5749" s="455">
        <f t="shared" ca="1" si="211"/>
        <v>38903897499721.164</v>
      </c>
      <c r="L5749" s="455">
        <f t="shared" ca="1" si="212"/>
        <v>9375839297432802</v>
      </c>
      <c r="M5749" s="471">
        <f t="shared" si="214"/>
        <v>0.05</v>
      </c>
      <c r="N5749" s="475">
        <f t="shared" si="215"/>
        <v>226026</v>
      </c>
    </row>
    <row r="5750" spans="7:14" ht="11.25" customHeight="1" x14ac:dyDescent="0.3">
      <c r="G5750" s="470"/>
      <c r="H5750" s="470">
        <v>5743</v>
      </c>
      <c r="I5750" s="455">
        <f t="shared" ca="1" si="213"/>
        <v>9375839297432802</v>
      </c>
      <c r="J5750" s="455">
        <f t="array" ref="J5750">IFERROR(INDEX('Retirement Calculator'!J:J,MATCH('Isaac 401k'!N5750,'Retirement Calculator'!A:A,0),0),0)</f>
        <v>0</v>
      </c>
      <c r="K5750" s="455">
        <f t="shared" ca="1" si="211"/>
        <v>39065997072636.672</v>
      </c>
      <c r="L5750" s="455">
        <f t="shared" ca="1" si="212"/>
        <v>9414905294505438</v>
      </c>
      <c r="M5750" s="471">
        <f t="shared" si="214"/>
        <v>0.05</v>
      </c>
      <c r="N5750" s="475">
        <f t="shared" si="215"/>
        <v>226056</v>
      </c>
    </row>
    <row r="5751" spans="7:14" ht="11.25" customHeight="1" x14ac:dyDescent="0.3">
      <c r="G5751" s="470"/>
      <c r="H5751" s="470">
        <v>5744</v>
      </c>
      <c r="I5751" s="455">
        <f t="shared" ca="1" si="213"/>
        <v>9414905294505438</v>
      </c>
      <c r="J5751" s="455">
        <f t="array" ref="J5751">IFERROR(INDEX('Retirement Calculator'!J:J,MATCH('Isaac 401k'!N5751,'Retirement Calculator'!A:A,0),0),0)</f>
        <v>0</v>
      </c>
      <c r="K5751" s="455">
        <f t="shared" ca="1" si="211"/>
        <v>39228772060439.328</v>
      </c>
      <c r="L5751" s="455">
        <f t="shared" ca="1" si="212"/>
        <v>9454134066565878</v>
      </c>
      <c r="M5751" s="471">
        <f t="shared" si="214"/>
        <v>0.05</v>
      </c>
      <c r="N5751" s="475">
        <f t="shared" si="215"/>
        <v>226087</v>
      </c>
    </row>
    <row r="5752" spans="7:14" ht="11.25" customHeight="1" x14ac:dyDescent="0.3">
      <c r="G5752" s="470"/>
      <c r="H5752" s="470">
        <v>5745</v>
      </c>
      <c r="I5752" s="455">
        <f t="shared" ca="1" si="213"/>
        <v>9454134066565878</v>
      </c>
      <c r="J5752" s="455">
        <f t="array" ref="J5752">IFERROR(INDEX('Retirement Calculator'!J:J,MATCH('Isaac 401k'!N5752,'Retirement Calculator'!A:A,0),0),0)</f>
        <v>0</v>
      </c>
      <c r="K5752" s="455">
        <f t="shared" ca="1" si="211"/>
        <v>39392225277357.828</v>
      </c>
      <c r="L5752" s="455">
        <f t="shared" ca="1" si="212"/>
        <v>9493526291843236</v>
      </c>
      <c r="M5752" s="471">
        <f t="shared" si="214"/>
        <v>0.05</v>
      </c>
      <c r="N5752" s="475">
        <f t="shared" si="215"/>
        <v>226118</v>
      </c>
    </row>
    <row r="5753" spans="7:14" ht="11.25" customHeight="1" x14ac:dyDescent="0.3">
      <c r="G5753" s="470"/>
      <c r="H5753" s="470">
        <v>5746</v>
      </c>
      <c r="I5753" s="455">
        <f t="shared" ca="1" si="213"/>
        <v>9493526291843236</v>
      </c>
      <c r="J5753" s="455">
        <f t="array" ref="J5753">IFERROR(INDEX('Retirement Calculator'!J:J,MATCH('Isaac 401k'!N5753,'Retirement Calculator'!A:A,0),0),0)</f>
        <v>0</v>
      </c>
      <c r="K5753" s="455">
        <f t="shared" ca="1" si="211"/>
        <v>39556359549346.813</v>
      </c>
      <c r="L5753" s="455">
        <f t="shared" ca="1" si="212"/>
        <v>9533082651392582</v>
      </c>
      <c r="M5753" s="471">
        <f t="shared" si="214"/>
        <v>0.05</v>
      </c>
      <c r="N5753" s="475">
        <f t="shared" si="215"/>
        <v>226146</v>
      </c>
    </row>
    <row r="5754" spans="7:14" ht="11.25" customHeight="1" x14ac:dyDescent="0.3">
      <c r="G5754" s="470"/>
      <c r="H5754" s="470">
        <v>5747</v>
      </c>
      <c r="I5754" s="455">
        <f t="shared" ca="1" si="213"/>
        <v>9533082651392582</v>
      </c>
      <c r="J5754" s="455">
        <f t="array" ref="J5754">IFERROR(INDEX('Retirement Calculator'!J:J,MATCH('Isaac 401k'!N5754,'Retirement Calculator'!A:A,0),0),0)</f>
        <v>0</v>
      </c>
      <c r="K5754" s="455">
        <f t="shared" ca="1" si="211"/>
        <v>39721177714135.758</v>
      </c>
      <c r="L5754" s="455">
        <f t="shared" ca="1" si="212"/>
        <v>9572803829106718</v>
      </c>
      <c r="M5754" s="471">
        <f t="shared" si="214"/>
        <v>0.05</v>
      </c>
      <c r="N5754" s="475">
        <f t="shared" si="215"/>
        <v>226177</v>
      </c>
    </row>
    <row r="5755" spans="7:14" ht="11.25" customHeight="1" x14ac:dyDescent="0.3">
      <c r="G5755" s="470"/>
      <c r="H5755" s="470">
        <v>5748</v>
      </c>
      <c r="I5755" s="455">
        <f t="shared" ca="1" si="213"/>
        <v>9572803829106718</v>
      </c>
      <c r="J5755" s="455">
        <f t="array" ref="J5755">IFERROR(INDEX('Retirement Calculator'!J:J,MATCH('Isaac 401k'!N5755,'Retirement Calculator'!A:A,0),0),0)</f>
        <v>0</v>
      </c>
      <c r="K5755" s="455">
        <f t="shared" ca="1" si="211"/>
        <v>39886682621277.992</v>
      </c>
      <c r="L5755" s="455">
        <f t="shared" ca="1" si="212"/>
        <v>9612690511727996</v>
      </c>
      <c r="M5755" s="471">
        <f t="shared" si="214"/>
        <v>0.05</v>
      </c>
      <c r="N5755" s="475">
        <f t="shared" si="215"/>
        <v>226207</v>
      </c>
    </row>
    <row r="5756" spans="7:14" ht="11.25" customHeight="1" x14ac:dyDescent="0.3">
      <c r="G5756" s="470"/>
      <c r="H5756" s="470">
        <v>5749</v>
      </c>
      <c r="I5756" s="455">
        <f t="shared" ca="1" si="213"/>
        <v>9612690511727996</v>
      </c>
      <c r="J5756" s="455">
        <f t="array" ref="J5756">IFERROR(INDEX('Retirement Calculator'!J:J,MATCH('Isaac 401k'!N5756,'Retirement Calculator'!A:A,0),0),0)</f>
        <v>0</v>
      </c>
      <c r="K5756" s="455">
        <f t="shared" ca="1" si="211"/>
        <v>40052877132199.984</v>
      </c>
      <c r="L5756" s="455">
        <f t="shared" ca="1" si="212"/>
        <v>9652743388860196</v>
      </c>
      <c r="M5756" s="471">
        <f t="shared" si="214"/>
        <v>0.05</v>
      </c>
      <c r="N5756" s="475">
        <f t="shared" si="215"/>
        <v>226238</v>
      </c>
    </row>
    <row r="5757" spans="7:14" ht="11.25" customHeight="1" x14ac:dyDescent="0.3">
      <c r="G5757" s="470"/>
      <c r="H5757" s="470">
        <v>5750</v>
      </c>
      <c r="I5757" s="455">
        <f t="shared" ca="1" si="213"/>
        <v>9652743388860196</v>
      </c>
      <c r="J5757" s="455">
        <f t="array" ref="J5757">IFERROR(INDEX('Retirement Calculator'!J:J,MATCH('Isaac 401k'!N5757,'Retirement Calculator'!A:A,0),0),0)</f>
        <v>0</v>
      </c>
      <c r="K5757" s="455">
        <f t="shared" ca="1" si="211"/>
        <v>40219764120250.813</v>
      </c>
      <c r="L5757" s="455">
        <f t="shared" ca="1" si="212"/>
        <v>9692963152980446</v>
      </c>
      <c r="M5757" s="471">
        <f t="shared" si="214"/>
        <v>0.05</v>
      </c>
      <c r="N5757" s="475">
        <f t="shared" si="215"/>
        <v>226268</v>
      </c>
    </row>
    <row r="5758" spans="7:14" ht="11.25" customHeight="1" x14ac:dyDescent="0.3">
      <c r="G5758" s="470"/>
      <c r="H5758" s="470">
        <v>5751</v>
      </c>
      <c r="I5758" s="455">
        <f t="shared" ca="1" si="213"/>
        <v>9692963152980446</v>
      </c>
      <c r="J5758" s="455">
        <f t="array" ref="J5758">IFERROR(INDEX('Retirement Calculator'!J:J,MATCH('Isaac 401k'!N5758,'Retirement Calculator'!A:A,0),0),0)</f>
        <v>0</v>
      </c>
      <c r="K5758" s="455">
        <f t="shared" ca="1" si="211"/>
        <v>40387346470751.859</v>
      </c>
      <c r="L5758" s="455">
        <f t="shared" ca="1" si="212"/>
        <v>9733350499451198</v>
      </c>
      <c r="M5758" s="471">
        <f t="shared" si="214"/>
        <v>0.05</v>
      </c>
      <c r="N5758" s="475">
        <f t="shared" si="215"/>
        <v>226299</v>
      </c>
    </row>
    <row r="5759" spans="7:14" ht="11.25" customHeight="1" x14ac:dyDescent="0.3">
      <c r="G5759" s="470"/>
      <c r="H5759" s="470">
        <v>5752</v>
      </c>
      <c r="I5759" s="455">
        <f t="shared" ca="1" si="213"/>
        <v>9733350499451198</v>
      </c>
      <c r="J5759" s="455">
        <f t="array" ref="J5759">IFERROR(INDEX('Retirement Calculator'!J:J,MATCH('Isaac 401k'!N5759,'Retirement Calculator'!A:A,0),0),0)</f>
        <v>0</v>
      </c>
      <c r="K5759" s="455">
        <f t="shared" ca="1" si="211"/>
        <v>40555627081046.656</v>
      </c>
      <c r="L5759" s="455">
        <f t="shared" ca="1" si="212"/>
        <v>9773906126532244</v>
      </c>
      <c r="M5759" s="471">
        <f t="shared" si="214"/>
        <v>0.05</v>
      </c>
      <c r="N5759" s="475">
        <f t="shared" si="215"/>
        <v>226330</v>
      </c>
    </row>
    <row r="5760" spans="7:14" ht="11.25" customHeight="1" x14ac:dyDescent="0.3">
      <c r="G5760" s="470"/>
      <c r="H5760" s="470">
        <v>5753</v>
      </c>
      <c r="I5760" s="455">
        <f t="shared" ca="1" si="213"/>
        <v>9773906126532244</v>
      </c>
      <c r="J5760" s="455">
        <f t="array" ref="J5760">IFERROR(INDEX('Retirement Calculator'!J:J,MATCH('Isaac 401k'!N5760,'Retirement Calculator'!A:A,0),0),0)</f>
        <v>0</v>
      </c>
      <c r="K5760" s="455">
        <f t="shared" ca="1" si="211"/>
        <v>40724608860551.016</v>
      </c>
      <c r="L5760" s="455">
        <f t="shared" ca="1" si="212"/>
        <v>9814630735392796</v>
      </c>
      <c r="M5760" s="471">
        <f t="shared" si="214"/>
        <v>0.05</v>
      </c>
      <c r="N5760" s="475">
        <f t="shared" si="215"/>
        <v>226360</v>
      </c>
    </row>
    <row r="5761" spans="7:14" ht="11.25" customHeight="1" x14ac:dyDescent="0.3">
      <c r="G5761" s="470"/>
      <c r="H5761" s="470">
        <v>5754</v>
      </c>
      <c r="I5761" s="455">
        <f t="shared" ca="1" si="213"/>
        <v>9814630735392796</v>
      </c>
      <c r="J5761" s="455">
        <f t="array" ref="J5761">IFERROR(INDEX('Retirement Calculator'!J:J,MATCH('Isaac 401k'!N5761,'Retirement Calculator'!A:A,0),0),0)</f>
        <v>0</v>
      </c>
      <c r="K5761" s="455">
        <f t="shared" ca="1" si="211"/>
        <v>40894294730803.313</v>
      </c>
      <c r="L5761" s="455">
        <f t="shared" ca="1" si="212"/>
        <v>9855525030123600</v>
      </c>
      <c r="M5761" s="471">
        <f t="shared" si="214"/>
        <v>0.05</v>
      </c>
      <c r="N5761" s="475">
        <f t="shared" si="215"/>
        <v>226391</v>
      </c>
    </row>
    <row r="5762" spans="7:14" ht="11.25" customHeight="1" x14ac:dyDescent="0.3">
      <c r="G5762" s="470"/>
      <c r="H5762" s="470">
        <v>5755</v>
      </c>
      <c r="I5762" s="455">
        <f t="shared" ca="1" si="213"/>
        <v>9855525030123600</v>
      </c>
      <c r="J5762" s="455">
        <f t="array" ref="J5762">IFERROR(INDEX('Retirement Calculator'!J:J,MATCH('Isaac 401k'!N5762,'Retirement Calculator'!A:A,0),0),0)</f>
        <v>0</v>
      </c>
      <c r="K5762" s="455">
        <f t="shared" ca="1" si="211"/>
        <v>41064687625515</v>
      </c>
      <c r="L5762" s="455">
        <f t="shared" ca="1" si="212"/>
        <v>9896589717749116</v>
      </c>
      <c r="M5762" s="471">
        <f t="shared" si="214"/>
        <v>0.05</v>
      </c>
      <c r="N5762" s="475">
        <f t="shared" si="215"/>
        <v>226421</v>
      </c>
    </row>
    <row r="5763" spans="7:14" ht="11.25" customHeight="1" x14ac:dyDescent="0.3">
      <c r="G5763" s="470"/>
      <c r="H5763" s="470">
        <v>5756</v>
      </c>
      <c r="I5763" s="455">
        <f t="shared" ca="1" si="213"/>
        <v>9896589717749116</v>
      </c>
      <c r="J5763" s="455">
        <f t="array" ref="J5763">IFERROR(INDEX('Retirement Calculator'!J:J,MATCH('Isaac 401k'!N5763,'Retirement Calculator'!A:A,0),0),0)</f>
        <v>0</v>
      </c>
      <c r="K5763" s="455">
        <f t="shared" ca="1" si="211"/>
        <v>41235790490621.313</v>
      </c>
      <c r="L5763" s="455">
        <f t="shared" ca="1" si="212"/>
        <v>9937825508239738</v>
      </c>
      <c r="M5763" s="471">
        <f t="shared" si="214"/>
        <v>0.05</v>
      </c>
      <c r="N5763" s="475">
        <f t="shared" si="215"/>
        <v>226452</v>
      </c>
    </row>
    <row r="5764" spans="7:14" ht="11.25" customHeight="1" x14ac:dyDescent="0.3">
      <c r="G5764" s="470"/>
      <c r="H5764" s="470">
        <v>5757</v>
      </c>
      <c r="I5764" s="455">
        <f t="shared" ca="1" si="213"/>
        <v>9937825508239738</v>
      </c>
      <c r="J5764" s="455">
        <f t="array" ref="J5764">IFERROR(INDEX('Retirement Calculator'!J:J,MATCH('Isaac 401k'!N5764,'Retirement Calculator'!A:A,0),0),0)</f>
        <v>0</v>
      </c>
      <c r="K5764" s="455">
        <f t="shared" ca="1" si="211"/>
        <v>41407606284332.242</v>
      </c>
      <c r="L5764" s="455">
        <f t="shared" ca="1" si="212"/>
        <v>9979233114524070</v>
      </c>
      <c r="M5764" s="471">
        <f t="shared" si="214"/>
        <v>0.05</v>
      </c>
      <c r="N5764" s="475">
        <f t="shared" si="215"/>
        <v>226483</v>
      </c>
    </row>
    <row r="5765" spans="7:14" ht="11.25" customHeight="1" x14ac:dyDescent="0.3">
      <c r="G5765" s="470"/>
      <c r="H5765" s="470">
        <v>5758</v>
      </c>
      <c r="I5765" s="455">
        <f t="shared" ca="1" si="213"/>
        <v>9979233114524070</v>
      </c>
      <c r="J5765" s="455">
        <f t="array" ref="J5765">IFERROR(INDEX('Retirement Calculator'!J:J,MATCH('Isaac 401k'!N5765,'Retirement Calculator'!A:A,0),0),0)</f>
        <v>0</v>
      </c>
      <c r="K5765" s="455">
        <f t="shared" ca="1" si="211"/>
        <v>41580137977183.625</v>
      </c>
      <c r="L5765" s="455">
        <f t="shared" ca="1" si="212"/>
        <v>1.0020813252501254E+16</v>
      </c>
      <c r="M5765" s="471">
        <f t="shared" si="214"/>
        <v>0.05</v>
      </c>
      <c r="N5765" s="475">
        <f t="shared" si="215"/>
        <v>226512</v>
      </c>
    </row>
    <row r="5766" spans="7:14" ht="11.25" customHeight="1" x14ac:dyDescent="0.3">
      <c r="G5766" s="470"/>
      <c r="H5766" s="470">
        <v>5759</v>
      </c>
      <c r="I5766" s="455">
        <f t="shared" ca="1" si="213"/>
        <v>1.0020813252501254E+16</v>
      </c>
      <c r="J5766" s="455">
        <f t="array" ref="J5766">IFERROR(INDEX('Retirement Calculator'!J:J,MATCH('Isaac 401k'!N5766,'Retirement Calculator'!A:A,0),0),0)</f>
        <v>0</v>
      </c>
      <c r="K5766" s="455">
        <f t="shared" ca="1" si="211"/>
        <v>41753388552088.555</v>
      </c>
      <c r="L5766" s="455">
        <f t="shared" ca="1" si="212"/>
        <v>1.0062566641053342E+16</v>
      </c>
      <c r="M5766" s="471">
        <f t="shared" si="214"/>
        <v>0.05</v>
      </c>
      <c r="N5766" s="475">
        <f t="shared" si="215"/>
        <v>226543</v>
      </c>
    </row>
    <row r="5767" spans="7:14" ht="11.25" customHeight="1" x14ac:dyDescent="0.3">
      <c r="G5767" s="470"/>
      <c r="H5767" s="470">
        <v>5760</v>
      </c>
      <c r="I5767" s="455">
        <f t="shared" ca="1" si="213"/>
        <v>1.0062566641053342E+16</v>
      </c>
      <c r="J5767" s="455">
        <f t="array" ref="J5767">IFERROR(INDEX('Retirement Calculator'!J:J,MATCH('Isaac 401k'!N5767,'Retirement Calculator'!A:A,0),0),0)</f>
        <v>0</v>
      </c>
      <c r="K5767" s="455">
        <f t="shared" ca="1" si="211"/>
        <v>41927361004388.922</v>
      </c>
      <c r="L5767" s="455">
        <f t="shared" ca="1" si="212"/>
        <v>1.010449400205773E+16</v>
      </c>
      <c r="M5767" s="471">
        <f t="shared" si="214"/>
        <v>0.05</v>
      </c>
      <c r="N5767" s="475">
        <f t="shared" si="215"/>
        <v>226573</v>
      </c>
    </row>
    <row r="5768" spans="7:14" ht="11.25" customHeight="1" x14ac:dyDescent="0.3">
      <c r="G5768" s="470"/>
      <c r="H5768" s="470">
        <v>5761</v>
      </c>
      <c r="I5768" s="455">
        <f t="shared" ca="1" si="213"/>
        <v>1.010449400205773E+16</v>
      </c>
      <c r="J5768" s="455">
        <f t="array" ref="J5768">IFERROR(INDEX('Retirement Calculator'!J:J,MATCH('Isaac 401k'!N5768,'Retirement Calculator'!A:A,0),0),0)</f>
        <v>0</v>
      </c>
      <c r="K5768" s="455">
        <f t="shared" ca="1" si="211"/>
        <v>42102058341907.211</v>
      </c>
      <c r="L5768" s="455">
        <f t="shared" ca="1" si="212"/>
        <v>1.0146596060399638E+16</v>
      </c>
      <c r="M5768" s="471">
        <f t="shared" si="214"/>
        <v>0.05</v>
      </c>
      <c r="N5768" s="475">
        <f t="shared" si="215"/>
        <v>226604</v>
      </c>
    </row>
    <row r="5769" spans="7:14" ht="11.25" customHeight="1" x14ac:dyDescent="0.3">
      <c r="G5769" s="470"/>
      <c r="H5769" s="470">
        <v>5762</v>
      </c>
      <c r="I5769" s="455">
        <f t="shared" ca="1" si="213"/>
        <v>1.0146596060399638E+16</v>
      </c>
      <c r="J5769" s="455">
        <f t="array" ref="J5769">IFERROR(INDEX('Retirement Calculator'!J:J,MATCH('Isaac 401k'!N5769,'Retirement Calculator'!A:A,0),0),0)</f>
        <v>0</v>
      </c>
      <c r="K5769" s="455">
        <f t="shared" ca="1" si="211"/>
        <v>42277483584998.492</v>
      </c>
      <c r="L5769" s="455">
        <f t="shared" ca="1" si="212"/>
        <v>1.0188873543984636E+16</v>
      </c>
      <c r="M5769" s="471">
        <f t="shared" si="214"/>
        <v>0.05</v>
      </c>
      <c r="N5769" s="475">
        <f t="shared" si="215"/>
        <v>226634</v>
      </c>
    </row>
    <row r="5770" spans="7:14" ht="11.25" customHeight="1" x14ac:dyDescent="0.3">
      <c r="G5770" s="470"/>
      <c r="H5770" s="470">
        <v>5763</v>
      </c>
      <c r="I5770" s="455">
        <f t="shared" ca="1" si="213"/>
        <v>1.0188873543984636E+16</v>
      </c>
      <c r="J5770" s="455">
        <f t="array" ref="J5770">IFERROR(INDEX('Retirement Calculator'!J:J,MATCH('Isaac 401k'!N5770,'Retirement Calculator'!A:A,0),0),0)</f>
        <v>0</v>
      </c>
      <c r="K5770" s="455">
        <f t="shared" ca="1" si="211"/>
        <v>42453639766602.648</v>
      </c>
      <c r="L5770" s="455">
        <f t="shared" ca="1" si="212"/>
        <v>1.0231327183751238E+16</v>
      </c>
      <c r="M5770" s="471">
        <f t="shared" si="214"/>
        <v>0.05</v>
      </c>
      <c r="N5770" s="475">
        <f t="shared" si="215"/>
        <v>226665</v>
      </c>
    </row>
    <row r="5771" spans="7:14" ht="11.25" customHeight="1" x14ac:dyDescent="0.3">
      <c r="G5771" s="470"/>
      <c r="H5771" s="470">
        <v>5764</v>
      </c>
      <c r="I5771" s="455">
        <f t="shared" ca="1" si="213"/>
        <v>1.0231327183751238E+16</v>
      </c>
      <c r="J5771" s="455">
        <f t="array" ref="J5771">IFERROR(INDEX('Retirement Calculator'!J:J,MATCH('Isaac 401k'!N5771,'Retirement Calculator'!A:A,0),0),0)</f>
        <v>0</v>
      </c>
      <c r="K5771" s="455">
        <f t="shared" ca="1" si="211"/>
        <v>42630529932296.828</v>
      </c>
      <c r="L5771" s="455">
        <f t="shared" ca="1" si="212"/>
        <v>1.0273957713683534E+16</v>
      </c>
      <c r="M5771" s="471">
        <f t="shared" si="214"/>
        <v>0.05</v>
      </c>
      <c r="N5771" s="475">
        <f t="shared" si="215"/>
        <v>226696</v>
      </c>
    </row>
    <row r="5772" spans="7:14" ht="11.25" customHeight="1" x14ac:dyDescent="0.3">
      <c r="G5772" s="470"/>
      <c r="H5772" s="470">
        <v>5765</v>
      </c>
      <c r="I5772" s="455">
        <f t="shared" ca="1" si="213"/>
        <v>1.0273957713683534E+16</v>
      </c>
      <c r="J5772" s="455">
        <f t="array" ref="J5772">IFERROR(INDEX('Retirement Calculator'!J:J,MATCH('Isaac 401k'!N5772,'Retirement Calculator'!A:A,0),0),0)</f>
        <v>0</v>
      </c>
      <c r="K5772" s="455">
        <f t="shared" ca="1" si="211"/>
        <v>42808157140348.055</v>
      </c>
      <c r="L5772" s="455">
        <f t="shared" ca="1" si="212"/>
        <v>1.0316765870823882E+16</v>
      </c>
      <c r="M5772" s="471">
        <f t="shared" si="214"/>
        <v>0.05</v>
      </c>
      <c r="N5772" s="475">
        <f t="shared" si="215"/>
        <v>226726</v>
      </c>
    </row>
    <row r="5773" spans="7:14" ht="11.25" customHeight="1" x14ac:dyDescent="0.3">
      <c r="G5773" s="470"/>
      <c r="H5773" s="470">
        <v>5766</v>
      </c>
      <c r="I5773" s="455">
        <f t="shared" ca="1" si="213"/>
        <v>1.0316765870823882E+16</v>
      </c>
      <c r="J5773" s="455">
        <f t="array" ref="J5773">IFERROR(INDEX('Retirement Calculator'!J:J,MATCH('Isaac 401k'!N5773,'Retirement Calculator'!A:A,0),0),0)</f>
        <v>0</v>
      </c>
      <c r="K5773" s="455">
        <f t="shared" ca="1" si="211"/>
        <v>42986524461766.172</v>
      </c>
      <c r="L5773" s="455">
        <f t="shared" ca="1" si="212"/>
        <v>1.0359752395285648E+16</v>
      </c>
      <c r="M5773" s="471">
        <f t="shared" si="214"/>
        <v>0.05</v>
      </c>
      <c r="N5773" s="475">
        <f t="shared" si="215"/>
        <v>226757</v>
      </c>
    </row>
    <row r="5774" spans="7:14" ht="11.25" customHeight="1" x14ac:dyDescent="0.3">
      <c r="G5774" s="470"/>
      <c r="H5774" s="470">
        <v>5767</v>
      </c>
      <c r="I5774" s="455">
        <f t="shared" ca="1" si="213"/>
        <v>1.0359752395285648E+16</v>
      </c>
      <c r="J5774" s="455">
        <f t="array" ref="J5774">IFERROR(INDEX('Retirement Calculator'!J:J,MATCH('Isaac 401k'!N5774,'Retirement Calculator'!A:A,0),0),0)</f>
        <v>0</v>
      </c>
      <c r="K5774" s="455">
        <f t="shared" ca="1" si="211"/>
        <v>43165634980356.867</v>
      </c>
      <c r="L5774" s="455">
        <f t="shared" ca="1" si="212"/>
        <v>1.0402918030266004E+16</v>
      </c>
      <c r="M5774" s="471">
        <f t="shared" si="214"/>
        <v>0.05</v>
      </c>
      <c r="N5774" s="475">
        <f t="shared" si="215"/>
        <v>226787</v>
      </c>
    </row>
    <row r="5775" spans="7:14" ht="11.25" customHeight="1" x14ac:dyDescent="0.3">
      <c r="G5775" s="470"/>
      <c r="H5775" s="470">
        <v>5768</v>
      </c>
      <c r="I5775" s="455">
        <f t="shared" ca="1" si="213"/>
        <v>1.0402918030266004E+16</v>
      </c>
      <c r="J5775" s="455">
        <f t="array" ref="J5775">IFERROR(INDEX('Retirement Calculator'!J:J,MATCH('Isaac 401k'!N5775,'Retirement Calculator'!A:A,0),0),0)</f>
        <v>0</v>
      </c>
      <c r="K5775" s="455">
        <f t="shared" ca="1" si="211"/>
        <v>43345491792775.016</v>
      </c>
      <c r="L5775" s="455">
        <f t="shared" ca="1" si="212"/>
        <v>1.044626352205878E+16</v>
      </c>
      <c r="M5775" s="471">
        <f t="shared" si="214"/>
        <v>0.05</v>
      </c>
      <c r="N5775" s="475">
        <f t="shared" si="215"/>
        <v>226818</v>
      </c>
    </row>
    <row r="5776" spans="7:14" ht="11.25" customHeight="1" x14ac:dyDescent="0.3">
      <c r="G5776" s="470"/>
      <c r="H5776" s="470">
        <v>5769</v>
      </c>
      <c r="I5776" s="455">
        <f t="shared" ca="1" si="213"/>
        <v>1.044626352205878E+16</v>
      </c>
      <c r="J5776" s="455">
        <f t="array" ref="J5776">IFERROR(INDEX('Retirement Calculator'!J:J,MATCH('Isaac 401k'!N5776,'Retirement Calculator'!A:A,0),0),0)</f>
        <v>0</v>
      </c>
      <c r="K5776" s="455">
        <f t="shared" ca="1" si="211"/>
        <v>43526098008578.25</v>
      </c>
      <c r="L5776" s="455">
        <f t="shared" ca="1" si="212"/>
        <v>1.0489789620067358E+16</v>
      </c>
      <c r="M5776" s="471">
        <f t="shared" si="214"/>
        <v>0.05</v>
      </c>
      <c r="N5776" s="475">
        <f t="shared" si="215"/>
        <v>226849</v>
      </c>
    </row>
    <row r="5777" spans="7:14" ht="11.25" customHeight="1" x14ac:dyDescent="0.3">
      <c r="G5777" s="470"/>
      <c r="H5777" s="470">
        <v>5770</v>
      </c>
      <c r="I5777" s="455">
        <f t="shared" ca="1" si="213"/>
        <v>1.0489789620067358E+16</v>
      </c>
      <c r="J5777" s="455">
        <f t="array" ref="J5777">IFERROR(INDEX('Retirement Calculator'!J:J,MATCH('Isaac 401k'!N5777,'Retirement Calculator'!A:A,0),0),0)</f>
        <v>0</v>
      </c>
      <c r="K5777" s="455">
        <f t="shared" ca="1" si="211"/>
        <v>43707456750280.656</v>
      </c>
      <c r="L5777" s="455">
        <f t="shared" ca="1" si="212"/>
        <v>1.0533497076817638E+16</v>
      </c>
      <c r="M5777" s="471">
        <f t="shared" si="214"/>
        <v>0.05</v>
      </c>
      <c r="N5777" s="475">
        <f t="shared" si="215"/>
        <v>226877</v>
      </c>
    </row>
    <row r="5778" spans="7:14" ht="11.25" customHeight="1" x14ac:dyDescent="0.3">
      <c r="G5778" s="470"/>
      <c r="H5778" s="470">
        <v>5771</v>
      </c>
      <c r="I5778" s="455">
        <f t="shared" ca="1" si="213"/>
        <v>1.0533497076817638E+16</v>
      </c>
      <c r="J5778" s="455">
        <f t="array" ref="J5778">IFERROR(INDEX('Retirement Calculator'!J:J,MATCH('Isaac 401k'!N5778,'Retirement Calculator'!A:A,0),0),0)</f>
        <v>0</v>
      </c>
      <c r="K5778" s="455">
        <f t="shared" ca="1" si="211"/>
        <v>43889571153406.828</v>
      </c>
      <c r="L5778" s="455">
        <f t="shared" ca="1" si="212"/>
        <v>1.0577386647971044E+16</v>
      </c>
      <c r="M5778" s="471">
        <f t="shared" si="214"/>
        <v>0.05</v>
      </c>
      <c r="N5778" s="475">
        <f t="shared" si="215"/>
        <v>226908</v>
      </c>
    </row>
    <row r="5779" spans="7:14" ht="11.25" customHeight="1" x14ac:dyDescent="0.3">
      <c r="G5779" s="470"/>
      <c r="H5779" s="470">
        <v>5772</v>
      </c>
      <c r="I5779" s="455">
        <f t="shared" ca="1" si="213"/>
        <v>1.0577386647971044E+16</v>
      </c>
      <c r="J5779" s="455">
        <f t="array" ref="J5779">IFERROR(INDEX('Retirement Calculator'!J:J,MATCH('Isaac 401k'!N5779,'Retirement Calculator'!A:A,0),0),0)</f>
        <v>0</v>
      </c>
      <c r="K5779" s="455">
        <f t="shared" ca="1" si="211"/>
        <v>44072444366546.016</v>
      </c>
      <c r="L5779" s="455">
        <f t="shared" ca="1" si="212"/>
        <v>1.062145909233759E+16</v>
      </c>
      <c r="M5779" s="471">
        <f t="shared" si="214"/>
        <v>0.05</v>
      </c>
      <c r="N5779" s="475">
        <f t="shared" si="215"/>
        <v>226938</v>
      </c>
    </row>
    <row r="5780" spans="7:14" ht="11.25" customHeight="1" x14ac:dyDescent="0.3">
      <c r="G5780" s="470"/>
      <c r="H5780" s="470">
        <v>5773</v>
      </c>
      <c r="I5780" s="455">
        <f t="shared" ca="1" si="213"/>
        <v>1.062145909233759E+16</v>
      </c>
      <c r="J5780" s="455">
        <f t="array" ref="J5780">IFERROR(INDEX('Retirement Calculator'!J:J,MATCH('Isaac 401k'!N5780,'Retirement Calculator'!A:A,0),0),0)</f>
        <v>0</v>
      </c>
      <c r="K5780" s="455">
        <f t="shared" ca="1" si="211"/>
        <v>44256079551406.625</v>
      </c>
      <c r="L5780" s="455">
        <f t="shared" ca="1" si="212"/>
        <v>1.0665715171888996E+16</v>
      </c>
      <c r="M5780" s="471">
        <f t="shared" si="214"/>
        <v>0.05</v>
      </c>
      <c r="N5780" s="475">
        <f t="shared" si="215"/>
        <v>226969</v>
      </c>
    </row>
    <row r="5781" spans="7:14" ht="11.25" customHeight="1" x14ac:dyDescent="0.3">
      <c r="G5781" s="470"/>
      <c r="H5781" s="470">
        <v>5774</v>
      </c>
      <c r="I5781" s="455">
        <f t="shared" ca="1" si="213"/>
        <v>1.0665715171888996E+16</v>
      </c>
      <c r="J5781" s="455">
        <f t="array" ref="J5781">IFERROR(INDEX('Retirement Calculator'!J:J,MATCH('Isaac 401k'!N5781,'Retirement Calculator'!A:A,0),0),0)</f>
        <v>0</v>
      </c>
      <c r="K5781" s="455">
        <f t="shared" ca="1" si="211"/>
        <v>44440479882870.813</v>
      </c>
      <c r="L5781" s="455">
        <f t="shared" ca="1" si="212"/>
        <v>1.0710155651771866E+16</v>
      </c>
      <c r="M5781" s="471">
        <f t="shared" si="214"/>
        <v>0.05</v>
      </c>
      <c r="N5781" s="475">
        <f t="shared" si="215"/>
        <v>226999</v>
      </c>
    </row>
    <row r="5782" spans="7:14" ht="11.25" customHeight="1" x14ac:dyDescent="0.3">
      <c r="G5782" s="470"/>
      <c r="H5782" s="470">
        <v>5775</v>
      </c>
      <c r="I5782" s="455">
        <f t="shared" ca="1" si="213"/>
        <v>1.0710155651771866E+16</v>
      </c>
      <c r="J5782" s="455">
        <f t="array" ref="J5782">IFERROR(INDEX('Retirement Calculator'!J:J,MATCH('Isaac 401k'!N5782,'Retirement Calculator'!A:A,0),0),0)</f>
        <v>0</v>
      </c>
      <c r="K5782" s="455">
        <f t="shared" ca="1" si="211"/>
        <v>44625648549049.438</v>
      </c>
      <c r="L5782" s="455">
        <f t="shared" ca="1" si="212"/>
        <v>1.0754781300320916E+16</v>
      </c>
      <c r="M5782" s="471">
        <f t="shared" si="214"/>
        <v>0.05</v>
      </c>
      <c r="N5782" s="475">
        <f t="shared" si="215"/>
        <v>227030</v>
      </c>
    </row>
    <row r="5783" spans="7:14" ht="11.25" customHeight="1" x14ac:dyDescent="0.3">
      <c r="G5783" s="470"/>
      <c r="H5783" s="470">
        <v>5776</v>
      </c>
      <c r="I5783" s="455">
        <f t="shared" ca="1" si="213"/>
        <v>1.0754781300320916E+16</v>
      </c>
      <c r="J5783" s="455">
        <f t="array" ref="J5783">IFERROR(INDEX('Retirement Calculator'!J:J,MATCH('Isaac 401k'!N5783,'Retirement Calculator'!A:A,0),0),0)</f>
        <v>0</v>
      </c>
      <c r="K5783" s="455">
        <f t="shared" ca="1" si="211"/>
        <v>44811588751337.148</v>
      </c>
      <c r="L5783" s="455">
        <f t="shared" ca="1" si="212"/>
        <v>1.0799592889072254E+16</v>
      </c>
      <c r="M5783" s="471">
        <f t="shared" si="214"/>
        <v>0.05</v>
      </c>
      <c r="N5783" s="475">
        <f t="shared" si="215"/>
        <v>227061</v>
      </c>
    </row>
    <row r="5784" spans="7:14" ht="11.25" customHeight="1" x14ac:dyDescent="0.3">
      <c r="G5784" s="470"/>
      <c r="H5784" s="470">
        <v>5777</v>
      </c>
      <c r="I5784" s="455">
        <f t="shared" ca="1" si="213"/>
        <v>1.0799592889072254E+16</v>
      </c>
      <c r="J5784" s="455">
        <f t="array" ref="J5784">IFERROR(INDEX('Retirement Calculator'!J:J,MATCH('Isaac 401k'!N5784,'Retirement Calculator'!A:A,0),0),0)</f>
        <v>0</v>
      </c>
      <c r="K5784" s="455">
        <f t="shared" ca="1" si="211"/>
        <v>44998303704467.727</v>
      </c>
      <c r="L5784" s="455">
        <f t="shared" ca="1" si="212"/>
        <v>1.0844591192776722E+16</v>
      </c>
      <c r="M5784" s="471">
        <f t="shared" si="214"/>
        <v>0.05</v>
      </c>
      <c r="N5784" s="475">
        <f t="shared" si="215"/>
        <v>227091</v>
      </c>
    </row>
    <row r="5785" spans="7:14" ht="11.25" customHeight="1" x14ac:dyDescent="0.3">
      <c r="G5785" s="470"/>
      <c r="H5785" s="470">
        <v>5778</v>
      </c>
      <c r="I5785" s="455">
        <f t="shared" ca="1" si="213"/>
        <v>1.0844591192776722E+16</v>
      </c>
      <c r="J5785" s="455">
        <f t="array" ref="J5785">IFERROR(INDEX('Retirement Calculator'!J:J,MATCH('Isaac 401k'!N5785,'Retirement Calculator'!A:A,0),0),0)</f>
        <v>0</v>
      </c>
      <c r="K5785" s="455">
        <f t="shared" ca="1" si="211"/>
        <v>45185796636569.672</v>
      </c>
      <c r="L5785" s="455">
        <f t="shared" ca="1" si="212"/>
        <v>1.0889776989413292E+16</v>
      </c>
      <c r="M5785" s="471">
        <f t="shared" si="214"/>
        <v>0.05</v>
      </c>
      <c r="N5785" s="475">
        <f t="shared" si="215"/>
        <v>227122</v>
      </c>
    </row>
    <row r="5786" spans="7:14" ht="11.25" customHeight="1" x14ac:dyDescent="0.3">
      <c r="G5786" s="470"/>
      <c r="H5786" s="470">
        <v>5779</v>
      </c>
      <c r="I5786" s="455">
        <f t="shared" ca="1" si="213"/>
        <v>1.0889776989413292E+16</v>
      </c>
      <c r="J5786" s="455">
        <f t="array" ref="J5786">IFERROR(INDEX('Retirement Calculator'!J:J,MATCH('Isaac 401k'!N5786,'Retirement Calculator'!A:A,0),0),0)</f>
        <v>0</v>
      </c>
      <c r="K5786" s="455">
        <f t="shared" ca="1" si="211"/>
        <v>45374070789222.047</v>
      </c>
      <c r="L5786" s="455">
        <f t="shared" ca="1" si="212"/>
        <v>1.0935151060202514E+16</v>
      </c>
      <c r="M5786" s="471">
        <f t="shared" si="214"/>
        <v>0.05</v>
      </c>
      <c r="N5786" s="475">
        <f t="shared" si="215"/>
        <v>227152</v>
      </c>
    </row>
    <row r="5787" spans="7:14" ht="11.25" customHeight="1" x14ac:dyDescent="0.3">
      <c r="G5787" s="470"/>
      <c r="H5787" s="470">
        <v>5780</v>
      </c>
      <c r="I5787" s="455">
        <f t="shared" ca="1" si="213"/>
        <v>1.0935151060202514E+16</v>
      </c>
      <c r="J5787" s="455">
        <f t="array" ref="J5787">IFERROR(INDEX('Retirement Calculator'!J:J,MATCH('Isaac 401k'!N5787,'Retirement Calculator'!A:A,0),0),0)</f>
        <v>0</v>
      </c>
      <c r="K5787" s="455">
        <f t="shared" ca="1" si="211"/>
        <v>45563129417510.477</v>
      </c>
      <c r="L5787" s="455">
        <f t="shared" ca="1" si="212"/>
        <v>1.0980714189620024E+16</v>
      </c>
      <c r="M5787" s="471">
        <f t="shared" si="214"/>
        <v>0.05</v>
      </c>
      <c r="N5787" s="475">
        <f t="shared" si="215"/>
        <v>227183</v>
      </c>
    </row>
    <row r="5788" spans="7:14" ht="11.25" customHeight="1" x14ac:dyDescent="0.3">
      <c r="G5788" s="470"/>
      <c r="H5788" s="470">
        <v>5781</v>
      </c>
      <c r="I5788" s="455">
        <f t="shared" ca="1" si="213"/>
        <v>1.0980714189620024E+16</v>
      </c>
      <c r="J5788" s="455">
        <f t="array" ref="J5788">IFERROR(INDEX('Retirement Calculator'!J:J,MATCH('Isaac 401k'!N5788,'Retirement Calculator'!A:A,0),0),0)</f>
        <v>0</v>
      </c>
      <c r="K5788" s="455">
        <f t="shared" ca="1" si="211"/>
        <v>45752975790083.43</v>
      </c>
      <c r="L5788" s="455">
        <f t="shared" ca="1" si="212"/>
        <v>1.1026467165410108E+16</v>
      </c>
      <c r="M5788" s="471">
        <f t="shared" si="214"/>
        <v>0.05</v>
      </c>
      <c r="N5788" s="475">
        <f t="shared" si="215"/>
        <v>227214</v>
      </c>
    </row>
    <row r="5789" spans="7:14" ht="11.25" customHeight="1" x14ac:dyDescent="0.3">
      <c r="G5789" s="470"/>
      <c r="H5789" s="470">
        <v>5782</v>
      </c>
      <c r="I5789" s="455">
        <f t="shared" ca="1" si="213"/>
        <v>1.1026467165410108E+16</v>
      </c>
      <c r="J5789" s="455">
        <f t="array" ref="J5789">IFERROR(INDEX('Retirement Calculator'!J:J,MATCH('Isaac 401k'!N5789,'Retirement Calculator'!A:A,0),0),0)</f>
        <v>0</v>
      </c>
      <c r="K5789" s="455">
        <f t="shared" ca="1" si="211"/>
        <v>45943613189208.781</v>
      </c>
      <c r="L5789" s="455">
        <f t="shared" ca="1" si="212"/>
        <v>1.1072410778599316E+16</v>
      </c>
      <c r="M5789" s="471">
        <f t="shared" si="214"/>
        <v>0.05</v>
      </c>
      <c r="N5789" s="475">
        <f t="shared" si="215"/>
        <v>227242</v>
      </c>
    </row>
    <row r="5790" spans="7:14" ht="11.25" customHeight="1" x14ac:dyDescent="0.3">
      <c r="G5790" s="470"/>
      <c r="H5790" s="470">
        <v>5783</v>
      </c>
      <c r="I5790" s="455">
        <f t="shared" ca="1" si="213"/>
        <v>1.1072410778599316E+16</v>
      </c>
      <c r="J5790" s="455">
        <f t="array" ref="J5790">IFERROR(INDEX('Retirement Calculator'!J:J,MATCH('Isaac 401k'!N5790,'Retirement Calculator'!A:A,0),0),0)</f>
        <v>0</v>
      </c>
      <c r="K5790" s="455">
        <f t="shared" ca="1" si="211"/>
        <v>46135044910830.484</v>
      </c>
      <c r="L5790" s="455">
        <f t="shared" ca="1" si="212"/>
        <v>1.1118545823510146E+16</v>
      </c>
      <c r="M5790" s="471">
        <f t="shared" si="214"/>
        <v>0.05</v>
      </c>
      <c r="N5790" s="475">
        <f t="shared" si="215"/>
        <v>227273</v>
      </c>
    </row>
    <row r="5791" spans="7:14" ht="11.25" customHeight="1" x14ac:dyDescent="0.3">
      <c r="G5791" s="470"/>
      <c r="H5791" s="470">
        <v>5784</v>
      </c>
      <c r="I5791" s="455">
        <f t="shared" ca="1" si="213"/>
        <v>1.1118545823510146E+16</v>
      </c>
      <c r="J5791" s="455">
        <f t="array" ref="J5791">IFERROR(INDEX('Retirement Calculator'!J:J,MATCH('Isaac 401k'!N5791,'Retirement Calculator'!A:A,0),0),0)</f>
        <v>0</v>
      </c>
      <c r="K5791" s="455">
        <f t="shared" ca="1" si="211"/>
        <v>46327274264625.609</v>
      </c>
      <c r="L5791" s="455">
        <f t="shared" ca="1" si="212"/>
        <v>1.1164873097774772E+16</v>
      </c>
      <c r="M5791" s="471">
        <f t="shared" si="214"/>
        <v>0.05</v>
      </c>
      <c r="N5791" s="475">
        <f t="shared" si="215"/>
        <v>227303</v>
      </c>
    </row>
    <row r="5792" spans="7:14" ht="11.25" customHeight="1" x14ac:dyDescent="0.3">
      <c r="G5792" s="470"/>
      <c r="H5792" s="470">
        <v>5785</v>
      </c>
      <c r="I5792" s="455">
        <f t="shared" ca="1" si="213"/>
        <v>1.1164873097774772E+16</v>
      </c>
      <c r="J5792" s="455">
        <f t="array" ref="J5792">IFERROR(INDEX('Retirement Calculator'!J:J,MATCH('Isaac 401k'!N5792,'Retirement Calculator'!A:A,0),0),0)</f>
        <v>0</v>
      </c>
      <c r="K5792" s="455">
        <f t="shared" ca="1" si="211"/>
        <v>46520304574061.547</v>
      </c>
      <c r="L5792" s="455">
        <f t="shared" ca="1" si="212"/>
        <v>1.1211393402348834E+16</v>
      </c>
      <c r="M5792" s="471">
        <f t="shared" si="214"/>
        <v>0.05</v>
      </c>
      <c r="N5792" s="475">
        <f t="shared" si="215"/>
        <v>227334</v>
      </c>
    </row>
    <row r="5793" spans="7:14" ht="11.25" customHeight="1" x14ac:dyDescent="0.3">
      <c r="G5793" s="470"/>
      <c r="H5793" s="470">
        <v>5786</v>
      </c>
      <c r="I5793" s="455">
        <f t="shared" ca="1" si="213"/>
        <v>1.1211393402348834E+16</v>
      </c>
      <c r="J5793" s="455">
        <f t="array" ref="J5793">IFERROR(INDEX('Retirement Calculator'!J:J,MATCH('Isaac 401k'!N5793,'Retirement Calculator'!A:A,0),0),0)</f>
        <v>0</v>
      </c>
      <c r="K5793" s="455">
        <f t="shared" ca="1" si="211"/>
        <v>46714139176453.477</v>
      </c>
      <c r="L5793" s="455">
        <f t="shared" ca="1" si="212"/>
        <v>1.1258107541525288E+16</v>
      </c>
      <c r="M5793" s="471">
        <f t="shared" si="214"/>
        <v>0.05</v>
      </c>
      <c r="N5793" s="475">
        <f t="shared" si="215"/>
        <v>227364</v>
      </c>
    </row>
    <row r="5794" spans="7:14" ht="11.25" customHeight="1" x14ac:dyDescent="0.3">
      <c r="G5794" s="470"/>
      <c r="H5794" s="470">
        <v>5787</v>
      </c>
      <c r="I5794" s="455">
        <f t="shared" ca="1" si="213"/>
        <v>1.1258107541525288E+16</v>
      </c>
      <c r="J5794" s="455">
        <f t="array" ref="J5794">IFERROR(INDEX('Retirement Calculator'!J:J,MATCH('Isaac 401k'!N5794,'Retirement Calculator'!A:A,0),0),0)</f>
        <v>0</v>
      </c>
      <c r="K5794" s="455">
        <f t="shared" ca="1" si="211"/>
        <v>46908781423022.031</v>
      </c>
      <c r="L5794" s="455">
        <f t="shared" ca="1" si="212"/>
        <v>1.130501632294831E+16</v>
      </c>
      <c r="M5794" s="471">
        <f t="shared" si="214"/>
        <v>0.05</v>
      </c>
      <c r="N5794" s="475">
        <f t="shared" si="215"/>
        <v>227395</v>
      </c>
    </row>
    <row r="5795" spans="7:14" ht="11.25" customHeight="1" x14ac:dyDescent="0.3">
      <c r="G5795" s="470"/>
      <c r="H5795" s="470">
        <v>5788</v>
      </c>
      <c r="I5795" s="455">
        <f t="shared" ca="1" si="213"/>
        <v>1.130501632294831E+16</v>
      </c>
      <c r="J5795" s="455">
        <f t="array" ref="J5795">IFERROR(INDEX('Retirement Calculator'!J:J,MATCH('Isaac 401k'!N5795,'Retirement Calculator'!A:A,0),0),0)</f>
        <v>0</v>
      </c>
      <c r="K5795" s="455">
        <f t="shared" ca="1" si="211"/>
        <v>47104234678951.289</v>
      </c>
      <c r="L5795" s="455">
        <f t="shared" ca="1" si="212"/>
        <v>1.1352120557627262E+16</v>
      </c>
      <c r="M5795" s="471">
        <f t="shared" si="214"/>
        <v>0.05</v>
      </c>
      <c r="N5795" s="475">
        <f t="shared" si="215"/>
        <v>227426</v>
      </c>
    </row>
    <row r="5796" spans="7:14" ht="11.25" customHeight="1" x14ac:dyDescent="0.3">
      <c r="G5796" s="470"/>
      <c r="H5796" s="470">
        <v>5789</v>
      </c>
      <c r="I5796" s="455">
        <f t="shared" ca="1" si="213"/>
        <v>1.1352120557627262E+16</v>
      </c>
      <c r="J5796" s="455">
        <f t="array" ref="J5796">IFERROR(INDEX('Retirement Calculator'!J:J,MATCH('Isaac 401k'!N5796,'Retirement Calculator'!A:A,0),0),0)</f>
        <v>0</v>
      </c>
      <c r="K5796" s="455">
        <f t="shared" ca="1" si="211"/>
        <v>47300502323446.922</v>
      </c>
      <c r="L5796" s="455">
        <f t="shared" ca="1" si="212"/>
        <v>1.1399421059950708E+16</v>
      </c>
      <c r="M5796" s="471">
        <f t="shared" si="214"/>
        <v>0.05</v>
      </c>
      <c r="N5796" s="475">
        <f t="shared" si="215"/>
        <v>227456</v>
      </c>
    </row>
    <row r="5797" spans="7:14" ht="11.25" customHeight="1" x14ac:dyDescent="0.3">
      <c r="G5797" s="470"/>
      <c r="H5797" s="470">
        <v>5790</v>
      </c>
      <c r="I5797" s="455">
        <f t="shared" ca="1" si="213"/>
        <v>1.1399421059950708E+16</v>
      </c>
      <c r="J5797" s="455">
        <f t="array" ref="J5797">IFERROR(INDEX('Retirement Calculator'!J:J,MATCH('Isaac 401k'!N5797,'Retirement Calculator'!A:A,0),0),0)</f>
        <v>0</v>
      </c>
      <c r="K5797" s="455">
        <f t="shared" ca="1" si="211"/>
        <v>47497587749794.617</v>
      </c>
      <c r="L5797" s="455">
        <f t="shared" ca="1" si="212"/>
        <v>1.1446918647700502E+16</v>
      </c>
      <c r="M5797" s="471">
        <f t="shared" si="214"/>
        <v>0.05</v>
      </c>
      <c r="N5797" s="475">
        <f t="shared" si="215"/>
        <v>227487</v>
      </c>
    </row>
    <row r="5798" spans="7:14" ht="11.25" customHeight="1" x14ac:dyDescent="0.3">
      <c r="G5798" s="470"/>
      <c r="H5798" s="470">
        <v>5791</v>
      </c>
      <c r="I5798" s="455">
        <f t="shared" ca="1" si="213"/>
        <v>1.1446918647700502E+16</v>
      </c>
      <c r="J5798" s="455">
        <f t="array" ref="J5798">IFERROR(INDEX('Retirement Calculator'!J:J,MATCH('Isaac 401k'!N5798,'Retirement Calculator'!A:A,0),0),0)</f>
        <v>0</v>
      </c>
      <c r="K5798" s="455">
        <f t="shared" ca="1" si="211"/>
        <v>47695494365418.758</v>
      </c>
      <c r="L5798" s="455">
        <f t="shared" ca="1" si="212"/>
        <v>1.149461414206592E+16</v>
      </c>
      <c r="M5798" s="471">
        <f t="shared" si="214"/>
        <v>0.05</v>
      </c>
      <c r="N5798" s="475">
        <f t="shared" si="215"/>
        <v>227517</v>
      </c>
    </row>
    <row r="5799" spans="7:14" ht="11.25" customHeight="1" x14ac:dyDescent="0.3">
      <c r="G5799" s="470"/>
      <c r="H5799" s="470">
        <v>5792</v>
      </c>
      <c r="I5799" s="455">
        <f t="shared" ca="1" si="213"/>
        <v>1.149461414206592E+16</v>
      </c>
      <c r="J5799" s="455">
        <f t="array" ref="J5799">IFERROR(INDEX('Retirement Calculator'!J:J,MATCH('Isaac 401k'!N5799,'Retirement Calculator'!A:A,0),0),0)</f>
        <v>0</v>
      </c>
      <c r="K5799" s="455">
        <f t="shared" ca="1" si="211"/>
        <v>47894225591941.336</v>
      </c>
      <c r="L5799" s="455">
        <f t="shared" ca="1" si="212"/>
        <v>1.1542508367657862E+16</v>
      </c>
      <c r="M5799" s="471">
        <f t="shared" si="214"/>
        <v>0.05</v>
      </c>
      <c r="N5799" s="475">
        <f t="shared" si="215"/>
        <v>227548</v>
      </c>
    </row>
    <row r="5800" spans="7:14" ht="11.25" customHeight="1" x14ac:dyDescent="0.3">
      <c r="G5800" s="470"/>
      <c r="H5800" s="470">
        <v>5793</v>
      </c>
      <c r="I5800" s="455">
        <f t="shared" ca="1" si="213"/>
        <v>1.1542508367657862E+16</v>
      </c>
      <c r="J5800" s="455">
        <f t="array" ref="J5800">IFERROR(INDEX('Retirement Calculator'!J:J,MATCH('Isaac 401k'!N5800,'Retirement Calculator'!A:A,0),0),0)</f>
        <v>0</v>
      </c>
      <c r="K5800" s="455">
        <f t="shared" ca="1" si="211"/>
        <v>48093784865241.094</v>
      </c>
      <c r="L5800" s="455">
        <f t="shared" ca="1" si="212"/>
        <v>1.1590602152523104E+16</v>
      </c>
      <c r="M5800" s="471">
        <f t="shared" si="214"/>
        <v>0.05</v>
      </c>
      <c r="N5800" s="475">
        <f t="shared" si="215"/>
        <v>227579</v>
      </c>
    </row>
    <row r="5801" spans="7:14" ht="11.25" customHeight="1" x14ac:dyDescent="0.3">
      <c r="G5801" s="470"/>
      <c r="H5801" s="470">
        <v>5794</v>
      </c>
      <c r="I5801" s="455">
        <f t="shared" ca="1" si="213"/>
        <v>1.1590602152523104E+16</v>
      </c>
      <c r="J5801" s="455">
        <f t="array" ref="J5801">IFERROR(INDEX('Retirement Calculator'!J:J,MATCH('Isaac 401k'!N5801,'Retirement Calculator'!A:A,0),0),0)</f>
        <v>0</v>
      </c>
      <c r="K5801" s="455">
        <f t="shared" ca="1" si="211"/>
        <v>48294175635512.93</v>
      </c>
      <c r="L5801" s="455">
        <f t="shared" ca="1" si="212"/>
        <v>1.1638896328158616E+16</v>
      </c>
      <c r="M5801" s="471">
        <f t="shared" si="214"/>
        <v>0.05</v>
      </c>
      <c r="N5801" s="475">
        <f t="shared" si="215"/>
        <v>227607</v>
      </c>
    </row>
    <row r="5802" spans="7:14" ht="11.25" customHeight="1" x14ac:dyDescent="0.3">
      <c r="G5802" s="470"/>
      <c r="H5802" s="470">
        <v>5795</v>
      </c>
      <c r="I5802" s="455">
        <f t="shared" ca="1" si="213"/>
        <v>1.1638896328158616E+16</v>
      </c>
      <c r="J5802" s="455">
        <f t="array" ref="J5802">IFERROR(INDEX('Retirement Calculator'!J:J,MATCH('Isaac 401k'!N5802,'Retirement Calculator'!A:A,0),0),0)</f>
        <v>0</v>
      </c>
      <c r="K5802" s="455">
        <f t="shared" ca="1" si="211"/>
        <v>48495401367327.563</v>
      </c>
      <c r="L5802" s="455">
        <f t="shared" ca="1" si="212"/>
        <v>1.1687391729525944E+16</v>
      </c>
      <c r="M5802" s="471">
        <f t="shared" si="214"/>
        <v>0.05</v>
      </c>
      <c r="N5802" s="475">
        <f t="shared" si="215"/>
        <v>227638</v>
      </c>
    </row>
    <row r="5803" spans="7:14" ht="11.25" customHeight="1" x14ac:dyDescent="0.3">
      <c r="G5803" s="470"/>
      <c r="H5803" s="470">
        <v>5796</v>
      </c>
      <c r="I5803" s="455">
        <f t="shared" ca="1" si="213"/>
        <v>1.1687391729525944E+16</v>
      </c>
      <c r="J5803" s="455">
        <f t="array" ref="J5803">IFERROR(INDEX('Retirement Calculator'!J:J,MATCH('Isaac 401k'!N5803,'Retirement Calculator'!A:A,0),0),0)</f>
        <v>0</v>
      </c>
      <c r="K5803" s="455">
        <f t="shared" ca="1" si="211"/>
        <v>48697465539691.43</v>
      </c>
      <c r="L5803" s="455">
        <f t="shared" ca="1" si="212"/>
        <v>1.1736089195065636E+16</v>
      </c>
      <c r="M5803" s="471">
        <f t="shared" si="214"/>
        <v>0.05</v>
      </c>
      <c r="N5803" s="475">
        <f t="shared" si="215"/>
        <v>227668</v>
      </c>
    </row>
    <row r="5804" spans="7:14" ht="11.25" customHeight="1" x14ac:dyDescent="0.3">
      <c r="G5804" s="470"/>
      <c r="H5804" s="470">
        <v>5797</v>
      </c>
      <c r="I5804" s="455">
        <f t="shared" ca="1" si="213"/>
        <v>1.1736089195065636E+16</v>
      </c>
      <c r="J5804" s="455">
        <f t="array" ref="J5804">IFERROR(INDEX('Retirement Calculator'!J:J,MATCH('Isaac 401k'!N5804,'Retirement Calculator'!A:A,0),0),0)</f>
        <v>0</v>
      </c>
      <c r="K5804" s="455">
        <f t="shared" ca="1" si="211"/>
        <v>48900371646106.813</v>
      </c>
      <c r="L5804" s="455">
        <f t="shared" ca="1" si="212"/>
        <v>1.1784989566711742E+16</v>
      </c>
      <c r="M5804" s="471">
        <f t="shared" si="214"/>
        <v>0.05</v>
      </c>
      <c r="N5804" s="475">
        <f t="shared" si="215"/>
        <v>227699</v>
      </c>
    </row>
    <row r="5805" spans="7:14" ht="11.25" customHeight="1" x14ac:dyDescent="0.3">
      <c r="G5805" s="470"/>
      <c r="H5805" s="470">
        <v>5798</v>
      </c>
      <c r="I5805" s="455">
        <f t="shared" ca="1" si="213"/>
        <v>1.1784989566711742E+16</v>
      </c>
      <c r="J5805" s="455">
        <f t="array" ref="J5805">IFERROR(INDEX('Retirement Calculator'!J:J,MATCH('Isaac 401k'!N5805,'Retirement Calculator'!A:A,0),0),0)</f>
        <v>0</v>
      </c>
      <c r="K5805" s="455">
        <f t="shared" ca="1" si="211"/>
        <v>49104123194632.258</v>
      </c>
      <c r="L5805" s="455">
        <f t="shared" ca="1" si="212"/>
        <v>1.1834093689906374E+16</v>
      </c>
      <c r="M5805" s="471">
        <f t="shared" si="214"/>
        <v>0.05</v>
      </c>
      <c r="N5805" s="475">
        <f t="shared" si="215"/>
        <v>227729</v>
      </c>
    </row>
    <row r="5806" spans="7:14" ht="11.25" customHeight="1" x14ac:dyDescent="0.3">
      <c r="G5806" s="470"/>
      <c r="H5806" s="470">
        <v>5799</v>
      </c>
      <c r="I5806" s="455">
        <f t="shared" ca="1" si="213"/>
        <v>1.1834093689906374E+16</v>
      </c>
      <c r="J5806" s="455">
        <f t="array" ref="J5806">IFERROR(INDEX('Retirement Calculator'!J:J,MATCH('Isaac 401k'!N5806,'Retirement Calculator'!A:A,0),0),0)</f>
        <v>0</v>
      </c>
      <c r="K5806" s="455">
        <f t="shared" ca="1" si="211"/>
        <v>49308723707943.227</v>
      </c>
      <c r="L5806" s="455">
        <f t="shared" ca="1" si="212"/>
        <v>1.1883402413614318E+16</v>
      </c>
      <c r="M5806" s="471">
        <f t="shared" si="214"/>
        <v>0.05</v>
      </c>
      <c r="N5806" s="475">
        <f t="shared" si="215"/>
        <v>227760</v>
      </c>
    </row>
    <row r="5807" spans="7:14" ht="11.25" customHeight="1" x14ac:dyDescent="0.3">
      <c r="G5807" s="470"/>
      <c r="H5807" s="470">
        <v>5800</v>
      </c>
      <c r="I5807" s="455">
        <f t="shared" ca="1" si="213"/>
        <v>1.1883402413614318E+16</v>
      </c>
      <c r="J5807" s="455">
        <f t="array" ref="J5807">IFERROR(INDEX('Retirement Calculator'!J:J,MATCH('Isaac 401k'!N5807,'Retirement Calculator'!A:A,0),0),0)</f>
        <v>0</v>
      </c>
      <c r="K5807" s="455">
        <f t="shared" ca="1" si="211"/>
        <v>49514176723392.992</v>
      </c>
      <c r="L5807" s="455">
        <f t="shared" ca="1" si="212"/>
        <v>1.193291659033771E+16</v>
      </c>
      <c r="M5807" s="471">
        <f t="shared" si="214"/>
        <v>0.05</v>
      </c>
      <c r="N5807" s="475">
        <f t="shared" si="215"/>
        <v>227791</v>
      </c>
    </row>
    <row r="5808" spans="7:14" ht="11.25" customHeight="1" x14ac:dyDescent="0.3">
      <c r="G5808" s="470"/>
      <c r="H5808" s="470">
        <v>5801</v>
      </c>
      <c r="I5808" s="455">
        <f t="shared" ca="1" si="213"/>
        <v>1.193291659033771E+16</v>
      </c>
      <c r="J5808" s="455">
        <f t="array" ref="J5808">IFERROR(INDEX('Retirement Calculator'!J:J,MATCH('Isaac 401k'!N5808,'Retirement Calculator'!A:A,0),0),0)</f>
        <v>0</v>
      </c>
      <c r="K5808" s="455">
        <f t="shared" ca="1" si="211"/>
        <v>49720485793073.789</v>
      </c>
      <c r="L5808" s="455">
        <f t="shared" ca="1" si="212"/>
        <v>1.1982637076130784E+16</v>
      </c>
      <c r="M5808" s="471">
        <f t="shared" si="214"/>
        <v>0.05</v>
      </c>
      <c r="N5808" s="475">
        <f t="shared" si="215"/>
        <v>227821</v>
      </c>
    </row>
    <row r="5809" spans="7:14" ht="11.25" customHeight="1" x14ac:dyDescent="0.3">
      <c r="G5809" s="470"/>
      <c r="H5809" s="470">
        <v>5802</v>
      </c>
      <c r="I5809" s="455">
        <f t="shared" ca="1" si="213"/>
        <v>1.1982637076130784E+16</v>
      </c>
      <c r="J5809" s="455">
        <f t="array" ref="J5809">IFERROR(INDEX('Retirement Calculator'!J:J,MATCH('Isaac 401k'!N5809,'Retirement Calculator'!A:A,0),0),0)</f>
        <v>0</v>
      </c>
      <c r="K5809" s="455">
        <f t="shared" ca="1" si="211"/>
        <v>49927654483878.266</v>
      </c>
      <c r="L5809" s="455">
        <f t="shared" ca="1" si="212"/>
        <v>1.2032564730614662E+16</v>
      </c>
      <c r="M5809" s="471">
        <f t="shared" si="214"/>
        <v>0.05</v>
      </c>
      <c r="N5809" s="475">
        <f t="shared" si="215"/>
        <v>227852</v>
      </c>
    </row>
    <row r="5810" spans="7:14" ht="11.25" customHeight="1" x14ac:dyDescent="0.3">
      <c r="G5810" s="470"/>
      <c r="H5810" s="470">
        <v>5803</v>
      </c>
      <c r="I5810" s="455">
        <f t="shared" ca="1" si="213"/>
        <v>1.2032564730614662E+16</v>
      </c>
      <c r="J5810" s="455">
        <f t="array" ref="J5810">IFERROR(INDEX('Retirement Calculator'!J:J,MATCH('Isaac 401k'!N5810,'Retirement Calculator'!A:A,0),0),0)</f>
        <v>0</v>
      </c>
      <c r="K5810" s="455">
        <f t="shared" ca="1" si="211"/>
        <v>50135686377561.094</v>
      </c>
      <c r="L5810" s="455">
        <f t="shared" ca="1" si="212"/>
        <v>1.2082700416992224E+16</v>
      </c>
      <c r="M5810" s="471">
        <f t="shared" si="214"/>
        <v>0.05</v>
      </c>
      <c r="N5810" s="475">
        <f t="shared" si="215"/>
        <v>227882</v>
      </c>
    </row>
    <row r="5811" spans="7:14" ht="11.25" customHeight="1" x14ac:dyDescent="0.3">
      <c r="G5811" s="470"/>
      <c r="H5811" s="470">
        <v>5804</v>
      </c>
      <c r="I5811" s="455">
        <f t="shared" ca="1" si="213"/>
        <v>1.2082700416992224E+16</v>
      </c>
      <c r="J5811" s="455">
        <f t="array" ref="J5811">IFERROR(INDEX('Retirement Calculator'!J:J,MATCH('Isaac 401k'!N5811,'Retirement Calculator'!A:A,0),0),0)</f>
        <v>0</v>
      </c>
      <c r="K5811" s="455">
        <f t="shared" ca="1" si="211"/>
        <v>50344585070800.93</v>
      </c>
      <c r="L5811" s="455">
        <f t="shared" ca="1" si="212"/>
        <v>1.2133045002063024E+16</v>
      </c>
      <c r="M5811" s="471">
        <f t="shared" si="214"/>
        <v>0.05</v>
      </c>
      <c r="N5811" s="475">
        <f t="shared" si="215"/>
        <v>227913</v>
      </c>
    </row>
    <row r="5812" spans="7:14" ht="11.25" customHeight="1" x14ac:dyDescent="0.3">
      <c r="G5812" s="470"/>
      <c r="H5812" s="470">
        <v>5805</v>
      </c>
      <c r="I5812" s="455">
        <f t="shared" ca="1" si="213"/>
        <v>1.2133045002063024E+16</v>
      </c>
      <c r="J5812" s="455">
        <f t="array" ref="J5812">IFERROR(INDEX('Retirement Calculator'!J:J,MATCH('Isaac 401k'!N5812,'Retirement Calculator'!A:A,0),0),0)</f>
        <v>0</v>
      </c>
      <c r="K5812" s="455">
        <f t="shared" ca="1" si="211"/>
        <v>50554354175262.602</v>
      </c>
      <c r="L5812" s="455">
        <f t="shared" ca="1" si="212"/>
        <v>1.2183599356238286E+16</v>
      </c>
      <c r="M5812" s="471">
        <f t="shared" si="214"/>
        <v>0.05</v>
      </c>
      <c r="N5812" s="475">
        <f t="shared" si="215"/>
        <v>227944</v>
      </c>
    </row>
    <row r="5813" spans="7:14" ht="11.25" customHeight="1" x14ac:dyDescent="0.3">
      <c r="G5813" s="470"/>
      <c r="H5813" s="470">
        <v>5806</v>
      </c>
      <c r="I5813" s="455">
        <f t="shared" ca="1" si="213"/>
        <v>1.2183599356238286E+16</v>
      </c>
      <c r="J5813" s="455">
        <f t="array" ref="J5813">IFERROR(INDEX('Retirement Calculator'!J:J,MATCH('Isaac 401k'!N5813,'Retirement Calculator'!A:A,0),0),0)</f>
        <v>0</v>
      </c>
      <c r="K5813" s="455">
        <f t="shared" ca="1" si="211"/>
        <v>50764997317659.523</v>
      </c>
      <c r="L5813" s="455">
        <f t="shared" ca="1" si="212"/>
        <v>1.2234364353555946E+16</v>
      </c>
      <c r="M5813" s="471">
        <f t="shared" si="214"/>
        <v>0.05</v>
      </c>
      <c r="N5813" s="475">
        <f t="shared" si="215"/>
        <v>227973</v>
      </c>
    </row>
    <row r="5814" spans="7:14" ht="11.25" customHeight="1" x14ac:dyDescent="0.3">
      <c r="G5814" s="470"/>
      <c r="H5814" s="470">
        <v>5807</v>
      </c>
      <c r="I5814" s="455">
        <f t="shared" ca="1" si="213"/>
        <v>1.2234364353555946E+16</v>
      </c>
      <c r="J5814" s="455">
        <f t="array" ref="J5814">IFERROR(INDEX('Retirement Calculator'!J:J,MATCH('Isaac 401k'!N5814,'Retirement Calculator'!A:A,0),0),0)</f>
        <v>0</v>
      </c>
      <c r="K5814" s="455">
        <f t="shared" ca="1" si="211"/>
        <v>50976518139816.438</v>
      </c>
      <c r="L5814" s="455">
        <f t="shared" ca="1" si="212"/>
        <v>1.2285340871695762E+16</v>
      </c>
      <c r="M5814" s="471">
        <f t="shared" si="214"/>
        <v>0.05</v>
      </c>
      <c r="N5814" s="475">
        <f t="shared" si="215"/>
        <v>228004</v>
      </c>
    </row>
    <row r="5815" spans="7:14" ht="11.25" customHeight="1" x14ac:dyDescent="0.3">
      <c r="G5815" s="470"/>
      <c r="H5815" s="470">
        <v>5808</v>
      </c>
      <c r="I5815" s="455">
        <f t="shared" ca="1" si="213"/>
        <v>1.2285340871695762E+16</v>
      </c>
      <c r="J5815" s="455">
        <f t="array" ref="J5815">IFERROR(INDEX('Retirement Calculator'!J:J,MATCH('Isaac 401k'!N5815,'Retirement Calculator'!A:A,0),0),0)</f>
        <v>0</v>
      </c>
      <c r="K5815" s="455">
        <f t="shared" ca="1" si="211"/>
        <v>51188920298732.344</v>
      </c>
      <c r="L5815" s="455">
        <f t="shared" ca="1" si="212"/>
        <v>1.2336529791994494E+16</v>
      </c>
      <c r="M5815" s="471">
        <f t="shared" si="214"/>
        <v>0.05</v>
      </c>
      <c r="N5815" s="475">
        <f t="shared" si="215"/>
        <v>228034</v>
      </c>
    </row>
    <row r="5816" spans="7:14" ht="11.25" customHeight="1" x14ac:dyDescent="0.3">
      <c r="G5816" s="470"/>
      <c r="H5816" s="470">
        <v>5809</v>
      </c>
      <c r="I5816" s="455">
        <f t="shared" ca="1" si="213"/>
        <v>1.2336529791994494E+16</v>
      </c>
      <c r="J5816" s="455">
        <f t="array" ref="J5816">IFERROR(INDEX('Retirement Calculator'!J:J,MATCH('Isaac 401k'!N5816,'Retirement Calculator'!A:A,0),0),0)</f>
        <v>0</v>
      </c>
      <c r="K5816" s="455">
        <f t="shared" ca="1" si="211"/>
        <v>51402207466643.727</v>
      </c>
      <c r="L5816" s="455">
        <f t="shared" ca="1" si="212"/>
        <v>1.2387931999461138E+16</v>
      </c>
      <c r="M5816" s="471">
        <f t="shared" si="214"/>
        <v>0.05</v>
      </c>
      <c r="N5816" s="475">
        <f t="shared" si="215"/>
        <v>228065</v>
      </c>
    </row>
    <row r="5817" spans="7:14" ht="11.25" customHeight="1" x14ac:dyDescent="0.3">
      <c r="G5817" s="470"/>
      <c r="H5817" s="470">
        <v>5810</v>
      </c>
      <c r="I5817" s="455">
        <f t="shared" ca="1" si="213"/>
        <v>1.2387931999461138E+16</v>
      </c>
      <c r="J5817" s="455">
        <f t="array" ref="J5817">IFERROR(INDEX('Retirement Calculator'!J:J,MATCH('Isaac 401k'!N5817,'Retirement Calculator'!A:A,0),0),0)</f>
        <v>0</v>
      </c>
      <c r="K5817" s="455">
        <f t="shared" ca="1" si="211"/>
        <v>51616383331088.078</v>
      </c>
      <c r="L5817" s="455">
        <f t="shared" ca="1" si="212"/>
        <v>1.2439548382792226E+16</v>
      </c>
      <c r="M5817" s="471">
        <f t="shared" si="214"/>
        <v>0.05</v>
      </c>
      <c r="N5817" s="475">
        <f t="shared" si="215"/>
        <v>228095</v>
      </c>
    </row>
    <row r="5818" spans="7:14" ht="11.25" customHeight="1" x14ac:dyDescent="0.3">
      <c r="G5818" s="470"/>
      <c r="H5818" s="470">
        <v>5811</v>
      </c>
      <c r="I5818" s="455">
        <f t="shared" ca="1" si="213"/>
        <v>1.2439548382792226E+16</v>
      </c>
      <c r="J5818" s="455">
        <f t="array" ref="J5818">IFERROR(INDEX('Retirement Calculator'!J:J,MATCH('Isaac 401k'!N5818,'Retirement Calculator'!A:A,0),0),0)</f>
        <v>0</v>
      </c>
      <c r="K5818" s="455">
        <f t="shared" ca="1" si="211"/>
        <v>51831451594967.609</v>
      </c>
      <c r="L5818" s="455">
        <f t="shared" ca="1" si="212"/>
        <v>1.2491379834387194E+16</v>
      </c>
      <c r="M5818" s="471">
        <f t="shared" si="214"/>
        <v>0.05</v>
      </c>
      <c r="N5818" s="475">
        <f t="shared" si="215"/>
        <v>228126</v>
      </c>
    </row>
    <row r="5819" spans="7:14" ht="11.25" customHeight="1" x14ac:dyDescent="0.3">
      <c r="G5819" s="470"/>
      <c r="H5819" s="470">
        <v>5812</v>
      </c>
      <c r="I5819" s="455">
        <f t="shared" ca="1" si="213"/>
        <v>1.2491379834387194E+16</v>
      </c>
      <c r="J5819" s="455">
        <f t="array" ref="J5819">IFERROR(INDEX('Retirement Calculator'!J:J,MATCH('Isaac 401k'!N5819,'Retirement Calculator'!A:A,0),0),0)</f>
        <v>0</v>
      </c>
      <c r="K5819" s="455">
        <f t="shared" ca="1" si="211"/>
        <v>52047415976613.305</v>
      </c>
      <c r="L5819" s="455">
        <f t="shared" ca="1" si="212"/>
        <v>1.2543427250363808E+16</v>
      </c>
      <c r="M5819" s="471">
        <f t="shared" si="214"/>
        <v>0.05</v>
      </c>
      <c r="N5819" s="475">
        <f t="shared" si="215"/>
        <v>228157</v>
      </c>
    </row>
    <row r="5820" spans="7:14" ht="11.25" customHeight="1" x14ac:dyDescent="0.3">
      <c r="G5820" s="470"/>
      <c r="H5820" s="470">
        <v>5813</v>
      </c>
      <c r="I5820" s="455">
        <f t="shared" ca="1" si="213"/>
        <v>1.2543427250363808E+16</v>
      </c>
      <c r="J5820" s="455">
        <f t="array" ref="J5820">IFERROR(INDEX('Retirement Calculator'!J:J,MATCH('Isaac 401k'!N5820,'Retirement Calculator'!A:A,0),0),0)</f>
        <v>0</v>
      </c>
      <c r="K5820" s="455">
        <f t="shared" ca="1" si="211"/>
        <v>52264280209849.203</v>
      </c>
      <c r="L5820" s="455">
        <f t="shared" ca="1" si="212"/>
        <v>1.2595691530573658E+16</v>
      </c>
      <c r="M5820" s="471">
        <f t="shared" si="214"/>
        <v>0.05</v>
      </c>
      <c r="N5820" s="475">
        <f t="shared" si="215"/>
        <v>228187</v>
      </c>
    </row>
    <row r="5821" spans="7:14" ht="11.25" customHeight="1" x14ac:dyDescent="0.3">
      <c r="G5821" s="470"/>
      <c r="H5821" s="470">
        <v>5814</v>
      </c>
      <c r="I5821" s="455">
        <f t="shared" ca="1" si="213"/>
        <v>1.2595691530573658E+16</v>
      </c>
      <c r="J5821" s="455">
        <f t="array" ref="J5821">IFERROR(INDEX('Retirement Calculator'!J:J,MATCH('Isaac 401k'!N5821,'Retirement Calculator'!A:A,0),0),0)</f>
        <v>0</v>
      </c>
      <c r="K5821" s="455">
        <f t="shared" ca="1" si="211"/>
        <v>52482048044056.906</v>
      </c>
      <c r="L5821" s="455">
        <f t="shared" ca="1" si="212"/>
        <v>1.2648173578617714E+16</v>
      </c>
      <c r="M5821" s="471">
        <f t="shared" si="214"/>
        <v>0.05</v>
      </c>
      <c r="N5821" s="475">
        <f t="shared" si="215"/>
        <v>228218</v>
      </c>
    </row>
    <row r="5822" spans="7:14" ht="11.25" customHeight="1" x14ac:dyDescent="0.3">
      <c r="G5822" s="470"/>
      <c r="H5822" s="470">
        <v>5815</v>
      </c>
      <c r="I5822" s="455">
        <f t="shared" ca="1" si="213"/>
        <v>1.2648173578617714E+16</v>
      </c>
      <c r="J5822" s="455">
        <f t="array" ref="J5822">IFERROR(INDEX('Retirement Calculator'!J:J,MATCH('Isaac 401k'!N5822,'Retirement Calculator'!A:A,0),0),0)</f>
        <v>0</v>
      </c>
      <c r="K5822" s="455">
        <f t="shared" ca="1" si="211"/>
        <v>52700723244240.477</v>
      </c>
      <c r="L5822" s="455">
        <f t="shared" ca="1" si="212"/>
        <v>1.2700874301861954E+16</v>
      </c>
      <c r="M5822" s="471">
        <f t="shared" si="214"/>
        <v>0.05</v>
      </c>
      <c r="N5822" s="475">
        <f t="shared" si="215"/>
        <v>228248</v>
      </c>
    </row>
    <row r="5823" spans="7:14" ht="11.25" customHeight="1" x14ac:dyDescent="0.3">
      <c r="G5823" s="470"/>
      <c r="H5823" s="470">
        <v>5816</v>
      </c>
      <c r="I5823" s="455">
        <f t="shared" ca="1" si="213"/>
        <v>1.2700874301861954E+16</v>
      </c>
      <c r="J5823" s="455">
        <f t="array" ref="J5823">IFERROR(INDEX('Retirement Calculator'!J:J,MATCH('Isaac 401k'!N5823,'Retirement Calculator'!A:A,0),0),0)</f>
        <v>0</v>
      </c>
      <c r="K5823" s="455">
        <f t="shared" ca="1" si="211"/>
        <v>52920309591091.477</v>
      </c>
      <c r="L5823" s="455">
        <f t="shared" ca="1" si="212"/>
        <v>1.2753794611453046E+16</v>
      </c>
      <c r="M5823" s="471">
        <f t="shared" si="214"/>
        <v>0.05</v>
      </c>
      <c r="N5823" s="475">
        <f t="shared" si="215"/>
        <v>228279</v>
      </c>
    </row>
    <row r="5824" spans="7:14" ht="11.25" customHeight="1" x14ac:dyDescent="0.3">
      <c r="G5824" s="470"/>
      <c r="H5824" s="470">
        <v>5817</v>
      </c>
      <c r="I5824" s="455">
        <f t="shared" ca="1" si="213"/>
        <v>1.2753794611453046E+16</v>
      </c>
      <c r="J5824" s="455">
        <f t="array" ref="J5824">IFERROR(INDEX('Retirement Calculator'!J:J,MATCH('Isaac 401k'!N5824,'Retirement Calculator'!A:A,0),0),0)</f>
        <v>0</v>
      </c>
      <c r="K5824" s="455">
        <f t="shared" ca="1" si="211"/>
        <v>53140810881054.359</v>
      </c>
      <c r="L5824" s="455">
        <f t="shared" ca="1" si="212"/>
        <v>1.28069354223341E+16</v>
      </c>
      <c r="M5824" s="471">
        <f t="shared" si="214"/>
        <v>0.05</v>
      </c>
      <c r="N5824" s="475">
        <f t="shared" si="215"/>
        <v>228310</v>
      </c>
    </row>
    <row r="5825" spans="7:14" ht="11.25" customHeight="1" x14ac:dyDescent="0.3">
      <c r="G5825" s="470"/>
      <c r="H5825" s="470">
        <v>5818</v>
      </c>
      <c r="I5825" s="455">
        <f t="shared" ca="1" si="213"/>
        <v>1.28069354223341E+16</v>
      </c>
      <c r="J5825" s="455">
        <f t="array" ref="J5825">IFERROR(INDEX('Retirement Calculator'!J:J,MATCH('Isaac 401k'!N5825,'Retirement Calculator'!A:A,0),0),0)</f>
        <v>0</v>
      </c>
      <c r="K5825" s="455">
        <f t="shared" ca="1" si="211"/>
        <v>53362230926392.086</v>
      </c>
      <c r="L5825" s="455">
        <f t="shared" ca="1" si="212"/>
        <v>1.2860297653260492E+16</v>
      </c>
      <c r="M5825" s="471">
        <f t="shared" si="214"/>
        <v>0.05</v>
      </c>
      <c r="N5825" s="475">
        <f t="shared" si="215"/>
        <v>228338</v>
      </c>
    </row>
    <row r="5826" spans="7:14" ht="11.25" customHeight="1" x14ac:dyDescent="0.3">
      <c r="G5826" s="470"/>
      <c r="H5826" s="470">
        <v>5819</v>
      </c>
      <c r="I5826" s="455">
        <f t="shared" ca="1" si="213"/>
        <v>1.2860297653260492E+16</v>
      </c>
      <c r="J5826" s="455">
        <f t="array" ref="J5826">IFERROR(INDEX('Retirement Calculator'!J:J,MATCH('Isaac 401k'!N5826,'Retirement Calculator'!A:A,0),0),0)</f>
        <v>0</v>
      </c>
      <c r="K5826" s="455">
        <f t="shared" ca="1" si="211"/>
        <v>53584573555252.047</v>
      </c>
      <c r="L5826" s="455">
        <f t="shared" ca="1" si="212"/>
        <v>1.2913882226815744E+16</v>
      </c>
      <c r="M5826" s="471">
        <f t="shared" si="214"/>
        <v>0.05</v>
      </c>
      <c r="N5826" s="475">
        <f t="shared" si="215"/>
        <v>228369</v>
      </c>
    </row>
    <row r="5827" spans="7:14" ht="11.25" customHeight="1" x14ac:dyDescent="0.3">
      <c r="G5827" s="470"/>
      <c r="H5827" s="470">
        <v>5820</v>
      </c>
      <c r="I5827" s="455">
        <f t="shared" ca="1" si="213"/>
        <v>1.2913882226815744E+16</v>
      </c>
      <c r="J5827" s="455">
        <f t="array" ref="J5827">IFERROR(INDEX('Retirement Calculator'!J:J,MATCH('Isaac 401k'!N5827,'Retirement Calculator'!A:A,0),0),0)</f>
        <v>0</v>
      </c>
      <c r="K5827" s="455">
        <f t="shared" ca="1" si="211"/>
        <v>53807842611732.266</v>
      </c>
      <c r="L5827" s="455">
        <f t="shared" ca="1" si="212"/>
        <v>1.2967690069427476E+16</v>
      </c>
      <c r="M5827" s="471">
        <f t="shared" si="214"/>
        <v>0.05</v>
      </c>
      <c r="N5827" s="475">
        <f t="shared" si="215"/>
        <v>228399</v>
      </c>
    </row>
    <row r="5828" spans="7:14" ht="11.25" customHeight="1" x14ac:dyDescent="0.3">
      <c r="G5828" s="470"/>
      <c r="H5828" s="470">
        <v>5821</v>
      </c>
      <c r="I5828" s="455">
        <f t="shared" ca="1" si="213"/>
        <v>1.2967690069427476E+16</v>
      </c>
      <c r="J5828" s="455">
        <f t="array" ref="J5828">IFERROR(INDEX('Retirement Calculator'!J:J,MATCH('Isaac 401k'!N5828,'Retirement Calculator'!A:A,0),0),0)</f>
        <v>0</v>
      </c>
      <c r="K5828" s="455">
        <f t="shared" ca="1" si="211"/>
        <v>54032041955947.813</v>
      </c>
      <c r="L5828" s="455">
        <f t="shared" ca="1" si="212"/>
        <v>1.3021722111383424E+16</v>
      </c>
      <c r="M5828" s="471">
        <f t="shared" si="214"/>
        <v>0.05</v>
      </c>
      <c r="N5828" s="475">
        <f t="shared" si="215"/>
        <v>228430</v>
      </c>
    </row>
    <row r="5829" spans="7:14" ht="11.25" customHeight="1" x14ac:dyDescent="0.3">
      <c r="G5829" s="470"/>
      <c r="H5829" s="470">
        <v>5822</v>
      </c>
      <c r="I5829" s="455">
        <f t="shared" ca="1" si="213"/>
        <v>1.3021722111383424E+16</v>
      </c>
      <c r="J5829" s="455">
        <f t="array" ref="J5829">IFERROR(INDEX('Retirement Calculator'!J:J,MATCH('Isaac 401k'!N5829,'Retirement Calculator'!A:A,0),0),0)</f>
        <v>0</v>
      </c>
      <c r="K5829" s="455">
        <f t="shared" ca="1" si="211"/>
        <v>54257175464097.602</v>
      </c>
      <c r="L5829" s="455">
        <f t="shared" ca="1" si="212"/>
        <v>1.3075979286847522E+16</v>
      </c>
      <c r="M5829" s="471">
        <f t="shared" si="214"/>
        <v>0.05</v>
      </c>
      <c r="N5829" s="475">
        <f t="shared" si="215"/>
        <v>228460</v>
      </c>
    </row>
    <row r="5830" spans="7:14" ht="11.25" customHeight="1" x14ac:dyDescent="0.3">
      <c r="G5830" s="470"/>
      <c r="H5830" s="470">
        <v>5823</v>
      </c>
      <c r="I5830" s="455">
        <f t="shared" ca="1" si="213"/>
        <v>1.3075979286847522E+16</v>
      </c>
      <c r="J5830" s="455">
        <f t="array" ref="J5830">IFERROR(INDEX('Retirement Calculator'!J:J,MATCH('Isaac 401k'!N5830,'Retirement Calculator'!A:A,0),0),0)</f>
        <v>0</v>
      </c>
      <c r="K5830" s="455">
        <f t="shared" ca="1" si="211"/>
        <v>54483247028531.344</v>
      </c>
      <c r="L5830" s="455">
        <f t="shared" ca="1" si="212"/>
        <v>1.3130462533876054E+16</v>
      </c>
      <c r="M5830" s="471">
        <f t="shared" si="214"/>
        <v>0.05</v>
      </c>
      <c r="N5830" s="475">
        <f t="shared" si="215"/>
        <v>228491</v>
      </c>
    </row>
    <row r="5831" spans="7:14" ht="11.25" customHeight="1" x14ac:dyDescent="0.3">
      <c r="G5831" s="470"/>
      <c r="H5831" s="470">
        <v>5824</v>
      </c>
      <c r="I5831" s="455">
        <f t="shared" ca="1" si="213"/>
        <v>1.3130462533876054E+16</v>
      </c>
      <c r="J5831" s="455">
        <f t="array" ref="J5831">IFERROR(INDEX('Retirement Calculator'!J:J,MATCH('Isaac 401k'!N5831,'Retirement Calculator'!A:A,0),0),0)</f>
        <v>0</v>
      </c>
      <c r="K5831" s="455">
        <f t="shared" ca="1" si="211"/>
        <v>54710260557816.891</v>
      </c>
      <c r="L5831" s="455">
        <f t="shared" ca="1" si="212"/>
        <v>1.318517279443387E+16</v>
      </c>
      <c r="M5831" s="471">
        <f t="shared" si="214"/>
        <v>0.05</v>
      </c>
      <c r="N5831" s="475">
        <f t="shared" si="215"/>
        <v>228522</v>
      </c>
    </row>
    <row r="5832" spans="7:14" ht="11.25" customHeight="1" x14ac:dyDescent="0.3">
      <c r="G5832" s="470"/>
      <c r="H5832" s="470">
        <v>5825</v>
      </c>
      <c r="I5832" s="455">
        <f t="shared" ca="1" si="213"/>
        <v>1.318517279443387E+16</v>
      </c>
      <c r="J5832" s="455">
        <f t="array" ref="J5832">IFERROR(INDEX('Retirement Calculator'!J:J,MATCH('Isaac 401k'!N5832,'Retirement Calculator'!A:A,0),0),0)</f>
        <v>0</v>
      </c>
      <c r="K5832" s="455">
        <f t="shared" ca="1" si="211"/>
        <v>54938219976807.789</v>
      </c>
      <c r="L5832" s="455">
        <f t="shared" ca="1" si="212"/>
        <v>1.3240111014410678E+16</v>
      </c>
      <c r="M5832" s="471">
        <f t="shared" si="214"/>
        <v>0.05</v>
      </c>
      <c r="N5832" s="475">
        <f t="shared" si="215"/>
        <v>228552</v>
      </c>
    </row>
    <row r="5833" spans="7:14" ht="11.25" customHeight="1" x14ac:dyDescent="0.3">
      <c r="G5833" s="470"/>
      <c r="H5833" s="470">
        <v>5826</v>
      </c>
      <c r="I5833" s="455">
        <f t="shared" ca="1" si="213"/>
        <v>1.3240111014410678E+16</v>
      </c>
      <c r="J5833" s="455">
        <f t="array" ref="J5833">IFERROR(INDEX('Retirement Calculator'!J:J,MATCH('Isaac 401k'!N5833,'Retirement Calculator'!A:A,0),0),0)</f>
        <v>0</v>
      </c>
      <c r="K5833" s="455">
        <f t="shared" ca="1" si="211"/>
        <v>55167129226711.156</v>
      </c>
      <c r="L5833" s="455">
        <f t="shared" ca="1" si="212"/>
        <v>1.329527814363739E+16</v>
      </c>
      <c r="M5833" s="471">
        <f t="shared" si="214"/>
        <v>0.05</v>
      </c>
      <c r="N5833" s="475">
        <f t="shared" si="215"/>
        <v>228583</v>
      </c>
    </row>
    <row r="5834" spans="7:14" ht="11.25" customHeight="1" x14ac:dyDescent="0.3">
      <c r="G5834" s="470"/>
      <c r="H5834" s="470">
        <v>5827</v>
      </c>
      <c r="I5834" s="455">
        <f t="shared" ca="1" si="213"/>
        <v>1.329527814363739E+16</v>
      </c>
      <c r="J5834" s="455">
        <f t="array" ref="J5834">IFERROR(INDEX('Retirement Calculator'!J:J,MATCH('Isaac 401k'!N5834,'Retirement Calculator'!A:A,0),0),0)</f>
        <v>0</v>
      </c>
      <c r="K5834" s="455">
        <f t="shared" ca="1" si="211"/>
        <v>55396992265155.789</v>
      </c>
      <c r="L5834" s="455">
        <f t="shared" ca="1" si="212"/>
        <v>1.3350675135902546E+16</v>
      </c>
      <c r="M5834" s="471">
        <f t="shared" si="214"/>
        <v>0.05</v>
      </c>
      <c r="N5834" s="475">
        <f t="shared" si="215"/>
        <v>228613</v>
      </c>
    </row>
    <row r="5835" spans="7:14" ht="11.25" customHeight="1" x14ac:dyDescent="0.3">
      <c r="G5835" s="470"/>
      <c r="H5835" s="470">
        <v>5828</v>
      </c>
      <c r="I5835" s="455">
        <f t="shared" ca="1" si="213"/>
        <v>1.3350675135902546E+16</v>
      </c>
      <c r="J5835" s="455">
        <f t="array" ref="J5835">IFERROR(INDEX('Retirement Calculator'!J:J,MATCH('Isaac 401k'!N5835,'Retirement Calculator'!A:A,0),0),0)</f>
        <v>0</v>
      </c>
      <c r="K5835" s="455">
        <f t="shared" ca="1" si="211"/>
        <v>55627813066260.609</v>
      </c>
      <c r="L5835" s="455">
        <f t="shared" ca="1" si="212"/>
        <v>1.3406302948968806E+16</v>
      </c>
      <c r="M5835" s="471">
        <f t="shared" si="214"/>
        <v>0.05</v>
      </c>
      <c r="N5835" s="475">
        <f t="shared" si="215"/>
        <v>228644</v>
      </c>
    </row>
    <row r="5836" spans="7:14" ht="11.25" customHeight="1" x14ac:dyDescent="0.3">
      <c r="G5836" s="470"/>
      <c r="H5836" s="470">
        <v>5829</v>
      </c>
      <c r="I5836" s="455">
        <f t="shared" ca="1" si="213"/>
        <v>1.3406302948968806E+16</v>
      </c>
      <c r="J5836" s="455">
        <f t="array" ref="J5836">IFERROR(INDEX('Retirement Calculator'!J:J,MATCH('Isaac 401k'!N5836,'Retirement Calculator'!A:A,0),0),0)</f>
        <v>0</v>
      </c>
      <c r="K5836" s="455">
        <f t="shared" ca="1" si="211"/>
        <v>55859595620703.359</v>
      </c>
      <c r="L5836" s="455">
        <f t="shared" ca="1" si="212"/>
        <v>1.346216254458951E+16</v>
      </c>
      <c r="M5836" s="471">
        <f t="shared" si="214"/>
        <v>0.05</v>
      </c>
      <c r="N5836" s="475">
        <f t="shared" si="215"/>
        <v>228675</v>
      </c>
    </row>
    <row r="5837" spans="7:14" ht="11.25" customHeight="1" x14ac:dyDescent="0.3">
      <c r="G5837" s="470"/>
      <c r="H5837" s="470">
        <v>5830</v>
      </c>
      <c r="I5837" s="455">
        <f t="shared" ca="1" si="213"/>
        <v>1.346216254458951E+16</v>
      </c>
      <c r="J5837" s="455">
        <f t="array" ref="J5837">IFERROR(INDEX('Retirement Calculator'!J:J,MATCH('Isaac 401k'!N5837,'Retirement Calculator'!A:A,0),0),0)</f>
        <v>0</v>
      </c>
      <c r="K5837" s="455">
        <f t="shared" ca="1" si="211"/>
        <v>56092343935789.625</v>
      </c>
      <c r="L5837" s="455">
        <f t="shared" ca="1" si="212"/>
        <v>1.35182548885253E+16</v>
      </c>
      <c r="M5837" s="471">
        <f t="shared" si="214"/>
        <v>0.05</v>
      </c>
      <c r="N5837" s="475">
        <f t="shared" si="215"/>
        <v>228703</v>
      </c>
    </row>
    <row r="5838" spans="7:14" ht="11.25" customHeight="1" x14ac:dyDescent="0.3">
      <c r="G5838" s="470"/>
      <c r="H5838" s="470">
        <v>5831</v>
      </c>
      <c r="I5838" s="455">
        <f t="shared" ca="1" si="213"/>
        <v>1.35182548885253E+16</v>
      </c>
      <c r="J5838" s="455">
        <f t="array" ref="J5838">IFERROR(INDEX('Retirement Calculator'!J:J,MATCH('Isaac 401k'!N5838,'Retirement Calculator'!A:A,0),0),0)</f>
        <v>0</v>
      </c>
      <c r="K5838" s="455">
        <f t="shared" ca="1" si="211"/>
        <v>56326062035522.086</v>
      </c>
      <c r="L5838" s="455">
        <f t="shared" ca="1" si="212"/>
        <v>1.3574580950560822E+16</v>
      </c>
      <c r="M5838" s="471">
        <f t="shared" si="214"/>
        <v>0.05</v>
      </c>
      <c r="N5838" s="475">
        <f t="shared" si="215"/>
        <v>228734</v>
      </c>
    </row>
    <row r="5839" spans="7:14" ht="11.25" customHeight="1" x14ac:dyDescent="0.3">
      <c r="G5839" s="470"/>
      <c r="H5839" s="470">
        <v>5832</v>
      </c>
      <c r="I5839" s="455">
        <f t="shared" ca="1" si="213"/>
        <v>1.3574580950560822E+16</v>
      </c>
      <c r="J5839" s="455">
        <f t="array" ref="J5839">IFERROR(INDEX('Retirement Calculator'!J:J,MATCH('Isaac 401k'!N5839,'Retirement Calculator'!A:A,0),0),0)</f>
        <v>0</v>
      </c>
      <c r="K5839" s="455">
        <f t="shared" ca="1" si="211"/>
        <v>56560753960670.094</v>
      </c>
      <c r="L5839" s="455">
        <f t="shared" ca="1" si="212"/>
        <v>1.3631141704521492E+16</v>
      </c>
      <c r="M5839" s="471">
        <f t="shared" si="214"/>
        <v>0.05</v>
      </c>
      <c r="N5839" s="475">
        <f t="shared" si="215"/>
        <v>228764</v>
      </c>
    </row>
    <row r="5840" spans="7:14" ht="11.25" customHeight="1" x14ac:dyDescent="0.3">
      <c r="G5840" s="470"/>
      <c r="H5840" s="470">
        <v>5833</v>
      </c>
      <c r="I5840" s="455">
        <f t="shared" ca="1" si="213"/>
        <v>1.3631141704521492E+16</v>
      </c>
      <c r="J5840" s="455">
        <f t="array" ref="J5840">IFERROR(INDEX('Retirement Calculator'!J:J,MATCH('Isaac 401k'!N5840,'Retirement Calculator'!A:A,0),0),0)</f>
        <v>0</v>
      </c>
      <c r="K5840" s="455">
        <f t="shared" ca="1" si="211"/>
        <v>56796423768839.547</v>
      </c>
      <c r="L5840" s="455">
        <f t="shared" ca="1" si="212"/>
        <v>1.3687938128290332E+16</v>
      </c>
      <c r="M5840" s="471">
        <f t="shared" si="214"/>
        <v>0.05</v>
      </c>
      <c r="N5840" s="475">
        <f t="shared" si="215"/>
        <v>228795</v>
      </c>
    </row>
    <row r="5841" spans="7:14" ht="11.25" customHeight="1" x14ac:dyDescent="0.3">
      <c r="G5841" s="470"/>
      <c r="H5841" s="470">
        <v>5834</v>
      </c>
      <c r="I5841" s="455">
        <f t="shared" ca="1" si="213"/>
        <v>1.3687938128290332E+16</v>
      </c>
      <c r="J5841" s="455">
        <f t="array" ref="J5841">IFERROR(INDEX('Retirement Calculator'!J:J,MATCH('Isaac 401k'!N5841,'Retirement Calculator'!A:A,0),0),0)</f>
        <v>0</v>
      </c>
      <c r="K5841" s="455">
        <f t="shared" ca="1" si="211"/>
        <v>57033075534543.047</v>
      </c>
      <c r="L5841" s="455">
        <f t="shared" ca="1" si="212"/>
        <v>1.3744971203824876E+16</v>
      </c>
      <c r="M5841" s="471">
        <f t="shared" si="214"/>
        <v>0.05</v>
      </c>
      <c r="N5841" s="475">
        <f t="shared" si="215"/>
        <v>228825</v>
      </c>
    </row>
    <row r="5842" spans="7:14" ht="11.25" customHeight="1" x14ac:dyDescent="0.3">
      <c r="G5842" s="470"/>
      <c r="H5842" s="470">
        <v>5835</v>
      </c>
      <c r="I5842" s="455">
        <f t="shared" ca="1" si="213"/>
        <v>1.3744971203824876E+16</v>
      </c>
      <c r="J5842" s="455">
        <f t="array" ref="J5842">IFERROR(INDEX('Retirement Calculator'!J:J,MATCH('Isaac 401k'!N5842,'Retirement Calculator'!A:A,0),0),0)</f>
        <v>0</v>
      </c>
      <c r="K5842" s="455">
        <f t="shared" ca="1" si="211"/>
        <v>57270713349270.313</v>
      </c>
      <c r="L5842" s="455">
        <f t="shared" ca="1" si="212"/>
        <v>1.3802241917174146E+16</v>
      </c>
      <c r="M5842" s="471">
        <f t="shared" si="214"/>
        <v>0.05</v>
      </c>
      <c r="N5842" s="475">
        <f t="shared" si="215"/>
        <v>228856</v>
      </c>
    </row>
    <row r="5843" spans="7:14" ht="11.25" customHeight="1" x14ac:dyDescent="0.3">
      <c r="G5843" s="470"/>
      <c r="H5843" s="470">
        <v>5836</v>
      </c>
      <c r="I5843" s="455">
        <f t="shared" ca="1" si="213"/>
        <v>1.3802241917174146E+16</v>
      </c>
      <c r="J5843" s="455">
        <f t="array" ref="J5843">IFERROR(INDEX('Retirement Calculator'!J:J,MATCH('Isaac 401k'!N5843,'Retirement Calculator'!A:A,0),0),0)</f>
        <v>0</v>
      </c>
      <c r="K5843" s="455">
        <f t="shared" ca="1" si="211"/>
        <v>57509341321558.938</v>
      </c>
      <c r="L5843" s="455">
        <f t="shared" ca="1" si="212"/>
        <v>1.3859751258495704E+16</v>
      </c>
      <c r="M5843" s="471">
        <f t="shared" si="214"/>
        <v>0.05</v>
      </c>
      <c r="N5843" s="475">
        <f t="shared" si="215"/>
        <v>228887</v>
      </c>
    </row>
    <row r="5844" spans="7:14" ht="11.25" customHeight="1" x14ac:dyDescent="0.3">
      <c r="G5844" s="470"/>
      <c r="H5844" s="470">
        <v>5837</v>
      </c>
      <c r="I5844" s="455">
        <f t="shared" ca="1" si="213"/>
        <v>1.3859751258495704E+16</v>
      </c>
      <c r="J5844" s="455">
        <f t="array" ref="J5844">IFERROR(INDEX('Retirement Calculator'!J:J,MATCH('Isaac 401k'!N5844,'Retirement Calculator'!A:A,0),0),0)</f>
        <v>0</v>
      </c>
      <c r="K5844" s="455">
        <f t="shared" ca="1" si="211"/>
        <v>57748963577065.43</v>
      </c>
      <c r="L5844" s="455">
        <f t="shared" ca="1" si="212"/>
        <v>1.391750022207277E+16</v>
      </c>
      <c r="M5844" s="471">
        <f t="shared" si="214"/>
        <v>0.05</v>
      </c>
      <c r="N5844" s="475">
        <f t="shared" si="215"/>
        <v>228917</v>
      </c>
    </row>
    <row r="5845" spans="7:14" ht="11.25" customHeight="1" x14ac:dyDescent="0.3">
      <c r="G5845" s="470"/>
      <c r="H5845" s="470">
        <v>5838</v>
      </c>
      <c r="I5845" s="455">
        <f t="shared" ca="1" si="213"/>
        <v>1.391750022207277E+16</v>
      </c>
      <c r="J5845" s="455">
        <f t="array" ref="J5845">IFERROR(INDEX('Retirement Calculator'!J:J,MATCH('Isaac 401k'!N5845,'Retirement Calculator'!A:A,0),0),0)</f>
        <v>0</v>
      </c>
      <c r="K5845" s="455">
        <f t="shared" ca="1" si="211"/>
        <v>57989584258636.539</v>
      </c>
      <c r="L5845" s="455">
        <f t="shared" ca="1" si="212"/>
        <v>1.3975489806331406E+16</v>
      </c>
      <c r="M5845" s="471">
        <f t="shared" si="214"/>
        <v>0.05</v>
      </c>
      <c r="N5845" s="475">
        <f t="shared" si="215"/>
        <v>228948</v>
      </c>
    </row>
    <row r="5846" spans="7:14" ht="11.25" customHeight="1" x14ac:dyDescent="0.3">
      <c r="G5846" s="470"/>
      <c r="H5846" s="470">
        <v>5839</v>
      </c>
      <c r="I5846" s="455">
        <f t="shared" ca="1" si="213"/>
        <v>1.3975489806331406E+16</v>
      </c>
      <c r="J5846" s="455">
        <f t="array" ref="J5846">IFERROR(INDEX('Retirement Calculator'!J:J,MATCH('Isaac 401k'!N5846,'Retirement Calculator'!A:A,0),0),0)</f>
        <v>0</v>
      </c>
      <c r="K5846" s="455">
        <f t="shared" ca="1" si="211"/>
        <v>58231207526380.859</v>
      </c>
      <c r="L5846" s="455">
        <f t="shared" ca="1" si="212"/>
        <v>1.4033721013857786E+16</v>
      </c>
      <c r="M5846" s="471">
        <f t="shared" si="214"/>
        <v>0.05</v>
      </c>
      <c r="N5846" s="475">
        <f t="shared" si="215"/>
        <v>228978</v>
      </c>
    </row>
    <row r="5847" spans="7:14" ht="11.25" customHeight="1" x14ac:dyDescent="0.3">
      <c r="G5847" s="470"/>
      <c r="H5847" s="470">
        <v>5840</v>
      </c>
      <c r="I5847" s="455">
        <f t="shared" ca="1" si="213"/>
        <v>1.4033721013857786E+16</v>
      </c>
      <c r="J5847" s="455">
        <f t="array" ref="J5847">IFERROR(INDEX('Retirement Calculator'!J:J,MATCH('Isaac 401k'!N5847,'Retirement Calculator'!A:A,0),0),0)</f>
        <v>0</v>
      </c>
      <c r="K5847" s="455">
        <f t="shared" ca="1" si="211"/>
        <v>58473837557740.773</v>
      </c>
      <c r="L5847" s="455">
        <f t="shared" ca="1" si="212"/>
        <v>1.4092194851415526E+16</v>
      </c>
      <c r="M5847" s="471">
        <f t="shared" si="214"/>
        <v>0.05</v>
      </c>
      <c r="N5847" s="475">
        <f t="shared" si="215"/>
        <v>229009</v>
      </c>
    </row>
    <row r="5848" spans="7:14" ht="11.25" customHeight="1" x14ac:dyDescent="0.3">
      <c r="G5848" s="470"/>
      <c r="H5848" s="470">
        <v>5841</v>
      </c>
      <c r="I5848" s="455">
        <f t="shared" ca="1" si="213"/>
        <v>1.4092194851415526E+16</v>
      </c>
      <c r="J5848" s="455">
        <f t="array" ref="J5848">IFERROR(INDEX('Retirement Calculator'!J:J,MATCH('Isaac 401k'!N5848,'Retirement Calculator'!A:A,0),0),0)</f>
        <v>0</v>
      </c>
      <c r="K5848" s="455">
        <f t="shared" ca="1" si="211"/>
        <v>58717478547564.68</v>
      </c>
      <c r="L5848" s="455">
        <f t="shared" ca="1" si="212"/>
        <v>1.415091232996309E+16</v>
      </c>
      <c r="M5848" s="471">
        <f t="shared" si="214"/>
        <v>0.05</v>
      </c>
      <c r="N5848" s="475">
        <f t="shared" si="215"/>
        <v>229040</v>
      </c>
    </row>
    <row r="5849" spans="7:14" ht="11.25" customHeight="1" x14ac:dyDescent="0.3">
      <c r="G5849" s="470"/>
      <c r="H5849" s="470">
        <v>5842</v>
      </c>
      <c r="I5849" s="455">
        <f t="shared" ca="1" si="213"/>
        <v>1.415091232996309E+16</v>
      </c>
      <c r="J5849" s="455">
        <f t="array" ref="J5849">IFERROR(INDEX('Retirement Calculator'!J:J,MATCH('Isaac 401k'!N5849,'Retirement Calculator'!A:A,0),0),0)</f>
        <v>0</v>
      </c>
      <c r="K5849" s="455">
        <f t="shared" ca="1" si="211"/>
        <v>58962134708179.539</v>
      </c>
      <c r="L5849" s="455">
        <f t="shared" ca="1" si="212"/>
        <v>1.420987446467127E+16</v>
      </c>
      <c r="M5849" s="471">
        <f t="shared" si="214"/>
        <v>0.05</v>
      </c>
      <c r="N5849" s="475">
        <f t="shared" si="215"/>
        <v>229068</v>
      </c>
    </row>
    <row r="5850" spans="7:14" ht="11.25" customHeight="1" x14ac:dyDescent="0.3">
      <c r="G5850" s="470"/>
      <c r="H5850" s="470">
        <v>5843</v>
      </c>
      <c r="I5850" s="455">
        <f t="shared" ca="1" si="213"/>
        <v>1.420987446467127E+16</v>
      </c>
      <c r="J5850" s="455">
        <f t="array" ref="J5850">IFERROR(INDEX('Retirement Calculator'!J:J,MATCH('Isaac 401k'!N5850,'Retirement Calculator'!A:A,0),0),0)</f>
        <v>0</v>
      </c>
      <c r="K5850" s="455">
        <f t="shared" ca="1" si="211"/>
        <v>59207810269463.625</v>
      </c>
      <c r="L5850" s="455">
        <f t="shared" ca="1" si="212"/>
        <v>1.4269082274940734E+16</v>
      </c>
      <c r="M5850" s="471">
        <f t="shared" si="214"/>
        <v>0.05</v>
      </c>
      <c r="N5850" s="475">
        <f t="shared" si="215"/>
        <v>229099</v>
      </c>
    </row>
    <row r="5851" spans="7:14" ht="11.25" customHeight="1" x14ac:dyDescent="0.3">
      <c r="G5851" s="470"/>
      <c r="H5851" s="470">
        <v>5844</v>
      </c>
      <c r="I5851" s="455">
        <f t="shared" ca="1" si="213"/>
        <v>1.4269082274940734E+16</v>
      </c>
      <c r="J5851" s="455">
        <f t="array" ref="J5851">IFERROR(INDEX('Retirement Calculator'!J:J,MATCH('Isaac 401k'!N5851,'Retirement Calculator'!A:A,0),0),0)</f>
        <v>0</v>
      </c>
      <c r="K5851" s="455">
        <f t="shared" ca="1" si="211"/>
        <v>59454509478919.727</v>
      </c>
      <c r="L5851" s="455">
        <f t="shared" ca="1" si="212"/>
        <v>1.4328536784419654E+16</v>
      </c>
      <c r="M5851" s="471">
        <f t="shared" si="214"/>
        <v>0.05</v>
      </c>
      <c r="N5851" s="475">
        <f t="shared" si="215"/>
        <v>229129</v>
      </c>
    </row>
    <row r="5852" spans="7:14" ht="11.25" customHeight="1" x14ac:dyDescent="0.3">
      <c r="G5852" s="470"/>
      <c r="H5852" s="470">
        <v>5845</v>
      </c>
      <c r="I5852" s="455">
        <f t="shared" ca="1" si="213"/>
        <v>1.4328536784419654E+16</v>
      </c>
      <c r="J5852" s="455">
        <f t="array" ref="J5852">IFERROR(INDEX('Retirement Calculator'!J:J,MATCH('Isaac 401k'!N5852,'Retirement Calculator'!A:A,0),0),0)</f>
        <v>0</v>
      </c>
      <c r="K5852" s="455">
        <f t="shared" ca="1" si="211"/>
        <v>59702236601748.555</v>
      </c>
      <c r="L5852" s="455">
        <f t="shared" ca="1" si="212"/>
        <v>1.4388239021021402E+16</v>
      </c>
      <c r="M5852" s="471">
        <f t="shared" si="214"/>
        <v>0.05</v>
      </c>
      <c r="N5852" s="475">
        <f t="shared" si="215"/>
        <v>229160</v>
      </c>
    </row>
    <row r="5853" spans="7:14" ht="11.25" customHeight="1" x14ac:dyDescent="0.3">
      <c r="G5853" s="470"/>
      <c r="H5853" s="470">
        <v>5846</v>
      </c>
      <c r="I5853" s="455">
        <f t="shared" ca="1" si="213"/>
        <v>1.4388239021021402E+16</v>
      </c>
      <c r="J5853" s="455">
        <f t="array" ref="J5853">IFERROR(INDEX('Retirement Calculator'!J:J,MATCH('Isaac 401k'!N5853,'Retirement Calculator'!A:A,0),0),0)</f>
        <v>0</v>
      </c>
      <c r="K5853" s="455">
        <f t="shared" ca="1" si="211"/>
        <v>59950995920922.508</v>
      </c>
      <c r="L5853" s="455">
        <f t="shared" ca="1" si="212"/>
        <v>1.4448190016942324E+16</v>
      </c>
      <c r="M5853" s="471">
        <f t="shared" si="214"/>
        <v>0.05</v>
      </c>
      <c r="N5853" s="475">
        <f t="shared" si="215"/>
        <v>229190</v>
      </c>
    </row>
    <row r="5854" spans="7:14" ht="11.25" customHeight="1" x14ac:dyDescent="0.3">
      <c r="G5854" s="470"/>
      <c r="H5854" s="470">
        <v>5847</v>
      </c>
      <c r="I5854" s="455">
        <f t="shared" ca="1" si="213"/>
        <v>1.4448190016942324E+16</v>
      </c>
      <c r="J5854" s="455">
        <f t="array" ref="J5854">IFERROR(INDEX('Retirement Calculator'!J:J,MATCH('Isaac 401k'!N5854,'Retirement Calculator'!A:A,0),0),0)</f>
        <v>0</v>
      </c>
      <c r="K5854" s="455">
        <f t="shared" ca="1" si="211"/>
        <v>60200791737259.68</v>
      </c>
      <c r="L5854" s="455">
        <f t="shared" ca="1" si="212"/>
        <v>1.4508390808679584E+16</v>
      </c>
      <c r="M5854" s="471">
        <f t="shared" si="214"/>
        <v>0.05</v>
      </c>
      <c r="N5854" s="475">
        <f t="shared" si="215"/>
        <v>229221</v>
      </c>
    </row>
    <row r="5855" spans="7:14" ht="11.25" customHeight="1" x14ac:dyDescent="0.3">
      <c r="G5855" s="470"/>
      <c r="H5855" s="470">
        <v>5848</v>
      </c>
      <c r="I5855" s="455">
        <f t="shared" ca="1" si="213"/>
        <v>1.4508390808679584E+16</v>
      </c>
      <c r="J5855" s="455">
        <f t="array" ref="J5855">IFERROR(INDEX('Retirement Calculator'!J:J,MATCH('Isaac 401k'!N5855,'Retirement Calculator'!A:A,0),0),0)</f>
        <v>0</v>
      </c>
      <c r="K5855" s="455">
        <f t="shared" ca="1" si="211"/>
        <v>60451628369498.266</v>
      </c>
      <c r="L5855" s="455">
        <f t="shared" ca="1" si="212"/>
        <v>1.4568842437049082E+16</v>
      </c>
      <c r="M5855" s="471">
        <f t="shared" si="214"/>
        <v>0.05</v>
      </c>
      <c r="N5855" s="475">
        <f t="shared" si="215"/>
        <v>229252</v>
      </c>
    </row>
    <row r="5856" spans="7:14" ht="11.25" customHeight="1" x14ac:dyDescent="0.3">
      <c r="G5856" s="470"/>
      <c r="H5856" s="470">
        <v>5849</v>
      </c>
      <c r="I5856" s="455">
        <f t="shared" ca="1" si="213"/>
        <v>1.4568842437049082E+16</v>
      </c>
      <c r="J5856" s="455">
        <f t="array" ref="J5856">IFERROR(INDEX('Retirement Calculator'!J:J,MATCH('Isaac 401k'!N5856,'Retirement Calculator'!A:A,0),0),0)</f>
        <v>0</v>
      </c>
      <c r="K5856" s="455">
        <f t="shared" ca="1" si="211"/>
        <v>60703510154371.172</v>
      </c>
      <c r="L5856" s="455">
        <f t="shared" ca="1" si="212"/>
        <v>1.4629545947203454E+16</v>
      </c>
      <c r="M5856" s="471">
        <f t="shared" si="214"/>
        <v>0.05</v>
      </c>
      <c r="N5856" s="475">
        <f t="shared" si="215"/>
        <v>229282</v>
      </c>
    </row>
    <row r="5857" spans="7:14" ht="11.25" customHeight="1" x14ac:dyDescent="0.3">
      <c r="G5857" s="470"/>
      <c r="H5857" s="470">
        <v>5850</v>
      </c>
      <c r="I5857" s="455">
        <f t="shared" ca="1" si="213"/>
        <v>1.4629545947203454E+16</v>
      </c>
      <c r="J5857" s="455">
        <f t="array" ref="J5857">IFERROR(INDEX('Retirement Calculator'!J:J,MATCH('Isaac 401k'!N5857,'Retirement Calculator'!A:A,0),0),0)</f>
        <v>0</v>
      </c>
      <c r="K5857" s="455">
        <f t="shared" ca="1" si="211"/>
        <v>60956441446681.047</v>
      </c>
      <c r="L5857" s="455">
        <f t="shared" ca="1" si="212"/>
        <v>1.4690502388650136E+16</v>
      </c>
      <c r="M5857" s="471">
        <f t="shared" si="214"/>
        <v>0.05</v>
      </c>
      <c r="N5857" s="475">
        <f t="shared" si="215"/>
        <v>229313</v>
      </c>
    </row>
    <row r="5858" spans="7:14" ht="11.25" customHeight="1" x14ac:dyDescent="0.3">
      <c r="G5858" s="470"/>
      <c r="H5858" s="470">
        <v>5851</v>
      </c>
      <c r="I5858" s="455">
        <f t="shared" ca="1" si="213"/>
        <v>1.4690502388650136E+16</v>
      </c>
      <c r="J5858" s="455">
        <f t="array" ref="J5858">IFERROR(INDEX('Retirement Calculator'!J:J,MATCH('Isaac 401k'!N5858,'Retirement Calculator'!A:A,0),0),0)</f>
        <v>0</v>
      </c>
      <c r="K5858" s="455">
        <f t="shared" ca="1" si="211"/>
        <v>61210426619375.563</v>
      </c>
      <c r="L5858" s="455">
        <f t="shared" ca="1" si="212"/>
        <v>1.4751712815269512E+16</v>
      </c>
      <c r="M5858" s="471">
        <f t="shared" si="214"/>
        <v>0.05</v>
      </c>
      <c r="N5858" s="475">
        <f t="shared" si="215"/>
        <v>229343</v>
      </c>
    </row>
    <row r="5859" spans="7:14" ht="11.25" customHeight="1" x14ac:dyDescent="0.3">
      <c r="G5859" s="470"/>
      <c r="H5859" s="470">
        <v>5852</v>
      </c>
      <c r="I5859" s="455">
        <f t="shared" ca="1" si="213"/>
        <v>1.4751712815269512E+16</v>
      </c>
      <c r="J5859" s="455">
        <f t="array" ref="J5859">IFERROR(INDEX('Retirement Calculator'!J:J,MATCH('Isaac 401k'!N5859,'Retirement Calculator'!A:A,0),0),0)</f>
        <v>0</v>
      </c>
      <c r="K5859" s="455">
        <f t="shared" ca="1" si="211"/>
        <v>61465470063622.969</v>
      </c>
      <c r="L5859" s="455">
        <f t="shared" ca="1" si="212"/>
        <v>1.4813178285333134E+16</v>
      </c>
      <c r="M5859" s="471">
        <f t="shared" si="214"/>
        <v>0.05</v>
      </c>
      <c r="N5859" s="475">
        <f t="shared" si="215"/>
        <v>229374</v>
      </c>
    </row>
    <row r="5860" spans="7:14" ht="11.25" customHeight="1" x14ac:dyDescent="0.3">
      <c r="G5860" s="470"/>
      <c r="H5860" s="470">
        <v>5853</v>
      </c>
      <c r="I5860" s="455">
        <f t="shared" ca="1" si="213"/>
        <v>1.4813178285333134E+16</v>
      </c>
      <c r="J5860" s="455">
        <f t="array" ref="J5860">IFERROR(INDEX('Retirement Calculator'!J:J,MATCH('Isaac 401k'!N5860,'Retirement Calculator'!A:A,0),0),0)</f>
        <v>0</v>
      </c>
      <c r="K5860" s="455">
        <f t="shared" ca="1" si="211"/>
        <v>61721576188888.055</v>
      </c>
      <c r="L5860" s="455">
        <f t="shared" ca="1" si="212"/>
        <v>1.4874899861522022E+16</v>
      </c>
      <c r="M5860" s="471">
        <f t="shared" si="214"/>
        <v>0.05</v>
      </c>
      <c r="N5860" s="475">
        <f t="shared" si="215"/>
        <v>229405</v>
      </c>
    </row>
    <row r="5861" spans="7:14" ht="11.25" customHeight="1" x14ac:dyDescent="0.3">
      <c r="G5861" s="470"/>
      <c r="H5861" s="470">
        <v>5854</v>
      </c>
      <c r="I5861" s="455">
        <f t="shared" ca="1" si="213"/>
        <v>1.4874899861522022E+16</v>
      </c>
      <c r="J5861" s="455">
        <f t="array" ref="J5861">IFERROR(INDEX('Retirement Calculator'!J:J,MATCH('Isaac 401k'!N5861,'Retirement Calculator'!A:A,0),0),0)</f>
        <v>0</v>
      </c>
      <c r="K5861" s="455">
        <f t="shared" ca="1" si="211"/>
        <v>61978749423008.422</v>
      </c>
      <c r="L5861" s="455">
        <f t="shared" ca="1" si="212"/>
        <v>1.493687861094503E+16</v>
      </c>
      <c r="M5861" s="471">
        <f t="shared" si="214"/>
        <v>0.05</v>
      </c>
      <c r="N5861" s="475">
        <f t="shared" si="215"/>
        <v>229434</v>
      </c>
    </row>
    <row r="5862" spans="7:14" ht="11.25" customHeight="1" x14ac:dyDescent="0.3">
      <c r="G5862" s="470"/>
      <c r="H5862" s="470">
        <v>5855</v>
      </c>
      <c r="I5862" s="455">
        <f t="shared" ca="1" si="213"/>
        <v>1.493687861094503E+16</v>
      </c>
      <c r="J5862" s="455">
        <f t="array" ref="J5862">IFERROR(INDEX('Retirement Calculator'!J:J,MATCH('Isaac 401k'!N5862,'Retirement Calculator'!A:A,0),0),0)</f>
        <v>0</v>
      </c>
      <c r="K5862" s="455">
        <f t="shared" ca="1" si="211"/>
        <v>62236994212270.961</v>
      </c>
      <c r="L5862" s="455">
        <f t="shared" ca="1" si="212"/>
        <v>1.49991156051573E+16</v>
      </c>
      <c r="M5862" s="471">
        <f t="shared" si="214"/>
        <v>0.05</v>
      </c>
      <c r="N5862" s="475">
        <f t="shared" si="215"/>
        <v>229465</v>
      </c>
    </row>
    <row r="5863" spans="7:14" ht="11.25" customHeight="1" x14ac:dyDescent="0.3">
      <c r="G5863" s="470"/>
      <c r="H5863" s="470">
        <v>5856</v>
      </c>
      <c r="I5863" s="455">
        <f t="shared" ca="1" si="213"/>
        <v>1.49991156051573E+16</v>
      </c>
      <c r="J5863" s="455">
        <f t="array" ref="J5863">IFERROR(INDEX('Retirement Calculator'!J:J,MATCH('Isaac 401k'!N5863,'Retirement Calculator'!A:A,0),0),0)</f>
        <v>0</v>
      </c>
      <c r="K5863" s="455">
        <f t="shared" ca="1" si="211"/>
        <v>62496315021488.758</v>
      </c>
      <c r="L5863" s="455">
        <f t="shared" ca="1" si="212"/>
        <v>1.5061611920178788E+16</v>
      </c>
      <c r="M5863" s="471">
        <f t="shared" si="214"/>
        <v>0.05</v>
      </c>
      <c r="N5863" s="475">
        <f t="shared" si="215"/>
        <v>229495</v>
      </c>
    </row>
    <row r="5864" spans="7:14" ht="11.25" customHeight="1" x14ac:dyDescent="0.3">
      <c r="G5864" s="470"/>
      <c r="H5864" s="470">
        <v>5857</v>
      </c>
      <c r="I5864" s="455">
        <f t="shared" ca="1" si="213"/>
        <v>1.5061611920178788E+16</v>
      </c>
      <c r="J5864" s="455">
        <f t="array" ref="J5864">IFERROR(INDEX('Retirement Calculator'!J:J,MATCH('Isaac 401k'!N5864,'Retirement Calculator'!A:A,0),0),0)</f>
        <v>0</v>
      </c>
      <c r="K5864" s="455">
        <f t="shared" ca="1" si="211"/>
        <v>62756716334078.281</v>
      </c>
      <c r="L5864" s="455">
        <f t="shared" ca="1" si="212"/>
        <v>1.5124368636512866E+16</v>
      </c>
      <c r="M5864" s="471">
        <f t="shared" si="214"/>
        <v>0.05</v>
      </c>
      <c r="N5864" s="475">
        <f t="shared" si="215"/>
        <v>229526</v>
      </c>
    </row>
    <row r="5865" spans="7:14" ht="11.25" customHeight="1" x14ac:dyDescent="0.3">
      <c r="G5865" s="470"/>
      <c r="H5865" s="470">
        <v>5858</v>
      </c>
      <c r="I5865" s="455">
        <f t="shared" ca="1" si="213"/>
        <v>1.5124368636512866E+16</v>
      </c>
      <c r="J5865" s="455">
        <f t="array" ref="J5865">IFERROR(INDEX('Retirement Calculator'!J:J,MATCH('Isaac 401k'!N5865,'Retirement Calculator'!A:A,0),0),0)</f>
        <v>0</v>
      </c>
      <c r="K5865" s="455">
        <f t="shared" ca="1" si="211"/>
        <v>63018202652136.938</v>
      </c>
      <c r="L5865" s="455">
        <f t="shared" ca="1" si="212"/>
        <v>1.5187386839165002E+16</v>
      </c>
      <c r="M5865" s="471">
        <f t="shared" si="214"/>
        <v>0.05</v>
      </c>
      <c r="N5865" s="475">
        <f t="shared" si="215"/>
        <v>229556</v>
      </c>
    </row>
    <row r="5866" spans="7:14" ht="11.25" customHeight="1" x14ac:dyDescent="0.3">
      <c r="G5866" s="470"/>
      <c r="H5866" s="470">
        <v>5859</v>
      </c>
      <c r="I5866" s="455">
        <f t="shared" ca="1" si="213"/>
        <v>1.5187386839165002E+16</v>
      </c>
      <c r="J5866" s="455">
        <f t="array" ref="J5866">IFERROR(INDEX('Retirement Calculator'!J:J,MATCH('Isaac 401k'!N5866,'Retirement Calculator'!A:A,0),0),0)</f>
        <v>0</v>
      </c>
      <c r="K5866" s="455">
        <f t="shared" ca="1" si="211"/>
        <v>63280778496520.844</v>
      </c>
      <c r="L5866" s="455">
        <f t="shared" ca="1" si="212"/>
        <v>1.5250667617661522E+16</v>
      </c>
      <c r="M5866" s="471">
        <f t="shared" si="214"/>
        <v>0.05</v>
      </c>
      <c r="N5866" s="475">
        <f t="shared" si="215"/>
        <v>229587</v>
      </c>
    </row>
    <row r="5867" spans="7:14" ht="11.25" customHeight="1" x14ac:dyDescent="0.3">
      <c r="G5867" s="470"/>
      <c r="H5867" s="470">
        <v>5860</v>
      </c>
      <c r="I5867" s="455">
        <f t="shared" ca="1" si="213"/>
        <v>1.5250667617661522E+16</v>
      </c>
      <c r="J5867" s="455">
        <f t="array" ref="J5867">IFERROR(INDEX('Retirement Calculator'!J:J,MATCH('Isaac 401k'!N5867,'Retirement Calculator'!A:A,0),0),0)</f>
        <v>0</v>
      </c>
      <c r="K5867" s="455">
        <f t="shared" ca="1" si="211"/>
        <v>63544448406923</v>
      </c>
      <c r="L5867" s="455">
        <f t="shared" ca="1" si="212"/>
        <v>1.5314212066068444E+16</v>
      </c>
      <c r="M5867" s="471">
        <f t="shared" si="214"/>
        <v>0.05</v>
      </c>
      <c r="N5867" s="475">
        <f t="shared" si="215"/>
        <v>229618</v>
      </c>
    </row>
    <row r="5868" spans="7:14" ht="11.25" customHeight="1" x14ac:dyDescent="0.3">
      <c r="G5868" s="470"/>
      <c r="H5868" s="470">
        <v>5861</v>
      </c>
      <c r="I5868" s="455">
        <f t="shared" ca="1" si="213"/>
        <v>1.5314212066068444E+16</v>
      </c>
      <c r="J5868" s="455">
        <f t="array" ref="J5868">IFERROR(INDEX('Retirement Calculator'!J:J,MATCH('Isaac 401k'!N5868,'Retirement Calculator'!A:A,0),0),0)</f>
        <v>0</v>
      </c>
      <c r="K5868" s="455">
        <f t="shared" ca="1" si="211"/>
        <v>63809216941951.852</v>
      </c>
      <c r="L5868" s="455">
        <f t="shared" ca="1" si="212"/>
        <v>1.5378021283010396E+16</v>
      </c>
      <c r="M5868" s="471">
        <f t="shared" si="214"/>
        <v>0.05</v>
      </c>
      <c r="N5868" s="475">
        <f t="shared" si="215"/>
        <v>229648</v>
      </c>
    </row>
    <row r="5869" spans="7:14" ht="11.25" customHeight="1" x14ac:dyDescent="0.3">
      <c r="G5869" s="470"/>
      <c r="H5869" s="470">
        <v>5862</v>
      </c>
      <c r="I5869" s="455">
        <f t="shared" ca="1" si="213"/>
        <v>1.5378021283010396E+16</v>
      </c>
      <c r="J5869" s="455">
        <f t="array" ref="J5869">IFERROR(INDEX('Retirement Calculator'!J:J,MATCH('Isaac 401k'!N5869,'Retirement Calculator'!A:A,0),0),0)</f>
        <v>0</v>
      </c>
      <c r="K5869" s="455">
        <f t="shared" ca="1" si="211"/>
        <v>64075088679209.977</v>
      </c>
      <c r="L5869" s="455">
        <f t="shared" ca="1" si="212"/>
        <v>1.5442096371689606E+16</v>
      </c>
      <c r="M5869" s="471">
        <f t="shared" si="214"/>
        <v>0.05</v>
      </c>
      <c r="N5869" s="475">
        <f t="shared" si="215"/>
        <v>229679</v>
      </c>
    </row>
    <row r="5870" spans="7:14" ht="11.25" customHeight="1" x14ac:dyDescent="0.3">
      <c r="G5870" s="470"/>
      <c r="H5870" s="470">
        <v>5863</v>
      </c>
      <c r="I5870" s="455">
        <f t="shared" ca="1" si="213"/>
        <v>1.5442096371689606E+16</v>
      </c>
      <c r="J5870" s="455">
        <f t="array" ref="J5870">IFERROR(INDEX('Retirement Calculator'!J:J,MATCH('Isaac 401k'!N5870,'Retirement Calculator'!A:A,0),0),0)</f>
        <v>0</v>
      </c>
      <c r="K5870" s="455">
        <f t="shared" ca="1" si="211"/>
        <v>64342068215373.359</v>
      </c>
      <c r="L5870" s="455">
        <f t="shared" ca="1" si="212"/>
        <v>1.550643843990498E+16</v>
      </c>
      <c r="M5870" s="471">
        <f t="shared" si="214"/>
        <v>0.05</v>
      </c>
      <c r="N5870" s="475">
        <f t="shared" si="215"/>
        <v>229709</v>
      </c>
    </row>
    <row r="5871" spans="7:14" ht="11.25" customHeight="1" x14ac:dyDescent="0.3">
      <c r="G5871" s="470"/>
      <c r="H5871" s="470">
        <v>5864</v>
      </c>
      <c r="I5871" s="455">
        <f t="shared" ca="1" si="213"/>
        <v>1.550643843990498E+16</v>
      </c>
      <c r="J5871" s="455">
        <f t="array" ref="J5871">IFERROR(INDEX('Retirement Calculator'!J:J,MATCH('Isaac 401k'!N5871,'Retirement Calculator'!A:A,0),0),0)</f>
        <v>0</v>
      </c>
      <c r="K5871" s="455">
        <f t="shared" ca="1" si="211"/>
        <v>64610160166270.75</v>
      </c>
      <c r="L5871" s="455">
        <f t="shared" ca="1" si="212"/>
        <v>1.557104860007125E+16</v>
      </c>
      <c r="M5871" s="471">
        <f t="shared" si="214"/>
        <v>0.05</v>
      </c>
      <c r="N5871" s="475">
        <f t="shared" si="215"/>
        <v>229740</v>
      </c>
    </row>
    <row r="5872" spans="7:14" ht="11.25" customHeight="1" x14ac:dyDescent="0.3">
      <c r="G5872" s="470"/>
      <c r="H5872" s="470">
        <v>5865</v>
      </c>
      <c r="I5872" s="455">
        <f t="shared" ca="1" si="213"/>
        <v>1.557104860007125E+16</v>
      </c>
      <c r="J5872" s="455">
        <f t="array" ref="J5872">IFERROR(INDEX('Retirement Calculator'!J:J,MATCH('Isaac 401k'!N5872,'Retirement Calculator'!A:A,0),0),0)</f>
        <v>0</v>
      </c>
      <c r="K5872" s="455">
        <f t="shared" ca="1" si="211"/>
        <v>64879369166963.531</v>
      </c>
      <c r="L5872" s="455">
        <f t="shared" ca="1" si="212"/>
        <v>1.5635927969238214E+16</v>
      </c>
      <c r="M5872" s="471">
        <f t="shared" si="214"/>
        <v>0.05</v>
      </c>
      <c r="N5872" s="475">
        <f t="shared" si="215"/>
        <v>229771</v>
      </c>
    </row>
    <row r="5873" spans="7:14" ht="11.25" customHeight="1" x14ac:dyDescent="0.3">
      <c r="G5873" s="470"/>
      <c r="H5873" s="470">
        <v>5866</v>
      </c>
      <c r="I5873" s="455">
        <f t="shared" ca="1" si="213"/>
        <v>1.5635927969238214E+16</v>
      </c>
      <c r="J5873" s="455">
        <f t="array" ref="J5873">IFERROR(INDEX('Retirement Calculator'!J:J,MATCH('Isaac 401k'!N5873,'Retirement Calculator'!A:A,0),0),0)</f>
        <v>0</v>
      </c>
      <c r="K5873" s="455">
        <f t="shared" ref="K5873:K6127" ca="1" si="216">IPMT(M5873/12,1,12,-I5873+J5873,,0)</f>
        <v>65149699871825.891</v>
      </c>
      <c r="L5873" s="455">
        <f t="shared" ref="L5873:L6127" ca="1" si="217">I5873-J5873+K5873</f>
        <v>1.570107766911004E+16</v>
      </c>
      <c r="M5873" s="471">
        <f t="shared" si="214"/>
        <v>0.05</v>
      </c>
      <c r="N5873" s="475">
        <f t="shared" si="215"/>
        <v>229799</v>
      </c>
    </row>
    <row r="5874" spans="7:14" ht="11.25" customHeight="1" x14ac:dyDescent="0.3">
      <c r="G5874" s="470"/>
      <c r="H5874" s="470">
        <v>5867</v>
      </c>
      <c r="I5874" s="455">
        <f t="shared" ref="I5874:I6128" ca="1" si="218">L5873</f>
        <v>1.570107766911004E+16</v>
      </c>
      <c r="J5874" s="455">
        <f t="array" ref="J5874">IFERROR(INDEX('Retirement Calculator'!J:J,MATCH('Isaac 401k'!N5874,'Retirement Calculator'!A:A,0),0),0)</f>
        <v>0</v>
      </c>
      <c r="K5874" s="455">
        <f t="shared" ca="1" si="216"/>
        <v>65421156954625.164</v>
      </c>
      <c r="L5874" s="455">
        <f t="shared" ca="1" si="217"/>
        <v>1.5766498826064666E+16</v>
      </c>
      <c r="M5874" s="471">
        <f t="shared" ref="M5874:M6128" si="219">M5873</f>
        <v>0.05</v>
      </c>
      <c r="N5874" s="475">
        <f t="shared" ref="N5874:N6128" si="220">EDATE(N5873,1)</f>
        <v>229830</v>
      </c>
    </row>
    <row r="5875" spans="7:14" ht="11.25" customHeight="1" x14ac:dyDescent="0.3">
      <c r="G5875" s="470"/>
      <c r="H5875" s="470">
        <v>5868</v>
      </c>
      <c r="I5875" s="455">
        <f t="shared" ca="1" si="218"/>
        <v>1.5766498826064666E+16</v>
      </c>
      <c r="J5875" s="455">
        <f t="array" ref="J5875">IFERROR(INDEX('Retirement Calculator'!J:J,MATCH('Isaac 401k'!N5875,'Retirement Calculator'!A:A,0),0),0)</f>
        <v>0</v>
      </c>
      <c r="K5875" s="455">
        <f t="shared" ca="1" si="216"/>
        <v>65693745108602.773</v>
      </c>
      <c r="L5875" s="455">
        <f t="shared" ca="1" si="217"/>
        <v>1.5832192571173268E+16</v>
      </c>
      <c r="M5875" s="471">
        <f t="shared" si="219"/>
        <v>0.05</v>
      </c>
      <c r="N5875" s="475">
        <f t="shared" si="220"/>
        <v>229860</v>
      </c>
    </row>
    <row r="5876" spans="7:14" ht="11.25" customHeight="1" x14ac:dyDescent="0.3">
      <c r="G5876" s="470"/>
      <c r="H5876" s="470">
        <v>5869</v>
      </c>
      <c r="I5876" s="455">
        <f t="shared" ca="1" si="218"/>
        <v>1.5832192571173268E+16</v>
      </c>
      <c r="J5876" s="455">
        <f t="array" ref="J5876">IFERROR(INDEX('Retirement Calculator'!J:J,MATCH('Isaac 401k'!N5876,'Retirement Calculator'!A:A,0),0),0)</f>
        <v>0</v>
      </c>
      <c r="K5876" s="455">
        <f t="shared" ca="1" si="216"/>
        <v>65967469046555.273</v>
      </c>
      <c r="L5876" s="455">
        <f t="shared" ca="1" si="217"/>
        <v>1.5898160040219824E+16</v>
      </c>
      <c r="M5876" s="471">
        <f t="shared" si="219"/>
        <v>0.05</v>
      </c>
      <c r="N5876" s="475">
        <f t="shared" si="220"/>
        <v>229891</v>
      </c>
    </row>
    <row r="5877" spans="7:14" ht="11.25" customHeight="1" x14ac:dyDescent="0.3">
      <c r="G5877" s="470"/>
      <c r="H5877" s="470">
        <v>5870</v>
      </c>
      <c r="I5877" s="455">
        <f t="shared" ca="1" si="218"/>
        <v>1.5898160040219824E+16</v>
      </c>
      <c r="J5877" s="455">
        <f t="array" ref="J5877">IFERROR(INDEX('Retirement Calculator'!J:J,MATCH('Isaac 401k'!N5877,'Retirement Calculator'!A:A,0),0),0)</f>
        <v>0</v>
      </c>
      <c r="K5877" s="455">
        <f t="shared" ca="1" si="216"/>
        <v>66242333500915.93</v>
      </c>
      <c r="L5877" s="455">
        <f t="shared" ca="1" si="217"/>
        <v>1.596440237372074E+16</v>
      </c>
      <c r="M5877" s="471">
        <f t="shared" si="219"/>
        <v>0.05</v>
      </c>
      <c r="N5877" s="475">
        <f t="shared" si="220"/>
        <v>229921</v>
      </c>
    </row>
    <row r="5878" spans="7:14" ht="11.25" customHeight="1" x14ac:dyDescent="0.3">
      <c r="G5878" s="470"/>
      <c r="H5878" s="470">
        <v>5871</v>
      </c>
      <c r="I5878" s="455">
        <f t="shared" ca="1" si="218"/>
        <v>1.596440237372074E+16</v>
      </c>
      <c r="J5878" s="455">
        <f t="array" ref="J5878">IFERROR(INDEX('Retirement Calculator'!J:J,MATCH('Isaac 401k'!N5878,'Retirement Calculator'!A:A,0),0),0)</f>
        <v>0</v>
      </c>
      <c r="K5878" s="455">
        <f t="shared" ca="1" si="216"/>
        <v>66518343223836.414</v>
      </c>
      <c r="L5878" s="455">
        <f t="shared" ca="1" si="217"/>
        <v>1.6030920716944576E+16</v>
      </c>
      <c r="M5878" s="471">
        <f t="shared" si="219"/>
        <v>0.05</v>
      </c>
      <c r="N5878" s="475">
        <f t="shared" si="220"/>
        <v>229952</v>
      </c>
    </row>
    <row r="5879" spans="7:14" ht="11.25" customHeight="1" x14ac:dyDescent="0.3">
      <c r="G5879" s="470"/>
      <c r="H5879" s="470">
        <v>5872</v>
      </c>
      <c r="I5879" s="455">
        <f t="shared" ca="1" si="218"/>
        <v>1.6030920716944576E+16</v>
      </c>
      <c r="J5879" s="455">
        <f t="array" ref="J5879">IFERROR(INDEX('Retirement Calculator'!J:J,MATCH('Isaac 401k'!N5879,'Retirement Calculator'!A:A,0),0),0)</f>
        <v>0</v>
      </c>
      <c r="K5879" s="455">
        <f t="shared" ca="1" si="216"/>
        <v>66795502987269.07</v>
      </c>
      <c r="L5879" s="455">
        <f t="shared" ca="1" si="217"/>
        <v>1.6097716219931846E+16</v>
      </c>
      <c r="M5879" s="471">
        <f t="shared" si="219"/>
        <v>0.05</v>
      </c>
      <c r="N5879" s="475">
        <f t="shared" si="220"/>
        <v>229983</v>
      </c>
    </row>
    <row r="5880" spans="7:14" ht="11.25" customHeight="1" x14ac:dyDescent="0.3">
      <c r="G5880" s="470"/>
      <c r="H5880" s="470">
        <v>5873</v>
      </c>
      <c r="I5880" s="455">
        <f t="shared" ca="1" si="218"/>
        <v>1.6097716219931846E+16</v>
      </c>
      <c r="J5880" s="455">
        <f t="array" ref="J5880">IFERROR(INDEX('Retirement Calculator'!J:J,MATCH('Isaac 401k'!N5880,'Retirement Calculator'!A:A,0),0),0)</f>
        <v>0</v>
      </c>
      <c r="K5880" s="455">
        <f t="shared" ca="1" si="216"/>
        <v>67073817583049.359</v>
      </c>
      <c r="L5880" s="455">
        <f t="shared" ca="1" si="217"/>
        <v>1.6164790037514896E+16</v>
      </c>
      <c r="M5880" s="471">
        <f t="shared" si="219"/>
        <v>0.05</v>
      </c>
      <c r="N5880" s="475">
        <f t="shared" si="220"/>
        <v>230013</v>
      </c>
    </row>
    <row r="5881" spans="7:14" ht="11.25" customHeight="1" x14ac:dyDescent="0.3">
      <c r="G5881" s="470"/>
      <c r="H5881" s="470">
        <v>5874</v>
      </c>
      <c r="I5881" s="455">
        <f t="shared" ca="1" si="218"/>
        <v>1.6164790037514896E+16</v>
      </c>
      <c r="J5881" s="455">
        <f t="array" ref="J5881">IFERROR(INDEX('Retirement Calculator'!J:J,MATCH('Isaac 401k'!N5881,'Retirement Calculator'!A:A,0),0),0)</f>
        <v>0</v>
      </c>
      <c r="K5881" s="455">
        <f t="shared" ca="1" si="216"/>
        <v>67353291822978.742</v>
      </c>
      <c r="L5881" s="455">
        <f t="shared" ca="1" si="217"/>
        <v>1.6232143329337874E+16</v>
      </c>
      <c r="M5881" s="471">
        <f t="shared" si="219"/>
        <v>0.05</v>
      </c>
      <c r="N5881" s="475">
        <f t="shared" si="220"/>
        <v>230044</v>
      </c>
    </row>
    <row r="5882" spans="7:14" ht="11.25" customHeight="1" x14ac:dyDescent="0.3">
      <c r="G5882" s="470"/>
      <c r="H5882" s="470">
        <v>5875</v>
      </c>
      <c r="I5882" s="455">
        <f t="shared" ca="1" si="218"/>
        <v>1.6232143329337874E+16</v>
      </c>
      <c r="J5882" s="455">
        <f t="array" ref="J5882">IFERROR(INDEX('Retirement Calculator'!J:J,MATCH('Isaac 401k'!N5882,'Retirement Calculator'!A:A,0),0),0)</f>
        <v>0</v>
      </c>
      <c r="K5882" s="455">
        <f t="shared" ca="1" si="216"/>
        <v>67633930538907.805</v>
      </c>
      <c r="L5882" s="455">
        <f t="shared" ca="1" si="217"/>
        <v>1.6299777259876782E+16</v>
      </c>
      <c r="M5882" s="471">
        <f t="shared" si="219"/>
        <v>0.05</v>
      </c>
      <c r="N5882" s="475">
        <f t="shared" si="220"/>
        <v>230074</v>
      </c>
    </row>
    <row r="5883" spans="7:14" ht="11.25" customHeight="1" x14ac:dyDescent="0.3">
      <c r="G5883" s="470"/>
      <c r="H5883" s="470">
        <v>5876</v>
      </c>
      <c r="I5883" s="455">
        <f t="shared" ca="1" si="218"/>
        <v>1.6299777259876782E+16</v>
      </c>
      <c r="J5883" s="455">
        <f t="array" ref="J5883">IFERROR(INDEX('Retirement Calculator'!J:J,MATCH('Isaac 401k'!N5883,'Retirement Calculator'!A:A,0),0),0)</f>
        <v>0</v>
      </c>
      <c r="K5883" s="455">
        <f t="shared" ca="1" si="216"/>
        <v>67915738582819.922</v>
      </c>
      <c r="L5883" s="455">
        <f t="shared" ca="1" si="217"/>
        <v>1.6367692998459602E+16</v>
      </c>
      <c r="M5883" s="471">
        <f t="shared" si="219"/>
        <v>0.05</v>
      </c>
      <c r="N5883" s="475">
        <f t="shared" si="220"/>
        <v>230105</v>
      </c>
    </row>
    <row r="5884" spans="7:14" ht="11.25" customHeight="1" x14ac:dyDescent="0.3">
      <c r="G5884" s="470"/>
      <c r="H5884" s="470">
        <v>5877</v>
      </c>
      <c r="I5884" s="455">
        <f t="shared" ca="1" si="218"/>
        <v>1.6367692998459602E+16</v>
      </c>
      <c r="J5884" s="455">
        <f t="array" ref="J5884">IFERROR(INDEX('Retirement Calculator'!J:J,MATCH('Isaac 401k'!N5884,'Retirement Calculator'!A:A,0),0),0)</f>
        <v>0</v>
      </c>
      <c r="K5884" s="455">
        <f t="shared" ca="1" si="216"/>
        <v>68198720826915</v>
      </c>
      <c r="L5884" s="455">
        <f t="shared" ca="1" si="217"/>
        <v>1.6435891719286516E+16</v>
      </c>
      <c r="M5884" s="471">
        <f t="shared" si="219"/>
        <v>0.05</v>
      </c>
      <c r="N5884" s="475">
        <f t="shared" si="220"/>
        <v>230136</v>
      </c>
    </row>
    <row r="5885" spans="7:14" ht="11.25" customHeight="1" x14ac:dyDescent="0.3">
      <c r="G5885" s="470"/>
      <c r="H5885" s="470">
        <v>5878</v>
      </c>
      <c r="I5885" s="455">
        <f t="shared" ca="1" si="218"/>
        <v>1.6435891719286516E+16</v>
      </c>
      <c r="J5885" s="455">
        <f t="array" ref="J5885">IFERROR(INDEX('Retirement Calculator'!J:J,MATCH('Isaac 401k'!N5885,'Retirement Calculator'!A:A,0),0),0)</f>
        <v>0</v>
      </c>
      <c r="K5885" s="455">
        <f t="shared" ca="1" si="216"/>
        <v>68482882163693.813</v>
      </c>
      <c r="L5885" s="455">
        <f t="shared" ca="1" si="217"/>
        <v>1.650437460145021E+16</v>
      </c>
      <c r="M5885" s="471">
        <f t="shared" si="219"/>
        <v>0.05</v>
      </c>
      <c r="N5885" s="475">
        <f t="shared" si="220"/>
        <v>230164</v>
      </c>
    </row>
    <row r="5886" spans="7:14" ht="11.25" customHeight="1" x14ac:dyDescent="0.3">
      <c r="G5886" s="470"/>
      <c r="H5886" s="470">
        <v>5879</v>
      </c>
      <c r="I5886" s="455">
        <f t="shared" ca="1" si="218"/>
        <v>1.650437460145021E+16</v>
      </c>
      <c r="J5886" s="455">
        <f t="array" ref="J5886">IFERROR(INDEX('Retirement Calculator'!J:J,MATCH('Isaac 401k'!N5886,'Retirement Calculator'!A:A,0),0),0)</f>
        <v>0</v>
      </c>
      <c r="K5886" s="455">
        <f t="shared" ca="1" si="216"/>
        <v>68768227506042.539</v>
      </c>
      <c r="L5886" s="455">
        <f t="shared" ca="1" si="217"/>
        <v>1.6573142828956252E+16</v>
      </c>
      <c r="M5886" s="471">
        <f t="shared" si="219"/>
        <v>0.05</v>
      </c>
      <c r="N5886" s="475">
        <f t="shared" si="220"/>
        <v>230195</v>
      </c>
    </row>
    <row r="5887" spans="7:14" ht="11.25" customHeight="1" x14ac:dyDescent="0.3">
      <c r="G5887" s="470"/>
      <c r="H5887" s="470">
        <v>5880</v>
      </c>
      <c r="I5887" s="455">
        <f t="shared" ca="1" si="218"/>
        <v>1.6573142828956252E+16</v>
      </c>
      <c r="J5887" s="455">
        <f t="array" ref="J5887">IFERROR(INDEX('Retirement Calculator'!J:J,MATCH('Isaac 401k'!N5887,'Retirement Calculator'!A:A,0),0),0)</f>
        <v>0</v>
      </c>
      <c r="K5887" s="455">
        <f t="shared" ca="1" si="216"/>
        <v>69054761787317.727</v>
      </c>
      <c r="L5887" s="455">
        <f t="shared" ca="1" si="217"/>
        <v>1.664219759074357E+16</v>
      </c>
      <c r="M5887" s="471">
        <f t="shared" si="219"/>
        <v>0.05</v>
      </c>
      <c r="N5887" s="475">
        <f t="shared" si="220"/>
        <v>230225</v>
      </c>
    </row>
    <row r="5888" spans="7:14" ht="11.25" customHeight="1" x14ac:dyDescent="0.3">
      <c r="G5888" s="470"/>
      <c r="H5888" s="470">
        <v>5881</v>
      </c>
      <c r="I5888" s="455">
        <f t="shared" ca="1" si="218"/>
        <v>1.664219759074357E+16</v>
      </c>
      <c r="J5888" s="455">
        <f t="array" ref="J5888">IFERROR(INDEX('Retirement Calculator'!J:J,MATCH('Isaac 401k'!N5888,'Retirement Calculator'!A:A,0),0),0)</f>
        <v>0</v>
      </c>
      <c r="K5888" s="455">
        <f t="shared" ca="1" si="216"/>
        <v>69342489961431.539</v>
      </c>
      <c r="L5888" s="455">
        <f t="shared" ca="1" si="217"/>
        <v>1.6711540080705002E+16</v>
      </c>
      <c r="M5888" s="471">
        <f t="shared" si="219"/>
        <v>0.05</v>
      </c>
      <c r="N5888" s="475">
        <f t="shared" si="220"/>
        <v>230256</v>
      </c>
    </row>
    <row r="5889" spans="7:14" ht="11.25" customHeight="1" x14ac:dyDescent="0.3">
      <c r="G5889" s="470"/>
      <c r="H5889" s="470">
        <v>5882</v>
      </c>
      <c r="I5889" s="455">
        <f t="shared" ca="1" si="218"/>
        <v>1.6711540080705002E+16</v>
      </c>
      <c r="J5889" s="455">
        <f t="array" ref="J5889">IFERROR(INDEX('Retirement Calculator'!J:J,MATCH('Isaac 401k'!N5889,'Retirement Calculator'!A:A,0),0),0)</f>
        <v>0</v>
      </c>
      <c r="K5889" s="455">
        <f t="shared" ca="1" si="216"/>
        <v>69631417002937.508</v>
      </c>
      <c r="L5889" s="455">
        <f t="shared" ca="1" si="217"/>
        <v>1.678117149770794E+16</v>
      </c>
      <c r="M5889" s="471">
        <f t="shared" si="219"/>
        <v>0.05</v>
      </c>
      <c r="N5889" s="475">
        <f t="shared" si="220"/>
        <v>230286</v>
      </c>
    </row>
    <row r="5890" spans="7:14" ht="11.25" customHeight="1" x14ac:dyDescent="0.3">
      <c r="G5890" s="470"/>
      <c r="H5890" s="470">
        <v>5883</v>
      </c>
      <c r="I5890" s="455">
        <f t="shared" ca="1" si="218"/>
        <v>1.678117149770794E+16</v>
      </c>
      <c r="J5890" s="455">
        <f t="array" ref="J5890">IFERROR(INDEX('Retirement Calculator'!J:J,MATCH('Isaac 401k'!N5890,'Retirement Calculator'!A:A,0),0),0)</f>
        <v>0</v>
      </c>
      <c r="K5890" s="455">
        <f t="shared" ca="1" si="216"/>
        <v>69921547907116.422</v>
      </c>
      <c r="L5890" s="455">
        <f t="shared" ca="1" si="217"/>
        <v>1.6851093045615056E+16</v>
      </c>
      <c r="M5890" s="471">
        <f t="shared" si="219"/>
        <v>0.05</v>
      </c>
      <c r="N5890" s="475">
        <f t="shared" si="220"/>
        <v>230317</v>
      </c>
    </row>
    <row r="5891" spans="7:14" ht="11.25" customHeight="1" x14ac:dyDescent="0.3">
      <c r="G5891" s="470"/>
      <c r="H5891" s="470">
        <v>5884</v>
      </c>
      <c r="I5891" s="455">
        <f t="shared" ca="1" si="218"/>
        <v>1.6851093045615056E+16</v>
      </c>
      <c r="J5891" s="455">
        <f t="array" ref="J5891">IFERROR(INDEX('Retirement Calculator'!J:J,MATCH('Isaac 401k'!N5891,'Retirement Calculator'!A:A,0),0),0)</f>
        <v>0</v>
      </c>
      <c r="K5891" s="455">
        <f t="shared" ca="1" si="216"/>
        <v>70212887690062.734</v>
      </c>
      <c r="L5891" s="455">
        <f t="shared" ca="1" si="217"/>
        <v>1.6921305933305118E+16</v>
      </c>
      <c r="M5891" s="471">
        <f t="shared" si="219"/>
        <v>0.05</v>
      </c>
      <c r="N5891" s="475">
        <f t="shared" si="220"/>
        <v>230348</v>
      </c>
    </row>
    <row r="5892" spans="7:14" ht="11.25" customHeight="1" x14ac:dyDescent="0.3">
      <c r="G5892" s="470"/>
      <c r="H5892" s="470">
        <v>5885</v>
      </c>
      <c r="I5892" s="455">
        <f t="shared" ca="1" si="218"/>
        <v>1.6921305933305118E+16</v>
      </c>
      <c r="J5892" s="455">
        <f t="array" ref="J5892">IFERROR(INDEX('Retirement Calculator'!J:J,MATCH('Isaac 401k'!N5892,'Retirement Calculator'!A:A,0),0),0)</f>
        <v>0</v>
      </c>
      <c r="K5892" s="455">
        <f t="shared" ca="1" si="216"/>
        <v>70505441388771.328</v>
      </c>
      <c r="L5892" s="455">
        <f t="shared" ca="1" si="217"/>
        <v>1.699181137469389E+16</v>
      </c>
      <c r="M5892" s="471">
        <f t="shared" si="219"/>
        <v>0.05</v>
      </c>
      <c r="N5892" s="475">
        <f t="shared" si="220"/>
        <v>230378</v>
      </c>
    </row>
    <row r="5893" spans="7:14" ht="11.25" customHeight="1" x14ac:dyDescent="0.3">
      <c r="G5893" s="470"/>
      <c r="H5893" s="470">
        <v>5886</v>
      </c>
      <c r="I5893" s="455">
        <f t="shared" ca="1" si="218"/>
        <v>1.699181137469389E+16</v>
      </c>
      <c r="J5893" s="455">
        <f t="array" ref="J5893">IFERROR(INDEX('Retirement Calculator'!J:J,MATCH('Isaac 401k'!N5893,'Retirement Calculator'!A:A,0),0),0)</f>
        <v>0</v>
      </c>
      <c r="K5893" s="455">
        <f t="shared" ca="1" si="216"/>
        <v>70799214061224.547</v>
      </c>
      <c r="L5893" s="455">
        <f t="shared" ca="1" si="217"/>
        <v>1.7062610588755114E+16</v>
      </c>
      <c r="M5893" s="471">
        <f t="shared" si="219"/>
        <v>0.05</v>
      </c>
      <c r="N5893" s="475">
        <f t="shared" si="220"/>
        <v>230409</v>
      </c>
    </row>
    <row r="5894" spans="7:14" ht="11.25" customHeight="1" x14ac:dyDescent="0.3">
      <c r="G5894" s="470"/>
      <c r="H5894" s="470">
        <v>5887</v>
      </c>
      <c r="I5894" s="455">
        <f t="shared" ca="1" si="218"/>
        <v>1.7062610588755114E+16</v>
      </c>
      <c r="J5894" s="455">
        <f t="array" ref="J5894">IFERROR(INDEX('Retirement Calculator'!J:J,MATCH('Isaac 401k'!N5894,'Retirement Calculator'!A:A,0),0),0)</f>
        <v>0</v>
      </c>
      <c r="K5894" s="455">
        <f t="shared" ca="1" si="216"/>
        <v>71094210786479.625</v>
      </c>
      <c r="L5894" s="455">
        <f t="shared" ca="1" si="217"/>
        <v>1.7133704799541594E+16</v>
      </c>
      <c r="M5894" s="471">
        <f t="shared" si="219"/>
        <v>0.05</v>
      </c>
      <c r="N5894" s="475">
        <f t="shared" si="220"/>
        <v>230439</v>
      </c>
    </row>
    <row r="5895" spans="7:14" ht="11.25" customHeight="1" x14ac:dyDescent="0.3">
      <c r="G5895" s="470"/>
      <c r="H5895" s="470">
        <v>5888</v>
      </c>
      <c r="I5895" s="455">
        <f t="shared" ca="1" si="218"/>
        <v>1.7133704799541594E+16</v>
      </c>
      <c r="J5895" s="455">
        <f t="array" ref="J5895">IFERROR(INDEX('Retirement Calculator'!J:J,MATCH('Isaac 401k'!N5895,'Retirement Calculator'!A:A,0),0),0)</f>
        <v>0</v>
      </c>
      <c r="K5895" s="455">
        <f t="shared" ca="1" si="216"/>
        <v>71390436664756.641</v>
      </c>
      <c r="L5895" s="455">
        <f t="shared" ca="1" si="217"/>
        <v>1.720509523620635E+16</v>
      </c>
      <c r="M5895" s="471">
        <f t="shared" si="219"/>
        <v>0.05</v>
      </c>
      <c r="N5895" s="475">
        <f t="shared" si="220"/>
        <v>230470</v>
      </c>
    </row>
    <row r="5896" spans="7:14" ht="11.25" customHeight="1" x14ac:dyDescent="0.3">
      <c r="G5896" s="470"/>
      <c r="H5896" s="470">
        <v>5889</v>
      </c>
      <c r="I5896" s="455">
        <f t="shared" ca="1" si="218"/>
        <v>1.720509523620635E+16</v>
      </c>
      <c r="J5896" s="455">
        <f t="array" ref="J5896">IFERROR(INDEX('Retirement Calculator'!J:J,MATCH('Isaac 401k'!N5896,'Retirement Calculator'!A:A,0),0),0)</f>
        <v>0</v>
      </c>
      <c r="K5896" s="455">
        <f t="shared" ca="1" si="216"/>
        <v>71687896817526.453</v>
      </c>
      <c r="L5896" s="455">
        <f t="shared" ca="1" si="217"/>
        <v>1.7276783133023876E+16</v>
      </c>
      <c r="M5896" s="471">
        <f t="shared" si="219"/>
        <v>0.05</v>
      </c>
      <c r="N5896" s="475">
        <f t="shared" si="220"/>
        <v>230501</v>
      </c>
    </row>
    <row r="5897" spans="7:14" ht="11.25" customHeight="1" x14ac:dyDescent="0.3">
      <c r="G5897" s="470"/>
      <c r="H5897" s="470">
        <v>5890</v>
      </c>
      <c r="I5897" s="455">
        <f t="shared" ca="1" si="218"/>
        <v>1.7276783133023876E+16</v>
      </c>
      <c r="J5897" s="455">
        <f t="array" ref="J5897">IFERROR(INDEX('Retirement Calculator'!J:J,MATCH('Isaac 401k'!N5897,'Retirement Calculator'!A:A,0),0),0)</f>
        <v>0</v>
      </c>
      <c r="K5897" s="455">
        <f t="shared" ca="1" si="216"/>
        <v>71986596387599.484</v>
      </c>
      <c r="L5897" s="455">
        <f t="shared" ca="1" si="217"/>
        <v>1.7348769729411476E+16</v>
      </c>
      <c r="M5897" s="471">
        <f t="shared" si="219"/>
        <v>0.05</v>
      </c>
      <c r="N5897" s="475">
        <f t="shared" si="220"/>
        <v>230529</v>
      </c>
    </row>
    <row r="5898" spans="7:14" ht="11.25" customHeight="1" x14ac:dyDescent="0.3">
      <c r="G5898" s="470"/>
      <c r="H5898" s="470">
        <v>5891</v>
      </c>
      <c r="I5898" s="455">
        <f t="shared" ca="1" si="218"/>
        <v>1.7348769729411476E+16</v>
      </c>
      <c r="J5898" s="455">
        <f t="array" ref="J5898">IFERROR(INDEX('Retirement Calculator'!J:J,MATCH('Isaac 401k'!N5898,'Retirement Calculator'!A:A,0),0),0)</f>
        <v>0</v>
      </c>
      <c r="K5898" s="455">
        <f t="shared" ca="1" si="216"/>
        <v>72286540539214.484</v>
      </c>
      <c r="L5898" s="455">
        <f t="shared" ca="1" si="217"/>
        <v>1.742105626995069E+16</v>
      </c>
      <c r="M5898" s="471">
        <f t="shared" si="219"/>
        <v>0.05</v>
      </c>
      <c r="N5898" s="475">
        <f t="shared" si="220"/>
        <v>230560</v>
      </c>
    </row>
    <row r="5899" spans="7:14" ht="11.25" customHeight="1" x14ac:dyDescent="0.3">
      <c r="G5899" s="470"/>
      <c r="H5899" s="470">
        <v>5892</v>
      </c>
      <c r="I5899" s="455">
        <f t="shared" ca="1" si="218"/>
        <v>1.742105626995069E+16</v>
      </c>
      <c r="J5899" s="455">
        <f t="array" ref="J5899">IFERROR(INDEX('Retirement Calculator'!J:J,MATCH('Isaac 401k'!N5899,'Retirement Calculator'!A:A,0),0),0)</f>
        <v>0</v>
      </c>
      <c r="K5899" s="455">
        <f t="shared" ca="1" si="216"/>
        <v>72587734458127.875</v>
      </c>
      <c r="L5899" s="455">
        <f t="shared" ca="1" si="217"/>
        <v>1.7493644004408818E+16</v>
      </c>
      <c r="M5899" s="471">
        <f t="shared" si="219"/>
        <v>0.05</v>
      </c>
      <c r="N5899" s="475">
        <f t="shared" si="220"/>
        <v>230590</v>
      </c>
    </row>
    <row r="5900" spans="7:14" ht="11.25" customHeight="1" x14ac:dyDescent="0.3">
      <c r="G5900" s="470"/>
      <c r="H5900" s="470">
        <v>5893</v>
      </c>
      <c r="I5900" s="455">
        <f t="shared" ca="1" si="218"/>
        <v>1.7493644004408818E+16</v>
      </c>
      <c r="J5900" s="455">
        <f t="array" ref="J5900">IFERROR(INDEX('Retirement Calculator'!J:J,MATCH('Isaac 401k'!N5900,'Retirement Calculator'!A:A,0),0),0)</f>
        <v>0</v>
      </c>
      <c r="K5900" s="455">
        <f t="shared" ca="1" si="216"/>
        <v>72890183351703.422</v>
      </c>
      <c r="L5900" s="455">
        <f t="shared" ca="1" si="217"/>
        <v>1.7566534187760522E+16</v>
      </c>
      <c r="M5900" s="471">
        <f t="shared" si="219"/>
        <v>0.05</v>
      </c>
      <c r="N5900" s="475">
        <f t="shared" si="220"/>
        <v>230621</v>
      </c>
    </row>
    <row r="5901" spans="7:14" ht="11.25" customHeight="1" x14ac:dyDescent="0.3">
      <c r="G5901" s="470"/>
      <c r="H5901" s="470">
        <v>5894</v>
      </c>
      <c r="I5901" s="455">
        <f t="shared" ca="1" si="218"/>
        <v>1.7566534187760522E+16</v>
      </c>
      <c r="J5901" s="455">
        <f t="array" ref="J5901">IFERROR(INDEX('Retirement Calculator'!J:J,MATCH('Isaac 401k'!N5901,'Retirement Calculator'!A:A,0),0),0)</f>
        <v>0</v>
      </c>
      <c r="K5901" s="455">
        <f t="shared" ca="1" si="216"/>
        <v>73193892449002.172</v>
      </c>
      <c r="L5901" s="455">
        <f t="shared" ca="1" si="217"/>
        <v>1.7639728080209524E+16</v>
      </c>
      <c r="M5901" s="471">
        <f t="shared" si="219"/>
        <v>0.05</v>
      </c>
      <c r="N5901" s="475">
        <f t="shared" si="220"/>
        <v>230651</v>
      </c>
    </row>
    <row r="5902" spans="7:14" ht="11.25" customHeight="1" x14ac:dyDescent="0.3">
      <c r="G5902" s="470"/>
      <c r="H5902" s="470">
        <v>5895</v>
      </c>
      <c r="I5902" s="455">
        <f t="shared" ca="1" si="218"/>
        <v>1.7639728080209524E+16</v>
      </c>
      <c r="J5902" s="455">
        <f t="array" ref="J5902">IFERROR(INDEX('Retirement Calculator'!J:J,MATCH('Isaac 401k'!N5902,'Retirement Calculator'!A:A,0),0),0)</f>
        <v>0</v>
      </c>
      <c r="K5902" s="455">
        <f t="shared" ca="1" si="216"/>
        <v>73498867000873.016</v>
      </c>
      <c r="L5902" s="455">
        <f t="shared" ca="1" si="217"/>
        <v>1.7713226947210398E+16</v>
      </c>
      <c r="M5902" s="471">
        <f t="shared" si="219"/>
        <v>0.05</v>
      </c>
      <c r="N5902" s="475">
        <f t="shared" si="220"/>
        <v>230682</v>
      </c>
    </row>
    <row r="5903" spans="7:14" ht="11.25" customHeight="1" x14ac:dyDescent="0.3">
      <c r="G5903" s="470"/>
      <c r="H5903" s="470">
        <v>5896</v>
      </c>
      <c r="I5903" s="455">
        <f t="shared" ca="1" si="218"/>
        <v>1.7713226947210398E+16</v>
      </c>
      <c r="J5903" s="455">
        <f t="array" ref="J5903">IFERROR(INDEX('Retirement Calculator'!J:J,MATCH('Isaac 401k'!N5903,'Retirement Calculator'!A:A,0),0),0)</f>
        <v>0</v>
      </c>
      <c r="K5903" s="455">
        <f t="shared" ca="1" si="216"/>
        <v>73805112280043.328</v>
      </c>
      <c r="L5903" s="455">
        <f t="shared" ca="1" si="217"/>
        <v>1.7787032059490442E+16</v>
      </c>
      <c r="M5903" s="471">
        <f t="shared" si="219"/>
        <v>0.05</v>
      </c>
      <c r="N5903" s="475">
        <f t="shared" si="220"/>
        <v>230713</v>
      </c>
    </row>
    <row r="5904" spans="7:14" ht="11.25" customHeight="1" x14ac:dyDescent="0.3">
      <c r="G5904" s="470"/>
      <c r="H5904" s="470">
        <v>5897</v>
      </c>
      <c r="I5904" s="455">
        <f t="shared" ca="1" si="218"/>
        <v>1.7787032059490442E+16</v>
      </c>
      <c r="J5904" s="455">
        <f t="array" ref="J5904">IFERROR(INDEX('Retirement Calculator'!J:J,MATCH('Isaac 401k'!N5904,'Retirement Calculator'!A:A,0),0),0)</f>
        <v>0</v>
      </c>
      <c r="K5904" s="455">
        <f t="shared" ca="1" si="216"/>
        <v>74112633581210.172</v>
      </c>
      <c r="L5904" s="455">
        <f t="shared" ca="1" si="217"/>
        <v>1.7861144693071652E+16</v>
      </c>
      <c r="M5904" s="471">
        <f t="shared" si="219"/>
        <v>0.05</v>
      </c>
      <c r="N5904" s="475">
        <f t="shared" si="220"/>
        <v>230743</v>
      </c>
    </row>
    <row r="5905" spans="7:14" ht="11.25" customHeight="1" x14ac:dyDescent="0.3">
      <c r="G5905" s="470"/>
      <c r="H5905" s="470">
        <v>5898</v>
      </c>
      <c r="I5905" s="455">
        <f t="shared" ca="1" si="218"/>
        <v>1.7861144693071652E+16</v>
      </c>
      <c r="J5905" s="455">
        <f t="array" ref="J5905">IFERROR(INDEX('Retirement Calculator'!J:J,MATCH('Isaac 401k'!N5905,'Retirement Calculator'!A:A,0),0),0)</f>
        <v>0</v>
      </c>
      <c r="K5905" s="455">
        <f t="shared" ca="1" si="216"/>
        <v>74421436221131.875</v>
      </c>
      <c r="L5905" s="455">
        <f t="shared" ca="1" si="217"/>
        <v>1.7935566129292784E+16</v>
      </c>
      <c r="M5905" s="471">
        <f t="shared" si="219"/>
        <v>0.05</v>
      </c>
      <c r="N5905" s="475">
        <f t="shared" si="220"/>
        <v>230774</v>
      </c>
    </row>
    <row r="5906" spans="7:14" ht="11.25" customHeight="1" x14ac:dyDescent="0.3">
      <c r="G5906" s="470"/>
      <c r="H5906" s="470">
        <v>5899</v>
      </c>
      <c r="I5906" s="455">
        <f t="shared" ca="1" si="218"/>
        <v>1.7935566129292784E+16</v>
      </c>
      <c r="J5906" s="455">
        <f t="array" ref="J5906">IFERROR(INDEX('Retirement Calculator'!J:J,MATCH('Isaac 401k'!N5906,'Retirement Calculator'!A:A,0),0),0)</f>
        <v>0</v>
      </c>
      <c r="K5906" s="455">
        <f t="shared" ca="1" si="216"/>
        <v>74731525538719.938</v>
      </c>
      <c r="L5906" s="455">
        <f t="shared" ca="1" si="217"/>
        <v>1.8010297654831504E+16</v>
      </c>
      <c r="M5906" s="471">
        <f t="shared" si="219"/>
        <v>0.05</v>
      </c>
      <c r="N5906" s="475">
        <f t="shared" si="220"/>
        <v>230804</v>
      </c>
    </row>
    <row r="5907" spans="7:14" ht="11.25" customHeight="1" x14ac:dyDescent="0.3">
      <c r="G5907" s="470"/>
      <c r="H5907" s="470">
        <v>5900</v>
      </c>
      <c r="I5907" s="455">
        <f t="shared" ca="1" si="218"/>
        <v>1.8010297654831504E+16</v>
      </c>
      <c r="J5907" s="455">
        <f t="array" ref="J5907">IFERROR(INDEX('Retirement Calculator'!J:J,MATCH('Isaac 401k'!N5907,'Retirement Calculator'!A:A,0),0),0)</f>
        <v>0</v>
      </c>
      <c r="K5907" s="455">
        <f t="shared" ca="1" si="216"/>
        <v>75042906895131.266</v>
      </c>
      <c r="L5907" s="455">
        <f t="shared" ca="1" si="217"/>
        <v>1.8085340561726636E+16</v>
      </c>
      <c r="M5907" s="471">
        <f t="shared" si="219"/>
        <v>0.05</v>
      </c>
      <c r="N5907" s="475">
        <f t="shared" si="220"/>
        <v>230835</v>
      </c>
    </row>
    <row r="5908" spans="7:14" ht="11.25" customHeight="1" x14ac:dyDescent="0.3">
      <c r="G5908" s="470"/>
      <c r="H5908" s="470">
        <v>5901</v>
      </c>
      <c r="I5908" s="455">
        <f t="shared" ca="1" si="218"/>
        <v>1.8085340561726636E+16</v>
      </c>
      <c r="J5908" s="455">
        <f t="array" ref="J5908">IFERROR(INDEX('Retirement Calculator'!J:J,MATCH('Isaac 401k'!N5908,'Retirement Calculator'!A:A,0),0),0)</f>
        <v>0</v>
      </c>
      <c r="K5908" s="455">
        <f t="shared" ca="1" si="216"/>
        <v>75355585673860.984</v>
      </c>
      <c r="L5908" s="455">
        <f t="shared" ca="1" si="217"/>
        <v>1.8160696147400496E+16</v>
      </c>
      <c r="M5908" s="471">
        <f t="shared" si="219"/>
        <v>0.05</v>
      </c>
      <c r="N5908" s="475">
        <f t="shared" si="220"/>
        <v>230866</v>
      </c>
    </row>
    <row r="5909" spans="7:14" ht="11.25" customHeight="1" x14ac:dyDescent="0.3">
      <c r="G5909" s="470"/>
      <c r="H5909" s="470">
        <v>5902</v>
      </c>
      <c r="I5909" s="455">
        <f t="shared" ca="1" si="218"/>
        <v>1.8160696147400496E+16</v>
      </c>
      <c r="J5909" s="455">
        <f t="array" ref="J5909">IFERROR(INDEX('Retirement Calculator'!J:J,MATCH('Isaac 401k'!N5909,'Retirement Calculator'!A:A,0),0),0)</f>
        <v>0</v>
      </c>
      <c r="K5909" s="455">
        <f t="shared" ca="1" si="216"/>
        <v>75669567280835.406</v>
      </c>
      <c r="L5909" s="455">
        <f t="shared" ca="1" si="217"/>
        <v>1.8236365714681332E+16</v>
      </c>
      <c r="M5909" s="471">
        <f t="shared" si="219"/>
        <v>0.05</v>
      </c>
      <c r="N5909" s="475">
        <f t="shared" si="220"/>
        <v>230895</v>
      </c>
    </row>
    <row r="5910" spans="7:14" ht="11.25" customHeight="1" x14ac:dyDescent="0.3">
      <c r="G5910" s="470"/>
      <c r="H5910" s="470">
        <v>5903</v>
      </c>
      <c r="I5910" s="455">
        <f t="shared" ca="1" si="218"/>
        <v>1.8236365714681332E+16</v>
      </c>
      <c r="J5910" s="455">
        <f t="array" ref="J5910">IFERROR(INDEX('Retirement Calculator'!J:J,MATCH('Isaac 401k'!N5910,'Retirement Calculator'!A:A,0),0),0)</f>
        <v>0</v>
      </c>
      <c r="K5910" s="455">
        <f t="shared" ca="1" si="216"/>
        <v>75984857144505.547</v>
      </c>
      <c r="L5910" s="455">
        <f t="shared" ca="1" si="217"/>
        <v>1.8312350571825836E+16</v>
      </c>
      <c r="M5910" s="471">
        <f t="shared" si="219"/>
        <v>0.05</v>
      </c>
      <c r="N5910" s="475">
        <f t="shared" si="220"/>
        <v>230926</v>
      </c>
    </row>
    <row r="5911" spans="7:14" ht="11.25" customHeight="1" x14ac:dyDescent="0.3">
      <c r="G5911" s="470"/>
      <c r="H5911" s="470">
        <v>5904</v>
      </c>
      <c r="I5911" s="455">
        <f t="shared" ca="1" si="218"/>
        <v>1.8312350571825836E+16</v>
      </c>
      <c r="J5911" s="455">
        <f t="array" ref="J5911">IFERROR(INDEX('Retirement Calculator'!J:J,MATCH('Isaac 401k'!N5911,'Retirement Calculator'!A:A,0),0),0)</f>
        <v>0</v>
      </c>
      <c r="K5911" s="455">
        <f t="shared" ca="1" si="216"/>
        <v>76301460715940.984</v>
      </c>
      <c r="L5911" s="455">
        <f t="shared" ca="1" si="217"/>
        <v>1.8388652032541776E+16</v>
      </c>
      <c r="M5911" s="471">
        <f t="shared" si="219"/>
        <v>0.05</v>
      </c>
      <c r="N5911" s="475">
        <f t="shared" si="220"/>
        <v>230956</v>
      </c>
    </row>
    <row r="5912" spans="7:14" ht="11.25" customHeight="1" x14ac:dyDescent="0.3">
      <c r="G5912" s="470"/>
      <c r="H5912" s="470">
        <v>5905</v>
      </c>
      <c r="I5912" s="455">
        <f t="shared" ca="1" si="218"/>
        <v>1.8388652032541776E+16</v>
      </c>
      <c r="J5912" s="455">
        <f t="array" ref="J5912">IFERROR(INDEX('Retirement Calculator'!J:J,MATCH('Isaac 401k'!N5912,'Retirement Calculator'!A:A,0),0),0)</f>
        <v>0</v>
      </c>
      <c r="K5912" s="455">
        <f t="shared" ca="1" si="216"/>
        <v>76619383468924.063</v>
      </c>
      <c r="L5912" s="455">
        <f t="shared" ca="1" si="217"/>
        <v>1.84652714160107E+16</v>
      </c>
      <c r="M5912" s="471">
        <f t="shared" si="219"/>
        <v>0.05</v>
      </c>
      <c r="N5912" s="475">
        <f t="shared" si="220"/>
        <v>230987</v>
      </c>
    </row>
    <row r="5913" spans="7:14" ht="11.25" customHeight="1" x14ac:dyDescent="0.3">
      <c r="G5913" s="470"/>
      <c r="H5913" s="470">
        <v>5906</v>
      </c>
      <c r="I5913" s="455">
        <f t="shared" ca="1" si="218"/>
        <v>1.84652714160107E+16</v>
      </c>
      <c r="J5913" s="455">
        <f t="array" ref="J5913">IFERROR(INDEX('Retirement Calculator'!J:J,MATCH('Isaac 401k'!N5913,'Retirement Calculator'!A:A,0),0),0)</f>
        <v>0</v>
      </c>
      <c r="K5913" s="455">
        <f t="shared" ca="1" si="216"/>
        <v>76938630900044.578</v>
      </c>
      <c r="L5913" s="455">
        <f t="shared" ca="1" si="217"/>
        <v>1.8542210046910744E+16</v>
      </c>
      <c r="M5913" s="471">
        <f t="shared" si="219"/>
        <v>0.05</v>
      </c>
      <c r="N5913" s="475">
        <f t="shared" si="220"/>
        <v>231017</v>
      </c>
    </row>
    <row r="5914" spans="7:14" ht="11.25" customHeight="1" x14ac:dyDescent="0.3">
      <c r="G5914" s="470"/>
      <c r="H5914" s="470">
        <v>5907</v>
      </c>
      <c r="I5914" s="455">
        <f t="shared" ca="1" si="218"/>
        <v>1.8542210046910744E+16</v>
      </c>
      <c r="J5914" s="455">
        <f t="array" ref="J5914">IFERROR(INDEX('Retirement Calculator'!J:J,MATCH('Isaac 401k'!N5914,'Retirement Calculator'!A:A,0),0),0)</f>
        <v>0</v>
      </c>
      <c r="K5914" s="455">
        <f t="shared" ca="1" si="216"/>
        <v>77259208528794.766</v>
      </c>
      <c r="L5914" s="455">
        <f t="shared" ca="1" si="217"/>
        <v>1.861946925543954E+16</v>
      </c>
      <c r="M5914" s="471">
        <f t="shared" si="219"/>
        <v>0.05</v>
      </c>
      <c r="N5914" s="475">
        <f t="shared" si="220"/>
        <v>231048</v>
      </c>
    </row>
    <row r="5915" spans="7:14" ht="11.25" customHeight="1" x14ac:dyDescent="0.3">
      <c r="G5915" s="470"/>
      <c r="H5915" s="470">
        <v>5908</v>
      </c>
      <c r="I5915" s="455">
        <f t="shared" ca="1" si="218"/>
        <v>1.861946925543954E+16</v>
      </c>
      <c r="J5915" s="455">
        <f t="array" ref="J5915">IFERROR(INDEX('Retirement Calculator'!J:J,MATCH('Isaac 401k'!N5915,'Retirement Calculator'!A:A,0),0),0)</f>
        <v>0</v>
      </c>
      <c r="K5915" s="455">
        <f t="shared" ca="1" si="216"/>
        <v>77581121897664.75</v>
      </c>
      <c r="L5915" s="455">
        <f t="shared" ca="1" si="217"/>
        <v>1.8697050377337204E+16</v>
      </c>
      <c r="M5915" s="471">
        <f t="shared" si="219"/>
        <v>0.05</v>
      </c>
      <c r="N5915" s="475">
        <f t="shared" si="220"/>
        <v>231079</v>
      </c>
    </row>
    <row r="5916" spans="7:14" ht="11.25" customHeight="1" x14ac:dyDescent="0.3">
      <c r="G5916" s="470"/>
      <c r="H5916" s="470">
        <v>5909</v>
      </c>
      <c r="I5916" s="455">
        <f t="shared" ca="1" si="218"/>
        <v>1.8697050377337204E+16</v>
      </c>
      <c r="J5916" s="455">
        <f t="array" ref="J5916">IFERROR(INDEX('Retirement Calculator'!J:J,MATCH('Isaac 401k'!N5916,'Retirement Calculator'!A:A,0),0),0)</f>
        <v>0</v>
      </c>
      <c r="K5916" s="455">
        <f t="shared" ca="1" si="216"/>
        <v>77904376572238.344</v>
      </c>
      <c r="L5916" s="455">
        <f t="shared" ca="1" si="217"/>
        <v>1.8774954753909444E+16</v>
      </c>
      <c r="M5916" s="471">
        <f t="shared" si="219"/>
        <v>0.05</v>
      </c>
      <c r="N5916" s="475">
        <f t="shared" si="220"/>
        <v>231109</v>
      </c>
    </row>
    <row r="5917" spans="7:14" ht="11.25" customHeight="1" x14ac:dyDescent="0.3">
      <c r="G5917" s="470"/>
      <c r="H5917" s="470">
        <v>5910</v>
      </c>
      <c r="I5917" s="455">
        <f t="shared" ca="1" si="218"/>
        <v>1.8774954753909444E+16</v>
      </c>
      <c r="J5917" s="455">
        <f t="array" ref="J5917">IFERROR(INDEX('Retirement Calculator'!J:J,MATCH('Isaac 401k'!N5917,'Retirement Calculator'!A:A,0),0),0)</f>
        <v>0</v>
      </c>
      <c r="K5917" s="455">
        <f t="shared" ca="1" si="216"/>
        <v>78228978141289.344</v>
      </c>
      <c r="L5917" s="455">
        <f t="shared" ca="1" si="217"/>
        <v>1.8853183732050732E+16</v>
      </c>
      <c r="M5917" s="471">
        <f t="shared" si="219"/>
        <v>0.05</v>
      </c>
      <c r="N5917" s="475">
        <f t="shared" si="220"/>
        <v>231140</v>
      </c>
    </row>
    <row r="5918" spans="7:14" ht="11.25" customHeight="1" x14ac:dyDescent="0.3">
      <c r="G5918" s="470"/>
      <c r="H5918" s="470">
        <v>5911</v>
      </c>
      <c r="I5918" s="455">
        <f t="shared" ca="1" si="218"/>
        <v>1.8853183732050732E+16</v>
      </c>
      <c r="J5918" s="455">
        <f t="array" ref="J5918">IFERROR(INDEX('Retirement Calculator'!J:J,MATCH('Isaac 401k'!N5918,'Retirement Calculator'!A:A,0),0),0)</f>
        <v>0</v>
      </c>
      <c r="K5918" s="455">
        <f t="shared" ca="1" si="216"/>
        <v>78554932216878.047</v>
      </c>
      <c r="L5918" s="455">
        <f t="shared" ca="1" si="217"/>
        <v>1.8931738664267612E+16</v>
      </c>
      <c r="M5918" s="471">
        <f t="shared" si="219"/>
        <v>0.05</v>
      </c>
      <c r="N5918" s="475">
        <f t="shared" si="220"/>
        <v>231170</v>
      </c>
    </row>
    <row r="5919" spans="7:14" ht="11.25" customHeight="1" x14ac:dyDescent="0.3">
      <c r="G5919" s="470"/>
      <c r="H5919" s="470">
        <v>5912</v>
      </c>
      <c r="I5919" s="455">
        <f t="shared" ca="1" si="218"/>
        <v>1.8931738664267612E+16</v>
      </c>
      <c r="J5919" s="455">
        <f t="array" ref="J5919">IFERROR(INDEX('Retirement Calculator'!J:J,MATCH('Isaac 401k'!N5919,'Retirement Calculator'!A:A,0),0),0)</f>
        <v>0</v>
      </c>
      <c r="K5919" s="455">
        <f t="shared" ca="1" si="216"/>
        <v>78882244434448.375</v>
      </c>
      <c r="L5919" s="455">
        <f t="shared" ca="1" si="217"/>
        <v>1.901062090870206E+16</v>
      </c>
      <c r="M5919" s="471">
        <f t="shared" si="219"/>
        <v>0.05</v>
      </c>
      <c r="N5919" s="475">
        <f t="shared" si="220"/>
        <v>231201</v>
      </c>
    </row>
    <row r="5920" spans="7:14" ht="11.25" customHeight="1" x14ac:dyDescent="0.3">
      <c r="G5920" s="470"/>
      <c r="H5920" s="470">
        <v>5913</v>
      </c>
      <c r="I5920" s="455">
        <f t="shared" ca="1" si="218"/>
        <v>1.901062090870206E+16</v>
      </c>
      <c r="J5920" s="455">
        <f t="array" ref="J5920">IFERROR(INDEX('Retirement Calculator'!J:J,MATCH('Isaac 401k'!N5920,'Retirement Calculator'!A:A,0),0),0)</f>
        <v>0</v>
      </c>
      <c r="K5920" s="455">
        <f t="shared" ca="1" si="216"/>
        <v>79210920452925.25</v>
      </c>
      <c r="L5920" s="455">
        <f t="shared" ca="1" si="217"/>
        <v>1.9089831829154984E+16</v>
      </c>
      <c r="M5920" s="471">
        <f t="shared" si="219"/>
        <v>0.05</v>
      </c>
      <c r="N5920" s="475">
        <f t="shared" si="220"/>
        <v>231232</v>
      </c>
    </row>
    <row r="5921" spans="7:14" ht="11.25" customHeight="1" x14ac:dyDescent="0.3">
      <c r="G5921" s="470"/>
      <c r="H5921" s="470">
        <v>5914</v>
      </c>
      <c r="I5921" s="455">
        <f t="shared" ca="1" si="218"/>
        <v>1.9089831829154984E+16</v>
      </c>
      <c r="J5921" s="455">
        <f t="array" ref="J5921">IFERROR(INDEX('Retirement Calculator'!J:J,MATCH('Isaac 401k'!N5921,'Retirement Calculator'!A:A,0),0),0)</f>
        <v>0</v>
      </c>
      <c r="K5921" s="455">
        <f t="shared" ca="1" si="216"/>
        <v>79540965954812.438</v>
      </c>
      <c r="L5921" s="455">
        <f t="shared" ca="1" si="217"/>
        <v>1.9169372795109796E+16</v>
      </c>
      <c r="M5921" s="471">
        <f t="shared" si="219"/>
        <v>0.05</v>
      </c>
      <c r="N5921" s="475">
        <f t="shared" si="220"/>
        <v>231260</v>
      </c>
    </row>
    <row r="5922" spans="7:14" ht="11.25" customHeight="1" x14ac:dyDescent="0.3">
      <c r="G5922" s="470"/>
      <c r="H5922" s="470">
        <v>5915</v>
      </c>
      <c r="I5922" s="455">
        <f t="shared" ca="1" si="218"/>
        <v>1.9169372795109796E+16</v>
      </c>
      <c r="J5922" s="455">
        <f t="array" ref="J5922">IFERROR(INDEX('Retirement Calculator'!J:J,MATCH('Isaac 401k'!N5922,'Retirement Calculator'!A:A,0),0),0)</f>
        <v>0</v>
      </c>
      <c r="K5922" s="455">
        <f t="shared" ca="1" si="216"/>
        <v>79872386646290.813</v>
      </c>
      <c r="L5922" s="455">
        <f t="shared" ca="1" si="217"/>
        <v>1.9249245181756088E+16</v>
      </c>
      <c r="M5922" s="471">
        <f t="shared" si="219"/>
        <v>0.05</v>
      </c>
      <c r="N5922" s="475">
        <f t="shared" si="220"/>
        <v>231291</v>
      </c>
    </row>
    <row r="5923" spans="7:14" ht="11.25" customHeight="1" x14ac:dyDescent="0.3">
      <c r="G5923" s="470"/>
      <c r="H5923" s="470">
        <v>5916</v>
      </c>
      <c r="I5923" s="455">
        <f t="shared" ca="1" si="218"/>
        <v>1.9249245181756088E+16</v>
      </c>
      <c r="J5923" s="455">
        <f t="array" ref="J5923">IFERROR(INDEX('Retirement Calculator'!J:J,MATCH('Isaac 401k'!N5923,'Retirement Calculator'!A:A,0),0),0)</f>
        <v>0</v>
      </c>
      <c r="K5923" s="455">
        <f t="shared" ca="1" si="216"/>
        <v>80205188257317.031</v>
      </c>
      <c r="L5923" s="455">
        <f t="shared" ca="1" si="217"/>
        <v>1.9329450370013404E+16</v>
      </c>
      <c r="M5923" s="471">
        <f t="shared" si="219"/>
        <v>0.05</v>
      </c>
      <c r="N5923" s="475">
        <f t="shared" si="220"/>
        <v>231321</v>
      </c>
    </row>
    <row r="5924" spans="7:14" ht="11.25" customHeight="1" x14ac:dyDescent="0.3">
      <c r="G5924" s="470"/>
      <c r="H5924" s="470">
        <v>5917</v>
      </c>
      <c r="I5924" s="455">
        <f t="shared" ca="1" si="218"/>
        <v>1.9329450370013404E+16</v>
      </c>
      <c r="J5924" s="455">
        <f t="array" ref="J5924">IFERROR(INDEX('Retirement Calculator'!J:J,MATCH('Isaac 401k'!N5924,'Retirement Calculator'!A:A,0),0),0)</f>
        <v>0</v>
      </c>
      <c r="K5924" s="455">
        <f t="shared" ca="1" si="216"/>
        <v>80539376541722.516</v>
      </c>
      <c r="L5924" s="455">
        <f t="shared" ca="1" si="217"/>
        <v>1.9409989746555128E+16</v>
      </c>
      <c r="M5924" s="471">
        <f t="shared" si="219"/>
        <v>0.05</v>
      </c>
      <c r="N5924" s="475">
        <f t="shared" si="220"/>
        <v>231352</v>
      </c>
    </row>
    <row r="5925" spans="7:14" ht="11.25" customHeight="1" x14ac:dyDescent="0.3">
      <c r="G5925" s="470"/>
      <c r="H5925" s="470">
        <v>5918</v>
      </c>
      <c r="I5925" s="455">
        <f t="shared" ca="1" si="218"/>
        <v>1.9409989746555128E+16</v>
      </c>
      <c r="J5925" s="455">
        <f t="array" ref="J5925">IFERROR(INDEX('Retirement Calculator'!J:J,MATCH('Isaac 401k'!N5925,'Retirement Calculator'!A:A,0),0),0)</f>
        <v>0</v>
      </c>
      <c r="K5925" s="455">
        <f t="shared" ca="1" si="216"/>
        <v>80874957277313.031</v>
      </c>
      <c r="L5925" s="455">
        <f t="shared" ca="1" si="217"/>
        <v>1.949086470383244E+16</v>
      </c>
      <c r="M5925" s="471">
        <f t="shared" si="219"/>
        <v>0.05</v>
      </c>
      <c r="N5925" s="475">
        <f t="shared" si="220"/>
        <v>231382</v>
      </c>
    </row>
    <row r="5926" spans="7:14" ht="11.25" customHeight="1" x14ac:dyDescent="0.3">
      <c r="G5926" s="470"/>
      <c r="H5926" s="470">
        <v>5919</v>
      </c>
      <c r="I5926" s="455">
        <f t="shared" ca="1" si="218"/>
        <v>1.949086470383244E+16</v>
      </c>
      <c r="J5926" s="455">
        <f t="array" ref="J5926">IFERROR(INDEX('Retirement Calculator'!J:J,MATCH('Isaac 401k'!N5926,'Retirement Calculator'!A:A,0),0),0)</f>
        <v>0</v>
      </c>
      <c r="K5926" s="455">
        <f t="shared" ca="1" si="216"/>
        <v>81211936265968.5</v>
      </c>
      <c r="L5926" s="455">
        <f t="shared" ca="1" si="217"/>
        <v>1.9572076640098408E+16</v>
      </c>
      <c r="M5926" s="471">
        <f t="shared" si="219"/>
        <v>0.05</v>
      </c>
      <c r="N5926" s="475">
        <f t="shared" si="220"/>
        <v>231413</v>
      </c>
    </row>
    <row r="5927" spans="7:14" ht="11.25" customHeight="1" x14ac:dyDescent="0.3">
      <c r="G5927" s="470"/>
      <c r="H5927" s="470">
        <v>5920</v>
      </c>
      <c r="I5927" s="455">
        <f t="shared" ca="1" si="218"/>
        <v>1.9572076640098408E+16</v>
      </c>
      <c r="J5927" s="455">
        <f t="array" ref="J5927">IFERROR(INDEX('Retirement Calculator'!J:J,MATCH('Isaac 401k'!N5927,'Retirement Calculator'!A:A,0),0),0)</f>
        <v>0</v>
      </c>
      <c r="K5927" s="455">
        <f t="shared" ca="1" si="216"/>
        <v>81550319333743.359</v>
      </c>
      <c r="L5927" s="455">
        <f t="shared" ca="1" si="217"/>
        <v>1.9653626959432152E+16</v>
      </c>
      <c r="M5927" s="471">
        <f t="shared" si="219"/>
        <v>0.05</v>
      </c>
      <c r="N5927" s="475">
        <f t="shared" si="220"/>
        <v>231444</v>
      </c>
    </row>
    <row r="5928" spans="7:14" ht="11.25" customHeight="1" x14ac:dyDescent="0.3">
      <c r="G5928" s="470"/>
      <c r="H5928" s="470">
        <v>5921</v>
      </c>
      <c r="I5928" s="455">
        <f t="shared" ca="1" si="218"/>
        <v>1.9653626959432152E+16</v>
      </c>
      <c r="J5928" s="455">
        <f t="array" ref="J5928">IFERROR(INDEX('Retirement Calculator'!J:J,MATCH('Isaac 401k'!N5928,'Retirement Calculator'!A:A,0),0),0)</f>
        <v>0</v>
      </c>
      <c r="K5928" s="455">
        <f t="shared" ca="1" si="216"/>
        <v>81890112330967.297</v>
      </c>
      <c r="L5928" s="455">
        <f t="shared" ca="1" si="217"/>
        <v>1.973551707176312E+16</v>
      </c>
      <c r="M5928" s="471">
        <f t="shared" si="219"/>
        <v>0.05</v>
      </c>
      <c r="N5928" s="475">
        <f t="shared" si="220"/>
        <v>231474</v>
      </c>
    </row>
    <row r="5929" spans="7:14" ht="11.25" customHeight="1" x14ac:dyDescent="0.3">
      <c r="G5929" s="470"/>
      <c r="H5929" s="470">
        <v>5922</v>
      </c>
      <c r="I5929" s="455">
        <f t="shared" ca="1" si="218"/>
        <v>1.973551707176312E+16</v>
      </c>
      <c r="J5929" s="455">
        <f t="array" ref="J5929">IFERROR(INDEX('Retirement Calculator'!J:J,MATCH('Isaac 401k'!N5929,'Retirement Calculator'!A:A,0),0),0)</f>
        <v>0</v>
      </c>
      <c r="K5929" s="455">
        <f t="shared" ca="1" si="216"/>
        <v>82231321132346.328</v>
      </c>
      <c r="L5929" s="455">
        <f t="shared" ca="1" si="217"/>
        <v>1.9817748392895468E+16</v>
      </c>
      <c r="M5929" s="471">
        <f t="shared" si="219"/>
        <v>0.05</v>
      </c>
      <c r="N5929" s="475">
        <f t="shared" si="220"/>
        <v>231505</v>
      </c>
    </row>
    <row r="5930" spans="7:14" ht="11.25" customHeight="1" x14ac:dyDescent="0.3">
      <c r="G5930" s="470"/>
      <c r="H5930" s="470">
        <v>5923</v>
      </c>
      <c r="I5930" s="455">
        <f t="shared" ca="1" si="218"/>
        <v>1.9817748392895468E+16</v>
      </c>
      <c r="J5930" s="455">
        <f t="array" ref="J5930">IFERROR(INDEX('Retirement Calculator'!J:J,MATCH('Isaac 401k'!N5930,'Retirement Calculator'!A:A,0),0),0)</f>
        <v>0</v>
      </c>
      <c r="K5930" s="455">
        <f t="shared" ca="1" si="216"/>
        <v>82573951637064.453</v>
      </c>
      <c r="L5930" s="455">
        <f t="shared" ca="1" si="217"/>
        <v>1.9900322344532532E+16</v>
      </c>
      <c r="M5930" s="471">
        <f t="shared" si="219"/>
        <v>0.05</v>
      </c>
      <c r="N5930" s="475">
        <f t="shared" si="220"/>
        <v>231535</v>
      </c>
    </row>
    <row r="5931" spans="7:14" ht="11.25" customHeight="1" x14ac:dyDescent="0.3">
      <c r="G5931" s="470"/>
      <c r="H5931" s="470">
        <v>5924</v>
      </c>
      <c r="I5931" s="455">
        <f t="shared" ca="1" si="218"/>
        <v>1.9900322344532532E+16</v>
      </c>
      <c r="J5931" s="455">
        <f t="array" ref="J5931">IFERROR(INDEX('Retirement Calculator'!J:J,MATCH('Isaac 401k'!N5931,'Retirement Calculator'!A:A,0),0),0)</f>
        <v>0</v>
      </c>
      <c r="K5931" s="455">
        <f t="shared" ca="1" si="216"/>
        <v>82918009768885.547</v>
      </c>
      <c r="L5931" s="455">
        <f t="shared" ca="1" si="217"/>
        <v>1.9983240354301416E+16</v>
      </c>
      <c r="M5931" s="471">
        <f t="shared" si="219"/>
        <v>0.05</v>
      </c>
      <c r="N5931" s="475">
        <f t="shared" si="220"/>
        <v>231566</v>
      </c>
    </row>
    <row r="5932" spans="7:14" ht="11.25" customHeight="1" x14ac:dyDescent="0.3">
      <c r="G5932" s="470"/>
      <c r="H5932" s="470">
        <v>5925</v>
      </c>
      <c r="I5932" s="455">
        <f t="shared" ca="1" si="218"/>
        <v>1.9983240354301416E+16</v>
      </c>
      <c r="J5932" s="455">
        <f t="array" ref="J5932">IFERROR(INDEX('Retirement Calculator'!J:J,MATCH('Isaac 401k'!N5932,'Retirement Calculator'!A:A,0),0),0)</f>
        <v>0</v>
      </c>
      <c r="K5932" s="455">
        <f t="shared" ca="1" si="216"/>
        <v>83263501476255.906</v>
      </c>
      <c r="L5932" s="455">
        <f t="shared" ca="1" si="217"/>
        <v>2.0066503855777672E+16</v>
      </c>
      <c r="M5932" s="471">
        <f t="shared" si="219"/>
        <v>0.05</v>
      </c>
      <c r="N5932" s="475">
        <f t="shared" si="220"/>
        <v>231597</v>
      </c>
    </row>
    <row r="5933" spans="7:14" ht="11.25" customHeight="1" x14ac:dyDescent="0.3">
      <c r="G5933" s="470"/>
      <c r="H5933" s="470">
        <v>5926</v>
      </c>
      <c r="I5933" s="455">
        <f t="shared" ca="1" si="218"/>
        <v>2.0066503855777672E+16</v>
      </c>
      <c r="J5933" s="455">
        <f t="array" ref="J5933">IFERROR(INDEX('Retirement Calculator'!J:J,MATCH('Isaac 401k'!N5933,'Retirement Calculator'!A:A,0),0),0)</f>
        <v>0</v>
      </c>
      <c r="K5933" s="455">
        <f t="shared" ca="1" si="216"/>
        <v>83610432732406.969</v>
      </c>
      <c r="L5933" s="455">
        <f t="shared" ca="1" si="217"/>
        <v>2.015011428851008E+16</v>
      </c>
      <c r="M5933" s="471">
        <f t="shared" si="219"/>
        <v>0.05</v>
      </c>
      <c r="N5933" s="475">
        <f t="shared" si="220"/>
        <v>231625</v>
      </c>
    </row>
    <row r="5934" spans="7:14" ht="11.25" customHeight="1" x14ac:dyDescent="0.3">
      <c r="G5934" s="470"/>
      <c r="H5934" s="470">
        <v>5927</v>
      </c>
      <c r="I5934" s="455">
        <f t="shared" ca="1" si="218"/>
        <v>2.015011428851008E+16</v>
      </c>
      <c r="J5934" s="455">
        <f t="array" ref="J5934">IFERROR(INDEX('Retirement Calculator'!J:J,MATCH('Isaac 401k'!N5934,'Retirement Calculator'!A:A,0),0),0)</f>
        <v>0</v>
      </c>
      <c r="K5934" s="455">
        <f t="shared" ca="1" si="216"/>
        <v>83958809535458.672</v>
      </c>
      <c r="L5934" s="455">
        <f t="shared" ca="1" si="217"/>
        <v>2.023407309804554E+16</v>
      </c>
      <c r="M5934" s="471">
        <f t="shared" si="219"/>
        <v>0.05</v>
      </c>
      <c r="N5934" s="475">
        <f t="shared" si="220"/>
        <v>231656</v>
      </c>
    </row>
    <row r="5935" spans="7:14" ht="11.25" customHeight="1" x14ac:dyDescent="0.3">
      <c r="G5935" s="470"/>
      <c r="H5935" s="470">
        <v>5928</v>
      </c>
      <c r="I5935" s="455">
        <f t="shared" ca="1" si="218"/>
        <v>2.023407309804554E+16</v>
      </c>
      <c r="J5935" s="455">
        <f t="array" ref="J5935">IFERROR(INDEX('Retirement Calculator'!J:J,MATCH('Isaac 401k'!N5935,'Retirement Calculator'!A:A,0),0),0)</f>
        <v>0</v>
      </c>
      <c r="K5935" s="455">
        <f t="shared" ca="1" si="216"/>
        <v>84308637908523.078</v>
      </c>
      <c r="L5935" s="455">
        <f t="shared" ca="1" si="217"/>
        <v>2.0318381735954064E+16</v>
      </c>
      <c r="M5935" s="471">
        <f t="shared" si="219"/>
        <v>0.05</v>
      </c>
      <c r="N5935" s="475">
        <f t="shared" si="220"/>
        <v>231686</v>
      </c>
    </row>
    <row r="5936" spans="7:14" ht="11.25" customHeight="1" x14ac:dyDescent="0.3">
      <c r="G5936" s="470"/>
      <c r="H5936" s="470">
        <v>5929</v>
      </c>
      <c r="I5936" s="455">
        <f t="shared" ca="1" si="218"/>
        <v>2.0318381735954064E+16</v>
      </c>
      <c r="J5936" s="455">
        <f t="array" ref="J5936">IFERROR(INDEX('Retirement Calculator'!J:J,MATCH('Isaac 401k'!N5936,'Retirement Calculator'!A:A,0),0),0)</f>
        <v>0</v>
      </c>
      <c r="K5936" s="455">
        <f t="shared" ca="1" si="216"/>
        <v>84659923899808.594</v>
      </c>
      <c r="L5936" s="455">
        <f t="shared" ca="1" si="217"/>
        <v>2.0403041659853872E+16</v>
      </c>
      <c r="M5936" s="471">
        <f t="shared" si="219"/>
        <v>0.05</v>
      </c>
      <c r="N5936" s="475">
        <f t="shared" si="220"/>
        <v>231717</v>
      </c>
    </row>
    <row r="5937" spans="7:14" ht="11.25" customHeight="1" x14ac:dyDescent="0.3">
      <c r="G5937" s="470"/>
      <c r="H5937" s="470">
        <v>5930</v>
      </c>
      <c r="I5937" s="455">
        <f t="shared" ca="1" si="218"/>
        <v>2.0403041659853872E+16</v>
      </c>
      <c r="J5937" s="455">
        <f t="array" ref="J5937">IFERROR(INDEX('Retirement Calculator'!J:J,MATCH('Isaac 401k'!N5937,'Retirement Calculator'!A:A,0),0),0)</f>
        <v>0</v>
      </c>
      <c r="K5937" s="455">
        <f t="shared" ca="1" si="216"/>
        <v>85012673582724.469</v>
      </c>
      <c r="L5937" s="455">
        <f t="shared" ca="1" si="217"/>
        <v>2.0488054333436596E+16</v>
      </c>
      <c r="M5937" s="471">
        <f t="shared" si="219"/>
        <v>0.05</v>
      </c>
      <c r="N5937" s="475">
        <f t="shared" si="220"/>
        <v>231747</v>
      </c>
    </row>
    <row r="5938" spans="7:14" ht="11.25" customHeight="1" x14ac:dyDescent="0.3">
      <c r="G5938" s="470"/>
      <c r="H5938" s="470">
        <v>5931</v>
      </c>
      <c r="I5938" s="455">
        <f t="shared" ca="1" si="218"/>
        <v>2.0488054333436596E+16</v>
      </c>
      <c r="J5938" s="455">
        <f t="array" ref="J5938">IFERROR(INDEX('Retirement Calculator'!J:J,MATCH('Isaac 401k'!N5938,'Retirement Calculator'!A:A,0),0),0)</f>
        <v>0</v>
      </c>
      <c r="K5938" s="455">
        <f t="shared" ca="1" si="216"/>
        <v>85366893055985.813</v>
      </c>
      <c r="L5938" s="455">
        <f t="shared" ca="1" si="217"/>
        <v>2.057342122649258E+16</v>
      </c>
      <c r="M5938" s="471">
        <f t="shared" si="219"/>
        <v>0.05</v>
      </c>
      <c r="N5938" s="475">
        <f t="shared" si="220"/>
        <v>231778</v>
      </c>
    </row>
    <row r="5939" spans="7:14" ht="11.25" customHeight="1" x14ac:dyDescent="0.3">
      <c r="G5939" s="470"/>
      <c r="H5939" s="470">
        <v>5932</v>
      </c>
      <c r="I5939" s="455">
        <f t="shared" ca="1" si="218"/>
        <v>2.057342122649258E+16</v>
      </c>
      <c r="J5939" s="455">
        <f t="array" ref="J5939">IFERROR(INDEX('Retirement Calculator'!J:J,MATCH('Isaac 401k'!N5939,'Retirement Calculator'!A:A,0),0),0)</f>
        <v>0</v>
      </c>
      <c r="K5939" s="455">
        <f t="shared" ca="1" si="216"/>
        <v>85722588443719.078</v>
      </c>
      <c r="L5939" s="455">
        <f t="shared" ca="1" si="217"/>
        <v>2.06591438149363E+16</v>
      </c>
      <c r="M5939" s="471">
        <f t="shared" si="219"/>
        <v>0.05</v>
      </c>
      <c r="N5939" s="475">
        <f t="shared" si="220"/>
        <v>231809</v>
      </c>
    </row>
    <row r="5940" spans="7:14" ht="11.25" customHeight="1" x14ac:dyDescent="0.3">
      <c r="G5940" s="470"/>
      <c r="H5940" s="470">
        <v>5933</v>
      </c>
      <c r="I5940" s="455">
        <f t="shared" ca="1" si="218"/>
        <v>2.06591438149363E+16</v>
      </c>
      <c r="J5940" s="455">
        <f t="array" ref="J5940">IFERROR(INDEX('Retirement Calculator'!J:J,MATCH('Isaac 401k'!N5940,'Retirement Calculator'!A:A,0),0),0)</f>
        <v>0</v>
      </c>
      <c r="K5940" s="455">
        <f t="shared" ca="1" si="216"/>
        <v>86079765895567.922</v>
      </c>
      <c r="L5940" s="455">
        <f t="shared" ca="1" si="217"/>
        <v>2.0745223580831868E+16</v>
      </c>
      <c r="M5940" s="471">
        <f t="shared" si="219"/>
        <v>0.05</v>
      </c>
      <c r="N5940" s="475">
        <f t="shared" si="220"/>
        <v>231839</v>
      </c>
    </row>
    <row r="5941" spans="7:14" ht="11.25" customHeight="1" x14ac:dyDescent="0.3">
      <c r="G5941" s="470"/>
      <c r="H5941" s="470">
        <v>5934</v>
      </c>
      <c r="I5941" s="455">
        <f t="shared" ca="1" si="218"/>
        <v>2.0745223580831868E+16</v>
      </c>
      <c r="J5941" s="455">
        <f t="array" ref="J5941">IFERROR(INDEX('Retirement Calculator'!J:J,MATCH('Isaac 401k'!N5941,'Retirement Calculator'!A:A,0),0),0)</f>
        <v>0</v>
      </c>
      <c r="K5941" s="455">
        <f t="shared" ca="1" si="216"/>
        <v>86438431586799.453</v>
      </c>
      <c r="L5941" s="455">
        <f t="shared" ca="1" si="217"/>
        <v>2.0831662012418668E+16</v>
      </c>
      <c r="M5941" s="471">
        <f t="shared" si="219"/>
        <v>0.05</v>
      </c>
      <c r="N5941" s="475">
        <f t="shared" si="220"/>
        <v>231870</v>
      </c>
    </row>
    <row r="5942" spans="7:14" ht="11.25" customHeight="1" x14ac:dyDescent="0.3">
      <c r="G5942" s="470"/>
      <c r="H5942" s="470">
        <v>5935</v>
      </c>
      <c r="I5942" s="455">
        <f t="shared" ca="1" si="218"/>
        <v>2.0831662012418668E+16</v>
      </c>
      <c r="J5942" s="455">
        <f t="array" ref="J5942">IFERROR(INDEX('Retirement Calculator'!J:J,MATCH('Isaac 401k'!N5942,'Retirement Calculator'!A:A,0),0),0)</f>
        <v>0</v>
      </c>
      <c r="K5942" s="455">
        <f t="shared" ca="1" si="216"/>
        <v>86798591718411.109</v>
      </c>
      <c r="L5942" s="455">
        <f t="shared" ca="1" si="217"/>
        <v>2.091846060413708E+16</v>
      </c>
      <c r="M5942" s="471">
        <f t="shared" si="219"/>
        <v>0.05</v>
      </c>
      <c r="N5942" s="475">
        <f t="shared" si="220"/>
        <v>231900</v>
      </c>
    </row>
    <row r="5943" spans="7:14" ht="11.25" customHeight="1" x14ac:dyDescent="0.3">
      <c r="G5943" s="470"/>
      <c r="H5943" s="470">
        <v>5936</v>
      </c>
      <c r="I5943" s="455">
        <f t="shared" ca="1" si="218"/>
        <v>2.091846060413708E+16</v>
      </c>
      <c r="J5943" s="455">
        <f t="array" ref="J5943">IFERROR(INDEX('Retirement Calculator'!J:J,MATCH('Isaac 401k'!N5943,'Retirement Calculator'!A:A,0),0),0)</f>
        <v>0</v>
      </c>
      <c r="K5943" s="455">
        <f t="shared" ca="1" si="216"/>
        <v>87160252517237.828</v>
      </c>
      <c r="L5943" s="455">
        <f t="shared" ca="1" si="217"/>
        <v>2.1005620856654316E+16</v>
      </c>
      <c r="M5943" s="471">
        <f t="shared" si="219"/>
        <v>0.05</v>
      </c>
      <c r="N5943" s="475">
        <f t="shared" si="220"/>
        <v>231931</v>
      </c>
    </row>
    <row r="5944" spans="7:14" ht="11.25" customHeight="1" x14ac:dyDescent="0.3">
      <c r="G5944" s="470"/>
      <c r="H5944" s="470">
        <v>5937</v>
      </c>
      <c r="I5944" s="455">
        <f t="shared" ca="1" si="218"/>
        <v>2.1005620856654316E+16</v>
      </c>
      <c r="J5944" s="455">
        <f t="array" ref="J5944">IFERROR(INDEX('Retirement Calculator'!J:J,MATCH('Isaac 401k'!N5944,'Retirement Calculator'!A:A,0),0),0)</f>
        <v>0</v>
      </c>
      <c r="K5944" s="455">
        <f t="shared" ca="1" si="216"/>
        <v>87523420236059.656</v>
      </c>
      <c r="L5944" s="455">
        <f t="shared" ca="1" si="217"/>
        <v>2.1093144276890376E+16</v>
      </c>
      <c r="M5944" s="471">
        <f t="shared" si="219"/>
        <v>0.05</v>
      </c>
      <c r="N5944" s="475">
        <f t="shared" si="220"/>
        <v>231962</v>
      </c>
    </row>
    <row r="5945" spans="7:14" ht="11.25" customHeight="1" x14ac:dyDescent="0.3">
      <c r="G5945" s="470"/>
      <c r="H5945" s="470">
        <v>5938</v>
      </c>
      <c r="I5945" s="455">
        <f t="shared" ca="1" si="218"/>
        <v>2.1093144276890376E+16</v>
      </c>
      <c r="J5945" s="455">
        <f t="array" ref="J5945">IFERROR(INDEX('Retirement Calculator'!J:J,MATCH('Isaac 401k'!N5945,'Retirement Calculator'!A:A,0),0),0)</f>
        <v>0</v>
      </c>
      <c r="K5945" s="455">
        <f t="shared" ca="1" si="216"/>
        <v>87888101153709.906</v>
      </c>
      <c r="L5945" s="455">
        <f t="shared" ca="1" si="217"/>
        <v>2.1181032378044084E+16</v>
      </c>
      <c r="M5945" s="471">
        <f t="shared" si="219"/>
        <v>0.05</v>
      </c>
      <c r="N5945" s="475">
        <f t="shared" si="220"/>
        <v>231990</v>
      </c>
    </row>
    <row r="5946" spans="7:14" ht="11.25" customHeight="1" x14ac:dyDescent="0.3">
      <c r="G5946" s="470"/>
      <c r="H5946" s="470">
        <v>5939</v>
      </c>
      <c r="I5946" s="455">
        <f t="shared" ca="1" si="218"/>
        <v>2.1181032378044084E+16</v>
      </c>
      <c r="J5946" s="455">
        <f t="array" ref="J5946">IFERROR(INDEX('Retirement Calculator'!J:J,MATCH('Isaac 401k'!N5946,'Retirement Calculator'!A:A,0),0),0)</f>
        <v>0</v>
      </c>
      <c r="K5946" s="455">
        <f t="shared" ca="1" si="216"/>
        <v>88254301575183.688</v>
      </c>
      <c r="L5946" s="455">
        <f t="shared" ca="1" si="217"/>
        <v>2.1269286679619268E+16</v>
      </c>
      <c r="M5946" s="471">
        <f t="shared" si="219"/>
        <v>0.05</v>
      </c>
      <c r="N5946" s="475">
        <f t="shared" si="220"/>
        <v>232021</v>
      </c>
    </row>
    <row r="5947" spans="7:14" ht="11.25" customHeight="1" x14ac:dyDescent="0.3">
      <c r="G5947" s="470"/>
      <c r="H5947" s="470">
        <v>5940</v>
      </c>
      <c r="I5947" s="455">
        <f t="shared" ca="1" si="218"/>
        <v>2.1269286679619268E+16</v>
      </c>
      <c r="J5947" s="455">
        <f t="array" ref="J5947">IFERROR(INDEX('Retirement Calculator'!J:J,MATCH('Isaac 401k'!N5947,'Retirement Calculator'!A:A,0),0),0)</f>
        <v>0</v>
      </c>
      <c r="K5947" s="455">
        <f t="shared" ca="1" si="216"/>
        <v>88622027831746.953</v>
      </c>
      <c r="L5947" s="455">
        <f t="shared" ca="1" si="217"/>
        <v>2.1357908707451016E+16</v>
      </c>
      <c r="M5947" s="471">
        <f t="shared" si="219"/>
        <v>0.05</v>
      </c>
      <c r="N5947" s="475">
        <f t="shared" si="220"/>
        <v>232051</v>
      </c>
    </row>
    <row r="5948" spans="7:14" ht="11.25" customHeight="1" x14ac:dyDescent="0.3">
      <c r="G5948" s="470"/>
      <c r="H5948" s="470">
        <v>5941</v>
      </c>
      <c r="I5948" s="455">
        <f t="shared" ca="1" si="218"/>
        <v>2.1357908707451016E+16</v>
      </c>
      <c r="J5948" s="455">
        <f t="array" ref="J5948">IFERROR(INDEX('Retirement Calculator'!J:J,MATCH('Isaac 401k'!N5948,'Retirement Calculator'!A:A,0),0),0)</f>
        <v>0</v>
      </c>
      <c r="K5948" s="455">
        <f t="shared" ca="1" si="216"/>
        <v>88991286281045.906</v>
      </c>
      <c r="L5948" s="455">
        <f t="shared" ca="1" si="217"/>
        <v>2.144689999373206E+16</v>
      </c>
      <c r="M5948" s="471">
        <f t="shared" si="219"/>
        <v>0.05</v>
      </c>
      <c r="N5948" s="475">
        <f t="shared" si="220"/>
        <v>232082</v>
      </c>
    </row>
    <row r="5949" spans="7:14" ht="11.25" customHeight="1" x14ac:dyDescent="0.3">
      <c r="G5949" s="470"/>
      <c r="H5949" s="470">
        <v>5942</v>
      </c>
      <c r="I5949" s="455">
        <f t="shared" ca="1" si="218"/>
        <v>2.144689999373206E+16</v>
      </c>
      <c r="J5949" s="455">
        <f t="array" ref="J5949">IFERROR(INDEX('Retirement Calculator'!J:J,MATCH('Isaac 401k'!N5949,'Retirement Calculator'!A:A,0),0),0)</f>
        <v>0</v>
      </c>
      <c r="K5949" s="455">
        <f t="shared" ca="1" si="216"/>
        <v>89362083307216.922</v>
      </c>
      <c r="L5949" s="455">
        <f t="shared" ca="1" si="217"/>
        <v>2.1536262077039276E+16</v>
      </c>
      <c r="M5949" s="471">
        <f t="shared" si="219"/>
        <v>0.05</v>
      </c>
      <c r="N5949" s="475">
        <f t="shared" si="220"/>
        <v>232112</v>
      </c>
    </row>
    <row r="5950" spans="7:14" ht="11.25" customHeight="1" x14ac:dyDescent="0.3">
      <c r="G5950" s="470"/>
      <c r="H5950" s="470">
        <v>5943</v>
      </c>
      <c r="I5950" s="455">
        <f t="shared" ca="1" si="218"/>
        <v>2.1536262077039276E+16</v>
      </c>
      <c r="J5950" s="455">
        <f t="array" ref="J5950">IFERROR(INDEX('Retirement Calculator'!J:J,MATCH('Isaac 401k'!N5950,'Retirement Calculator'!A:A,0),0),0)</f>
        <v>0</v>
      </c>
      <c r="K5950" s="455">
        <f t="shared" ca="1" si="216"/>
        <v>89734425320996.984</v>
      </c>
      <c r="L5950" s="455">
        <f t="shared" ca="1" si="217"/>
        <v>2.1625996502360272E+16</v>
      </c>
      <c r="M5950" s="471">
        <f t="shared" si="219"/>
        <v>0.05</v>
      </c>
      <c r="N5950" s="475">
        <f t="shared" si="220"/>
        <v>232143</v>
      </c>
    </row>
    <row r="5951" spans="7:14" ht="11.25" customHeight="1" x14ac:dyDescent="0.3">
      <c r="G5951" s="470"/>
      <c r="H5951" s="470">
        <v>5944</v>
      </c>
      <c r="I5951" s="455">
        <f t="shared" ca="1" si="218"/>
        <v>2.1625996502360272E+16</v>
      </c>
      <c r="J5951" s="455">
        <f t="array" ref="J5951">IFERROR(INDEX('Retirement Calculator'!J:J,MATCH('Isaac 401k'!N5951,'Retirement Calculator'!A:A,0),0),0)</f>
        <v>0</v>
      </c>
      <c r="K5951" s="455">
        <f t="shared" ca="1" si="216"/>
        <v>90108318759834.469</v>
      </c>
      <c r="L5951" s="455">
        <f t="shared" ca="1" si="217"/>
        <v>2.1716104821120108E+16</v>
      </c>
      <c r="M5951" s="471">
        <f t="shared" si="219"/>
        <v>0.05</v>
      </c>
      <c r="N5951" s="475">
        <f t="shared" si="220"/>
        <v>232174</v>
      </c>
    </row>
    <row r="5952" spans="7:14" ht="11.25" customHeight="1" x14ac:dyDescent="0.3">
      <c r="G5952" s="470"/>
      <c r="H5952" s="470">
        <v>5945</v>
      </c>
      <c r="I5952" s="455">
        <f t="shared" ca="1" si="218"/>
        <v>2.1716104821120108E+16</v>
      </c>
      <c r="J5952" s="455">
        <f t="array" ref="J5952">IFERROR(INDEX('Retirement Calculator'!J:J,MATCH('Isaac 401k'!N5952,'Retirement Calculator'!A:A,0),0),0)</f>
        <v>0</v>
      </c>
      <c r="K5952" s="455">
        <f t="shared" ca="1" si="216"/>
        <v>90483770088000.453</v>
      </c>
      <c r="L5952" s="455">
        <f t="shared" ca="1" si="217"/>
        <v>2.1806588591208108E+16</v>
      </c>
      <c r="M5952" s="471">
        <f t="shared" si="219"/>
        <v>0.05</v>
      </c>
      <c r="N5952" s="475">
        <f t="shared" si="220"/>
        <v>232204</v>
      </c>
    </row>
    <row r="5953" spans="7:14" ht="11.25" customHeight="1" x14ac:dyDescent="0.3">
      <c r="G5953" s="470"/>
      <c r="H5953" s="470">
        <v>5946</v>
      </c>
      <c r="I5953" s="455">
        <f t="shared" ca="1" si="218"/>
        <v>2.1806588591208108E+16</v>
      </c>
      <c r="J5953" s="455">
        <f t="array" ref="J5953">IFERROR(INDEX('Retirement Calculator'!J:J,MATCH('Isaac 401k'!N5953,'Retirement Calculator'!A:A,0),0),0)</f>
        <v>0</v>
      </c>
      <c r="K5953" s="455">
        <f t="shared" ca="1" si="216"/>
        <v>90860785796700.453</v>
      </c>
      <c r="L5953" s="455">
        <f t="shared" ca="1" si="217"/>
        <v>2.1897449377004808E+16</v>
      </c>
      <c r="M5953" s="471">
        <f t="shared" si="219"/>
        <v>0.05</v>
      </c>
      <c r="N5953" s="475">
        <f t="shared" si="220"/>
        <v>232235</v>
      </c>
    </row>
    <row r="5954" spans="7:14" ht="11.25" customHeight="1" x14ac:dyDescent="0.3">
      <c r="G5954" s="470"/>
      <c r="H5954" s="470">
        <v>5947</v>
      </c>
      <c r="I5954" s="455">
        <f t="shared" ca="1" si="218"/>
        <v>2.1897449377004808E+16</v>
      </c>
      <c r="J5954" s="455">
        <f t="array" ref="J5954">IFERROR(INDEX('Retirement Calculator'!J:J,MATCH('Isaac 401k'!N5954,'Retirement Calculator'!A:A,0),0),0)</f>
        <v>0</v>
      </c>
      <c r="K5954" s="455">
        <f t="shared" ca="1" si="216"/>
        <v>91239372404186.703</v>
      </c>
      <c r="L5954" s="455">
        <f t="shared" ca="1" si="217"/>
        <v>2.1988688749408996E+16</v>
      </c>
      <c r="M5954" s="471">
        <f t="shared" si="219"/>
        <v>0.05</v>
      </c>
      <c r="N5954" s="475">
        <f t="shared" si="220"/>
        <v>232265</v>
      </c>
    </row>
    <row r="5955" spans="7:14" ht="11.25" customHeight="1" x14ac:dyDescent="0.3">
      <c r="G5955" s="470"/>
      <c r="H5955" s="470">
        <v>5948</v>
      </c>
      <c r="I5955" s="455">
        <f t="shared" ca="1" si="218"/>
        <v>2.1988688749408996E+16</v>
      </c>
      <c r="J5955" s="455">
        <f t="array" ref="J5955">IFERROR(INDEX('Retirement Calculator'!J:J,MATCH('Isaac 401k'!N5955,'Retirement Calculator'!A:A,0),0),0)</f>
        <v>0</v>
      </c>
      <c r="K5955" s="455">
        <f t="shared" ca="1" si="216"/>
        <v>91619536455870.813</v>
      </c>
      <c r="L5955" s="455">
        <f t="shared" ca="1" si="217"/>
        <v>2.2080308285864868E+16</v>
      </c>
      <c r="M5955" s="471">
        <f t="shared" si="219"/>
        <v>0.05</v>
      </c>
      <c r="N5955" s="475">
        <f t="shared" si="220"/>
        <v>232296</v>
      </c>
    </row>
    <row r="5956" spans="7:14" ht="11.25" customHeight="1" x14ac:dyDescent="0.3">
      <c r="G5956" s="470"/>
      <c r="H5956" s="470">
        <v>5949</v>
      </c>
      <c r="I5956" s="455">
        <f t="shared" ca="1" si="218"/>
        <v>2.2080308285864868E+16</v>
      </c>
      <c r="J5956" s="455">
        <f t="array" ref="J5956">IFERROR(INDEX('Retirement Calculator'!J:J,MATCH('Isaac 401k'!N5956,'Retirement Calculator'!A:A,0),0),0)</f>
        <v>0</v>
      </c>
      <c r="K5956" s="455">
        <f t="shared" ca="1" si="216"/>
        <v>92001284524436.953</v>
      </c>
      <c r="L5956" s="455">
        <f t="shared" ca="1" si="217"/>
        <v>2.2172309570389304E+16</v>
      </c>
      <c r="M5956" s="471">
        <f t="shared" si="219"/>
        <v>0.05</v>
      </c>
      <c r="N5956" s="475">
        <f t="shared" si="220"/>
        <v>232327</v>
      </c>
    </row>
    <row r="5957" spans="7:14" ht="11.25" customHeight="1" x14ac:dyDescent="0.3">
      <c r="G5957" s="470"/>
      <c r="H5957" s="470">
        <v>5950</v>
      </c>
      <c r="I5957" s="455">
        <f t="shared" ca="1" si="218"/>
        <v>2.2172309570389304E+16</v>
      </c>
      <c r="J5957" s="455">
        <f t="array" ref="J5957">IFERROR(INDEX('Retirement Calculator'!J:J,MATCH('Isaac 401k'!N5957,'Retirement Calculator'!A:A,0),0),0)</f>
        <v>0</v>
      </c>
      <c r="K5957" s="455">
        <f t="shared" ca="1" si="216"/>
        <v>92384623209955.438</v>
      </c>
      <c r="L5957" s="455">
        <f t="shared" ca="1" si="217"/>
        <v>2.226469419359926E+16</v>
      </c>
      <c r="M5957" s="471">
        <f t="shared" si="219"/>
        <v>0.05</v>
      </c>
      <c r="N5957" s="475">
        <f t="shared" si="220"/>
        <v>232356</v>
      </c>
    </row>
    <row r="5958" spans="7:14" ht="11.25" customHeight="1" x14ac:dyDescent="0.3">
      <c r="G5958" s="470"/>
      <c r="H5958" s="470">
        <v>5951</v>
      </c>
      <c r="I5958" s="455">
        <f t="shared" ca="1" si="218"/>
        <v>2.226469419359926E+16</v>
      </c>
      <c r="J5958" s="455">
        <f t="array" ref="J5958">IFERROR(INDEX('Retirement Calculator'!J:J,MATCH('Isaac 401k'!N5958,'Retirement Calculator'!A:A,0),0),0)</f>
        <v>0</v>
      </c>
      <c r="K5958" s="455">
        <f t="shared" ca="1" si="216"/>
        <v>92769559139996.922</v>
      </c>
      <c r="L5958" s="455">
        <f t="shared" ca="1" si="217"/>
        <v>2.2357463752739256E+16</v>
      </c>
      <c r="M5958" s="471">
        <f t="shared" si="219"/>
        <v>0.05</v>
      </c>
      <c r="N5958" s="475">
        <f t="shared" si="220"/>
        <v>232387</v>
      </c>
    </row>
    <row r="5959" spans="7:14" ht="11.25" customHeight="1" x14ac:dyDescent="0.3">
      <c r="G5959" s="470"/>
      <c r="H5959" s="470">
        <v>5952</v>
      </c>
      <c r="I5959" s="455">
        <f t="shared" ca="1" si="218"/>
        <v>2.2357463752739256E+16</v>
      </c>
      <c r="J5959" s="455">
        <f t="array" ref="J5959">IFERROR(INDEX('Retirement Calculator'!J:J,MATCH('Isaac 401k'!N5959,'Retirement Calculator'!A:A,0),0),0)</f>
        <v>0</v>
      </c>
      <c r="K5959" s="455">
        <f t="shared" ca="1" si="216"/>
        <v>93156098969746.906</v>
      </c>
      <c r="L5959" s="455">
        <f t="shared" ca="1" si="217"/>
        <v>2.2450619851709004E+16</v>
      </c>
      <c r="M5959" s="471">
        <f t="shared" si="219"/>
        <v>0.05</v>
      </c>
      <c r="N5959" s="475">
        <f t="shared" si="220"/>
        <v>232417</v>
      </c>
    </row>
    <row r="5960" spans="7:14" ht="11.25" customHeight="1" x14ac:dyDescent="0.3">
      <c r="G5960" s="470"/>
      <c r="H5960" s="470">
        <v>5953</v>
      </c>
      <c r="I5960" s="455">
        <f t="shared" ca="1" si="218"/>
        <v>2.2450619851709004E+16</v>
      </c>
      <c r="J5960" s="455">
        <f t="array" ref="J5960">IFERROR(INDEX('Retirement Calculator'!J:J,MATCH('Isaac 401k'!N5960,'Retirement Calculator'!A:A,0),0),0)</f>
        <v>0</v>
      </c>
      <c r="K5960" s="455">
        <f t="shared" ca="1" si="216"/>
        <v>93544249382120.844</v>
      </c>
      <c r="L5960" s="455">
        <f t="shared" ca="1" si="217"/>
        <v>2.2544164101091124E+16</v>
      </c>
      <c r="M5960" s="471">
        <f t="shared" si="219"/>
        <v>0.05</v>
      </c>
      <c r="N5960" s="475">
        <f t="shared" si="220"/>
        <v>232448</v>
      </c>
    </row>
    <row r="5961" spans="7:14" ht="11.25" customHeight="1" x14ac:dyDescent="0.3">
      <c r="G5961" s="470"/>
      <c r="H5961" s="470">
        <v>5954</v>
      </c>
      <c r="I5961" s="455">
        <f t="shared" ca="1" si="218"/>
        <v>2.2544164101091124E+16</v>
      </c>
      <c r="J5961" s="455">
        <f t="array" ref="J5961">IFERROR(INDEX('Retirement Calculator'!J:J,MATCH('Isaac 401k'!N5961,'Retirement Calculator'!A:A,0),0),0)</f>
        <v>0</v>
      </c>
      <c r="K5961" s="455">
        <f t="shared" ca="1" si="216"/>
        <v>93934017087879.688</v>
      </c>
      <c r="L5961" s="455">
        <f t="shared" ca="1" si="217"/>
        <v>2.2638098118179004E+16</v>
      </c>
      <c r="M5961" s="471">
        <f t="shared" si="219"/>
        <v>0.05</v>
      </c>
      <c r="N5961" s="475">
        <f t="shared" si="220"/>
        <v>232478</v>
      </c>
    </row>
    <row r="5962" spans="7:14" ht="11.25" customHeight="1" x14ac:dyDescent="0.3">
      <c r="G5962" s="470"/>
      <c r="H5962" s="470">
        <v>5955</v>
      </c>
      <c r="I5962" s="455">
        <f t="shared" ca="1" si="218"/>
        <v>2.2638098118179004E+16</v>
      </c>
      <c r="J5962" s="455">
        <f t="array" ref="J5962">IFERROR(INDEX('Retirement Calculator'!J:J,MATCH('Isaac 401k'!N5962,'Retirement Calculator'!A:A,0),0),0)</f>
        <v>0</v>
      </c>
      <c r="K5962" s="455">
        <f t="shared" ca="1" si="216"/>
        <v>94325408825745.844</v>
      </c>
      <c r="L5962" s="455">
        <f t="shared" ca="1" si="217"/>
        <v>2.2732423527004748E+16</v>
      </c>
      <c r="M5962" s="471">
        <f t="shared" si="219"/>
        <v>0.05</v>
      </c>
      <c r="N5962" s="475">
        <f t="shared" si="220"/>
        <v>232509</v>
      </c>
    </row>
    <row r="5963" spans="7:14" ht="11.25" customHeight="1" x14ac:dyDescent="0.3">
      <c r="G5963" s="470"/>
      <c r="H5963" s="470">
        <v>5956</v>
      </c>
      <c r="I5963" s="455">
        <f t="shared" ca="1" si="218"/>
        <v>2.2732423527004748E+16</v>
      </c>
      <c r="J5963" s="455">
        <f t="array" ref="J5963">IFERROR(INDEX('Retirement Calculator'!J:J,MATCH('Isaac 401k'!N5963,'Retirement Calculator'!A:A,0),0),0)</f>
        <v>0</v>
      </c>
      <c r="K5963" s="455">
        <f t="shared" ca="1" si="216"/>
        <v>94718431362519.781</v>
      </c>
      <c r="L5963" s="455">
        <f t="shared" ca="1" si="217"/>
        <v>2.2827141958367268E+16</v>
      </c>
      <c r="M5963" s="471">
        <f t="shared" si="219"/>
        <v>0.05</v>
      </c>
      <c r="N5963" s="475">
        <f t="shared" si="220"/>
        <v>232540</v>
      </c>
    </row>
    <row r="5964" spans="7:14" ht="11.25" customHeight="1" x14ac:dyDescent="0.3">
      <c r="G5964" s="470"/>
      <c r="H5964" s="470">
        <v>5957</v>
      </c>
      <c r="I5964" s="455">
        <f t="shared" ca="1" si="218"/>
        <v>2.2827141958367268E+16</v>
      </c>
      <c r="J5964" s="455">
        <f t="array" ref="J5964">IFERROR(INDEX('Retirement Calculator'!J:J,MATCH('Isaac 401k'!N5964,'Retirement Calculator'!A:A,0),0),0)</f>
        <v>0</v>
      </c>
      <c r="K5964" s="455">
        <f t="shared" ca="1" si="216"/>
        <v>95113091493196.953</v>
      </c>
      <c r="L5964" s="455">
        <f t="shared" ca="1" si="217"/>
        <v>2.2922255049860464E+16</v>
      </c>
      <c r="M5964" s="471">
        <f t="shared" si="219"/>
        <v>0.05</v>
      </c>
      <c r="N5964" s="475">
        <f t="shared" si="220"/>
        <v>232570</v>
      </c>
    </row>
    <row r="5965" spans="7:14" ht="11.25" customHeight="1" x14ac:dyDescent="0.3">
      <c r="G5965" s="470"/>
      <c r="H5965" s="470">
        <v>5958</v>
      </c>
      <c r="I5965" s="455">
        <f t="shared" ca="1" si="218"/>
        <v>2.2922255049860464E+16</v>
      </c>
      <c r="J5965" s="455">
        <f t="array" ref="J5965">IFERROR(INDEX('Retirement Calculator'!J:J,MATCH('Isaac 401k'!N5965,'Retirement Calculator'!A:A,0),0),0)</f>
        <v>0</v>
      </c>
      <c r="K5965" s="455">
        <f t="shared" ca="1" si="216"/>
        <v>95509396041085.266</v>
      </c>
      <c r="L5965" s="455">
        <f t="shared" ca="1" si="217"/>
        <v>2.3017764445901548E+16</v>
      </c>
      <c r="M5965" s="471">
        <f t="shared" si="219"/>
        <v>0.05</v>
      </c>
      <c r="N5965" s="475">
        <f t="shared" si="220"/>
        <v>232601</v>
      </c>
    </row>
    <row r="5966" spans="7:14" ht="11.25" customHeight="1" x14ac:dyDescent="0.3">
      <c r="G5966" s="470"/>
      <c r="H5966" s="470">
        <v>5959</v>
      </c>
      <c r="I5966" s="455">
        <f t="shared" ca="1" si="218"/>
        <v>2.3017764445901548E+16</v>
      </c>
      <c r="J5966" s="455">
        <f t="array" ref="J5966">IFERROR(INDEX('Retirement Calculator'!J:J,MATCH('Isaac 401k'!N5966,'Retirement Calculator'!A:A,0),0),0)</f>
        <v>0</v>
      </c>
      <c r="K5966" s="455">
        <f t="shared" ca="1" si="216"/>
        <v>95907351857923.109</v>
      </c>
      <c r="L5966" s="455">
        <f t="shared" ca="1" si="217"/>
        <v>2.3113671797759472E+16</v>
      </c>
      <c r="M5966" s="471">
        <f t="shared" si="219"/>
        <v>0.05</v>
      </c>
      <c r="N5966" s="475">
        <f t="shared" si="220"/>
        <v>232631</v>
      </c>
    </row>
    <row r="5967" spans="7:14" ht="11.25" customHeight="1" x14ac:dyDescent="0.3">
      <c r="G5967" s="470"/>
      <c r="H5967" s="470">
        <v>5960</v>
      </c>
      <c r="I5967" s="455">
        <f t="shared" ca="1" si="218"/>
        <v>2.3113671797759472E+16</v>
      </c>
      <c r="J5967" s="455">
        <f t="array" ref="J5967">IFERROR(INDEX('Retirement Calculator'!J:J,MATCH('Isaac 401k'!N5967,'Retirement Calculator'!A:A,0),0),0)</f>
        <v>0</v>
      </c>
      <c r="K5967" s="455">
        <f t="shared" ca="1" si="216"/>
        <v>96306965823997.797</v>
      </c>
      <c r="L5967" s="455">
        <f t="shared" ca="1" si="217"/>
        <v>2.3209978763583468E+16</v>
      </c>
      <c r="M5967" s="471">
        <f t="shared" si="219"/>
        <v>0.05</v>
      </c>
      <c r="N5967" s="475">
        <f t="shared" si="220"/>
        <v>232662</v>
      </c>
    </row>
    <row r="5968" spans="7:14" ht="11.25" customHeight="1" x14ac:dyDescent="0.3">
      <c r="G5968" s="470"/>
      <c r="H5968" s="470">
        <v>5961</v>
      </c>
      <c r="I5968" s="455">
        <f t="shared" ca="1" si="218"/>
        <v>2.3209978763583468E+16</v>
      </c>
      <c r="J5968" s="455">
        <f t="array" ref="J5968">IFERROR(INDEX('Retirement Calculator'!J:J,MATCH('Isaac 401k'!N5968,'Retirement Calculator'!A:A,0),0),0)</f>
        <v>0</v>
      </c>
      <c r="K5968" s="455">
        <f t="shared" ca="1" si="216"/>
        <v>96708244848264.453</v>
      </c>
      <c r="L5968" s="455">
        <f t="shared" ca="1" si="217"/>
        <v>2.3306687008431732E+16</v>
      </c>
      <c r="M5968" s="471">
        <f t="shared" si="219"/>
        <v>0.05</v>
      </c>
      <c r="N5968" s="475">
        <f t="shared" si="220"/>
        <v>232693</v>
      </c>
    </row>
    <row r="5969" spans="7:14" ht="11.25" customHeight="1" x14ac:dyDescent="0.3">
      <c r="G5969" s="470"/>
      <c r="H5969" s="470">
        <v>5962</v>
      </c>
      <c r="I5969" s="455">
        <f t="shared" ca="1" si="218"/>
        <v>2.3306687008431732E+16</v>
      </c>
      <c r="J5969" s="455">
        <f t="array" ref="J5969">IFERROR(INDEX('Retirement Calculator'!J:J,MATCH('Isaac 401k'!N5969,'Retirement Calculator'!A:A,0),0),0)</f>
        <v>0</v>
      </c>
      <c r="K5969" s="455">
        <f t="shared" ca="1" si="216"/>
        <v>97111195868465.547</v>
      </c>
      <c r="L5969" s="455">
        <f t="shared" ca="1" si="217"/>
        <v>2.3403798204300196E+16</v>
      </c>
      <c r="M5969" s="471">
        <f t="shared" si="219"/>
        <v>0.05</v>
      </c>
      <c r="N5969" s="475">
        <f t="shared" si="220"/>
        <v>232721</v>
      </c>
    </row>
    <row r="5970" spans="7:14" ht="11.25" customHeight="1" x14ac:dyDescent="0.3">
      <c r="G5970" s="470"/>
      <c r="H5970" s="470">
        <v>5963</v>
      </c>
      <c r="I5970" s="455">
        <f t="shared" ca="1" si="218"/>
        <v>2.3403798204300196E+16</v>
      </c>
      <c r="J5970" s="455">
        <f t="array" ref="J5970">IFERROR(INDEX('Retirement Calculator'!J:J,MATCH('Isaac 401k'!N5970,'Retirement Calculator'!A:A,0),0),0)</f>
        <v>0</v>
      </c>
      <c r="K5970" s="455">
        <f t="shared" ca="1" si="216"/>
        <v>97515825851250.813</v>
      </c>
      <c r="L5970" s="455">
        <f t="shared" ca="1" si="217"/>
        <v>2.3501314030151448E+16</v>
      </c>
      <c r="M5970" s="471">
        <f t="shared" si="219"/>
        <v>0.05</v>
      </c>
      <c r="N5970" s="475">
        <f t="shared" si="220"/>
        <v>232752</v>
      </c>
    </row>
    <row r="5971" spans="7:14" ht="11.25" customHeight="1" x14ac:dyDescent="0.3">
      <c r="G5971" s="470"/>
      <c r="H5971" s="470">
        <v>5964</v>
      </c>
      <c r="I5971" s="455">
        <f t="shared" ca="1" si="218"/>
        <v>2.3501314030151448E+16</v>
      </c>
      <c r="J5971" s="455">
        <f t="array" ref="J5971">IFERROR(INDEX('Retirement Calculator'!J:J,MATCH('Isaac 401k'!N5971,'Retirement Calculator'!A:A,0),0),0)</f>
        <v>0</v>
      </c>
      <c r="K5971" s="455">
        <f t="shared" ca="1" si="216"/>
        <v>97922141792297.703</v>
      </c>
      <c r="L5971" s="455">
        <f t="shared" ca="1" si="217"/>
        <v>2.3599236171943744E+16</v>
      </c>
      <c r="M5971" s="471">
        <f t="shared" si="219"/>
        <v>0.05</v>
      </c>
      <c r="N5971" s="475">
        <f t="shared" si="220"/>
        <v>232782</v>
      </c>
    </row>
    <row r="5972" spans="7:14" ht="11.25" customHeight="1" x14ac:dyDescent="0.3">
      <c r="G5972" s="470"/>
      <c r="H5972" s="470">
        <v>5965</v>
      </c>
      <c r="I5972" s="455">
        <f t="shared" ca="1" si="218"/>
        <v>2.3599236171943744E+16</v>
      </c>
      <c r="J5972" s="455">
        <f t="array" ref="J5972">IFERROR(INDEX('Retirement Calculator'!J:J,MATCH('Isaac 401k'!N5972,'Retirement Calculator'!A:A,0),0),0)</f>
        <v>0</v>
      </c>
      <c r="K5972" s="455">
        <f t="shared" ca="1" si="216"/>
        <v>98330150716432.266</v>
      </c>
      <c r="L5972" s="455">
        <f t="shared" ca="1" si="217"/>
        <v>2.3697566322660176E+16</v>
      </c>
      <c r="M5972" s="471">
        <f t="shared" si="219"/>
        <v>0.05</v>
      </c>
      <c r="N5972" s="475">
        <f t="shared" si="220"/>
        <v>232813</v>
      </c>
    </row>
    <row r="5973" spans="7:14" ht="11.25" customHeight="1" x14ac:dyDescent="0.3">
      <c r="G5973" s="470"/>
      <c r="H5973" s="470">
        <v>5966</v>
      </c>
      <c r="I5973" s="455">
        <f t="shared" ca="1" si="218"/>
        <v>2.3697566322660176E+16</v>
      </c>
      <c r="J5973" s="455">
        <f t="array" ref="J5973">IFERROR(INDEX('Retirement Calculator'!J:J,MATCH('Isaac 401k'!N5973,'Retirement Calculator'!A:A,0),0),0)</f>
        <v>0</v>
      </c>
      <c r="K5973" s="455">
        <f t="shared" ca="1" si="216"/>
        <v>98739859677750.734</v>
      </c>
      <c r="L5973" s="455">
        <f t="shared" ca="1" si="217"/>
        <v>2.3796306182337928E+16</v>
      </c>
      <c r="M5973" s="471">
        <f t="shared" si="219"/>
        <v>0.05</v>
      </c>
      <c r="N5973" s="475">
        <f t="shared" si="220"/>
        <v>232843</v>
      </c>
    </row>
    <row r="5974" spans="7:14" ht="11.25" customHeight="1" x14ac:dyDescent="0.3">
      <c r="G5974" s="470"/>
      <c r="H5974" s="470">
        <v>5967</v>
      </c>
      <c r="I5974" s="455">
        <f t="shared" ca="1" si="218"/>
        <v>2.3796306182337928E+16</v>
      </c>
      <c r="J5974" s="455">
        <f t="array" ref="J5974">IFERROR(INDEX('Retirement Calculator'!J:J,MATCH('Isaac 401k'!N5974,'Retirement Calculator'!A:A,0),0),0)</f>
        <v>0</v>
      </c>
      <c r="K5974" s="455">
        <f t="shared" ca="1" si="216"/>
        <v>99151275759741.359</v>
      </c>
      <c r="L5974" s="455">
        <f t="shared" ca="1" si="217"/>
        <v>2.3895457458097668E+16</v>
      </c>
      <c r="M5974" s="471">
        <f t="shared" si="219"/>
        <v>0.05</v>
      </c>
      <c r="N5974" s="475">
        <f t="shared" si="220"/>
        <v>232874</v>
      </c>
    </row>
    <row r="5975" spans="7:14" ht="11.25" customHeight="1" x14ac:dyDescent="0.3">
      <c r="G5975" s="470"/>
      <c r="H5975" s="470">
        <v>5968</v>
      </c>
      <c r="I5975" s="455">
        <f t="shared" ca="1" si="218"/>
        <v>2.3895457458097668E+16</v>
      </c>
      <c r="J5975" s="455">
        <f t="array" ref="J5975">IFERROR(INDEX('Retirement Calculator'!J:J,MATCH('Isaac 401k'!N5975,'Retirement Calculator'!A:A,0),0),0)</f>
        <v>0</v>
      </c>
      <c r="K5975" s="455">
        <f t="shared" ca="1" si="216"/>
        <v>99564406075406.953</v>
      </c>
      <c r="L5975" s="455">
        <f t="shared" ca="1" si="217"/>
        <v>2.3995021864173076E+16</v>
      </c>
      <c r="M5975" s="471">
        <f t="shared" si="219"/>
        <v>0.05</v>
      </c>
      <c r="N5975" s="475">
        <f t="shared" si="220"/>
        <v>232905</v>
      </c>
    </row>
    <row r="5976" spans="7:14" ht="11.25" customHeight="1" x14ac:dyDescent="0.3">
      <c r="G5976" s="470"/>
      <c r="H5976" s="470">
        <v>5969</v>
      </c>
      <c r="I5976" s="455">
        <f t="shared" ca="1" si="218"/>
        <v>2.3995021864173076E+16</v>
      </c>
      <c r="J5976" s="455">
        <f t="array" ref="J5976">IFERROR(INDEX('Retirement Calculator'!J:J,MATCH('Isaac 401k'!N5976,'Retirement Calculator'!A:A,0),0),0)</f>
        <v>0</v>
      </c>
      <c r="K5976" s="455">
        <f t="shared" ca="1" si="216"/>
        <v>99979257767387.813</v>
      </c>
      <c r="L5976" s="455">
        <f t="shared" ca="1" si="217"/>
        <v>2.4095001121940464E+16</v>
      </c>
      <c r="M5976" s="471">
        <f t="shared" si="219"/>
        <v>0.05</v>
      </c>
      <c r="N5976" s="475">
        <f t="shared" si="220"/>
        <v>232935</v>
      </c>
    </row>
    <row r="5977" spans="7:14" ht="11.25" customHeight="1" x14ac:dyDescent="0.3">
      <c r="G5977" s="470"/>
      <c r="H5977" s="470">
        <v>5970</v>
      </c>
      <c r="I5977" s="455">
        <f t="shared" ca="1" si="218"/>
        <v>2.4095001121940464E+16</v>
      </c>
      <c r="J5977" s="455">
        <f t="array" ref="J5977">IFERROR(INDEX('Retirement Calculator'!J:J,MATCH('Isaac 401k'!N5977,'Retirement Calculator'!A:A,0),0),0)</f>
        <v>0</v>
      </c>
      <c r="K5977" s="455">
        <f t="shared" ca="1" si="216"/>
        <v>100395838008085.27</v>
      </c>
      <c r="L5977" s="455">
        <f t="shared" ca="1" si="217"/>
        <v>2.4195396959948548E+16</v>
      </c>
      <c r="M5977" s="471">
        <f t="shared" si="219"/>
        <v>0.05</v>
      </c>
      <c r="N5977" s="475">
        <f t="shared" si="220"/>
        <v>232966</v>
      </c>
    </row>
    <row r="5978" spans="7:14" ht="11.25" customHeight="1" x14ac:dyDescent="0.3">
      <c r="G5978" s="470"/>
      <c r="H5978" s="470">
        <v>5971</v>
      </c>
      <c r="I5978" s="455">
        <f t="shared" ca="1" si="218"/>
        <v>2.4195396959948548E+16</v>
      </c>
      <c r="J5978" s="455">
        <f t="array" ref="J5978">IFERROR(INDEX('Retirement Calculator'!J:J,MATCH('Isaac 401k'!N5978,'Retirement Calculator'!A:A,0),0),0)</f>
        <v>0</v>
      </c>
      <c r="K5978" s="455">
        <f t="shared" ca="1" si="216"/>
        <v>100814153999785.61</v>
      </c>
      <c r="L5978" s="455">
        <f t="shared" ca="1" si="217"/>
        <v>2.4296211113948332E+16</v>
      </c>
      <c r="M5978" s="471">
        <f t="shared" si="219"/>
        <v>0.05</v>
      </c>
      <c r="N5978" s="475">
        <f t="shared" si="220"/>
        <v>232996</v>
      </c>
    </row>
    <row r="5979" spans="7:14" ht="11.25" customHeight="1" x14ac:dyDescent="0.3">
      <c r="G5979" s="470"/>
      <c r="H5979" s="470">
        <v>5972</v>
      </c>
      <c r="I5979" s="455">
        <f t="shared" ca="1" si="218"/>
        <v>2.4296211113948332E+16</v>
      </c>
      <c r="J5979" s="455">
        <f t="array" ref="J5979">IFERROR(INDEX('Retirement Calculator'!J:J,MATCH('Isaac 401k'!N5979,'Retirement Calculator'!A:A,0),0),0)</f>
        <v>0</v>
      </c>
      <c r="K5979" s="455">
        <f t="shared" ca="1" si="216"/>
        <v>101234212974784.72</v>
      </c>
      <c r="L5979" s="455">
        <f t="shared" ca="1" si="217"/>
        <v>2.4397445326923116E+16</v>
      </c>
      <c r="M5979" s="471">
        <f t="shared" si="219"/>
        <v>0.05</v>
      </c>
      <c r="N5979" s="475">
        <f t="shared" si="220"/>
        <v>233027</v>
      </c>
    </row>
    <row r="5980" spans="7:14" ht="11.25" customHeight="1" x14ac:dyDescent="0.3">
      <c r="G5980" s="470"/>
      <c r="H5980" s="470">
        <v>5973</v>
      </c>
      <c r="I5980" s="455">
        <f t="shared" ca="1" si="218"/>
        <v>2.4397445326923116E+16</v>
      </c>
      <c r="J5980" s="455">
        <f t="array" ref="J5980">IFERROR(INDEX('Retirement Calculator'!J:J,MATCH('Isaac 401k'!N5980,'Retirement Calculator'!A:A,0),0),0)</f>
        <v>0</v>
      </c>
      <c r="K5980" s="455">
        <f t="shared" ca="1" si="216"/>
        <v>101656022195512.98</v>
      </c>
      <c r="L5980" s="455">
        <f t="shared" ca="1" si="217"/>
        <v>2.4499101349118628E+16</v>
      </c>
      <c r="M5980" s="471">
        <f t="shared" si="219"/>
        <v>0.05</v>
      </c>
      <c r="N5980" s="475">
        <f t="shared" si="220"/>
        <v>233058</v>
      </c>
    </row>
    <row r="5981" spans="7:14" ht="11.25" customHeight="1" x14ac:dyDescent="0.3">
      <c r="G5981" s="470"/>
      <c r="H5981" s="470">
        <v>5974</v>
      </c>
      <c r="I5981" s="455">
        <f t="shared" ca="1" si="218"/>
        <v>2.4499101349118628E+16</v>
      </c>
      <c r="J5981" s="455">
        <f t="array" ref="J5981">IFERROR(INDEX('Retirement Calculator'!J:J,MATCH('Isaac 401k'!N5981,'Retirement Calculator'!A:A,0),0),0)</f>
        <v>0</v>
      </c>
      <c r="K5981" s="455">
        <f t="shared" ca="1" si="216"/>
        <v>102079588954660.95</v>
      </c>
      <c r="L5981" s="455">
        <f t="shared" ca="1" si="217"/>
        <v>2.4601180938073288E+16</v>
      </c>
      <c r="M5981" s="471">
        <f t="shared" si="219"/>
        <v>0.05</v>
      </c>
      <c r="N5981" s="475">
        <f t="shared" si="220"/>
        <v>233086</v>
      </c>
    </row>
    <row r="5982" spans="7:14" ht="11.25" customHeight="1" x14ac:dyDescent="0.3">
      <c r="G5982" s="470"/>
      <c r="H5982" s="470">
        <v>5975</v>
      </c>
      <c r="I5982" s="455">
        <f t="shared" ca="1" si="218"/>
        <v>2.4601180938073288E+16</v>
      </c>
      <c r="J5982" s="455">
        <f t="array" ref="J5982">IFERROR(INDEX('Retirement Calculator'!J:J,MATCH('Isaac 401k'!N5982,'Retirement Calculator'!A:A,0),0),0)</f>
        <v>0</v>
      </c>
      <c r="K5982" s="455">
        <f t="shared" ca="1" si="216"/>
        <v>102504920575305.36</v>
      </c>
      <c r="L5982" s="455">
        <f t="shared" ca="1" si="217"/>
        <v>2.4703685858648592E+16</v>
      </c>
      <c r="M5982" s="471">
        <f t="shared" si="219"/>
        <v>0.05</v>
      </c>
      <c r="N5982" s="475">
        <f t="shared" si="220"/>
        <v>233117</v>
      </c>
    </row>
    <row r="5983" spans="7:14" ht="11.25" customHeight="1" x14ac:dyDescent="0.3">
      <c r="G5983" s="470"/>
      <c r="H5983" s="470">
        <v>5976</v>
      </c>
      <c r="I5983" s="455">
        <f t="shared" ca="1" si="218"/>
        <v>2.4703685858648592E+16</v>
      </c>
      <c r="J5983" s="455">
        <f t="array" ref="J5983">IFERROR(INDEX('Retirement Calculator'!J:J,MATCH('Isaac 401k'!N5983,'Retirement Calculator'!A:A,0),0),0)</f>
        <v>0</v>
      </c>
      <c r="K5983" s="455">
        <f t="shared" ca="1" si="216"/>
        <v>102932024411035.8</v>
      </c>
      <c r="L5983" s="455">
        <f t="shared" ca="1" si="217"/>
        <v>2.4806617883059628E+16</v>
      </c>
      <c r="M5983" s="471">
        <f t="shared" si="219"/>
        <v>0.05</v>
      </c>
      <c r="N5983" s="475">
        <f t="shared" si="220"/>
        <v>233147</v>
      </c>
    </row>
    <row r="5984" spans="7:14" ht="11.25" customHeight="1" x14ac:dyDescent="0.3">
      <c r="G5984" s="470"/>
      <c r="H5984" s="470">
        <v>5977</v>
      </c>
      <c r="I5984" s="455">
        <f t="shared" ca="1" si="218"/>
        <v>2.4806617883059628E+16</v>
      </c>
      <c r="J5984" s="455">
        <f t="array" ref="J5984">IFERROR(INDEX('Retirement Calculator'!J:J,MATCH('Isaac 401k'!N5984,'Retirement Calculator'!A:A,0),0),0)</f>
        <v>0</v>
      </c>
      <c r="K5984" s="455">
        <f t="shared" ca="1" si="216"/>
        <v>103360907846081.78</v>
      </c>
      <c r="L5984" s="455">
        <f t="shared" ca="1" si="217"/>
        <v>2.4909978790905708E+16</v>
      </c>
      <c r="M5984" s="471">
        <f t="shared" si="219"/>
        <v>0.05</v>
      </c>
      <c r="N5984" s="475">
        <f t="shared" si="220"/>
        <v>233178</v>
      </c>
    </row>
    <row r="5985" spans="7:14" ht="11.25" customHeight="1" x14ac:dyDescent="0.3">
      <c r="G5985" s="470"/>
      <c r="H5985" s="470">
        <v>5978</v>
      </c>
      <c r="I5985" s="455">
        <f t="shared" ca="1" si="218"/>
        <v>2.4909978790905708E+16</v>
      </c>
      <c r="J5985" s="455">
        <f t="array" ref="J5985">IFERROR(INDEX('Retirement Calculator'!J:J,MATCH('Isaac 401k'!N5985,'Retirement Calculator'!A:A,0),0),0)</f>
        <v>0</v>
      </c>
      <c r="K5985" s="455">
        <f t="shared" ca="1" si="216"/>
        <v>103791578295440.45</v>
      </c>
      <c r="L5985" s="455">
        <f t="shared" ca="1" si="217"/>
        <v>2.5013770369201148E+16</v>
      </c>
      <c r="M5985" s="471">
        <f t="shared" si="219"/>
        <v>0.05</v>
      </c>
      <c r="N5985" s="475">
        <f t="shared" si="220"/>
        <v>233208</v>
      </c>
    </row>
    <row r="5986" spans="7:14" ht="11.25" customHeight="1" x14ac:dyDescent="0.3">
      <c r="G5986" s="470"/>
      <c r="H5986" s="470">
        <v>5979</v>
      </c>
      <c r="I5986" s="455">
        <f t="shared" ca="1" si="218"/>
        <v>2.5013770369201148E+16</v>
      </c>
      <c r="J5986" s="455">
        <f t="array" ref="J5986">IFERROR(INDEX('Retirement Calculator'!J:J,MATCH('Isaac 401k'!N5986,'Retirement Calculator'!A:A,0),0),0)</f>
        <v>0</v>
      </c>
      <c r="K5986" s="455">
        <f t="shared" ca="1" si="216"/>
        <v>104224043205004.78</v>
      </c>
      <c r="L5986" s="455">
        <f t="shared" ca="1" si="217"/>
        <v>2.5117994412406152E+16</v>
      </c>
      <c r="M5986" s="471">
        <f t="shared" si="219"/>
        <v>0.05</v>
      </c>
      <c r="N5986" s="475">
        <f t="shared" si="220"/>
        <v>233239</v>
      </c>
    </row>
    <row r="5987" spans="7:14" ht="11.25" customHeight="1" x14ac:dyDescent="0.3">
      <c r="G5987" s="470"/>
      <c r="H5987" s="470">
        <v>5980</v>
      </c>
      <c r="I5987" s="455">
        <f t="shared" ca="1" si="218"/>
        <v>2.5117994412406152E+16</v>
      </c>
      <c r="J5987" s="455">
        <f t="array" ref="J5987">IFERROR(INDEX('Retirement Calculator'!J:J,MATCH('Isaac 401k'!N5987,'Retirement Calculator'!A:A,0),0),0)</f>
        <v>0</v>
      </c>
      <c r="K5987" s="455">
        <f t="shared" ca="1" si="216"/>
        <v>104658310051692.3</v>
      </c>
      <c r="L5987" s="455">
        <f t="shared" ca="1" si="217"/>
        <v>2.5222652722457844E+16</v>
      </c>
      <c r="M5987" s="471">
        <f t="shared" si="219"/>
        <v>0.05</v>
      </c>
      <c r="N5987" s="475">
        <f t="shared" si="220"/>
        <v>233270</v>
      </c>
    </row>
    <row r="5988" spans="7:14" ht="11.25" customHeight="1" x14ac:dyDescent="0.3">
      <c r="G5988" s="470"/>
      <c r="H5988" s="470">
        <v>5981</v>
      </c>
      <c r="I5988" s="455">
        <f t="shared" ca="1" si="218"/>
        <v>2.5222652722457844E+16</v>
      </c>
      <c r="J5988" s="455">
        <f t="array" ref="J5988">IFERROR(INDEX('Retirement Calculator'!J:J,MATCH('Isaac 401k'!N5988,'Retirement Calculator'!A:A,0),0),0)</f>
        <v>0</v>
      </c>
      <c r="K5988" s="455">
        <f t="shared" ca="1" si="216"/>
        <v>105094386343574.34</v>
      </c>
      <c r="L5988" s="455">
        <f t="shared" ca="1" si="217"/>
        <v>2.532774710880142E+16</v>
      </c>
      <c r="M5988" s="471">
        <f t="shared" si="219"/>
        <v>0.05</v>
      </c>
      <c r="N5988" s="475">
        <f t="shared" si="220"/>
        <v>233300</v>
      </c>
    </row>
    <row r="5989" spans="7:14" ht="11.25" customHeight="1" x14ac:dyDescent="0.3">
      <c r="G5989" s="470"/>
      <c r="H5989" s="470">
        <v>5982</v>
      </c>
      <c r="I5989" s="455">
        <f t="shared" ca="1" si="218"/>
        <v>2.532774710880142E+16</v>
      </c>
      <c r="J5989" s="455">
        <f t="array" ref="J5989">IFERROR(INDEX('Retirement Calculator'!J:J,MATCH('Isaac 401k'!N5989,'Retirement Calculator'!A:A,0),0),0)</f>
        <v>0</v>
      </c>
      <c r="K5989" s="455">
        <f t="shared" ca="1" si="216"/>
        <v>105532279620005.92</v>
      </c>
      <c r="L5989" s="455">
        <f t="shared" ca="1" si="217"/>
        <v>2.5433279388421424E+16</v>
      </c>
      <c r="M5989" s="471">
        <f t="shared" si="219"/>
        <v>0.05</v>
      </c>
      <c r="N5989" s="475">
        <f t="shared" si="220"/>
        <v>233331</v>
      </c>
    </row>
    <row r="5990" spans="7:14" ht="11.25" customHeight="1" x14ac:dyDescent="0.3">
      <c r="G5990" s="470"/>
      <c r="H5990" s="470">
        <v>5983</v>
      </c>
      <c r="I5990" s="455">
        <f t="shared" ca="1" si="218"/>
        <v>2.5433279388421424E+16</v>
      </c>
      <c r="J5990" s="455">
        <f t="array" ref="J5990">IFERROR(INDEX('Retirement Calculator'!J:J,MATCH('Isaac 401k'!N5990,'Retirement Calculator'!A:A,0),0),0)</f>
        <v>0</v>
      </c>
      <c r="K5990" s="455">
        <f t="shared" ca="1" si="216"/>
        <v>105971997451755.94</v>
      </c>
      <c r="L5990" s="455">
        <f t="shared" ca="1" si="217"/>
        <v>2.553925138587318E+16</v>
      </c>
      <c r="M5990" s="471">
        <f t="shared" si="219"/>
        <v>0.05</v>
      </c>
      <c r="N5990" s="475">
        <f t="shared" si="220"/>
        <v>233361</v>
      </c>
    </row>
    <row r="5991" spans="7:14" ht="11.25" customHeight="1" x14ac:dyDescent="0.3">
      <c r="G5991" s="470"/>
      <c r="H5991" s="470">
        <v>5984</v>
      </c>
      <c r="I5991" s="455">
        <f t="shared" ca="1" si="218"/>
        <v>2.553925138587318E+16</v>
      </c>
      <c r="J5991" s="455">
        <f t="array" ref="J5991">IFERROR(INDEX('Retirement Calculator'!J:J,MATCH('Isaac 401k'!N5991,'Retirement Calculator'!A:A,0),0),0)</f>
        <v>0</v>
      </c>
      <c r="K5991" s="455">
        <f t="shared" ca="1" si="216"/>
        <v>106413547441138.25</v>
      </c>
      <c r="L5991" s="455">
        <f t="shared" ca="1" si="217"/>
        <v>2.564566493331432E+16</v>
      </c>
      <c r="M5991" s="471">
        <f t="shared" si="219"/>
        <v>0.05</v>
      </c>
      <c r="N5991" s="475">
        <f t="shared" si="220"/>
        <v>233392</v>
      </c>
    </row>
    <row r="5992" spans="7:14" ht="11.25" customHeight="1" x14ac:dyDescent="0.3">
      <c r="G5992" s="470"/>
      <c r="H5992" s="470">
        <v>5985</v>
      </c>
      <c r="I5992" s="455">
        <f t="shared" ca="1" si="218"/>
        <v>2.564566493331432E+16</v>
      </c>
      <c r="J5992" s="455">
        <f t="array" ref="J5992">IFERROR(INDEX('Retirement Calculator'!J:J,MATCH('Isaac 401k'!N5992,'Retirement Calculator'!A:A,0),0),0)</f>
        <v>0</v>
      </c>
      <c r="K5992" s="455">
        <f t="shared" ca="1" si="216"/>
        <v>106856937222143</v>
      </c>
      <c r="L5992" s="455">
        <f t="shared" ca="1" si="217"/>
        <v>2.5752521870536464E+16</v>
      </c>
      <c r="M5992" s="471">
        <f t="shared" si="219"/>
        <v>0.05</v>
      </c>
      <c r="N5992" s="475">
        <f t="shared" si="220"/>
        <v>233423</v>
      </c>
    </row>
    <row r="5993" spans="7:14" ht="11.25" customHeight="1" x14ac:dyDescent="0.3">
      <c r="G5993" s="470"/>
      <c r="H5993" s="470">
        <v>5986</v>
      </c>
      <c r="I5993" s="455">
        <f t="shared" ca="1" si="218"/>
        <v>2.5752521870536464E+16</v>
      </c>
      <c r="J5993" s="455">
        <f t="array" ref="J5993">IFERROR(INDEX('Retirement Calculator'!J:J,MATCH('Isaac 401k'!N5993,'Retirement Calculator'!A:A,0),0),0)</f>
        <v>0</v>
      </c>
      <c r="K5993" s="455">
        <f t="shared" ca="1" si="216"/>
        <v>107302174460568.59</v>
      </c>
      <c r="L5993" s="455">
        <f t="shared" ca="1" si="217"/>
        <v>2.5859824044997032E+16</v>
      </c>
      <c r="M5993" s="471">
        <f t="shared" si="219"/>
        <v>0.05</v>
      </c>
      <c r="N5993" s="475">
        <f t="shared" si="220"/>
        <v>233451</v>
      </c>
    </row>
    <row r="5994" spans="7:14" ht="11.25" customHeight="1" x14ac:dyDescent="0.3">
      <c r="G5994" s="470"/>
      <c r="H5994" s="470">
        <v>5987</v>
      </c>
      <c r="I5994" s="455">
        <f t="shared" ca="1" si="218"/>
        <v>2.5859824044997032E+16</v>
      </c>
      <c r="J5994" s="455">
        <f t="array" ref="J5994">IFERROR(INDEX('Retirement Calculator'!J:J,MATCH('Isaac 401k'!N5994,'Retirement Calculator'!A:A,0),0),0)</f>
        <v>0</v>
      </c>
      <c r="K5994" s="455">
        <f t="shared" ca="1" si="216"/>
        <v>107749266854154.3</v>
      </c>
      <c r="L5994" s="455">
        <f t="shared" ca="1" si="217"/>
        <v>2.5967573311851188E+16</v>
      </c>
      <c r="M5994" s="471">
        <f t="shared" si="219"/>
        <v>0.05</v>
      </c>
      <c r="N5994" s="475">
        <f t="shared" si="220"/>
        <v>233482</v>
      </c>
    </row>
    <row r="5995" spans="7:14" ht="11.25" customHeight="1" x14ac:dyDescent="0.3">
      <c r="G5995" s="470"/>
      <c r="H5995" s="470">
        <v>5988</v>
      </c>
      <c r="I5995" s="455">
        <f t="shared" ca="1" si="218"/>
        <v>2.5967573311851188E+16</v>
      </c>
      <c r="J5995" s="455">
        <f t="array" ref="J5995">IFERROR(INDEX('Retirement Calculator'!J:J,MATCH('Isaac 401k'!N5995,'Retirement Calculator'!A:A,0),0),0)</f>
        <v>0</v>
      </c>
      <c r="K5995" s="455">
        <f t="shared" ca="1" si="216"/>
        <v>108198222132713.28</v>
      </c>
      <c r="L5995" s="455">
        <f t="shared" ca="1" si="217"/>
        <v>2.60757715339839E+16</v>
      </c>
      <c r="M5995" s="471">
        <f t="shared" si="219"/>
        <v>0.05</v>
      </c>
      <c r="N5995" s="475">
        <f t="shared" si="220"/>
        <v>233512</v>
      </c>
    </row>
    <row r="5996" spans="7:14" ht="11.25" customHeight="1" x14ac:dyDescent="0.3">
      <c r="G5996" s="470"/>
      <c r="H5996" s="470">
        <v>5989</v>
      </c>
      <c r="I5996" s="455">
        <f t="shared" ca="1" si="218"/>
        <v>2.60757715339839E+16</v>
      </c>
      <c r="J5996" s="455">
        <f t="array" ref="J5996">IFERROR(INDEX('Retirement Calculator'!J:J,MATCH('Isaac 401k'!N5996,'Retirement Calculator'!A:A,0),0),0)</f>
        <v>0</v>
      </c>
      <c r="K5996" s="455">
        <f t="shared" ca="1" si="216"/>
        <v>108649048058266.25</v>
      </c>
      <c r="L5996" s="455">
        <f t="shared" ca="1" si="217"/>
        <v>2.6184420582042168E+16</v>
      </c>
      <c r="M5996" s="471">
        <f t="shared" si="219"/>
        <v>0.05</v>
      </c>
      <c r="N5996" s="475">
        <f t="shared" si="220"/>
        <v>233543</v>
      </c>
    </row>
    <row r="5997" spans="7:14" ht="11.25" customHeight="1" x14ac:dyDescent="0.3">
      <c r="G5997" s="470"/>
      <c r="H5997" s="470">
        <v>5990</v>
      </c>
      <c r="I5997" s="455">
        <f t="shared" ca="1" si="218"/>
        <v>2.6184420582042168E+16</v>
      </c>
      <c r="J5997" s="455">
        <f t="array" ref="J5997">IFERROR(INDEX('Retirement Calculator'!J:J,MATCH('Isaac 401k'!N5997,'Retirement Calculator'!A:A,0),0),0)</f>
        <v>0</v>
      </c>
      <c r="K5997" s="455">
        <f t="shared" ca="1" si="216"/>
        <v>109101752425175.7</v>
      </c>
      <c r="L5997" s="455">
        <f t="shared" ca="1" si="217"/>
        <v>2.6293522334467344E+16</v>
      </c>
      <c r="M5997" s="471">
        <f t="shared" si="219"/>
        <v>0.05</v>
      </c>
      <c r="N5997" s="475">
        <f t="shared" si="220"/>
        <v>233573</v>
      </c>
    </row>
    <row r="5998" spans="7:14" ht="11.25" customHeight="1" x14ac:dyDescent="0.3">
      <c r="G5998" s="470"/>
      <c r="H5998" s="470">
        <v>5991</v>
      </c>
      <c r="I5998" s="455">
        <f t="shared" ca="1" si="218"/>
        <v>2.6293522334467344E+16</v>
      </c>
      <c r="J5998" s="455">
        <f t="array" ref="J5998">IFERROR(INDEX('Retirement Calculator'!J:J,MATCH('Isaac 401k'!N5998,'Retirement Calculator'!A:A,0),0),0)</f>
        <v>0</v>
      </c>
      <c r="K5998" s="455">
        <f t="shared" ca="1" si="216"/>
        <v>109556343060280.59</v>
      </c>
      <c r="L5998" s="455">
        <f t="shared" ca="1" si="217"/>
        <v>2.6403078677527624E+16</v>
      </c>
      <c r="M5998" s="471">
        <f t="shared" si="219"/>
        <v>0.05</v>
      </c>
      <c r="N5998" s="475">
        <f t="shared" si="220"/>
        <v>233604</v>
      </c>
    </row>
    <row r="5999" spans="7:14" ht="11.25" customHeight="1" x14ac:dyDescent="0.3">
      <c r="G5999" s="470"/>
      <c r="H5999" s="470">
        <v>5992</v>
      </c>
      <c r="I5999" s="455">
        <f t="shared" ca="1" si="218"/>
        <v>2.6403078677527624E+16</v>
      </c>
      <c r="J5999" s="455">
        <f t="array" ref="J5999">IFERROR(INDEX('Retirement Calculator'!J:J,MATCH('Isaac 401k'!N5999,'Retirement Calculator'!A:A,0),0),0)</f>
        <v>0</v>
      </c>
      <c r="K5999" s="455">
        <f t="shared" ca="1" si="216"/>
        <v>110012827823031.77</v>
      </c>
      <c r="L5999" s="455">
        <f t="shared" ca="1" si="217"/>
        <v>2.6513091505350656E+16</v>
      </c>
      <c r="M5999" s="471">
        <f t="shared" si="219"/>
        <v>0.05</v>
      </c>
      <c r="N5999" s="475">
        <f t="shared" si="220"/>
        <v>233635</v>
      </c>
    </row>
    <row r="6000" spans="7:14" ht="11.25" customHeight="1" x14ac:dyDescent="0.3">
      <c r="G6000" s="470"/>
      <c r="H6000" s="470">
        <v>5993</v>
      </c>
      <c r="I6000" s="455">
        <f t="shared" ca="1" si="218"/>
        <v>2.6513091505350656E+16</v>
      </c>
      <c r="J6000" s="455">
        <f t="array" ref="J6000">IFERROR(INDEX('Retirement Calculator'!J:J,MATCH('Isaac 401k'!N6000,'Retirement Calculator'!A:A,0),0),0)</f>
        <v>0</v>
      </c>
      <c r="K6000" s="455">
        <f t="shared" ca="1" si="216"/>
        <v>110471214605627.73</v>
      </c>
      <c r="L6000" s="455">
        <f t="shared" ca="1" si="217"/>
        <v>2.6623562719956284E+16</v>
      </c>
      <c r="M6000" s="471">
        <f t="shared" si="219"/>
        <v>0.05</v>
      </c>
      <c r="N6000" s="475">
        <f t="shared" si="220"/>
        <v>233665</v>
      </c>
    </row>
    <row r="6001" spans="7:14" ht="11.25" customHeight="1" x14ac:dyDescent="0.3">
      <c r="G6001" s="470"/>
      <c r="H6001" s="470">
        <v>5994</v>
      </c>
      <c r="I6001" s="455">
        <f t="shared" ca="1" si="218"/>
        <v>2.6623562719956284E+16</v>
      </c>
      <c r="J6001" s="455">
        <f t="array" ref="J6001">IFERROR(INDEX('Retirement Calculator'!J:J,MATCH('Isaac 401k'!N6001,'Retirement Calculator'!A:A,0),0),0)</f>
        <v>0</v>
      </c>
      <c r="K6001" s="455">
        <f t="shared" ca="1" si="216"/>
        <v>110931511333151.19</v>
      </c>
      <c r="L6001" s="455">
        <f t="shared" ca="1" si="217"/>
        <v>2.6734494231289436E+16</v>
      </c>
      <c r="M6001" s="471">
        <f t="shared" si="219"/>
        <v>0.05</v>
      </c>
      <c r="N6001" s="475">
        <f t="shared" si="220"/>
        <v>233696</v>
      </c>
    </row>
    <row r="6002" spans="7:14" ht="11.25" customHeight="1" x14ac:dyDescent="0.3">
      <c r="G6002" s="470"/>
      <c r="H6002" s="470">
        <v>5995</v>
      </c>
      <c r="I6002" s="455">
        <f t="shared" ca="1" si="218"/>
        <v>2.6734494231289436E+16</v>
      </c>
      <c r="J6002" s="455">
        <f t="array" ref="J6002">IFERROR(INDEX('Retirement Calculator'!J:J,MATCH('Isaac 401k'!N6002,'Retirement Calculator'!A:A,0),0),0)</f>
        <v>0</v>
      </c>
      <c r="K6002" s="455">
        <f t="shared" ca="1" si="216"/>
        <v>111393725963705.98</v>
      </c>
      <c r="L6002" s="455">
        <f t="shared" ca="1" si="217"/>
        <v>2.684588795725314E+16</v>
      </c>
      <c r="M6002" s="471">
        <f t="shared" si="219"/>
        <v>0.05</v>
      </c>
      <c r="N6002" s="475">
        <f t="shared" si="220"/>
        <v>233726</v>
      </c>
    </row>
    <row r="6003" spans="7:14" ht="11.25" customHeight="1" x14ac:dyDescent="0.3">
      <c r="G6003" s="470"/>
      <c r="H6003" s="470">
        <v>5996</v>
      </c>
      <c r="I6003" s="455">
        <f t="shared" ca="1" si="218"/>
        <v>2.684588795725314E+16</v>
      </c>
      <c r="J6003" s="455">
        <f t="array" ref="J6003">IFERROR(INDEX('Retirement Calculator'!J:J,MATCH('Isaac 401k'!N6003,'Retirement Calculator'!A:A,0),0),0)</f>
        <v>0</v>
      </c>
      <c r="K6003" s="455">
        <f t="shared" ca="1" si="216"/>
        <v>111857866488554.75</v>
      </c>
      <c r="L6003" s="455">
        <f t="shared" ca="1" si="217"/>
        <v>2.6957745823741696E+16</v>
      </c>
      <c r="M6003" s="471">
        <f t="shared" si="219"/>
        <v>0.05</v>
      </c>
      <c r="N6003" s="475">
        <f t="shared" si="220"/>
        <v>233757</v>
      </c>
    </row>
    <row r="6004" spans="7:14" ht="11.25" customHeight="1" x14ac:dyDescent="0.3">
      <c r="G6004" s="470"/>
      <c r="H6004" s="470">
        <v>5997</v>
      </c>
      <c r="I6004" s="455">
        <f t="shared" ca="1" si="218"/>
        <v>2.6957745823741696E+16</v>
      </c>
      <c r="J6004" s="455">
        <f t="array" ref="J6004">IFERROR(INDEX('Retirement Calculator'!J:J,MATCH('Isaac 401k'!N6004,'Retirement Calculator'!A:A,0),0),0)</f>
        <v>0</v>
      </c>
      <c r="K6004" s="455">
        <f t="shared" ca="1" si="216"/>
        <v>112323940932257.06</v>
      </c>
      <c r="L6004" s="455">
        <f t="shared" ca="1" si="217"/>
        <v>2.7070069764673952E+16</v>
      </c>
      <c r="M6004" s="471">
        <f t="shared" si="219"/>
        <v>0.05</v>
      </c>
      <c r="N6004" s="475">
        <f t="shared" si="220"/>
        <v>233788</v>
      </c>
    </row>
    <row r="6005" spans="7:14" ht="11.25" customHeight="1" x14ac:dyDescent="0.3">
      <c r="G6005" s="470"/>
      <c r="H6005" s="470">
        <v>5998</v>
      </c>
      <c r="I6005" s="455">
        <f t="shared" ca="1" si="218"/>
        <v>2.7070069764673952E+16</v>
      </c>
      <c r="J6005" s="455">
        <f t="array" ref="J6005">IFERROR(INDEX('Retirement Calculator'!J:J,MATCH('Isaac 401k'!N6005,'Retirement Calculator'!A:A,0),0),0)</f>
        <v>0</v>
      </c>
      <c r="K6005" s="455">
        <f t="shared" ca="1" si="216"/>
        <v>112791957352808.13</v>
      </c>
      <c r="L6005" s="455">
        <f t="shared" ca="1" si="217"/>
        <v>2.718286172202676E+16</v>
      </c>
      <c r="M6005" s="471">
        <f t="shared" si="219"/>
        <v>0.05</v>
      </c>
      <c r="N6005" s="475">
        <f t="shared" si="220"/>
        <v>233817</v>
      </c>
    </row>
    <row r="6006" spans="7:14" ht="11.25" customHeight="1" x14ac:dyDescent="0.3">
      <c r="G6006" s="470"/>
      <c r="H6006" s="470">
        <v>5999</v>
      </c>
      <c r="I6006" s="455">
        <f t="shared" ca="1" si="218"/>
        <v>2.718286172202676E+16</v>
      </c>
      <c r="J6006" s="455">
        <f t="array" ref="J6006">IFERROR(INDEX('Retirement Calculator'!J:J,MATCH('Isaac 401k'!N6006,'Retirement Calculator'!A:A,0),0),0)</f>
        <v>0</v>
      </c>
      <c r="K6006" s="455">
        <f t="shared" ca="1" si="216"/>
        <v>113261923841778.17</v>
      </c>
      <c r="L6006" s="455">
        <f t="shared" ca="1" si="217"/>
        <v>2.729612364586854E+16</v>
      </c>
      <c r="M6006" s="471">
        <f t="shared" si="219"/>
        <v>0.05</v>
      </c>
      <c r="N6006" s="475">
        <f t="shared" si="220"/>
        <v>233848</v>
      </c>
    </row>
    <row r="6007" spans="7:14" ht="11.25" customHeight="1" x14ac:dyDescent="0.3">
      <c r="G6007" s="470"/>
      <c r="H6007" s="470">
        <v>6000</v>
      </c>
      <c r="I6007" s="455">
        <f t="shared" ca="1" si="218"/>
        <v>2.729612364586854E+16</v>
      </c>
      <c r="J6007" s="455">
        <f t="array" ref="J6007">IFERROR(INDEX('Retirement Calculator'!J:J,MATCH('Isaac 401k'!N6007,'Retirement Calculator'!A:A,0),0),0)</f>
        <v>0</v>
      </c>
      <c r="K6007" s="455">
        <f t="shared" ca="1" si="216"/>
        <v>113733848524452.25</v>
      </c>
      <c r="L6007" s="455">
        <f t="shared" ca="1" si="217"/>
        <v>2.7409857494392992E+16</v>
      </c>
      <c r="M6007" s="471">
        <f t="shared" si="219"/>
        <v>0.05</v>
      </c>
      <c r="N6007" s="475">
        <f t="shared" si="220"/>
        <v>233878</v>
      </c>
    </row>
    <row r="6008" spans="7:14" ht="11.25" customHeight="1" x14ac:dyDescent="0.3">
      <c r="G6008" s="470"/>
      <c r="H6008" s="470">
        <v>6001</v>
      </c>
      <c r="I6008" s="455">
        <f t="shared" ca="1" si="218"/>
        <v>2.7409857494392992E+16</v>
      </c>
      <c r="J6008" s="455">
        <f t="array" ref="J6008">IFERROR(INDEX('Retirement Calculator'!J:J,MATCH('Isaac 401k'!N6008,'Retirement Calculator'!A:A,0),0),0)</f>
        <v>0</v>
      </c>
      <c r="K6008" s="455">
        <f t="shared" ca="1" si="216"/>
        <v>114207739559970.8</v>
      </c>
      <c r="L6008" s="455">
        <f t="shared" ca="1" si="217"/>
        <v>2.7524065233952964E+16</v>
      </c>
      <c r="M6008" s="471">
        <f t="shared" si="219"/>
        <v>0.05</v>
      </c>
      <c r="N6008" s="475">
        <f t="shared" si="220"/>
        <v>233909</v>
      </c>
    </row>
    <row r="6009" spans="7:14" ht="11.25" customHeight="1" x14ac:dyDescent="0.3">
      <c r="G6009" s="470"/>
      <c r="H6009" s="470">
        <v>6002</v>
      </c>
      <c r="I6009" s="455">
        <f t="shared" ca="1" si="218"/>
        <v>2.7524065233952964E+16</v>
      </c>
      <c r="J6009" s="455">
        <f t="array" ref="J6009">IFERROR(INDEX('Retirement Calculator'!J:J,MATCH('Isaac 401k'!N6009,'Retirement Calculator'!A:A,0),0),0)</f>
        <v>0</v>
      </c>
      <c r="K6009" s="455">
        <f t="shared" ca="1" si="216"/>
        <v>114683605141470.69</v>
      </c>
      <c r="L6009" s="455">
        <f t="shared" ca="1" si="217"/>
        <v>2.7638748839094436E+16</v>
      </c>
      <c r="M6009" s="471">
        <f t="shared" si="219"/>
        <v>0.05</v>
      </c>
      <c r="N6009" s="475">
        <f t="shared" si="220"/>
        <v>233939</v>
      </c>
    </row>
    <row r="6010" spans="7:14" ht="11.25" customHeight="1" x14ac:dyDescent="0.3">
      <c r="G6010" s="470"/>
      <c r="H6010" s="470">
        <v>6003</v>
      </c>
      <c r="I6010" s="455">
        <f t="shared" ca="1" si="218"/>
        <v>2.7638748839094436E+16</v>
      </c>
      <c r="J6010" s="455">
        <f t="array" ref="J6010">IFERROR(INDEX('Retirement Calculator'!J:J,MATCH('Isaac 401k'!N6010,'Retirement Calculator'!A:A,0),0),0)</f>
        <v>0</v>
      </c>
      <c r="K6010" s="455">
        <f t="shared" ca="1" si="216"/>
        <v>115161453496226.81</v>
      </c>
      <c r="L6010" s="455">
        <f t="shared" ca="1" si="217"/>
        <v>2.7753910292590664E+16</v>
      </c>
      <c r="M6010" s="471">
        <f t="shared" si="219"/>
        <v>0.05</v>
      </c>
      <c r="N6010" s="475">
        <f t="shared" si="220"/>
        <v>233970</v>
      </c>
    </row>
    <row r="6011" spans="7:14" ht="11.25" customHeight="1" x14ac:dyDescent="0.3">
      <c r="G6011" s="470"/>
      <c r="H6011" s="470">
        <v>6004</v>
      </c>
      <c r="I6011" s="455">
        <f t="shared" ca="1" si="218"/>
        <v>2.7753910292590664E+16</v>
      </c>
      <c r="J6011" s="455">
        <f t="array" ref="J6011">IFERROR(INDEX('Retirement Calculator'!J:J,MATCH('Isaac 401k'!N6011,'Retirement Calculator'!A:A,0),0),0)</f>
        <v>0</v>
      </c>
      <c r="K6011" s="455">
        <f t="shared" ca="1" si="216"/>
        <v>115641292885794.44</v>
      </c>
      <c r="L6011" s="455">
        <f t="shared" ca="1" si="217"/>
        <v>2.786955158547646E+16</v>
      </c>
      <c r="M6011" s="471">
        <f t="shared" si="219"/>
        <v>0.05</v>
      </c>
      <c r="N6011" s="475">
        <f t="shared" si="220"/>
        <v>234001</v>
      </c>
    </row>
    <row r="6012" spans="7:14" ht="11.25" customHeight="1" x14ac:dyDescent="0.3">
      <c r="G6012" s="470"/>
      <c r="H6012" s="470">
        <v>6005</v>
      </c>
      <c r="I6012" s="455">
        <f t="shared" ca="1" si="218"/>
        <v>2.786955158547646E+16</v>
      </c>
      <c r="J6012" s="455">
        <f t="array" ref="J6012">IFERROR(INDEX('Retirement Calculator'!J:J,MATCH('Isaac 401k'!N6012,'Retirement Calculator'!A:A,0),0),0)</f>
        <v>0</v>
      </c>
      <c r="K6012" s="455">
        <f t="shared" ca="1" si="216"/>
        <v>116123131606151.92</v>
      </c>
      <c r="L6012" s="455">
        <f t="shared" ca="1" si="217"/>
        <v>2.7985674717082612E+16</v>
      </c>
      <c r="M6012" s="471">
        <f t="shared" si="219"/>
        <v>0.05</v>
      </c>
      <c r="N6012" s="475">
        <f t="shared" si="220"/>
        <v>234031</v>
      </c>
    </row>
    <row r="6013" spans="7:14" ht="11.25" customHeight="1" x14ac:dyDescent="0.3">
      <c r="G6013" s="470"/>
      <c r="H6013" s="470">
        <v>6006</v>
      </c>
      <c r="I6013" s="455">
        <f t="shared" ca="1" si="218"/>
        <v>2.7985674717082612E+16</v>
      </c>
      <c r="J6013" s="455">
        <f t="array" ref="J6013">IFERROR(INDEX('Retirement Calculator'!J:J,MATCH('Isaac 401k'!N6013,'Retirement Calculator'!A:A,0),0),0)</f>
        <v>0</v>
      </c>
      <c r="K6013" s="455">
        <f t="shared" ca="1" si="216"/>
        <v>116606977987844.22</v>
      </c>
      <c r="L6013" s="455">
        <f t="shared" ca="1" si="217"/>
        <v>2.8102281695070456E+16</v>
      </c>
      <c r="M6013" s="471">
        <f t="shared" si="219"/>
        <v>0.05</v>
      </c>
      <c r="N6013" s="475">
        <f t="shared" si="220"/>
        <v>234062</v>
      </c>
    </row>
    <row r="6014" spans="7:14" ht="11.25" customHeight="1" x14ac:dyDescent="0.3">
      <c r="G6014" s="470"/>
      <c r="H6014" s="470">
        <v>6007</v>
      </c>
      <c r="I6014" s="455">
        <f t="shared" ca="1" si="218"/>
        <v>2.8102281695070456E+16</v>
      </c>
      <c r="J6014" s="455">
        <f t="array" ref="J6014">IFERROR(INDEX('Retirement Calculator'!J:J,MATCH('Isaac 401k'!N6014,'Retirement Calculator'!A:A,0),0),0)</f>
        <v>0</v>
      </c>
      <c r="K6014" s="455">
        <f t="shared" ca="1" si="216"/>
        <v>117092840396126.89</v>
      </c>
      <c r="L6014" s="455">
        <f t="shared" ca="1" si="217"/>
        <v>2.8219374535466584E+16</v>
      </c>
      <c r="M6014" s="471">
        <f t="shared" si="219"/>
        <v>0.05</v>
      </c>
      <c r="N6014" s="475">
        <f t="shared" si="220"/>
        <v>234092</v>
      </c>
    </row>
    <row r="6015" spans="7:14" ht="11.25" customHeight="1" x14ac:dyDescent="0.3">
      <c r="G6015" s="470"/>
      <c r="H6015" s="470">
        <v>6008</v>
      </c>
      <c r="I6015" s="455">
        <f t="shared" ca="1" si="218"/>
        <v>2.8219374535466584E+16</v>
      </c>
      <c r="J6015" s="455">
        <f t="array" ref="J6015">IFERROR(INDEX('Retirement Calculator'!J:J,MATCH('Isaac 401k'!N6015,'Retirement Calculator'!A:A,0),0),0)</f>
        <v>0</v>
      </c>
      <c r="K6015" s="455">
        <f t="shared" ca="1" si="216"/>
        <v>117580727231110.77</v>
      </c>
      <c r="L6015" s="455">
        <f t="shared" ca="1" si="217"/>
        <v>2.8336955262697696E+16</v>
      </c>
      <c r="M6015" s="471">
        <f t="shared" si="219"/>
        <v>0.05</v>
      </c>
      <c r="N6015" s="475">
        <f t="shared" si="220"/>
        <v>234123</v>
      </c>
    </row>
    <row r="6016" spans="7:14" ht="11.25" customHeight="1" x14ac:dyDescent="0.3">
      <c r="G6016" s="470"/>
      <c r="H6016" s="470">
        <v>6009</v>
      </c>
      <c r="I6016" s="455">
        <f t="shared" ca="1" si="218"/>
        <v>2.8336955262697696E+16</v>
      </c>
      <c r="J6016" s="455">
        <f t="array" ref="J6016">IFERROR(INDEX('Retirement Calculator'!J:J,MATCH('Isaac 401k'!N6016,'Retirement Calculator'!A:A,0),0),0)</f>
        <v>0</v>
      </c>
      <c r="K6016" s="455">
        <f t="shared" ca="1" si="216"/>
        <v>118070646927907.05</v>
      </c>
      <c r="L6016" s="455">
        <f t="shared" ca="1" si="217"/>
        <v>2.8455025909625604E+16</v>
      </c>
      <c r="M6016" s="471">
        <f t="shared" si="219"/>
        <v>0.05</v>
      </c>
      <c r="N6016" s="475">
        <f t="shared" si="220"/>
        <v>234154</v>
      </c>
    </row>
    <row r="6017" spans="7:14" ht="11.25" customHeight="1" x14ac:dyDescent="0.3">
      <c r="G6017" s="470"/>
      <c r="H6017" s="470">
        <v>6010</v>
      </c>
      <c r="I6017" s="455">
        <f t="shared" ca="1" si="218"/>
        <v>2.8455025909625604E+16</v>
      </c>
      <c r="J6017" s="455">
        <f t="array" ref="J6017">IFERROR(INDEX('Retirement Calculator'!J:J,MATCH('Isaac 401k'!N6017,'Retirement Calculator'!A:A,0),0),0)</f>
        <v>0</v>
      </c>
      <c r="K6017" s="455">
        <f t="shared" ca="1" si="216"/>
        <v>118562607956773.34</v>
      </c>
      <c r="L6017" s="455">
        <f t="shared" ca="1" si="217"/>
        <v>2.8573588517582376E+16</v>
      </c>
      <c r="M6017" s="471">
        <f t="shared" si="219"/>
        <v>0.05</v>
      </c>
      <c r="N6017" s="475">
        <f t="shared" si="220"/>
        <v>234182</v>
      </c>
    </row>
    <row r="6018" spans="7:14" ht="11.25" customHeight="1" x14ac:dyDescent="0.3">
      <c r="G6018" s="470"/>
      <c r="H6018" s="470">
        <v>6011</v>
      </c>
      <c r="I6018" s="455">
        <f t="shared" ca="1" si="218"/>
        <v>2.8573588517582376E+16</v>
      </c>
      <c r="J6018" s="455">
        <f t="array" ref="J6018">IFERROR(INDEX('Retirement Calculator'!J:J,MATCH('Isaac 401k'!N6018,'Retirement Calculator'!A:A,0),0),0)</f>
        <v>0</v>
      </c>
      <c r="K6018" s="455">
        <f t="shared" ca="1" si="216"/>
        <v>119056618823259.92</v>
      </c>
      <c r="L6018" s="455">
        <f t="shared" ca="1" si="217"/>
        <v>2.8692645136405636E+16</v>
      </c>
      <c r="M6018" s="471">
        <f t="shared" si="219"/>
        <v>0.05</v>
      </c>
      <c r="N6018" s="475">
        <f t="shared" si="220"/>
        <v>234213</v>
      </c>
    </row>
    <row r="6019" spans="7:14" ht="11.25" customHeight="1" x14ac:dyDescent="0.3">
      <c r="G6019" s="470"/>
      <c r="H6019" s="470">
        <v>6012</v>
      </c>
      <c r="I6019" s="455">
        <f t="shared" ca="1" si="218"/>
        <v>2.8692645136405636E+16</v>
      </c>
      <c r="J6019" s="455">
        <f t="array" ref="J6019">IFERROR(INDEX('Retirement Calculator'!J:J,MATCH('Isaac 401k'!N6019,'Retirement Calculator'!A:A,0),0),0)</f>
        <v>0</v>
      </c>
      <c r="K6019" s="455">
        <f t="shared" ca="1" si="216"/>
        <v>119552688068356.8</v>
      </c>
      <c r="L6019" s="455">
        <f t="shared" ca="1" si="217"/>
        <v>2.8812197824473992E+16</v>
      </c>
      <c r="M6019" s="471">
        <f t="shared" si="219"/>
        <v>0.05</v>
      </c>
      <c r="N6019" s="475">
        <f t="shared" si="220"/>
        <v>234243</v>
      </c>
    </row>
    <row r="6020" spans="7:14" ht="11.25" customHeight="1" x14ac:dyDescent="0.3">
      <c r="G6020" s="470"/>
      <c r="H6020" s="470">
        <v>6013</v>
      </c>
      <c r="I6020" s="455">
        <f t="shared" ca="1" si="218"/>
        <v>2.8812197824473992E+16</v>
      </c>
      <c r="J6020" s="455">
        <f t="array" ref="J6020">IFERROR(INDEX('Retirement Calculator'!J:J,MATCH('Isaac 401k'!N6020,'Retirement Calculator'!A:A,0),0),0)</f>
        <v>0</v>
      </c>
      <c r="K6020" s="455">
        <f t="shared" ca="1" si="216"/>
        <v>120050824268641.63</v>
      </c>
      <c r="L6020" s="455">
        <f t="shared" ca="1" si="217"/>
        <v>2.8932248648742632E+16</v>
      </c>
      <c r="M6020" s="471">
        <f t="shared" si="219"/>
        <v>0.05</v>
      </c>
      <c r="N6020" s="475">
        <f t="shared" si="220"/>
        <v>234274</v>
      </c>
    </row>
    <row r="6021" spans="7:14" ht="11.25" customHeight="1" x14ac:dyDescent="0.3">
      <c r="G6021" s="470"/>
      <c r="H6021" s="470">
        <v>6014</v>
      </c>
      <c r="I6021" s="455">
        <f t="shared" ca="1" si="218"/>
        <v>2.8932248648742632E+16</v>
      </c>
      <c r="J6021" s="455">
        <f t="array" ref="J6021">IFERROR(INDEX('Retirement Calculator'!J:J,MATCH('Isaac 401k'!N6021,'Retirement Calculator'!A:A,0),0),0)</f>
        <v>0</v>
      </c>
      <c r="K6021" s="455">
        <f t="shared" ca="1" si="216"/>
        <v>120551036036427.61</v>
      </c>
      <c r="L6021" s="455">
        <f t="shared" ca="1" si="217"/>
        <v>2.905279968477906E+16</v>
      </c>
      <c r="M6021" s="471">
        <f t="shared" si="219"/>
        <v>0.05</v>
      </c>
      <c r="N6021" s="475">
        <f t="shared" si="220"/>
        <v>234304</v>
      </c>
    </row>
    <row r="6022" spans="7:14" ht="11.25" customHeight="1" x14ac:dyDescent="0.3">
      <c r="G6022" s="470"/>
      <c r="H6022" s="470">
        <v>6015</v>
      </c>
      <c r="I6022" s="455">
        <f t="shared" ca="1" si="218"/>
        <v>2.905279968477906E+16</v>
      </c>
      <c r="J6022" s="455">
        <f t="array" ref="J6022">IFERROR(INDEX('Retirement Calculator'!J:J,MATCH('Isaac 401k'!N6022,'Retirement Calculator'!A:A,0),0),0)</f>
        <v>0</v>
      </c>
      <c r="K6022" s="455">
        <f t="shared" ca="1" si="216"/>
        <v>121053332019912.77</v>
      </c>
      <c r="L6022" s="455">
        <f t="shared" ca="1" si="217"/>
        <v>2.9173853016798972E+16</v>
      </c>
      <c r="M6022" s="471">
        <f t="shared" si="219"/>
        <v>0.05</v>
      </c>
      <c r="N6022" s="475">
        <f t="shared" si="220"/>
        <v>234335</v>
      </c>
    </row>
    <row r="6023" spans="7:14" ht="11.25" customHeight="1" x14ac:dyDescent="0.3">
      <c r="G6023" s="470"/>
      <c r="H6023" s="470">
        <v>6016</v>
      </c>
      <c r="I6023" s="455">
        <f t="shared" ca="1" si="218"/>
        <v>2.9173853016798972E+16</v>
      </c>
      <c r="J6023" s="455">
        <f t="array" ref="J6023">IFERROR(INDEX('Retirement Calculator'!J:J,MATCH('Isaac 401k'!N6023,'Retirement Calculator'!A:A,0),0),0)</f>
        <v>0</v>
      </c>
      <c r="K6023" s="455">
        <f t="shared" ca="1" si="216"/>
        <v>121557720903329.05</v>
      </c>
      <c r="L6023" s="455">
        <f t="shared" ca="1" si="217"/>
        <v>2.92954107377023E+16</v>
      </c>
      <c r="M6023" s="471">
        <f t="shared" si="219"/>
        <v>0.05</v>
      </c>
      <c r="N6023" s="475">
        <f t="shared" si="220"/>
        <v>234366</v>
      </c>
    </row>
    <row r="6024" spans="7:14" ht="11.25" customHeight="1" x14ac:dyDescent="0.3">
      <c r="G6024" s="470"/>
      <c r="H6024" s="470">
        <v>6017</v>
      </c>
      <c r="I6024" s="455">
        <f t="shared" ca="1" si="218"/>
        <v>2.92954107377023E+16</v>
      </c>
      <c r="J6024" s="455">
        <f t="array" ref="J6024">IFERROR(INDEX('Retirement Calculator'!J:J,MATCH('Isaac 401k'!N6024,'Retirement Calculator'!A:A,0),0),0)</f>
        <v>0</v>
      </c>
      <c r="K6024" s="455">
        <f t="shared" ca="1" si="216"/>
        <v>122064211407092.92</v>
      </c>
      <c r="L6024" s="455">
        <f t="shared" ca="1" si="217"/>
        <v>2.9417474949109392E+16</v>
      </c>
      <c r="M6024" s="471">
        <f t="shared" si="219"/>
        <v>0.05</v>
      </c>
      <c r="N6024" s="475">
        <f t="shared" si="220"/>
        <v>234396</v>
      </c>
    </row>
    <row r="6025" spans="7:14" ht="11.25" customHeight="1" x14ac:dyDescent="0.3">
      <c r="G6025" s="470"/>
      <c r="H6025" s="470">
        <v>6018</v>
      </c>
      <c r="I6025" s="455">
        <f t="shared" ca="1" si="218"/>
        <v>2.9417474949109392E+16</v>
      </c>
      <c r="J6025" s="455">
        <f t="array" ref="J6025">IFERROR(INDEX('Retirement Calculator'!J:J,MATCH('Isaac 401k'!N6025,'Retirement Calculator'!A:A,0),0),0)</f>
        <v>0</v>
      </c>
      <c r="K6025" s="455">
        <f t="shared" ca="1" si="216"/>
        <v>122572812287955.8</v>
      </c>
      <c r="L6025" s="455">
        <f t="shared" ca="1" si="217"/>
        <v>2.9540047761397348E+16</v>
      </c>
      <c r="M6025" s="471">
        <f t="shared" si="219"/>
        <v>0.05</v>
      </c>
      <c r="N6025" s="475">
        <f t="shared" si="220"/>
        <v>234427</v>
      </c>
    </row>
    <row r="6026" spans="7:14" ht="11.25" customHeight="1" x14ac:dyDescent="0.3">
      <c r="G6026" s="470"/>
      <c r="H6026" s="470">
        <v>6019</v>
      </c>
      <c r="I6026" s="455">
        <f t="shared" ca="1" si="218"/>
        <v>2.9540047761397348E+16</v>
      </c>
      <c r="J6026" s="455">
        <f t="array" ref="J6026">IFERROR(INDEX('Retirement Calculator'!J:J,MATCH('Isaac 401k'!N6026,'Retirement Calculator'!A:A,0),0),0)</f>
        <v>0</v>
      </c>
      <c r="K6026" s="455">
        <f t="shared" ca="1" si="216"/>
        <v>123083532339155.61</v>
      </c>
      <c r="L6026" s="455">
        <f t="shared" ca="1" si="217"/>
        <v>2.9663131293736504E+16</v>
      </c>
      <c r="M6026" s="471">
        <f t="shared" si="219"/>
        <v>0.05</v>
      </c>
      <c r="N6026" s="475">
        <f t="shared" si="220"/>
        <v>234457</v>
      </c>
    </row>
    <row r="6027" spans="7:14" ht="11.25" customHeight="1" x14ac:dyDescent="0.3">
      <c r="G6027" s="470"/>
      <c r="H6027" s="470">
        <v>6020</v>
      </c>
      <c r="I6027" s="455">
        <f t="shared" ca="1" si="218"/>
        <v>2.9663131293736504E+16</v>
      </c>
      <c r="J6027" s="455">
        <f t="array" ref="J6027">IFERROR(INDEX('Retirement Calculator'!J:J,MATCH('Isaac 401k'!N6027,'Retirement Calculator'!A:A,0),0),0)</f>
        <v>0</v>
      </c>
      <c r="K6027" s="455">
        <f t="shared" ca="1" si="216"/>
        <v>123596380390568.77</v>
      </c>
      <c r="L6027" s="455">
        <f t="shared" ca="1" si="217"/>
        <v>2.9786727674127072E+16</v>
      </c>
      <c r="M6027" s="471">
        <f t="shared" si="219"/>
        <v>0.05</v>
      </c>
      <c r="N6027" s="475">
        <f t="shared" si="220"/>
        <v>234488</v>
      </c>
    </row>
    <row r="6028" spans="7:14" ht="11.25" customHeight="1" x14ac:dyDescent="0.3">
      <c r="G6028" s="470"/>
      <c r="H6028" s="470">
        <v>6021</v>
      </c>
      <c r="I6028" s="455">
        <f t="shared" ca="1" si="218"/>
        <v>2.9786727674127072E+16</v>
      </c>
      <c r="J6028" s="455">
        <f t="array" ref="J6028">IFERROR(INDEX('Retirement Calculator'!J:J,MATCH('Isaac 401k'!N6028,'Retirement Calculator'!A:A,0),0),0)</f>
        <v>0</v>
      </c>
      <c r="K6028" s="455">
        <f t="shared" ca="1" si="216"/>
        <v>124111365308862.78</v>
      </c>
      <c r="L6028" s="455">
        <f t="shared" ca="1" si="217"/>
        <v>2.9910839039435936E+16</v>
      </c>
      <c r="M6028" s="471">
        <f t="shared" si="219"/>
        <v>0.05</v>
      </c>
      <c r="N6028" s="475">
        <f t="shared" si="220"/>
        <v>234519</v>
      </c>
    </row>
    <row r="6029" spans="7:14" ht="11.25" customHeight="1" x14ac:dyDescent="0.3">
      <c r="G6029" s="470"/>
      <c r="H6029" s="470">
        <v>6022</v>
      </c>
      <c r="I6029" s="455">
        <f t="shared" ca="1" si="218"/>
        <v>2.9910839039435936E+16</v>
      </c>
      <c r="J6029" s="455">
        <f t="array" ref="J6029">IFERROR(INDEX('Retirement Calculator'!J:J,MATCH('Isaac 401k'!N6029,'Retirement Calculator'!A:A,0),0),0)</f>
        <v>0</v>
      </c>
      <c r="K6029" s="455">
        <f t="shared" ca="1" si="216"/>
        <v>124628495997649.75</v>
      </c>
      <c r="L6029" s="455">
        <f t="shared" ca="1" si="217"/>
        <v>3.0035467535433584E+16</v>
      </c>
      <c r="M6029" s="471">
        <f t="shared" si="219"/>
        <v>0.05</v>
      </c>
      <c r="N6029" s="475">
        <f t="shared" si="220"/>
        <v>234547</v>
      </c>
    </row>
    <row r="6030" spans="7:14" ht="11.25" customHeight="1" x14ac:dyDescent="0.3">
      <c r="G6030" s="470"/>
      <c r="H6030" s="470">
        <v>6023</v>
      </c>
      <c r="I6030" s="455">
        <f t="shared" ca="1" si="218"/>
        <v>3.0035467535433584E+16</v>
      </c>
      <c r="J6030" s="455">
        <f t="array" ref="J6030">IFERROR(INDEX('Retirement Calculator'!J:J,MATCH('Isaac 401k'!N6030,'Retirement Calculator'!A:A,0),0),0)</f>
        <v>0</v>
      </c>
      <c r="K6030" s="455">
        <f t="shared" ca="1" si="216"/>
        <v>125147781397639.94</v>
      </c>
      <c r="L6030" s="455">
        <f t="shared" ca="1" si="217"/>
        <v>3.0160615316831224E+16</v>
      </c>
      <c r="M6030" s="471">
        <f t="shared" si="219"/>
        <v>0.05</v>
      </c>
      <c r="N6030" s="475">
        <f t="shared" si="220"/>
        <v>234578</v>
      </c>
    </row>
    <row r="6031" spans="7:14" ht="11.25" customHeight="1" x14ac:dyDescent="0.3">
      <c r="G6031" s="470"/>
      <c r="H6031" s="470">
        <v>6024</v>
      </c>
      <c r="I6031" s="455">
        <f t="shared" ca="1" si="218"/>
        <v>3.0160615316831224E+16</v>
      </c>
      <c r="J6031" s="455">
        <f t="array" ref="J6031">IFERROR(INDEX('Retirement Calculator'!J:J,MATCH('Isaac 401k'!N6031,'Retirement Calculator'!A:A,0),0),0)</f>
        <v>0</v>
      </c>
      <c r="K6031" s="455">
        <f t="shared" ca="1" si="216"/>
        <v>125669230486796.78</v>
      </c>
      <c r="L6031" s="455">
        <f t="shared" ca="1" si="217"/>
        <v>3.028628454731802E+16</v>
      </c>
      <c r="M6031" s="471">
        <f t="shared" si="219"/>
        <v>0.05</v>
      </c>
      <c r="N6031" s="475">
        <f t="shared" si="220"/>
        <v>234608</v>
      </c>
    </row>
    <row r="6032" spans="7:14" ht="11.25" customHeight="1" x14ac:dyDescent="0.3">
      <c r="G6032" s="470"/>
      <c r="H6032" s="470">
        <v>6025</v>
      </c>
      <c r="I6032" s="455">
        <f t="shared" ca="1" si="218"/>
        <v>3.028628454731802E+16</v>
      </c>
      <c r="J6032" s="455">
        <f t="array" ref="J6032">IFERROR(INDEX('Retirement Calculator'!J:J,MATCH('Isaac 401k'!N6032,'Retirement Calculator'!A:A,0),0),0)</f>
        <v>0</v>
      </c>
      <c r="K6032" s="455">
        <f t="shared" ca="1" si="216"/>
        <v>126192852280491.75</v>
      </c>
      <c r="L6032" s="455">
        <f t="shared" ca="1" si="217"/>
        <v>3.0412477399598512E+16</v>
      </c>
      <c r="M6032" s="471">
        <f t="shared" si="219"/>
        <v>0.05</v>
      </c>
      <c r="N6032" s="475">
        <f t="shared" si="220"/>
        <v>234639</v>
      </c>
    </row>
    <row r="6033" spans="7:14" ht="11.25" customHeight="1" x14ac:dyDescent="0.3">
      <c r="G6033" s="470"/>
      <c r="H6033" s="470">
        <v>6026</v>
      </c>
      <c r="I6033" s="455">
        <f t="shared" ca="1" si="218"/>
        <v>3.0412477399598512E+16</v>
      </c>
      <c r="J6033" s="455">
        <f t="array" ref="J6033">IFERROR(INDEX('Retirement Calculator'!J:J,MATCH('Isaac 401k'!N6033,'Retirement Calculator'!A:A,0),0),0)</f>
        <v>0</v>
      </c>
      <c r="K6033" s="455">
        <f t="shared" ca="1" si="216"/>
        <v>126718655831660.45</v>
      </c>
      <c r="L6033" s="455">
        <f t="shared" ca="1" si="217"/>
        <v>3.0539196055430172E+16</v>
      </c>
      <c r="M6033" s="471">
        <f t="shared" si="219"/>
        <v>0.05</v>
      </c>
      <c r="N6033" s="475">
        <f t="shared" si="220"/>
        <v>234669</v>
      </c>
    </row>
    <row r="6034" spans="7:14" ht="11.25" customHeight="1" x14ac:dyDescent="0.3">
      <c r="G6034" s="470"/>
      <c r="H6034" s="470">
        <v>6027</v>
      </c>
      <c r="I6034" s="455">
        <f t="shared" ca="1" si="218"/>
        <v>3.0539196055430172E+16</v>
      </c>
      <c r="J6034" s="455">
        <f t="array" ref="J6034">IFERROR(INDEX('Retirement Calculator'!J:J,MATCH('Isaac 401k'!N6034,'Retirement Calculator'!A:A,0),0),0)</f>
        <v>0</v>
      </c>
      <c r="K6034" s="455">
        <f t="shared" ca="1" si="216"/>
        <v>127246650230959.05</v>
      </c>
      <c r="L6034" s="455">
        <f t="shared" ca="1" si="217"/>
        <v>3.0666442705661132E+16</v>
      </c>
      <c r="M6034" s="471">
        <f t="shared" si="219"/>
        <v>0.05</v>
      </c>
      <c r="N6034" s="475">
        <f t="shared" si="220"/>
        <v>234700</v>
      </c>
    </row>
    <row r="6035" spans="7:14" ht="11.25" customHeight="1" x14ac:dyDescent="0.3">
      <c r="G6035" s="470"/>
      <c r="H6035" s="470">
        <v>6028</v>
      </c>
      <c r="I6035" s="455">
        <f t="shared" ca="1" si="218"/>
        <v>3.0666442705661132E+16</v>
      </c>
      <c r="J6035" s="455">
        <f t="array" ref="J6035">IFERROR(INDEX('Retirement Calculator'!J:J,MATCH('Isaac 401k'!N6035,'Retirement Calculator'!A:A,0),0),0)</f>
        <v>0</v>
      </c>
      <c r="K6035" s="455">
        <f t="shared" ca="1" si="216"/>
        <v>127776844606921.39</v>
      </c>
      <c r="L6035" s="455">
        <f t="shared" ca="1" si="217"/>
        <v>3.0794219550268052E+16</v>
      </c>
      <c r="M6035" s="471">
        <f t="shared" si="219"/>
        <v>0.05</v>
      </c>
      <c r="N6035" s="475">
        <f t="shared" si="220"/>
        <v>234731</v>
      </c>
    </row>
    <row r="6036" spans="7:14" ht="11.25" customHeight="1" x14ac:dyDescent="0.3">
      <c r="G6036" s="470"/>
      <c r="H6036" s="470">
        <v>6029</v>
      </c>
      <c r="I6036" s="455">
        <f t="shared" ca="1" si="218"/>
        <v>3.0794219550268052E+16</v>
      </c>
      <c r="J6036" s="455">
        <f t="array" ref="J6036">IFERROR(INDEX('Retirement Calculator'!J:J,MATCH('Isaac 401k'!N6036,'Retirement Calculator'!A:A,0),0),0)</f>
        <v>0</v>
      </c>
      <c r="K6036" s="455">
        <f t="shared" ca="1" si="216"/>
        <v>128309248126116.89</v>
      </c>
      <c r="L6036" s="455">
        <f t="shared" ca="1" si="217"/>
        <v>3.0922528798394168E+16</v>
      </c>
      <c r="M6036" s="471">
        <f t="shared" si="219"/>
        <v>0.05</v>
      </c>
      <c r="N6036" s="475">
        <f t="shared" si="220"/>
        <v>234761</v>
      </c>
    </row>
    <row r="6037" spans="7:14" ht="11.25" customHeight="1" x14ac:dyDescent="0.3">
      <c r="G6037" s="470"/>
      <c r="H6037" s="470">
        <v>6030</v>
      </c>
      <c r="I6037" s="455">
        <f t="shared" ca="1" si="218"/>
        <v>3.0922528798394168E+16</v>
      </c>
      <c r="J6037" s="455">
        <f t="array" ref="J6037">IFERROR(INDEX('Retirement Calculator'!J:J,MATCH('Isaac 401k'!N6037,'Retirement Calculator'!A:A,0),0),0)</f>
        <v>0</v>
      </c>
      <c r="K6037" s="455">
        <f t="shared" ca="1" si="216"/>
        <v>128843869993309.03</v>
      </c>
      <c r="L6037" s="455">
        <f t="shared" ca="1" si="217"/>
        <v>3.1051372668387476E+16</v>
      </c>
      <c r="M6037" s="471">
        <f t="shared" si="219"/>
        <v>0.05</v>
      </c>
      <c r="N6037" s="475">
        <f t="shared" si="220"/>
        <v>234792</v>
      </c>
    </row>
    <row r="6038" spans="7:14" ht="11.25" customHeight="1" x14ac:dyDescent="0.3">
      <c r="G6038" s="470"/>
      <c r="H6038" s="470">
        <v>6031</v>
      </c>
      <c r="I6038" s="455">
        <f t="shared" ca="1" si="218"/>
        <v>3.1051372668387476E+16</v>
      </c>
      <c r="J6038" s="455">
        <f t="array" ref="J6038">IFERROR(INDEX('Retirement Calculator'!J:J,MATCH('Isaac 401k'!N6038,'Retirement Calculator'!A:A,0),0),0)</f>
        <v>0</v>
      </c>
      <c r="K6038" s="455">
        <f t="shared" ca="1" si="216"/>
        <v>129380719451614.48</v>
      </c>
      <c r="L6038" s="455">
        <f t="shared" ca="1" si="217"/>
        <v>3.1180753387839092E+16</v>
      </c>
      <c r="M6038" s="471">
        <f t="shared" si="219"/>
        <v>0.05</v>
      </c>
      <c r="N6038" s="475">
        <f t="shared" si="220"/>
        <v>234822</v>
      </c>
    </row>
    <row r="6039" spans="7:14" ht="11.25" customHeight="1" x14ac:dyDescent="0.3">
      <c r="G6039" s="470"/>
      <c r="H6039" s="470">
        <v>6032</v>
      </c>
      <c r="I6039" s="455">
        <f t="shared" ca="1" si="218"/>
        <v>3.1180753387839092E+16</v>
      </c>
      <c r="J6039" s="455">
        <f t="array" ref="J6039">IFERROR(INDEX('Retirement Calculator'!J:J,MATCH('Isaac 401k'!N6039,'Retirement Calculator'!A:A,0),0),0)</f>
        <v>0</v>
      </c>
      <c r="K6039" s="455">
        <f t="shared" ca="1" si="216"/>
        <v>129919805782662.89</v>
      </c>
      <c r="L6039" s="455">
        <f t="shared" ca="1" si="217"/>
        <v>3.1310673193621756E+16</v>
      </c>
      <c r="M6039" s="471">
        <f t="shared" si="219"/>
        <v>0.05</v>
      </c>
      <c r="N6039" s="475">
        <f t="shared" si="220"/>
        <v>234853</v>
      </c>
    </row>
    <row r="6040" spans="7:14" ht="11.25" customHeight="1" x14ac:dyDescent="0.3">
      <c r="G6040" s="470"/>
      <c r="H6040" s="470">
        <v>6033</v>
      </c>
      <c r="I6040" s="455">
        <f t="shared" ca="1" si="218"/>
        <v>3.1310673193621756E+16</v>
      </c>
      <c r="J6040" s="455">
        <f t="array" ref="J6040">IFERROR(INDEX('Retirement Calculator'!J:J,MATCH('Isaac 401k'!N6040,'Retirement Calculator'!A:A,0),0),0)</f>
        <v>0</v>
      </c>
      <c r="K6040" s="455">
        <f t="shared" ca="1" si="216"/>
        <v>130461138306757.31</v>
      </c>
      <c r="L6040" s="455">
        <f t="shared" ca="1" si="217"/>
        <v>3.1441134331928512E+16</v>
      </c>
      <c r="M6040" s="471">
        <f t="shared" si="219"/>
        <v>0.05</v>
      </c>
      <c r="N6040" s="475">
        <f t="shared" si="220"/>
        <v>234884</v>
      </c>
    </row>
    <row r="6041" spans="7:14" ht="11.25" customHeight="1" x14ac:dyDescent="0.3">
      <c r="G6041" s="470"/>
      <c r="H6041" s="470">
        <v>6034</v>
      </c>
      <c r="I6041" s="455">
        <f t="shared" ca="1" si="218"/>
        <v>3.1441134331928512E+16</v>
      </c>
      <c r="J6041" s="455">
        <f t="array" ref="J6041">IFERROR(INDEX('Retirement Calculator'!J:J,MATCH('Isaac 401k'!N6041,'Retirement Calculator'!A:A,0),0),0)</f>
        <v>0</v>
      </c>
      <c r="K6041" s="455">
        <f t="shared" ca="1" si="216"/>
        <v>131004726383035.48</v>
      </c>
      <c r="L6041" s="455">
        <f t="shared" ca="1" si="217"/>
        <v>3.1572139058311548E+16</v>
      </c>
      <c r="M6041" s="471">
        <f t="shared" si="219"/>
        <v>0.05</v>
      </c>
      <c r="N6041" s="475">
        <f t="shared" si="220"/>
        <v>234912</v>
      </c>
    </row>
    <row r="6042" spans="7:14" ht="11.25" customHeight="1" x14ac:dyDescent="0.3">
      <c r="G6042" s="470"/>
      <c r="H6042" s="470">
        <v>6035</v>
      </c>
      <c r="I6042" s="455">
        <f t="shared" ca="1" si="218"/>
        <v>3.1572139058311548E+16</v>
      </c>
      <c r="J6042" s="455">
        <f t="array" ref="J6042">IFERROR(INDEX('Retirement Calculator'!J:J,MATCH('Isaac 401k'!N6042,'Retirement Calculator'!A:A,0),0),0)</f>
        <v>0</v>
      </c>
      <c r="K6042" s="455">
        <f t="shared" ca="1" si="216"/>
        <v>131550579409631.44</v>
      </c>
      <c r="L6042" s="455">
        <f t="shared" ca="1" si="217"/>
        <v>3.170368963772118E+16</v>
      </c>
      <c r="M6042" s="471">
        <f t="shared" si="219"/>
        <v>0.05</v>
      </c>
      <c r="N6042" s="475">
        <f t="shared" si="220"/>
        <v>234943</v>
      </c>
    </row>
    <row r="6043" spans="7:14" ht="11.25" customHeight="1" x14ac:dyDescent="0.3">
      <c r="G6043" s="470"/>
      <c r="H6043" s="470">
        <v>6036</v>
      </c>
      <c r="I6043" s="455">
        <f t="shared" ca="1" si="218"/>
        <v>3.170368963772118E+16</v>
      </c>
      <c r="J6043" s="455">
        <f t="array" ref="J6043">IFERROR(INDEX('Retirement Calculator'!J:J,MATCH('Isaac 401k'!N6043,'Retirement Calculator'!A:A,0),0),0)</f>
        <v>0</v>
      </c>
      <c r="K6043" s="455">
        <f t="shared" ca="1" si="216"/>
        <v>132098706823838.25</v>
      </c>
      <c r="L6043" s="455">
        <f t="shared" ca="1" si="217"/>
        <v>3.183578834454502E+16</v>
      </c>
      <c r="M6043" s="471">
        <f t="shared" si="219"/>
        <v>0.05</v>
      </c>
      <c r="N6043" s="475">
        <f t="shared" si="220"/>
        <v>234973</v>
      </c>
    </row>
    <row r="6044" spans="7:14" ht="11.25" customHeight="1" x14ac:dyDescent="0.3">
      <c r="G6044" s="470"/>
      <c r="H6044" s="470">
        <v>6037</v>
      </c>
      <c r="I6044" s="455">
        <f t="shared" ca="1" si="218"/>
        <v>3.183578834454502E+16</v>
      </c>
      <c r="J6044" s="455">
        <f t="array" ref="J6044">IFERROR(INDEX('Retirement Calculator'!J:J,MATCH('Isaac 401k'!N6044,'Retirement Calculator'!A:A,0),0),0)</f>
        <v>0</v>
      </c>
      <c r="K6044" s="455">
        <f t="shared" ca="1" si="216"/>
        <v>132649118102270.92</v>
      </c>
      <c r="L6044" s="455">
        <f t="shared" ca="1" si="217"/>
        <v>3.1968437462647292E+16</v>
      </c>
      <c r="M6044" s="471">
        <f t="shared" si="219"/>
        <v>0.05</v>
      </c>
      <c r="N6044" s="475">
        <f t="shared" si="220"/>
        <v>235004</v>
      </c>
    </row>
    <row r="6045" spans="7:14" ht="11.25" customHeight="1" x14ac:dyDescent="0.3">
      <c r="G6045" s="470"/>
      <c r="H6045" s="470">
        <v>6038</v>
      </c>
      <c r="I6045" s="455">
        <f t="shared" ca="1" si="218"/>
        <v>3.1968437462647292E+16</v>
      </c>
      <c r="J6045" s="455">
        <f t="array" ref="J6045">IFERROR(INDEX('Retirement Calculator'!J:J,MATCH('Isaac 401k'!N6045,'Retirement Calculator'!A:A,0),0),0)</f>
        <v>0</v>
      </c>
      <c r="K6045" s="455">
        <f t="shared" ca="1" si="216"/>
        <v>133201822761030.38</v>
      </c>
      <c r="L6045" s="455">
        <f t="shared" ca="1" si="217"/>
        <v>3.2101639285408324E+16</v>
      </c>
      <c r="M6045" s="471">
        <f t="shared" si="219"/>
        <v>0.05</v>
      </c>
      <c r="N6045" s="475">
        <f t="shared" si="220"/>
        <v>235034</v>
      </c>
    </row>
    <row r="6046" spans="7:14" ht="11.25" customHeight="1" x14ac:dyDescent="0.3">
      <c r="G6046" s="470"/>
      <c r="H6046" s="470">
        <v>6039</v>
      </c>
      <c r="I6046" s="455">
        <f t="shared" ca="1" si="218"/>
        <v>3.2101639285408324E+16</v>
      </c>
      <c r="J6046" s="455">
        <f t="array" ref="J6046">IFERROR(INDEX('Retirement Calculator'!J:J,MATCH('Isaac 401k'!N6046,'Retirement Calculator'!A:A,0),0),0)</f>
        <v>0</v>
      </c>
      <c r="K6046" s="455">
        <f t="shared" ca="1" si="216"/>
        <v>133756830355868</v>
      </c>
      <c r="L6046" s="455">
        <f t="shared" ca="1" si="217"/>
        <v>3.2235396115764192E+16</v>
      </c>
      <c r="M6046" s="471">
        <f t="shared" si="219"/>
        <v>0.05</v>
      </c>
      <c r="N6046" s="475">
        <f t="shared" si="220"/>
        <v>235065</v>
      </c>
    </row>
    <row r="6047" spans="7:14" ht="11.25" customHeight="1" x14ac:dyDescent="0.3">
      <c r="G6047" s="470"/>
      <c r="H6047" s="470">
        <v>6040</v>
      </c>
      <c r="I6047" s="455">
        <f t="shared" ca="1" si="218"/>
        <v>3.2235396115764192E+16</v>
      </c>
      <c r="J6047" s="455">
        <f t="array" ref="J6047">IFERROR(INDEX('Retirement Calculator'!J:J,MATCH('Isaac 401k'!N6047,'Retirement Calculator'!A:A,0),0),0)</f>
        <v>0</v>
      </c>
      <c r="K6047" s="455">
        <f t="shared" ca="1" si="216"/>
        <v>134314150482350.8</v>
      </c>
      <c r="L6047" s="455">
        <f t="shared" ca="1" si="217"/>
        <v>3.2369710266246544E+16</v>
      </c>
      <c r="M6047" s="471">
        <f t="shared" si="219"/>
        <v>0.05</v>
      </c>
      <c r="N6047" s="475">
        <f t="shared" si="220"/>
        <v>235096</v>
      </c>
    </row>
    <row r="6048" spans="7:14" ht="11.25" customHeight="1" x14ac:dyDescent="0.3">
      <c r="G6048" s="470"/>
      <c r="H6048" s="470">
        <v>6041</v>
      </c>
      <c r="I6048" s="455">
        <f t="shared" ca="1" si="218"/>
        <v>3.2369710266246544E+16</v>
      </c>
      <c r="J6048" s="455">
        <f t="array" ref="J6048">IFERROR(INDEX('Retirement Calculator'!J:J,MATCH('Isaac 401k'!N6048,'Retirement Calculator'!A:A,0),0),0)</f>
        <v>0</v>
      </c>
      <c r="K6048" s="455">
        <f t="shared" ca="1" si="216"/>
        <v>134873792776027.28</v>
      </c>
      <c r="L6048" s="455">
        <f t="shared" ca="1" si="217"/>
        <v>3.2504584059022572E+16</v>
      </c>
      <c r="M6048" s="471">
        <f t="shared" si="219"/>
        <v>0.05</v>
      </c>
      <c r="N6048" s="475">
        <f t="shared" si="220"/>
        <v>235126</v>
      </c>
    </row>
    <row r="6049" spans="7:14" ht="11.25" customHeight="1" x14ac:dyDescent="0.3">
      <c r="G6049" s="470"/>
      <c r="H6049" s="470">
        <v>6042</v>
      </c>
      <c r="I6049" s="455">
        <f t="shared" ca="1" si="218"/>
        <v>3.2504584059022572E+16</v>
      </c>
      <c r="J6049" s="455">
        <f t="array" ref="J6049">IFERROR(INDEX('Retirement Calculator'!J:J,MATCH('Isaac 401k'!N6049,'Retirement Calculator'!A:A,0),0),0)</f>
        <v>0</v>
      </c>
      <c r="K6049" s="455">
        <f t="shared" ca="1" si="216"/>
        <v>135435766912594.03</v>
      </c>
      <c r="L6049" s="455">
        <f t="shared" ca="1" si="217"/>
        <v>3.2640019825935168E+16</v>
      </c>
      <c r="M6049" s="471">
        <f t="shared" si="219"/>
        <v>0.05</v>
      </c>
      <c r="N6049" s="475">
        <f t="shared" si="220"/>
        <v>235157</v>
      </c>
    </row>
    <row r="6050" spans="7:14" ht="11.25" customHeight="1" x14ac:dyDescent="0.3">
      <c r="G6050" s="470"/>
      <c r="H6050" s="470">
        <v>6043</v>
      </c>
      <c r="I6050" s="455">
        <f t="shared" ca="1" si="218"/>
        <v>3.2640019825935168E+16</v>
      </c>
      <c r="J6050" s="455">
        <f t="array" ref="J6050">IFERROR(INDEX('Retirement Calculator'!J:J,MATCH('Isaac 401k'!N6050,'Retirement Calculator'!A:A,0),0),0)</f>
        <v>0</v>
      </c>
      <c r="K6050" s="455">
        <f t="shared" ca="1" si="216"/>
        <v>136000082608063.2</v>
      </c>
      <c r="L6050" s="455">
        <f t="shared" ca="1" si="217"/>
        <v>3.2776019908543232E+16</v>
      </c>
      <c r="M6050" s="471">
        <f t="shared" si="219"/>
        <v>0.05</v>
      </c>
      <c r="N6050" s="475">
        <f t="shared" si="220"/>
        <v>235187</v>
      </c>
    </row>
    <row r="6051" spans="7:14" ht="11.25" customHeight="1" x14ac:dyDescent="0.3">
      <c r="G6051" s="470"/>
      <c r="H6051" s="470">
        <v>6044</v>
      </c>
      <c r="I6051" s="455">
        <f t="shared" ca="1" si="218"/>
        <v>3.2776019908543232E+16</v>
      </c>
      <c r="J6051" s="455">
        <f t="array" ref="J6051">IFERROR(INDEX('Retirement Calculator'!J:J,MATCH('Isaac 401k'!N6051,'Retirement Calculator'!A:A,0),0),0)</f>
        <v>0</v>
      </c>
      <c r="K6051" s="455">
        <f t="shared" ca="1" si="216"/>
        <v>136566749618930.13</v>
      </c>
      <c r="L6051" s="455">
        <f t="shared" ca="1" si="217"/>
        <v>3.2912586658162164E+16</v>
      </c>
      <c r="M6051" s="471">
        <f t="shared" si="219"/>
        <v>0.05</v>
      </c>
      <c r="N6051" s="475">
        <f t="shared" si="220"/>
        <v>235218</v>
      </c>
    </row>
    <row r="6052" spans="7:14" ht="11.25" customHeight="1" x14ac:dyDescent="0.3">
      <c r="G6052" s="470"/>
      <c r="H6052" s="470">
        <v>6045</v>
      </c>
      <c r="I6052" s="455">
        <f t="shared" ca="1" si="218"/>
        <v>3.2912586658162164E+16</v>
      </c>
      <c r="J6052" s="455">
        <f t="array" ref="J6052">IFERROR(INDEX('Retirement Calculator'!J:J,MATCH('Isaac 401k'!N6052,'Retirement Calculator'!A:A,0),0),0)</f>
        <v>0</v>
      </c>
      <c r="K6052" s="455">
        <f t="shared" ca="1" si="216"/>
        <v>137135777742342.34</v>
      </c>
      <c r="L6052" s="455">
        <f t="shared" ca="1" si="217"/>
        <v>3.3049722435904508E+16</v>
      </c>
      <c r="M6052" s="471">
        <f t="shared" si="219"/>
        <v>0.05</v>
      </c>
      <c r="N6052" s="475">
        <f t="shared" si="220"/>
        <v>235249</v>
      </c>
    </row>
    <row r="6053" spans="7:14" ht="11.25" customHeight="1" x14ac:dyDescent="0.3">
      <c r="G6053" s="470"/>
      <c r="H6053" s="470">
        <v>6046</v>
      </c>
      <c r="I6053" s="455">
        <f t="shared" ca="1" si="218"/>
        <v>3.3049722435904508E+16</v>
      </c>
      <c r="J6053" s="455">
        <f t="array" ref="J6053">IFERROR(INDEX('Retirement Calculator'!J:J,MATCH('Isaac 401k'!N6053,'Retirement Calculator'!A:A,0),0),0)</f>
        <v>0</v>
      </c>
      <c r="K6053" s="455">
        <f t="shared" ca="1" si="216"/>
        <v>137707176816268.78</v>
      </c>
      <c r="L6053" s="455">
        <f t="shared" ca="1" si="217"/>
        <v>3.3187429612720776E+16</v>
      </c>
      <c r="M6053" s="471">
        <f t="shared" si="219"/>
        <v>0.05</v>
      </c>
      <c r="N6053" s="475">
        <f t="shared" si="220"/>
        <v>235278</v>
      </c>
    </row>
    <row r="6054" spans="7:14" ht="11.25" customHeight="1" x14ac:dyDescent="0.3">
      <c r="G6054" s="470"/>
      <c r="H6054" s="470">
        <v>6047</v>
      </c>
      <c r="I6054" s="455">
        <f t="shared" ca="1" si="218"/>
        <v>3.3187429612720776E+16</v>
      </c>
      <c r="J6054" s="455">
        <f t="array" ref="J6054">IFERROR(INDEX('Retirement Calculator'!J:J,MATCH('Isaac 401k'!N6054,'Retirement Calculator'!A:A,0),0),0)</f>
        <v>0</v>
      </c>
      <c r="K6054" s="455">
        <f t="shared" ca="1" si="216"/>
        <v>138280956719669.92</v>
      </c>
      <c r="L6054" s="455">
        <f t="shared" ca="1" si="217"/>
        <v>3.3325710569440444E+16</v>
      </c>
      <c r="M6054" s="471">
        <f t="shared" si="219"/>
        <v>0.05</v>
      </c>
      <c r="N6054" s="475">
        <f t="shared" si="220"/>
        <v>235309</v>
      </c>
    </row>
    <row r="6055" spans="7:14" ht="11.25" customHeight="1" x14ac:dyDescent="0.3">
      <c r="G6055" s="470"/>
      <c r="H6055" s="470">
        <v>6048</v>
      </c>
      <c r="I6055" s="455">
        <f t="shared" ca="1" si="218"/>
        <v>3.3325710569440444E+16</v>
      </c>
      <c r="J6055" s="455">
        <f t="array" ref="J6055">IFERROR(INDEX('Retirement Calculator'!J:J,MATCH('Isaac 401k'!N6055,'Retirement Calculator'!A:A,0),0),0)</f>
        <v>0</v>
      </c>
      <c r="K6055" s="455">
        <f t="shared" ca="1" si="216"/>
        <v>138857127372668.52</v>
      </c>
      <c r="L6055" s="455">
        <f t="shared" ca="1" si="217"/>
        <v>3.3464567696813112E+16</v>
      </c>
      <c r="M6055" s="471">
        <f t="shared" si="219"/>
        <v>0.05</v>
      </c>
      <c r="N6055" s="475">
        <f t="shared" si="220"/>
        <v>235339</v>
      </c>
    </row>
    <row r="6056" spans="7:14" ht="11.25" customHeight="1" x14ac:dyDescent="0.3">
      <c r="G6056" s="470"/>
      <c r="H6056" s="470">
        <v>6049</v>
      </c>
      <c r="I6056" s="455">
        <f t="shared" ca="1" si="218"/>
        <v>3.3464567696813112E+16</v>
      </c>
      <c r="J6056" s="455">
        <f t="array" ref="J6056">IFERROR(INDEX('Retirement Calculator'!J:J,MATCH('Isaac 401k'!N6056,'Retirement Calculator'!A:A,0),0),0)</f>
        <v>0</v>
      </c>
      <c r="K6056" s="455">
        <f t="shared" ca="1" si="216"/>
        <v>139435698736721.3</v>
      </c>
      <c r="L6056" s="455">
        <f t="shared" ca="1" si="217"/>
        <v>3.3604003395549832E+16</v>
      </c>
      <c r="M6056" s="471">
        <f t="shared" si="219"/>
        <v>0.05</v>
      </c>
      <c r="N6056" s="475">
        <f t="shared" si="220"/>
        <v>235370</v>
      </c>
    </row>
    <row r="6057" spans="7:14" ht="11.25" customHeight="1" x14ac:dyDescent="0.3">
      <c r="G6057" s="470"/>
      <c r="H6057" s="470">
        <v>6050</v>
      </c>
      <c r="I6057" s="455">
        <f t="shared" ca="1" si="218"/>
        <v>3.3604003395549832E+16</v>
      </c>
      <c r="J6057" s="455">
        <f t="array" ref="J6057">IFERROR(INDEX('Retirement Calculator'!J:J,MATCH('Isaac 401k'!N6057,'Retirement Calculator'!A:A,0),0),0)</f>
        <v>0</v>
      </c>
      <c r="K6057" s="455">
        <f t="shared" ca="1" si="216"/>
        <v>140016680814790.98</v>
      </c>
      <c r="L6057" s="455">
        <f t="shared" ca="1" si="217"/>
        <v>3.3744020076364624E+16</v>
      </c>
      <c r="M6057" s="471">
        <f t="shared" si="219"/>
        <v>0.05</v>
      </c>
      <c r="N6057" s="475">
        <f t="shared" si="220"/>
        <v>235400</v>
      </c>
    </row>
    <row r="6058" spans="7:14" ht="11.25" customHeight="1" x14ac:dyDescent="0.3">
      <c r="G6058" s="470"/>
      <c r="H6058" s="470">
        <v>6051</v>
      </c>
      <c r="I6058" s="455">
        <f t="shared" ca="1" si="218"/>
        <v>3.3744020076364624E+16</v>
      </c>
      <c r="J6058" s="455">
        <f t="array" ref="J6058">IFERROR(INDEX('Retirement Calculator'!J:J,MATCH('Isaac 401k'!N6058,'Retirement Calculator'!A:A,0),0),0)</f>
        <v>0</v>
      </c>
      <c r="K6058" s="455">
        <f t="shared" ca="1" si="216"/>
        <v>140600083651519.27</v>
      </c>
      <c r="L6058" s="455">
        <f t="shared" ca="1" si="217"/>
        <v>3.3884620160016144E+16</v>
      </c>
      <c r="M6058" s="471">
        <f t="shared" si="219"/>
        <v>0.05</v>
      </c>
      <c r="N6058" s="475">
        <f t="shared" si="220"/>
        <v>235431</v>
      </c>
    </row>
    <row r="6059" spans="7:14" ht="11.25" customHeight="1" x14ac:dyDescent="0.3">
      <c r="G6059" s="470"/>
      <c r="H6059" s="470">
        <v>6052</v>
      </c>
      <c r="I6059" s="455">
        <f t="shared" ca="1" si="218"/>
        <v>3.3884620160016144E+16</v>
      </c>
      <c r="J6059" s="455">
        <f t="array" ref="J6059">IFERROR(INDEX('Retirement Calculator'!J:J,MATCH('Isaac 401k'!N6059,'Retirement Calculator'!A:A,0),0),0)</f>
        <v>0</v>
      </c>
      <c r="K6059" s="455">
        <f t="shared" ca="1" si="216"/>
        <v>141185917333400.59</v>
      </c>
      <c r="L6059" s="455">
        <f t="shared" ca="1" si="217"/>
        <v>3.4025806077349544E+16</v>
      </c>
      <c r="M6059" s="471">
        <f t="shared" si="219"/>
        <v>0.05</v>
      </c>
      <c r="N6059" s="475">
        <f t="shared" si="220"/>
        <v>235462</v>
      </c>
    </row>
    <row r="6060" spans="7:14" ht="11.25" customHeight="1" x14ac:dyDescent="0.3">
      <c r="G6060" s="470"/>
      <c r="H6060" s="470">
        <v>6053</v>
      </c>
      <c r="I6060" s="455">
        <f t="shared" ca="1" si="218"/>
        <v>3.4025806077349544E+16</v>
      </c>
      <c r="J6060" s="455">
        <f t="array" ref="J6060">IFERROR(INDEX('Retirement Calculator'!J:J,MATCH('Isaac 401k'!N6060,'Retirement Calculator'!A:A,0),0),0)</f>
        <v>0</v>
      </c>
      <c r="K6060" s="455">
        <f t="shared" ca="1" si="216"/>
        <v>141774191988956.44</v>
      </c>
      <c r="L6060" s="455">
        <f t="shared" ca="1" si="217"/>
        <v>3.41675802693385E+16</v>
      </c>
      <c r="M6060" s="471">
        <f t="shared" si="219"/>
        <v>0.05</v>
      </c>
      <c r="N6060" s="475">
        <f t="shared" si="220"/>
        <v>235492</v>
      </c>
    </row>
    <row r="6061" spans="7:14" ht="11.25" customHeight="1" x14ac:dyDescent="0.3">
      <c r="G6061" s="470"/>
      <c r="H6061" s="470">
        <v>6054</v>
      </c>
      <c r="I6061" s="455">
        <f t="shared" ca="1" si="218"/>
        <v>3.41675802693385E+16</v>
      </c>
      <c r="J6061" s="455">
        <f t="array" ref="J6061">IFERROR(INDEX('Retirement Calculator'!J:J,MATCH('Isaac 401k'!N6061,'Retirement Calculator'!A:A,0),0),0)</f>
        <v>0</v>
      </c>
      <c r="K6061" s="455">
        <f t="shared" ca="1" si="216"/>
        <v>142364917788910.41</v>
      </c>
      <c r="L6061" s="455">
        <f t="shared" ca="1" si="217"/>
        <v>3.4309945187127412E+16</v>
      </c>
      <c r="M6061" s="471">
        <f t="shared" si="219"/>
        <v>0.05</v>
      </c>
      <c r="N6061" s="475">
        <f t="shared" si="220"/>
        <v>235523</v>
      </c>
    </row>
    <row r="6062" spans="7:14" ht="11.25" customHeight="1" x14ac:dyDescent="0.3">
      <c r="G6062" s="470"/>
      <c r="H6062" s="470">
        <v>6055</v>
      </c>
      <c r="I6062" s="455">
        <f t="shared" ca="1" si="218"/>
        <v>3.4309945187127412E+16</v>
      </c>
      <c r="J6062" s="455">
        <f t="array" ref="J6062">IFERROR(INDEX('Retirement Calculator'!J:J,MATCH('Isaac 401k'!N6062,'Retirement Calculator'!A:A,0),0),0)</f>
        <v>0</v>
      </c>
      <c r="K6062" s="455">
        <f t="shared" ca="1" si="216"/>
        <v>142958104946364.22</v>
      </c>
      <c r="L6062" s="455">
        <f t="shared" ca="1" si="217"/>
        <v>3.4452903292073776E+16</v>
      </c>
      <c r="M6062" s="471">
        <f t="shared" si="219"/>
        <v>0.05</v>
      </c>
      <c r="N6062" s="475">
        <f t="shared" si="220"/>
        <v>235553</v>
      </c>
    </row>
    <row r="6063" spans="7:14" ht="11.25" customHeight="1" x14ac:dyDescent="0.3">
      <c r="G6063" s="470"/>
      <c r="H6063" s="470">
        <v>6056</v>
      </c>
      <c r="I6063" s="455">
        <f t="shared" ca="1" si="218"/>
        <v>3.4452903292073776E+16</v>
      </c>
      <c r="J6063" s="455">
        <f t="array" ref="J6063">IFERROR(INDEX('Retirement Calculator'!J:J,MATCH('Isaac 401k'!N6063,'Retirement Calculator'!A:A,0),0),0)</f>
        <v>0</v>
      </c>
      <c r="K6063" s="455">
        <f t="shared" ca="1" si="216"/>
        <v>143553763716974.06</v>
      </c>
      <c r="L6063" s="455">
        <f t="shared" ca="1" si="217"/>
        <v>3.4596457055790752E+16</v>
      </c>
      <c r="M6063" s="471">
        <f t="shared" si="219"/>
        <v>0.05</v>
      </c>
      <c r="N6063" s="475">
        <f t="shared" si="220"/>
        <v>235584</v>
      </c>
    </row>
    <row r="6064" spans="7:14" ht="11.25" customHeight="1" x14ac:dyDescent="0.3">
      <c r="G6064" s="470"/>
      <c r="H6064" s="470">
        <v>6057</v>
      </c>
      <c r="I6064" s="455">
        <f t="shared" ca="1" si="218"/>
        <v>3.4596457055790752E+16</v>
      </c>
      <c r="J6064" s="455">
        <f t="array" ref="J6064">IFERROR(INDEX('Retirement Calculator'!J:J,MATCH('Isaac 401k'!N6064,'Retirement Calculator'!A:A,0),0),0)</f>
        <v>0</v>
      </c>
      <c r="K6064" s="455">
        <f t="shared" ca="1" si="216"/>
        <v>144151904399128.13</v>
      </c>
      <c r="L6064" s="455">
        <f t="shared" ca="1" si="217"/>
        <v>3.474060896018988E+16</v>
      </c>
      <c r="M6064" s="471">
        <f t="shared" si="219"/>
        <v>0.05</v>
      </c>
      <c r="N6064" s="475">
        <f t="shared" si="220"/>
        <v>235615</v>
      </c>
    </row>
    <row r="6065" spans="7:14" ht="11.25" customHeight="1" x14ac:dyDescent="0.3">
      <c r="G6065" s="470"/>
      <c r="H6065" s="470">
        <v>6058</v>
      </c>
      <c r="I6065" s="455">
        <f t="shared" ca="1" si="218"/>
        <v>3.474060896018988E+16</v>
      </c>
      <c r="J6065" s="455">
        <f t="array" ref="J6065">IFERROR(INDEX('Retirement Calculator'!J:J,MATCH('Isaac 401k'!N6065,'Retirement Calculator'!A:A,0),0),0)</f>
        <v>0</v>
      </c>
      <c r="K6065" s="455">
        <f t="shared" ca="1" si="216"/>
        <v>144752537334124.5</v>
      </c>
      <c r="L6065" s="455">
        <f t="shared" ca="1" si="217"/>
        <v>3.4885361497524004E+16</v>
      </c>
      <c r="M6065" s="471">
        <f t="shared" si="219"/>
        <v>0.05</v>
      </c>
      <c r="N6065" s="475">
        <f t="shared" si="220"/>
        <v>235643</v>
      </c>
    </row>
    <row r="6066" spans="7:14" ht="11.25" customHeight="1" x14ac:dyDescent="0.3">
      <c r="G6066" s="470"/>
      <c r="H6066" s="470">
        <v>6059</v>
      </c>
      <c r="I6066" s="455">
        <f t="shared" ca="1" si="218"/>
        <v>3.4885361497524004E+16</v>
      </c>
      <c r="J6066" s="455">
        <f t="array" ref="J6066">IFERROR(INDEX('Retirement Calculator'!J:J,MATCH('Isaac 401k'!N6066,'Retirement Calculator'!A:A,0),0),0)</f>
        <v>0</v>
      </c>
      <c r="K6066" s="455">
        <f t="shared" ca="1" si="216"/>
        <v>145355672906350</v>
      </c>
      <c r="L6066" s="455">
        <f t="shared" ca="1" si="217"/>
        <v>3.5030717170430352E+16</v>
      </c>
      <c r="M6066" s="471">
        <f t="shared" si="219"/>
        <v>0.05</v>
      </c>
      <c r="N6066" s="475">
        <f t="shared" si="220"/>
        <v>235674</v>
      </c>
    </row>
    <row r="6067" spans="7:14" ht="11.25" customHeight="1" x14ac:dyDescent="0.3">
      <c r="G6067" s="470"/>
      <c r="H6067" s="470">
        <v>6060</v>
      </c>
      <c r="I6067" s="455">
        <f t="shared" ca="1" si="218"/>
        <v>3.5030717170430352E+16</v>
      </c>
      <c r="J6067" s="455">
        <f t="array" ref="J6067">IFERROR(INDEX('Retirement Calculator'!J:J,MATCH('Isaac 401k'!N6067,'Retirement Calculator'!A:A,0),0),0)</f>
        <v>0</v>
      </c>
      <c r="K6067" s="455">
        <f t="shared" ca="1" si="216"/>
        <v>145961321543459.78</v>
      </c>
      <c r="L6067" s="455">
        <f t="shared" ca="1" si="217"/>
        <v>3.5176678491973812E+16</v>
      </c>
      <c r="M6067" s="471">
        <f t="shared" si="219"/>
        <v>0.05</v>
      </c>
      <c r="N6067" s="475">
        <f t="shared" si="220"/>
        <v>235704</v>
      </c>
    </row>
    <row r="6068" spans="7:14" ht="11.25" customHeight="1" x14ac:dyDescent="0.3">
      <c r="G6068" s="470"/>
      <c r="H6068" s="470">
        <v>6061</v>
      </c>
      <c r="I6068" s="455">
        <f t="shared" ca="1" si="218"/>
        <v>3.5176678491973812E+16</v>
      </c>
      <c r="J6068" s="455">
        <f t="array" ref="J6068">IFERROR(INDEX('Retirement Calculator'!J:J,MATCH('Isaac 401k'!N6068,'Retirement Calculator'!A:A,0),0),0)</f>
        <v>0</v>
      </c>
      <c r="K6068" s="455">
        <f t="shared" ca="1" si="216"/>
        <v>146569493716557.56</v>
      </c>
      <c r="L6068" s="455">
        <f t="shared" ca="1" si="217"/>
        <v>3.5323247985690368E+16</v>
      </c>
      <c r="M6068" s="471">
        <f t="shared" si="219"/>
        <v>0.05</v>
      </c>
      <c r="N6068" s="475">
        <f t="shared" si="220"/>
        <v>235735</v>
      </c>
    </row>
    <row r="6069" spans="7:14" ht="11.25" customHeight="1" x14ac:dyDescent="0.3">
      <c r="G6069" s="470"/>
      <c r="H6069" s="470">
        <v>6062</v>
      </c>
      <c r="I6069" s="455">
        <f t="shared" ca="1" si="218"/>
        <v>3.5323247985690368E+16</v>
      </c>
      <c r="J6069" s="455">
        <f t="array" ref="J6069">IFERROR(INDEX('Retirement Calculator'!J:J,MATCH('Isaac 401k'!N6069,'Retirement Calculator'!A:A,0),0),0)</f>
        <v>0</v>
      </c>
      <c r="K6069" s="455">
        <f t="shared" ca="1" si="216"/>
        <v>147180199940376.53</v>
      </c>
      <c r="L6069" s="455">
        <f t="shared" ca="1" si="217"/>
        <v>3.5470428185630744E+16</v>
      </c>
      <c r="M6069" s="471">
        <f t="shared" si="219"/>
        <v>0.05</v>
      </c>
      <c r="N6069" s="475">
        <f t="shared" si="220"/>
        <v>235765</v>
      </c>
    </row>
    <row r="6070" spans="7:14" ht="11.25" customHeight="1" x14ac:dyDescent="0.3">
      <c r="G6070" s="470"/>
      <c r="H6070" s="470">
        <v>6063</v>
      </c>
      <c r="I6070" s="455">
        <f t="shared" ca="1" si="218"/>
        <v>3.5470428185630744E+16</v>
      </c>
      <c r="J6070" s="455">
        <f t="array" ref="J6070">IFERROR(INDEX('Retirement Calculator'!J:J,MATCH('Isaac 401k'!N6070,'Retirement Calculator'!A:A,0),0),0)</f>
        <v>0</v>
      </c>
      <c r="K6070" s="455">
        <f t="shared" ca="1" si="216"/>
        <v>147793450773461.44</v>
      </c>
      <c r="L6070" s="455">
        <f t="shared" ca="1" si="217"/>
        <v>3.5618221636404204E+16</v>
      </c>
      <c r="M6070" s="471">
        <f t="shared" si="219"/>
        <v>0.05</v>
      </c>
      <c r="N6070" s="475">
        <f t="shared" si="220"/>
        <v>235796</v>
      </c>
    </row>
    <row r="6071" spans="7:14" ht="11.25" customHeight="1" x14ac:dyDescent="0.3">
      <c r="G6071" s="470"/>
      <c r="H6071" s="470">
        <v>6064</v>
      </c>
      <c r="I6071" s="455">
        <f t="shared" ca="1" si="218"/>
        <v>3.5618221636404204E+16</v>
      </c>
      <c r="J6071" s="455">
        <f t="array" ref="J6071">IFERROR(INDEX('Retirement Calculator'!J:J,MATCH('Isaac 401k'!N6071,'Retirement Calculator'!A:A,0),0),0)</f>
        <v>0</v>
      </c>
      <c r="K6071" s="455">
        <f t="shared" ca="1" si="216"/>
        <v>148409256818350.84</v>
      </c>
      <c r="L6071" s="455">
        <f t="shared" ca="1" si="217"/>
        <v>3.5766630893222556E+16</v>
      </c>
      <c r="M6071" s="471">
        <f t="shared" si="219"/>
        <v>0.05</v>
      </c>
      <c r="N6071" s="475">
        <f t="shared" si="220"/>
        <v>235827</v>
      </c>
    </row>
    <row r="6072" spans="7:14" ht="11.25" customHeight="1" x14ac:dyDescent="0.3">
      <c r="G6072" s="470"/>
      <c r="H6072" s="470">
        <v>6065</v>
      </c>
      <c r="I6072" s="455">
        <f t="shared" ca="1" si="218"/>
        <v>3.5766630893222556E+16</v>
      </c>
      <c r="J6072" s="455">
        <f t="array" ref="J6072">IFERROR(INDEX('Retirement Calculator'!J:J,MATCH('Isaac 401k'!N6072,'Retirement Calculator'!A:A,0),0),0)</f>
        <v>0</v>
      </c>
      <c r="K6072" s="455">
        <f t="shared" ca="1" si="216"/>
        <v>149027628721760.66</v>
      </c>
      <c r="L6072" s="455">
        <f t="shared" ca="1" si="217"/>
        <v>3.5915658521944316E+16</v>
      </c>
      <c r="M6072" s="471">
        <f t="shared" si="219"/>
        <v>0.05</v>
      </c>
      <c r="N6072" s="475">
        <f t="shared" si="220"/>
        <v>235857</v>
      </c>
    </row>
    <row r="6073" spans="7:14" ht="11.25" customHeight="1" x14ac:dyDescent="0.3">
      <c r="G6073" s="470"/>
      <c r="H6073" s="470">
        <v>6066</v>
      </c>
      <c r="I6073" s="455">
        <f t="shared" ca="1" si="218"/>
        <v>3.5915658521944316E+16</v>
      </c>
      <c r="J6073" s="455">
        <f t="array" ref="J6073">IFERROR(INDEX('Retirement Calculator'!J:J,MATCH('Isaac 401k'!N6073,'Retirement Calculator'!A:A,0),0),0)</f>
        <v>0</v>
      </c>
      <c r="K6073" s="455">
        <f t="shared" ca="1" si="216"/>
        <v>149648577174768</v>
      </c>
      <c r="L6073" s="455">
        <f t="shared" ca="1" si="217"/>
        <v>3.6065307099119088E+16</v>
      </c>
      <c r="M6073" s="471">
        <f t="shared" si="219"/>
        <v>0.05</v>
      </c>
      <c r="N6073" s="475">
        <f t="shared" si="220"/>
        <v>235888</v>
      </c>
    </row>
    <row r="6074" spans="7:14" ht="11.25" customHeight="1" x14ac:dyDescent="0.3">
      <c r="G6074" s="470"/>
      <c r="H6074" s="470">
        <v>6067</v>
      </c>
      <c r="I6074" s="455">
        <f t="shared" ca="1" si="218"/>
        <v>3.6065307099119088E+16</v>
      </c>
      <c r="J6074" s="455">
        <f t="array" ref="J6074">IFERROR(INDEX('Retirement Calculator'!J:J,MATCH('Isaac 401k'!N6074,'Retirement Calculator'!A:A,0),0),0)</f>
        <v>0</v>
      </c>
      <c r="K6074" s="455">
        <f t="shared" ca="1" si="216"/>
        <v>150272112912996.19</v>
      </c>
      <c r="L6074" s="455">
        <f t="shared" ca="1" si="217"/>
        <v>3.6215579212032088E+16</v>
      </c>
      <c r="M6074" s="471">
        <f t="shared" si="219"/>
        <v>0.05</v>
      </c>
      <c r="N6074" s="475">
        <f t="shared" si="220"/>
        <v>235918</v>
      </c>
    </row>
    <row r="6075" spans="7:14" ht="11.25" customHeight="1" x14ac:dyDescent="0.3">
      <c r="G6075" s="470"/>
      <c r="H6075" s="470">
        <v>6068</v>
      </c>
      <c r="I6075" s="455">
        <f t="shared" ca="1" si="218"/>
        <v>3.6215579212032088E+16</v>
      </c>
      <c r="J6075" s="455">
        <f t="array" ref="J6075">IFERROR(INDEX('Retirement Calculator'!J:J,MATCH('Isaac 401k'!N6075,'Retirement Calculator'!A:A,0),0),0)</f>
        <v>0</v>
      </c>
      <c r="K6075" s="455">
        <f t="shared" ca="1" si="216"/>
        <v>150898246716800.38</v>
      </c>
      <c r="L6075" s="455">
        <f t="shared" ca="1" si="217"/>
        <v>3.6366477458748888E+16</v>
      </c>
      <c r="M6075" s="471">
        <f t="shared" si="219"/>
        <v>0.05</v>
      </c>
      <c r="N6075" s="475">
        <f t="shared" si="220"/>
        <v>235949</v>
      </c>
    </row>
    <row r="6076" spans="7:14" ht="11.25" customHeight="1" x14ac:dyDescent="0.3">
      <c r="G6076" s="470"/>
      <c r="H6076" s="470">
        <v>6069</v>
      </c>
      <c r="I6076" s="455">
        <f t="shared" ca="1" si="218"/>
        <v>3.6366477458748888E+16</v>
      </c>
      <c r="J6076" s="455">
        <f t="array" ref="J6076">IFERROR(INDEX('Retirement Calculator'!J:J,MATCH('Isaac 401k'!N6076,'Retirement Calculator'!A:A,0),0),0)</f>
        <v>0</v>
      </c>
      <c r="K6076" s="455">
        <f t="shared" ca="1" si="216"/>
        <v>151526989411453.69</v>
      </c>
      <c r="L6076" s="455">
        <f t="shared" ca="1" si="217"/>
        <v>3.6518004448160344E+16</v>
      </c>
      <c r="M6076" s="471">
        <f t="shared" si="219"/>
        <v>0.05</v>
      </c>
      <c r="N6076" s="475">
        <f t="shared" si="220"/>
        <v>235980</v>
      </c>
    </row>
    <row r="6077" spans="7:14" ht="11.25" customHeight="1" x14ac:dyDescent="0.3">
      <c r="G6077" s="470"/>
      <c r="H6077" s="470">
        <v>6070</v>
      </c>
      <c r="I6077" s="455">
        <f t="shared" ca="1" si="218"/>
        <v>3.6518004448160344E+16</v>
      </c>
      <c r="J6077" s="455">
        <f t="array" ref="J6077">IFERROR(INDEX('Retirement Calculator'!J:J,MATCH('Isaac 401k'!N6077,'Retirement Calculator'!A:A,0),0),0)</f>
        <v>0</v>
      </c>
      <c r="K6077" s="455">
        <f t="shared" ca="1" si="216"/>
        <v>152158351867334.75</v>
      </c>
      <c r="L6077" s="455">
        <f t="shared" ca="1" si="217"/>
        <v>3.667016280002768E+16</v>
      </c>
      <c r="M6077" s="471">
        <f t="shared" si="219"/>
        <v>0.05</v>
      </c>
      <c r="N6077" s="475">
        <f t="shared" si="220"/>
        <v>236008</v>
      </c>
    </row>
    <row r="6078" spans="7:14" ht="11.25" customHeight="1" x14ac:dyDescent="0.3">
      <c r="G6078" s="470"/>
      <c r="H6078" s="470">
        <v>6071</v>
      </c>
      <c r="I6078" s="455">
        <f t="shared" ca="1" si="218"/>
        <v>3.667016280002768E+16</v>
      </c>
      <c r="J6078" s="455">
        <f t="array" ref="J6078">IFERROR(INDEX('Retirement Calculator'!J:J,MATCH('Isaac 401k'!N6078,'Retirement Calculator'!A:A,0),0),0)</f>
        <v>0</v>
      </c>
      <c r="K6078" s="455">
        <f t="shared" ca="1" si="216"/>
        <v>152792345000115.34</v>
      </c>
      <c r="L6078" s="455">
        <f t="shared" ca="1" si="217"/>
        <v>3.6822955145027792E+16</v>
      </c>
      <c r="M6078" s="471">
        <f t="shared" si="219"/>
        <v>0.05</v>
      </c>
      <c r="N6078" s="475">
        <f t="shared" si="220"/>
        <v>236039</v>
      </c>
    </row>
    <row r="6079" spans="7:14" ht="11.25" customHeight="1" x14ac:dyDescent="0.3">
      <c r="G6079" s="470"/>
      <c r="H6079" s="470">
        <v>6072</v>
      </c>
      <c r="I6079" s="455">
        <f t="shared" ca="1" si="218"/>
        <v>3.6822955145027792E+16</v>
      </c>
      <c r="J6079" s="455">
        <f t="array" ref="J6079">IFERROR(INDEX('Retirement Calculator'!J:J,MATCH('Isaac 401k'!N6079,'Retirement Calculator'!A:A,0),0),0)</f>
        <v>0</v>
      </c>
      <c r="K6079" s="455">
        <f t="shared" ca="1" si="216"/>
        <v>153428979770949.13</v>
      </c>
      <c r="L6079" s="455">
        <f t="shared" ca="1" si="217"/>
        <v>3.6976384124798744E+16</v>
      </c>
      <c r="M6079" s="471">
        <f t="shared" si="219"/>
        <v>0.05</v>
      </c>
      <c r="N6079" s="475">
        <f t="shared" si="220"/>
        <v>236069</v>
      </c>
    </row>
    <row r="6080" spans="7:14" ht="11.25" customHeight="1" x14ac:dyDescent="0.3">
      <c r="G6080" s="470"/>
      <c r="H6080" s="470">
        <v>6073</v>
      </c>
      <c r="I6080" s="455">
        <f t="shared" ca="1" si="218"/>
        <v>3.6976384124798744E+16</v>
      </c>
      <c r="J6080" s="455">
        <f t="array" ref="J6080">IFERROR(INDEX('Retirement Calculator'!J:J,MATCH('Isaac 401k'!N6080,'Retirement Calculator'!A:A,0),0),0)</f>
        <v>0</v>
      </c>
      <c r="K6080" s="455">
        <f t="shared" ca="1" si="216"/>
        <v>154068267186661.44</v>
      </c>
      <c r="L6080" s="455">
        <f t="shared" ca="1" si="217"/>
        <v>3.7130452391985408E+16</v>
      </c>
      <c r="M6080" s="471">
        <f t="shared" si="219"/>
        <v>0.05</v>
      </c>
      <c r="N6080" s="475">
        <f t="shared" si="220"/>
        <v>236100</v>
      </c>
    </row>
    <row r="6081" spans="7:14" ht="11.25" customHeight="1" x14ac:dyDescent="0.3">
      <c r="G6081" s="470"/>
      <c r="H6081" s="470">
        <v>6074</v>
      </c>
      <c r="I6081" s="455">
        <f t="shared" ca="1" si="218"/>
        <v>3.7130452391985408E+16</v>
      </c>
      <c r="J6081" s="455">
        <f t="array" ref="J6081">IFERROR(INDEX('Retirement Calculator'!J:J,MATCH('Isaac 401k'!N6081,'Retirement Calculator'!A:A,0),0),0)</f>
        <v>0</v>
      </c>
      <c r="K6081" s="455">
        <f t="shared" ca="1" si="216"/>
        <v>154710218299939.19</v>
      </c>
      <c r="L6081" s="455">
        <f t="shared" ca="1" si="217"/>
        <v>3.7285162610285344E+16</v>
      </c>
      <c r="M6081" s="471">
        <f t="shared" si="219"/>
        <v>0.05</v>
      </c>
      <c r="N6081" s="475">
        <f t="shared" si="220"/>
        <v>236130</v>
      </c>
    </row>
    <row r="6082" spans="7:14" ht="11.25" customHeight="1" x14ac:dyDescent="0.3">
      <c r="G6082" s="470"/>
      <c r="H6082" s="470">
        <v>6075</v>
      </c>
      <c r="I6082" s="455">
        <f t="shared" ca="1" si="218"/>
        <v>3.7285162610285344E+16</v>
      </c>
      <c r="J6082" s="455">
        <f t="array" ref="J6082">IFERROR(INDEX('Retirement Calculator'!J:J,MATCH('Isaac 401k'!N6082,'Retirement Calculator'!A:A,0),0),0)</f>
        <v>0</v>
      </c>
      <c r="K6082" s="455">
        <f t="shared" ca="1" si="216"/>
        <v>155354844209522.25</v>
      </c>
      <c r="L6082" s="455">
        <f t="shared" ca="1" si="217"/>
        <v>3.7440517454494864E+16</v>
      </c>
      <c r="M6082" s="471">
        <f t="shared" si="219"/>
        <v>0.05</v>
      </c>
      <c r="N6082" s="475">
        <f t="shared" si="220"/>
        <v>236161</v>
      </c>
    </row>
    <row r="6083" spans="7:14" ht="11.25" customHeight="1" x14ac:dyDescent="0.3">
      <c r="G6083" s="470"/>
      <c r="H6083" s="470">
        <v>6076</v>
      </c>
      <c r="I6083" s="455">
        <f t="shared" ca="1" si="218"/>
        <v>3.7440517454494864E+16</v>
      </c>
      <c r="J6083" s="455">
        <f t="array" ref="J6083">IFERROR(INDEX('Retirement Calculator'!J:J,MATCH('Isaac 401k'!N6083,'Retirement Calculator'!A:A,0),0),0)</f>
        <v>0</v>
      </c>
      <c r="K6083" s="455">
        <f t="shared" ca="1" si="216"/>
        <v>156002156060395.25</v>
      </c>
      <c r="L6083" s="455">
        <f t="shared" ca="1" si="217"/>
        <v>3.7596519610555256E+16</v>
      </c>
      <c r="M6083" s="471">
        <f t="shared" si="219"/>
        <v>0.05</v>
      </c>
      <c r="N6083" s="475">
        <f t="shared" si="220"/>
        <v>236192</v>
      </c>
    </row>
    <row r="6084" spans="7:14" ht="11.25" customHeight="1" x14ac:dyDescent="0.3">
      <c r="G6084" s="470"/>
      <c r="H6084" s="470">
        <v>6077</v>
      </c>
      <c r="I6084" s="455">
        <f t="shared" ca="1" si="218"/>
        <v>3.7596519610555256E+16</v>
      </c>
      <c r="J6084" s="455">
        <f t="array" ref="J6084">IFERROR(INDEX('Retirement Calculator'!J:J,MATCH('Isaac 401k'!N6084,'Retirement Calculator'!A:A,0),0),0)</f>
        <v>0</v>
      </c>
      <c r="K6084" s="455">
        <f t="shared" ca="1" si="216"/>
        <v>156652165043980.22</v>
      </c>
      <c r="L6084" s="455">
        <f t="shared" ca="1" si="217"/>
        <v>3.775317177559924E+16</v>
      </c>
      <c r="M6084" s="471">
        <f t="shared" si="219"/>
        <v>0.05</v>
      </c>
      <c r="N6084" s="475">
        <f t="shared" si="220"/>
        <v>236222</v>
      </c>
    </row>
    <row r="6085" spans="7:14" ht="11.25" customHeight="1" x14ac:dyDescent="0.3">
      <c r="G6085" s="470"/>
      <c r="H6085" s="470">
        <v>6078</v>
      </c>
      <c r="I6085" s="455">
        <f t="shared" ca="1" si="218"/>
        <v>3.775317177559924E+16</v>
      </c>
      <c r="J6085" s="455">
        <f t="array" ref="J6085">IFERROR(INDEX('Retirement Calculator'!J:J,MATCH('Isaac 401k'!N6085,'Retirement Calculator'!A:A,0),0),0)</f>
        <v>0</v>
      </c>
      <c r="K6085" s="455">
        <f t="shared" ca="1" si="216"/>
        <v>157304882398330.16</v>
      </c>
      <c r="L6085" s="455">
        <f t="shared" ca="1" si="217"/>
        <v>3.7910476657997568E+16</v>
      </c>
      <c r="M6085" s="471">
        <f t="shared" si="219"/>
        <v>0.05</v>
      </c>
      <c r="N6085" s="475">
        <f t="shared" si="220"/>
        <v>236253</v>
      </c>
    </row>
    <row r="6086" spans="7:14" ht="11.25" customHeight="1" x14ac:dyDescent="0.3">
      <c r="G6086" s="470"/>
      <c r="H6086" s="470">
        <v>6079</v>
      </c>
      <c r="I6086" s="455">
        <f t="shared" ca="1" si="218"/>
        <v>3.7910476657997568E+16</v>
      </c>
      <c r="J6086" s="455">
        <f t="array" ref="J6086">IFERROR(INDEX('Retirement Calculator'!J:J,MATCH('Isaac 401k'!N6086,'Retirement Calculator'!A:A,0),0),0)</f>
        <v>0</v>
      </c>
      <c r="K6086" s="455">
        <f t="shared" ca="1" si="216"/>
        <v>157960319408323.19</v>
      </c>
      <c r="L6086" s="455">
        <f t="shared" ca="1" si="217"/>
        <v>3.8068436977405888E+16</v>
      </c>
      <c r="M6086" s="471">
        <f t="shared" si="219"/>
        <v>0.05</v>
      </c>
      <c r="N6086" s="475">
        <f t="shared" si="220"/>
        <v>236283</v>
      </c>
    </row>
    <row r="6087" spans="7:14" ht="11.25" customHeight="1" x14ac:dyDescent="0.3">
      <c r="G6087" s="470"/>
      <c r="H6087" s="470">
        <v>6080</v>
      </c>
      <c r="I6087" s="455">
        <f t="shared" ca="1" si="218"/>
        <v>3.8068436977405888E+16</v>
      </c>
      <c r="J6087" s="455">
        <f t="array" ref="J6087">IFERROR(INDEX('Retirement Calculator'!J:J,MATCH('Isaac 401k'!N6087,'Retirement Calculator'!A:A,0),0),0)</f>
        <v>0</v>
      </c>
      <c r="K6087" s="455">
        <f t="shared" ca="1" si="216"/>
        <v>158618487405857.88</v>
      </c>
      <c r="L6087" s="455">
        <f t="shared" ca="1" si="217"/>
        <v>3.8227055464811744E+16</v>
      </c>
      <c r="M6087" s="471">
        <f t="shared" si="219"/>
        <v>0.05</v>
      </c>
      <c r="N6087" s="475">
        <f t="shared" si="220"/>
        <v>236314</v>
      </c>
    </row>
    <row r="6088" spans="7:14" ht="11.25" customHeight="1" x14ac:dyDescent="0.3">
      <c r="G6088" s="470"/>
      <c r="H6088" s="470">
        <v>6081</v>
      </c>
      <c r="I6088" s="455">
        <f t="shared" ca="1" si="218"/>
        <v>3.8227055464811744E+16</v>
      </c>
      <c r="J6088" s="455">
        <f t="array" ref="J6088">IFERROR(INDEX('Retirement Calculator'!J:J,MATCH('Isaac 401k'!N6088,'Retirement Calculator'!A:A,0),0),0)</f>
        <v>0</v>
      </c>
      <c r="K6088" s="455">
        <f t="shared" ca="1" si="216"/>
        <v>159279397770048.94</v>
      </c>
      <c r="L6088" s="455">
        <f t="shared" ca="1" si="217"/>
        <v>3.8386334862581792E+16</v>
      </c>
      <c r="M6088" s="471">
        <f t="shared" si="219"/>
        <v>0.05</v>
      </c>
      <c r="N6088" s="475">
        <f t="shared" si="220"/>
        <v>236345</v>
      </c>
    </row>
    <row r="6089" spans="7:14" ht="11.25" customHeight="1" x14ac:dyDescent="0.3">
      <c r="G6089" s="470"/>
      <c r="H6089" s="470">
        <v>6082</v>
      </c>
      <c r="I6089" s="455">
        <f t="shared" ca="1" si="218"/>
        <v>3.8386334862581792E+16</v>
      </c>
      <c r="J6089" s="455">
        <f t="array" ref="J6089">IFERROR(INDEX('Retirement Calculator'!J:J,MATCH('Isaac 401k'!N6089,'Retirement Calculator'!A:A,0),0),0)</f>
        <v>0</v>
      </c>
      <c r="K6089" s="455">
        <f t="shared" ca="1" si="216"/>
        <v>159943061927424.13</v>
      </c>
      <c r="L6089" s="455">
        <f t="shared" ca="1" si="217"/>
        <v>3.8546277924509216E+16</v>
      </c>
      <c r="M6089" s="471">
        <f t="shared" si="219"/>
        <v>0.05</v>
      </c>
      <c r="N6089" s="475">
        <f t="shared" si="220"/>
        <v>236373</v>
      </c>
    </row>
    <row r="6090" spans="7:14" ht="11.25" customHeight="1" x14ac:dyDescent="0.3">
      <c r="G6090" s="470"/>
      <c r="H6090" s="470">
        <v>6083</v>
      </c>
      <c r="I6090" s="455">
        <f t="shared" ca="1" si="218"/>
        <v>3.8546277924509216E+16</v>
      </c>
      <c r="J6090" s="455">
        <f t="array" ref="J6090">IFERROR(INDEX('Retirement Calculator'!J:J,MATCH('Isaac 401k'!N6090,'Retirement Calculator'!A:A,0),0),0)</f>
        <v>0</v>
      </c>
      <c r="K6090" s="455">
        <f t="shared" ca="1" si="216"/>
        <v>160609491352121.72</v>
      </c>
      <c r="L6090" s="455">
        <f t="shared" ca="1" si="217"/>
        <v>3.8706887415861336E+16</v>
      </c>
      <c r="M6090" s="471">
        <f t="shared" si="219"/>
        <v>0.05</v>
      </c>
      <c r="N6090" s="475">
        <f t="shared" si="220"/>
        <v>236404</v>
      </c>
    </row>
    <row r="6091" spans="7:14" ht="11.25" customHeight="1" x14ac:dyDescent="0.3">
      <c r="G6091" s="470"/>
      <c r="H6091" s="470">
        <v>6084</v>
      </c>
      <c r="I6091" s="455">
        <f t="shared" ca="1" si="218"/>
        <v>3.8706887415861336E+16</v>
      </c>
      <c r="J6091" s="455">
        <f t="array" ref="J6091">IFERROR(INDEX('Retirement Calculator'!J:J,MATCH('Isaac 401k'!N6091,'Retirement Calculator'!A:A,0),0),0)</f>
        <v>0</v>
      </c>
      <c r="K6091" s="455">
        <f t="shared" ca="1" si="216"/>
        <v>161278697566088.91</v>
      </c>
      <c r="L6091" s="455">
        <f t="shared" ca="1" si="217"/>
        <v>3.8868166113427424E+16</v>
      </c>
      <c r="M6091" s="471">
        <f t="shared" si="219"/>
        <v>0.05</v>
      </c>
      <c r="N6091" s="475">
        <f t="shared" si="220"/>
        <v>236434</v>
      </c>
    </row>
    <row r="6092" spans="7:14" ht="11.25" customHeight="1" x14ac:dyDescent="0.3">
      <c r="G6092" s="470"/>
      <c r="H6092" s="470">
        <v>6085</v>
      </c>
      <c r="I6092" s="455">
        <f t="shared" ca="1" si="218"/>
        <v>3.8868166113427424E+16</v>
      </c>
      <c r="J6092" s="455">
        <f t="array" ref="J6092">IFERROR(INDEX('Retirement Calculator'!J:J,MATCH('Isaac 401k'!N6092,'Retirement Calculator'!A:A,0),0),0)</f>
        <v>0</v>
      </c>
      <c r="K6092" s="455">
        <f t="shared" ca="1" si="216"/>
        <v>161950692139280.94</v>
      </c>
      <c r="L6092" s="455">
        <f t="shared" ca="1" si="217"/>
        <v>3.9030116805566704E+16</v>
      </c>
      <c r="M6092" s="471">
        <f t="shared" si="219"/>
        <v>0.05</v>
      </c>
      <c r="N6092" s="475">
        <f t="shared" si="220"/>
        <v>236465</v>
      </c>
    </row>
    <row r="6093" spans="7:14" ht="11.25" customHeight="1" x14ac:dyDescent="0.3">
      <c r="G6093" s="470"/>
      <c r="H6093" s="470">
        <v>6086</v>
      </c>
      <c r="I6093" s="455">
        <f t="shared" ca="1" si="218"/>
        <v>3.9030116805566704E+16</v>
      </c>
      <c r="J6093" s="455">
        <f t="array" ref="J6093">IFERROR(INDEX('Retirement Calculator'!J:J,MATCH('Isaac 401k'!N6093,'Retirement Calculator'!A:A,0),0),0)</f>
        <v>0</v>
      </c>
      <c r="K6093" s="455">
        <f t="shared" ca="1" si="216"/>
        <v>162625486689861.25</v>
      </c>
      <c r="L6093" s="455">
        <f t="shared" ca="1" si="217"/>
        <v>3.9192742292256568E+16</v>
      </c>
      <c r="M6093" s="471">
        <f t="shared" si="219"/>
        <v>0.05</v>
      </c>
      <c r="N6093" s="475">
        <f t="shared" si="220"/>
        <v>236495</v>
      </c>
    </row>
    <row r="6094" spans="7:14" ht="11.25" customHeight="1" x14ac:dyDescent="0.3">
      <c r="G6094" s="470"/>
      <c r="H6094" s="470">
        <v>6087</v>
      </c>
      <c r="I6094" s="455">
        <f t="shared" ca="1" si="218"/>
        <v>3.9192742292256568E+16</v>
      </c>
      <c r="J6094" s="455">
        <f t="array" ref="J6094">IFERROR(INDEX('Retirement Calculator'!J:J,MATCH('Isaac 401k'!N6094,'Retirement Calculator'!A:A,0),0),0)</f>
        <v>0</v>
      </c>
      <c r="K6094" s="455">
        <f t="shared" ca="1" si="216"/>
        <v>163303092884402.38</v>
      </c>
      <c r="L6094" s="455">
        <f t="shared" ca="1" si="217"/>
        <v>3.9356045385140968E+16</v>
      </c>
      <c r="M6094" s="471">
        <f t="shared" si="219"/>
        <v>0.05</v>
      </c>
      <c r="N6094" s="475">
        <f t="shared" si="220"/>
        <v>236526</v>
      </c>
    </row>
    <row r="6095" spans="7:14" ht="11.25" customHeight="1" x14ac:dyDescent="0.3">
      <c r="G6095" s="470"/>
      <c r="H6095" s="470">
        <v>6088</v>
      </c>
      <c r="I6095" s="455">
        <f t="shared" ca="1" si="218"/>
        <v>3.9356045385140968E+16</v>
      </c>
      <c r="J6095" s="455">
        <f t="array" ref="J6095">IFERROR(INDEX('Retirement Calculator'!J:J,MATCH('Isaac 401k'!N6095,'Retirement Calculator'!A:A,0),0),0)</f>
        <v>0</v>
      </c>
      <c r="K6095" s="455">
        <f t="shared" ca="1" si="216"/>
        <v>163983522438087.38</v>
      </c>
      <c r="L6095" s="455">
        <f t="shared" ca="1" si="217"/>
        <v>3.9520028907579056E+16</v>
      </c>
      <c r="M6095" s="471">
        <f t="shared" si="219"/>
        <v>0.05</v>
      </c>
      <c r="N6095" s="475">
        <f t="shared" si="220"/>
        <v>236557</v>
      </c>
    </row>
    <row r="6096" spans="7:14" ht="11.25" customHeight="1" x14ac:dyDescent="0.3">
      <c r="G6096" s="470"/>
      <c r="H6096" s="470">
        <v>6089</v>
      </c>
      <c r="I6096" s="455">
        <f t="shared" ca="1" si="218"/>
        <v>3.9520028907579056E+16</v>
      </c>
      <c r="J6096" s="455">
        <f t="array" ref="J6096">IFERROR(INDEX('Retirement Calculator'!J:J,MATCH('Isaac 401k'!N6096,'Retirement Calculator'!A:A,0),0),0)</f>
        <v>0</v>
      </c>
      <c r="K6096" s="455">
        <f t="shared" ca="1" si="216"/>
        <v>164666787114912.72</v>
      </c>
      <c r="L6096" s="455">
        <f t="shared" ca="1" si="217"/>
        <v>3.9684695694693968E+16</v>
      </c>
      <c r="M6096" s="471">
        <f t="shared" si="219"/>
        <v>0.05</v>
      </c>
      <c r="N6096" s="475">
        <f t="shared" si="220"/>
        <v>236587</v>
      </c>
    </row>
    <row r="6097" spans="7:14" ht="11.25" customHeight="1" x14ac:dyDescent="0.3">
      <c r="G6097" s="470"/>
      <c r="H6097" s="470">
        <v>6090</v>
      </c>
      <c r="I6097" s="455">
        <f t="shared" ca="1" si="218"/>
        <v>3.9684695694693968E+16</v>
      </c>
      <c r="J6097" s="455">
        <f t="array" ref="J6097">IFERROR(INDEX('Retirement Calculator'!J:J,MATCH('Isaac 401k'!N6097,'Retirement Calculator'!A:A,0),0),0)</f>
        <v>0</v>
      </c>
      <c r="K6097" s="455">
        <f t="shared" ca="1" si="216"/>
        <v>165352898727891.53</v>
      </c>
      <c r="L6097" s="455">
        <f t="shared" ca="1" si="217"/>
        <v>3.9850048593421856E+16</v>
      </c>
      <c r="M6097" s="471">
        <f t="shared" si="219"/>
        <v>0.05</v>
      </c>
      <c r="N6097" s="475">
        <f t="shared" si="220"/>
        <v>236618</v>
      </c>
    </row>
    <row r="6098" spans="7:14" ht="11.25" customHeight="1" x14ac:dyDescent="0.3">
      <c r="G6098" s="470"/>
      <c r="H6098" s="470">
        <v>6091</v>
      </c>
      <c r="I6098" s="455">
        <f t="shared" ca="1" si="218"/>
        <v>3.9850048593421856E+16</v>
      </c>
      <c r="J6098" s="455">
        <f t="array" ref="J6098">IFERROR(INDEX('Retirement Calculator'!J:J,MATCH('Isaac 401k'!N6098,'Retirement Calculator'!A:A,0),0),0)</f>
        <v>0</v>
      </c>
      <c r="K6098" s="455">
        <f t="shared" ca="1" si="216"/>
        <v>166041869139257.72</v>
      </c>
      <c r="L6098" s="455">
        <f t="shared" ca="1" si="217"/>
        <v>4.0016090462561112E+16</v>
      </c>
      <c r="M6098" s="471">
        <f t="shared" si="219"/>
        <v>0.05</v>
      </c>
      <c r="N6098" s="475">
        <f t="shared" si="220"/>
        <v>236648</v>
      </c>
    </row>
    <row r="6099" spans="7:14" ht="11.25" customHeight="1" x14ac:dyDescent="0.3">
      <c r="G6099" s="470"/>
      <c r="H6099" s="470">
        <v>6092</v>
      </c>
      <c r="I6099" s="455">
        <f t="shared" ca="1" si="218"/>
        <v>4.0016090462561112E+16</v>
      </c>
      <c r="J6099" s="455">
        <f t="array" ref="J6099">IFERROR(INDEX('Retirement Calculator'!J:J,MATCH('Isaac 401k'!N6099,'Retirement Calculator'!A:A,0),0),0)</f>
        <v>0</v>
      </c>
      <c r="K6099" s="455">
        <f t="shared" ca="1" si="216"/>
        <v>166733710260671.31</v>
      </c>
      <c r="L6099" s="455">
        <f t="shared" ca="1" si="217"/>
        <v>4.0182824172821784E+16</v>
      </c>
      <c r="M6099" s="471">
        <f t="shared" si="219"/>
        <v>0.05</v>
      </c>
      <c r="N6099" s="475">
        <f t="shared" si="220"/>
        <v>236679</v>
      </c>
    </row>
    <row r="6100" spans="7:14" ht="11.25" customHeight="1" x14ac:dyDescent="0.3">
      <c r="G6100" s="470"/>
      <c r="H6100" s="470">
        <v>6093</v>
      </c>
      <c r="I6100" s="455">
        <f t="shared" ca="1" si="218"/>
        <v>4.0182824172821784E+16</v>
      </c>
      <c r="J6100" s="455">
        <f t="array" ref="J6100">IFERROR(INDEX('Retirement Calculator'!J:J,MATCH('Isaac 401k'!N6100,'Retirement Calculator'!A:A,0),0),0)</f>
        <v>0</v>
      </c>
      <c r="K6100" s="455">
        <f t="shared" ca="1" si="216"/>
        <v>167428434053424.09</v>
      </c>
      <c r="L6100" s="455">
        <f t="shared" ca="1" si="217"/>
        <v>4.0350252606875208E+16</v>
      </c>
      <c r="M6100" s="471">
        <f t="shared" si="219"/>
        <v>0.05</v>
      </c>
      <c r="N6100" s="475">
        <f t="shared" si="220"/>
        <v>236710</v>
      </c>
    </row>
    <row r="6101" spans="7:14" ht="11.25" customHeight="1" x14ac:dyDescent="0.3">
      <c r="G6101" s="470"/>
      <c r="H6101" s="470">
        <v>6094</v>
      </c>
      <c r="I6101" s="455">
        <f t="shared" ca="1" si="218"/>
        <v>4.0350252606875208E+16</v>
      </c>
      <c r="J6101" s="455">
        <f t="array" ref="J6101">IFERROR(INDEX('Retirement Calculator'!J:J,MATCH('Isaac 401k'!N6101,'Retirement Calculator'!A:A,0),0),0)</f>
        <v>0</v>
      </c>
      <c r="K6101" s="455">
        <f t="shared" ca="1" si="216"/>
        <v>168126052528646.69</v>
      </c>
      <c r="L6101" s="455">
        <f t="shared" ca="1" si="217"/>
        <v>4.0518378659403856E+16</v>
      </c>
      <c r="M6101" s="471">
        <f t="shared" si="219"/>
        <v>0.05</v>
      </c>
      <c r="N6101" s="475">
        <f t="shared" si="220"/>
        <v>236739</v>
      </c>
    </row>
    <row r="6102" spans="7:14" ht="11.25" customHeight="1" x14ac:dyDescent="0.3">
      <c r="G6102" s="470"/>
      <c r="H6102" s="470">
        <v>6095</v>
      </c>
      <c r="I6102" s="455">
        <f t="shared" ca="1" si="218"/>
        <v>4.0518378659403856E+16</v>
      </c>
      <c r="J6102" s="455">
        <f t="array" ref="J6102">IFERROR(INDEX('Retirement Calculator'!J:J,MATCH('Isaac 401k'!N6102,'Retirement Calculator'!A:A,0),0),0)</f>
        <v>0</v>
      </c>
      <c r="K6102" s="455">
        <f t="shared" ca="1" si="216"/>
        <v>168826577747516.06</v>
      </c>
      <c r="L6102" s="455">
        <f t="shared" ca="1" si="217"/>
        <v>4.0687205237151376E+16</v>
      </c>
      <c r="M6102" s="471">
        <f t="shared" si="219"/>
        <v>0.05</v>
      </c>
      <c r="N6102" s="475">
        <f t="shared" si="220"/>
        <v>236770</v>
      </c>
    </row>
    <row r="6103" spans="7:14" ht="11.25" customHeight="1" x14ac:dyDescent="0.3">
      <c r="G6103" s="470"/>
      <c r="H6103" s="470">
        <v>6096</v>
      </c>
      <c r="I6103" s="455">
        <f t="shared" ca="1" si="218"/>
        <v>4.0687205237151376E+16</v>
      </c>
      <c r="J6103" s="455">
        <f t="array" ref="J6103">IFERROR(INDEX('Retirement Calculator'!J:J,MATCH('Isaac 401k'!N6103,'Retirement Calculator'!A:A,0),0),0)</f>
        <v>0</v>
      </c>
      <c r="K6103" s="455">
        <f t="shared" ca="1" si="216"/>
        <v>169530021821464.06</v>
      </c>
      <c r="L6103" s="455">
        <f t="shared" ca="1" si="217"/>
        <v>4.085673525897284E+16</v>
      </c>
      <c r="M6103" s="471">
        <f t="shared" si="219"/>
        <v>0.05</v>
      </c>
      <c r="N6103" s="475">
        <f t="shared" si="220"/>
        <v>236800</v>
      </c>
    </row>
    <row r="6104" spans="7:14" ht="11.25" customHeight="1" x14ac:dyDescent="0.3">
      <c r="G6104" s="470"/>
      <c r="H6104" s="470">
        <v>6097</v>
      </c>
      <c r="I6104" s="455">
        <f t="shared" ca="1" si="218"/>
        <v>4.085673525897284E+16</v>
      </c>
      <c r="J6104" s="455">
        <f t="array" ref="J6104">IFERROR(INDEX('Retirement Calculator'!J:J,MATCH('Isaac 401k'!N6104,'Retirement Calculator'!A:A,0),0),0)</f>
        <v>0</v>
      </c>
      <c r="K6104" s="455">
        <f t="shared" ca="1" si="216"/>
        <v>170236396912386.84</v>
      </c>
      <c r="L6104" s="455">
        <f t="shared" ca="1" si="217"/>
        <v>4.1026971655885224E+16</v>
      </c>
      <c r="M6104" s="471">
        <f t="shared" si="219"/>
        <v>0.05</v>
      </c>
      <c r="N6104" s="475">
        <f t="shared" si="220"/>
        <v>236831</v>
      </c>
    </row>
    <row r="6105" spans="7:14" ht="11.25" customHeight="1" x14ac:dyDescent="0.3">
      <c r="G6105" s="470"/>
      <c r="H6105" s="470">
        <v>6098</v>
      </c>
      <c r="I6105" s="455">
        <f t="shared" ca="1" si="218"/>
        <v>4.1026971655885224E+16</v>
      </c>
      <c r="J6105" s="455">
        <f t="array" ref="J6105">IFERROR(INDEX('Retirement Calculator'!J:J,MATCH('Isaac 401k'!N6105,'Retirement Calculator'!A:A,0),0),0)</f>
        <v>0</v>
      </c>
      <c r="K6105" s="455">
        <f t="shared" ca="1" si="216"/>
        <v>170945715232855.09</v>
      </c>
      <c r="L6105" s="455">
        <f t="shared" ca="1" si="217"/>
        <v>4.119791737111808E+16</v>
      </c>
      <c r="M6105" s="471">
        <f t="shared" si="219"/>
        <v>0.05</v>
      </c>
      <c r="N6105" s="475">
        <f t="shared" si="220"/>
        <v>236861</v>
      </c>
    </row>
    <row r="6106" spans="7:14" ht="11.25" customHeight="1" x14ac:dyDescent="0.3">
      <c r="G6106" s="470"/>
      <c r="H6106" s="470">
        <v>6099</v>
      </c>
      <c r="I6106" s="455">
        <f t="shared" ca="1" si="218"/>
        <v>4.119791737111808E+16</v>
      </c>
      <c r="J6106" s="455">
        <f t="array" ref="J6106">IFERROR(INDEX('Retirement Calculator'!J:J,MATCH('Isaac 401k'!N6106,'Retirement Calculator'!A:A,0),0),0)</f>
        <v>0</v>
      </c>
      <c r="K6106" s="455">
        <f t="shared" ca="1" si="216"/>
        <v>171657989046325.34</v>
      </c>
      <c r="L6106" s="455">
        <f t="shared" ca="1" si="217"/>
        <v>4.1369575360164408E+16</v>
      </c>
      <c r="M6106" s="471">
        <f t="shared" si="219"/>
        <v>0.05</v>
      </c>
      <c r="N6106" s="475">
        <f t="shared" si="220"/>
        <v>236892</v>
      </c>
    </row>
    <row r="6107" spans="7:14" ht="11.25" customHeight="1" x14ac:dyDescent="0.3">
      <c r="G6107" s="470"/>
      <c r="H6107" s="470">
        <v>6100</v>
      </c>
      <c r="I6107" s="455">
        <f t="shared" ca="1" si="218"/>
        <v>4.1369575360164408E+16</v>
      </c>
      <c r="J6107" s="455">
        <f t="array" ref="J6107">IFERROR(INDEX('Retirement Calculator'!J:J,MATCH('Isaac 401k'!N6107,'Retirement Calculator'!A:A,0),0),0)</f>
        <v>0</v>
      </c>
      <c r="K6107" s="455">
        <f t="shared" ca="1" si="216"/>
        <v>172373230667351.69</v>
      </c>
      <c r="L6107" s="455">
        <f t="shared" ca="1" si="217"/>
        <v>4.154194859083176E+16</v>
      </c>
      <c r="M6107" s="471">
        <f t="shared" si="219"/>
        <v>0.05</v>
      </c>
      <c r="N6107" s="475">
        <f t="shared" si="220"/>
        <v>236923</v>
      </c>
    </row>
    <row r="6108" spans="7:14" ht="11.25" customHeight="1" x14ac:dyDescent="0.3">
      <c r="G6108" s="470"/>
      <c r="H6108" s="470">
        <v>6101</v>
      </c>
      <c r="I6108" s="455">
        <f t="shared" ca="1" si="218"/>
        <v>4.154194859083176E+16</v>
      </c>
      <c r="J6108" s="455">
        <f t="array" ref="J6108">IFERROR(INDEX('Retirement Calculator'!J:J,MATCH('Isaac 401k'!N6108,'Retirement Calculator'!A:A,0),0),0)</f>
        <v>0</v>
      </c>
      <c r="K6108" s="455">
        <f t="shared" ca="1" si="216"/>
        <v>173091452461799</v>
      </c>
      <c r="L6108" s="455">
        <f t="shared" ca="1" si="217"/>
        <v>4.171504004329356E+16</v>
      </c>
      <c r="M6108" s="471">
        <f t="shared" si="219"/>
        <v>0.05</v>
      </c>
      <c r="N6108" s="475">
        <f t="shared" si="220"/>
        <v>236953</v>
      </c>
    </row>
    <row r="6109" spans="7:14" ht="11.25" customHeight="1" x14ac:dyDescent="0.3">
      <c r="G6109" s="470"/>
      <c r="H6109" s="470">
        <v>6102</v>
      </c>
      <c r="I6109" s="455">
        <f t="shared" ca="1" si="218"/>
        <v>4.171504004329356E+16</v>
      </c>
      <c r="J6109" s="455">
        <f t="array" ref="J6109">IFERROR(INDEX('Retirement Calculator'!J:J,MATCH('Isaac 401k'!N6109,'Retirement Calculator'!A:A,0),0),0)</f>
        <v>0</v>
      </c>
      <c r="K6109" s="455">
        <f t="shared" ca="1" si="216"/>
        <v>173812666847056.5</v>
      </c>
      <c r="L6109" s="455">
        <f t="shared" ca="1" si="217"/>
        <v>4.1888852710140616E+16</v>
      </c>
      <c r="M6109" s="471">
        <f t="shared" si="219"/>
        <v>0.05</v>
      </c>
      <c r="N6109" s="475">
        <f t="shared" si="220"/>
        <v>236984</v>
      </c>
    </row>
    <row r="6110" spans="7:14" ht="11.25" customHeight="1" x14ac:dyDescent="0.3">
      <c r="G6110" s="470"/>
      <c r="H6110" s="470">
        <v>6103</v>
      </c>
      <c r="I6110" s="455">
        <f t="shared" ca="1" si="218"/>
        <v>4.1888852710140616E+16</v>
      </c>
      <c r="J6110" s="455">
        <f t="array" ref="J6110">IFERROR(INDEX('Retirement Calculator'!J:J,MATCH('Isaac 401k'!N6110,'Retirement Calculator'!A:A,0),0),0)</f>
        <v>0</v>
      </c>
      <c r="K6110" s="455">
        <f t="shared" ca="1" si="216"/>
        <v>174536886292252.56</v>
      </c>
      <c r="L6110" s="455">
        <f t="shared" ca="1" si="217"/>
        <v>4.2063389596432872E+16</v>
      </c>
      <c r="M6110" s="471">
        <f t="shared" si="219"/>
        <v>0.05</v>
      </c>
      <c r="N6110" s="475">
        <f t="shared" si="220"/>
        <v>237014</v>
      </c>
    </row>
    <row r="6111" spans="7:14" ht="11.25" customHeight="1" x14ac:dyDescent="0.3">
      <c r="G6111" s="470"/>
      <c r="H6111" s="470">
        <v>6104</v>
      </c>
      <c r="I6111" s="455">
        <f t="shared" ca="1" si="218"/>
        <v>4.2063389596432872E+16</v>
      </c>
      <c r="J6111" s="455">
        <f t="array" ref="J6111">IFERROR(INDEX('Retirement Calculator'!J:J,MATCH('Isaac 401k'!N6111,'Retirement Calculator'!A:A,0),0),0)</f>
        <v>0</v>
      </c>
      <c r="K6111" s="455">
        <f t="shared" ca="1" si="216"/>
        <v>175264123318470.31</v>
      </c>
      <c r="L6111" s="455">
        <f t="shared" ca="1" si="217"/>
        <v>4.2238653719751344E+16</v>
      </c>
      <c r="M6111" s="471">
        <f t="shared" si="219"/>
        <v>0.05</v>
      </c>
      <c r="N6111" s="475">
        <f t="shared" si="220"/>
        <v>237045</v>
      </c>
    </row>
    <row r="6112" spans="7:14" ht="11.25" customHeight="1" x14ac:dyDescent="0.3">
      <c r="G6112" s="470"/>
      <c r="H6112" s="470">
        <v>6105</v>
      </c>
      <c r="I6112" s="455">
        <f t="shared" ca="1" si="218"/>
        <v>4.2238653719751344E+16</v>
      </c>
      <c r="J6112" s="455">
        <f t="array" ref="J6112">IFERROR(INDEX('Retirement Calculator'!J:J,MATCH('Isaac 401k'!N6112,'Retirement Calculator'!A:A,0),0),0)</f>
        <v>0</v>
      </c>
      <c r="K6112" s="455">
        <f t="shared" ca="1" si="216"/>
        <v>175994390498963.94</v>
      </c>
      <c r="L6112" s="455">
        <f t="shared" ca="1" si="217"/>
        <v>4.2414648110250304E+16</v>
      </c>
      <c r="M6112" s="471">
        <f t="shared" si="219"/>
        <v>0.05</v>
      </c>
      <c r="N6112" s="475">
        <f t="shared" si="220"/>
        <v>237076</v>
      </c>
    </row>
    <row r="6113" spans="7:14" ht="11.25" customHeight="1" x14ac:dyDescent="0.3">
      <c r="G6113" s="470"/>
      <c r="H6113" s="470">
        <v>6106</v>
      </c>
      <c r="I6113" s="455">
        <f t="shared" ca="1" si="218"/>
        <v>4.2414648110250304E+16</v>
      </c>
      <c r="J6113" s="455">
        <f t="array" ref="J6113">IFERROR(INDEX('Retirement Calculator'!J:J,MATCH('Isaac 401k'!N6113,'Retirement Calculator'!A:A,0),0),0)</f>
        <v>0</v>
      </c>
      <c r="K6113" s="455">
        <f t="shared" ca="1" si="216"/>
        <v>176727700459376.25</v>
      </c>
      <c r="L6113" s="455">
        <f t="shared" ca="1" si="217"/>
        <v>4.259137581070968E+16</v>
      </c>
      <c r="M6113" s="471">
        <f t="shared" si="219"/>
        <v>0.05</v>
      </c>
      <c r="N6113" s="475">
        <f t="shared" si="220"/>
        <v>237104</v>
      </c>
    </row>
    <row r="6114" spans="7:14" ht="11.25" customHeight="1" x14ac:dyDescent="0.3">
      <c r="G6114" s="470"/>
      <c r="H6114" s="470">
        <v>6107</v>
      </c>
      <c r="I6114" s="455">
        <f t="shared" ca="1" si="218"/>
        <v>4.259137581070968E+16</v>
      </c>
      <c r="J6114" s="455">
        <f t="array" ref="J6114">IFERROR(INDEX('Retirement Calculator'!J:J,MATCH('Isaac 401k'!N6114,'Retirement Calculator'!A:A,0),0),0)</f>
        <v>0</v>
      </c>
      <c r="K6114" s="455">
        <f t="shared" ca="1" si="216"/>
        <v>177464065877957</v>
      </c>
      <c r="L6114" s="455">
        <f t="shared" ca="1" si="217"/>
        <v>4.276883987658764E+16</v>
      </c>
      <c r="M6114" s="471">
        <f t="shared" si="219"/>
        <v>0.05</v>
      </c>
      <c r="N6114" s="475">
        <f t="shared" si="220"/>
        <v>237135</v>
      </c>
    </row>
    <row r="6115" spans="7:14" ht="11.25" customHeight="1" x14ac:dyDescent="0.3">
      <c r="G6115" s="470"/>
      <c r="H6115" s="470">
        <v>6108</v>
      </c>
      <c r="I6115" s="455">
        <f t="shared" ca="1" si="218"/>
        <v>4.276883987658764E+16</v>
      </c>
      <c r="J6115" s="455">
        <f t="array" ref="J6115">IFERROR(INDEX('Retirement Calculator'!J:J,MATCH('Isaac 401k'!N6115,'Retirement Calculator'!A:A,0),0),0)</f>
        <v>0</v>
      </c>
      <c r="K6115" s="455">
        <f t="shared" ca="1" si="216"/>
        <v>178203499485781.84</v>
      </c>
      <c r="L6115" s="455">
        <f t="shared" ca="1" si="217"/>
        <v>4.2947043376073424E+16</v>
      </c>
      <c r="M6115" s="471">
        <f t="shared" si="219"/>
        <v>0.05</v>
      </c>
      <c r="N6115" s="475">
        <f t="shared" si="220"/>
        <v>237165</v>
      </c>
    </row>
    <row r="6116" spans="7:14" ht="11.25" customHeight="1" x14ac:dyDescent="0.3">
      <c r="G6116" s="470"/>
      <c r="H6116" s="470">
        <v>6109</v>
      </c>
      <c r="I6116" s="455">
        <f t="shared" ca="1" si="218"/>
        <v>4.2947043376073424E+16</v>
      </c>
      <c r="J6116" s="455">
        <f t="array" ref="J6116">IFERROR(INDEX('Retirement Calculator'!J:J,MATCH('Isaac 401k'!N6116,'Retirement Calculator'!A:A,0),0),0)</f>
        <v>0</v>
      </c>
      <c r="K6116" s="455">
        <f t="shared" ca="1" si="216"/>
        <v>178946014066972.59</v>
      </c>
      <c r="L6116" s="455">
        <f t="shared" ca="1" si="217"/>
        <v>4.31259893901404E+16</v>
      </c>
      <c r="M6116" s="471">
        <f t="shared" si="219"/>
        <v>0.05</v>
      </c>
      <c r="N6116" s="475">
        <f t="shared" si="220"/>
        <v>237196</v>
      </c>
    </row>
    <row r="6117" spans="7:14" ht="11.25" customHeight="1" x14ac:dyDescent="0.3">
      <c r="G6117" s="470"/>
      <c r="H6117" s="470">
        <v>6110</v>
      </c>
      <c r="I6117" s="455">
        <f t="shared" ca="1" si="218"/>
        <v>4.31259893901404E+16</v>
      </c>
      <c r="J6117" s="455">
        <f t="array" ref="J6117">IFERROR(INDEX('Retirement Calculator'!J:J,MATCH('Isaac 401k'!N6117,'Retirement Calculator'!A:A,0),0),0)</f>
        <v>0</v>
      </c>
      <c r="K6117" s="455">
        <f t="shared" ca="1" si="216"/>
        <v>179691622458918.34</v>
      </c>
      <c r="L6117" s="455">
        <f t="shared" ca="1" si="217"/>
        <v>4.330568101259932E+16</v>
      </c>
      <c r="M6117" s="471">
        <f t="shared" si="219"/>
        <v>0.05</v>
      </c>
      <c r="N6117" s="475">
        <f t="shared" si="220"/>
        <v>237226</v>
      </c>
    </row>
    <row r="6118" spans="7:14" ht="11.25" customHeight="1" x14ac:dyDescent="0.3">
      <c r="G6118" s="470"/>
      <c r="H6118" s="470">
        <v>6111</v>
      </c>
      <c r="I6118" s="455">
        <f t="shared" ca="1" si="218"/>
        <v>4.330568101259932E+16</v>
      </c>
      <c r="J6118" s="455">
        <f t="array" ref="J6118">IFERROR(INDEX('Retirement Calculator'!J:J,MATCH('Isaac 401k'!N6118,'Retirement Calculator'!A:A,0),0),0)</f>
        <v>0</v>
      </c>
      <c r="K6118" s="455">
        <f t="shared" ca="1" si="216"/>
        <v>180440337552497.16</v>
      </c>
      <c r="L6118" s="455">
        <f t="shared" ca="1" si="217"/>
        <v>4.3486121350151816E+16</v>
      </c>
      <c r="M6118" s="471">
        <f t="shared" si="219"/>
        <v>0.05</v>
      </c>
      <c r="N6118" s="475">
        <f t="shared" si="220"/>
        <v>237257</v>
      </c>
    </row>
    <row r="6119" spans="7:14" ht="11.25" customHeight="1" x14ac:dyDescent="0.3">
      <c r="G6119" s="470"/>
      <c r="H6119" s="470">
        <v>6112</v>
      </c>
      <c r="I6119" s="455">
        <f t="shared" ca="1" si="218"/>
        <v>4.3486121350151816E+16</v>
      </c>
      <c r="J6119" s="455">
        <f t="array" ref="J6119">IFERROR(INDEX('Retirement Calculator'!J:J,MATCH('Isaac 401k'!N6119,'Retirement Calculator'!A:A,0),0),0)</f>
        <v>0</v>
      </c>
      <c r="K6119" s="455">
        <f t="shared" ca="1" si="216"/>
        <v>181192172292299.22</v>
      </c>
      <c r="L6119" s="455">
        <f t="shared" ca="1" si="217"/>
        <v>4.3667313522444112E+16</v>
      </c>
      <c r="M6119" s="471">
        <f t="shared" si="219"/>
        <v>0.05</v>
      </c>
      <c r="N6119" s="475">
        <f t="shared" si="220"/>
        <v>237288</v>
      </c>
    </row>
    <row r="6120" spans="7:14" ht="11.25" customHeight="1" x14ac:dyDescent="0.3">
      <c r="G6120" s="470"/>
      <c r="H6120" s="470">
        <v>6113</v>
      </c>
      <c r="I6120" s="455">
        <f t="shared" ca="1" si="218"/>
        <v>4.3667313522444112E+16</v>
      </c>
      <c r="J6120" s="455">
        <f t="array" ref="J6120">IFERROR(INDEX('Retirement Calculator'!J:J,MATCH('Isaac 401k'!N6120,'Retirement Calculator'!A:A,0),0),0)</f>
        <v>0</v>
      </c>
      <c r="K6120" s="455">
        <f t="shared" ca="1" si="216"/>
        <v>181947139676850.47</v>
      </c>
      <c r="L6120" s="455">
        <f t="shared" ca="1" si="217"/>
        <v>4.384926066212096E+16</v>
      </c>
      <c r="M6120" s="471">
        <f t="shared" si="219"/>
        <v>0.05</v>
      </c>
      <c r="N6120" s="475">
        <f t="shared" si="220"/>
        <v>237318</v>
      </c>
    </row>
    <row r="6121" spans="7:14" ht="11.25" customHeight="1" x14ac:dyDescent="0.3">
      <c r="G6121" s="470"/>
      <c r="H6121" s="470">
        <v>6114</v>
      </c>
      <c r="I6121" s="455">
        <f t="shared" ca="1" si="218"/>
        <v>4.384926066212096E+16</v>
      </c>
      <c r="J6121" s="455">
        <f t="array" ref="J6121">IFERROR(INDEX('Retirement Calculator'!J:J,MATCH('Isaac 401k'!N6121,'Retirement Calculator'!A:A,0),0),0)</f>
        <v>0</v>
      </c>
      <c r="K6121" s="455">
        <f t="shared" ca="1" si="216"/>
        <v>182705252758837.34</v>
      </c>
      <c r="L6121" s="455">
        <f t="shared" ca="1" si="217"/>
        <v>4.40319659148798E+16</v>
      </c>
      <c r="M6121" s="471">
        <f t="shared" si="219"/>
        <v>0.05</v>
      </c>
      <c r="N6121" s="475">
        <f t="shared" si="220"/>
        <v>237349</v>
      </c>
    </row>
    <row r="6122" spans="7:14" ht="11.25" customHeight="1" x14ac:dyDescent="0.3">
      <c r="G6122" s="470"/>
      <c r="H6122" s="470">
        <v>6115</v>
      </c>
      <c r="I6122" s="455">
        <f t="shared" ca="1" si="218"/>
        <v>4.40319659148798E+16</v>
      </c>
      <c r="J6122" s="455">
        <f t="array" ref="J6122">IFERROR(INDEX('Retirement Calculator'!J:J,MATCH('Isaac 401k'!N6122,'Retirement Calculator'!A:A,0),0),0)</f>
        <v>0</v>
      </c>
      <c r="K6122" s="455">
        <f t="shared" ca="1" si="216"/>
        <v>183466524645332.5</v>
      </c>
      <c r="L6122" s="455">
        <f t="shared" ca="1" si="217"/>
        <v>4.4215432439525136E+16</v>
      </c>
      <c r="M6122" s="471">
        <f t="shared" si="219"/>
        <v>0.05</v>
      </c>
      <c r="N6122" s="475">
        <f t="shared" si="220"/>
        <v>237379</v>
      </c>
    </row>
    <row r="6123" spans="7:14" ht="11.25" customHeight="1" x14ac:dyDescent="0.3">
      <c r="G6123" s="470"/>
      <c r="H6123" s="470">
        <v>6116</v>
      </c>
      <c r="I6123" s="455">
        <f t="shared" ca="1" si="218"/>
        <v>4.4215432439525136E+16</v>
      </c>
      <c r="J6123" s="455">
        <f t="array" ref="J6123">IFERROR(INDEX('Retirement Calculator'!J:J,MATCH('Isaac 401k'!N6123,'Retirement Calculator'!A:A,0),0),0)</f>
        <v>0</v>
      </c>
      <c r="K6123" s="455">
        <f t="shared" ca="1" si="216"/>
        <v>184230968498021.41</v>
      </c>
      <c r="L6123" s="455">
        <f t="shared" ca="1" si="217"/>
        <v>4.439966340802316E+16</v>
      </c>
      <c r="M6123" s="471">
        <f t="shared" si="219"/>
        <v>0.05</v>
      </c>
      <c r="N6123" s="475">
        <f t="shared" si="220"/>
        <v>237410</v>
      </c>
    </row>
    <row r="6124" spans="7:14" ht="11.25" customHeight="1" x14ac:dyDescent="0.3">
      <c r="G6124" s="470"/>
      <c r="H6124" s="470">
        <v>6117</v>
      </c>
      <c r="I6124" s="455">
        <f t="shared" ca="1" si="218"/>
        <v>4.439966340802316E+16</v>
      </c>
      <c r="J6124" s="455">
        <f t="array" ref="J6124">IFERROR(INDEX('Retirement Calculator'!J:J,MATCH('Isaac 401k'!N6124,'Retirement Calculator'!A:A,0),0),0)</f>
        <v>0</v>
      </c>
      <c r="K6124" s="455">
        <f t="shared" ca="1" si="216"/>
        <v>184998597533429.84</v>
      </c>
      <c r="L6124" s="455">
        <f t="shared" ca="1" si="217"/>
        <v>4.4584662005556592E+16</v>
      </c>
      <c r="M6124" s="471">
        <f t="shared" si="219"/>
        <v>0.05</v>
      </c>
      <c r="N6124" s="475">
        <f t="shared" si="220"/>
        <v>237441</v>
      </c>
    </row>
    <row r="6125" spans="7:14" ht="11.25" customHeight="1" x14ac:dyDescent="0.3">
      <c r="G6125" s="470"/>
      <c r="H6125" s="470">
        <v>6118</v>
      </c>
      <c r="I6125" s="455">
        <f t="shared" ca="1" si="218"/>
        <v>4.4584662005556592E+16</v>
      </c>
      <c r="J6125" s="455">
        <f t="array" ref="J6125">IFERROR(INDEX('Retirement Calculator'!J:J,MATCH('Isaac 401k'!N6125,'Retirement Calculator'!A:A,0),0),0)</f>
        <v>0</v>
      </c>
      <c r="K6125" s="455">
        <f t="shared" ca="1" si="216"/>
        <v>185769425023152.47</v>
      </c>
      <c r="L6125" s="455">
        <f t="shared" ca="1" si="217"/>
        <v>4.4770431430579744E+16</v>
      </c>
      <c r="M6125" s="471">
        <f t="shared" si="219"/>
        <v>0.05</v>
      </c>
      <c r="N6125" s="475">
        <f t="shared" si="220"/>
        <v>237469</v>
      </c>
    </row>
    <row r="6126" spans="7:14" ht="11.25" customHeight="1" x14ac:dyDescent="0.3">
      <c r="G6126" s="470"/>
      <c r="H6126" s="470">
        <v>6119</v>
      </c>
      <c r="I6126" s="455">
        <f t="shared" ca="1" si="218"/>
        <v>4.4770431430579744E+16</v>
      </c>
      <c r="J6126" s="455">
        <f t="array" ref="J6126">IFERROR(INDEX('Retirement Calculator'!J:J,MATCH('Isaac 401k'!N6126,'Retirement Calculator'!A:A,0),0),0)</f>
        <v>0</v>
      </c>
      <c r="K6126" s="455">
        <f t="shared" ca="1" si="216"/>
        <v>186543464294082.25</v>
      </c>
      <c r="L6126" s="455">
        <f t="shared" ca="1" si="217"/>
        <v>4.4956974894873824E+16</v>
      </c>
      <c r="M6126" s="471">
        <f t="shared" si="219"/>
        <v>0.05</v>
      </c>
      <c r="N6126" s="475">
        <f t="shared" si="220"/>
        <v>237500</v>
      </c>
    </row>
    <row r="6127" spans="7:14" ht="11.25" customHeight="1" x14ac:dyDescent="0.3">
      <c r="G6127" s="470"/>
      <c r="H6127" s="470">
        <v>6120</v>
      </c>
      <c r="I6127" s="455">
        <f t="shared" ca="1" si="218"/>
        <v>4.4956974894873824E+16</v>
      </c>
      <c r="J6127" s="455">
        <f t="array" ref="J6127">IFERROR(INDEX('Retirement Calculator'!J:J,MATCH('Isaac 401k'!N6127,'Retirement Calculator'!A:A,0),0),0)</f>
        <v>0</v>
      </c>
      <c r="K6127" s="455">
        <f t="shared" ca="1" si="216"/>
        <v>187320728728640.94</v>
      </c>
      <c r="L6127" s="455">
        <f t="shared" ca="1" si="217"/>
        <v>4.5144295623602464E+16</v>
      </c>
      <c r="M6127" s="471">
        <f t="shared" si="219"/>
        <v>0.05</v>
      </c>
      <c r="N6127" s="475">
        <f t="shared" si="220"/>
        <v>237530</v>
      </c>
    </row>
    <row r="6128" spans="7:14" ht="11.25" customHeight="1" x14ac:dyDescent="0.3">
      <c r="G6128" s="470"/>
      <c r="H6128" s="470">
        <v>6121</v>
      </c>
      <c r="I6128" s="455">
        <f t="shared" ca="1" si="218"/>
        <v>4.5144295623602464E+16</v>
      </c>
      <c r="J6128" s="455">
        <f t="array" ref="J6128">IFERROR(INDEX('Retirement Calculator'!J:J,MATCH('Isaac 401k'!N6128,'Retirement Calculator'!A:A,0),0),0)</f>
        <v>0</v>
      </c>
      <c r="K6128" s="455">
        <f t="shared" ref="K6128:K6250" ca="1" si="221">IPMT(M6128/12,1,12,-I6128+J6128,,0)</f>
        <v>188101231765010.25</v>
      </c>
      <c r="L6128" s="455">
        <f t="shared" ref="L6128:L6250" ca="1" si="222">I6128-J6128+K6128</f>
        <v>4.5332396855367472E+16</v>
      </c>
      <c r="M6128" s="471">
        <f t="shared" si="219"/>
        <v>0.05</v>
      </c>
      <c r="N6128" s="475">
        <f t="shared" si="220"/>
        <v>237561</v>
      </c>
    </row>
    <row r="6129" spans="7:14" ht="11.25" customHeight="1" x14ac:dyDescent="0.3">
      <c r="G6129" s="470"/>
      <c r="H6129" s="470">
        <v>6122</v>
      </c>
      <c r="I6129" s="455">
        <f t="shared" ref="I6129:I6250" ca="1" si="223">L6128</f>
        <v>4.5332396855367472E+16</v>
      </c>
      <c r="J6129" s="455">
        <f t="array" ref="J6129">IFERROR(INDEX('Retirement Calculator'!J:J,MATCH('Isaac 401k'!N6129,'Retirement Calculator'!A:A,0),0),0)</f>
        <v>0</v>
      </c>
      <c r="K6129" s="455">
        <f t="shared" ca="1" si="221"/>
        <v>188884986897364.47</v>
      </c>
      <c r="L6129" s="455">
        <f t="shared" ca="1" si="222"/>
        <v>4.552128184226484E+16</v>
      </c>
      <c r="M6129" s="471">
        <f t="shared" ref="M6129:M6250" si="224">M6128</f>
        <v>0.05</v>
      </c>
      <c r="N6129" s="475">
        <f t="shared" ref="N6129:N6250" si="225">EDATE(N6128,1)</f>
        <v>237591</v>
      </c>
    </row>
    <row r="6130" spans="7:14" ht="11.25" customHeight="1" x14ac:dyDescent="0.3">
      <c r="G6130" s="470"/>
      <c r="H6130" s="470">
        <v>6123</v>
      </c>
      <c r="I6130" s="455">
        <f t="shared" ca="1" si="223"/>
        <v>4.552128184226484E+16</v>
      </c>
      <c r="J6130" s="455">
        <f t="array" ref="J6130">IFERROR(INDEX('Retirement Calculator'!J:J,MATCH('Isaac 401k'!N6130,'Retirement Calculator'!A:A,0),0),0)</f>
        <v>0</v>
      </c>
      <c r="K6130" s="455">
        <f t="shared" ca="1" si="221"/>
        <v>189672007676103.5</v>
      </c>
      <c r="L6130" s="455">
        <f t="shared" ca="1" si="222"/>
        <v>4.5710953849940944E+16</v>
      </c>
      <c r="M6130" s="471">
        <f t="shared" si="224"/>
        <v>0.05</v>
      </c>
      <c r="N6130" s="475">
        <f t="shared" si="225"/>
        <v>237622</v>
      </c>
    </row>
    <row r="6131" spans="7:14" ht="11.25" customHeight="1" x14ac:dyDescent="0.3">
      <c r="G6131" s="470"/>
      <c r="H6131" s="470">
        <v>6124</v>
      </c>
      <c r="I6131" s="455">
        <f t="shared" ca="1" si="223"/>
        <v>4.5710953849940944E+16</v>
      </c>
      <c r="J6131" s="455">
        <f t="array" ref="J6131">IFERROR(INDEX('Retirement Calculator'!J:J,MATCH('Isaac 401k'!N6131,'Retirement Calculator'!A:A,0),0),0)</f>
        <v>0</v>
      </c>
      <c r="K6131" s="455">
        <f t="shared" ca="1" si="221"/>
        <v>190462307708087.25</v>
      </c>
      <c r="L6131" s="455">
        <f t="shared" ca="1" si="222"/>
        <v>4.5901416157649032E+16</v>
      </c>
      <c r="M6131" s="471">
        <f t="shared" si="224"/>
        <v>0.05</v>
      </c>
      <c r="N6131" s="475">
        <f t="shared" si="225"/>
        <v>237653</v>
      </c>
    </row>
    <row r="6132" spans="7:14" ht="11.25" customHeight="1" x14ac:dyDescent="0.3">
      <c r="G6132" s="470"/>
      <c r="H6132" s="470">
        <v>6125</v>
      </c>
      <c r="I6132" s="455">
        <f t="shared" ca="1" si="223"/>
        <v>4.5901416157649032E+16</v>
      </c>
      <c r="J6132" s="455">
        <f t="array" ref="J6132">IFERROR(INDEX('Retirement Calculator'!J:J,MATCH('Isaac 401k'!N6132,'Retirement Calculator'!A:A,0),0),0)</f>
        <v>0</v>
      </c>
      <c r="K6132" s="455">
        <f t="shared" ca="1" si="221"/>
        <v>191255900656870.97</v>
      </c>
      <c r="L6132" s="455">
        <f t="shared" ca="1" si="222"/>
        <v>4.6092672058305904E+16</v>
      </c>
      <c r="M6132" s="471">
        <f t="shared" si="224"/>
        <v>0.05</v>
      </c>
      <c r="N6132" s="475">
        <f t="shared" si="225"/>
        <v>237683</v>
      </c>
    </row>
    <row r="6133" spans="7:14" ht="11.25" customHeight="1" x14ac:dyDescent="0.3">
      <c r="G6133" s="470"/>
      <c r="H6133" s="470">
        <v>6126</v>
      </c>
      <c r="I6133" s="455">
        <f t="shared" ca="1" si="223"/>
        <v>4.6092672058305904E+16</v>
      </c>
      <c r="J6133" s="455">
        <f t="array" ref="J6133">IFERROR(INDEX('Retirement Calculator'!J:J,MATCH('Isaac 401k'!N6133,'Retirement Calculator'!A:A,0),0),0)</f>
        <v>0</v>
      </c>
      <c r="K6133" s="455">
        <f t="shared" ca="1" si="221"/>
        <v>192052800242941.25</v>
      </c>
      <c r="L6133" s="455">
        <f t="shared" ca="1" si="222"/>
        <v>4.6284724858548848E+16</v>
      </c>
      <c r="M6133" s="471">
        <f t="shared" si="224"/>
        <v>0.05</v>
      </c>
      <c r="N6133" s="475">
        <f t="shared" si="225"/>
        <v>237714</v>
      </c>
    </row>
    <row r="6134" spans="7:14" ht="11.25" customHeight="1" x14ac:dyDescent="0.3">
      <c r="G6134" s="470"/>
      <c r="H6134" s="470">
        <v>6127</v>
      </c>
      <c r="I6134" s="455">
        <f t="shared" ca="1" si="223"/>
        <v>4.6284724858548848E+16</v>
      </c>
      <c r="J6134" s="455">
        <f t="array" ref="J6134">IFERROR(INDEX('Retirement Calculator'!J:J,MATCH('Isaac 401k'!N6134,'Retirement Calculator'!A:A,0),0),0)</f>
        <v>0</v>
      </c>
      <c r="K6134" s="455">
        <f t="shared" ca="1" si="221"/>
        <v>192853020243953.53</v>
      </c>
      <c r="L6134" s="455">
        <f t="shared" ca="1" si="222"/>
        <v>4.64775778787928E+16</v>
      </c>
      <c r="M6134" s="471">
        <f t="shared" si="224"/>
        <v>0.05</v>
      </c>
      <c r="N6134" s="475">
        <f t="shared" si="225"/>
        <v>237744</v>
      </c>
    </row>
    <row r="6135" spans="7:14" ht="11.25" customHeight="1" x14ac:dyDescent="0.3">
      <c r="G6135" s="470"/>
      <c r="H6135" s="470">
        <v>6128</v>
      </c>
      <c r="I6135" s="455">
        <f t="shared" ca="1" si="223"/>
        <v>4.64775778787928E+16</v>
      </c>
      <c r="J6135" s="455">
        <f t="array" ref="J6135">IFERROR(INDEX('Retirement Calculator'!J:J,MATCH('Isaac 401k'!N6135,'Retirement Calculator'!A:A,0),0),0)</f>
        <v>0</v>
      </c>
      <c r="K6135" s="455">
        <f t="shared" ca="1" si="221"/>
        <v>193656574494970</v>
      </c>
      <c r="L6135" s="455">
        <f t="shared" ca="1" si="222"/>
        <v>4.6671234453287768E+16</v>
      </c>
      <c r="M6135" s="471">
        <f t="shared" si="224"/>
        <v>0.05</v>
      </c>
      <c r="N6135" s="475">
        <f t="shared" si="225"/>
        <v>237775</v>
      </c>
    </row>
    <row r="6136" spans="7:14" ht="11.25" customHeight="1" x14ac:dyDescent="0.3">
      <c r="G6136" s="470"/>
      <c r="H6136" s="470">
        <v>6129</v>
      </c>
      <c r="I6136" s="455">
        <f t="shared" ca="1" si="223"/>
        <v>4.6671234453287768E+16</v>
      </c>
      <c r="J6136" s="455">
        <f t="array" ref="J6136">IFERROR(INDEX('Retirement Calculator'!J:J,MATCH('Isaac 401k'!N6136,'Retirement Calculator'!A:A,0),0),0)</f>
        <v>0</v>
      </c>
      <c r="K6136" s="455">
        <f t="shared" ca="1" si="221"/>
        <v>194463476888699.03</v>
      </c>
      <c r="L6136" s="455">
        <f t="shared" ca="1" si="222"/>
        <v>4.6865697930176464E+16</v>
      </c>
      <c r="M6136" s="471">
        <f t="shared" si="224"/>
        <v>0.05</v>
      </c>
      <c r="N6136" s="475">
        <f t="shared" si="225"/>
        <v>237806</v>
      </c>
    </row>
    <row r="6137" spans="7:14" ht="11.25" customHeight="1" x14ac:dyDescent="0.3">
      <c r="G6137" s="470"/>
      <c r="H6137" s="470">
        <v>6130</v>
      </c>
      <c r="I6137" s="455">
        <f t="shared" ca="1" si="223"/>
        <v>4.6865697930176464E+16</v>
      </c>
      <c r="J6137" s="455">
        <f t="array" ref="J6137">IFERROR(INDEX('Retirement Calculator'!J:J,MATCH('Isaac 401k'!N6137,'Retirement Calculator'!A:A,0),0),0)</f>
        <v>0</v>
      </c>
      <c r="K6137" s="455">
        <f t="shared" ca="1" si="221"/>
        <v>195273741375735.25</v>
      </c>
      <c r="L6137" s="455">
        <f t="shared" ca="1" si="222"/>
        <v>4.70609716715522E+16</v>
      </c>
      <c r="M6137" s="471">
        <f t="shared" si="224"/>
        <v>0.05</v>
      </c>
      <c r="N6137" s="475">
        <f t="shared" si="225"/>
        <v>237834</v>
      </c>
    </row>
    <row r="6138" spans="7:14" ht="11.25" customHeight="1" x14ac:dyDescent="0.3">
      <c r="G6138" s="470"/>
      <c r="H6138" s="470">
        <v>6131</v>
      </c>
      <c r="I6138" s="455">
        <f t="shared" ca="1" si="223"/>
        <v>4.70609716715522E+16</v>
      </c>
      <c r="J6138" s="455">
        <f t="array" ref="J6138">IFERROR(INDEX('Retirement Calculator'!J:J,MATCH('Isaac 401k'!N6138,'Retirement Calculator'!A:A,0),0),0)</f>
        <v>0</v>
      </c>
      <c r="K6138" s="455">
        <f t="shared" ca="1" si="221"/>
        <v>196087381964800.84</v>
      </c>
      <c r="L6138" s="455">
        <f t="shared" ca="1" si="222"/>
        <v>4.7257059053517E+16</v>
      </c>
      <c r="M6138" s="471">
        <f t="shared" si="224"/>
        <v>0.05</v>
      </c>
      <c r="N6138" s="475">
        <f t="shared" si="225"/>
        <v>237865</v>
      </c>
    </row>
    <row r="6139" spans="7:14" ht="11.25" customHeight="1" x14ac:dyDescent="0.3">
      <c r="G6139" s="470"/>
      <c r="H6139" s="470">
        <v>6132</v>
      </c>
      <c r="I6139" s="455">
        <f t="shared" ca="1" si="223"/>
        <v>4.7257059053517E+16</v>
      </c>
      <c r="J6139" s="455">
        <f t="array" ref="J6139">IFERROR(INDEX('Retirement Calculator'!J:J,MATCH('Isaac 401k'!N6139,'Retirement Calculator'!A:A,0),0),0)</f>
        <v>0</v>
      </c>
      <c r="K6139" s="455">
        <f t="shared" ca="1" si="221"/>
        <v>196904412722987.5</v>
      </c>
      <c r="L6139" s="455">
        <f t="shared" ca="1" si="222"/>
        <v>4.7453963466239984E+16</v>
      </c>
      <c r="M6139" s="471">
        <f t="shared" si="224"/>
        <v>0.05</v>
      </c>
      <c r="N6139" s="475">
        <f t="shared" si="225"/>
        <v>237895</v>
      </c>
    </row>
    <row r="6140" spans="7:14" ht="11.25" customHeight="1" x14ac:dyDescent="0.3">
      <c r="G6140" s="470"/>
      <c r="H6140" s="470">
        <v>6133</v>
      </c>
      <c r="I6140" s="455">
        <f t="shared" ca="1" si="223"/>
        <v>4.7453963466239984E+16</v>
      </c>
      <c r="J6140" s="455">
        <f t="array" ref="J6140">IFERROR(INDEX('Retirement Calculator'!J:J,MATCH('Isaac 401k'!N6140,'Retirement Calculator'!A:A,0),0),0)</f>
        <v>0</v>
      </c>
      <c r="K6140" s="455">
        <f t="shared" ca="1" si="221"/>
        <v>197724847775999.94</v>
      </c>
      <c r="L6140" s="455">
        <f t="shared" ca="1" si="222"/>
        <v>4.7651688314015984E+16</v>
      </c>
      <c r="M6140" s="471">
        <f t="shared" si="224"/>
        <v>0.05</v>
      </c>
      <c r="N6140" s="475">
        <f t="shared" si="225"/>
        <v>237926</v>
      </c>
    </row>
    <row r="6141" spans="7:14" ht="11.25" customHeight="1" x14ac:dyDescent="0.3">
      <c r="G6141" s="470"/>
      <c r="H6141" s="470">
        <v>6134</v>
      </c>
      <c r="I6141" s="455">
        <f t="shared" ca="1" si="223"/>
        <v>4.7651688314015984E+16</v>
      </c>
      <c r="J6141" s="455">
        <f t="array" ref="J6141">IFERROR(INDEX('Retirement Calculator'!J:J,MATCH('Isaac 401k'!N6141,'Retirement Calculator'!A:A,0),0),0)</f>
        <v>0</v>
      </c>
      <c r="K6141" s="455">
        <f t="shared" ca="1" si="221"/>
        <v>198548701308399.94</v>
      </c>
      <c r="L6141" s="455">
        <f t="shared" ca="1" si="222"/>
        <v>4.7850237015324384E+16</v>
      </c>
      <c r="M6141" s="471">
        <f t="shared" si="224"/>
        <v>0.05</v>
      </c>
      <c r="N6141" s="475">
        <f t="shared" si="225"/>
        <v>237956</v>
      </c>
    </row>
    <row r="6142" spans="7:14" ht="11.25" customHeight="1" x14ac:dyDescent="0.3">
      <c r="G6142" s="470"/>
      <c r="H6142" s="470">
        <v>6135</v>
      </c>
      <c r="I6142" s="455">
        <f t="shared" ca="1" si="223"/>
        <v>4.7850237015324384E+16</v>
      </c>
      <c r="J6142" s="455">
        <f t="array" ref="J6142">IFERROR(INDEX('Retirement Calculator'!J:J,MATCH('Isaac 401k'!N6142,'Retirement Calculator'!A:A,0),0),0)</f>
        <v>0</v>
      </c>
      <c r="K6142" s="455">
        <f t="shared" ca="1" si="221"/>
        <v>199375987563851.59</v>
      </c>
      <c r="L6142" s="455">
        <f t="shared" ca="1" si="222"/>
        <v>4.8049613002888232E+16</v>
      </c>
      <c r="M6142" s="471">
        <f t="shared" si="224"/>
        <v>0.05</v>
      </c>
      <c r="N6142" s="475">
        <f t="shared" si="225"/>
        <v>237987</v>
      </c>
    </row>
    <row r="6143" spans="7:14" ht="11.25" customHeight="1" x14ac:dyDescent="0.3">
      <c r="G6143" s="470"/>
      <c r="H6143" s="470">
        <v>6136</v>
      </c>
      <c r="I6143" s="455">
        <f t="shared" ca="1" si="223"/>
        <v>4.8049613002888232E+16</v>
      </c>
      <c r="J6143" s="455">
        <f t="array" ref="J6143">IFERROR(INDEX('Retirement Calculator'!J:J,MATCH('Isaac 401k'!N6143,'Retirement Calculator'!A:A,0),0),0)</f>
        <v>0</v>
      </c>
      <c r="K6143" s="455">
        <f t="shared" ca="1" si="221"/>
        <v>200206720845367.63</v>
      </c>
      <c r="L6143" s="455">
        <f t="shared" ca="1" si="222"/>
        <v>4.82498197237336E+16</v>
      </c>
      <c r="M6143" s="471">
        <f t="shared" si="224"/>
        <v>0.05</v>
      </c>
      <c r="N6143" s="475">
        <f t="shared" si="225"/>
        <v>238018</v>
      </c>
    </row>
    <row r="6144" spans="7:14" ht="11.25" customHeight="1" x14ac:dyDescent="0.3">
      <c r="G6144" s="470"/>
      <c r="H6144" s="470">
        <v>6137</v>
      </c>
      <c r="I6144" s="455">
        <f t="shared" ca="1" si="223"/>
        <v>4.82498197237336E+16</v>
      </c>
      <c r="J6144" s="455">
        <f t="array" ref="J6144">IFERROR(INDEX('Retirement Calculator'!J:J,MATCH('Isaac 401k'!N6144,'Retirement Calculator'!A:A,0),0),0)</f>
        <v>0</v>
      </c>
      <c r="K6144" s="455">
        <f t="shared" ca="1" si="221"/>
        <v>201040915515556.66</v>
      </c>
      <c r="L6144" s="455">
        <f t="shared" ca="1" si="222"/>
        <v>4.845086063924916E+16</v>
      </c>
      <c r="M6144" s="471">
        <f t="shared" si="224"/>
        <v>0.05</v>
      </c>
      <c r="N6144" s="475">
        <f t="shared" si="225"/>
        <v>238048</v>
      </c>
    </row>
    <row r="6145" spans="7:14" ht="11.25" customHeight="1" x14ac:dyDescent="0.3">
      <c r="G6145" s="470"/>
      <c r="H6145" s="470">
        <v>6138</v>
      </c>
      <c r="I6145" s="455">
        <f t="shared" ca="1" si="223"/>
        <v>4.845086063924916E+16</v>
      </c>
      <c r="J6145" s="455">
        <f t="array" ref="J6145">IFERROR(INDEX('Retirement Calculator'!J:J,MATCH('Isaac 401k'!N6145,'Retirement Calculator'!A:A,0),0),0)</f>
        <v>0</v>
      </c>
      <c r="K6145" s="455">
        <f t="shared" ca="1" si="221"/>
        <v>201878585996871.5</v>
      </c>
      <c r="L6145" s="455">
        <f t="shared" ca="1" si="222"/>
        <v>4.8652739225246032E+16</v>
      </c>
      <c r="M6145" s="471">
        <f t="shared" si="224"/>
        <v>0.05</v>
      </c>
      <c r="N6145" s="475">
        <f t="shared" si="225"/>
        <v>238079</v>
      </c>
    </row>
    <row r="6146" spans="7:14" ht="11.25" customHeight="1" x14ac:dyDescent="0.3">
      <c r="G6146" s="470"/>
      <c r="H6146" s="470">
        <v>6139</v>
      </c>
      <c r="I6146" s="455">
        <f t="shared" ca="1" si="223"/>
        <v>4.8652739225246032E+16</v>
      </c>
      <c r="J6146" s="455">
        <f t="array" ref="J6146">IFERROR(INDEX('Retirement Calculator'!J:J,MATCH('Isaac 401k'!N6146,'Retirement Calculator'!A:A,0),0),0)</f>
        <v>0</v>
      </c>
      <c r="K6146" s="455">
        <f t="shared" ca="1" si="221"/>
        <v>202719746771858.47</v>
      </c>
      <c r="L6146" s="455">
        <f t="shared" ca="1" si="222"/>
        <v>4.8855458972017888E+16</v>
      </c>
      <c r="M6146" s="471">
        <f t="shared" si="224"/>
        <v>0.05</v>
      </c>
      <c r="N6146" s="475">
        <f t="shared" si="225"/>
        <v>238109</v>
      </c>
    </row>
    <row r="6147" spans="7:14" ht="11.25" customHeight="1" x14ac:dyDescent="0.3">
      <c r="G6147" s="470"/>
      <c r="H6147" s="470">
        <v>6140</v>
      </c>
      <c r="I6147" s="455">
        <f t="shared" ca="1" si="223"/>
        <v>4.8855458972017888E+16</v>
      </c>
      <c r="J6147" s="455">
        <f t="array" ref="J6147">IFERROR(INDEX('Retirement Calculator'!J:J,MATCH('Isaac 401k'!N6147,'Retirement Calculator'!A:A,0),0),0)</f>
        <v>0</v>
      </c>
      <c r="K6147" s="455">
        <f t="shared" ca="1" si="221"/>
        <v>203564412383407.88</v>
      </c>
      <c r="L6147" s="455">
        <f t="shared" ca="1" si="222"/>
        <v>4.9059023384401296E+16</v>
      </c>
      <c r="M6147" s="471">
        <f t="shared" si="224"/>
        <v>0.05</v>
      </c>
      <c r="N6147" s="475">
        <f t="shared" si="225"/>
        <v>238140</v>
      </c>
    </row>
    <row r="6148" spans="7:14" ht="11.25" customHeight="1" x14ac:dyDescent="0.3">
      <c r="G6148" s="470"/>
      <c r="H6148" s="470">
        <v>6141</v>
      </c>
      <c r="I6148" s="455">
        <f t="shared" ca="1" si="223"/>
        <v>4.9059023384401296E+16</v>
      </c>
      <c r="J6148" s="455">
        <f t="array" ref="J6148">IFERROR(INDEX('Retirement Calculator'!J:J,MATCH('Isaac 401k'!N6148,'Retirement Calculator'!A:A,0),0),0)</f>
        <v>0</v>
      </c>
      <c r="K6148" s="455">
        <f t="shared" ca="1" si="221"/>
        <v>204412597435005.41</v>
      </c>
      <c r="L6148" s="455">
        <f t="shared" ca="1" si="222"/>
        <v>4.9263435981836304E+16</v>
      </c>
      <c r="M6148" s="471">
        <f t="shared" si="224"/>
        <v>0.05</v>
      </c>
      <c r="N6148" s="475">
        <f t="shared" si="225"/>
        <v>238171</v>
      </c>
    </row>
    <row r="6149" spans="7:14" ht="11.25" customHeight="1" x14ac:dyDescent="0.3">
      <c r="G6149" s="470"/>
      <c r="H6149" s="470">
        <v>6142</v>
      </c>
      <c r="I6149" s="455">
        <f t="shared" ca="1" si="223"/>
        <v>4.9263435981836304E+16</v>
      </c>
      <c r="J6149" s="455">
        <f t="array" ref="J6149">IFERROR(INDEX('Retirement Calculator'!J:J,MATCH('Isaac 401k'!N6149,'Retirement Calculator'!A:A,0),0),0)</f>
        <v>0</v>
      </c>
      <c r="K6149" s="455">
        <f t="shared" ca="1" si="221"/>
        <v>205264316590984.59</v>
      </c>
      <c r="L6149" s="455">
        <f t="shared" ca="1" si="222"/>
        <v>4.9468700298427288E+16</v>
      </c>
      <c r="M6149" s="471">
        <f t="shared" si="224"/>
        <v>0.05</v>
      </c>
      <c r="N6149" s="475">
        <f t="shared" si="225"/>
        <v>238200</v>
      </c>
    </row>
    <row r="6150" spans="7:14" ht="11.25" customHeight="1" x14ac:dyDescent="0.3">
      <c r="G6150" s="470"/>
      <c r="H6150" s="470">
        <v>6143</v>
      </c>
      <c r="I6150" s="455">
        <f t="shared" ca="1" si="223"/>
        <v>4.9468700298427288E+16</v>
      </c>
      <c r="J6150" s="455">
        <f t="array" ref="J6150">IFERROR(INDEX('Retirement Calculator'!J:J,MATCH('Isaac 401k'!N6150,'Retirement Calculator'!A:A,0),0),0)</f>
        <v>0</v>
      </c>
      <c r="K6150" s="455">
        <f t="shared" ca="1" si="221"/>
        <v>206119584576780.38</v>
      </c>
      <c r="L6150" s="455">
        <f t="shared" ca="1" si="222"/>
        <v>4.9674819883004072E+16</v>
      </c>
      <c r="M6150" s="471">
        <f t="shared" si="224"/>
        <v>0.05</v>
      </c>
      <c r="N6150" s="475">
        <f t="shared" si="225"/>
        <v>238231</v>
      </c>
    </row>
    <row r="6151" spans="7:14" ht="11.25" customHeight="1" x14ac:dyDescent="0.3">
      <c r="G6151" s="470"/>
      <c r="H6151" s="470">
        <v>6144</v>
      </c>
      <c r="I6151" s="455">
        <f t="shared" ca="1" si="223"/>
        <v>4.9674819883004072E+16</v>
      </c>
      <c r="J6151" s="455">
        <f t="array" ref="J6151">IFERROR(INDEX('Retirement Calculator'!J:J,MATCH('Isaac 401k'!N6151,'Retirement Calculator'!A:A,0),0),0)</f>
        <v>0</v>
      </c>
      <c r="K6151" s="455">
        <f t="shared" ca="1" si="221"/>
        <v>206978416179183.63</v>
      </c>
      <c r="L6151" s="455">
        <f t="shared" ca="1" si="222"/>
        <v>4.9881798299183256E+16</v>
      </c>
      <c r="M6151" s="471">
        <f t="shared" si="224"/>
        <v>0.05</v>
      </c>
      <c r="N6151" s="475">
        <f t="shared" si="225"/>
        <v>238261</v>
      </c>
    </row>
    <row r="6152" spans="7:14" ht="11.25" customHeight="1" x14ac:dyDescent="0.3">
      <c r="G6152" s="470"/>
      <c r="H6152" s="470">
        <v>6145</v>
      </c>
      <c r="I6152" s="455">
        <f t="shared" ca="1" si="223"/>
        <v>4.9881798299183256E+16</v>
      </c>
      <c r="J6152" s="455">
        <f t="array" ref="J6152">IFERROR(INDEX('Retirement Calculator'!J:J,MATCH('Isaac 401k'!N6152,'Retirement Calculator'!A:A,0),0),0)</f>
        <v>0</v>
      </c>
      <c r="K6152" s="455">
        <f t="shared" ca="1" si="221"/>
        <v>207840826246596.91</v>
      </c>
      <c r="L6152" s="455">
        <f t="shared" ca="1" si="222"/>
        <v>5.0089639125429856E+16</v>
      </c>
      <c r="M6152" s="471">
        <f t="shared" si="224"/>
        <v>0.05</v>
      </c>
      <c r="N6152" s="475">
        <f t="shared" si="225"/>
        <v>238292</v>
      </c>
    </row>
    <row r="6153" spans="7:14" ht="11.25" customHeight="1" x14ac:dyDescent="0.3">
      <c r="G6153" s="470"/>
      <c r="H6153" s="470">
        <v>6146</v>
      </c>
      <c r="I6153" s="455">
        <f t="shared" ca="1" si="223"/>
        <v>5.0089639125429856E+16</v>
      </c>
      <c r="J6153" s="455">
        <f t="array" ref="J6153">IFERROR(INDEX('Retirement Calculator'!J:J,MATCH('Isaac 401k'!N6153,'Retirement Calculator'!A:A,0),0),0)</f>
        <v>0</v>
      </c>
      <c r="K6153" s="455">
        <f t="shared" ca="1" si="221"/>
        <v>208706829689291.06</v>
      </c>
      <c r="L6153" s="455">
        <f t="shared" ca="1" si="222"/>
        <v>5.0298345955119144E+16</v>
      </c>
      <c r="M6153" s="471">
        <f t="shared" si="224"/>
        <v>0.05</v>
      </c>
      <c r="N6153" s="475">
        <f t="shared" si="225"/>
        <v>238322</v>
      </c>
    </row>
    <row r="6154" spans="7:14" ht="11.25" customHeight="1" x14ac:dyDescent="0.3">
      <c r="G6154" s="470"/>
      <c r="H6154" s="470">
        <v>6147</v>
      </c>
      <c r="I6154" s="455">
        <f t="shared" ca="1" si="223"/>
        <v>5.0298345955119144E+16</v>
      </c>
      <c r="J6154" s="455">
        <f t="array" ref="J6154">IFERROR(INDEX('Retirement Calculator'!J:J,MATCH('Isaac 401k'!N6154,'Retirement Calculator'!A:A,0),0),0)</f>
        <v>0</v>
      </c>
      <c r="K6154" s="455">
        <f t="shared" ca="1" si="221"/>
        <v>209576441479663.09</v>
      </c>
      <c r="L6154" s="455">
        <f t="shared" ca="1" si="222"/>
        <v>5.0507922396598808E+16</v>
      </c>
      <c r="M6154" s="471">
        <f t="shared" si="224"/>
        <v>0.05</v>
      </c>
      <c r="N6154" s="475">
        <f t="shared" si="225"/>
        <v>238353</v>
      </c>
    </row>
    <row r="6155" spans="7:14" ht="11.25" customHeight="1" x14ac:dyDescent="0.3">
      <c r="G6155" s="470"/>
      <c r="H6155" s="470">
        <v>6148</v>
      </c>
      <c r="I6155" s="455">
        <f t="shared" ca="1" si="223"/>
        <v>5.0507922396598808E+16</v>
      </c>
      <c r="J6155" s="455">
        <f t="array" ref="J6155">IFERROR(INDEX('Retirement Calculator'!J:J,MATCH('Isaac 401k'!N6155,'Retirement Calculator'!A:A,0),0),0)</f>
        <v>0</v>
      </c>
      <c r="K6155" s="455">
        <f t="shared" ca="1" si="221"/>
        <v>210449676652495.03</v>
      </c>
      <c r="L6155" s="455">
        <f t="shared" ca="1" si="222"/>
        <v>5.0718372073251304E+16</v>
      </c>
      <c r="M6155" s="471">
        <f t="shared" si="224"/>
        <v>0.05</v>
      </c>
      <c r="N6155" s="475">
        <f t="shared" si="225"/>
        <v>238384</v>
      </c>
    </row>
    <row r="6156" spans="7:14" ht="11.25" customHeight="1" x14ac:dyDescent="0.3">
      <c r="G6156" s="470"/>
      <c r="H6156" s="470">
        <v>6149</v>
      </c>
      <c r="I6156" s="455">
        <f t="shared" ca="1" si="223"/>
        <v>5.0718372073251304E+16</v>
      </c>
      <c r="J6156" s="455">
        <f t="array" ref="J6156">IFERROR(INDEX('Retirement Calculator'!J:J,MATCH('Isaac 401k'!N6156,'Retirement Calculator'!A:A,0),0),0)</f>
        <v>0</v>
      </c>
      <c r="K6156" s="455">
        <f t="shared" ca="1" si="221"/>
        <v>211326550305213.75</v>
      </c>
      <c r="L6156" s="455">
        <f t="shared" ca="1" si="222"/>
        <v>5.092969862355652E+16</v>
      </c>
      <c r="M6156" s="471">
        <f t="shared" si="224"/>
        <v>0.05</v>
      </c>
      <c r="N6156" s="475">
        <f t="shared" si="225"/>
        <v>238414</v>
      </c>
    </row>
    <row r="6157" spans="7:14" ht="11.25" customHeight="1" x14ac:dyDescent="0.3">
      <c r="G6157" s="470"/>
      <c r="H6157" s="470">
        <v>6150</v>
      </c>
      <c r="I6157" s="455">
        <f t="shared" ca="1" si="223"/>
        <v>5.092969862355652E+16</v>
      </c>
      <c r="J6157" s="455">
        <f t="array" ref="J6157">IFERROR(INDEX('Retirement Calculator'!J:J,MATCH('Isaac 401k'!N6157,'Retirement Calculator'!A:A,0),0),0)</f>
        <v>0</v>
      </c>
      <c r="K6157" s="455">
        <f t="shared" ca="1" si="221"/>
        <v>212207077598152.16</v>
      </c>
      <c r="L6157" s="455">
        <f t="shared" ca="1" si="222"/>
        <v>5.1141905701154672E+16</v>
      </c>
      <c r="M6157" s="471">
        <f t="shared" si="224"/>
        <v>0.05</v>
      </c>
      <c r="N6157" s="475">
        <f t="shared" si="225"/>
        <v>238445</v>
      </c>
    </row>
    <row r="6158" spans="7:14" ht="11.25" customHeight="1" x14ac:dyDescent="0.3">
      <c r="G6158" s="470"/>
      <c r="H6158" s="470">
        <v>6151</v>
      </c>
      <c r="I6158" s="455">
        <f t="shared" ca="1" si="223"/>
        <v>5.1141905701154672E+16</v>
      </c>
      <c r="J6158" s="455">
        <f t="array" ref="J6158">IFERROR(INDEX('Retirement Calculator'!J:J,MATCH('Isaac 401k'!N6158,'Retirement Calculator'!A:A,0),0),0)</f>
        <v>0</v>
      </c>
      <c r="K6158" s="455">
        <f t="shared" ca="1" si="221"/>
        <v>213091273754811.13</v>
      </c>
      <c r="L6158" s="455">
        <f t="shared" ca="1" si="222"/>
        <v>5.135499697490948E+16</v>
      </c>
      <c r="M6158" s="471">
        <f t="shared" si="224"/>
        <v>0.05</v>
      </c>
      <c r="N6158" s="475">
        <f t="shared" si="225"/>
        <v>238475</v>
      </c>
    </row>
    <row r="6159" spans="7:14" ht="11.25" customHeight="1" x14ac:dyDescent="0.3">
      <c r="G6159" s="470"/>
      <c r="H6159" s="470">
        <v>6152</v>
      </c>
      <c r="I6159" s="455">
        <f t="shared" ca="1" si="223"/>
        <v>5.135499697490948E+16</v>
      </c>
      <c r="J6159" s="455">
        <f t="array" ref="J6159">IFERROR(INDEX('Retirement Calculator'!J:J,MATCH('Isaac 401k'!N6159,'Retirement Calculator'!A:A,0),0),0)</f>
        <v>0</v>
      </c>
      <c r="K6159" s="455">
        <f t="shared" ca="1" si="221"/>
        <v>213979154062122.84</v>
      </c>
      <c r="L6159" s="455">
        <f t="shared" ca="1" si="222"/>
        <v>5.15689761289716E+16</v>
      </c>
      <c r="M6159" s="471">
        <f t="shared" si="224"/>
        <v>0.05</v>
      </c>
      <c r="N6159" s="475">
        <f t="shared" si="225"/>
        <v>238506</v>
      </c>
    </row>
    <row r="6160" spans="7:14" ht="11.25" customHeight="1" x14ac:dyDescent="0.3">
      <c r="G6160" s="470"/>
      <c r="H6160" s="470">
        <v>6153</v>
      </c>
      <c r="I6160" s="455">
        <f t="shared" ca="1" si="223"/>
        <v>5.15689761289716E+16</v>
      </c>
      <c r="J6160" s="455">
        <f t="array" ref="J6160">IFERROR(INDEX('Retirement Calculator'!J:J,MATCH('Isaac 401k'!N6160,'Retirement Calculator'!A:A,0),0),0)</f>
        <v>0</v>
      </c>
      <c r="K6160" s="455">
        <f t="shared" ca="1" si="221"/>
        <v>214870733870715</v>
      </c>
      <c r="L6160" s="455">
        <f t="shared" ca="1" si="222"/>
        <v>5.1783846862842312E+16</v>
      </c>
      <c r="M6160" s="471">
        <f t="shared" si="224"/>
        <v>0.05</v>
      </c>
      <c r="N6160" s="475">
        <f t="shared" si="225"/>
        <v>238537</v>
      </c>
    </row>
    <row r="6161" spans="7:14" ht="11.25" customHeight="1" x14ac:dyDescent="0.3">
      <c r="G6161" s="470"/>
      <c r="H6161" s="470">
        <v>6154</v>
      </c>
      <c r="I6161" s="455">
        <f t="shared" ca="1" si="223"/>
        <v>5.1783846862842312E+16</v>
      </c>
      <c r="J6161" s="455">
        <f t="array" ref="J6161">IFERROR(INDEX('Retirement Calculator'!J:J,MATCH('Isaac 401k'!N6161,'Retirement Calculator'!A:A,0),0),0)</f>
        <v>0</v>
      </c>
      <c r="K6161" s="455">
        <f t="shared" ca="1" si="221"/>
        <v>215766028595176.31</v>
      </c>
      <c r="L6161" s="455">
        <f t="shared" ca="1" si="222"/>
        <v>5.1999612891437488E+16</v>
      </c>
      <c r="M6161" s="471">
        <f t="shared" si="224"/>
        <v>0.05</v>
      </c>
      <c r="N6161" s="475">
        <f t="shared" si="225"/>
        <v>238565</v>
      </c>
    </row>
    <row r="6162" spans="7:14" ht="11.25" customHeight="1" x14ac:dyDescent="0.3">
      <c r="G6162" s="470"/>
      <c r="H6162" s="470">
        <v>6155</v>
      </c>
      <c r="I6162" s="455">
        <f t="shared" ca="1" si="223"/>
        <v>5.1999612891437488E+16</v>
      </c>
      <c r="J6162" s="455">
        <f t="array" ref="J6162">IFERROR(INDEX('Retirement Calculator'!J:J,MATCH('Isaac 401k'!N6162,'Retirement Calculator'!A:A,0),0),0)</f>
        <v>0</v>
      </c>
      <c r="K6162" s="455">
        <f t="shared" ca="1" si="221"/>
        <v>216665053714322.88</v>
      </c>
      <c r="L6162" s="455">
        <f t="shared" ca="1" si="222"/>
        <v>5.2216277945151808E+16</v>
      </c>
      <c r="M6162" s="471">
        <f t="shared" si="224"/>
        <v>0.05</v>
      </c>
      <c r="N6162" s="475">
        <f t="shared" si="225"/>
        <v>238596</v>
      </c>
    </row>
    <row r="6163" spans="7:14" ht="11.25" customHeight="1" x14ac:dyDescent="0.3">
      <c r="G6163" s="470"/>
      <c r="H6163" s="470">
        <v>6156</v>
      </c>
      <c r="I6163" s="455">
        <f t="shared" ca="1" si="223"/>
        <v>5.2216277945151808E+16</v>
      </c>
      <c r="J6163" s="455">
        <f t="array" ref="J6163">IFERROR(INDEX('Retirement Calculator'!J:J,MATCH('Isaac 401k'!N6163,'Retirement Calculator'!A:A,0),0),0)</f>
        <v>0</v>
      </c>
      <c r="K6163" s="455">
        <f t="shared" ca="1" si="221"/>
        <v>217567824771465.88</v>
      </c>
      <c r="L6163" s="455">
        <f t="shared" ca="1" si="222"/>
        <v>5.2433845769923272E+16</v>
      </c>
      <c r="M6163" s="471">
        <f t="shared" si="224"/>
        <v>0.05</v>
      </c>
      <c r="N6163" s="475">
        <f t="shared" si="225"/>
        <v>238626</v>
      </c>
    </row>
    <row r="6164" spans="7:14" ht="11.25" customHeight="1" x14ac:dyDescent="0.3">
      <c r="G6164" s="470"/>
      <c r="H6164" s="470">
        <v>6157</v>
      </c>
      <c r="I6164" s="455">
        <f t="shared" ca="1" si="223"/>
        <v>5.2433845769923272E+16</v>
      </c>
      <c r="J6164" s="455">
        <f t="array" ref="J6164">IFERROR(INDEX('Retirement Calculator'!J:J,MATCH('Isaac 401k'!N6164,'Retirement Calculator'!A:A,0),0),0)</f>
        <v>0</v>
      </c>
      <c r="K6164" s="455">
        <f t="shared" ca="1" si="221"/>
        <v>218474357374680.31</v>
      </c>
      <c r="L6164" s="455">
        <f t="shared" ca="1" si="222"/>
        <v>5.2652320127297952E+16</v>
      </c>
      <c r="M6164" s="471">
        <f t="shared" si="224"/>
        <v>0.05</v>
      </c>
      <c r="N6164" s="475">
        <f t="shared" si="225"/>
        <v>238657</v>
      </c>
    </row>
    <row r="6165" spans="7:14" ht="11.25" customHeight="1" x14ac:dyDescent="0.3">
      <c r="G6165" s="470"/>
      <c r="H6165" s="470">
        <v>6158</v>
      </c>
      <c r="I6165" s="455">
        <f t="shared" ca="1" si="223"/>
        <v>5.2652320127297952E+16</v>
      </c>
      <c r="J6165" s="455">
        <f t="array" ref="J6165">IFERROR(INDEX('Retirement Calculator'!J:J,MATCH('Isaac 401k'!N6165,'Retirement Calculator'!A:A,0),0),0)</f>
        <v>0</v>
      </c>
      <c r="K6165" s="455">
        <f t="shared" ca="1" si="221"/>
        <v>219384667197074.81</v>
      </c>
      <c r="L6165" s="455">
        <f t="shared" ca="1" si="222"/>
        <v>5.2871704794495024E+16</v>
      </c>
      <c r="M6165" s="471">
        <f t="shared" si="224"/>
        <v>0.05</v>
      </c>
      <c r="N6165" s="475">
        <f t="shared" si="225"/>
        <v>238687</v>
      </c>
    </row>
    <row r="6166" spans="7:14" ht="11.25" customHeight="1" x14ac:dyDescent="0.3">
      <c r="G6166" s="470"/>
      <c r="H6166" s="470">
        <v>6159</v>
      </c>
      <c r="I6166" s="455">
        <f t="shared" ca="1" si="223"/>
        <v>5.2871704794495024E+16</v>
      </c>
      <c r="J6166" s="455">
        <f t="array" ref="J6166">IFERROR(INDEX('Retirement Calculator'!J:J,MATCH('Isaac 401k'!N6166,'Retirement Calculator'!A:A,0),0),0)</f>
        <v>0</v>
      </c>
      <c r="K6166" s="455">
        <f t="shared" ca="1" si="221"/>
        <v>220298769977062.59</v>
      </c>
      <c r="L6166" s="455">
        <f t="shared" ca="1" si="222"/>
        <v>5.3092003564472088E+16</v>
      </c>
      <c r="M6166" s="471">
        <f t="shared" si="224"/>
        <v>0.05</v>
      </c>
      <c r="N6166" s="475">
        <f t="shared" si="225"/>
        <v>238718</v>
      </c>
    </row>
    <row r="6167" spans="7:14" ht="11.25" customHeight="1" x14ac:dyDescent="0.3">
      <c r="G6167" s="470"/>
      <c r="H6167" s="470">
        <v>6160</v>
      </c>
      <c r="I6167" s="455">
        <f t="shared" ca="1" si="223"/>
        <v>5.3092003564472088E+16</v>
      </c>
      <c r="J6167" s="455">
        <f t="array" ref="J6167">IFERROR(INDEX('Retirement Calculator'!J:J,MATCH('Isaac 401k'!N6167,'Retirement Calculator'!A:A,0),0),0)</f>
        <v>0</v>
      </c>
      <c r="K6167" s="455">
        <f t="shared" ca="1" si="221"/>
        <v>221216681518633.69</v>
      </c>
      <c r="L6167" s="455">
        <f t="shared" ca="1" si="222"/>
        <v>5.331322024599072E+16</v>
      </c>
      <c r="M6167" s="471">
        <f t="shared" si="224"/>
        <v>0.05</v>
      </c>
      <c r="N6167" s="475">
        <f t="shared" si="225"/>
        <v>238749</v>
      </c>
    </row>
    <row r="6168" spans="7:14" ht="11.25" customHeight="1" x14ac:dyDescent="0.3">
      <c r="G6168" s="470"/>
      <c r="H6168" s="470">
        <v>6161</v>
      </c>
      <c r="I6168" s="455">
        <f t="shared" ca="1" si="223"/>
        <v>5.331322024599072E+16</v>
      </c>
      <c r="J6168" s="455">
        <f t="array" ref="J6168">IFERROR(INDEX('Retirement Calculator'!J:J,MATCH('Isaac 401k'!N6168,'Retirement Calculator'!A:A,0),0),0)</f>
        <v>0</v>
      </c>
      <c r="K6168" s="455">
        <f t="shared" ca="1" si="221"/>
        <v>222138417691628</v>
      </c>
      <c r="L6168" s="455">
        <f t="shared" ca="1" si="222"/>
        <v>5.3535358663682352E+16</v>
      </c>
      <c r="M6168" s="471">
        <f t="shared" si="224"/>
        <v>0.05</v>
      </c>
      <c r="N6168" s="475">
        <f t="shared" si="225"/>
        <v>238779</v>
      </c>
    </row>
    <row r="6169" spans="7:14" ht="11.25" customHeight="1" x14ac:dyDescent="0.3">
      <c r="G6169" s="470"/>
      <c r="H6169" s="470">
        <v>6162</v>
      </c>
      <c r="I6169" s="455">
        <f t="shared" ca="1" si="223"/>
        <v>5.3535358663682352E+16</v>
      </c>
      <c r="J6169" s="455">
        <f t="array" ref="J6169">IFERROR(INDEX('Retirement Calculator'!J:J,MATCH('Isaac 401k'!N6169,'Retirement Calculator'!A:A,0),0),0)</f>
        <v>0</v>
      </c>
      <c r="K6169" s="455">
        <f t="shared" ca="1" si="221"/>
        <v>223063994432009.81</v>
      </c>
      <c r="L6169" s="455">
        <f t="shared" ca="1" si="222"/>
        <v>5.375842265811436E+16</v>
      </c>
      <c r="M6169" s="471">
        <f t="shared" si="224"/>
        <v>0.05</v>
      </c>
      <c r="N6169" s="475">
        <f t="shared" si="225"/>
        <v>238810</v>
      </c>
    </row>
    <row r="6170" spans="7:14" ht="11.25" customHeight="1" x14ac:dyDescent="0.3">
      <c r="G6170" s="470"/>
      <c r="H6170" s="470">
        <v>6163</v>
      </c>
      <c r="I6170" s="455">
        <f t="shared" ca="1" si="223"/>
        <v>5.375842265811436E+16</v>
      </c>
      <c r="J6170" s="455">
        <f t="array" ref="J6170">IFERROR(INDEX('Retirement Calculator'!J:J,MATCH('Isaac 401k'!N6170,'Retirement Calculator'!A:A,0),0),0)</f>
        <v>0</v>
      </c>
      <c r="K6170" s="455">
        <f t="shared" ca="1" si="221"/>
        <v>223993427742143.16</v>
      </c>
      <c r="L6170" s="455">
        <f t="shared" ca="1" si="222"/>
        <v>5.3982416085856504E+16</v>
      </c>
      <c r="M6170" s="471">
        <f t="shared" si="224"/>
        <v>0.05</v>
      </c>
      <c r="N6170" s="475">
        <f t="shared" si="225"/>
        <v>238840</v>
      </c>
    </row>
    <row r="6171" spans="7:14" ht="11.25" customHeight="1" x14ac:dyDescent="0.3">
      <c r="G6171" s="470"/>
      <c r="H6171" s="470">
        <v>6164</v>
      </c>
      <c r="I6171" s="455">
        <f t="shared" ca="1" si="223"/>
        <v>5.3982416085856504E+16</v>
      </c>
      <c r="J6171" s="455">
        <f t="array" ref="J6171">IFERROR(INDEX('Retirement Calculator'!J:J,MATCH('Isaac 401k'!N6171,'Retirement Calculator'!A:A,0),0),0)</f>
        <v>0</v>
      </c>
      <c r="K6171" s="455">
        <f t="shared" ca="1" si="221"/>
        <v>224926733691068.75</v>
      </c>
      <c r="L6171" s="455">
        <f t="shared" ca="1" si="222"/>
        <v>5.4207342819547576E+16</v>
      </c>
      <c r="M6171" s="471">
        <f t="shared" si="224"/>
        <v>0.05</v>
      </c>
      <c r="N6171" s="475">
        <f t="shared" si="225"/>
        <v>238871</v>
      </c>
    </row>
    <row r="6172" spans="7:14" ht="11.25" customHeight="1" x14ac:dyDescent="0.3">
      <c r="G6172" s="470"/>
      <c r="H6172" s="470">
        <v>6165</v>
      </c>
      <c r="I6172" s="455">
        <f t="shared" ca="1" si="223"/>
        <v>5.4207342819547576E+16</v>
      </c>
      <c r="J6172" s="455">
        <f t="array" ref="J6172">IFERROR(INDEX('Retirement Calculator'!J:J,MATCH('Isaac 401k'!N6172,'Retirement Calculator'!A:A,0),0),0)</f>
        <v>0</v>
      </c>
      <c r="K6172" s="455">
        <f t="shared" ca="1" si="221"/>
        <v>225863928414781.56</v>
      </c>
      <c r="L6172" s="455">
        <f t="shared" ca="1" si="222"/>
        <v>5.443320674796236E+16</v>
      </c>
      <c r="M6172" s="471">
        <f t="shared" si="224"/>
        <v>0.05</v>
      </c>
      <c r="N6172" s="475">
        <f t="shared" si="225"/>
        <v>238902</v>
      </c>
    </row>
    <row r="6173" spans="7:14" ht="11.25" customHeight="1" x14ac:dyDescent="0.3">
      <c r="G6173" s="470"/>
      <c r="H6173" s="470">
        <v>6166</v>
      </c>
      <c r="I6173" s="455">
        <f t="shared" ca="1" si="223"/>
        <v>5.443320674796236E+16</v>
      </c>
      <c r="J6173" s="455">
        <f t="array" ref="J6173">IFERROR(INDEX('Retirement Calculator'!J:J,MATCH('Isaac 401k'!N6173,'Retirement Calculator'!A:A,0),0),0)</f>
        <v>0</v>
      </c>
      <c r="K6173" s="455">
        <f t="shared" ca="1" si="221"/>
        <v>226805028116509.84</v>
      </c>
      <c r="L6173" s="455">
        <f t="shared" ca="1" si="222"/>
        <v>5.4660011776078872E+16</v>
      </c>
      <c r="M6173" s="471">
        <f t="shared" si="224"/>
        <v>0.05</v>
      </c>
      <c r="N6173" s="475">
        <f t="shared" si="225"/>
        <v>238930</v>
      </c>
    </row>
    <row r="6174" spans="7:14" ht="11.25" customHeight="1" x14ac:dyDescent="0.3">
      <c r="G6174" s="470"/>
      <c r="H6174" s="470">
        <v>6167</v>
      </c>
      <c r="I6174" s="455">
        <f t="shared" ca="1" si="223"/>
        <v>5.4660011776078872E+16</v>
      </c>
      <c r="J6174" s="455">
        <f t="array" ref="J6174">IFERROR(INDEX('Retirement Calculator'!J:J,MATCH('Isaac 401k'!N6174,'Retirement Calculator'!A:A,0),0),0)</f>
        <v>0</v>
      </c>
      <c r="K6174" s="455">
        <f t="shared" ca="1" si="221"/>
        <v>227750049066995.28</v>
      </c>
      <c r="L6174" s="455">
        <f t="shared" ca="1" si="222"/>
        <v>5.4887761825145864E+16</v>
      </c>
      <c r="M6174" s="471">
        <f t="shared" si="224"/>
        <v>0.05</v>
      </c>
      <c r="N6174" s="475">
        <f t="shared" si="225"/>
        <v>238961</v>
      </c>
    </row>
    <row r="6175" spans="7:14" ht="11.25" customHeight="1" x14ac:dyDescent="0.3">
      <c r="G6175" s="470"/>
      <c r="H6175" s="470">
        <v>6168</v>
      </c>
      <c r="I6175" s="455">
        <f t="shared" ca="1" si="223"/>
        <v>5.4887761825145864E+16</v>
      </c>
      <c r="J6175" s="455">
        <f t="array" ref="J6175">IFERROR(INDEX('Retirement Calculator'!J:J,MATCH('Isaac 401k'!N6175,'Retirement Calculator'!A:A,0),0),0)</f>
        <v>0</v>
      </c>
      <c r="K6175" s="455">
        <f t="shared" ca="1" si="221"/>
        <v>228699007604774.44</v>
      </c>
      <c r="L6175" s="455">
        <f t="shared" ca="1" si="222"/>
        <v>5.511646083275064E+16</v>
      </c>
      <c r="M6175" s="471">
        <f t="shared" si="224"/>
        <v>0.05</v>
      </c>
      <c r="N6175" s="475">
        <f t="shared" si="225"/>
        <v>238991</v>
      </c>
    </row>
    <row r="6176" spans="7:14" ht="11.25" customHeight="1" x14ac:dyDescent="0.3">
      <c r="G6176" s="470"/>
      <c r="H6176" s="470">
        <v>6169</v>
      </c>
      <c r="I6176" s="455">
        <f t="shared" ca="1" si="223"/>
        <v>5.511646083275064E+16</v>
      </c>
      <c r="J6176" s="455">
        <f t="array" ref="J6176">IFERROR(INDEX('Retirement Calculator'!J:J,MATCH('Isaac 401k'!N6176,'Retirement Calculator'!A:A,0),0),0)</f>
        <v>0</v>
      </c>
      <c r="K6176" s="455">
        <f t="shared" ca="1" si="221"/>
        <v>229651920136461</v>
      </c>
      <c r="L6176" s="455">
        <f t="shared" ca="1" si="222"/>
        <v>5.5346112752887104E+16</v>
      </c>
      <c r="M6176" s="471">
        <f t="shared" si="224"/>
        <v>0.05</v>
      </c>
      <c r="N6176" s="475">
        <f t="shared" si="225"/>
        <v>239022</v>
      </c>
    </row>
    <row r="6177" spans="7:14" ht="11.25" customHeight="1" x14ac:dyDescent="0.3">
      <c r="G6177" s="470"/>
      <c r="H6177" s="470">
        <v>6170</v>
      </c>
      <c r="I6177" s="455">
        <f t="shared" ca="1" si="223"/>
        <v>5.5346112752887104E+16</v>
      </c>
      <c r="J6177" s="455">
        <f t="array" ref="J6177">IFERROR(INDEX('Retirement Calculator'!J:J,MATCH('Isaac 401k'!N6177,'Retirement Calculator'!A:A,0),0),0)</f>
        <v>0</v>
      </c>
      <c r="K6177" s="455">
        <f t="shared" ca="1" si="221"/>
        <v>230608803137029.59</v>
      </c>
      <c r="L6177" s="455">
        <f t="shared" ca="1" si="222"/>
        <v>5.5576721556024136E+16</v>
      </c>
      <c r="M6177" s="471">
        <f t="shared" si="224"/>
        <v>0.05</v>
      </c>
      <c r="N6177" s="475">
        <f t="shared" si="225"/>
        <v>239052</v>
      </c>
    </row>
    <row r="6178" spans="7:14" ht="11.25" customHeight="1" x14ac:dyDescent="0.3">
      <c r="G6178" s="470"/>
      <c r="H6178" s="470">
        <v>6171</v>
      </c>
      <c r="I6178" s="455">
        <f t="shared" ca="1" si="223"/>
        <v>5.5576721556024136E+16</v>
      </c>
      <c r="J6178" s="455">
        <f t="array" ref="J6178">IFERROR(INDEX('Retirement Calculator'!J:J,MATCH('Isaac 401k'!N6178,'Retirement Calculator'!A:A,0),0),0)</f>
        <v>0</v>
      </c>
      <c r="K6178" s="455">
        <f t="shared" ca="1" si="221"/>
        <v>231569673150100.56</v>
      </c>
      <c r="L6178" s="455">
        <f t="shared" ca="1" si="222"/>
        <v>5.580829122917424E+16</v>
      </c>
      <c r="M6178" s="471">
        <f t="shared" si="224"/>
        <v>0.05</v>
      </c>
      <c r="N6178" s="475">
        <f t="shared" si="225"/>
        <v>239083</v>
      </c>
    </row>
    <row r="6179" spans="7:14" ht="11.25" customHeight="1" x14ac:dyDescent="0.3">
      <c r="G6179" s="470"/>
      <c r="H6179" s="470">
        <v>6172</v>
      </c>
      <c r="I6179" s="455">
        <f t="shared" ca="1" si="223"/>
        <v>5.580829122917424E+16</v>
      </c>
      <c r="J6179" s="455">
        <f t="array" ref="J6179">IFERROR(INDEX('Retirement Calculator'!J:J,MATCH('Isaac 401k'!N6179,'Retirement Calculator'!A:A,0),0),0)</f>
        <v>0</v>
      </c>
      <c r="K6179" s="455">
        <f t="shared" ca="1" si="221"/>
        <v>232534546788226</v>
      </c>
      <c r="L6179" s="455">
        <f t="shared" ca="1" si="222"/>
        <v>5.6040825775962464E+16</v>
      </c>
      <c r="M6179" s="471">
        <f t="shared" si="224"/>
        <v>0.05</v>
      </c>
      <c r="N6179" s="475">
        <f t="shared" si="225"/>
        <v>239114</v>
      </c>
    </row>
    <row r="6180" spans="7:14" ht="11.25" customHeight="1" x14ac:dyDescent="0.3">
      <c r="G6180" s="470"/>
      <c r="H6180" s="470">
        <v>6173</v>
      </c>
      <c r="I6180" s="455">
        <f t="shared" ca="1" si="223"/>
        <v>5.6040825775962464E+16</v>
      </c>
      <c r="J6180" s="455">
        <f t="array" ref="J6180">IFERROR(INDEX('Retirement Calculator'!J:J,MATCH('Isaac 401k'!N6180,'Retirement Calculator'!A:A,0),0),0)</f>
        <v>0</v>
      </c>
      <c r="K6180" s="455">
        <f t="shared" ca="1" si="221"/>
        <v>233503440733176.94</v>
      </c>
      <c r="L6180" s="455">
        <f t="shared" ca="1" si="222"/>
        <v>5.627432921669564E+16</v>
      </c>
      <c r="M6180" s="471">
        <f t="shared" si="224"/>
        <v>0.05</v>
      </c>
      <c r="N6180" s="475">
        <f t="shared" si="225"/>
        <v>239144</v>
      </c>
    </row>
    <row r="6181" spans="7:14" ht="11.25" customHeight="1" x14ac:dyDescent="0.3">
      <c r="G6181" s="470"/>
      <c r="H6181" s="470">
        <v>6174</v>
      </c>
      <c r="I6181" s="455">
        <f t="shared" ca="1" si="223"/>
        <v>5.627432921669564E+16</v>
      </c>
      <c r="J6181" s="455">
        <f t="array" ref="J6181">IFERROR(INDEX('Retirement Calculator'!J:J,MATCH('Isaac 401k'!N6181,'Retirement Calculator'!A:A,0),0),0)</f>
        <v>0</v>
      </c>
      <c r="K6181" s="455">
        <f t="shared" ca="1" si="221"/>
        <v>234476371736231.84</v>
      </c>
      <c r="L6181" s="455">
        <f t="shared" ca="1" si="222"/>
        <v>5.6508805588431872E+16</v>
      </c>
      <c r="M6181" s="471">
        <f t="shared" si="224"/>
        <v>0.05</v>
      </c>
      <c r="N6181" s="475">
        <f t="shared" si="225"/>
        <v>239175</v>
      </c>
    </row>
    <row r="6182" spans="7:14" ht="11.25" customHeight="1" x14ac:dyDescent="0.3">
      <c r="G6182" s="470"/>
      <c r="H6182" s="470">
        <v>6175</v>
      </c>
      <c r="I6182" s="455">
        <f t="shared" ca="1" si="223"/>
        <v>5.6508805588431872E+16</v>
      </c>
      <c r="J6182" s="455">
        <f t="array" ref="J6182">IFERROR(INDEX('Retirement Calculator'!J:J,MATCH('Isaac 401k'!N6182,'Retirement Calculator'!A:A,0),0),0)</f>
        <v>0</v>
      </c>
      <c r="K6182" s="455">
        <f t="shared" ca="1" si="221"/>
        <v>235453356618466.13</v>
      </c>
      <c r="L6182" s="455">
        <f t="shared" ca="1" si="222"/>
        <v>5.6744258945050336E+16</v>
      </c>
      <c r="M6182" s="471">
        <f t="shared" si="224"/>
        <v>0.05</v>
      </c>
      <c r="N6182" s="475">
        <f t="shared" si="225"/>
        <v>239205</v>
      </c>
    </row>
    <row r="6183" spans="7:14" ht="11.25" customHeight="1" x14ac:dyDescent="0.3">
      <c r="G6183" s="470"/>
      <c r="H6183" s="470">
        <v>6176</v>
      </c>
      <c r="I6183" s="455">
        <f t="shared" ca="1" si="223"/>
        <v>5.6744258945050336E+16</v>
      </c>
      <c r="J6183" s="455">
        <f t="array" ref="J6183">IFERROR(INDEX('Retirement Calculator'!J:J,MATCH('Isaac 401k'!N6183,'Retirement Calculator'!A:A,0),0),0)</f>
        <v>0</v>
      </c>
      <c r="K6183" s="455">
        <f t="shared" ca="1" si="221"/>
        <v>236434412271043.06</v>
      </c>
      <c r="L6183" s="455">
        <f t="shared" ca="1" si="222"/>
        <v>5.6980693357321376E+16</v>
      </c>
      <c r="M6183" s="471">
        <f t="shared" si="224"/>
        <v>0.05</v>
      </c>
      <c r="N6183" s="475">
        <f t="shared" si="225"/>
        <v>239236</v>
      </c>
    </row>
    <row r="6184" spans="7:14" ht="11.25" customHeight="1" x14ac:dyDescent="0.3">
      <c r="G6184" s="470"/>
      <c r="H6184" s="470">
        <v>6177</v>
      </c>
      <c r="I6184" s="455">
        <f t="shared" ca="1" si="223"/>
        <v>5.6980693357321376E+16</v>
      </c>
      <c r="J6184" s="455">
        <f t="array" ref="J6184">IFERROR(INDEX('Retirement Calculator'!J:J,MATCH('Isaac 401k'!N6184,'Retirement Calculator'!A:A,0),0),0)</f>
        <v>0</v>
      </c>
      <c r="K6184" s="455">
        <f t="shared" ca="1" si="221"/>
        <v>237419555655505.75</v>
      </c>
      <c r="L6184" s="455">
        <f t="shared" ca="1" si="222"/>
        <v>5.721811291297688E+16</v>
      </c>
      <c r="M6184" s="471">
        <f t="shared" si="224"/>
        <v>0.05</v>
      </c>
      <c r="N6184" s="475">
        <f t="shared" si="225"/>
        <v>239267</v>
      </c>
    </row>
    <row r="6185" spans="7:14" ht="11.25" customHeight="1" x14ac:dyDescent="0.3">
      <c r="G6185" s="470"/>
      <c r="H6185" s="470">
        <v>6178</v>
      </c>
      <c r="I6185" s="455">
        <f t="shared" ca="1" si="223"/>
        <v>5.721811291297688E+16</v>
      </c>
      <c r="J6185" s="455">
        <f t="array" ref="J6185">IFERROR(INDEX('Retirement Calculator'!J:J,MATCH('Isaac 401k'!N6185,'Retirement Calculator'!A:A,0),0),0)</f>
        <v>0</v>
      </c>
      <c r="K6185" s="455">
        <f t="shared" ca="1" si="221"/>
        <v>238408803804070.28</v>
      </c>
      <c r="L6185" s="455">
        <f t="shared" ca="1" si="222"/>
        <v>5.7456521716780952E+16</v>
      </c>
      <c r="M6185" s="471">
        <f t="shared" si="224"/>
        <v>0.05</v>
      </c>
      <c r="N6185" s="475">
        <f t="shared" si="225"/>
        <v>239295</v>
      </c>
    </row>
    <row r="6186" spans="7:14" ht="11.25" customHeight="1" x14ac:dyDescent="0.3">
      <c r="G6186" s="470"/>
      <c r="H6186" s="470">
        <v>6179</v>
      </c>
      <c r="I6186" s="455">
        <f t="shared" ca="1" si="223"/>
        <v>5.7456521716780952E+16</v>
      </c>
      <c r="J6186" s="455">
        <f t="array" ref="J6186">IFERROR(INDEX('Retirement Calculator'!J:J,MATCH('Isaac 401k'!N6186,'Retirement Calculator'!A:A,0),0),0)</f>
        <v>0</v>
      </c>
      <c r="K6186" s="455">
        <f t="shared" ca="1" si="221"/>
        <v>239402173819920.63</v>
      </c>
      <c r="L6186" s="455">
        <f t="shared" ca="1" si="222"/>
        <v>5.7695923890600872E+16</v>
      </c>
      <c r="M6186" s="471">
        <f t="shared" si="224"/>
        <v>0.05</v>
      </c>
      <c r="N6186" s="475">
        <f t="shared" si="225"/>
        <v>239326</v>
      </c>
    </row>
    <row r="6187" spans="7:14" ht="11.25" customHeight="1" x14ac:dyDescent="0.3">
      <c r="G6187" s="470"/>
      <c r="H6187" s="470">
        <v>6180</v>
      </c>
      <c r="I6187" s="455">
        <f t="shared" ca="1" si="223"/>
        <v>5.7695923890600872E+16</v>
      </c>
      <c r="J6187" s="455">
        <f t="array" ref="J6187">IFERROR(INDEX('Retirement Calculator'!J:J,MATCH('Isaac 401k'!N6187,'Retirement Calculator'!A:A,0),0),0)</f>
        <v>0</v>
      </c>
      <c r="K6187" s="455">
        <f t="shared" ca="1" si="221"/>
        <v>240399682877503.63</v>
      </c>
      <c r="L6187" s="455">
        <f t="shared" ca="1" si="222"/>
        <v>5.7936323573478376E+16</v>
      </c>
      <c r="M6187" s="471">
        <f t="shared" si="224"/>
        <v>0.05</v>
      </c>
      <c r="N6187" s="475">
        <f t="shared" si="225"/>
        <v>239356</v>
      </c>
    </row>
    <row r="6188" spans="7:14" ht="11.25" customHeight="1" x14ac:dyDescent="0.3">
      <c r="G6188" s="470"/>
      <c r="H6188" s="470">
        <v>6181</v>
      </c>
      <c r="I6188" s="455">
        <f t="shared" ca="1" si="223"/>
        <v>5.7936323573478376E+16</v>
      </c>
      <c r="J6188" s="455">
        <f t="array" ref="J6188">IFERROR(INDEX('Retirement Calculator'!J:J,MATCH('Isaac 401k'!N6188,'Retirement Calculator'!A:A,0),0),0)</f>
        <v>0</v>
      </c>
      <c r="K6188" s="455">
        <f t="shared" ca="1" si="221"/>
        <v>241401348222826.53</v>
      </c>
      <c r="L6188" s="455">
        <f t="shared" ca="1" si="222"/>
        <v>5.81777249217012E+16</v>
      </c>
      <c r="M6188" s="471">
        <f t="shared" si="224"/>
        <v>0.05</v>
      </c>
      <c r="N6188" s="475">
        <f t="shared" si="225"/>
        <v>239387</v>
      </c>
    </row>
    <row r="6189" spans="7:14" ht="11.25" customHeight="1" x14ac:dyDescent="0.3">
      <c r="G6189" s="470"/>
      <c r="H6189" s="470">
        <v>6182</v>
      </c>
      <c r="I6189" s="455">
        <f t="shared" ca="1" si="223"/>
        <v>5.81777249217012E+16</v>
      </c>
      <c r="J6189" s="455">
        <f t="array" ref="J6189">IFERROR(INDEX('Retirement Calculator'!J:J,MATCH('Isaac 401k'!N6189,'Retirement Calculator'!A:A,0),0),0)</f>
        <v>0</v>
      </c>
      <c r="K6189" s="455">
        <f t="shared" ca="1" si="221"/>
        <v>242407187173755</v>
      </c>
      <c r="L6189" s="455">
        <f t="shared" ca="1" si="222"/>
        <v>5.8420132108874952E+16</v>
      </c>
      <c r="M6189" s="471">
        <f t="shared" si="224"/>
        <v>0.05</v>
      </c>
      <c r="N6189" s="475">
        <f t="shared" si="225"/>
        <v>239417</v>
      </c>
    </row>
    <row r="6190" spans="7:14" ht="11.25" customHeight="1" x14ac:dyDescent="0.3">
      <c r="G6190" s="470"/>
      <c r="H6190" s="470">
        <v>6183</v>
      </c>
      <c r="I6190" s="455">
        <f t="shared" ca="1" si="223"/>
        <v>5.8420132108874952E+16</v>
      </c>
      <c r="J6190" s="455">
        <f t="array" ref="J6190">IFERROR(INDEX('Retirement Calculator'!J:J,MATCH('Isaac 401k'!N6190,'Retirement Calculator'!A:A,0),0),0)</f>
        <v>0</v>
      </c>
      <c r="K6190" s="455">
        <f t="shared" ca="1" si="221"/>
        <v>243417217120312.28</v>
      </c>
      <c r="L6190" s="455">
        <f t="shared" ca="1" si="222"/>
        <v>5.8663549325995264E+16</v>
      </c>
      <c r="M6190" s="471">
        <f t="shared" si="224"/>
        <v>0.05</v>
      </c>
      <c r="N6190" s="475">
        <f t="shared" si="225"/>
        <v>239448</v>
      </c>
    </row>
    <row r="6191" spans="7:14" ht="11.25" customHeight="1" x14ac:dyDescent="0.3">
      <c r="G6191" s="470"/>
      <c r="H6191" s="470">
        <v>6184</v>
      </c>
      <c r="I6191" s="455">
        <f t="shared" ca="1" si="223"/>
        <v>5.8663549325995264E+16</v>
      </c>
      <c r="J6191" s="455">
        <f t="array" ref="J6191">IFERROR(INDEX('Retirement Calculator'!J:J,MATCH('Isaac 401k'!N6191,'Retirement Calculator'!A:A,0),0),0)</f>
        <v>0</v>
      </c>
      <c r="K6191" s="455">
        <f t="shared" ca="1" si="221"/>
        <v>244431455524980.25</v>
      </c>
      <c r="L6191" s="455">
        <f t="shared" ca="1" si="222"/>
        <v>5.8907980781520248E+16</v>
      </c>
      <c r="M6191" s="471">
        <f t="shared" si="224"/>
        <v>0.05</v>
      </c>
      <c r="N6191" s="475">
        <f t="shared" si="225"/>
        <v>239479</v>
      </c>
    </row>
    <row r="6192" spans="7:14" ht="11.25" customHeight="1" x14ac:dyDescent="0.3">
      <c r="G6192" s="470"/>
      <c r="H6192" s="470">
        <v>6185</v>
      </c>
      <c r="I6192" s="455">
        <f t="shared" ca="1" si="223"/>
        <v>5.8907980781520248E+16</v>
      </c>
      <c r="J6192" s="455">
        <f t="array" ref="J6192">IFERROR(INDEX('Retirement Calculator'!J:J,MATCH('Isaac 401k'!N6192,'Retirement Calculator'!A:A,0),0),0)</f>
        <v>0</v>
      </c>
      <c r="K6192" s="455">
        <f t="shared" ca="1" si="221"/>
        <v>245449919923001.03</v>
      </c>
      <c r="L6192" s="455">
        <f t="shared" ca="1" si="222"/>
        <v>5.9153430701443248E+16</v>
      </c>
      <c r="M6192" s="471">
        <f t="shared" si="224"/>
        <v>0.05</v>
      </c>
      <c r="N6192" s="475">
        <f t="shared" si="225"/>
        <v>239509</v>
      </c>
    </row>
    <row r="6193" spans="7:14" ht="11.25" customHeight="1" x14ac:dyDescent="0.3">
      <c r="G6193" s="470"/>
      <c r="H6193" s="470">
        <v>6186</v>
      </c>
      <c r="I6193" s="455">
        <f t="shared" ca="1" si="223"/>
        <v>5.9153430701443248E+16</v>
      </c>
      <c r="J6193" s="455">
        <f t="array" ref="J6193">IFERROR(INDEX('Retirement Calculator'!J:J,MATCH('Isaac 401k'!N6193,'Retirement Calculator'!A:A,0),0),0)</f>
        <v>0</v>
      </c>
      <c r="K6193" s="455">
        <f t="shared" ca="1" si="221"/>
        <v>246472627922680.19</v>
      </c>
      <c r="L6193" s="455">
        <f t="shared" ca="1" si="222"/>
        <v>5.9399903329365928E+16</v>
      </c>
      <c r="M6193" s="471">
        <f t="shared" si="224"/>
        <v>0.05</v>
      </c>
      <c r="N6193" s="475">
        <f t="shared" si="225"/>
        <v>239540</v>
      </c>
    </row>
    <row r="6194" spans="7:14" ht="11.25" customHeight="1" x14ac:dyDescent="0.3">
      <c r="G6194" s="470"/>
      <c r="H6194" s="470">
        <v>6187</v>
      </c>
      <c r="I6194" s="455">
        <f t="shared" ca="1" si="223"/>
        <v>5.9399903329365928E+16</v>
      </c>
      <c r="J6194" s="455">
        <f t="array" ref="J6194">IFERROR(INDEX('Retirement Calculator'!J:J,MATCH('Isaac 401k'!N6194,'Retirement Calculator'!A:A,0),0),0)</f>
        <v>0</v>
      </c>
      <c r="K6194" s="455">
        <f t="shared" ca="1" si="221"/>
        <v>247499597205691.38</v>
      </c>
      <c r="L6194" s="455">
        <f t="shared" ca="1" si="222"/>
        <v>5.9647402926571616E+16</v>
      </c>
      <c r="M6194" s="471">
        <f t="shared" si="224"/>
        <v>0.05</v>
      </c>
      <c r="N6194" s="475">
        <f t="shared" si="225"/>
        <v>239570</v>
      </c>
    </row>
    <row r="6195" spans="7:14" ht="11.25" customHeight="1" x14ac:dyDescent="0.3">
      <c r="G6195" s="470"/>
      <c r="H6195" s="470">
        <v>6188</v>
      </c>
      <c r="I6195" s="455">
        <f t="shared" ca="1" si="223"/>
        <v>5.9647402926571616E+16</v>
      </c>
      <c r="J6195" s="455">
        <f t="array" ref="J6195">IFERROR(INDEX('Retirement Calculator'!J:J,MATCH('Isaac 401k'!N6195,'Retirement Calculator'!A:A,0),0),0)</f>
        <v>0</v>
      </c>
      <c r="K6195" s="455">
        <f t="shared" ca="1" si="221"/>
        <v>248530845527381.75</v>
      </c>
      <c r="L6195" s="455">
        <f t="shared" ca="1" si="222"/>
        <v>5.9895933772099E+16</v>
      </c>
      <c r="M6195" s="471">
        <f t="shared" si="224"/>
        <v>0.05</v>
      </c>
      <c r="N6195" s="475">
        <f t="shared" si="225"/>
        <v>239601</v>
      </c>
    </row>
    <row r="6196" spans="7:14" ht="11.25" customHeight="1" x14ac:dyDescent="0.3">
      <c r="G6196" s="470"/>
      <c r="H6196" s="470">
        <v>6189</v>
      </c>
      <c r="I6196" s="455">
        <f t="shared" ca="1" si="223"/>
        <v>5.9895933772099E+16</v>
      </c>
      <c r="J6196" s="455">
        <f t="array" ref="J6196">IFERROR(INDEX('Retirement Calculator'!J:J,MATCH('Isaac 401k'!N6196,'Retirement Calculator'!A:A,0),0),0)</f>
        <v>0</v>
      </c>
      <c r="K6196" s="455">
        <f t="shared" ca="1" si="221"/>
        <v>249566390717079.16</v>
      </c>
      <c r="L6196" s="455">
        <f t="shared" ca="1" si="222"/>
        <v>6.014550016281608E+16</v>
      </c>
      <c r="M6196" s="471">
        <f t="shared" si="224"/>
        <v>0.05</v>
      </c>
      <c r="N6196" s="475">
        <f t="shared" si="225"/>
        <v>239632</v>
      </c>
    </row>
    <row r="6197" spans="7:14" ht="11.25" customHeight="1" x14ac:dyDescent="0.3">
      <c r="G6197" s="470"/>
      <c r="H6197" s="470">
        <v>6190</v>
      </c>
      <c r="I6197" s="455">
        <f t="shared" ca="1" si="223"/>
        <v>6.014550016281608E+16</v>
      </c>
      <c r="J6197" s="455">
        <f t="array" ref="J6197">IFERROR(INDEX('Retirement Calculator'!J:J,MATCH('Isaac 401k'!N6197,'Retirement Calculator'!A:A,0),0),0)</f>
        <v>0</v>
      </c>
      <c r="K6197" s="455">
        <f t="shared" ca="1" si="221"/>
        <v>250606250678400.38</v>
      </c>
      <c r="L6197" s="455">
        <f t="shared" ca="1" si="222"/>
        <v>6.039610641349448E+16</v>
      </c>
      <c r="M6197" s="471">
        <f t="shared" si="224"/>
        <v>0.05</v>
      </c>
      <c r="N6197" s="475">
        <f t="shared" si="225"/>
        <v>239661</v>
      </c>
    </row>
    <row r="6198" spans="7:14" ht="11.25" customHeight="1" x14ac:dyDescent="0.3">
      <c r="G6198" s="470"/>
      <c r="H6198" s="470">
        <v>6191</v>
      </c>
      <c r="I6198" s="455">
        <f t="shared" ca="1" si="223"/>
        <v>6.039610641349448E+16</v>
      </c>
      <c r="J6198" s="455">
        <f t="array" ref="J6198">IFERROR(INDEX('Retirement Calculator'!J:J,MATCH('Isaac 401k'!N6198,'Retirement Calculator'!A:A,0),0),0)</f>
        <v>0</v>
      </c>
      <c r="K6198" s="455">
        <f t="shared" ca="1" si="221"/>
        <v>251650443389560.38</v>
      </c>
      <c r="L6198" s="455">
        <f t="shared" ca="1" si="222"/>
        <v>6.064775685688404E+16</v>
      </c>
      <c r="M6198" s="471">
        <f t="shared" si="224"/>
        <v>0.05</v>
      </c>
      <c r="N6198" s="475">
        <f t="shared" si="225"/>
        <v>239692</v>
      </c>
    </row>
    <row r="6199" spans="7:14" ht="11.25" customHeight="1" x14ac:dyDescent="0.3">
      <c r="G6199" s="470"/>
      <c r="H6199" s="470">
        <v>6192</v>
      </c>
      <c r="I6199" s="455">
        <f t="shared" ca="1" si="223"/>
        <v>6.064775685688404E+16</v>
      </c>
      <c r="J6199" s="455">
        <f t="array" ref="J6199">IFERROR(INDEX('Retirement Calculator'!J:J,MATCH('Isaac 401k'!N6199,'Retirement Calculator'!A:A,0),0),0)</f>
        <v>0</v>
      </c>
      <c r="K6199" s="455">
        <f t="shared" ca="1" si="221"/>
        <v>252698986903683.5</v>
      </c>
      <c r="L6199" s="455">
        <f t="shared" ca="1" si="222"/>
        <v>6.090045584378772E+16</v>
      </c>
      <c r="M6199" s="471">
        <f t="shared" si="224"/>
        <v>0.05</v>
      </c>
      <c r="N6199" s="475">
        <f t="shared" si="225"/>
        <v>239722</v>
      </c>
    </row>
    <row r="6200" spans="7:14" ht="11.25" customHeight="1" x14ac:dyDescent="0.3">
      <c r="G6200" s="470"/>
      <c r="H6200" s="470">
        <v>6193</v>
      </c>
      <c r="I6200" s="455">
        <f t="shared" ca="1" si="223"/>
        <v>6.090045584378772E+16</v>
      </c>
      <c r="J6200" s="455">
        <f t="array" ref="J6200">IFERROR(INDEX('Retirement Calculator'!J:J,MATCH('Isaac 401k'!N6200,'Retirement Calculator'!A:A,0),0),0)</f>
        <v>0</v>
      </c>
      <c r="K6200" s="455">
        <f t="shared" ca="1" si="221"/>
        <v>253751899349115.53</v>
      </c>
      <c r="L6200" s="455">
        <f t="shared" ca="1" si="222"/>
        <v>6.1154207743136832E+16</v>
      </c>
      <c r="M6200" s="471">
        <f t="shared" si="224"/>
        <v>0.05</v>
      </c>
      <c r="N6200" s="475">
        <f t="shared" si="225"/>
        <v>239753</v>
      </c>
    </row>
    <row r="6201" spans="7:14" ht="11.25" customHeight="1" x14ac:dyDescent="0.3">
      <c r="G6201" s="470"/>
      <c r="H6201" s="470">
        <v>6194</v>
      </c>
      <c r="I6201" s="455">
        <f t="shared" ca="1" si="223"/>
        <v>6.1154207743136832E+16</v>
      </c>
      <c r="J6201" s="455">
        <f t="array" ref="J6201">IFERROR(INDEX('Retirement Calculator'!J:J,MATCH('Isaac 401k'!N6201,'Retirement Calculator'!A:A,0),0),0)</f>
        <v>0</v>
      </c>
      <c r="K6201" s="455">
        <f t="shared" ca="1" si="221"/>
        <v>254809198929736.78</v>
      </c>
      <c r="L6201" s="455">
        <f t="shared" ca="1" si="222"/>
        <v>6.1409016942066568E+16</v>
      </c>
      <c r="M6201" s="471">
        <f t="shared" si="224"/>
        <v>0.05</v>
      </c>
      <c r="N6201" s="475">
        <f t="shared" si="225"/>
        <v>239783</v>
      </c>
    </row>
    <row r="6202" spans="7:14" ht="11.25" customHeight="1" x14ac:dyDescent="0.3">
      <c r="G6202" s="470"/>
      <c r="H6202" s="470">
        <v>6195</v>
      </c>
      <c r="I6202" s="455">
        <f t="shared" ca="1" si="223"/>
        <v>6.1409016942066568E+16</v>
      </c>
      <c r="J6202" s="455">
        <f t="array" ref="J6202">IFERROR(INDEX('Retirement Calculator'!J:J,MATCH('Isaac 401k'!N6202,'Retirement Calculator'!A:A,0),0),0)</f>
        <v>0</v>
      </c>
      <c r="K6202" s="455">
        <f t="shared" ca="1" si="221"/>
        <v>255870903925277.38</v>
      </c>
      <c r="L6202" s="455">
        <f t="shared" ca="1" si="222"/>
        <v>6.1664887845991848E+16</v>
      </c>
      <c r="M6202" s="471">
        <f t="shared" si="224"/>
        <v>0.05</v>
      </c>
      <c r="N6202" s="475">
        <f t="shared" si="225"/>
        <v>239814</v>
      </c>
    </row>
    <row r="6203" spans="7:14" ht="11.25" customHeight="1" x14ac:dyDescent="0.3">
      <c r="G6203" s="470"/>
      <c r="H6203" s="470">
        <v>6196</v>
      </c>
      <c r="I6203" s="455">
        <f t="shared" ca="1" si="223"/>
        <v>6.1664887845991848E+16</v>
      </c>
      <c r="J6203" s="455">
        <f t="array" ref="J6203">IFERROR(INDEX('Retirement Calculator'!J:J,MATCH('Isaac 401k'!N6203,'Retirement Calculator'!A:A,0),0),0)</f>
        <v>0</v>
      </c>
      <c r="K6203" s="455">
        <f t="shared" ca="1" si="221"/>
        <v>256937032691632.69</v>
      </c>
      <c r="L6203" s="455">
        <f t="shared" ca="1" si="222"/>
        <v>6.192182487868348E+16</v>
      </c>
      <c r="M6203" s="471">
        <f t="shared" si="224"/>
        <v>0.05</v>
      </c>
      <c r="N6203" s="475">
        <f t="shared" si="225"/>
        <v>239845</v>
      </c>
    </row>
    <row r="6204" spans="7:14" ht="11.25" customHeight="1" x14ac:dyDescent="0.3">
      <c r="G6204" s="470"/>
      <c r="H6204" s="470">
        <v>6197</v>
      </c>
      <c r="I6204" s="455">
        <f t="shared" ca="1" si="223"/>
        <v>6.192182487868348E+16</v>
      </c>
      <c r="J6204" s="455">
        <f t="array" ref="J6204">IFERROR(INDEX('Retirement Calculator'!J:J,MATCH('Isaac 401k'!N6204,'Retirement Calculator'!A:A,0),0),0)</f>
        <v>0</v>
      </c>
      <c r="K6204" s="455">
        <f t="shared" ca="1" si="221"/>
        <v>258007603661181.19</v>
      </c>
      <c r="L6204" s="455">
        <f t="shared" ca="1" si="222"/>
        <v>6.2179832482344664E+16</v>
      </c>
      <c r="M6204" s="471">
        <f t="shared" si="224"/>
        <v>0.05</v>
      </c>
      <c r="N6204" s="475">
        <f t="shared" si="225"/>
        <v>239875</v>
      </c>
    </row>
    <row r="6205" spans="7:14" ht="11.25" customHeight="1" x14ac:dyDescent="0.3">
      <c r="G6205" s="470"/>
      <c r="H6205" s="470">
        <v>6198</v>
      </c>
      <c r="I6205" s="455">
        <f t="shared" ca="1" si="223"/>
        <v>6.2179832482344664E+16</v>
      </c>
      <c r="J6205" s="455">
        <f t="array" ref="J6205">IFERROR(INDEX('Retirement Calculator'!J:J,MATCH('Isaac 401k'!N6205,'Retirement Calculator'!A:A,0),0),0)</f>
        <v>0</v>
      </c>
      <c r="K6205" s="455">
        <f t="shared" ca="1" si="221"/>
        <v>259082635343102.78</v>
      </c>
      <c r="L6205" s="455">
        <f t="shared" ca="1" si="222"/>
        <v>6.2438915117687768E+16</v>
      </c>
      <c r="M6205" s="471">
        <f t="shared" si="224"/>
        <v>0.05</v>
      </c>
      <c r="N6205" s="475">
        <f t="shared" si="225"/>
        <v>239906</v>
      </c>
    </row>
    <row r="6206" spans="7:14" ht="11.25" customHeight="1" x14ac:dyDescent="0.3">
      <c r="G6206" s="470"/>
      <c r="H6206" s="470">
        <v>6199</v>
      </c>
      <c r="I6206" s="455">
        <f t="shared" ca="1" si="223"/>
        <v>6.2438915117687768E+16</v>
      </c>
      <c r="J6206" s="455">
        <f t="array" ref="J6206">IFERROR(INDEX('Retirement Calculator'!J:J,MATCH('Isaac 401k'!N6206,'Retirement Calculator'!A:A,0),0),0)</f>
        <v>0</v>
      </c>
      <c r="K6206" s="455">
        <f t="shared" ca="1" si="221"/>
        <v>260162146323699.03</v>
      </c>
      <c r="L6206" s="455">
        <f t="shared" ca="1" si="222"/>
        <v>6.2699077264011464E+16</v>
      </c>
      <c r="M6206" s="471">
        <f t="shared" si="224"/>
        <v>0.05</v>
      </c>
      <c r="N6206" s="475">
        <f t="shared" si="225"/>
        <v>239936</v>
      </c>
    </row>
    <row r="6207" spans="7:14" ht="11.25" customHeight="1" x14ac:dyDescent="0.3">
      <c r="G6207" s="470"/>
      <c r="H6207" s="470">
        <v>6200</v>
      </c>
      <c r="I6207" s="455">
        <f t="shared" ca="1" si="223"/>
        <v>6.2699077264011464E+16</v>
      </c>
      <c r="J6207" s="455">
        <f t="array" ref="J6207">IFERROR(INDEX('Retirement Calculator'!J:J,MATCH('Isaac 401k'!N6207,'Retirement Calculator'!A:A,0),0),0)</f>
        <v>0</v>
      </c>
      <c r="K6207" s="455">
        <f t="shared" ca="1" si="221"/>
        <v>261246155266714.44</v>
      </c>
      <c r="L6207" s="455">
        <f t="shared" ca="1" si="222"/>
        <v>6.2960323419278176E+16</v>
      </c>
      <c r="M6207" s="471">
        <f t="shared" si="224"/>
        <v>0.05</v>
      </c>
      <c r="N6207" s="475">
        <f t="shared" si="225"/>
        <v>239967</v>
      </c>
    </row>
    <row r="6208" spans="7:14" ht="11.25" customHeight="1" x14ac:dyDescent="0.3">
      <c r="G6208" s="470"/>
      <c r="H6208" s="470">
        <v>6201</v>
      </c>
      <c r="I6208" s="455">
        <f t="shared" ca="1" si="223"/>
        <v>6.2960323419278176E+16</v>
      </c>
      <c r="J6208" s="455">
        <f t="array" ref="J6208">IFERROR(INDEX('Retirement Calculator'!J:J,MATCH('Isaac 401k'!N6208,'Retirement Calculator'!A:A,0),0),0)</f>
        <v>0</v>
      </c>
      <c r="K6208" s="455">
        <f t="shared" ca="1" si="221"/>
        <v>262334680913659.06</v>
      </c>
      <c r="L6208" s="455">
        <f t="shared" ca="1" si="222"/>
        <v>6.3222658100191832E+16</v>
      </c>
      <c r="M6208" s="471">
        <f t="shared" si="224"/>
        <v>0.05</v>
      </c>
      <c r="N6208" s="475">
        <f t="shared" si="225"/>
        <v>239998</v>
      </c>
    </row>
    <row r="6209" spans="7:14" ht="11.25" customHeight="1" x14ac:dyDescent="0.3">
      <c r="G6209" s="470"/>
      <c r="H6209" s="470">
        <v>6202</v>
      </c>
      <c r="I6209" s="455">
        <f t="shared" ca="1" si="223"/>
        <v>6.3222658100191832E+16</v>
      </c>
      <c r="J6209" s="455">
        <f t="array" ref="J6209">IFERROR(INDEX('Retirement Calculator'!J:J,MATCH('Isaac 401k'!N6209,'Retirement Calculator'!A:A,0),0),0)</f>
        <v>0</v>
      </c>
      <c r="K6209" s="455">
        <f t="shared" ca="1" si="221"/>
        <v>263427742084132.63</v>
      </c>
      <c r="L6209" s="455">
        <f t="shared" ca="1" si="222"/>
        <v>6.3486085842275968E+16</v>
      </c>
      <c r="M6209" s="471">
        <f t="shared" si="224"/>
        <v>0.05</v>
      </c>
      <c r="N6209" s="475">
        <f t="shared" si="225"/>
        <v>240026</v>
      </c>
    </row>
    <row r="6210" spans="7:14" ht="11.25" customHeight="1" x14ac:dyDescent="0.3">
      <c r="G6210" s="470"/>
      <c r="H6210" s="470">
        <v>6203</v>
      </c>
      <c r="I6210" s="455">
        <f t="shared" ca="1" si="223"/>
        <v>6.3486085842275968E+16</v>
      </c>
      <c r="J6210" s="455">
        <f t="array" ref="J6210">IFERROR(INDEX('Retirement Calculator'!J:J,MATCH('Isaac 401k'!N6210,'Retirement Calculator'!A:A,0),0),0)</f>
        <v>0</v>
      </c>
      <c r="K6210" s="455">
        <f t="shared" ca="1" si="221"/>
        <v>264525357676149.84</v>
      </c>
      <c r="L6210" s="455">
        <f t="shared" ca="1" si="222"/>
        <v>6.375061119995212E+16</v>
      </c>
      <c r="M6210" s="471">
        <f t="shared" si="224"/>
        <v>0.05</v>
      </c>
      <c r="N6210" s="475">
        <f t="shared" si="225"/>
        <v>240057</v>
      </c>
    </row>
    <row r="6211" spans="7:14" ht="11.25" customHeight="1" x14ac:dyDescent="0.3">
      <c r="G6211" s="470"/>
      <c r="H6211" s="470">
        <v>6204</v>
      </c>
      <c r="I6211" s="455">
        <f t="shared" ca="1" si="223"/>
        <v>6.375061119995212E+16</v>
      </c>
      <c r="J6211" s="455">
        <f t="array" ref="J6211">IFERROR(INDEX('Retirement Calculator'!J:J,MATCH('Isaac 401k'!N6211,'Retirement Calculator'!A:A,0),0),0)</f>
        <v>0</v>
      </c>
      <c r="K6211" s="455">
        <f t="shared" ca="1" si="221"/>
        <v>265627546666467.16</v>
      </c>
      <c r="L6211" s="455">
        <f t="shared" ca="1" si="222"/>
        <v>6.4016238746618584E+16</v>
      </c>
      <c r="M6211" s="471">
        <f t="shared" si="224"/>
        <v>0.05</v>
      </c>
      <c r="N6211" s="475">
        <f t="shared" si="225"/>
        <v>240087</v>
      </c>
    </row>
    <row r="6212" spans="7:14" ht="11.25" customHeight="1" x14ac:dyDescent="0.3">
      <c r="G6212" s="470"/>
      <c r="H6212" s="470">
        <v>6205</v>
      </c>
      <c r="I6212" s="455">
        <f t="shared" ca="1" si="223"/>
        <v>6.4016238746618584E+16</v>
      </c>
      <c r="J6212" s="455">
        <f t="array" ref="J6212">IFERROR(INDEX('Retirement Calculator'!J:J,MATCH('Isaac 401k'!N6212,'Retirement Calculator'!A:A,0),0),0)</f>
        <v>0</v>
      </c>
      <c r="K6212" s="455">
        <f t="shared" ca="1" si="221"/>
        <v>266734328110910.75</v>
      </c>
      <c r="L6212" s="455">
        <f t="shared" ca="1" si="222"/>
        <v>6.4282973074729496E+16</v>
      </c>
      <c r="M6212" s="471">
        <f t="shared" si="224"/>
        <v>0.05</v>
      </c>
      <c r="N6212" s="475">
        <f t="shared" si="225"/>
        <v>240118</v>
      </c>
    </row>
    <row r="6213" spans="7:14" ht="11.25" customHeight="1" x14ac:dyDescent="0.3">
      <c r="G6213" s="470"/>
      <c r="H6213" s="470">
        <v>6206</v>
      </c>
      <c r="I6213" s="455">
        <f t="shared" ca="1" si="223"/>
        <v>6.4282973074729496E+16</v>
      </c>
      <c r="J6213" s="455">
        <f t="array" ref="J6213">IFERROR(INDEX('Retirement Calculator'!J:J,MATCH('Isaac 401k'!N6213,'Retirement Calculator'!A:A,0),0),0)</f>
        <v>0</v>
      </c>
      <c r="K6213" s="455">
        <f t="shared" ca="1" si="221"/>
        <v>267845721144706.22</v>
      </c>
      <c r="L6213" s="455">
        <f t="shared" ca="1" si="222"/>
        <v>6.45508187958742E+16</v>
      </c>
      <c r="M6213" s="471">
        <f t="shared" si="224"/>
        <v>0.05</v>
      </c>
      <c r="N6213" s="475">
        <f t="shared" si="225"/>
        <v>240148</v>
      </c>
    </row>
    <row r="6214" spans="7:14" ht="11.25" customHeight="1" x14ac:dyDescent="0.3">
      <c r="G6214" s="470"/>
      <c r="H6214" s="470">
        <v>6207</v>
      </c>
      <c r="I6214" s="455">
        <f t="shared" ca="1" si="223"/>
        <v>6.45508187958742E+16</v>
      </c>
      <c r="J6214" s="455">
        <f t="array" ref="J6214">IFERROR(INDEX('Retirement Calculator'!J:J,MATCH('Isaac 401k'!N6214,'Retirement Calculator'!A:A,0),0),0)</f>
        <v>0</v>
      </c>
      <c r="K6214" s="455">
        <f t="shared" ca="1" si="221"/>
        <v>268961744982809.19</v>
      </c>
      <c r="L6214" s="455">
        <f t="shared" ca="1" si="222"/>
        <v>6.4819780540857008E+16</v>
      </c>
      <c r="M6214" s="471">
        <f t="shared" si="224"/>
        <v>0.05</v>
      </c>
      <c r="N6214" s="475">
        <f t="shared" si="225"/>
        <v>240179</v>
      </c>
    </row>
    <row r="6215" spans="7:14" ht="11.25" customHeight="1" x14ac:dyDescent="0.3">
      <c r="G6215" s="470"/>
      <c r="H6215" s="470">
        <v>6208</v>
      </c>
      <c r="I6215" s="455">
        <f t="shared" ca="1" si="223"/>
        <v>6.4819780540857008E+16</v>
      </c>
      <c r="J6215" s="455">
        <f t="array" ref="J6215">IFERROR(INDEX('Retirement Calculator'!J:J,MATCH('Isaac 401k'!N6215,'Retirement Calculator'!A:A,0),0),0)</f>
        <v>0</v>
      </c>
      <c r="K6215" s="455">
        <f t="shared" ca="1" si="221"/>
        <v>270082418920237.56</v>
      </c>
      <c r="L6215" s="455">
        <f t="shared" ca="1" si="222"/>
        <v>6.5089862959777248E+16</v>
      </c>
      <c r="M6215" s="471">
        <f t="shared" si="224"/>
        <v>0.05</v>
      </c>
      <c r="N6215" s="475">
        <f t="shared" si="225"/>
        <v>240210</v>
      </c>
    </row>
    <row r="6216" spans="7:14" ht="11.25" customHeight="1" x14ac:dyDescent="0.3">
      <c r="G6216" s="470"/>
      <c r="H6216" s="470">
        <v>6209</v>
      </c>
      <c r="I6216" s="455">
        <f t="shared" ca="1" si="223"/>
        <v>6.5089862959777248E+16</v>
      </c>
      <c r="J6216" s="455">
        <f t="array" ref="J6216">IFERROR(INDEX('Retirement Calculator'!J:J,MATCH('Isaac 401k'!N6216,'Retirement Calculator'!A:A,0),0),0)</f>
        <v>0</v>
      </c>
      <c r="K6216" s="455">
        <f t="shared" ca="1" si="221"/>
        <v>271207762332405.16</v>
      </c>
      <c r="L6216" s="455">
        <f t="shared" ca="1" si="222"/>
        <v>6.5361070722109656E+16</v>
      </c>
      <c r="M6216" s="471">
        <f t="shared" si="224"/>
        <v>0.05</v>
      </c>
      <c r="N6216" s="475">
        <f t="shared" si="225"/>
        <v>240240</v>
      </c>
    </row>
    <row r="6217" spans="7:14" ht="11.25" customHeight="1" x14ac:dyDescent="0.3">
      <c r="G6217" s="470"/>
      <c r="H6217" s="470">
        <v>6210</v>
      </c>
      <c r="I6217" s="455">
        <f t="shared" ca="1" si="223"/>
        <v>6.5361070722109656E+16</v>
      </c>
      <c r="J6217" s="455">
        <f t="array" ref="J6217">IFERROR(INDEX('Retirement Calculator'!J:J,MATCH('Isaac 401k'!N6217,'Retirement Calculator'!A:A,0),0),0)</f>
        <v>0</v>
      </c>
      <c r="K6217" s="455">
        <f t="shared" ca="1" si="221"/>
        <v>272337794675456.91</v>
      </c>
      <c r="L6217" s="455">
        <f t="shared" ca="1" si="222"/>
        <v>6.5633408516785112E+16</v>
      </c>
      <c r="M6217" s="471">
        <f t="shared" si="224"/>
        <v>0.05</v>
      </c>
      <c r="N6217" s="475">
        <f t="shared" si="225"/>
        <v>240271</v>
      </c>
    </row>
    <row r="6218" spans="7:14" ht="11.25" customHeight="1" x14ac:dyDescent="0.3">
      <c r="G6218" s="470"/>
      <c r="H6218" s="470">
        <v>6211</v>
      </c>
      <c r="I6218" s="455">
        <f t="shared" ca="1" si="223"/>
        <v>6.5633408516785112E+16</v>
      </c>
      <c r="J6218" s="455">
        <f t="array" ref="J6218">IFERROR(INDEX('Retirement Calculator'!J:J,MATCH('Isaac 401k'!N6218,'Retirement Calculator'!A:A,0),0),0)</f>
        <v>0</v>
      </c>
      <c r="K6218" s="455">
        <f t="shared" ca="1" si="221"/>
        <v>273472535486604.63</v>
      </c>
      <c r="L6218" s="455">
        <f t="shared" ca="1" si="222"/>
        <v>6.590688105227172E+16</v>
      </c>
      <c r="M6218" s="471">
        <f t="shared" si="224"/>
        <v>0.05</v>
      </c>
      <c r="N6218" s="475">
        <f t="shared" si="225"/>
        <v>240301</v>
      </c>
    </row>
    <row r="6219" spans="7:14" ht="11.25" customHeight="1" x14ac:dyDescent="0.3">
      <c r="G6219" s="470"/>
      <c r="H6219" s="470">
        <v>6212</v>
      </c>
      <c r="I6219" s="455">
        <f t="shared" ca="1" si="223"/>
        <v>6.590688105227172E+16</v>
      </c>
      <c r="J6219" s="455">
        <f t="array" ref="J6219">IFERROR(INDEX('Retirement Calculator'!J:J,MATCH('Isaac 401k'!N6219,'Retirement Calculator'!A:A,0),0),0)</f>
        <v>0</v>
      </c>
      <c r="K6219" s="455">
        <f t="shared" ca="1" si="221"/>
        <v>274612004384465.5</v>
      </c>
      <c r="L6219" s="455">
        <f t="shared" ca="1" si="222"/>
        <v>6.6181493056656184E+16</v>
      </c>
      <c r="M6219" s="471">
        <f t="shared" si="224"/>
        <v>0.05</v>
      </c>
      <c r="N6219" s="475">
        <f t="shared" si="225"/>
        <v>240332</v>
      </c>
    </row>
    <row r="6220" spans="7:14" ht="11.25" customHeight="1" x14ac:dyDescent="0.3">
      <c r="G6220" s="470"/>
      <c r="H6220" s="470">
        <v>6213</v>
      </c>
      <c r="I6220" s="455">
        <f t="shared" ca="1" si="223"/>
        <v>6.6181493056656184E+16</v>
      </c>
      <c r="J6220" s="455">
        <f t="array" ref="J6220">IFERROR(INDEX('Retirement Calculator'!J:J,MATCH('Isaac 401k'!N6220,'Retirement Calculator'!A:A,0),0),0)</f>
        <v>0</v>
      </c>
      <c r="K6220" s="455">
        <f t="shared" ca="1" si="221"/>
        <v>275756221069400.72</v>
      </c>
      <c r="L6220" s="455">
        <f t="shared" ca="1" si="222"/>
        <v>6.6457249277725584E+16</v>
      </c>
      <c r="M6220" s="471">
        <f t="shared" si="224"/>
        <v>0.05</v>
      </c>
      <c r="N6220" s="475">
        <f t="shared" si="225"/>
        <v>240363</v>
      </c>
    </row>
    <row r="6221" spans="7:14" ht="11.25" customHeight="1" x14ac:dyDescent="0.3">
      <c r="G6221" s="470"/>
      <c r="H6221" s="470">
        <v>6214</v>
      </c>
      <c r="I6221" s="455">
        <f t="shared" ca="1" si="223"/>
        <v>6.6457249277725584E+16</v>
      </c>
      <c r="J6221" s="455">
        <f t="array" ref="J6221">IFERROR(INDEX('Retirement Calculator'!J:J,MATCH('Isaac 401k'!N6221,'Retirement Calculator'!A:A,0),0),0)</f>
        <v>0</v>
      </c>
      <c r="K6221" s="455">
        <f t="shared" ca="1" si="221"/>
        <v>276905205323856.59</v>
      </c>
      <c r="L6221" s="455">
        <f t="shared" ca="1" si="222"/>
        <v>6.673415448304944E+16</v>
      </c>
      <c r="M6221" s="471">
        <f t="shared" si="224"/>
        <v>0.05</v>
      </c>
      <c r="N6221" s="475">
        <f t="shared" si="225"/>
        <v>240391</v>
      </c>
    </row>
    <row r="6222" spans="7:14" ht="11.25" customHeight="1" x14ac:dyDescent="0.3">
      <c r="G6222" s="470"/>
      <c r="H6222" s="470">
        <v>6215</v>
      </c>
      <c r="I6222" s="455">
        <f t="shared" ca="1" si="223"/>
        <v>6.673415448304944E+16</v>
      </c>
      <c r="J6222" s="455">
        <f t="array" ref="J6222">IFERROR(INDEX('Retirement Calculator'!J:J,MATCH('Isaac 401k'!N6222,'Retirement Calculator'!A:A,0),0),0)</f>
        <v>0</v>
      </c>
      <c r="K6222" s="455">
        <f t="shared" ca="1" si="221"/>
        <v>278058977012706.03</v>
      </c>
      <c r="L6222" s="455">
        <f t="shared" ca="1" si="222"/>
        <v>6.7012213460062144E+16</v>
      </c>
      <c r="M6222" s="471">
        <f t="shared" si="224"/>
        <v>0.05</v>
      </c>
      <c r="N6222" s="475">
        <f t="shared" si="225"/>
        <v>240422</v>
      </c>
    </row>
    <row r="6223" spans="7:14" ht="11.25" customHeight="1" x14ac:dyDescent="0.3">
      <c r="G6223" s="470"/>
      <c r="H6223" s="470">
        <v>6216</v>
      </c>
      <c r="I6223" s="455">
        <f t="shared" ca="1" si="223"/>
        <v>6.7012213460062144E+16</v>
      </c>
      <c r="J6223" s="455">
        <f t="array" ref="J6223">IFERROR(INDEX('Retirement Calculator'!J:J,MATCH('Isaac 401k'!N6223,'Retirement Calculator'!A:A,0),0),0)</f>
        <v>0</v>
      </c>
      <c r="K6223" s="455">
        <f t="shared" ca="1" si="221"/>
        <v>279217556083592.22</v>
      </c>
      <c r="L6223" s="455">
        <f t="shared" ca="1" si="222"/>
        <v>6.7291431016145736E+16</v>
      </c>
      <c r="M6223" s="471">
        <f t="shared" si="224"/>
        <v>0.05</v>
      </c>
      <c r="N6223" s="475">
        <f t="shared" si="225"/>
        <v>240452</v>
      </c>
    </row>
    <row r="6224" spans="7:14" ht="11.25" customHeight="1" x14ac:dyDescent="0.3">
      <c r="G6224" s="470"/>
      <c r="H6224" s="470">
        <v>6217</v>
      </c>
      <c r="I6224" s="455">
        <f t="shared" ca="1" si="223"/>
        <v>6.7291431016145736E+16</v>
      </c>
      <c r="J6224" s="455">
        <f t="array" ref="J6224">IFERROR(INDEX('Retirement Calculator'!J:J,MATCH('Isaac 401k'!N6224,'Retirement Calculator'!A:A,0),0),0)</f>
        <v>0</v>
      </c>
      <c r="K6224" s="455">
        <f t="shared" ca="1" si="221"/>
        <v>280380962567273.88</v>
      </c>
      <c r="L6224" s="455">
        <f t="shared" ca="1" si="222"/>
        <v>6.7571811978713008E+16</v>
      </c>
      <c r="M6224" s="471">
        <f t="shared" si="224"/>
        <v>0.05</v>
      </c>
      <c r="N6224" s="475">
        <f t="shared" si="225"/>
        <v>240483</v>
      </c>
    </row>
    <row r="6225" spans="7:14" ht="11.25" customHeight="1" x14ac:dyDescent="0.3">
      <c r="G6225" s="470"/>
      <c r="H6225" s="470">
        <v>6218</v>
      </c>
      <c r="I6225" s="455">
        <f t="shared" ca="1" si="223"/>
        <v>6.7571811978713008E+16</v>
      </c>
      <c r="J6225" s="455">
        <f t="array" ref="J6225">IFERROR(INDEX('Retirement Calculator'!J:J,MATCH('Isaac 401k'!N6225,'Retirement Calculator'!A:A,0),0),0)</f>
        <v>0</v>
      </c>
      <c r="K6225" s="455">
        <f t="shared" ca="1" si="221"/>
        <v>281549216577970.81</v>
      </c>
      <c r="L6225" s="455">
        <f t="shared" ca="1" si="222"/>
        <v>6.7853361195290976E+16</v>
      </c>
      <c r="M6225" s="471">
        <f t="shared" si="224"/>
        <v>0.05</v>
      </c>
      <c r="N6225" s="475">
        <f t="shared" si="225"/>
        <v>240513</v>
      </c>
    </row>
    <row r="6226" spans="7:14" ht="11.25" customHeight="1" x14ac:dyDescent="0.3">
      <c r="G6226" s="470"/>
      <c r="H6226" s="470">
        <v>6219</v>
      </c>
      <c r="I6226" s="455">
        <f t="shared" ca="1" si="223"/>
        <v>6.7853361195290976E+16</v>
      </c>
      <c r="J6226" s="455">
        <f t="array" ref="J6226">IFERROR(INDEX('Retirement Calculator'!J:J,MATCH('Isaac 401k'!N6226,'Retirement Calculator'!A:A,0),0),0)</f>
        <v>0</v>
      </c>
      <c r="K6226" s="455">
        <f t="shared" ca="1" si="221"/>
        <v>282722338313712.38</v>
      </c>
      <c r="L6226" s="455">
        <f t="shared" ca="1" si="222"/>
        <v>6.8136083533604688E+16</v>
      </c>
      <c r="M6226" s="471">
        <f t="shared" si="224"/>
        <v>0.05</v>
      </c>
      <c r="N6226" s="475">
        <f t="shared" si="225"/>
        <v>240544</v>
      </c>
    </row>
    <row r="6227" spans="7:14" ht="11.25" customHeight="1" x14ac:dyDescent="0.3">
      <c r="G6227" s="470"/>
      <c r="H6227" s="470">
        <v>6220</v>
      </c>
      <c r="I6227" s="455">
        <f t="shared" ca="1" si="223"/>
        <v>6.8136083533604688E+16</v>
      </c>
      <c r="J6227" s="455">
        <f t="array" ref="J6227">IFERROR(INDEX('Retirement Calculator'!J:J,MATCH('Isaac 401k'!N6227,'Retirement Calculator'!A:A,0),0),0)</f>
        <v>0</v>
      </c>
      <c r="K6227" s="455">
        <f t="shared" ca="1" si="221"/>
        <v>283900348056686.19</v>
      </c>
      <c r="L6227" s="455">
        <f t="shared" ca="1" si="222"/>
        <v>6.8419983881661376E+16</v>
      </c>
      <c r="M6227" s="471">
        <f t="shared" si="224"/>
        <v>0.05</v>
      </c>
      <c r="N6227" s="475">
        <f t="shared" si="225"/>
        <v>240575</v>
      </c>
    </row>
    <row r="6228" spans="7:14" ht="11.25" customHeight="1" x14ac:dyDescent="0.3">
      <c r="G6228" s="470"/>
      <c r="H6228" s="470">
        <v>6221</v>
      </c>
      <c r="I6228" s="455">
        <f t="shared" ca="1" si="223"/>
        <v>6.8419983881661376E+16</v>
      </c>
      <c r="J6228" s="455">
        <f t="array" ref="J6228">IFERROR(INDEX('Retirement Calculator'!J:J,MATCH('Isaac 401k'!N6228,'Retirement Calculator'!A:A,0),0),0)</f>
        <v>0</v>
      </c>
      <c r="K6228" s="455">
        <f t="shared" ca="1" si="221"/>
        <v>285083266173589.06</v>
      </c>
      <c r="L6228" s="455">
        <f t="shared" ca="1" si="222"/>
        <v>6.8705067147834968E+16</v>
      </c>
      <c r="M6228" s="471">
        <f t="shared" si="224"/>
        <v>0.05</v>
      </c>
      <c r="N6228" s="475">
        <f t="shared" si="225"/>
        <v>240605</v>
      </c>
    </row>
    <row r="6229" spans="7:14" ht="11.25" customHeight="1" x14ac:dyDescent="0.3">
      <c r="G6229" s="470"/>
      <c r="H6229" s="470">
        <v>6222</v>
      </c>
      <c r="I6229" s="455">
        <f t="shared" ca="1" si="223"/>
        <v>6.8705067147834968E+16</v>
      </c>
      <c r="J6229" s="455">
        <f t="array" ref="J6229">IFERROR(INDEX('Retirement Calculator'!J:J,MATCH('Isaac 401k'!N6229,'Retirement Calculator'!A:A,0),0),0)</f>
        <v>0</v>
      </c>
      <c r="K6229" s="455">
        <f t="shared" ca="1" si="221"/>
        <v>286271113115979</v>
      </c>
      <c r="L6229" s="455">
        <f t="shared" ca="1" si="222"/>
        <v>6.8991338260950944E+16</v>
      </c>
      <c r="M6229" s="471">
        <f t="shared" si="224"/>
        <v>0.05</v>
      </c>
      <c r="N6229" s="475">
        <f t="shared" si="225"/>
        <v>240636</v>
      </c>
    </row>
    <row r="6230" spans="7:14" ht="11.25" customHeight="1" x14ac:dyDescent="0.3">
      <c r="G6230" s="470"/>
      <c r="H6230" s="470">
        <v>6223</v>
      </c>
      <c r="I6230" s="455">
        <f t="shared" ca="1" si="223"/>
        <v>6.8991338260950944E+16</v>
      </c>
      <c r="J6230" s="455">
        <f t="array" ref="J6230">IFERROR(INDEX('Retirement Calculator'!J:J,MATCH('Isaac 401k'!N6230,'Retirement Calculator'!A:A,0),0),0)</f>
        <v>0</v>
      </c>
      <c r="K6230" s="455">
        <f t="shared" ca="1" si="221"/>
        <v>287463909420628.94</v>
      </c>
      <c r="L6230" s="455">
        <f t="shared" ca="1" si="222"/>
        <v>6.9278802170371576E+16</v>
      </c>
      <c r="M6230" s="471">
        <f t="shared" si="224"/>
        <v>0.05</v>
      </c>
      <c r="N6230" s="475">
        <f t="shared" si="225"/>
        <v>240666</v>
      </c>
    </row>
    <row r="6231" spans="7:14" ht="11.25" customHeight="1" x14ac:dyDescent="0.3">
      <c r="G6231" s="470"/>
      <c r="H6231" s="470">
        <v>6224</v>
      </c>
      <c r="I6231" s="455">
        <f t="shared" ca="1" si="223"/>
        <v>6.9278802170371576E+16</v>
      </c>
      <c r="J6231" s="455">
        <f t="array" ref="J6231">IFERROR(INDEX('Retirement Calculator'!J:J,MATCH('Isaac 401k'!N6231,'Retirement Calculator'!A:A,0),0),0)</f>
        <v>0</v>
      </c>
      <c r="K6231" s="455">
        <f t="shared" ca="1" si="221"/>
        <v>288661675709881.5</v>
      </c>
      <c r="L6231" s="455">
        <f t="shared" ca="1" si="222"/>
        <v>6.9567463846081456E+16</v>
      </c>
      <c r="M6231" s="471">
        <f t="shared" si="224"/>
        <v>0.05</v>
      </c>
      <c r="N6231" s="475">
        <f t="shared" si="225"/>
        <v>240697</v>
      </c>
    </row>
    <row r="6232" spans="7:14" ht="11.25" customHeight="1" x14ac:dyDescent="0.3">
      <c r="G6232" s="470"/>
      <c r="H6232" s="470">
        <v>6225</v>
      </c>
      <c r="I6232" s="455">
        <f t="shared" ca="1" si="223"/>
        <v>6.9567463846081456E+16</v>
      </c>
      <c r="J6232" s="455">
        <f t="array" ref="J6232">IFERROR(INDEX('Retirement Calculator'!J:J,MATCH('Isaac 401k'!N6232,'Retirement Calculator'!A:A,0),0),0)</f>
        <v>0</v>
      </c>
      <c r="K6232" s="455">
        <f t="shared" ca="1" si="221"/>
        <v>289864432692006.06</v>
      </c>
      <c r="L6232" s="455">
        <f t="shared" ca="1" si="222"/>
        <v>6.9857328278773464E+16</v>
      </c>
      <c r="M6232" s="471">
        <f t="shared" si="224"/>
        <v>0.05</v>
      </c>
      <c r="N6232" s="475">
        <f t="shared" si="225"/>
        <v>240728</v>
      </c>
    </row>
    <row r="6233" spans="7:14" ht="11.25" customHeight="1" x14ac:dyDescent="0.3">
      <c r="G6233" s="470"/>
      <c r="H6233" s="470">
        <v>6226</v>
      </c>
      <c r="I6233" s="455">
        <f t="shared" ca="1" si="223"/>
        <v>6.9857328278773464E+16</v>
      </c>
      <c r="J6233" s="455">
        <f t="array" ref="J6233">IFERROR(INDEX('Retirement Calculator'!J:J,MATCH('Isaac 401k'!N6233,'Retirement Calculator'!A:A,0),0),0)</f>
        <v>0</v>
      </c>
      <c r="K6233" s="455">
        <f t="shared" ca="1" si="221"/>
        <v>291072201161556.13</v>
      </c>
      <c r="L6233" s="455">
        <f t="shared" ca="1" si="222"/>
        <v>7.0148400479935024E+16</v>
      </c>
      <c r="M6233" s="471">
        <f t="shared" si="224"/>
        <v>0.05</v>
      </c>
      <c r="N6233" s="475">
        <f t="shared" si="225"/>
        <v>240756</v>
      </c>
    </row>
    <row r="6234" spans="7:14" ht="11.25" customHeight="1" x14ac:dyDescent="0.3">
      <c r="G6234" s="470"/>
      <c r="H6234" s="470">
        <v>6227</v>
      </c>
      <c r="I6234" s="455">
        <f t="shared" ca="1" si="223"/>
        <v>7.0148400479935024E+16</v>
      </c>
      <c r="J6234" s="455">
        <f t="array" ref="J6234">IFERROR(INDEX('Retirement Calculator'!J:J,MATCH('Isaac 401k'!N6234,'Retirement Calculator'!A:A,0),0),0)</f>
        <v>0</v>
      </c>
      <c r="K6234" s="455">
        <f t="shared" ca="1" si="221"/>
        <v>292285001999729.25</v>
      </c>
      <c r="L6234" s="455">
        <f t="shared" ca="1" si="222"/>
        <v>7.0440685481934752E+16</v>
      </c>
      <c r="M6234" s="471">
        <f t="shared" si="224"/>
        <v>0.05</v>
      </c>
      <c r="N6234" s="475">
        <f t="shared" si="225"/>
        <v>240787</v>
      </c>
    </row>
    <row r="6235" spans="7:14" ht="11.25" customHeight="1" x14ac:dyDescent="0.3">
      <c r="G6235" s="470"/>
      <c r="H6235" s="470">
        <v>6228</v>
      </c>
      <c r="I6235" s="455">
        <f t="shared" ca="1" si="223"/>
        <v>7.0440685481934752E+16</v>
      </c>
      <c r="J6235" s="455">
        <f t="array" ref="J6235">IFERROR(INDEX('Retirement Calculator'!J:J,MATCH('Isaac 401k'!N6235,'Retirement Calculator'!A:A,0),0),0)</f>
        <v>0</v>
      </c>
      <c r="K6235" s="455">
        <f t="shared" ca="1" si="221"/>
        <v>293502856174728.13</v>
      </c>
      <c r="L6235" s="455">
        <f t="shared" ca="1" si="222"/>
        <v>7.073418833810948E+16</v>
      </c>
      <c r="M6235" s="471">
        <f t="shared" si="224"/>
        <v>0.05</v>
      </c>
      <c r="N6235" s="475">
        <f t="shared" si="225"/>
        <v>240817</v>
      </c>
    </row>
    <row r="6236" spans="7:14" ht="11.25" customHeight="1" x14ac:dyDescent="0.3">
      <c r="G6236" s="470"/>
      <c r="H6236" s="470">
        <v>6229</v>
      </c>
      <c r="I6236" s="455">
        <f t="shared" ca="1" si="223"/>
        <v>7.073418833810948E+16</v>
      </c>
      <c r="J6236" s="455">
        <f t="array" ref="J6236">IFERROR(INDEX('Retirement Calculator'!J:J,MATCH('Isaac 401k'!N6236,'Retirement Calculator'!A:A,0),0),0)</f>
        <v>0</v>
      </c>
      <c r="K6236" s="455">
        <f t="shared" ca="1" si="221"/>
        <v>294725784742122.81</v>
      </c>
      <c r="L6236" s="455">
        <f t="shared" ca="1" si="222"/>
        <v>7.10289141228516E+16</v>
      </c>
      <c r="M6236" s="471">
        <f t="shared" si="224"/>
        <v>0.05</v>
      </c>
      <c r="N6236" s="475">
        <f t="shared" si="225"/>
        <v>240848</v>
      </c>
    </row>
    <row r="6237" spans="7:14" ht="11.25" customHeight="1" x14ac:dyDescent="0.3">
      <c r="G6237" s="470"/>
      <c r="H6237" s="470">
        <v>6230</v>
      </c>
      <c r="I6237" s="455">
        <f t="shared" ca="1" si="223"/>
        <v>7.10289141228516E+16</v>
      </c>
      <c r="J6237" s="455">
        <f t="array" ref="J6237">IFERROR(INDEX('Retirement Calculator'!J:J,MATCH('Isaac 401k'!N6237,'Retirement Calculator'!A:A,0),0),0)</f>
        <v>0</v>
      </c>
      <c r="K6237" s="455">
        <f t="shared" ca="1" si="221"/>
        <v>295953808845215</v>
      </c>
      <c r="L6237" s="455">
        <f t="shared" ca="1" si="222"/>
        <v>7.1324867931696816E+16</v>
      </c>
      <c r="M6237" s="471">
        <f t="shared" si="224"/>
        <v>0.05</v>
      </c>
      <c r="N6237" s="475">
        <f t="shared" si="225"/>
        <v>240878</v>
      </c>
    </row>
    <row r="6238" spans="7:14" ht="11.25" customHeight="1" x14ac:dyDescent="0.3">
      <c r="G6238" s="470"/>
      <c r="H6238" s="470">
        <v>6231</v>
      </c>
      <c r="I6238" s="455">
        <f t="shared" ca="1" si="223"/>
        <v>7.1324867931696816E+16</v>
      </c>
      <c r="J6238" s="455">
        <f t="array" ref="J6238">IFERROR(INDEX('Retirement Calculator'!J:J,MATCH('Isaac 401k'!N6238,'Retirement Calculator'!A:A,0),0),0)</f>
        <v>0</v>
      </c>
      <c r="K6238" s="455">
        <f t="shared" ca="1" si="221"/>
        <v>297186949715403.38</v>
      </c>
      <c r="L6238" s="455">
        <f t="shared" ca="1" si="222"/>
        <v>7.1622054881412216E+16</v>
      </c>
      <c r="M6238" s="471">
        <f t="shared" si="224"/>
        <v>0.05</v>
      </c>
      <c r="N6238" s="475">
        <f t="shared" si="225"/>
        <v>240909</v>
      </c>
    </row>
    <row r="6239" spans="7:14" ht="11.25" customHeight="1" x14ac:dyDescent="0.3">
      <c r="G6239" s="470"/>
      <c r="H6239" s="470">
        <v>6232</v>
      </c>
      <c r="I6239" s="455">
        <f t="shared" ca="1" si="223"/>
        <v>7.1622054881412216E+16</v>
      </c>
      <c r="J6239" s="455">
        <f t="array" ref="J6239">IFERROR(INDEX('Retirement Calculator'!J:J,MATCH('Isaac 401k'!N6239,'Retirement Calculator'!A:A,0),0),0)</f>
        <v>0</v>
      </c>
      <c r="K6239" s="455">
        <f t="shared" ca="1" si="221"/>
        <v>298425228672550.88</v>
      </c>
      <c r="L6239" s="455">
        <f t="shared" ca="1" si="222"/>
        <v>7.1920480110084768E+16</v>
      </c>
      <c r="M6239" s="471">
        <f t="shared" si="224"/>
        <v>0.05</v>
      </c>
      <c r="N6239" s="475">
        <f t="shared" si="225"/>
        <v>240940</v>
      </c>
    </row>
    <row r="6240" spans="7:14" ht="11.25" customHeight="1" x14ac:dyDescent="0.3">
      <c r="G6240" s="470"/>
      <c r="H6240" s="470">
        <v>6233</v>
      </c>
      <c r="I6240" s="455">
        <f t="shared" ca="1" si="223"/>
        <v>7.1920480110084768E+16</v>
      </c>
      <c r="J6240" s="455">
        <f t="array" ref="J6240">IFERROR(INDEX('Retirement Calculator'!J:J,MATCH('Isaac 401k'!N6240,'Retirement Calculator'!A:A,0),0),0)</f>
        <v>0</v>
      </c>
      <c r="K6240" s="455">
        <f t="shared" ca="1" si="221"/>
        <v>299668667125353.19</v>
      </c>
      <c r="L6240" s="455">
        <f t="shared" ca="1" si="222"/>
        <v>7.2220148777210128E+16</v>
      </c>
      <c r="M6240" s="471">
        <f t="shared" si="224"/>
        <v>0.05</v>
      </c>
      <c r="N6240" s="475">
        <f t="shared" si="225"/>
        <v>240970</v>
      </c>
    </row>
    <row r="6241" spans="7:14" ht="11.25" customHeight="1" x14ac:dyDescent="0.3">
      <c r="G6241" s="470"/>
      <c r="H6241" s="470">
        <v>6234</v>
      </c>
      <c r="I6241" s="455">
        <f t="shared" ca="1" si="223"/>
        <v>7.2220148777210128E+16</v>
      </c>
      <c r="J6241" s="455">
        <f t="array" ref="J6241">IFERROR(INDEX('Retirement Calculator'!J:J,MATCH('Isaac 401k'!N6241,'Retirement Calculator'!A:A,0),0),0)</f>
        <v>0</v>
      </c>
      <c r="K6241" s="455">
        <f t="shared" ca="1" si="221"/>
        <v>300917286571708.88</v>
      </c>
      <c r="L6241" s="455">
        <f t="shared" ca="1" si="222"/>
        <v>7.252106606378184E+16</v>
      </c>
      <c r="M6241" s="471">
        <f t="shared" si="224"/>
        <v>0.05</v>
      </c>
      <c r="N6241" s="475">
        <f t="shared" si="225"/>
        <v>241001</v>
      </c>
    </row>
    <row r="6242" spans="7:14" ht="11.25" customHeight="1" x14ac:dyDescent="0.3">
      <c r="G6242" s="470"/>
      <c r="H6242" s="470">
        <v>6235</v>
      </c>
      <c r="I6242" s="455">
        <f t="shared" ca="1" si="223"/>
        <v>7.252106606378184E+16</v>
      </c>
      <c r="J6242" s="455">
        <f t="array" ref="J6242">IFERROR(INDEX('Retirement Calculator'!J:J,MATCH('Isaac 401k'!N6242,'Retirement Calculator'!A:A,0),0),0)</f>
        <v>0</v>
      </c>
      <c r="K6242" s="455">
        <f t="shared" ca="1" si="221"/>
        <v>302171108599091</v>
      </c>
      <c r="L6242" s="455">
        <f t="shared" ca="1" si="222"/>
        <v>7.2823237172380928E+16</v>
      </c>
      <c r="M6242" s="471">
        <f t="shared" si="224"/>
        <v>0.05</v>
      </c>
      <c r="N6242" s="475">
        <f t="shared" si="225"/>
        <v>241031</v>
      </c>
    </row>
    <row r="6243" spans="7:14" ht="11.25" customHeight="1" x14ac:dyDescent="0.3">
      <c r="G6243" s="470"/>
      <c r="H6243" s="470">
        <v>6236</v>
      </c>
      <c r="I6243" s="455">
        <f t="shared" ca="1" si="223"/>
        <v>7.2823237172380928E+16</v>
      </c>
      <c r="J6243" s="455">
        <f t="array" ref="J6243">IFERROR(INDEX('Retirement Calculator'!J:J,MATCH('Isaac 401k'!N6243,'Retirement Calculator'!A:A,0),0),0)</f>
        <v>0</v>
      </c>
      <c r="K6243" s="455">
        <f t="shared" ca="1" si="221"/>
        <v>303430154884920.5</v>
      </c>
      <c r="L6243" s="455">
        <f t="shared" ca="1" si="222"/>
        <v>7.3126667327265856E+16</v>
      </c>
      <c r="M6243" s="471">
        <f t="shared" si="224"/>
        <v>0.05</v>
      </c>
      <c r="N6243" s="475">
        <f t="shared" si="225"/>
        <v>241062</v>
      </c>
    </row>
    <row r="6244" spans="7:14" ht="11.25" customHeight="1" x14ac:dyDescent="0.3">
      <c r="G6244" s="470"/>
      <c r="H6244" s="470">
        <v>6237</v>
      </c>
      <c r="I6244" s="455">
        <f t="shared" ca="1" si="223"/>
        <v>7.3126667327265856E+16</v>
      </c>
      <c r="J6244" s="455">
        <f t="array" ref="J6244">IFERROR(INDEX('Retirement Calculator'!J:J,MATCH('Isaac 401k'!N6244,'Retirement Calculator'!A:A,0),0),0)</f>
        <v>0</v>
      </c>
      <c r="K6244" s="455">
        <f t="shared" ca="1" si="221"/>
        <v>304694447196941.06</v>
      </c>
      <c r="L6244" s="455">
        <f t="shared" ca="1" si="222"/>
        <v>7.34313617744628E+16</v>
      </c>
      <c r="M6244" s="471">
        <f t="shared" si="224"/>
        <v>0.05</v>
      </c>
      <c r="N6244" s="475">
        <f t="shared" si="225"/>
        <v>241093</v>
      </c>
    </row>
    <row r="6245" spans="7:14" ht="11.25" customHeight="1" x14ac:dyDescent="0.3">
      <c r="G6245" s="470"/>
      <c r="H6245" s="470">
        <v>6238</v>
      </c>
      <c r="I6245" s="455">
        <f t="shared" ca="1" si="223"/>
        <v>7.34313617744628E+16</v>
      </c>
      <c r="J6245" s="455">
        <f t="array" ref="J6245">IFERROR(INDEX('Retirement Calculator'!J:J,MATCH('Isaac 401k'!N6245,'Retirement Calculator'!A:A,0),0),0)</f>
        <v>0</v>
      </c>
      <c r="K6245" s="455">
        <f t="shared" ca="1" si="221"/>
        <v>305964007393595</v>
      </c>
      <c r="L6245" s="455">
        <f t="shared" ca="1" si="222"/>
        <v>7.37373257818564E+16</v>
      </c>
      <c r="M6245" s="471">
        <f t="shared" si="224"/>
        <v>0.05</v>
      </c>
      <c r="N6245" s="475">
        <f t="shared" si="225"/>
        <v>241122</v>
      </c>
    </row>
    <row r="6246" spans="7:14" ht="11.25" customHeight="1" x14ac:dyDescent="0.3">
      <c r="G6246" s="470"/>
      <c r="H6246" s="470">
        <v>6239</v>
      </c>
      <c r="I6246" s="455">
        <f t="shared" ca="1" si="223"/>
        <v>7.37373257818564E+16</v>
      </c>
      <c r="J6246" s="455">
        <f t="array" ref="J6246">IFERROR(INDEX('Retirement Calculator'!J:J,MATCH('Isaac 401k'!N6246,'Retirement Calculator'!A:A,0),0),0)</f>
        <v>0</v>
      </c>
      <c r="K6246" s="455">
        <f t="shared" ca="1" si="221"/>
        <v>307238857424401.69</v>
      </c>
      <c r="L6246" s="455">
        <f t="shared" ca="1" si="222"/>
        <v>7.40445646392808E+16</v>
      </c>
      <c r="M6246" s="471">
        <f t="shared" si="224"/>
        <v>0.05</v>
      </c>
      <c r="N6246" s="475">
        <f t="shared" si="225"/>
        <v>241153</v>
      </c>
    </row>
    <row r="6247" spans="7:14" ht="11.25" customHeight="1" x14ac:dyDescent="0.3">
      <c r="G6247" s="470"/>
      <c r="H6247" s="470">
        <v>6240</v>
      </c>
      <c r="I6247" s="455">
        <f t="shared" ca="1" si="223"/>
        <v>7.40445646392808E+16</v>
      </c>
      <c r="J6247" s="455">
        <f t="array" ref="J6247">IFERROR(INDEX('Retirement Calculator'!J:J,MATCH('Isaac 401k'!N6247,'Retirement Calculator'!A:A,0),0),0)</f>
        <v>0</v>
      </c>
      <c r="K6247" s="455">
        <f t="shared" ca="1" si="221"/>
        <v>308519019330336.69</v>
      </c>
      <c r="L6247" s="455">
        <f t="shared" ca="1" si="222"/>
        <v>7.4353083658611136E+16</v>
      </c>
      <c r="M6247" s="471">
        <f t="shared" si="224"/>
        <v>0.05</v>
      </c>
      <c r="N6247" s="475">
        <f t="shared" si="225"/>
        <v>241183</v>
      </c>
    </row>
    <row r="6248" spans="7:14" ht="11.25" customHeight="1" x14ac:dyDescent="0.3">
      <c r="G6248" s="470"/>
      <c r="H6248" s="470">
        <v>6241</v>
      </c>
      <c r="I6248" s="455">
        <f t="shared" ca="1" si="223"/>
        <v>7.4353083658611136E+16</v>
      </c>
      <c r="J6248" s="455">
        <f t="array" ref="J6248">IFERROR(INDEX('Retirement Calculator'!J:J,MATCH('Isaac 401k'!N6248,'Retirement Calculator'!A:A,0),0),0)</f>
        <v>0</v>
      </c>
      <c r="K6248" s="455">
        <f t="shared" ca="1" si="221"/>
        <v>309804515244213.06</v>
      </c>
      <c r="L6248" s="455">
        <f t="shared" ca="1" si="222"/>
        <v>7.4662888173855344E+16</v>
      </c>
      <c r="M6248" s="471">
        <f t="shared" si="224"/>
        <v>0.05</v>
      </c>
      <c r="N6248" s="475">
        <f t="shared" si="225"/>
        <v>241214</v>
      </c>
    </row>
    <row r="6249" spans="7:14" ht="11.25" customHeight="1" x14ac:dyDescent="0.3">
      <c r="G6249" s="470"/>
      <c r="H6249" s="470">
        <v>6242</v>
      </c>
      <c r="I6249" s="455">
        <f t="shared" ca="1" si="223"/>
        <v>7.4662888173855344E+16</v>
      </c>
      <c r="J6249" s="455">
        <f t="array" ref="J6249">IFERROR(INDEX('Retirement Calculator'!J:J,MATCH('Isaac 401k'!N6249,'Retirement Calculator'!A:A,0),0),0)</f>
        <v>0</v>
      </c>
      <c r="K6249" s="455">
        <f t="shared" ca="1" si="221"/>
        <v>311095367391063.94</v>
      </c>
      <c r="L6249" s="455">
        <f t="shared" ca="1" si="222"/>
        <v>7.49739835412464E+16</v>
      </c>
      <c r="M6249" s="471">
        <f t="shared" si="224"/>
        <v>0.05</v>
      </c>
      <c r="N6249" s="475">
        <f t="shared" si="225"/>
        <v>241244</v>
      </c>
    </row>
    <row r="6250" spans="7:14" ht="11.25" customHeight="1" x14ac:dyDescent="0.3">
      <c r="G6250" s="470"/>
      <c r="H6250" s="470">
        <v>6243</v>
      </c>
      <c r="I6250" s="455">
        <f t="shared" ca="1" si="223"/>
        <v>7.49739835412464E+16</v>
      </c>
      <c r="J6250" s="455">
        <f t="array" ref="J6250">IFERROR(INDEX('Retirement Calculator'!J:J,MATCH('Isaac 401k'!N6250,'Retirement Calculator'!A:A,0),0),0)</f>
        <v>0</v>
      </c>
      <c r="K6250" s="455">
        <f t="shared" ca="1" si="221"/>
        <v>312391598088526.69</v>
      </c>
      <c r="L6250" s="455">
        <f t="shared" ca="1" si="222"/>
        <v>7.5286375139334928E+16</v>
      </c>
      <c r="M6250" s="471">
        <f t="shared" si="224"/>
        <v>0.05</v>
      </c>
      <c r="N6250" s="475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70" t="s">
        <v>672</v>
      </c>
      <c r="B1" s="455">
        <f ca="1">'Combined Retirement'!I8+'Combined Retirement'!K8</f>
        <v>3268717.5999116763</v>
      </c>
      <c r="C1" s="457"/>
      <c r="D1" s="457"/>
      <c r="E1" s="457"/>
      <c r="F1" s="457"/>
      <c r="G1" s="470"/>
      <c r="H1" s="470"/>
      <c r="I1" s="442"/>
      <c r="J1" s="442"/>
      <c r="K1" s="442"/>
      <c r="L1" s="442"/>
      <c r="M1" s="473"/>
      <c r="N1" s="475"/>
    </row>
    <row r="2" spans="1:14" ht="11.25" customHeight="1" x14ac:dyDescent="0.3">
      <c r="A2" s="470" t="s">
        <v>673</v>
      </c>
      <c r="B2" s="471">
        <v>0.05</v>
      </c>
      <c r="C2" s="457" t="s">
        <v>682</v>
      </c>
      <c r="D2" s="457"/>
      <c r="E2" s="457"/>
      <c r="F2" s="457"/>
      <c r="G2" s="470"/>
      <c r="H2" s="470"/>
      <c r="I2" s="442"/>
      <c r="J2" s="442"/>
      <c r="K2" s="442"/>
      <c r="L2" s="442"/>
      <c r="M2" s="473"/>
      <c r="N2" s="475"/>
    </row>
    <row r="3" spans="1:14" ht="11.25" customHeight="1" x14ac:dyDescent="0.3">
      <c r="A3" s="470"/>
      <c r="B3" s="457"/>
      <c r="C3" s="457"/>
      <c r="D3" s="457"/>
      <c r="E3" s="457"/>
      <c r="F3" s="457"/>
      <c r="G3" s="470"/>
      <c r="H3" s="470"/>
      <c r="I3" s="442"/>
      <c r="J3" s="442"/>
      <c r="K3" s="442"/>
      <c r="L3" s="442"/>
      <c r="M3" s="473"/>
      <c r="N3" s="475"/>
    </row>
    <row r="4" spans="1:14" ht="11.25" customHeight="1" x14ac:dyDescent="0.3">
      <c r="A4" s="470" t="s">
        <v>675</v>
      </c>
      <c r="B4" s="462">
        <f ca="1">(SUMIFS(H:H,I:I,"&gt;0",L:L,"&lt;0"))/12</f>
        <v>0</v>
      </c>
      <c r="C4" s="474">
        <f ca="1">(SUMIFS(H:H,I:I,"&gt;0",L:L,"&lt;0"))</f>
        <v>0</v>
      </c>
      <c r="D4" s="467" t="e">
        <f t="array" aca="1" ref="D4" ca="1">INDEX(N:N,MATCH(C4,H:H,0),0)</f>
        <v>#N/A</v>
      </c>
      <c r="E4" s="457"/>
      <c r="F4" s="457"/>
      <c r="G4" s="470"/>
      <c r="H4" s="470"/>
      <c r="I4" s="457"/>
      <c r="J4" s="442"/>
      <c r="K4" s="442"/>
      <c r="L4" s="442"/>
      <c r="M4" s="473"/>
      <c r="N4" s="475"/>
    </row>
    <row r="5" spans="1:14" ht="11.25" customHeight="1" x14ac:dyDescent="0.3">
      <c r="A5" s="470"/>
      <c r="B5" s="457"/>
      <c r="C5" s="457"/>
      <c r="D5" s="457"/>
      <c r="E5" s="457"/>
      <c r="F5" s="457"/>
      <c r="G5" s="470"/>
      <c r="H5" s="470"/>
      <c r="I5" s="442"/>
      <c r="J5" s="442"/>
      <c r="K5" s="442"/>
      <c r="L5" s="442"/>
      <c r="M5" s="473"/>
      <c r="N5" s="475"/>
    </row>
    <row r="6" spans="1:14" ht="11.25" customHeight="1" x14ac:dyDescent="0.3">
      <c r="A6" s="470"/>
      <c r="B6" s="457"/>
      <c r="C6" s="457"/>
      <c r="D6" s="457"/>
      <c r="E6" s="457"/>
      <c r="F6" s="457"/>
      <c r="G6" s="470"/>
      <c r="H6" s="470"/>
      <c r="I6" s="442"/>
      <c r="J6" s="442"/>
      <c r="K6" s="442"/>
      <c r="L6" s="442"/>
      <c r="M6" s="473"/>
      <c r="N6" s="475"/>
    </row>
    <row r="7" spans="1:14" ht="11.25" customHeight="1" x14ac:dyDescent="0.3">
      <c r="A7" s="470" t="s">
        <v>676</v>
      </c>
      <c r="B7" s="457" t="s">
        <v>677</v>
      </c>
      <c r="C7" s="457" t="s">
        <v>678</v>
      </c>
      <c r="D7" s="457" t="s">
        <v>679</v>
      </c>
      <c r="E7" s="457" t="s">
        <v>680</v>
      </c>
      <c r="F7" s="457"/>
      <c r="G7" s="470" t="s">
        <v>681</v>
      </c>
      <c r="H7" s="470" t="s">
        <v>224</v>
      </c>
      <c r="I7" s="457" t="s">
        <v>677</v>
      </c>
      <c r="J7" s="457" t="s">
        <v>678</v>
      </c>
      <c r="K7" s="457" t="s">
        <v>679</v>
      </c>
      <c r="L7" s="457" t="s">
        <v>680</v>
      </c>
      <c r="M7" s="471"/>
      <c r="N7" s="475" t="s">
        <v>607</v>
      </c>
    </row>
    <row r="8" spans="1:14" ht="11.25" customHeight="1" x14ac:dyDescent="0.3">
      <c r="A8" s="470">
        <v>1</v>
      </c>
      <c r="B8" s="458">
        <f ca="1">B1</f>
        <v>3268717.5999116763</v>
      </c>
      <c r="C8" s="458">
        <f t="shared" ref="C8:C71" si="0">SUMIF(G:G,A8,J:J)</f>
        <v>0</v>
      </c>
      <c r="D8" s="458">
        <f ca="1">SUMIF(G:G,1,K:K)</f>
        <v>167233.79605090519</v>
      </c>
      <c r="E8" s="458">
        <f t="shared" ref="E8:E71" ca="1" si="1">B8-C8+D8</f>
        <v>3435951.3959625815</v>
      </c>
      <c r="F8" s="442"/>
      <c r="G8" s="470">
        <v>1</v>
      </c>
      <c r="H8" s="470">
        <v>1</v>
      </c>
      <c r="I8" s="455">
        <f ca="1">B1</f>
        <v>3268717.5999116763</v>
      </c>
      <c r="J8" s="455">
        <f t="array" ref="J8">IFERROR(INDEX('Retirement Calculator'!K:K,MATCH('Lorri 401b'!N8,'Retirement Calculator'!A:A,0),0),0)</f>
        <v>0</v>
      </c>
      <c r="K8" s="455">
        <f t="shared" ref="K8:K262" ca="1" si="2">IPMT(M8/12,1,12,-I8+J8,,0)</f>
        <v>13619.656666298652</v>
      </c>
      <c r="L8" s="455">
        <f t="shared" ref="L8:L262" ca="1" si="3">I8-J8+K8</f>
        <v>3282337.2565779751</v>
      </c>
      <c r="M8" s="471">
        <f>B2</f>
        <v>0.05</v>
      </c>
      <c r="N8" s="475">
        <f>'Retirement Calculator'!D7</f>
        <v>51288</v>
      </c>
    </row>
    <row r="9" spans="1:14" ht="11.25" customHeight="1" x14ac:dyDescent="0.3">
      <c r="A9" s="470">
        <v>2</v>
      </c>
      <c r="B9" s="458">
        <f t="shared" ref="B9:B71" ca="1" si="4">E8</f>
        <v>3435951.3959625815</v>
      </c>
      <c r="C9" s="458">
        <f t="shared" si="0"/>
        <v>0</v>
      </c>
      <c r="D9" s="458">
        <f ca="1">SUMIF(G:G,2,K:K)</f>
        <v>175789.7944468362</v>
      </c>
      <c r="E9" s="458">
        <f t="shared" ca="1" si="1"/>
        <v>3611741.1904094177</v>
      </c>
      <c r="F9" s="442"/>
      <c r="G9" s="470">
        <v>1</v>
      </c>
      <c r="H9" s="470">
        <v>2</v>
      </c>
      <c r="I9" s="455">
        <f t="shared" ref="I9:I263" ca="1" si="5">L8</f>
        <v>3282337.2565779751</v>
      </c>
      <c r="J9" s="455">
        <f t="array" ref="J9">IFERROR(INDEX('Retirement Calculator'!K:K,MATCH('Lorri 401b'!N9,'Retirement Calculator'!A:A,0),0),0)</f>
        <v>0</v>
      </c>
      <c r="K9" s="455">
        <f t="shared" ca="1" si="2"/>
        <v>13676.405235741562</v>
      </c>
      <c r="L9" s="455">
        <f t="shared" ca="1" si="3"/>
        <v>3296013.6618137169</v>
      </c>
      <c r="M9" s="471">
        <f t="shared" ref="M9:M263" si="6">M8</f>
        <v>0.05</v>
      </c>
      <c r="N9" s="475">
        <f t="shared" ref="N9:N263" si="7">EDATE(N8,1)</f>
        <v>51318</v>
      </c>
    </row>
    <row r="10" spans="1:14" ht="11.25" customHeight="1" x14ac:dyDescent="0.3">
      <c r="A10" s="470">
        <v>3</v>
      </c>
      <c r="B10" s="458">
        <f t="shared" ca="1" si="4"/>
        <v>3611741.1904094177</v>
      </c>
      <c r="C10" s="458">
        <f t="shared" si="0"/>
        <v>0</v>
      </c>
      <c r="D10" s="458">
        <f ca="1">SUMIF(G:G,3,K:K)</f>
        <v>184783.53395897607</v>
      </c>
      <c r="E10" s="458">
        <f t="shared" ca="1" si="1"/>
        <v>3796524.7243683939</v>
      </c>
      <c r="F10" s="442"/>
      <c r="G10" s="470">
        <v>1</v>
      </c>
      <c r="H10" s="470">
        <v>3</v>
      </c>
      <c r="I10" s="455">
        <f t="shared" ca="1" si="5"/>
        <v>3296013.6618137169</v>
      </c>
      <c r="J10" s="455">
        <f t="array" ref="J10">IFERROR(INDEX('Retirement Calculator'!K:K,MATCH('Lorri 401b'!N10,'Retirement Calculator'!A:A,0),0),0)</f>
        <v>0</v>
      </c>
      <c r="K10" s="455">
        <f t="shared" ca="1" si="2"/>
        <v>13733.390257557154</v>
      </c>
      <c r="L10" s="455">
        <f t="shared" ca="1" si="3"/>
        <v>3309747.0520712738</v>
      </c>
      <c r="M10" s="471">
        <f t="shared" si="6"/>
        <v>0.05</v>
      </c>
      <c r="N10" s="475">
        <f t="shared" si="7"/>
        <v>51349</v>
      </c>
    </row>
    <row r="11" spans="1:14" ht="11.25" customHeight="1" x14ac:dyDescent="0.3">
      <c r="A11" s="470">
        <v>4</v>
      </c>
      <c r="B11" s="458">
        <f t="shared" ca="1" si="4"/>
        <v>3796524.7243683939</v>
      </c>
      <c r="C11" s="458">
        <f t="shared" si="0"/>
        <v>0</v>
      </c>
      <c r="D11" s="458">
        <f ca="1">SUMIF(G:G,4,K:K)</f>
        <v>194237.41025361099</v>
      </c>
      <c r="E11" s="458">
        <f t="shared" ca="1" si="1"/>
        <v>3990762.1346220048</v>
      </c>
      <c r="F11" s="442"/>
      <c r="G11" s="470">
        <v>1</v>
      </c>
      <c r="H11" s="470">
        <v>4</v>
      </c>
      <c r="I11" s="455">
        <f t="shared" ca="1" si="5"/>
        <v>3309747.0520712738</v>
      </c>
      <c r="J11" s="455">
        <f t="array" ref="J11">IFERROR(INDEX('Retirement Calculator'!K:K,MATCH('Lorri 401b'!N11,'Retirement Calculator'!A:A,0),0),0)</f>
        <v>0</v>
      </c>
      <c r="K11" s="455">
        <f t="shared" ca="1" si="2"/>
        <v>13790.61271696364</v>
      </c>
      <c r="L11" s="455">
        <f t="shared" ca="1" si="3"/>
        <v>3323537.6647882373</v>
      </c>
      <c r="M11" s="471">
        <f t="shared" si="6"/>
        <v>0.05</v>
      </c>
      <c r="N11" s="475">
        <f t="shared" si="7"/>
        <v>51380</v>
      </c>
    </row>
    <row r="12" spans="1:14" ht="11.25" customHeight="1" x14ac:dyDescent="0.3">
      <c r="A12" s="470">
        <v>5</v>
      </c>
      <c r="B12" s="458">
        <f t="shared" ca="1" si="4"/>
        <v>3990762.1346220048</v>
      </c>
      <c r="C12" s="458">
        <f t="shared" si="0"/>
        <v>0</v>
      </c>
      <c r="D12" s="458">
        <f ca="1">SUMIF(G:G,5,K:K)</f>
        <v>204174.9648018186</v>
      </c>
      <c r="E12" s="458">
        <f t="shared" ca="1" si="1"/>
        <v>4194937.0994238239</v>
      </c>
      <c r="F12" s="442"/>
      <c r="G12" s="470">
        <v>1</v>
      </c>
      <c r="H12" s="470">
        <v>5</v>
      </c>
      <c r="I12" s="455">
        <f t="shared" ca="1" si="5"/>
        <v>3323537.6647882373</v>
      </c>
      <c r="J12" s="455">
        <f t="array" ref="J12">IFERROR(INDEX('Retirement Calculator'!K:K,MATCH('Lorri 401b'!N12,'Retirement Calculator'!A:A,0),0),0)</f>
        <v>0</v>
      </c>
      <c r="K12" s="455">
        <f t="shared" ca="1" si="2"/>
        <v>13848.07360328432</v>
      </c>
      <c r="L12" s="455">
        <f t="shared" ca="1" si="3"/>
        <v>3337385.7383915219</v>
      </c>
      <c r="M12" s="471">
        <f t="shared" si="6"/>
        <v>0.05</v>
      </c>
      <c r="N12" s="475">
        <f t="shared" si="7"/>
        <v>51410</v>
      </c>
    </row>
    <row r="13" spans="1:14" ht="11.25" customHeight="1" x14ac:dyDescent="0.3">
      <c r="A13" s="470">
        <v>6</v>
      </c>
      <c r="B13" s="458">
        <f t="shared" ca="1" si="4"/>
        <v>4194937.0994238239</v>
      </c>
      <c r="C13" s="458">
        <f t="shared" si="0"/>
        <v>91319.975727986966</v>
      </c>
      <c r="D13" s="458">
        <f ca="1">SUMIF(G:G,6,K:K)</f>
        <v>213473.0822886792</v>
      </c>
      <c r="E13" s="458">
        <f t="shared" ca="1" si="1"/>
        <v>4317090.2059845161</v>
      </c>
      <c r="F13" s="442"/>
      <c r="G13" s="470">
        <v>1</v>
      </c>
      <c r="H13" s="470">
        <v>6</v>
      </c>
      <c r="I13" s="455">
        <f t="shared" ca="1" si="5"/>
        <v>3337385.7383915219</v>
      </c>
      <c r="J13" s="455">
        <f t="array" ref="J13">IFERROR(INDEX('Retirement Calculator'!K:K,MATCH('Lorri 401b'!N13,'Retirement Calculator'!A:A,0),0),0)</f>
        <v>0</v>
      </c>
      <c r="K13" s="455">
        <f t="shared" ca="1" si="2"/>
        <v>13905.773909964673</v>
      </c>
      <c r="L13" s="455">
        <f t="shared" ca="1" si="3"/>
        <v>3351291.5123014865</v>
      </c>
      <c r="M13" s="471">
        <f t="shared" si="6"/>
        <v>0.05</v>
      </c>
      <c r="N13" s="475">
        <f t="shared" si="7"/>
        <v>51441</v>
      </c>
    </row>
    <row r="14" spans="1:14" ht="11.25" customHeight="1" x14ac:dyDescent="0.3">
      <c r="A14" s="470">
        <v>7</v>
      </c>
      <c r="B14" s="458">
        <f t="shared" ca="1" si="4"/>
        <v>4317090.2059845161</v>
      </c>
      <c r="C14" s="458">
        <f t="shared" si="0"/>
        <v>219167.94174716866</v>
      </c>
      <c r="D14" s="458">
        <f ca="1">SUMIF(G:G,7,K:K)</f>
        <v>214843.09226506151</v>
      </c>
      <c r="E14" s="458">
        <f t="shared" ca="1" si="1"/>
        <v>4312765.3565024091</v>
      </c>
      <c r="F14" s="442"/>
      <c r="G14" s="470">
        <v>1</v>
      </c>
      <c r="H14" s="470">
        <v>7</v>
      </c>
      <c r="I14" s="455">
        <f t="shared" ca="1" si="5"/>
        <v>3351291.5123014865</v>
      </c>
      <c r="J14" s="455">
        <f t="array" ref="J14">IFERROR(INDEX('Retirement Calculator'!K:K,MATCH('Lorri 401b'!N14,'Retirement Calculator'!A:A,0),0),0)</f>
        <v>0</v>
      </c>
      <c r="K14" s="455">
        <f t="shared" ca="1" si="2"/>
        <v>13963.714634589525</v>
      </c>
      <c r="L14" s="455">
        <f t="shared" ca="1" si="3"/>
        <v>3365255.2269360758</v>
      </c>
      <c r="M14" s="471">
        <f t="shared" si="6"/>
        <v>0.05</v>
      </c>
      <c r="N14" s="475">
        <f t="shared" si="7"/>
        <v>51471</v>
      </c>
    </row>
    <row r="15" spans="1:14" ht="11.25" customHeight="1" x14ac:dyDescent="0.3">
      <c r="A15" s="470">
        <v>8</v>
      </c>
      <c r="B15" s="458">
        <f t="shared" ca="1" si="4"/>
        <v>4312765.3565024091</v>
      </c>
      <c r="C15" s="458">
        <f t="shared" si="0"/>
        <v>219167.94174716866</v>
      </c>
      <c r="D15" s="458">
        <f ca="1">SUMIF(G:G,8,K:K)</f>
        <v>214621.82475750399</v>
      </c>
      <c r="E15" s="458">
        <f t="shared" ca="1" si="1"/>
        <v>4308219.2395127444</v>
      </c>
      <c r="F15" s="442"/>
      <c r="G15" s="470">
        <v>1</v>
      </c>
      <c r="H15" s="470">
        <v>8</v>
      </c>
      <c r="I15" s="455">
        <f t="shared" ca="1" si="5"/>
        <v>3365255.2269360758</v>
      </c>
      <c r="J15" s="455">
        <f t="array" ref="J15">IFERROR(INDEX('Retirement Calculator'!K:K,MATCH('Lorri 401b'!N15,'Retirement Calculator'!A:A,0),0),0)</f>
        <v>0</v>
      </c>
      <c r="K15" s="455">
        <f t="shared" ca="1" si="2"/>
        <v>14021.896778900318</v>
      </c>
      <c r="L15" s="455">
        <f t="shared" ca="1" si="3"/>
        <v>3379277.123714976</v>
      </c>
      <c r="M15" s="471">
        <f t="shared" si="6"/>
        <v>0.05</v>
      </c>
      <c r="N15" s="475">
        <f t="shared" si="7"/>
        <v>51502</v>
      </c>
    </row>
    <row r="16" spans="1:14" ht="11.25" customHeight="1" x14ac:dyDescent="0.3">
      <c r="A16" s="470">
        <v>9</v>
      </c>
      <c r="B16" s="458">
        <f t="shared" ca="1" si="4"/>
        <v>4308219.2395127444</v>
      </c>
      <c r="C16" s="458">
        <f t="shared" si="0"/>
        <v>199985.03734716872</v>
      </c>
      <c r="D16" s="458">
        <f ca="1">SUMIF(G:G,9,K:K)</f>
        <v>214875.53298769149</v>
      </c>
      <c r="E16" s="458">
        <f t="shared" ca="1" si="1"/>
        <v>4323109.7351532672</v>
      </c>
      <c r="F16" s="442"/>
      <c r="G16" s="470">
        <v>1</v>
      </c>
      <c r="H16" s="470">
        <v>9</v>
      </c>
      <c r="I16" s="455">
        <f t="shared" ca="1" si="5"/>
        <v>3379277.123714976</v>
      </c>
      <c r="J16" s="455">
        <f t="array" ref="J16">IFERROR(INDEX('Retirement Calculator'!K:K,MATCH('Lorri 401b'!N16,'Retirement Calculator'!A:A,0),0),0)</f>
        <v>0</v>
      </c>
      <c r="K16" s="455">
        <f t="shared" ca="1" si="2"/>
        <v>14080.3213488124</v>
      </c>
      <c r="L16" s="455">
        <f t="shared" ca="1" si="3"/>
        <v>3393357.4450637884</v>
      </c>
      <c r="M16" s="471">
        <f t="shared" si="6"/>
        <v>0.05</v>
      </c>
      <c r="N16" s="475">
        <f t="shared" si="7"/>
        <v>51533</v>
      </c>
    </row>
    <row r="17" spans="1:14" ht="11.25" customHeight="1" x14ac:dyDescent="0.3">
      <c r="A17" s="470">
        <v>10</v>
      </c>
      <c r="B17" s="458">
        <f t="shared" ca="1" si="4"/>
        <v>4323109.7351532672</v>
      </c>
      <c r="C17" s="458">
        <f t="shared" si="0"/>
        <v>198241.13694716871</v>
      </c>
      <c r="D17" s="458">
        <f ca="1">SUMIF(G:G,10,K:K)</f>
        <v>215726.58025924073</v>
      </c>
      <c r="E17" s="458">
        <f t="shared" ca="1" si="1"/>
        <v>4340595.1784653394</v>
      </c>
      <c r="F17" s="442"/>
      <c r="G17" s="470">
        <v>1</v>
      </c>
      <c r="H17" s="470">
        <v>10</v>
      </c>
      <c r="I17" s="455">
        <f t="shared" ca="1" si="5"/>
        <v>3393357.4450637884</v>
      </c>
      <c r="J17" s="455">
        <f t="array" ref="J17">IFERROR(INDEX('Retirement Calculator'!K:K,MATCH('Lorri 401b'!N17,'Retirement Calculator'!A:A,0),0),0)</f>
        <v>0</v>
      </c>
      <c r="K17" s="455">
        <f t="shared" ca="1" si="2"/>
        <v>14138.989354432451</v>
      </c>
      <c r="L17" s="455">
        <f t="shared" ca="1" si="3"/>
        <v>3407496.434418221</v>
      </c>
      <c r="M17" s="471">
        <f t="shared" si="6"/>
        <v>0.05</v>
      </c>
      <c r="N17" s="475">
        <f t="shared" si="7"/>
        <v>51561</v>
      </c>
    </row>
    <row r="18" spans="1:14" ht="11.25" customHeight="1" x14ac:dyDescent="0.3">
      <c r="A18" s="470">
        <v>11</v>
      </c>
      <c r="B18" s="458">
        <f t="shared" ca="1" si="4"/>
        <v>4340595.1784653394</v>
      </c>
      <c r="C18" s="458">
        <f t="shared" si="0"/>
        <v>198241.13694716871</v>
      </c>
      <c r="D18" s="458">
        <f ca="1">SUMIF(G:G,11,K:K)</f>
        <v>216621.16872438946</v>
      </c>
      <c r="E18" s="458">
        <f t="shared" ca="1" si="1"/>
        <v>4358975.2102425601</v>
      </c>
      <c r="F18" s="442"/>
      <c r="G18" s="470">
        <v>1</v>
      </c>
      <c r="H18" s="470">
        <v>11</v>
      </c>
      <c r="I18" s="455">
        <f t="shared" ca="1" si="5"/>
        <v>3407496.434418221</v>
      </c>
      <c r="J18" s="455">
        <f t="array" ref="J18">IFERROR(INDEX('Retirement Calculator'!K:K,MATCH('Lorri 401b'!N18,'Retirement Calculator'!A:A,0),0),0)</f>
        <v>0</v>
      </c>
      <c r="K18" s="455">
        <f t="shared" ca="1" si="2"/>
        <v>14197.901810075919</v>
      </c>
      <c r="L18" s="455">
        <f t="shared" ca="1" si="3"/>
        <v>3421694.3362282971</v>
      </c>
      <c r="M18" s="471">
        <f t="shared" si="6"/>
        <v>0.05</v>
      </c>
      <c r="N18" s="475">
        <f t="shared" si="7"/>
        <v>51592</v>
      </c>
    </row>
    <row r="19" spans="1:14" ht="11.25" customHeight="1" x14ac:dyDescent="0.3">
      <c r="A19" s="470">
        <v>12</v>
      </c>
      <c r="B19" s="458">
        <f t="shared" ca="1" si="4"/>
        <v>4358975.2102425601</v>
      </c>
      <c r="C19" s="458">
        <f t="shared" si="0"/>
        <v>198241.13694716871</v>
      </c>
      <c r="D19" s="458">
        <f ca="1">SUMIF(G:G,12,K:K)</f>
        <v>217561.52603323839</v>
      </c>
      <c r="E19" s="458">
        <f t="shared" ca="1" si="1"/>
        <v>4378295.5993286297</v>
      </c>
      <c r="F19" s="442"/>
      <c r="G19" s="470">
        <v>1</v>
      </c>
      <c r="H19" s="470">
        <v>12</v>
      </c>
      <c r="I19" s="455">
        <f t="shared" ca="1" si="5"/>
        <v>3421694.3362282971</v>
      </c>
      <c r="J19" s="455">
        <f t="array" ref="J19">IFERROR(INDEX('Retirement Calculator'!K:K,MATCH('Lorri 401b'!N19,'Retirement Calculator'!A:A,0),0),0)</f>
        <v>0</v>
      </c>
      <c r="K19" s="455">
        <f t="shared" ca="1" si="2"/>
        <v>14257.059734284572</v>
      </c>
      <c r="L19" s="455">
        <f t="shared" ca="1" si="3"/>
        <v>3435951.3959625815</v>
      </c>
      <c r="M19" s="471">
        <f t="shared" si="6"/>
        <v>0.05</v>
      </c>
      <c r="N19" s="475">
        <f t="shared" si="7"/>
        <v>51622</v>
      </c>
    </row>
    <row r="20" spans="1:14" ht="11.25" customHeight="1" x14ac:dyDescent="0.3">
      <c r="A20" s="470">
        <v>13</v>
      </c>
      <c r="B20" s="458">
        <f t="shared" ca="1" si="4"/>
        <v>4378295.5993286297</v>
      </c>
      <c r="C20" s="458">
        <f t="shared" si="0"/>
        <v>198241.13694716871</v>
      </c>
      <c r="D20" s="458">
        <f ca="1">SUMIF(G:G,13,K:K)</f>
        <v>218549.99380669498</v>
      </c>
      <c r="E20" s="458">
        <f t="shared" ca="1" si="1"/>
        <v>4398604.4561881563</v>
      </c>
      <c r="F20" s="442"/>
      <c r="G20" s="470">
        <v>2</v>
      </c>
      <c r="H20" s="470">
        <v>13</v>
      </c>
      <c r="I20" s="455">
        <f t="shared" ca="1" si="5"/>
        <v>3435951.3959625815</v>
      </c>
      <c r="J20" s="455">
        <f t="array" ref="J20">IFERROR(INDEX('Retirement Calculator'!K:K,MATCH('Lorri 401b'!N20,'Retirement Calculator'!A:A,0),0),0)</f>
        <v>0</v>
      </c>
      <c r="K20" s="455">
        <f t="shared" ca="1" si="2"/>
        <v>14316.464149844089</v>
      </c>
      <c r="L20" s="455">
        <f t="shared" ca="1" si="3"/>
        <v>3450267.8601124254</v>
      </c>
      <c r="M20" s="471">
        <f t="shared" si="6"/>
        <v>0.05</v>
      </c>
      <c r="N20" s="475">
        <f t="shared" si="7"/>
        <v>51653</v>
      </c>
    </row>
    <row r="21" spans="1:14" ht="11.25" customHeight="1" x14ac:dyDescent="0.3">
      <c r="A21" s="470">
        <v>14</v>
      </c>
      <c r="B21" s="458">
        <f t="shared" ca="1" si="4"/>
        <v>4398604.4561881563</v>
      </c>
      <c r="C21" s="458">
        <f t="shared" si="0"/>
        <v>198241.13694716871</v>
      </c>
      <c r="D21" s="458">
        <f ca="1">SUMIF(G:G,14,K:K)</f>
        <v>219589.03346743653</v>
      </c>
      <c r="E21" s="458">
        <f t="shared" ca="1" si="1"/>
        <v>4419952.3527084235</v>
      </c>
      <c r="F21" s="442"/>
      <c r="G21" s="470">
        <v>2</v>
      </c>
      <c r="H21" s="470">
        <v>14</v>
      </c>
      <c r="I21" s="455">
        <f t="shared" ca="1" si="5"/>
        <v>3450267.8601124254</v>
      </c>
      <c r="J21" s="455">
        <f t="array" ref="J21">IFERROR(INDEX('Retirement Calculator'!K:K,MATCH('Lorri 401b'!N21,'Retirement Calculator'!A:A,0),0),0)</f>
        <v>0</v>
      </c>
      <c r="K21" s="455">
        <f t="shared" ca="1" si="2"/>
        <v>14376.116083801773</v>
      </c>
      <c r="L21" s="455">
        <f t="shared" ca="1" si="3"/>
        <v>3464643.9761962271</v>
      </c>
      <c r="M21" s="471">
        <f t="shared" si="6"/>
        <v>0.05</v>
      </c>
      <c r="N21" s="475">
        <f t="shared" si="7"/>
        <v>51683</v>
      </c>
    </row>
    <row r="22" spans="1:14" ht="11.25" customHeight="1" x14ac:dyDescent="0.3">
      <c r="A22" s="470">
        <v>15</v>
      </c>
      <c r="B22" s="458">
        <f t="shared" ca="1" si="4"/>
        <v>4419952.3527084235</v>
      </c>
      <c r="C22" s="458">
        <f t="shared" si="0"/>
        <v>198241.13694716871</v>
      </c>
      <c r="D22" s="458">
        <f ca="1">SUMIF(G:G,15,K:K)</f>
        <v>220681.23236919596</v>
      </c>
      <c r="E22" s="458">
        <f t="shared" ca="1" si="1"/>
        <v>4442392.4481304502</v>
      </c>
      <c r="F22" s="442"/>
      <c r="G22" s="470">
        <v>2</v>
      </c>
      <c r="H22" s="470">
        <v>15</v>
      </c>
      <c r="I22" s="455">
        <f t="shared" ca="1" si="5"/>
        <v>3464643.9761962271</v>
      </c>
      <c r="J22" s="455">
        <f t="array" ref="J22">IFERROR(INDEX('Retirement Calculator'!K:K,MATCH('Lorri 401b'!N22,'Retirement Calculator'!A:A,0),0),0)</f>
        <v>0</v>
      </c>
      <c r="K22" s="455">
        <f t="shared" ca="1" si="2"/>
        <v>14436.016567484279</v>
      </c>
      <c r="L22" s="455">
        <f t="shared" ca="1" si="3"/>
        <v>3479079.9927637116</v>
      </c>
      <c r="M22" s="471">
        <f t="shared" si="6"/>
        <v>0.05</v>
      </c>
      <c r="N22" s="475">
        <f t="shared" si="7"/>
        <v>51714</v>
      </c>
    </row>
    <row r="23" spans="1:14" ht="11.25" customHeight="1" x14ac:dyDescent="0.3">
      <c r="A23" s="470">
        <v>16</v>
      </c>
      <c r="B23" s="458">
        <f t="shared" ca="1" si="4"/>
        <v>4442392.4481304502</v>
      </c>
      <c r="C23" s="458">
        <f t="shared" si="0"/>
        <v>198241.13694716871</v>
      </c>
      <c r="D23" s="458">
        <f ca="1">SUMIF(G:G,16,K:K)</f>
        <v>221829.31023963372</v>
      </c>
      <c r="E23" s="458">
        <f t="shared" ca="1" si="1"/>
        <v>4465980.6214229148</v>
      </c>
      <c r="F23" s="442"/>
      <c r="G23" s="470">
        <v>2</v>
      </c>
      <c r="H23" s="470">
        <v>16</v>
      </c>
      <c r="I23" s="455">
        <f t="shared" ca="1" si="5"/>
        <v>3479079.9927637116</v>
      </c>
      <c r="J23" s="455">
        <f t="array" ref="J23">IFERROR(INDEX('Retirement Calculator'!K:K,MATCH('Lorri 401b'!N23,'Retirement Calculator'!A:A,0),0),0)</f>
        <v>0</v>
      </c>
      <c r="K23" s="455">
        <f t="shared" ca="1" si="2"/>
        <v>14496.166636515467</v>
      </c>
      <c r="L23" s="455">
        <f t="shared" ca="1" si="3"/>
        <v>3493576.159400227</v>
      </c>
      <c r="M23" s="471">
        <f t="shared" si="6"/>
        <v>0.05</v>
      </c>
      <c r="N23" s="475">
        <f t="shared" si="7"/>
        <v>51745</v>
      </c>
    </row>
    <row r="24" spans="1:14" ht="11.25" customHeight="1" x14ac:dyDescent="0.3">
      <c r="A24" s="470">
        <v>17</v>
      </c>
      <c r="B24" s="458">
        <f t="shared" ca="1" si="4"/>
        <v>4465980.6214229148</v>
      </c>
      <c r="C24" s="458">
        <f t="shared" si="0"/>
        <v>198241.13694716871</v>
      </c>
      <c r="D24" s="458">
        <f ca="1">SUMIF(G:G,17,K:K)</f>
        <v>223036.12595283921</v>
      </c>
      <c r="E24" s="458">
        <f t="shared" ca="1" si="1"/>
        <v>4490775.6104285847</v>
      </c>
      <c r="F24" s="442"/>
      <c r="G24" s="470">
        <v>2</v>
      </c>
      <c r="H24" s="470">
        <v>17</v>
      </c>
      <c r="I24" s="455">
        <f t="shared" ca="1" si="5"/>
        <v>3493576.159400227</v>
      </c>
      <c r="J24" s="455">
        <f t="array" ref="J24">IFERROR(INDEX('Retirement Calculator'!K:K,MATCH('Lorri 401b'!N24,'Retirement Calculator'!A:A,0),0),0)</f>
        <v>0</v>
      </c>
      <c r="K24" s="455">
        <f t="shared" ca="1" si="2"/>
        <v>14556.567330834278</v>
      </c>
      <c r="L24" s="455">
        <f t="shared" ca="1" si="3"/>
        <v>3508132.7267310615</v>
      </c>
      <c r="M24" s="471">
        <f t="shared" si="6"/>
        <v>0.05</v>
      </c>
      <c r="N24" s="475">
        <f t="shared" si="7"/>
        <v>51775</v>
      </c>
    </row>
    <row r="25" spans="1:14" ht="11.25" customHeight="1" x14ac:dyDescent="0.3">
      <c r="A25" s="470">
        <v>18</v>
      </c>
      <c r="B25" s="458">
        <f t="shared" ca="1" si="4"/>
        <v>4490775.6104285847</v>
      </c>
      <c r="C25" s="458">
        <f t="shared" si="0"/>
        <v>198241.13694716871</v>
      </c>
      <c r="D25" s="458">
        <f ca="1">SUMIF(G:G,18,K:K)</f>
        <v>224304.68464832578</v>
      </c>
      <c r="E25" s="458">
        <f t="shared" ca="1" si="1"/>
        <v>4516839.1581297414</v>
      </c>
      <c r="F25" s="442"/>
      <c r="G25" s="470">
        <v>2</v>
      </c>
      <c r="H25" s="470">
        <v>18</v>
      </c>
      <c r="I25" s="455">
        <f t="shared" ca="1" si="5"/>
        <v>3508132.7267310615</v>
      </c>
      <c r="J25" s="455">
        <f t="array" ref="J25">IFERROR(INDEX('Retirement Calculator'!K:K,MATCH('Lorri 401b'!N25,'Retirement Calculator'!A:A,0),0),0)</f>
        <v>0</v>
      </c>
      <c r="K25" s="455">
        <f t="shared" ca="1" si="2"/>
        <v>14617.219694712756</v>
      </c>
      <c r="L25" s="455">
        <f t="shared" ca="1" si="3"/>
        <v>3522749.9464257741</v>
      </c>
      <c r="M25" s="471">
        <f t="shared" si="6"/>
        <v>0.05</v>
      </c>
      <c r="N25" s="475">
        <f t="shared" si="7"/>
        <v>51806</v>
      </c>
    </row>
    <row r="26" spans="1:14" ht="11.25" customHeight="1" x14ac:dyDescent="0.3">
      <c r="A26" s="470">
        <v>19</v>
      </c>
      <c r="B26" s="458">
        <f t="shared" ca="1" si="4"/>
        <v>4516839.1581297414</v>
      </c>
      <c r="C26" s="458">
        <f t="shared" si="0"/>
        <v>198241.13694716871</v>
      </c>
      <c r="D26" s="458">
        <f ca="1">SUMIF(G:G,19,K:K)</f>
        <v>225638.14521424781</v>
      </c>
      <c r="E26" s="458">
        <f t="shared" ca="1" si="1"/>
        <v>4544236.16639682</v>
      </c>
      <c r="F26" s="442"/>
      <c r="G26" s="470">
        <v>2</v>
      </c>
      <c r="H26" s="470">
        <v>19</v>
      </c>
      <c r="I26" s="455">
        <f t="shared" ca="1" si="5"/>
        <v>3522749.9464257741</v>
      </c>
      <c r="J26" s="455">
        <f t="array" ref="J26">IFERROR(INDEX('Retirement Calculator'!K:K,MATCH('Lorri 401b'!N26,'Retirement Calculator'!A:A,0),0),0)</f>
        <v>0</v>
      </c>
      <c r="K26" s="455">
        <f t="shared" ca="1" si="2"/>
        <v>14678.124776774059</v>
      </c>
      <c r="L26" s="455">
        <f t="shared" ca="1" si="3"/>
        <v>3537428.0712025482</v>
      </c>
      <c r="M26" s="471">
        <f t="shared" si="6"/>
        <v>0.05</v>
      </c>
      <c r="N26" s="475">
        <f t="shared" si="7"/>
        <v>51836</v>
      </c>
    </row>
    <row r="27" spans="1:14" ht="11.25" customHeight="1" x14ac:dyDescent="0.3">
      <c r="A27" s="470">
        <v>20</v>
      </c>
      <c r="B27" s="458">
        <f t="shared" ca="1" si="4"/>
        <v>4544236.16639682</v>
      </c>
      <c r="C27" s="458">
        <f t="shared" si="0"/>
        <v>198241.13694716871</v>
      </c>
      <c r="D27" s="458">
        <f ca="1">SUMIF(G:G,20,K:K)</f>
        <v>227039.82815347292</v>
      </c>
      <c r="E27" s="458">
        <f t="shared" ca="1" si="1"/>
        <v>4573034.8576031243</v>
      </c>
      <c r="F27" s="442"/>
      <c r="G27" s="470">
        <v>2</v>
      </c>
      <c r="H27" s="470">
        <v>20</v>
      </c>
      <c r="I27" s="455">
        <f t="shared" ca="1" si="5"/>
        <v>3537428.0712025482</v>
      </c>
      <c r="J27" s="455">
        <f t="array" ref="J27">IFERROR(INDEX('Retirement Calculator'!K:K,MATCH('Lorri 401b'!N27,'Retirement Calculator'!A:A,0),0),0)</f>
        <v>0</v>
      </c>
      <c r="K27" s="455">
        <f t="shared" ca="1" si="2"/>
        <v>14739.283630010617</v>
      </c>
      <c r="L27" s="455">
        <f t="shared" ca="1" si="3"/>
        <v>3552167.3548325589</v>
      </c>
      <c r="M27" s="471">
        <f t="shared" si="6"/>
        <v>0.05</v>
      </c>
      <c r="N27" s="475">
        <f t="shared" si="7"/>
        <v>51867</v>
      </c>
    </row>
    <row r="28" spans="1:14" ht="11.25" customHeight="1" x14ac:dyDescent="0.3">
      <c r="A28" s="470">
        <v>21</v>
      </c>
      <c r="B28" s="458">
        <f t="shared" ca="1" si="4"/>
        <v>4573034.8576031243</v>
      </c>
      <c r="C28" s="458">
        <f t="shared" si="0"/>
        <v>198241.13694716871</v>
      </c>
      <c r="D28" s="458">
        <f ca="1">SUMIF(G:G,21,K:K)</f>
        <v>228513.22385209717</v>
      </c>
      <c r="E28" s="458">
        <f t="shared" ca="1" si="1"/>
        <v>4603306.9445080524</v>
      </c>
      <c r="F28" s="442"/>
      <c r="G28" s="470">
        <v>2</v>
      </c>
      <c r="H28" s="470">
        <v>21</v>
      </c>
      <c r="I28" s="455">
        <f t="shared" ca="1" si="5"/>
        <v>3552167.3548325589</v>
      </c>
      <c r="J28" s="455">
        <f t="array" ref="J28">IFERROR(INDEX('Retirement Calculator'!K:K,MATCH('Lorri 401b'!N28,'Retirement Calculator'!A:A,0),0),0)</f>
        <v>0</v>
      </c>
      <c r="K28" s="455">
        <f t="shared" ca="1" si="2"/>
        <v>14800.697311802329</v>
      </c>
      <c r="L28" s="455">
        <f t="shared" ca="1" si="3"/>
        <v>3566968.0521443612</v>
      </c>
      <c r="M28" s="471">
        <f t="shared" si="6"/>
        <v>0.05</v>
      </c>
      <c r="N28" s="475">
        <f t="shared" si="7"/>
        <v>51898</v>
      </c>
    </row>
    <row r="29" spans="1:14" ht="11.25" customHeight="1" x14ac:dyDescent="0.3">
      <c r="A29" s="470">
        <v>22</v>
      </c>
      <c r="B29" s="458">
        <f t="shared" ca="1" si="4"/>
        <v>4603306.9445080524</v>
      </c>
      <c r="C29" s="458">
        <f t="shared" si="0"/>
        <v>198241.13694716871</v>
      </c>
      <c r="D29" s="458">
        <f ca="1">SUMIF(G:G,22,K:K)</f>
        <v>230062.00127099385</v>
      </c>
      <c r="E29" s="458">
        <f t="shared" ca="1" si="1"/>
        <v>4635127.8088318771</v>
      </c>
      <c r="F29" s="442"/>
      <c r="G29" s="470">
        <v>2</v>
      </c>
      <c r="H29" s="470">
        <v>22</v>
      </c>
      <c r="I29" s="455">
        <f t="shared" ca="1" si="5"/>
        <v>3566968.0521443612</v>
      </c>
      <c r="J29" s="455">
        <f t="array" ref="J29">IFERROR(INDEX('Retirement Calculator'!K:K,MATCH('Lorri 401b'!N29,'Retirement Calculator'!A:A,0),0),0)</f>
        <v>0</v>
      </c>
      <c r="K29" s="455">
        <f t="shared" ca="1" si="2"/>
        <v>14862.366883934837</v>
      </c>
      <c r="L29" s="455">
        <f t="shared" ca="1" si="3"/>
        <v>3581830.4190282961</v>
      </c>
      <c r="M29" s="471">
        <f t="shared" si="6"/>
        <v>0.05</v>
      </c>
      <c r="N29" s="475">
        <f t="shared" si="7"/>
        <v>51926</v>
      </c>
    </row>
    <row r="30" spans="1:14" ht="11.25" customHeight="1" x14ac:dyDescent="0.3">
      <c r="A30" s="470">
        <v>23</v>
      </c>
      <c r="B30" s="458">
        <f t="shared" ca="1" si="4"/>
        <v>4635127.8088318771</v>
      </c>
      <c r="C30" s="458">
        <f t="shared" si="0"/>
        <v>198241.13694716871</v>
      </c>
      <c r="D30" s="458">
        <f ca="1">SUMIF(G:G,23,K:K)</f>
        <v>231690.0170820377</v>
      </c>
      <c r="E30" s="458">
        <f t="shared" ca="1" si="1"/>
        <v>4668576.6889667455</v>
      </c>
      <c r="F30" s="442"/>
      <c r="G30" s="470">
        <v>2</v>
      </c>
      <c r="H30" s="470">
        <v>23</v>
      </c>
      <c r="I30" s="455">
        <f t="shared" ca="1" si="5"/>
        <v>3581830.4190282961</v>
      </c>
      <c r="J30" s="455">
        <f t="array" ref="J30">IFERROR(INDEX('Retirement Calculator'!K:K,MATCH('Lorri 401b'!N30,'Retirement Calculator'!A:A,0),0),0)</f>
        <v>0</v>
      </c>
      <c r="K30" s="455">
        <f t="shared" ca="1" si="2"/>
        <v>14924.293412617903</v>
      </c>
      <c r="L30" s="455">
        <f t="shared" ca="1" si="3"/>
        <v>3596754.712440914</v>
      </c>
      <c r="M30" s="471">
        <f t="shared" si="6"/>
        <v>0.05</v>
      </c>
      <c r="N30" s="475">
        <f t="shared" si="7"/>
        <v>51957</v>
      </c>
    </row>
    <row r="31" spans="1:14" ht="11.25" customHeight="1" x14ac:dyDescent="0.3">
      <c r="A31" s="470">
        <v>24</v>
      </c>
      <c r="B31" s="458">
        <f t="shared" ca="1" si="4"/>
        <v>4668576.6889667455</v>
      </c>
      <c r="C31" s="458">
        <f t="shared" si="0"/>
        <v>198241.13694716871</v>
      </c>
      <c r="D31" s="458">
        <f ca="1">SUMIF(G:G,24,K:K)</f>
        <v>233401.32527175592</v>
      </c>
      <c r="E31" s="458">
        <f t="shared" ca="1" si="1"/>
        <v>4703736.8772913329</v>
      </c>
      <c r="F31" s="442"/>
      <c r="G31" s="470">
        <v>2</v>
      </c>
      <c r="H31" s="470">
        <v>24</v>
      </c>
      <c r="I31" s="455">
        <f t="shared" ca="1" si="5"/>
        <v>3596754.712440914</v>
      </c>
      <c r="J31" s="455">
        <f t="array" ref="J31">IFERROR(INDEX('Retirement Calculator'!K:K,MATCH('Lorri 401b'!N31,'Retirement Calculator'!A:A,0),0),0)</f>
        <v>0</v>
      </c>
      <c r="K31" s="455">
        <f t="shared" ca="1" si="2"/>
        <v>14986.477968503808</v>
      </c>
      <c r="L31" s="455">
        <f t="shared" ca="1" si="3"/>
        <v>3611741.1904094177</v>
      </c>
      <c r="M31" s="471">
        <f t="shared" si="6"/>
        <v>0.05</v>
      </c>
      <c r="N31" s="475">
        <f t="shared" si="7"/>
        <v>51987</v>
      </c>
    </row>
    <row r="32" spans="1:14" ht="11.25" customHeight="1" x14ac:dyDescent="0.3">
      <c r="A32" s="470">
        <v>25</v>
      </c>
      <c r="B32" s="458">
        <f t="shared" ca="1" si="4"/>
        <v>4703736.8772913329</v>
      </c>
      <c r="C32" s="458">
        <f t="shared" si="0"/>
        <v>198241.13694716871</v>
      </c>
      <c r="D32" s="458">
        <f ca="1">SUMIF(G:G,25,K:K)</f>
        <v>235200.18723632072</v>
      </c>
      <c r="E32" s="458">
        <f t="shared" ca="1" si="1"/>
        <v>4740695.9275804851</v>
      </c>
      <c r="F32" s="442"/>
      <c r="G32" s="470">
        <v>3</v>
      </c>
      <c r="H32" s="470">
        <v>25</v>
      </c>
      <c r="I32" s="455">
        <f t="shared" ca="1" si="5"/>
        <v>3611741.1904094177</v>
      </c>
      <c r="J32" s="455">
        <f t="array" ref="J32">IFERROR(INDEX('Retirement Calculator'!K:K,MATCH('Lorri 401b'!N32,'Retirement Calculator'!A:A,0),0),0)</f>
        <v>0</v>
      </c>
      <c r="K32" s="455">
        <f t="shared" ca="1" si="2"/>
        <v>15048.921626705907</v>
      </c>
      <c r="L32" s="455">
        <f t="shared" ca="1" si="3"/>
        <v>3626790.1120361234</v>
      </c>
      <c r="M32" s="471">
        <f t="shared" si="6"/>
        <v>0.05</v>
      </c>
      <c r="N32" s="475">
        <f t="shared" si="7"/>
        <v>52018</v>
      </c>
    </row>
    <row r="33" spans="1:14" ht="11.25" customHeight="1" x14ac:dyDescent="0.3">
      <c r="A33" s="470">
        <v>26</v>
      </c>
      <c r="B33" s="458">
        <f t="shared" ca="1" si="4"/>
        <v>4740695.9275804851</v>
      </c>
      <c r="C33" s="458">
        <f t="shared" si="0"/>
        <v>198241.13694716871</v>
      </c>
      <c r="D33" s="458">
        <f ca="1">SUMIF(G:G,26,K:K)</f>
        <v>237091.08239301995</v>
      </c>
      <c r="E33" s="458">
        <f t="shared" ca="1" si="1"/>
        <v>4779545.8730263365</v>
      </c>
      <c r="F33" s="442"/>
      <c r="G33" s="470">
        <v>3</v>
      </c>
      <c r="H33" s="470">
        <v>26</v>
      </c>
      <c r="I33" s="455">
        <f t="shared" ca="1" si="5"/>
        <v>3626790.1120361234</v>
      </c>
      <c r="J33" s="455">
        <f t="array" ref="J33">IFERROR(INDEX('Retirement Calculator'!K:K,MATCH('Lorri 401b'!N33,'Retirement Calculator'!A:A,0),0),0)</f>
        <v>0</v>
      </c>
      <c r="K33" s="455">
        <f t="shared" ca="1" si="2"/>
        <v>15111.62546681718</v>
      </c>
      <c r="L33" s="455">
        <f t="shared" ca="1" si="3"/>
        <v>3641901.7375029405</v>
      </c>
      <c r="M33" s="471">
        <f t="shared" si="6"/>
        <v>0.05</v>
      </c>
      <c r="N33" s="475">
        <f t="shared" si="7"/>
        <v>52048</v>
      </c>
    </row>
    <row r="34" spans="1:14" ht="11.25" customHeight="1" x14ac:dyDescent="0.3">
      <c r="A34" s="470">
        <v>27</v>
      </c>
      <c r="B34" s="458">
        <f t="shared" ca="1" si="4"/>
        <v>4779545.8730263365</v>
      </c>
      <c r="C34" s="458">
        <f t="shared" si="0"/>
        <v>198241.13694716871</v>
      </c>
      <c r="D34" s="458">
        <f ca="1">SUMIF(G:G,27,K:K)</f>
        <v>239078.71933463131</v>
      </c>
      <c r="E34" s="458">
        <f t="shared" ca="1" si="1"/>
        <v>4820383.4554137988</v>
      </c>
      <c r="F34" s="442"/>
      <c r="G34" s="470">
        <v>3</v>
      </c>
      <c r="H34" s="470">
        <v>27</v>
      </c>
      <c r="I34" s="455">
        <f t="shared" ca="1" si="5"/>
        <v>3641901.7375029405</v>
      </c>
      <c r="J34" s="455">
        <f t="array" ref="J34">IFERROR(INDEX('Retirement Calculator'!K:K,MATCH('Lorri 401b'!N34,'Retirement Calculator'!A:A,0),0),0)</f>
        <v>0</v>
      </c>
      <c r="K34" s="455">
        <f t="shared" ca="1" si="2"/>
        <v>15174.590572928917</v>
      </c>
      <c r="L34" s="455">
        <f t="shared" ca="1" si="3"/>
        <v>3657076.3280758695</v>
      </c>
      <c r="M34" s="471">
        <f t="shared" si="6"/>
        <v>0.05</v>
      </c>
      <c r="N34" s="475">
        <f t="shared" si="7"/>
        <v>52079</v>
      </c>
    </row>
    <row r="35" spans="1:14" ht="11.25" customHeight="1" x14ac:dyDescent="0.3">
      <c r="A35" s="470">
        <v>28</v>
      </c>
      <c r="B35" s="458">
        <f t="shared" ca="1" si="4"/>
        <v>4820383.4554137988</v>
      </c>
      <c r="C35" s="458">
        <f t="shared" si="0"/>
        <v>198241.13694716871</v>
      </c>
      <c r="D35" s="458">
        <f ca="1">SUMIF(G:G,28,K:K)</f>
        <v>241168.04755447531</v>
      </c>
      <c r="E35" s="458">
        <f t="shared" ca="1" si="1"/>
        <v>4863310.3660211051</v>
      </c>
      <c r="F35" s="442"/>
      <c r="G35" s="470">
        <v>3</v>
      </c>
      <c r="H35" s="470">
        <v>28</v>
      </c>
      <c r="I35" s="455">
        <f t="shared" ca="1" si="5"/>
        <v>3657076.3280758695</v>
      </c>
      <c r="J35" s="455">
        <f t="array" ref="J35">IFERROR(INDEX('Retirement Calculator'!K:K,MATCH('Lorri 401b'!N35,'Retirement Calculator'!A:A,0),0),0)</f>
        <v>0</v>
      </c>
      <c r="K35" s="455">
        <f t="shared" ca="1" si="2"/>
        <v>15237.818033649453</v>
      </c>
      <c r="L35" s="455">
        <f t="shared" ca="1" si="3"/>
        <v>3672314.1461095191</v>
      </c>
      <c r="M35" s="471">
        <f t="shared" si="6"/>
        <v>0.05</v>
      </c>
      <c r="N35" s="475">
        <f t="shared" si="7"/>
        <v>52110</v>
      </c>
    </row>
    <row r="36" spans="1:14" ht="11.25" customHeight="1" x14ac:dyDescent="0.3">
      <c r="A36" s="470">
        <v>29</v>
      </c>
      <c r="B36" s="458">
        <f t="shared" ca="1" si="4"/>
        <v>4863310.3660211051</v>
      </c>
      <c r="C36" s="458">
        <f t="shared" si="0"/>
        <v>198241.13694716871</v>
      </c>
      <c r="D36" s="458">
        <f ca="1">SUMIF(G:G,29,K:K)</f>
        <v>243364.26977134432</v>
      </c>
      <c r="E36" s="458">
        <f t="shared" ca="1" si="1"/>
        <v>4908433.4988452801</v>
      </c>
      <c r="F36" s="442"/>
      <c r="G36" s="470">
        <v>3</v>
      </c>
      <c r="H36" s="470">
        <v>29</v>
      </c>
      <c r="I36" s="455">
        <f t="shared" ca="1" si="5"/>
        <v>3672314.1461095191</v>
      </c>
      <c r="J36" s="455">
        <f t="array" ref="J36">IFERROR(INDEX('Retirement Calculator'!K:K,MATCH('Lorri 401b'!N36,'Retirement Calculator'!A:A,0),0),0)</f>
        <v>0</v>
      </c>
      <c r="K36" s="455">
        <f t="shared" ca="1" si="2"/>
        <v>15301.308942122994</v>
      </c>
      <c r="L36" s="455">
        <f t="shared" ca="1" si="3"/>
        <v>3687615.4550516419</v>
      </c>
      <c r="M36" s="471">
        <f t="shared" si="6"/>
        <v>0.05</v>
      </c>
      <c r="N36" s="475">
        <f t="shared" si="7"/>
        <v>52140</v>
      </c>
    </row>
    <row r="37" spans="1:14" ht="11.25" customHeight="1" x14ac:dyDescent="0.3">
      <c r="A37" s="470">
        <v>30</v>
      </c>
      <c r="B37" s="458">
        <f t="shared" ca="1" si="4"/>
        <v>4908433.4988452801</v>
      </c>
      <c r="C37" s="458">
        <f t="shared" si="0"/>
        <v>198241.13694716871</v>
      </c>
      <c r="D37" s="458">
        <f ca="1">SUMIF(G:G,30,K:K)</f>
        <v>245672.85488499841</v>
      </c>
      <c r="E37" s="458">
        <f t="shared" ca="1" si="1"/>
        <v>4955865.2167831101</v>
      </c>
      <c r="F37" s="442"/>
      <c r="G37" s="470">
        <v>3</v>
      </c>
      <c r="H37" s="470">
        <v>30</v>
      </c>
      <c r="I37" s="455">
        <f t="shared" ca="1" si="5"/>
        <v>3687615.4550516419</v>
      </c>
      <c r="J37" s="455">
        <f t="array" ref="J37">IFERROR(INDEX('Retirement Calculator'!K:K,MATCH('Lorri 401b'!N37,'Retirement Calculator'!A:A,0),0),0)</f>
        <v>0</v>
      </c>
      <c r="K37" s="455">
        <f t="shared" ca="1" si="2"/>
        <v>15365.064396048509</v>
      </c>
      <c r="L37" s="455">
        <f t="shared" ca="1" si="3"/>
        <v>3702980.5194476903</v>
      </c>
      <c r="M37" s="471">
        <f t="shared" si="6"/>
        <v>0.05</v>
      </c>
      <c r="N37" s="475">
        <f t="shared" si="7"/>
        <v>52171</v>
      </c>
    </row>
    <row r="38" spans="1:14" ht="11.25" customHeight="1" x14ac:dyDescent="0.3">
      <c r="A38" s="470">
        <v>31</v>
      </c>
      <c r="B38" s="458">
        <f t="shared" ca="1" si="4"/>
        <v>4955865.2167831101</v>
      </c>
      <c r="C38" s="458">
        <f t="shared" si="0"/>
        <v>198241.13694716871</v>
      </c>
      <c r="D38" s="458">
        <f ca="1">SUMIF(G:G,31,K:K)</f>
        <v>248099.55159448856</v>
      </c>
      <c r="E38" s="458">
        <f t="shared" ca="1" si="1"/>
        <v>5005723.6314304294</v>
      </c>
      <c r="F38" s="442"/>
      <c r="G38" s="470">
        <v>3</v>
      </c>
      <c r="H38" s="470">
        <v>31</v>
      </c>
      <c r="I38" s="455">
        <f t="shared" ca="1" si="5"/>
        <v>3702980.5194476903</v>
      </c>
      <c r="J38" s="455">
        <f t="array" ref="J38">IFERROR(INDEX('Retirement Calculator'!K:K,MATCH('Lorri 401b'!N38,'Retirement Calculator'!A:A,0),0),0)</f>
        <v>0</v>
      </c>
      <c r="K38" s="455">
        <f t="shared" ca="1" si="2"/>
        <v>15429.08549769871</v>
      </c>
      <c r="L38" s="455">
        <f t="shared" ca="1" si="3"/>
        <v>3718409.6049453891</v>
      </c>
      <c r="M38" s="471">
        <f t="shared" si="6"/>
        <v>0.05</v>
      </c>
      <c r="N38" s="475">
        <f t="shared" si="7"/>
        <v>52201</v>
      </c>
    </row>
    <row r="39" spans="1:14" ht="11.25" customHeight="1" x14ac:dyDescent="0.3">
      <c r="A39" s="470">
        <v>32</v>
      </c>
      <c r="B39" s="458">
        <f t="shared" ca="1" si="4"/>
        <v>5005723.6314304294</v>
      </c>
      <c r="C39" s="458">
        <f t="shared" si="0"/>
        <v>198241.13694716871</v>
      </c>
      <c r="D39" s="458">
        <f ca="1">SUMIF(G:G,32,K:K)</f>
        <v>250650.40271321958</v>
      </c>
      <c r="E39" s="458">
        <f t="shared" ca="1" si="1"/>
        <v>5058132.8971964801</v>
      </c>
      <c r="F39" s="442"/>
      <c r="G39" s="470">
        <v>3</v>
      </c>
      <c r="H39" s="470">
        <v>32</v>
      </c>
      <c r="I39" s="455">
        <f t="shared" ca="1" si="5"/>
        <v>3718409.6049453891</v>
      </c>
      <c r="J39" s="455">
        <f t="array" ref="J39">IFERROR(INDEX('Retirement Calculator'!K:K,MATCH('Lorri 401b'!N39,'Retirement Calculator'!A:A,0),0),0)</f>
        <v>0</v>
      </c>
      <c r="K39" s="455">
        <f t="shared" ca="1" si="2"/>
        <v>15493.373353939121</v>
      </c>
      <c r="L39" s="455">
        <f t="shared" ca="1" si="3"/>
        <v>3733902.9782993281</v>
      </c>
      <c r="M39" s="471">
        <f t="shared" si="6"/>
        <v>0.05</v>
      </c>
      <c r="N39" s="475">
        <f t="shared" si="7"/>
        <v>52232</v>
      </c>
    </row>
    <row r="40" spans="1:14" ht="11.25" customHeight="1" x14ac:dyDescent="0.3">
      <c r="A40" s="470">
        <v>33</v>
      </c>
      <c r="B40" s="458">
        <f t="shared" ca="1" si="4"/>
        <v>5058132.8971964801</v>
      </c>
      <c r="C40" s="458">
        <f t="shared" si="0"/>
        <v>198241.13694716871</v>
      </c>
      <c r="D40" s="458">
        <f ca="1">SUMIF(G:G,33,K:K)</f>
        <v>253331.7602163986</v>
      </c>
      <c r="E40" s="458">
        <f t="shared" ca="1" si="1"/>
        <v>5113223.5204657093</v>
      </c>
      <c r="F40" s="442"/>
      <c r="G40" s="470">
        <v>3</v>
      </c>
      <c r="H40" s="470">
        <v>33</v>
      </c>
      <c r="I40" s="455">
        <f t="shared" ca="1" si="5"/>
        <v>3733902.9782993281</v>
      </c>
      <c r="J40" s="455">
        <f t="array" ref="J40">IFERROR(INDEX('Retirement Calculator'!K:K,MATCH('Lorri 401b'!N40,'Retirement Calculator'!A:A,0),0),0)</f>
        <v>0</v>
      </c>
      <c r="K40" s="455">
        <f t="shared" ca="1" si="2"/>
        <v>15557.929076247201</v>
      </c>
      <c r="L40" s="455">
        <f t="shared" ca="1" si="3"/>
        <v>3749460.9073755755</v>
      </c>
      <c r="M40" s="471">
        <f t="shared" si="6"/>
        <v>0.05</v>
      </c>
      <c r="N40" s="475">
        <f t="shared" si="7"/>
        <v>52263</v>
      </c>
    </row>
    <row r="41" spans="1:14" ht="11.25" customHeight="1" x14ac:dyDescent="0.3">
      <c r="A41" s="470">
        <v>34</v>
      </c>
      <c r="B41" s="458">
        <f t="shared" ca="1" si="4"/>
        <v>5113223.5204657093</v>
      </c>
      <c r="C41" s="458">
        <f t="shared" si="0"/>
        <v>198241.13694716871</v>
      </c>
      <c r="D41" s="458">
        <f ca="1">SUMIF(G:G,34,K:K)</f>
        <v>256150.3010583398</v>
      </c>
      <c r="E41" s="458">
        <f t="shared" ca="1" si="1"/>
        <v>5171132.6845768802</v>
      </c>
      <c r="F41" s="442"/>
      <c r="G41" s="470">
        <v>3</v>
      </c>
      <c r="H41" s="470">
        <v>34</v>
      </c>
      <c r="I41" s="455">
        <f t="shared" ca="1" si="5"/>
        <v>3749460.9073755755</v>
      </c>
      <c r="J41" s="455">
        <f t="array" ref="J41">IFERROR(INDEX('Retirement Calculator'!K:K,MATCH('Lorri 401b'!N41,'Retirement Calculator'!A:A,0),0),0)</f>
        <v>0</v>
      </c>
      <c r="K41" s="455">
        <f t="shared" ca="1" si="2"/>
        <v>15622.753780731564</v>
      </c>
      <c r="L41" s="455">
        <f t="shared" ca="1" si="3"/>
        <v>3765083.661156307</v>
      </c>
      <c r="M41" s="471">
        <f t="shared" si="6"/>
        <v>0.05</v>
      </c>
      <c r="N41" s="475">
        <f t="shared" si="7"/>
        <v>52291</v>
      </c>
    </row>
    <row r="42" spans="1:14" ht="11.25" customHeight="1" x14ac:dyDescent="0.3">
      <c r="A42" s="470">
        <v>35</v>
      </c>
      <c r="B42" s="458">
        <f t="shared" ca="1" si="4"/>
        <v>5171132.6845768802</v>
      </c>
      <c r="C42" s="458">
        <f t="shared" si="0"/>
        <v>198241.13694716871</v>
      </c>
      <c r="D42" s="458">
        <f ca="1">SUMIF(G:G,35,K:K)</f>
        <v>259113.04379901188</v>
      </c>
      <c r="E42" s="458">
        <f t="shared" ca="1" si="1"/>
        <v>5232004.5914287232</v>
      </c>
      <c r="F42" s="442"/>
      <c r="G42" s="470">
        <v>3</v>
      </c>
      <c r="H42" s="470">
        <v>35</v>
      </c>
      <c r="I42" s="455">
        <f t="shared" ca="1" si="5"/>
        <v>3765083.661156307</v>
      </c>
      <c r="J42" s="455">
        <f t="array" ref="J42">IFERROR(INDEX('Retirement Calculator'!K:K,MATCH('Lorri 401b'!N42,'Retirement Calculator'!A:A,0),0),0)</f>
        <v>0</v>
      </c>
      <c r="K42" s="455">
        <f t="shared" ca="1" si="2"/>
        <v>15687.848588151279</v>
      </c>
      <c r="L42" s="455">
        <f t="shared" ca="1" si="3"/>
        <v>3780771.5097444584</v>
      </c>
      <c r="M42" s="471">
        <f t="shared" si="6"/>
        <v>0.05</v>
      </c>
      <c r="N42" s="475">
        <f t="shared" si="7"/>
        <v>52322</v>
      </c>
    </row>
    <row r="43" spans="1:14" ht="11.25" customHeight="1" x14ac:dyDescent="0.3">
      <c r="A43" s="470">
        <v>36</v>
      </c>
      <c r="B43" s="458">
        <f t="shared" ca="1" si="4"/>
        <v>5232004.5914287232</v>
      </c>
      <c r="C43" s="458">
        <f t="shared" si="0"/>
        <v>198241.13694716871</v>
      </c>
      <c r="D43" s="458">
        <f ca="1">SUMIF(G:G,36,K:K)</f>
        <v>262227.36608123197</v>
      </c>
      <c r="E43" s="458">
        <f t="shared" ca="1" si="1"/>
        <v>5295990.8205627864</v>
      </c>
      <c r="F43" s="442"/>
      <c r="G43" s="470">
        <v>3</v>
      </c>
      <c r="H43" s="470">
        <v>36</v>
      </c>
      <c r="I43" s="455">
        <f t="shared" ca="1" si="5"/>
        <v>3780771.5097444584</v>
      </c>
      <c r="J43" s="455">
        <f t="array" ref="J43">IFERROR(INDEX('Retirement Calculator'!K:K,MATCH('Lorri 401b'!N43,'Retirement Calculator'!A:A,0),0),0)</f>
        <v>0</v>
      </c>
      <c r="K43" s="455">
        <f t="shared" ca="1" si="2"/>
        <v>15753.214623935242</v>
      </c>
      <c r="L43" s="455">
        <f t="shared" ca="1" si="3"/>
        <v>3796524.7243683934</v>
      </c>
      <c r="M43" s="471">
        <f t="shared" si="6"/>
        <v>0.05</v>
      </c>
      <c r="N43" s="475">
        <f t="shared" si="7"/>
        <v>52352</v>
      </c>
    </row>
    <row r="44" spans="1:14" ht="11.25" customHeight="1" x14ac:dyDescent="0.3">
      <c r="A44" s="470">
        <v>37</v>
      </c>
      <c r="B44" s="458">
        <f t="shared" ca="1" si="4"/>
        <v>5295990.8205627864</v>
      </c>
      <c r="C44" s="458">
        <f t="shared" si="0"/>
        <v>198241.13694716871</v>
      </c>
      <c r="D44" s="458">
        <f ca="1">SUMIF(G:G,37,K:K)</f>
        <v>265501.0230020259</v>
      </c>
      <c r="E44" s="458">
        <f t="shared" ca="1" si="1"/>
        <v>5363250.7066176431</v>
      </c>
      <c r="F44" s="442"/>
      <c r="G44" s="470">
        <v>4</v>
      </c>
      <c r="H44" s="470">
        <v>37</v>
      </c>
      <c r="I44" s="455">
        <f t="shared" ca="1" si="5"/>
        <v>3796524.7243683934</v>
      </c>
      <c r="J44" s="455">
        <f t="array" ref="J44">IFERROR(INDEX('Retirement Calculator'!K:K,MATCH('Lorri 401b'!N44,'Retirement Calculator'!A:A,0),0),0)</f>
        <v>0</v>
      </c>
      <c r="K44" s="455">
        <f t="shared" ca="1" si="2"/>
        <v>15818.853018201638</v>
      </c>
      <c r="L44" s="455">
        <f t="shared" ca="1" si="3"/>
        <v>3812343.5773865948</v>
      </c>
      <c r="M44" s="471">
        <f t="shared" si="6"/>
        <v>0.05</v>
      </c>
      <c r="N44" s="475">
        <f t="shared" si="7"/>
        <v>52383</v>
      </c>
    </row>
    <row r="45" spans="1:14" ht="11.25" customHeight="1" x14ac:dyDescent="0.3">
      <c r="A45" s="470">
        <v>38</v>
      </c>
      <c r="B45" s="458">
        <f t="shared" ca="1" si="4"/>
        <v>5363250.7066176431</v>
      </c>
      <c r="C45" s="458">
        <f t="shared" si="0"/>
        <v>198241.13694716871</v>
      </c>
      <c r="D45" s="458">
        <f ca="1">SUMIF(G:G,38,K:K)</f>
        <v>268942.16642390128</v>
      </c>
      <c r="E45" s="458">
        <f t="shared" ca="1" si="1"/>
        <v>5433951.7360943751</v>
      </c>
      <c r="F45" s="442"/>
      <c r="G45" s="470">
        <v>4</v>
      </c>
      <c r="H45" s="470">
        <v>38</v>
      </c>
      <c r="I45" s="455">
        <f t="shared" ca="1" si="5"/>
        <v>3812343.5773865948</v>
      </c>
      <c r="J45" s="455">
        <f t="array" ref="J45">IFERROR(INDEX('Retirement Calculator'!K:K,MATCH('Lorri 401b'!N45,'Retirement Calculator'!A:A,0),0),0)</f>
        <v>0</v>
      </c>
      <c r="K45" s="455">
        <f t="shared" ca="1" si="2"/>
        <v>15884.764905777478</v>
      </c>
      <c r="L45" s="455">
        <f t="shared" ca="1" si="3"/>
        <v>3828228.3422923721</v>
      </c>
      <c r="M45" s="471">
        <f t="shared" si="6"/>
        <v>0.05</v>
      </c>
      <c r="N45" s="475">
        <f t="shared" si="7"/>
        <v>52413</v>
      </c>
    </row>
    <row r="46" spans="1:14" ht="11.25" customHeight="1" x14ac:dyDescent="0.3">
      <c r="A46" s="470">
        <v>39</v>
      </c>
      <c r="B46" s="458">
        <f t="shared" ca="1" si="4"/>
        <v>5433951.7360943751</v>
      </c>
      <c r="C46" s="458">
        <f t="shared" si="0"/>
        <v>198241.13694716871</v>
      </c>
      <c r="D46" s="458">
        <f ca="1">SUMIF(G:G,39,K:K)</f>
        <v>272559.36527412292</v>
      </c>
      <c r="E46" s="458">
        <f t="shared" ca="1" si="1"/>
        <v>5508269.9644213291</v>
      </c>
      <c r="F46" s="442"/>
      <c r="G46" s="470">
        <v>4</v>
      </c>
      <c r="H46" s="470">
        <v>39</v>
      </c>
      <c r="I46" s="455">
        <f t="shared" ca="1" si="5"/>
        <v>3828228.3422923721</v>
      </c>
      <c r="J46" s="455">
        <f t="array" ref="J46">IFERROR(INDEX('Retirement Calculator'!K:K,MATCH('Lorri 401b'!N46,'Retirement Calculator'!A:A,0),0),0)</f>
        <v>0</v>
      </c>
      <c r="K46" s="455">
        <f t="shared" ca="1" si="2"/>
        <v>15950.951426218217</v>
      </c>
      <c r="L46" s="455">
        <f t="shared" ca="1" si="3"/>
        <v>3844179.2937185904</v>
      </c>
      <c r="M46" s="471">
        <f t="shared" si="6"/>
        <v>0.05</v>
      </c>
      <c r="N46" s="475">
        <f t="shared" si="7"/>
        <v>52444</v>
      </c>
    </row>
    <row r="47" spans="1:14" ht="11.25" customHeight="1" x14ac:dyDescent="0.3">
      <c r="A47" s="470">
        <v>40</v>
      </c>
      <c r="B47" s="458">
        <f t="shared" ca="1" si="4"/>
        <v>5508269.9644213291</v>
      </c>
      <c r="C47" s="458">
        <f t="shared" si="0"/>
        <v>198241.13694716871</v>
      </c>
      <c r="D47" s="458">
        <f ca="1">SUMIF(G:G,40,K:K)</f>
        <v>276361.62688253762</v>
      </c>
      <c r="E47" s="458">
        <f t="shared" ca="1" si="1"/>
        <v>5586390.4543566974</v>
      </c>
      <c r="F47" s="442"/>
      <c r="G47" s="470">
        <v>4</v>
      </c>
      <c r="H47" s="470">
        <v>40</v>
      </c>
      <c r="I47" s="455">
        <f t="shared" ca="1" si="5"/>
        <v>3844179.2937185904</v>
      </c>
      <c r="J47" s="455">
        <f t="array" ref="J47">IFERROR(INDEX('Retirement Calculator'!K:K,MATCH('Lorri 401b'!N47,'Retirement Calculator'!A:A,0),0),0)</f>
        <v>0</v>
      </c>
      <c r="K47" s="455">
        <f t="shared" ca="1" si="2"/>
        <v>16017.41372382746</v>
      </c>
      <c r="L47" s="455">
        <f t="shared" ca="1" si="3"/>
        <v>3860196.7074424177</v>
      </c>
      <c r="M47" s="471">
        <f t="shared" si="6"/>
        <v>0.05</v>
      </c>
      <c r="N47" s="475">
        <f t="shared" si="7"/>
        <v>52475</v>
      </c>
    </row>
    <row r="48" spans="1:14" ht="11.25" customHeight="1" x14ac:dyDescent="0.3">
      <c r="A48" s="470">
        <v>41</v>
      </c>
      <c r="B48" s="458">
        <f t="shared" ca="1" si="4"/>
        <v>5586390.4543566974</v>
      </c>
      <c r="C48" s="458">
        <f t="shared" si="0"/>
        <v>198241.13694716871</v>
      </c>
      <c r="D48" s="458">
        <f ca="1">SUMIF(G:G,41,K:K)</f>
        <v>280358.41941108176</v>
      </c>
      <c r="E48" s="458">
        <f t="shared" ca="1" si="1"/>
        <v>5668507.7368206102</v>
      </c>
      <c r="F48" s="442"/>
      <c r="G48" s="470">
        <v>4</v>
      </c>
      <c r="H48" s="470">
        <v>41</v>
      </c>
      <c r="I48" s="455">
        <f t="shared" ca="1" si="5"/>
        <v>3860196.7074424177</v>
      </c>
      <c r="J48" s="455">
        <f t="array" ref="J48">IFERROR(INDEX('Retirement Calculator'!K:K,MATCH('Lorri 401b'!N48,'Retirement Calculator'!A:A,0),0),0)</f>
        <v>0</v>
      </c>
      <c r="K48" s="455">
        <f t="shared" ca="1" si="2"/>
        <v>16084.152947676739</v>
      </c>
      <c r="L48" s="455">
        <f t="shared" ca="1" si="3"/>
        <v>3876280.8603900946</v>
      </c>
      <c r="M48" s="471">
        <f t="shared" si="6"/>
        <v>0.05</v>
      </c>
      <c r="N48" s="475">
        <f t="shared" si="7"/>
        <v>52505</v>
      </c>
    </row>
    <row r="49" spans="1:14" ht="11.25" customHeight="1" x14ac:dyDescent="0.3">
      <c r="A49" s="470">
        <v>42</v>
      </c>
      <c r="B49" s="458">
        <f t="shared" ca="1" si="4"/>
        <v>5668507.7368206102</v>
      </c>
      <c r="C49" s="458">
        <f t="shared" si="0"/>
        <v>198241.13694716871</v>
      </c>
      <c r="D49" s="458">
        <f ca="1">SUMIF(G:G,42,K:K)</f>
        <v>284559.69543082558</v>
      </c>
      <c r="E49" s="458">
        <f t="shared" ca="1" si="1"/>
        <v>5754826.2953042667</v>
      </c>
      <c r="F49" s="442"/>
      <c r="G49" s="470">
        <v>4</v>
      </c>
      <c r="H49" s="470">
        <v>42</v>
      </c>
      <c r="I49" s="455">
        <f t="shared" ca="1" si="5"/>
        <v>3876280.8603900946</v>
      </c>
      <c r="J49" s="455">
        <f t="array" ref="J49">IFERROR(INDEX('Retirement Calculator'!K:K,MATCH('Lorri 401b'!N49,'Retirement Calculator'!A:A,0),0),0)</f>
        <v>0</v>
      </c>
      <c r="K49" s="455">
        <f t="shared" ca="1" si="2"/>
        <v>16151.170251625395</v>
      </c>
      <c r="L49" s="455">
        <f t="shared" ca="1" si="3"/>
        <v>3892432.0306417202</v>
      </c>
      <c r="M49" s="471">
        <f t="shared" si="6"/>
        <v>0.05</v>
      </c>
      <c r="N49" s="475">
        <f t="shared" si="7"/>
        <v>52536</v>
      </c>
    </row>
    <row r="50" spans="1:14" ht="11.25" customHeight="1" x14ac:dyDescent="0.3">
      <c r="A50" s="470">
        <v>43</v>
      </c>
      <c r="B50" s="458">
        <f t="shared" ca="1" si="4"/>
        <v>5754826.2953042667</v>
      </c>
      <c r="C50" s="458">
        <f t="shared" si="0"/>
        <v>198241.13694716871</v>
      </c>
      <c r="D50" s="458">
        <f ca="1">SUMIF(G:G,43,K:K)</f>
        <v>288975.91670526459</v>
      </c>
      <c r="E50" s="458">
        <f t="shared" ca="1" si="1"/>
        <v>5845561.0750623625</v>
      </c>
      <c r="F50" s="442"/>
      <c r="G50" s="470">
        <v>4</v>
      </c>
      <c r="H50" s="470">
        <v>43</v>
      </c>
      <c r="I50" s="455">
        <f t="shared" ca="1" si="5"/>
        <v>3892432.0306417202</v>
      </c>
      <c r="J50" s="455">
        <f t="array" ref="J50">IFERROR(INDEX('Retirement Calculator'!K:K,MATCH('Lorri 401b'!N50,'Retirement Calculator'!A:A,0),0),0)</f>
        <v>0</v>
      </c>
      <c r="K50" s="455">
        <f t="shared" ca="1" si="2"/>
        <v>16218.466794340502</v>
      </c>
      <c r="L50" s="455">
        <f t="shared" ca="1" si="3"/>
        <v>3908650.4974360606</v>
      </c>
      <c r="M50" s="471">
        <f t="shared" si="6"/>
        <v>0.05</v>
      </c>
      <c r="N50" s="475">
        <f t="shared" si="7"/>
        <v>52566</v>
      </c>
    </row>
    <row r="51" spans="1:14" ht="11.25" customHeight="1" x14ac:dyDescent="0.3">
      <c r="A51" s="470">
        <v>44</v>
      </c>
      <c r="B51" s="458">
        <f t="shared" ca="1" si="4"/>
        <v>5845561.0750623625</v>
      </c>
      <c r="C51" s="458">
        <f t="shared" si="0"/>
        <v>198241.13694716871</v>
      </c>
      <c r="D51" s="458">
        <f ca="1">SUMIF(G:G,44,K:K)</f>
        <v>293618.08024156961</v>
      </c>
      <c r="E51" s="458">
        <f t="shared" ca="1" si="1"/>
        <v>5940938.0183567628</v>
      </c>
      <c r="F51" s="442"/>
      <c r="G51" s="470">
        <v>4</v>
      </c>
      <c r="H51" s="470">
        <v>44</v>
      </c>
      <c r="I51" s="455">
        <f t="shared" ca="1" si="5"/>
        <v>3908650.4974360606</v>
      </c>
      <c r="J51" s="455">
        <f t="array" ref="J51">IFERROR(INDEX('Retirement Calculator'!K:K,MATCH('Lorri 401b'!N51,'Retirement Calculator'!A:A,0),0),0)</f>
        <v>0</v>
      </c>
      <c r="K51" s="455">
        <f t="shared" ca="1" si="2"/>
        <v>16286.04373931692</v>
      </c>
      <c r="L51" s="455">
        <f t="shared" ca="1" si="3"/>
        <v>3924936.5411753776</v>
      </c>
      <c r="M51" s="471">
        <f t="shared" si="6"/>
        <v>0.05</v>
      </c>
      <c r="N51" s="475">
        <f t="shared" si="7"/>
        <v>52597</v>
      </c>
    </row>
    <row r="52" spans="1:14" ht="11.25" customHeight="1" x14ac:dyDescent="0.3">
      <c r="A52" s="470">
        <v>45</v>
      </c>
      <c r="B52" s="458">
        <f t="shared" ca="1" si="4"/>
        <v>5940938.0183567628</v>
      </c>
      <c r="C52" s="458">
        <f t="shared" si="0"/>
        <v>198241.13694716871</v>
      </c>
      <c r="D52" s="458">
        <f ca="1">SUMIF(G:G,45,K:K)</f>
        <v>298497.74567466934</v>
      </c>
      <c r="E52" s="458">
        <f t="shared" ca="1" si="1"/>
        <v>6041194.6270842636</v>
      </c>
      <c r="F52" s="442"/>
      <c r="G52" s="470">
        <v>4</v>
      </c>
      <c r="H52" s="470">
        <v>45</v>
      </c>
      <c r="I52" s="455">
        <f t="shared" ca="1" si="5"/>
        <v>3924936.5411753776</v>
      </c>
      <c r="J52" s="455">
        <f t="array" ref="J52">IFERROR(INDEX('Retirement Calculator'!K:K,MATCH('Lorri 401b'!N52,'Retirement Calculator'!A:A,0),0),0)</f>
        <v>0</v>
      </c>
      <c r="K52" s="455">
        <f t="shared" ca="1" si="2"/>
        <v>16353.902254897406</v>
      </c>
      <c r="L52" s="455">
        <f t="shared" ca="1" si="3"/>
        <v>3941290.4434302752</v>
      </c>
      <c r="M52" s="471">
        <f t="shared" si="6"/>
        <v>0.05</v>
      </c>
      <c r="N52" s="475">
        <f t="shared" si="7"/>
        <v>52628</v>
      </c>
    </row>
    <row r="53" spans="1:14" ht="11.25" customHeight="1" x14ac:dyDescent="0.3">
      <c r="A53" s="470">
        <v>46</v>
      </c>
      <c r="B53" s="458">
        <f t="shared" ca="1" si="4"/>
        <v>6041194.6270842636</v>
      </c>
      <c r="C53" s="458">
        <f t="shared" si="0"/>
        <v>198241.13694716871</v>
      </c>
      <c r="D53" s="458">
        <f ca="1">SUMIF(G:G,46,K:K)</f>
        <v>303627.06405235431</v>
      </c>
      <c r="E53" s="458">
        <f t="shared" ca="1" si="1"/>
        <v>6146580.5541894492</v>
      </c>
      <c r="F53" s="442"/>
      <c r="G53" s="470">
        <v>4</v>
      </c>
      <c r="H53" s="470">
        <v>46</v>
      </c>
      <c r="I53" s="455">
        <f t="shared" ca="1" si="5"/>
        <v>3941290.4434302752</v>
      </c>
      <c r="J53" s="455">
        <f t="array" ref="J53">IFERROR(INDEX('Retirement Calculator'!K:K,MATCH('Lorri 401b'!N53,'Retirement Calculator'!A:A,0),0),0)</f>
        <v>0</v>
      </c>
      <c r="K53" s="455">
        <f t="shared" ca="1" si="2"/>
        <v>16422.043514292815</v>
      </c>
      <c r="L53" s="455">
        <f t="shared" ca="1" si="3"/>
        <v>3957712.4869445679</v>
      </c>
      <c r="M53" s="471">
        <f t="shared" si="6"/>
        <v>0.05</v>
      </c>
      <c r="N53" s="475">
        <f t="shared" si="7"/>
        <v>52657</v>
      </c>
    </row>
    <row r="54" spans="1:14" ht="11.25" customHeight="1" x14ac:dyDescent="0.3">
      <c r="A54" s="470">
        <v>47</v>
      </c>
      <c r="B54" s="458">
        <f t="shared" ca="1" si="4"/>
        <v>6146580.5541894492</v>
      </c>
      <c r="C54" s="458">
        <f t="shared" si="0"/>
        <v>198241.13694716871</v>
      </c>
      <c r="D54" s="458">
        <f ca="1">SUMIF(G:G,47,K:K)</f>
        <v>309018.80809308152</v>
      </c>
      <c r="E54" s="458">
        <f t="shared" ca="1" si="1"/>
        <v>6257358.2253353614</v>
      </c>
      <c r="F54" s="442"/>
      <c r="G54" s="470">
        <v>4</v>
      </c>
      <c r="H54" s="470">
        <v>47</v>
      </c>
      <c r="I54" s="455">
        <f t="shared" ca="1" si="5"/>
        <v>3957712.4869445679</v>
      </c>
      <c r="J54" s="455">
        <f t="array" ref="J54">IFERROR(INDEX('Retirement Calculator'!K:K,MATCH('Lorri 401b'!N54,'Retirement Calculator'!A:A,0),0),0)</f>
        <v>0</v>
      </c>
      <c r="K54" s="455">
        <f t="shared" ca="1" si="2"/>
        <v>16490.468695602365</v>
      </c>
      <c r="L54" s="455">
        <f t="shared" ca="1" si="3"/>
        <v>3974202.9556401703</v>
      </c>
      <c r="M54" s="471">
        <f t="shared" si="6"/>
        <v>0.05</v>
      </c>
      <c r="N54" s="475">
        <f t="shared" si="7"/>
        <v>52688</v>
      </c>
    </row>
    <row r="55" spans="1:14" ht="11.25" customHeight="1" x14ac:dyDescent="0.3">
      <c r="A55" s="470">
        <v>48</v>
      </c>
      <c r="B55" s="458">
        <f t="shared" ca="1" si="4"/>
        <v>6257358.2253353614</v>
      </c>
      <c r="C55" s="458">
        <f t="shared" si="0"/>
        <v>198241.13694716871</v>
      </c>
      <c r="D55" s="458">
        <f ca="1">SUMIF(G:G,48,K:K)</f>
        <v>314686.4039918246</v>
      </c>
      <c r="E55" s="458">
        <f t="shared" ca="1" si="1"/>
        <v>6373803.4923800174</v>
      </c>
      <c r="F55" s="442"/>
      <c r="G55" s="470">
        <v>4</v>
      </c>
      <c r="H55" s="470">
        <v>48</v>
      </c>
      <c r="I55" s="455">
        <f t="shared" ca="1" si="5"/>
        <v>3974202.9556401703</v>
      </c>
      <c r="J55" s="455">
        <f t="array" ref="J55">IFERROR(INDEX('Retirement Calculator'!K:K,MATCH('Lorri 401b'!N55,'Retirement Calculator'!A:A,0),0),0)</f>
        <v>0</v>
      </c>
      <c r="K55" s="455">
        <f t="shared" ca="1" si="2"/>
        <v>16559.178981834044</v>
      </c>
      <c r="L55" s="455">
        <f t="shared" ca="1" si="3"/>
        <v>3990762.1346220043</v>
      </c>
      <c r="M55" s="471">
        <f t="shared" si="6"/>
        <v>0.05</v>
      </c>
      <c r="N55" s="475">
        <f t="shared" si="7"/>
        <v>52718</v>
      </c>
    </row>
    <row r="56" spans="1:14" ht="11.25" customHeight="1" x14ac:dyDescent="0.3">
      <c r="A56" s="470">
        <v>49</v>
      </c>
      <c r="B56" s="458">
        <f t="shared" ca="1" si="4"/>
        <v>6373803.4923800174</v>
      </c>
      <c r="C56" s="458">
        <f t="shared" si="0"/>
        <v>198241.13694716871</v>
      </c>
      <c r="D56" s="458">
        <f ca="1">SUMIF(G:G,49,K:K)</f>
        <v>320643.96485317429</v>
      </c>
      <c r="E56" s="458">
        <f t="shared" ca="1" si="1"/>
        <v>6496206.3202860225</v>
      </c>
      <c r="F56" s="442"/>
      <c r="G56" s="470">
        <f>G55+1</f>
        <v>5</v>
      </c>
      <c r="H56" s="470">
        <v>49</v>
      </c>
      <c r="I56" s="455">
        <f t="shared" ca="1" si="5"/>
        <v>3990762.1346220043</v>
      </c>
      <c r="J56" s="455">
        <f t="array" ref="J56">IFERROR(INDEX('Retirement Calculator'!K:K,MATCH('Lorri 401b'!N56,'Retirement Calculator'!A:A,0),0),0)</f>
        <v>0</v>
      </c>
      <c r="K56" s="455">
        <f t="shared" ca="1" si="2"/>
        <v>16628.175560925018</v>
      </c>
      <c r="L56" s="455">
        <f t="shared" ca="1" si="3"/>
        <v>4007390.3101829295</v>
      </c>
      <c r="M56" s="471">
        <f t="shared" si="6"/>
        <v>0.05</v>
      </c>
      <c r="N56" s="475">
        <f t="shared" si="7"/>
        <v>52749</v>
      </c>
    </row>
    <row r="57" spans="1:14" ht="11.25" customHeight="1" x14ac:dyDescent="0.3">
      <c r="A57" s="470">
        <v>50</v>
      </c>
      <c r="B57" s="458">
        <f t="shared" ca="1" si="4"/>
        <v>6496206.3202860225</v>
      </c>
      <c r="C57" s="458">
        <f t="shared" si="0"/>
        <v>198241.13694716871</v>
      </c>
      <c r="D57" s="458">
        <f ca="1">SUMIF(G:G,50,K:K)</f>
        <v>326906.32583493635</v>
      </c>
      <c r="E57" s="458">
        <f t="shared" ca="1" si="1"/>
        <v>6624871.50917379</v>
      </c>
      <c r="F57" s="442"/>
      <c r="G57" s="470">
        <f t="shared" ref="G57:G67" si="8">G56</f>
        <v>5</v>
      </c>
      <c r="H57" s="470">
        <v>50</v>
      </c>
      <c r="I57" s="455">
        <f t="shared" ca="1" si="5"/>
        <v>4007390.3101829295</v>
      </c>
      <c r="J57" s="455">
        <f t="array" ref="J57">IFERROR(INDEX('Retirement Calculator'!K:K,MATCH('Lorri 401b'!N57,'Retirement Calculator'!A:A,0),0),0)</f>
        <v>0</v>
      </c>
      <c r="K57" s="455">
        <f t="shared" ca="1" si="2"/>
        <v>16697.459625762207</v>
      </c>
      <c r="L57" s="455">
        <f t="shared" ca="1" si="3"/>
        <v>4024087.7698086919</v>
      </c>
      <c r="M57" s="471">
        <f t="shared" si="6"/>
        <v>0.05</v>
      </c>
      <c r="N57" s="475">
        <f t="shared" si="7"/>
        <v>52779</v>
      </c>
    </row>
    <row r="58" spans="1:14" ht="11.25" customHeight="1" x14ac:dyDescent="0.3">
      <c r="A58" s="470">
        <v>51</v>
      </c>
      <c r="B58" s="458">
        <f t="shared" ca="1" si="4"/>
        <v>6624871.50917379</v>
      </c>
      <c r="C58" s="458">
        <f t="shared" si="0"/>
        <v>198241.13694716871</v>
      </c>
      <c r="D58" s="458">
        <f ca="1">SUMIF(G:G,51,K:K)</f>
        <v>333489.08108974597</v>
      </c>
      <c r="E58" s="458">
        <f t="shared" ca="1" si="1"/>
        <v>6760119.4533163672</v>
      </c>
      <c r="F58" s="442"/>
      <c r="G58" s="470">
        <f t="shared" si="8"/>
        <v>5</v>
      </c>
      <c r="H58" s="470">
        <v>51</v>
      </c>
      <c r="I58" s="455">
        <f t="shared" ca="1" si="5"/>
        <v>4024087.7698086919</v>
      </c>
      <c r="J58" s="455">
        <f t="array" ref="J58">IFERROR(INDEX('Retirement Calculator'!K:K,MATCH('Lorri 401b'!N58,'Retirement Calculator'!A:A,0),0),0)</f>
        <v>0</v>
      </c>
      <c r="K58" s="455">
        <f t="shared" ca="1" si="2"/>
        <v>16767.032374202881</v>
      </c>
      <c r="L58" s="455">
        <f t="shared" ca="1" si="3"/>
        <v>4040854.8021828947</v>
      </c>
      <c r="M58" s="471">
        <f t="shared" si="6"/>
        <v>0.05</v>
      </c>
      <c r="N58" s="475">
        <f t="shared" si="7"/>
        <v>52810</v>
      </c>
    </row>
    <row r="59" spans="1:14" ht="11.25" customHeight="1" x14ac:dyDescent="0.3">
      <c r="A59" s="470">
        <v>52</v>
      </c>
      <c r="B59" s="458">
        <f t="shared" ca="1" si="4"/>
        <v>6760119.4533163672</v>
      </c>
      <c r="C59" s="458">
        <f t="shared" si="0"/>
        <v>198241.13694716871</v>
      </c>
      <c r="D59" s="458">
        <f ca="1">SUMIF(G:G,52,K:K)</f>
        <v>340408.62259668251</v>
      </c>
      <c r="E59" s="458">
        <f t="shared" ca="1" si="1"/>
        <v>6902286.9389658812</v>
      </c>
      <c r="F59" s="442"/>
      <c r="G59" s="470">
        <f t="shared" si="8"/>
        <v>5</v>
      </c>
      <c r="H59" s="470">
        <v>52</v>
      </c>
      <c r="I59" s="455">
        <f t="shared" ca="1" si="5"/>
        <v>4040854.8021828947</v>
      </c>
      <c r="J59" s="455">
        <f t="array" ref="J59">IFERROR(INDEX('Retirement Calculator'!K:K,MATCH('Lorri 401b'!N59,'Retirement Calculator'!A:A,0),0),0)</f>
        <v>0</v>
      </c>
      <c r="K59" s="455">
        <f t="shared" ca="1" si="2"/>
        <v>16836.895009095395</v>
      </c>
      <c r="L59" s="455">
        <f t="shared" ca="1" si="3"/>
        <v>4057691.69719199</v>
      </c>
      <c r="M59" s="471">
        <f t="shared" si="6"/>
        <v>0.05</v>
      </c>
      <c r="N59" s="475">
        <f t="shared" si="7"/>
        <v>52841</v>
      </c>
    </row>
    <row r="60" spans="1:14" ht="11.25" customHeight="1" x14ac:dyDescent="0.3">
      <c r="A60" s="470">
        <v>53</v>
      </c>
      <c r="B60" s="458">
        <f t="shared" ca="1" si="4"/>
        <v>6902286.9389658812</v>
      </c>
      <c r="C60" s="458">
        <f t="shared" si="0"/>
        <v>198241.13694716871</v>
      </c>
      <c r="D60" s="458">
        <f ca="1">SUMIF(G:G,53,K:K)</f>
        <v>347682.18097958551</v>
      </c>
      <c r="E60" s="458">
        <f t="shared" ca="1" si="1"/>
        <v>7051727.9829982975</v>
      </c>
      <c r="F60" s="442"/>
      <c r="G60" s="470">
        <f t="shared" si="8"/>
        <v>5</v>
      </c>
      <c r="H60" s="470">
        <v>53</v>
      </c>
      <c r="I60" s="455">
        <f t="shared" ca="1" si="5"/>
        <v>4057691.69719199</v>
      </c>
      <c r="J60" s="455">
        <f t="array" ref="J60">IFERROR(INDEX('Retirement Calculator'!K:K,MATCH('Lorri 401b'!N60,'Retirement Calculator'!A:A,0),0),0)</f>
        <v>0</v>
      </c>
      <c r="K60" s="455">
        <f t="shared" ca="1" si="2"/>
        <v>16907.04873829996</v>
      </c>
      <c r="L60" s="455">
        <f t="shared" ca="1" si="3"/>
        <v>4074598.7459302898</v>
      </c>
      <c r="M60" s="471">
        <f t="shared" si="6"/>
        <v>0.05</v>
      </c>
      <c r="N60" s="475">
        <f t="shared" si="7"/>
        <v>52871</v>
      </c>
    </row>
    <row r="61" spans="1:14" ht="11.25" customHeight="1" x14ac:dyDescent="0.3">
      <c r="A61" s="470">
        <v>54</v>
      </c>
      <c r="B61" s="458">
        <f t="shared" ca="1" si="4"/>
        <v>7051727.9829982975</v>
      </c>
      <c r="C61" s="458">
        <f t="shared" si="0"/>
        <v>198241.13694716871</v>
      </c>
      <c r="D61" s="458">
        <f ca="1">SUMIF(G:G,54,K:K)</f>
        <v>355327.86841371132</v>
      </c>
      <c r="E61" s="458">
        <f t="shared" ca="1" si="1"/>
        <v>7208814.7144648395</v>
      </c>
      <c r="F61" s="442"/>
      <c r="G61" s="470">
        <f t="shared" si="8"/>
        <v>5</v>
      </c>
      <c r="H61" s="470">
        <v>54</v>
      </c>
      <c r="I61" s="455">
        <f t="shared" ca="1" si="5"/>
        <v>4074598.7459302898</v>
      </c>
      <c r="J61" s="455">
        <f t="array" ref="J61">IFERROR(INDEX('Retirement Calculator'!K:K,MATCH('Lorri 401b'!N61,'Retirement Calculator'!A:A,0),0),0)</f>
        <v>0</v>
      </c>
      <c r="K61" s="455">
        <f t="shared" ca="1" si="2"/>
        <v>16977.494774709539</v>
      </c>
      <c r="L61" s="455">
        <f t="shared" ca="1" si="3"/>
        <v>4091576.2407049993</v>
      </c>
      <c r="M61" s="471">
        <f t="shared" si="6"/>
        <v>0.05</v>
      </c>
      <c r="N61" s="475">
        <f t="shared" si="7"/>
        <v>52902</v>
      </c>
    </row>
    <row r="62" spans="1:14" ht="11.25" customHeight="1" x14ac:dyDescent="0.3">
      <c r="A62" s="470">
        <v>55</v>
      </c>
      <c r="B62" s="458">
        <f t="shared" ca="1" si="4"/>
        <v>7208814.7144648395</v>
      </c>
      <c r="C62" s="458">
        <f t="shared" si="0"/>
        <v>198241.13694716871</v>
      </c>
      <c r="D62" s="458">
        <f ca="1">SUMIF(G:G,55,K:K)</f>
        <v>363364.72372757754</v>
      </c>
      <c r="E62" s="458">
        <f t="shared" ca="1" si="1"/>
        <v>7373938.3012452479</v>
      </c>
      <c r="F62" s="442"/>
      <c r="G62" s="470">
        <f t="shared" si="8"/>
        <v>5</v>
      </c>
      <c r="H62" s="470">
        <v>55</v>
      </c>
      <c r="I62" s="455">
        <f t="shared" ca="1" si="5"/>
        <v>4091576.2407049993</v>
      </c>
      <c r="J62" s="455">
        <f t="array" ref="J62">IFERROR(INDEX('Retirement Calculator'!K:K,MATCH('Lorri 401b'!N62,'Retirement Calculator'!A:A,0),0),0)</f>
        <v>0</v>
      </c>
      <c r="K62" s="455">
        <f t="shared" ca="1" si="2"/>
        <v>17048.234336270831</v>
      </c>
      <c r="L62" s="455">
        <f t="shared" ca="1" si="3"/>
        <v>4108624.4750412703</v>
      </c>
      <c r="M62" s="471">
        <f t="shared" si="6"/>
        <v>0.05</v>
      </c>
      <c r="N62" s="475">
        <f t="shared" si="7"/>
        <v>52932</v>
      </c>
    </row>
    <row r="63" spans="1:14" ht="11.25" customHeight="1" x14ac:dyDescent="0.3">
      <c r="A63" s="470">
        <v>56</v>
      </c>
      <c r="B63" s="458">
        <f t="shared" ca="1" si="4"/>
        <v>7373938.3012452479</v>
      </c>
      <c r="C63" s="458">
        <f t="shared" si="0"/>
        <v>198241.13694716871</v>
      </c>
      <c r="D63" s="458">
        <f ca="1">SUMIF(G:G,56,K:K)</f>
        <v>371812.75981230207</v>
      </c>
      <c r="E63" s="458">
        <f t="shared" ca="1" si="1"/>
        <v>7547509.9241103809</v>
      </c>
      <c r="F63" s="442"/>
      <c r="G63" s="470">
        <f t="shared" si="8"/>
        <v>5</v>
      </c>
      <c r="H63" s="470">
        <v>56</v>
      </c>
      <c r="I63" s="455">
        <f t="shared" ca="1" si="5"/>
        <v>4108624.4750412703</v>
      </c>
      <c r="J63" s="455">
        <f t="array" ref="J63">IFERROR(INDEX('Retirement Calculator'!K:K,MATCH('Lorri 401b'!N63,'Retirement Calculator'!A:A,0),0),0)</f>
        <v>0</v>
      </c>
      <c r="K63" s="455">
        <f t="shared" ca="1" si="2"/>
        <v>17119.268646005294</v>
      </c>
      <c r="L63" s="455">
        <f t="shared" ca="1" si="3"/>
        <v>4125743.7436872753</v>
      </c>
      <c r="M63" s="471">
        <f t="shared" si="6"/>
        <v>0.05</v>
      </c>
      <c r="N63" s="475">
        <f t="shared" si="7"/>
        <v>52963</v>
      </c>
    </row>
    <row r="64" spans="1:14" ht="11.25" customHeight="1" x14ac:dyDescent="0.3">
      <c r="A64" s="470">
        <v>57</v>
      </c>
      <c r="B64" s="458">
        <f t="shared" ca="1" si="4"/>
        <v>7547509.9241103809</v>
      </c>
      <c r="C64" s="458">
        <f t="shared" si="0"/>
        <v>198241.13694716871</v>
      </c>
      <c r="D64" s="458">
        <f ca="1">SUMIF(G:G,57,K:K)</f>
        <v>380693.01345649443</v>
      </c>
      <c r="E64" s="458">
        <f t="shared" ca="1" si="1"/>
        <v>7729961.8006197065</v>
      </c>
      <c r="F64" s="442"/>
      <c r="G64" s="470">
        <f t="shared" si="8"/>
        <v>5</v>
      </c>
      <c r="H64" s="470">
        <v>57</v>
      </c>
      <c r="I64" s="455">
        <f t="shared" ca="1" si="5"/>
        <v>4125743.7436872753</v>
      </c>
      <c r="J64" s="455">
        <f t="array" ref="J64">IFERROR(INDEX('Retirement Calculator'!K:K,MATCH('Lorri 401b'!N64,'Retirement Calculator'!A:A,0),0),0)</f>
        <v>0</v>
      </c>
      <c r="K64" s="455">
        <f t="shared" ca="1" si="2"/>
        <v>17190.598932030312</v>
      </c>
      <c r="L64" s="455">
        <f t="shared" ca="1" si="3"/>
        <v>4142934.3426193055</v>
      </c>
      <c r="M64" s="471">
        <f t="shared" si="6"/>
        <v>0.05</v>
      </c>
      <c r="N64" s="475">
        <f t="shared" si="7"/>
        <v>52994</v>
      </c>
    </row>
    <row r="65" spans="1:14" ht="11.25" customHeight="1" x14ac:dyDescent="0.3">
      <c r="A65" s="470">
        <v>58</v>
      </c>
      <c r="B65" s="458">
        <f t="shared" ca="1" si="4"/>
        <v>7729961.8006197065</v>
      </c>
      <c r="C65" s="458">
        <f t="shared" si="0"/>
        <v>198241.13694716871</v>
      </c>
      <c r="D65" s="458">
        <f ca="1">SUMIF(G:G,58,K:K)</f>
        <v>390027.59773079492</v>
      </c>
      <c r="E65" s="458">
        <f t="shared" ca="1" si="1"/>
        <v>7921748.2614033325</v>
      </c>
      <c r="F65" s="442"/>
      <c r="G65" s="470">
        <f t="shared" si="8"/>
        <v>5</v>
      </c>
      <c r="H65" s="470">
        <v>58</v>
      </c>
      <c r="I65" s="455">
        <f t="shared" ca="1" si="5"/>
        <v>4142934.3426193055</v>
      </c>
      <c r="J65" s="455">
        <f t="array" ref="J65">IFERROR(INDEX('Retirement Calculator'!K:K,MATCH('Lorri 401b'!N65,'Retirement Calculator'!A:A,0),0),0)</f>
        <v>0</v>
      </c>
      <c r="K65" s="455">
        <f t="shared" ca="1" si="2"/>
        <v>17262.226427580441</v>
      </c>
      <c r="L65" s="455">
        <f t="shared" ca="1" si="3"/>
        <v>4160196.5690468857</v>
      </c>
      <c r="M65" s="471">
        <f t="shared" si="6"/>
        <v>0.05</v>
      </c>
      <c r="N65" s="475">
        <f t="shared" si="7"/>
        <v>53022</v>
      </c>
    </row>
    <row r="66" spans="1:14" ht="11.25" customHeight="1" x14ac:dyDescent="0.3">
      <c r="A66" s="470">
        <v>59</v>
      </c>
      <c r="B66" s="458">
        <f t="shared" ca="1" si="4"/>
        <v>7921748.2614033325</v>
      </c>
      <c r="C66" s="458">
        <f t="shared" si="0"/>
        <v>198241.13694716871</v>
      </c>
      <c r="D66" s="458">
        <f ca="1">SUMIF(G:G,59,K:K)</f>
        <v>399839.75705250562</v>
      </c>
      <c r="E66" s="458">
        <f t="shared" ca="1" si="1"/>
        <v>8123346.8815086689</v>
      </c>
      <c r="F66" s="442"/>
      <c r="G66" s="470">
        <f t="shared" si="8"/>
        <v>5</v>
      </c>
      <c r="H66" s="470">
        <v>59</v>
      </c>
      <c r="I66" s="455">
        <f t="shared" ca="1" si="5"/>
        <v>4160196.5690468857</v>
      </c>
      <c r="J66" s="455">
        <f t="array" ref="J66">IFERROR(INDEX('Retirement Calculator'!K:K,MATCH('Lorri 401b'!N66,'Retirement Calculator'!A:A,0),0),0)</f>
        <v>0</v>
      </c>
      <c r="K66" s="455">
        <f t="shared" ca="1" si="2"/>
        <v>17334.152371028689</v>
      </c>
      <c r="L66" s="455">
        <f t="shared" ca="1" si="3"/>
        <v>4177530.7214179146</v>
      </c>
      <c r="M66" s="471">
        <f t="shared" si="6"/>
        <v>0.05</v>
      </c>
      <c r="N66" s="475">
        <f t="shared" si="7"/>
        <v>53053</v>
      </c>
    </row>
    <row r="67" spans="1:14" ht="11.25" customHeight="1" x14ac:dyDescent="0.3">
      <c r="A67" s="470">
        <v>60</v>
      </c>
      <c r="B67" s="458">
        <f t="shared" ca="1" si="4"/>
        <v>8123346.8815086689</v>
      </c>
      <c r="C67" s="458">
        <f t="shared" si="0"/>
        <v>198241.13694716871</v>
      </c>
      <c r="D67" s="458">
        <f t="shared" ref="D67:D71" ca="1" si="9">SUMIF(G:G,60,K:K)</f>
        <v>410153.92506743304</v>
      </c>
      <c r="E67" s="458">
        <f t="shared" ca="1" si="1"/>
        <v>8335259.6696289331</v>
      </c>
      <c r="F67" s="442"/>
      <c r="G67" s="470">
        <f t="shared" si="8"/>
        <v>5</v>
      </c>
      <c r="H67" s="470">
        <v>60</v>
      </c>
      <c r="I67" s="455">
        <f t="shared" ca="1" si="5"/>
        <v>4177530.7214179146</v>
      </c>
      <c r="J67" s="455">
        <f t="array" ref="J67">IFERROR(INDEX('Retirement Calculator'!K:K,MATCH('Lorri 401b'!N67,'Retirement Calculator'!A:A,0),0),0)</f>
        <v>0</v>
      </c>
      <c r="K67" s="455">
        <f t="shared" ca="1" si="2"/>
        <v>17406.378005907976</v>
      </c>
      <c r="L67" s="455">
        <f t="shared" ca="1" si="3"/>
        <v>4194937.0994238229</v>
      </c>
      <c r="M67" s="471">
        <f t="shared" si="6"/>
        <v>0.05</v>
      </c>
      <c r="N67" s="475">
        <f t="shared" si="7"/>
        <v>53083</v>
      </c>
    </row>
    <row r="68" spans="1:14" ht="11.25" customHeight="1" x14ac:dyDescent="0.3">
      <c r="A68" s="470">
        <v>61</v>
      </c>
      <c r="B68" s="458">
        <f t="shared" ca="1" si="4"/>
        <v>8335259.6696289331</v>
      </c>
      <c r="C68" s="458">
        <f t="shared" si="0"/>
        <v>198241.13694716871</v>
      </c>
      <c r="D68" s="458">
        <f t="shared" ca="1" si="9"/>
        <v>410153.92506743304</v>
      </c>
      <c r="E68" s="458">
        <f t="shared" ca="1" si="1"/>
        <v>8547172.4577491973</v>
      </c>
      <c r="F68" s="442"/>
      <c r="G68" s="470">
        <f>G67+1</f>
        <v>6</v>
      </c>
      <c r="H68" s="470">
        <v>61</v>
      </c>
      <c r="I68" s="455">
        <f t="shared" ca="1" si="5"/>
        <v>4194937.0994238229</v>
      </c>
      <c r="J68" s="455">
        <f t="array" ref="J68">IFERROR(INDEX('Retirement Calculator'!K:K,MATCH('Lorri 401b'!N68,'Retirement Calculator'!A:A,0),0),0)</f>
        <v>0</v>
      </c>
      <c r="K68" s="455">
        <f t="shared" ca="1" si="2"/>
        <v>17478.904580932594</v>
      </c>
      <c r="L68" s="455">
        <f t="shared" ca="1" si="3"/>
        <v>4212416.004004756</v>
      </c>
      <c r="M68" s="471">
        <f t="shared" si="6"/>
        <v>0.05</v>
      </c>
      <c r="N68" s="475">
        <f t="shared" si="7"/>
        <v>53114</v>
      </c>
    </row>
    <row r="69" spans="1:14" ht="11.25" customHeight="1" x14ac:dyDescent="0.3">
      <c r="A69" s="470">
        <v>62</v>
      </c>
      <c r="B69" s="458">
        <f t="shared" ca="1" si="4"/>
        <v>8547172.4577491973</v>
      </c>
      <c r="C69" s="458">
        <f t="shared" si="0"/>
        <v>198241.13694716871</v>
      </c>
      <c r="D69" s="458">
        <f t="shared" ca="1" si="9"/>
        <v>410153.92506743304</v>
      </c>
      <c r="E69" s="458">
        <f t="shared" ca="1" si="1"/>
        <v>8759085.2458694614</v>
      </c>
      <c r="F69" s="442"/>
      <c r="G69" s="470">
        <f t="shared" ref="G69:G79" si="10">G68</f>
        <v>6</v>
      </c>
      <c r="H69" s="470">
        <v>62</v>
      </c>
      <c r="I69" s="455">
        <f t="shared" ca="1" si="5"/>
        <v>4212416.004004756</v>
      </c>
      <c r="J69" s="455">
        <f t="array" ref="J69">IFERROR(INDEX('Retirement Calculator'!K:K,MATCH('Lorri 401b'!N69,'Retirement Calculator'!A:A,0),0),0)</f>
        <v>0</v>
      </c>
      <c r="K69" s="455">
        <f t="shared" ca="1" si="2"/>
        <v>17551.733350019815</v>
      </c>
      <c r="L69" s="455">
        <f t="shared" ca="1" si="3"/>
        <v>4229967.7373547759</v>
      </c>
      <c r="M69" s="471">
        <f t="shared" si="6"/>
        <v>0.05</v>
      </c>
      <c r="N69" s="475">
        <f t="shared" si="7"/>
        <v>53144</v>
      </c>
    </row>
    <row r="70" spans="1:14" ht="11.25" customHeight="1" x14ac:dyDescent="0.3">
      <c r="A70" s="470">
        <v>63</v>
      </c>
      <c r="B70" s="458">
        <f t="shared" ca="1" si="4"/>
        <v>8759085.2458694614</v>
      </c>
      <c r="C70" s="458">
        <f t="shared" si="0"/>
        <v>198241.13694716871</v>
      </c>
      <c r="D70" s="458">
        <f t="shared" ca="1" si="9"/>
        <v>410153.92506743304</v>
      </c>
      <c r="E70" s="458">
        <f t="shared" ca="1" si="1"/>
        <v>8970998.0339897256</v>
      </c>
      <c r="F70" s="442"/>
      <c r="G70" s="470">
        <f t="shared" si="10"/>
        <v>6</v>
      </c>
      <c r="H70" s="470">
        <v>63</v>
      </c>
      <c r="I70" s="455">
        <f t="shared" ca="1" si="5"/>
        <v>4229967.7373547759</v>
      </c>
      <c r="J70" s="455">
        <f t="array" ref="J70">IFERROR(INDEX('Retirement Calculator'!K:K,MATCH('Lorri 401b'!N70,'Retirement Calculator'!A:A,0),0),0)</f>
        <v>0</v>
      </c>
      <c r="K70" s="455">
        <f t="shared" ca="1" si="2"/>
        <v>17624.865572311566</v>
      </c>
      <c r="L70" s="455">
        <f t="shared" ca="1" si="3"/>
        <v>4247592.6029270878</v>
      </c>
      <c r="M70" s="471">
        <f t="shared" si="6"/>
        <v>0.05</v>
      </c>
      <c r="N70" s="475">
        <f t="shared" si="7"/>
        <v>53175</v>
      </c>
    </row>
    <row r="71" spans="1:14" ht="11.25" customHeight="1" x14ac:dyDescent="0.3">
      <c r="A71" s="470">
        <v>64</v>
      </c>
      <c r="B71" s="458">
        <f t="shared" ca="1" si="4"/>
        <v>8970998.0339897256</v>
      </c>
      <c r="C71" s="458">
        <f t="shared" si="0"/>
        <v>198241.13694716871</v>
      </c>
      <c r="D71" s="458">
        <f t="shared" ca="1" si="9"/>
        <v>410153.92506743304</v>
      </c>
      <c r="E71" s="458">
        <f t="shared" ca="1" si="1"/>
        <v>9182910.8221099898</v>
      </c>
      <c r="F71" s="442"/>
      <c r="G71" s="470">
        <f t="shared" si="10"/>
        <v>6</v>
      </c>
      <c r="H71" s="470">
        <v>64</v>
      </c>
      <c r="I71" s="455">
        <f t="shared" ca="1" si="5"/>
        <v>4247592.6029270878</v>
      </c>
      <c r="J71" s="455">
        <f t="array" ref="J71">IFERROR(INDEX('Retirement Calculator'!K:K,MATCH('Lorri 401b'!N71,'Retirement Calculator'!A:A,0),0),0)</f>
        <v>0</v>
      </c>
      <c r="K71" s="455">
        <f t="shared" ca="1" si="2"/>
        <v>17698.302512196198</v>
      </c>
      <c r="L71" s="455">
        <f t="shared" ca="1" si="3"/>
        <v>4265290.9054392837</v>
      </c>
      <c r="M71" s="471">
        <f t="shared" si="6"/>
        <v>0.05</v>
      </c>
      <c r="N71" s="475">
        <f t="shared" si="7"/>
        <v>53206</v>
      </c>
    </row>
    <row r="72" spans="1:14" ht="11.25" customHeight="1" x14ac:dyDescent="0.3">
      <c r="A72" s="470">
        <v>65</v>
      </c>
      <c r="B72" s="442"/>
      <c r="C72" s="442"/>
      <c r="D72" s="442"/>
      <c r="E72" s="442"/>
      <c r="F72" s="442"/>
      <c r="G72" s="470">
        <f t="shared" si="10"/>
        <v>6</v>
      </c>
      <c r="H72" s="470">
        <v>65</v>
      </c>
      <c r="I72" s="455">
        <f t="shared" ca="1" si="5"/>
        <v>4265290.9054392837</v>
      </c>
      <c r="J72" s="455">
        <f t="array" ref="J72">IFERROR(INDEX('Retirement Calculator'!K:K,MATCH('Lorri 401b'!N72,'Retirement Calculator'!A:A,0),0),0)</f>
        <v>0</v>
      </c>
      <c r="K72" s="455">
        <f t="shared" ca="1" si="2"/>
        <v>17772.045439330348</v>
      </c>
      <c r="L72" s="455">
        <f t="shared" ca="1" si="3"/>
        <v>4283062.9508786136</v>
      </c>
      <c r="M72" s="471">
        <f t="shared" si="6"/>
        <v>0.05</v>
      </c>
      <c r="N72" s="475">
        <f t="shared" si="7"/>
        <v>53236</v>
      </c>
    </row>
    <row r="73" spans="1:14" ht="11.25" customHeight="1" x14ac:dyDescent="0.3">
      <c r="A73" s="470">
        <v>66</v>
      </c>
      <c r="B73" s="442"/>
      <c r="C73" s="442"/>
      <c r="D73" s="442"/>
      <c r="E73" s="442"/>
      <c r="F73" s="442"/>
      <c r="G73" s="470">
        <f t="shared" si="10"/>
        <v>6</v>
      </c>
      <c r="H73" s="470">
        <v>66</v>
      </c>
      <c r="I73" s="455">
        <f t="shared" ca="1" si="5"/>
        <v>4283062.9508786136</v>
      </c>
      <c r="J73" s="455">
        <f t="array" ref="J73">IFERROR(INDEX('Retirement Calculator'!K:K,MATCH('Lorri 401b'!N73,'Retirement Calculator'!A:A,0),0),0)</f>
        <v>0</v>
      </c>
      <c r="K73" s="455">
        <f t="shared" ca="1" si="2"/>
        <v>17846.095628660889</v>
      </c>
      <c r="L73" s="455">
        <f t="shared" ca="1" si="3"/>
        <v>4300909.0465072747</v>
      </c>
      <c r="M73" s="471">
        <f t="shared" si="6"/>
        <v>0.05</v>
      </c>
      <c r="N73" s="475">
        <f t="shared" si="7"/>
        <v>53267</v>
      </c>
    </row>
    <row r="74" spans="1:14" ht="11.25" customHeight="1" x14ac:dyDescent="0.3">
      <c r="A74" s="470">
        <v>67</v>
      </c>
      <c r="B74" s="442"/>
      <c r="C74" s="442"/>
      <c r="D74" s="442"/>
      <c r="E74" s="442"/>
      <c r="F74" s="442"/>
      <c r="G74" s="470">
        <f t="shared" si="10"/>
        <v>6</v>
      </c>
      <c r="H74" s="470">
        <v>67</v>
      </c>
      <c r="I74" s="455">
        <f t="shared" ca="1" si="5"/>
        <v>4300909.0465072747</v>
      </c>
      <c r="J74" s="455">
        <f t="array" ref="J74">IFERROR(INDEX('Retirement Calculator'!K:K,MATCH('Lorri 401b'!N74,'Retirement Calculator'!A:A,0),0),0)</f>
        <v>0</v>
      </c>
      <c r="K74" s="455">
        <f t="shared" ca="1" si="2"/>
        <v>17920.454360446976</v>
      </c>
      <c r="L74" s="455">
        <f t="shared" ca="1" si="3"/>
        <v>4318829.5008677216</v>
      </c>
      <c r="M74" s="471">
        <f t="shared" si="6"/>
        <v>0.05</v>
      </c>
      <c r="N74" s="475">
        <f t="shared" si="7"/>
        <v>53297</v>
      </c>
    </row>
    <row r="75" spans="1:14" ht="11.25" customHeight="1" x14ac:dyDescent="0.3">
      <c r="A75" s="470">
        <v>68</v>
      </c>
      <c r="B75" s="442"/>
      <c r="C75" s="442"/>
      <c r="D75" s="442"/>
      <c r="E75" s="442"/>
      <c r="F75" s="442"/>
      <c r="G75" s="470">
        <f t="shared" si="10"/>
        <v>6</v>
      </c>
      <c r="H75" s="470">
        <v>68</v>
      </c>
      <c r="I75" s="455">
        <f t="shared" ca="1" si="5"/>
        <v>4318829.5008677216</v>
      </c>
      <c r="J75" s="455">
        <f t="array" ref="J75">IFERROR(INDEX('Retirement Calculator'!K:K,MATCH('Lorri 401b'!N75,'Retirement Calculator'!A:A,0),0),0)</f>
        <v>18263.995145597393</v>
      </c>
      <c r="K75" s="455">
        <f t="shared" ca="1" si="2"/>
        <v>17919.02294050885</v>
      </c>
      <c r="L75" s="455">
        <f t="shared" ca="1" si="3"/>
        <v>4318484.5286626332</v>
      </c>
      <c r="M75" s="471">
        <f t="shared" si="6"/>
        <v>0.05</v>
      </c>
      <c r="N75" s="475">
        <f t="shared" si="7"/>
        <v>53328</v>
      </c>
    </row>
    <row r="76" spans="1:14" ht="11.25" customHeight="1" x14ac:dyDescent="0.3">
      <c r="A76" s="470">
        <v>69</v>
      </c>
      <c r="B76" s="442"/>
      <c r="C76" s="442"/>
      <c r="D76" s="442"/>
      <c r="E76" s="442"/>
      <c r="F76" s="442"/>
      <c r="G76" s="470">
        <f t="shared" si="10"/>
        <v>6</v>
      </c>
      <c r="H76" s="470">
        <v>69</v>
      </c>
      <c r="I76" s="455">
        <f t="shared" ca="1" si="5"/>
        <v>4318484.5286626332</v>
      </c>
      <c r="J76" s="455">
        <f t="array" ref="J76">IFERROR(INDEX('Retirement Calculator'!K:K,MATCH('Lorri 401b'!N76,'Retirement Calculator'!A:A,0),0),0)</f>
        <v>18263.995145597393</v>
      </c>
      <c r="K76" s="455">
        <f t="shared" ca="1" si="2"/>
        <v>17917.585556320981</v>
      </c>
      <c r="L76" s="455">
        <f t="shared" ca="1" si="3"/>
        <v>4318138.1190733565</v>
      </c>
      <c r="M76" s="471">
        <f t="shared" si="6"/>
        <v>0.05</v>
      </c>
      <c r="N76" s="475">
        <f t="shared" si="7"/>
        <v>53359</v>
      </c>
    </row>
    <row r="77" spans="1:14" ht="11.25" customHeight="1" x14ac:dyDescent="0.3">
      <c r="A77" s="470">
        <v>70</v>
      </c>
      <c r="B77" s="442"/>
      <c r="C77" s="442"/>
      <c r="D77" s="442"/>
      <c r="E77" s="442"/>
      <c r="F77" s="442"/>
      <c r="G77" s="470">
        <f t="shared" si="10"/>
        <v>6</v>
      </c>
      <c r="H77" s="470">
        <v>70</v>
      </c>
      <c r="I77" s="455">
        <f t="shared" ca="1" si="5"/>
        <v>4318138.1190733565</v>
      </c>
      <c r="J77" s="455">
        <f t="array" ref="J77">IFERROR(INDEX('Retirement Calculator'!K:K,MATCH('Lorri 401b'!N77,'Retirement Calculator'!A:A,0),0),0)</f>
        <v>18263.995145597393</v>
      </c>
      <c r="K77" s="455">
        <f t="shared" ca="1" si="2"/>
        <v>17916.142183032331</v>
      </c>
      <c r="L77" s="455">
        <f t="shared" ca="1" si="3"/>
        <v>4317790.2661107909</v>
      </c>
      <c r="M77" s="471">
        <f t="shared" si="6"/>
        <v>0.05</v>
      </c>
      <c r="N77" s="475">
        <f t="shared" si="7"/>
        <v>53387</v>
      </c>
    </row>
    <row r="78" spans="1:14" ht="11.25" customHeight="1" x14ac:dyDescent="0.3">
      <c r="A78" s="470">
        <v>71</v>
      </c>
      <c r="B78" s="442"/>
      <c r="C78" s="442"/>
      <c r="D78" s="442"/>
      <c r="E78" s="442"/>
      <c r="F78" s="442"/>
      <c r="G78" s="470">
        <f t="shared" si="10"/>
        <v>6</v>
      </c>
      <c r="H78" s="470">
        <v>71</v>
      </c>
      <c r="I78" s="455">
        <f t="shared" ca="1" si="5"/>
        <v>4317790.2661107909</v>
      </c>
      <c r="J78" s="455">
        <f t="array" ref="J78">IFERROR(INDEX('Retirement Calculator'!K:K,MATCH('Lorri 401b'!N78,'Retirement Calculator'!A:A,0),0),0)</f>
        <v>18263.995145597393</v>
      </c>
      <c r="K78" s="455">
        <f t="shared" ca="1" si="2"/>
        <v>17914.692795688305</v>
      </c>
      <c r="L78" s="455">
        <f t="shared" ca="1" si="3"/>
        <v>4317440.9637608817</v>
      </c>
      <c r="M78" s="471">
        <f t="shared" si="6"/>
        <v>0.05</v>
      </c>
      <c r="N78" s="475">
        <f t="shared" si="7"/>
        <v>53418</v>
      </c>
    </row>
    <row r="79" spans="1:14" ht="11.25" customHeight="1" x14ac:dyDescent="0.3">
      <c r="A79" s="470">
        <v>72</v>
      </c>
      <c r="B79" s="442"/>
      <c r="C79" s="442"/>
      <c r="D79" s="442"/>
      <c r="E79" s="442"/>
      <c r="F79" s="442"/>
      <c r="G79" s="470">
        <f t="shared" si="10"/>
        <v>6</v>
      </c>
      <c r="H79" s="470">
        <v>72</v>
      </c>
      <c r="I79" s="455">
        <f t="shared" ca="1" si="5"/>
        <v>4317440.9637608817</v>
      </c>
      <c r="J79" s="455">
        <f t="array" ref="J79">IFERROR(INDEX('Retirement Calculator'!K:K,MATCH('Lorri 401b'!N79,'Retirement Calculator'!A:A,0),0),0)</f>
        <v>18263.995145597393</v>
      </c>
      <c r="K79" s="455">
        <f t="shared" ca="1" si="2"/>
        <v>17913.237369230352</v>
      </c>
      <c r="L79" s="455">
        <f t="shared" ca="1" si="3"/>
        <v>4317090.2059845142</v>
      </c>
      <c r="M79" s="471">
        <f t="shared" si="6"/>
        <v>0.05</v>
      </c>
      <c r="N79" s="475">
        <f t="shared" si="7"/>
        <v>53448</v>
      </c>
    </row>
    <row r="80" spans="1:14" ht="11.25" customHeight="1" x14ac:dyDescent="0.3">
      <c r="A80" s="470">
        <v>73</v>
      </c>
      <c r="B80" s="442"/>
      <c r="C80" s="442"/>
      <c r="D80" s="442"/>
      <c r="E80" s="442"/>
      <c r="F80" s="442"/>
      <c r="G80" s="470">
        <f>G79+1</f>
        <v>7</v>
      </c>
      <c r="H80" s="470">
        <v>73</v>
      </c>
      <c r="I80" s="455">
        <f t="shared" ca="1" si="5"/>
        <v>4317090.2059845142</v>
      </c>
      <c r="J80" s="455">
        <f t="array" ref="J80">IFERROR(INDEX('Retirement Calculator'!K:K,MATCH('Lorri 401b'!N80,'Retirement Calculator'!A:A,0),0),0)</f>
        <v>18263.995145597393</v>
      </c>
      <c r="K80" s="455">
        <f t="shared" ca="1" si="2"/>
        <v>17911.775878495486</v>
      </c>
      <c r="L80" s="455">
        <f t="shared" ca="1" si="3"/>
        <v>4316737.9867174122</v>
      </c>
      <c r="M80" s="471">
        <f t="shared" si="6"/>
        <v>0.05</v>
      </c>
      <c r="N80" s="475">
        <f t="shared" si="7"/>
        <v>53479</v>
      </c>
    </row>
    <row r="81" spans="1:14" ht="11.25" customHeight="1" x14ac:dyDescent="0.3">
      <c r="A81" s="470">
        <v>74</v>
      </c>
      <c r="B81" s="442"/>
      <c r="C81" s="442"/>
      <c r="D81" s="442"/>
      <c r="E81" s="442"/>
      <c r="F81" s="442"/>
      <c r="G81" s="470">
        <f t="shared" ref="G81:G91" si="11">G80</f>
        <v>7</v>
      </c>
      <c r="H81" s="470">
        <v>74</v>
      </c>
      <c r="I81" s="455">
        <f t="shared" ca="1" si="5"/>
        <v>4316737.9867174122</v>
      </c>
      <c r="J81" s="455">
        <f t="array" ref="J81">IFERROR(INDEX('Retirement Calculator'!K:K,MATCH('Lorri 401b'!N81,'Retirement Calculator'!A:A,0),0),0)</f>
        <v>18263.995145597393</v>
      </c>
      <c r="K81" s="455">
        <f t="shared" ca="1" si="2"/>
        <v>17910.308298215896</v>
      </c>
      <c r="L81" s="455">
        <f t="shared" ca="1" si="3"/>
        <v>4316384.299870031</v>
      </c>
      <c r="M81" s="471">
        <f t="shared" si="6"/>
        <v>0.05</v>
      </c>
      <c r="N81" s="475">
        <f t="shared" si="7"/>
        <v>53509</v>
      </c>
    </row>
    <row r="82" spans="1:14" ht="11.25" customHeight="1" x14ac:dyDescent="0.3">
      <c r="A82" s="470">
        <v>75</v>
      </c>
      <c r="B82" s="442"/>
      <c r="C82" s="442"/>
      <c r="D82" s="442"/>
      <c r="E82" s="442"/>
      <c r="F82" s="442"/>
      <c r="G82" s="470">
        <f t="shared" si="11"/>
        <v>7</v>
      </c>
      <c r="H82" s="470">
        <v>75</v>
      </c>
      <c r="I82" s="455">
        <f t="shared" ca="1" si="5"/>
        <v>4316384.299870031</v>
      </c>
      <c r="J82" s="455">
        <f t="array" ref="J82">IFERROR(INDEX('Retirement Calculator'!K:K,MATCH('Lorri 401b'!N82,'Retirement Calculator'!A:A,0),0),0)</f>
        <v>18263.995145597393</v>
      </c>
      <c r="K82" s="455">
        <f t="shared" ca="1" si="2"/>
        <v>17908.834603018473</v>
      </c>
      <c r="L82" s="455">
        <f t="shared" ca="1" si="3"/>
        <v>4316029.1393274516</v>
      </c>
      <c r="M82" s="471">
        <f t="shared" si="6"/>
        <v>0.05</v>
      </c>
      <c r="N82" s="475">
        <f t="shared" si="7"/>
        <v>53540</v>
      </c>
    </row>
    <row r="83" spans="1:14" ht="11.25" customHeight="1" x14ac:dyDescent="0.3">
      <c r="A83" s="470">
        <v>76</v>
      </c>
      <c r="B83" s="442"/>
      <c r="C83" s="442"/>
      <c r="D83" s="442"/>
      <c r="E83" s="442"/>
      <c r="F83" s="442"/>
      <c r="G83" s="470">
        <f t="shared" si="11"/>
        <v>7</v>
      </c>
      <c r="H83" s="470">
        <v>76</v>
      </c>
      <c r="I83" s="455">
        <f t="shared" ca="1" si="5"/>
        <v>4316029.1393274516</v>
      </c>
      <c r="J83" s="455">
        <f t="array" ref="J83">IFERROR(INDEX('Retirement Calculator'!K:K,MATCH('Lorri 401b'!N83,'Retirement Calculator'!A:A,0),0),0)</f>
        <v>18263.995145597393</v>
      </c>
      <c r="K83" s="455">
        <f t="shared" ca="1" si="2"/>
        <v>17907.354767424393</v>
      </c>
      <c r="L83" s="455">
        <f t="shared" ca="1" si="3"/>
        <v>4315672.4989492781</v>
      </c>
      <c r="M83" s="471">
        <f t="shared" si="6"/>
        <v>0.05</v>
      </c>
      <c r="N83" s="475">
        <f t="shared" si="7"/>
        <v>53571</v>
      </c>
    </row>
    <row r="84" spans="1:14" ht="11.25" customHeight="1" x14ac:dyDescent="0.3">
      <c r="A84" s="470">
        <v>77</v>
      </c>
      <c r="B84" s="442"/>
      <c r="C84" s="442"/>
      <c r="D84" s="442"/>
      <c r="E84" s="442"/>
      <c r="F84" s="442"/>
      <c r="G84" s="470">
        <f t="shared" si="11"/>
        <v>7</v>
      </c>
      <c r="H84" s="470">
        <v>77</v>
      </c>
      <c r="I84" s="455">
        <f t="shared" ca="1" si="5"/>
        <v>4315672.4989492781</v>
      </c>
      <c r="J84" s="455">
        <f t="array" ref="J84">IFERROR(INDEX('Retirement Calculator'!K:K,MATCH('Lorri 401b'!N84,'Retirement Calculator'!A:A,0),0),0)</f>
        <v>18263.995145597393</v>
      </c>
      <c r="K84" s="455">
        <f t="shared" ca="1" si="2"/>
        <v>17905.868765848671</v>
      </c>
      <c r="L84" s="455">
        <f t="shared" ca="1" si="3"/>
        <v>4315314.3725695293</v>
      </c>
      <c r="M84" s="471">
        <f t="shared" si="6"/>
        <v>0.05</v>
      </c>
      <c r="N84" s="475">
        <f t="shared" si="7"/>
        <v>53601</v>
      </c>
    </row>
    <row r="85" spans="1:14" ht="11.25" customHeight="1" x14ac:dyDescent="0.3">
      <c r="A85" s="470">
        <v>78</v>
      </c>
      <c r="B85" s="442"/>
      <c r="C85" s="442"/>
      <c r="D85" s="442"/>
      <c r="E85" s="442"/>
      <c r="F85" s="442"/>
      <c r="G85" s="470">
        <f t="shared" si="11"/>
        <v>7</v>
      </c>
      <c r="H85" s="470">
        <v>78</v>
      </c>
      <c r="I85" s="455">
        <f t="shared" ca="1" si="5"/>
        <v>4315314.3725695293</v>
      </c>
      <c r="J85" s="455">
        <f t="array" ref="J85">IFERROR(INDEX('Retirement Calculator'!K:K,MATCH('Lorri 401b'!N85,'Retirement Calculator'!A:A,0),0),0)</f>
        <v>18263.995145597393</v>
      </c>
      <c r="K85" s="455">
        <f t="shared" ca="1" si="2"/>
        <v>17904.376572599715</v>
      </c>
      <c r="L85" s="455">
        <f t="shared" ca="1" si="3"/>
        <v>4314954.7539965315</v>
      </c>
      <c r="M85" s="471">
        <f t="shared" si="6"/>
        <v>0.05</v>
      </c>
      <c r="N85" s="475">
        <f t="shared" si="7"/>
        <v>53632</v>
      </c>
    </row>
    <row r="86" spans="1:14" ht="11.25" customHeight="1" x14ac:dyDescent="0.3">
      <c r="A86" s="470">
        <v>79</v>
      </c>
      <c r="B86" s="442"/>
      <c r="C86" s="442"/>
      <c r="D86" s="442"/>
      <c r="E86" s="442"/>
      <c r="F86" s="442"/>
      <c r="G86" s="470">
        <f t="shared" si="11"/>
        <v>7</v>
      </c>
      <c r="H86" s="470">
        <v>79</v>
      </c>
      <c r="I86" s="455">
        <f t="shared" ca="1" si="5"/>
        <v>4314954.7539965315</v>
      </c>
      <c r="J86" s="455">
        <f t="array" ref="J86">IFERROR(INDEX('Retirement Calculator'!K:K,MATCH('Lorri 401b'!N86,'Retirement Calculator'!A:A,0),0),0)</f>
        <v>18263.995145597393</v>
      </c>
      <c r="K86" s="455">
        <f t="shared" ca="1" si="2"/>
        <v>17902.878161878893</v>
      </c>
      <c r="L86" s="455">
        <f t="shared" ca="1" si="3"/>
        <v>4314593.6370128132</v>
      </c>
      <c r="M86" s="471">
        <f t="shared" si="6"/>
        <v>0.05</v>
      </c>
      <c r="N86" s="475">
        <f t="shared" si="7"/>
        <v>53662</v>
      </c>
    </row>
    <row r="87" spans="1:14" ht="11.25" customHeight="1" x14ac:dyDescent="0.3">
      <c r="A87" s="470">
        <v>80</v>
      </c>
      <c r="B87" s="442"/>
      <c r="C87" s="442"/>
      <c r="D87" s="442"/>
      <c r="E87" s="442"/>
      <c r="F87" s="442"/>
      <c r="G87" s="470">
        <f t="shared" si="11"/>
        <v>7</v>
      </c>
      <c r="H87" s="470">
        <v>80</v>
      </c>
      <c r="I87" s="455">
        <f t="shared" ca="1" si="5"/>
        <v>4314593.6370128132</v>
      </c>
      <c r="J87" s="455">
        <f t="array" ref="J87">IFERROR(INDEX('Retirement Calculator'!K:K,MATCH('Lorri 401b'!N87,'Retirement Calculator'!A:A,0),0),0)</f>
        <v>18263.995145597393</v>
      </c>
      <c r="K87" s="455">
        <f t="shared" ca="1" si="2"/>
        <v>17901.373507780067</v>
      </c>
      <c r="L87" s="455">
        <f t="shared" ca="1" si="3"/>
        <v>4314231.0153749958</v>
      </c>
      <c r="M87" s="471">
        <f t="shared" si="6"/>
        <v>0.05</v>
      </c>
      <c r="N87" s="475">
        <f t="shared" si="7"/>
        <v>53693</v>
      </c>
    </row>
    <row r="88" spans="1:14" ht="11.25" customHeight="1" x14ac:dyDescent="0.3">
      <c r="A88" s="470">
        <v>81</v>
      </c>
      <c r="B88" s="442"/>
      <c r="C88" s="442"/>
      <c r="D88" s="442"/>
      <c r="E88" s="442"/>
      <c r="F88" s="442"/>
      <c r="G88" s="470">
        <f t="shared" si="11"/>
        <v>7</v>
      </c>
      <c r="H88" s="470">
        <v>81</v>
      </c>
      <c r="I88" s="455">
        <f t="shared" ca="1" si="5"/>
        <v>4314231.0153749958</v>
      </c>
      <c r="J88" s="455">
        <f t="array" ref="J88">IFERROR(INDEX('Retirement Calculator'!K:K,MATCH('Lorri 401b'!N88,'Retirement Calculator'!A:A,0),0),0)</f>
        <v>18263.995145597393</v>
      </c>
      <c r="K88" s="455">
        <f t="shared" ca="1" si="2"/>
        <v>17899.86258428916</v>
      </c>
      <c r="L88" s="455">
        <f t="shared" ca="1" si="3"/>
        <v>4313866.8828136874</v>
      </c>
      <c r="M88" s="471">
        <f t="shared" si="6"/>
        <v>0.05</v>
      </c>
      <c r="N88" s="475">
        <f t="shared" si="7"/>
        <v>53724</v>
      </c>
    </row>
    <row r="89" spans="1:14" ht="11.25" customHeight="1" x14ac:dyDescent="0.3">
      <c r="A89" s="470">
        <v>82</v>
      </c>
      <c r="B89" s="442"/>
      <c r="C89" s="442"/>
      <c r="D89" s="442"/>
      <c r="E89" s="442"/>
      <c r="F89" s="442"/>
      <c r="G89" s="470">
        <f t="shared" si="11"/>
        <v>7</v>
      </c>
      <c r="H89" s="470">
        <v>82</v>
      </c>
      <c r="I89" s="455">
        <f t="shared" ca="1" si="5"/>
        <v>4313866.8828136874</v>
      </c>
      <c r="J89" s="455">
        <f t="array" ref="J89">IFERROR(INDEX('Retirement Calculator'!K:K,MATCH('Lorri 401b'!N89,'Retirement Calculator'!A:A,0),0),0)</f>
        <v>18263.995145597393</v>
      </c>
      <c r="K89" s="455">
        <f t="shared" ca="1" si="2"/>
        <v>17898.345365283709</v>
      </c>
      <c r="L89" s="455">
        <f t="shared" ca="1" si="3"/>
        <v>4313501.233033374</v>
      </c>
      <c r="M89" s="471">
        <f t="shared" si="6"/>
        <v>0.05</v>
      </c>
      <c r="N89" s="475">
        <f t="shared" si="7"/>
        <v>53752</v>
      </c>
    </row>
    <row r="90" spans="1:14" ht="11.25" customHeight="1" x14ac:dyDescent="0.3">
      <c r="A90" s="470">
        <v>83</v>
      </c>
      <c r="B90" s="442"/>
      <c r="C90" s="442"/>
      <c r="D90" s="442"/>
      <c r="E90" s="442"/>
      <c r="F90" s="442"/>
      <c r="G90" s="470">
        <f t="shared" si="11"/>
        <v>7</v>
      </c>
      <c r="H90" s="470">
        <v>83</v>
      </c>
      <c r="I90" s="455">
        <f t="shared" ca="1" si="5"/>
        <v>4313501.233033374</v>
      </c>
      <c r="J90" s="455">
        <f t="array" ref="J90">IFERROR(INDEX('Retirement Calculator'!K:K,MATCH('Lorri 401b'!N90,'Retirement Calculator'!A:A,0),0),0)</f>
        <v>18263.995145597393</v>
      </c>
      <c r="K90" s="455">
        <f t="shared" ca="1" si="2"/>
        <v>17896.821824532402</v>
      </c>
      <c r="L90" s="455">
        <f t="shared" ca="1" si="3"/>
        <v>4313134.0597123085</v>
      </c>
      <c r="M90" s="471">
        <f t="shared" si="6"/>
        <v>0.05</v>
      </c>
      <c r="N90" s="475">
        <f t="shared" si="7"/>
        <v>53783</v>
      </c>
    </row>
    <row r="91" spans="1:14" ht="11.25" customHeight="1" x14ac:dyDescent="0.3">
      <c r="A91" s="470">
        <v>84</v>
      </c>
      <c r="B91" s="442"/>
      <c r="C91" s="442"/>
      <c r="D91" s="442"/>
      <c r="E91" s="442"/>
      <c r="F91" s="442"/>
      <c r="G91" s="470">
        <f t="shared" si="11"/>
        <v>7</v>
      </c>
      <c r="H91" s="470">
        <v>84</v>
      </c>
      <c r="I91" s="455">
        <f t="shared" ca="1" si="5"/>
        <v>4313134.0597123085</v>
      </c>
      <c r="J91" s="455">
        <f t="array" ref="J91">IFERROR(INDEX('Retirement Calculator'!K:K,MATCH('Lorri 401b'!N91,'Retirement Calculator'!A:A,0),0),0)</f>
        <v>18263.995145597393</v>
      </c>
      <c r="K91" s="455">
        <f t="shared" ca="1" si="2"/>
        <v>17895.29193569463</v>
      </c>
      <c r="L91" s="455">
        <f t="shared" ca="1" si="3"/>
        <v>4312765.3565024054</v>
      </c>
      <c r="M91" s="471">
        <f t="shared" si="6"/>
        <v>0.05</v>
      </c>
      <c r="N91" s="475">
        <f t="shared" si="7"/>
        <v>53813</v>
      </c>
    </row>
    <row r="92" spans="1:14" ht="11.25" customHeight="1" x14ac:dyDescent="0.3">
      <c r="A92" s="470">
        <v>85</v>
      </c>
      <c r="B92" s="442"/>
      <c r="C92" s="442"/>
      <c r="D92" s="442"/>
      <c r="E92" s="442"/>
      <c r="F92" s="442"/>
      <c r="G92" s="470">
        <f>G91+1</f>
        <v>8</v>
      </c>
      <c r="H92" s="470">
        <v>85</v>
      </c>
      <c r="I92" s="455">
        <f t="shared" ca="1" si="5"/>
        <v>4312765.3565024054</v>
      </c>
      <c r="J92" s="455">
        <f t="array" ref="J92">IFERROR(INDEX('Retirement Calculator'!K:K,MATCH('Lorri 401b'!N92,'Retirement Calculator'!A:A,0),0),0)</f>
        <v>18263.995145597393</v>
      </c>
      <c r="K92" s="455">
        <f t="shared" ca="1" si="2"/>
        <v>17893.755672320032</v>
      </c>
      <c r="L92" s="455">
        <f t="shared" ca="1" si="3"/>
        <v>4312395.1170291277</v>
      </c>
      <c r="M92" s="471">
        <f t="shared" si="6"/>
        <v>0.05</v>
      </c>
      <c r="N92" s="475">
        <f t="shared" si="7"/>
        <v>53844</v>
      </c>
    </row>
    <row r="93" spans="1:14" ht="11.25" customHeight="1" x14ac:dyDescent="0.3">
      <c r="A93" s="470">
        <v>86</v>
      </c>
      <c r="B93" s="442"/>
      <c r="C93" s="442"/>
      <c r="D93" s="442"/>
      <c r="E93" s="442"/>
      <c r="F93" s="442"/>
      <c r="G93" s="470">
        <f t="shared" ref="G93:G103" si="12">G92</f>
        <v>8</v>
      </c>
      <c r="H93" s="470">
        <v>86</v>
      </c>
      <c r="I93" s="455">
        <f t="shared" ca="1" si="5"/>
        <v>4312395.1170291277</v>
      </c>
      <c r="J93" s="455">
        <f t="array" ref="J93">IFERROR(INDEX('Retirement Calculator'!K:K,MATCH('Lorri 401b'!N93,'Retirement Calculator'!A:A,0),0),0)</f>
        <v>18263.995145597393</v>
      </c>
      <c r="K93" s="455">
        <f t="shared" ca="1" si="2"/>
        <v>17892.21300784804</v>
      </c>
      <c r="L93" s="455">
        <f t="shared" ca="1" si="3"/>
        <v>4312023.3348913779</v>
      </c>
      <c r="M93" s="471">
        <f t="shared" si="6"/>
        <v>0.05</v>
      </c>
      <c r="N93" s="475">
        <f t="shared" si="7"/>
        <v>53874</v>
      </c>
    </row>
    <row r="94" spans="1:14" ht="11.25" customHeight="1" x14ac:dyDescent="0.3">
      <c r="A94" s="470">
        <v>87</v>
      </c>
      <c r="B94" s="442"/>
      <c r="C94" s="442"/>
      <c r="D94" s="442"/>
      <c r="E94" s="442"/>
      <c r="F94" s="442"/>
      <c r="G94" s="470">
        <f t="shared" si="12"/>
        <v>8</v>
      </c>
      <c r="H94" s="470">
        <v>87</v>
      </c>
      <c r="I94" s="455">
        <f t="shared" ca="1" si="5"/>
        <v>4312023.3348913779</v>
      </c>
      <c r="J94" s="455">
        <f t="array" ref="J94">IFERROR(INDEX('Retirement Calculator'!K:K,MATCH('Lorri 401b'!N94,'Retirement Calculator'!A:A,0),0),0)</f>
        <v>18263.995145597393</v>
      </c>
      <c r="K94" s="455">
        <f t="shared" ca="1" si="2"/>
        <v>17890.66391560742</v>
      </c>
      <c r="L94" s="455">
        <f t="shared" ca="1" si="3"/>
        <v>4311650.0036613876</v>
      </c>
      <c r="M94" s="471">
        <f t="shared" si="6"/>
        <v>0.05</v>
      </c>
      <c r="N94" s="475">
        <f t="shared" si="7"/>
        <v>53905</v>
      </c>
    </row>
    <row r="95" spans="1:14" ht="11.25" customHeight="1" x14ac:dyDescent="0.3">
      <c r="A95" s="470">
        <v>88</v>
      </c>
      <c r="B95" s="442"/>
      <c r="C95" s="442"/>
      <c r="D95" s="442"/>
      <c r="E95" s="442"/>
      <c r="F95" s="442"/>
      <c r="G95" s="470">
        <f t="shared" si="12"/>
        <v>8</v>
      </c>
      <c r="H95" s="470">
        <v>88</v>
      </c>
      <c r="I95" s="455">
        <f t="shared" ca="1" si="5"/>
        <v>4311650.0036613876</v>
      </c>
      <c r="J95" s="455">
        <f t="array" ref="J95">IFERROR(INDEX('Retirement Calculator'!K:K,MATCH('Lorri 401b'!N95,'Retirement Calculator'!A:A,0),0),0)</f>
        <v>18263.995145597393</v>
      </c>
      <c r="K95" s="455">
        <f t="shared" ca="1" si="2"/>
        <v>17889.108368815792</v>
      </c>
      <c r="L95" s="455">
        <f t="shared" ca="1" si="3"/>
        <v>4311275.116884606</v>
      </c>
      <c r="M95" s="471">
        <f t="shared" si="6"/>
        <v>0.05</v>
      </c>
      <c r="N95" s="475">
        <f t="shared" si="7"/>
        <v>53936</v>
      </c>
    </row>
    <row r="96" spans="1:14" ht="11.25" customHeight="1" x14ac:dyDescent="0.3">
      <c r="A96" s="470">
        <v>89</v>
      </c>
      <c r="B96" s="442"/>
      <c r="C96" s="442"/>
      <c r="D96" s="442"/>
      <c r="E96" s="442"/>
      <c r="F96" s="442"/>
      <c r="G96" s="470">
        <f t="shared" si="12"/>
        <v>8</v>
      </c>
      <c r="H96" s="470">
        <v>89</v>
      </c>
      <c r="I96" s="455">
        <f t="shared" ca="1" si="5"/>
        <v>4311275.116884606</v>
      </c>
      <c r="J96" s="455">
        <f t="array" ref="J96">IFERROR(INDEX('Retirement Calculator'!K:K,MATCH('Lorri 401b'!N96,'Retirement Calculator'!A:A,0),0),0)</f>
        <v>18263.995145597393</v>
      </c>
      <c r="K96" s="455">
        <f t="shared" ca="1" si="2"/>
        <v>17887.546340579203</v>
      </c>
      <c r="L96" s="455">
        <f t="shared" ca="1" si="3"/>
        <v>4310898.6680795876</v>
      </c>
      <c r="M96" s="471">
        <f t="shared" si="6"/>
        <v>0.05</v>
      </c>
      <c r="N96" s="475">
        <f t="shared" si="7"/>
        <v>53966</v>
      </c>
    </row>
    <row r="97" spans="1:14" ht="11.25" customHeight="1" x14ac:dyDescent="0.3">
      <c r="A97" s="470">
        <v>90</v>
      </c>
      <c r="B97" s="442"/>
      <c r="C97" s="442"/>
      <c r="D97" s="442"/>
      <c r="E97" s="442"/>
      <c r="F97" s="442"/>
      <c r="G97" s="470">
        <f t="shared" si="12"/>
        <v>8</v>
      </c>
      <c r="H97" s="470">
        <v>90</v>
      </c>
      <c r="I97" s="455">
        <f t="shared" ca="1" si="5"/>
        <v>4310898.6680795876</v>
      </c>
      <c r="J97" s="455">
        <f t="array" ref="J97">IFERROR(INDEX('Retirement Calculator'!K:K,MATCH('Lorri 401b'!N97,'Retirement Calculator'!A:A,0),0),0)</f>
        <v>18263.995145597393</v>
      </c>
      <c r="K97" s="455">
        <f t="shared" ca="1" si="2"/>
        <v>17885.977803891627</v>
      </c>
      <c r="L97" s="455">
        <f t="shared" ca="1" si="3"/>
        <v>4310520.6507378817</v>
      </c>
      <c r="M97" s="471">
        <f t="shared" si="6"/>
        <v>0.05</v>
      </c>
      <c r="N97" s="475">
        <f t="shared" si="7"/>
        <v>53997</v>
      </c>
    </row>
    <row r="98" spans="1:14" ht="11.25" customHeight="1" x14ac:dyDescent="0.3">
      <c r="A98" s="470">
        <v>91</v>
      </c>
      <c r="B98" s="442"/>
      <c r="C98" s="442"/>
      <c r="D98" s="442"/>
      <c r="E98" s="442"/>
      <c r="F98" s="442"/>
      <c r="G98" s="470">
        <f t="shared" si="12"/>
        <v>8</v>
      </c>
      <c r="H98" s="470">
        <v>91</v>
      </c>
      <c r="I98" s="455">
        <f t="shared" ca="1" si="5"/>
        <v>4310520.6507378817</v>
      </c>
      <c r="J98" s="455">
        <f t="array" ref="J98">IFERROR(INDEX('Retirement Calculator'!K:K,MATCH('Lorri 401b'!N98,'Retirement Calculator'!A:A,0),0),0)</f>
        <v>18263.995145597393</v>
      </c>
      <c r="K98" s="455">
        <f t="shared" ca="1" si="2"/>
        <v>17884.402731634516</v>
      </c>
      <c r="L98" s="455">
        <f t="shared" ca="1" si="3"/>
        <v>4310141.0583239188</v>
      </c>
      <c r="M98" s="471">
        <f t="shared" si="6"/>
        <v>0.05</v>
      </c>
      <c r="N98" s="475">
        <f t="shared" si="7"/>
        <v>54027</v>
      </c>
    </row>
    <row r="99" spans="1:14" ht="11.25" customHeight="1" x14ac:dyDescent="0.3">
      <c r="A99" s="470">
        <v>92</v>
      </c>
      <c r="B99" s="442"/>
      <c r="C99" s="442"/>
      <c r="D99" s="442"/>
      <c r="E99" s="442"/>
      <c r="F99" s="442"/>
      <c r="G99" s="470">
        <f t="shared" si="12"/>
        <v>8</v>
      </c>
      <c r="H99" s="470">
        <v>92</v>
      </c>
      <c r="I99" s="455">
        <f t="shared" ca="1" si="5"/>
        <v>4310141.0583239188</v>
      </c>
      <c r="J99" s="455">
        <f t="array" ref="J99">IFERROR(INDEX('Retirement Calculator'!K:K,MATCH('Lorri 401b'!N99,'Retirement Calculator'!A:A,0),0),0)</f>
        <v>18263.995145597393</v>
      </c>
      <c r="K99" s="455">
        <f t="shared" ca="1" si="2"/>
        <v>17882.821096576339</v>
      </c>
      <c r="L99" s="455">
        <f t="shared" ca="1" si="3"/>
        <v>4309759.8842748981</v>
      </c>
      <c r="M99" s="471">
        <f t="shared" si="6"/>
        <v>0.05</v>
      </c>
      <c r="N99" s="475">
        <f t="shared" si="7"/>
        <v>54058</v>
      </c>
    </row>
    <row r="100" spans="1:14" ht="11.25" customHeight="1" x14ac:dyDescent="0.3">
      <c r="A100" s="470">
        <v>93</v>
      </c>
      <c r="B100" s="442"/>
      <c r="C100" s="442"/>
      <c r="D100" s="442"/>
      <c r="E100" s="442"/>
      <c r="F100" s="442"/>
      <c r="G100" s="470">
        <f t="shared" si="12"/>
        <v>8</v>
      </c>
      <c r="H100" s="470">
        <v>93</v>
      </c>
      <c r="I100" s="455">
        <f t="shared" ca="1" si="5"/>
        <v>4309759.8842748981</v>
      </c>
      <c r="J100" s="455">
        <f t="array" ref="J100">IFERROR(INDEX('Retirement Calculator'!K:K,MATCH('Lorri 401b'!N100,'Retirement Calculator'!A:A,0),0),0)</f>
        <v>18263.995145597393</v>
      </c>
      <c r="K100" s="455">
        <f t="shared" ca="1" si="2"/>
        <v>17881.232871372085</v>
      </c>
      <c r="L100" s="455">
        <f t="shared" ca="1" si="3"/>
        <v>4309377.1220006729</v>
      </c>
      <c r="M100" s="471">
        <f t="shared" si="6"/>
        <v>0.05</v>
      </c>
      <c r="N100" s="475">
        <f t="shared" si="7"/>
        <v>54089</v>
      </c>
    </row>
    <row r="101" spans="1:14" ht="11.25" customHeight="1" x14ac:dyDescent="0.3">
      <c r="A101" s="470">
        <v>94</v>
      </c>
      <c r="B101" s="442"/>
      <c r="C101" s="442"/>
      <c r="D101" s="442"/>
      <c r="E101" s="442"/>
      <c r="F101" s="442"/>
      <c r="G101" s="470">
        <f t="shared" si="12"/>
        <v>8</v>
      </c>
      <c r="H101" s="470">
        <v>94</v>
      </c>
      <c r="I101" s="455">
        <f t="shared" ca="1" si="5"/>
        <v>4309377.1220006729</v>
      </c>
      <c r="J101" s="455">
        <f t="array" ref="J101">IFERROR(INDEX('Retirement Calculator'!K:K,MATCH('Lorri 401b'!N101,'Retirement Calculator'!A:A,0),0),0)</f>
        <v>18263.995145597393</v>
      </c>
      <c r="K101" s="455">
        <f t="shared" ca="1" si="2"/>
        <v>17879.638028562815</v>
      </c>
      <c r="L101" s="455">
        <f t="shared" ca="1" si="3"/>
        <v>4308992.7648836384</v>
      </c>
      <c r="M101" s="471">
        <f t="shared" si="6"/>
        <v>0.05</v>
      </c>
      <c r="N101" s="475">
        <f t="shared" si="7"/>
        <v>54118</v>
      </c>
    </row>
    <row r="102" spans="1:14" ht="11.25" customHeight="1" x14ac:dyDescent="0.3">
      <c r="A102" s="470">
        <v>95</v>
      </c>
      <c r="B102" s="442"/>
      <c r="C102" s="442"/>
      <c r="D102" s="442"/>
      <c r="E102" s="442"/>
      <c r="F102" s="442"/>
      <c r="G102" s="470">
        <f t="shared" si="12"/>
        <v>8</v>
      </c>
      <c r="H102" s="470">
        <v>95</v>
      </c>
      <c r="I102" s="455">
        <f t="shared" ca="1" si="5"/>
        <v>4308992.7648836384</v>
      </c>
      <c r="J102" s="455">
        <f t="array" ref="J102">IFERROR(INDEX('Retirement Calculator'!K:K,MATCH('Lorri 401b'!N102,'Retirement Calculator'!A:A,0),0),0)</f>
        <v>18263.995145597393</v>
      </c>
      <c r="K102" s="455">
        <f t="shared" ca="1" si="2"/>
        <v>17878.036540575169</v>
      </c>
      <c r="L102" s="455">
        <f t="shared" ca="1" si="3"/>
        <v>4308606.8062786162</v>
      </c>
      <c r="M102" s="471">
        <f t="shared" si="6"/>
        <v>0.05</v>
      </c>
      <c r="N102" s="475">
        <f t="shared" si="7"/>
        <v>54149</v>
      </c>
    </row>
    <row r="103" spans="1:14" ht="11.25" customHeight="1" x14ac:dyDescent="0.3">
      <c r="A103" s="470">
        <v>96</v>
      </c>
      <c r="B103" s="442"/>
      <c r="C103" s="442"/>
      <c r="D103" s="442"/>
      <c r="E103" s="442"/>
      <c r="F103" s="442"/>
      <c r="G103" s="470">
        <f t="shared" si="12"/>
        <v>8</v>
      </c>
      <c r="H103" s="470">
        <v>96</v>
      </c>
      <c r="I103" s="455">
        <f t="shared" ca="1" si="5"/>
        <v>4308606.8062786162</v>
      </c>
      <c r="J103" s="455">
        <f t="array" ref="J103">IFERROR(INDEX('Retirement Calculator'!K:K,MATCH('Lorri 401b'!N103,'Retirement Calculator'!A:A,0),0),0)</f>
        <v>18263.995145597393</v>
      </c>
      <c r="K103" s="455">
        <f t="shared" ca="1" si="2"/>
        <v>17876.42837972091</v>
      </c>
      <c r="L103" s="455">
        <f t="shared" ca="1" si="3"/>
        <v>4308219.2395127397</v>
      </c>
      <c r="M103" s="471">
        <f t="shared" si="6"/>
        <v>0.05</v>
      </c>
      <c r="N103" s="475">
        <f t="shared" si="7"/>
        <v>54179</v>
      </c>
    </row>
    <row r="104" spans="1:14" ht="11.25" customHeight="1" x14ac:dyDescent="0.3">
      <c r="A104" s="470">
        <v>97</v>
      </c>
      <c r="B104" s="442"/>
      <c r="C104" s="442"/>
      <c r="D104" s="442"/>
      <c r="E104" s="442"/>
      <c r="F104" s="442"/>
      <c r="G104" s="470">
        <f>G103+1</f>
        <v>9</v>
      </c>
      <c r="H104" s="470">
        <v>97</v>
      </c>
      <c r="I104" s="455">
        <f t="shared" ca="1" si="5"/>
        <v>4308219.2395127397</v>
      </c>
      <c r="J104" s="455">
        <f t="array" ref="J104">IFERROR(INDEX('Retirement Calculator'!K:K,MATCH('Lorri 401b'!N104,'Retirement Calculator'!A:A,0),0),0)</f>
        <v>18263.995145597393</v>
      </c>
      <c r="K104" s="455">
        <f t="shared" ca="1" si="2"/>
        <v>17874.813518196424</v>
      </c>
      <c r="L104" s="455">
        <f t="shared" ca="1" si="3"/>
        <v>4307830.0578853386</v>
      </c>
      <c r="M104" s="471">
        <f t="shared" si="6"/>
        <v>0.05</v>
      </c>
      <c r="N104" s="475">
        <f t="shared" si="7"/>
        <v>54210</v>
      </c>
    </row>
    <row r="105" spans="1:14" ht="11.25" customHeight="1" x14ac:dyDescent="0.3">
      <c r="A105" s="470">
        <v>98</v>
      </c>
      <c r="B105" s="442"/>
      <c r="C105" s="442"/>
      <c r="D105" s="442"/>
      <c r="E105" s="442"/>
      <c r="F105" s="442"/>
      <c r="G105" s="470">
        <f t="shared" ref="G105:G115" si="13">G104</f>
        <v>9</v>
      </c>
      <c r="H105" s="470">
        <v>98</v>
      </c>
      <c r="I105" s="455">
        <f t="shared" ca="1" si="5"/>
        <v>4307830.0578853386</v>
      </c>
      <c r="J105" s="455">
        <f t="array" ref="J105">IFERROR(INDEX('Retirement Calculator'!K:K,MATCH('Lorri 401b'!N105,'Retirement Calculator'!A:A,0),0),0)</f>
        <v>16520.094745597391</v>
      </c>
      <c r="K105" s="455">
        <f t="shared" ca="1" si="2"/>
        <v>17880.458179748919</v>
      </c>
      <c r="L105" s="455">
        <f t="shared" ca="1" si="3"/>
        <v>4309190.4213194894</v>
      </c>
      <c r="M105" s="471">
        <f t="shared" si="6"/>
        <v>0.05</v>
      </c>
      <c r="N105" s="475">
        <f t="shared" si="7"/>
        <v>54240</v>
      </c>
    </row>
    <row r="106" spans="1:14" ht="11.25" customHeight="1" x14ac:dyDescent="0.3">
      <c r="A106" s="470">
        <v>99</v>
      </c>
      <c r="B106" s="442"/>
      <c r="C106" s="442"/>
      <c r="D106" s="442"/>
      <c r="E106" s="442"/>
      <c r="F106" s="442"/>
      <c r="G106" s="470">
        <f t="shared" si="13"/>
        <v>9</v>
      </c>
      <c r="H106" s="470">
        <v>99</v>
      </c>
      <c r="I106" s="455">
        <f t="shared" ca="1" si="5"/>
        <v>4309190.4213194894</v>
      </c>
      <c r="J106" s="455">
        <f t="array" ref="J106">IFERROR(INDEX('Retirement Calculator'!K:K,MATCH('Lorri 401b'!N106,'Retirement Calculator'!A:A,0),0),0)</f>
        <v>16520.094745597391</v>
      </c>
      <c r="K106" s="455">
        <f t="shared" ca="1" si="2"/>
        <v>17886.126360724549</v>
      </c>
      <c r="L106" s="455">
        <f t="shared" ca="1" si="3"/>
        <v>4310556.4529346162</v>
      </c>
      <c r="M106" s="471">
        <f t="shared" si="6"/>
        <v>0.05</v>
      </c>
      <c r="N106" s="475">
        <f t="shared" si="7"/>
        <v>54271</v>
      </c>
    </row>
    <row r="107" spans="1:14" ht="11.25" customHeight="1" x14ac:dyDescent="0.3">
      <c r="A107" s="470">
        <v>100</v>
      </c>
      <c r="B107" s="442"/>
      <c r="C107" s="442"/>
      <c r="D107" s="442"/>
      <c r="E107" s="442"/>
      <c r="F107" s="442"/>
      <c r="G107" s="470">
        <f t="shared" si="13"/>
        <v>9</v>
      </c>
      <c r="H107" s="470">
        <v>100</v>
      </c>
      <c r="I107" s="455">
        <f t="shared" ca="1" si="5"/>
        <v>4310556.4529346162</v>
      </c>
      <c r="J107" s="455">
        <f t="array" ref="J107">IFERROR(INDEX('Retirement Calculator'!K:K,MATCH('Lorri 401b'!N107,'Retirement Calculator'!A:A,0),0),0)</f>
        <v>16520.094745597391</v>
      </c>
      <c r="K107" s="455">
        <f t="shared" ca="1" si="2"/>
        <v>17891.81815912091</v>
      </c>
      <c r="L107" s="455">
        <f t="shared" ca="1" si="3"/>
        <v>4311928.1763481395</v>
      </c>
      <c r="M107" s="471">
        <f t="shared" si="6"/>
        <v>0.05</v>
      </c>
      <c r="N107" s="475">
        <f t="shared" si="7"/>
        <v>54302</v>
      </c>
    </row>
    <row r="108" spans="1:14" ht="11.25" customHeight="1" x14ac:dyDescent="0.3">
      <c r="A108" s="470">
        <v>101</v>
      </c>
      <c r="B108" s="442"/>
      <c r="C108" s="442"/>
      <c r="D108" s="442"/>
      <c r="E108" s="442"/>
      <c r="F108" s="442"/>
      <c r="G108" s="470">
        <f t="shared" si="13"/>
        <v>9</v>
      </c>
      <c r="H108" s="470">
        <v>101</v>
      </c>
      <c r="I108" s="455">
        <f t="shared" ca="1" si="5"/>
        <v>4311928.1763481395</v>
      </c>
      <c r="J108" s="455">
        <f t="array" ref="J108">IFERROR(INDEX('Retirement Calculator'!K:K,MATCH('Lorri 401b'!N108,'Retirement Calculator'!A:A,0),0),0)</f>
        <v>16520.094745597391</v>
      </c>
      <c r="K108" s="455">
        <f t="shared" ca="1" si="2"/>
        <v>17897.533673343925</v>
      </c>
      <c r="L108" s="455">
        <f t="shared" ca="1" si="3"/>
        <v>4313305.6152758859</v>
      </c>
      <c r="M108" s="471">
        <f t="shared" si="6"/>
        <v>0.05</v>
      </c>
      <c r="N108" s="475">
        <f t="shared" si="7"/>
        <v>54332</v>
      </c>
    </row>
    <row r="109" spans="1:14" ht="11.25" customHeight="1" x14ac:dyDescent="0.3">
      <c r="A109" s="470">
        <v>102</v>
      </c>
      <c r="B109" s="442"/>
      <c r="C109" s="442"/>
      <c r="D109" s="442"/>
      <c r="E109" s="442"/>
      <c r="F109" s="442"/>
      <c r="G109" s="470">
        <f t="shared" si="13"/>
        <v>9</v>
      </c>
      <c r="H109" s="470">
        <v>102</v>
      </c>
      <c r="I109" s="455">
        <f t="shared" ca="1" si="5"/>
        <v>4313305.6152758859</v>
      </c>
      <c r="J109" s="455">
        <f t="array" ref="J109">IFERROR(INDEX('Retirement Calculator'!K:K,MATCH('Lorri 401b'!N109,'Retirement Calculator'!A:A,0),0),0)</f>
        <v>16520.094745597391</v>
      </c>
      <c r="K109" s="455">
        <f t="shared" ca="1" si="2"/>
        <v>17903.273002209535</v>
      </c>
      <c r="L109" s="455">
        <f t="shared" ca="1" si="3"/>
        <v>4314688.7935324972</v>
      </c>
      <c r="M109" s="471">
        <f t="shared" si="6"/>
        <v>0.05</v>
      </c>
      <c r="N109" s="475">
        <f t="shared" si="7"/>
        <v>54363</v>
      </c>
    </row>
    <row r="110" spans="1:14" ht="11.25" customHeight="1" x14ac:dyDescent="0.3">
      <c r="A110" s="470">
        <v>103</v>
      </c>
      <c r="B110" s="442"/>
      <c r="C110" s="442"/>
      <c r="D110" s="442"/>
      <c r="E110" s="442"/>
      <c r="F110" s="442"/>
      <c r="G110" s="470">
        <f t="shared" si="13"/>
        <v>9</v>
      </c>
      <c r="H110" s="470">
        <v>103</v>
      </c>
      <c r="I110" s="455">
        <f t="shared" ca="1" si="5"/>
        <v>4314688.7935324972</v>
      </c>
      <c r="J110" s="455">
        <f t="array" ref="J110">IFERROR(INDEX('Retirement Calculator'!K:K,MATCH('Lorri 401b'!N110,'Retirement Calculator'!A:A,0),0),0)</f>
        <v>16520.094745597391</v>
      </c>
      <c r="K110" s="455">
        <f t="shared" ca="1" si="2"/>
        <v>17909.036244945415</v>
      </c>
      <c r="L110" s="455">
        <f t="shared" ca="1" si="3"/>
        <v>4316077.735031845</v>
      </c>
      <c r="M110" s="471">
        <f t="shared" si="6"/>
        <v>0.05</v>
      </c>
      <c r="N110" s="475">
        <f t="shared" si="7"/>
        <v>54393</v>
      </c>
    </row>
    <row r="111" spans="1:14" ht="11.25" customHeight="1" x14ac:dyDescent="0.3">
      <c r="A111" s="470">
        <v>104</v>
      </c>
      <c r="B111" s="442"/>
      <c r="C111" s="442"/>
      <c r="D111" s="442"/>
      <c r="E111" s="442"/>
      <c r="F111" s="442"/>
      <c r="G111" s="470">
        <f t="shared" si="13"/>
        <v>9</v>
      </c>
      <c r="H111" s="470">
        <v>104</v>
      </c>
      <c r="I111" s="455">
        <f t="shared" ca="1" si="5"/>
        <v>4316077.735031845</v>
      </c>
      <c r="J111" s="455">
        <f t="array" ref="J111">IFERROR(INDEX('Retirement Calculator'!K:K,MATCH('Lorri 401b'!N111,'Retirement Calculator'!A:A,0),0),0)</f>
        <v>16520.094745597391</v>
      </c>
      <c r="K111" s="455">
        <f t="shared" ca="1" si="2"/>
        <v>17914.823501192695</v>
      </c>
      <c r="L111" s="455">
        <f t="shared" ca="1" si="3"/>
        <v>4317472.4637874402</v>
      </c>
      <c r="M111" s="471">
        <f t="shared" si="6"/>
        <v>0.05</v>
      </c>
      <c r="N111" s="475">
        <f t="shared" si="7"/>
        <v>54424</v>
      </c>
    </row>
    <row r="112" spans="1:14" ht="11.25" customHeight="1" x14ac:dyDescent="0.3">
      <c r="A112" s="470">
        <v>105</v>
      </c>
      <c r="B112" s="442"/>
      <c r="C112" s="442"/>
      <c r="D112" s="442"/>
      <c r="E112" s="442"/>
      <c r="F112" s="442"/>
      <c r="G112" s="470">
        <f t="shared" si="13"/>
        <v>9</v>
      </c>
      <c r="H112" s="470">
        <v>105</v>
      </c>
      <c r="I112" s="455">
        <f t="shared" ca="1" si="5"/>
        <v>4317472.4637874402</v>
      </c>
      <c r="J112" s="455">
        <f t="array" ref="J112">IFERROR(INDEX('Retirement Calculator'!K:K,MATCH('Lorri 401b'!N112,'Retirement Calculator'!A:A,0),0),0)</f>
        <v>16520.094745597391</v>
      </c>
      <c r="K112" s="455">
        <f t="shared" ca="1" si="2"/>
        <v>17920.634871007678</v>
      </c>
      <c r="L112" s="455">
        <f t="shared" ca="1" si="3"/>
        <v>4318873.0039128503</v>
      </c>
      <c r="M112" s="471">
        <f t="shared" si="6"/>
        <v>0.05</v>
      </c>
      <c r="N112" s="475">
        <f t="shared" si="7"/>
        <v>54455</v>
      </c>
    </row>
    <row r="113" spans="1:14" ht="11.25" customHeight="1" x14ac:dyDescent="0.3">
      <c r="A113" s="470">
        <v>106</v>
      </c>
      <c r="B113" s="442"/>
      <c r="C113" s="442"/>
      <c r="D113" s="442"/>
      <c r="E113" s="442"/>
      <c r="F113" s="442"/>
      <c r="G113" s="470">
        <f t="shared" si="13"/>
        <v>9</v>
      </c>
      <c r="H113" s="470">
        <v>106</v>
      </c>
      <c r="I113" s="455">
        <f t="shared" ca="1" si="5"/>
        <v>4318873.0039128503</v>
      </c>
      <c r="J113" s="455">
        <f t="array" ref="J113">IFERROR(INDEX('Retirement Calculator'!K:K,MATCH('Lorri 401b'!N113,'Retirement Calculator'!A:A,0),0),0)</f>
        <v>16520.094745597391</v>
      </c>
      <c r="K113" s="455">
        <f t="shared" ca="1" si="2"/>
        <v>17926.470454863553</v>
      </c>
      <c r="L113" s="455">
        <f t="shared" ca="1" si="3"/>
        <v>4320279.3796221158</v>
      </c>
      <c r="M113" s="471">
        <f t="shared" si="6"/>
        <v>0.05</v>
      </c>
      <c r="N113" s="475">
        <f t="shared" si="7"/>
        <v>54483</v>
      </c>
    </row>
    <row r="114" spans="1:14" ht="11.25" customHeight="1" x14ac:dyDescent="0.3">
      <c r="A114" s="470">
        <v>107</v>
      </c>
      <c r="B114" s="442"/>
      <c r="C114" s="442"/>
      <c r="D114" s="442"/>
      <c r="E114" s="442"/>
      <c r="F114" s="442"/>
      <c r="G114" s="470">
        <f t="shared" si="13"/>
        <v>9</v>
      </c>
      <c r="H114" s="470">
        <v>107</v>
      </c>
      <c r="I114" s="455">
        <f t="shared" ca="1" si="5"/>
        <v>4320279.3796221158</v>
      </c>
      <c r="J114" s="455">
        <f t="array" ref="J114">IFERROR(INDEX('Retirement Calculator'!K:K,MATCH('Lorri 401b'!N114,'Retirement Calculator'!A:A,0),0),0)</f>
        <v>16520.094745597391</v>
      </c>
      <c r="K114" s="455">
        <f t="shared" ca="1" si="2"/>
        <v>17932.330353652156</v>
      </c>
      <c r="L114" s="455">
        <f t="shared" ca="1" si="3"/>
        <v>4321691.6152301701</v>
      </c>
      <c r="M114" s="471">
        <f t="shared" si="6"/>
        <v>0.05</v>
      </c>
      <c r="N114" s="475">
        <f t="shared" si="7"/>
        <v>54514</v>
      </c>
    </row>
    <row r="115" spans="1:14" ht="11.25" customHeight="1" x14ac:dyDescent="0.3">
      <c r="A115" s="470">
        <v>108</v>
      </c>
      <c r="B115" s="442"/>
      <c r="C115" s="442"/>
      <c r="D115" s="442"/>
      <c r="E115" s="442"/>
      <c r="F115" s="442"/>
      <c r="G115" s="470">
        <f t="shared" si="13"/>
        <v>9</v>
      </c>
      <c r="H115" s="470">
        <v>108</v>
      </c>
      <c r="I115" s="455">
        <f t="shared" ca="1" si="5"/>
        <v>4321691.6152301701</v>
      </c>
      <c r="J115" s="455">
        <f t="array" ref="J115">IFERROR(INDEX('Retirement Calculator'!K:K,MATCH('Lorri 401b'!N115,'Retirement Calculator'!A:A,0),0),0)</f>
        <v>16520.094745597391</v>
      </c>
      <c r="K115" s="455">
        <f t="shared" ca="1" si="2"/>
        <v>17938.214668685716</v>
      </c>
      <c r="L115" s="455">
        <f t="shared" ca="1" si="3"/>
        <v>4323109.7351532578</v>
      </c>
      <c r="M115" s="471">
        <f t="shared" si="6"/>
        <v>0.05</v>
      </c>
      <c r="N115" s="475">
        <f t="shared" si="7"/>
        <v>54544</v>
      </c>
    </row>
    <row r="116" spans="1:14" ht="11.25" customHeight="1" x14ac:dyDescent="0.3">
      <c r="A116" s="470">
        <v>109</v>
      </c>
      <c r="B116" s="442"/>
      <c r="C116" s="442"/>
      <c r="D116" s="442"/>
      <c r="E116" s="442"/>
      <c r="F116" s="442"/>
      <c r="G116" s="470">
        <f>G115+1</f>
        <v>10</v>
      </c>
      <c r="H116" s="470">
        <v>109</v>
      </c>
      <c r="I116" s="455">
        <f t="shared" ca="1" si="5"/>
        <v>4323109.7351532578</v>
      </c>
      <c r="J116" s="455">
        <f t="array" ref="J116">IFERROR(INDEX('Retirement Calculator'!K:K,MATCH('Lorri 401b'!N116,'Retirement Calculator'!A:A,0),0),0)</f>
        <v>16520.094745597391</v>
      </c>
      <c r="K116" s="455">
        <f t="shared" ca="1" si="2"/>
        <v>17944.123501698585</v>
      </c>
      <c r="L116" s="455">
        <f t="shared" ca="1" si="3"/>
        <v>4324533.7639093585</v>
      </c>
      <c r="M116" s="471">
        <f t="shared" si="6"/>
        <v>0.05</v>
      </c>
      <c r="N116" s="475">
        <f t="shared" si="7"/>
        <v>54575</v>
      </c>
    </row>
    <row r="117" spans="1:14" ht="11.25" customHeight="1" x14ac:dyDescent="0.3">
      <c r="A117" s="470">
        <v>110</v>
      </c>
      <c r="B117" s="442"/>
      <c r="C117" s="442"/>
      <c r="D117" s="442"/>
      <c r="E117" s="442"/>
      <c r="F117" s="442"/>
      <c r="G117" s="470">
        <f t="shared" ref="G117:G127" si="14">G116</f>
        <v>10</v>
      </c>
      <c r="H117" s="470">
        <v>110</v>
      </c>
      <c r="I117" s="455">
        <f t="shared" ca="1" si="5"/>
        <v>4324533.7639093585</v>
      </c>
      <c r="J117" s="455">
        <f t="array" ref="J117">IFERROR(INDEX('Retirement Calculator'!K:K,MATCH('Lorri 401b'!N117,'Retirement Calculator'!A:A,0),0),0)</f>
        <v>16520.094745597391</v>
      </c>
      <c r="K117" s="455">
        <f t="shared" ca="1" si="2"/>
        <v>17950.056954849002</v>
      </c>
      <c r="L117" s="455">
        <f t="shared" ca="1" si="3"/>
        <v>4325963.7261186093</v>
      </c>
      <c r="M117" s="471">
        <f t="shared" si="6"/>
        <v>0.05</v>
      </c>
      <c r="N117" s="475">
        <f t="shared" si="7"/>
        <v>54605</v>
      </c>
    </row>
    <row r="118" spans="1:14" ht="11.25" customHeight="1" x14ac:dyDescent="0.3">
      <c r="A118" s="470">
        <v>111</v>
      </c>
      <c r="B118" s="442"/>
      <c r="C118" s="442"/>
      <c r="D118" s="442"/>
      <c r="E118" s="442"/>
      <c r="F118" s="442"/>
      <c r="G118" s="470">
        <f t="shared" si="14"/>
        <v>10</v>
      </c>
      <c r="H118" s="470">
        <v>111</v>
      </c>
      <c r="I118" s="455">
        <f t="shared" ca="1" si="5"/>
        <v>4325963.7261186093</v>
      </c>
      <c r="J118" s="455">
        <f t="array" ref="J118">IFERROR(INDEX('Retirement Calculator'!K:K,MATCH('Lorri 401b'!N118,'Retirement Calculator'!A:A,0),0),0)</f>
        <v>16520.094745597391</v>
      </c>
      <c r="K118" s="455">
        <f t="shared" ca="1" si="2"/>
        <v>17956.01513072088</v>
      </c>
      <c r="L118" s="455">
        <f t="shared" ca="1" si="3"/>
        <v>4327399.6465037325</v>
      </c>
      <c r="M118" s="471">
        <f t="shared" si="6"/>
        <v>0.05</v>
      </c>
      <c r="N118" s="475">
        <f t="shared" si="7"/>
        <v>54636</v>
      </c>
    </row>
    <row r="119" spans="1:14" ht="11.25" customHeight="1" x14ac:dyDescent="0.3">
      <c r="A119" s="470">
        <v>112</v>
      </c>
      <c r="B119" s="442"/>
      <c r="C119" s="442"/>
      <c r="D119" s="442"/>
      <c r="E119" s="442"/>
      <c r="F119" s="442"/>
      <c r="G119" s="470">
        <f t="shared" si="14"/>
        <v>10</v>
      </c>
      <c r="H119" s="470">
        <v>112</v>
      </c>
      <c r="I119" s="455">
        <f t="shared" ca="1" si="5"/>
        <v>4327399.6465037325</v>
      </c>
      <c r="J119" s="455">
        <f t="array" ref="J119">IFERROR(INDEX('Retirement Calculator'!K:K,MATCH('Lorri 401b'!N119,'Retirement Calculator'!A:A,0),0),0)</f>
        <v>16520.094745597391</v>
      </c>
      <c r="K119" s="455">
        <f t="shared" ca="1" si="2"/>
        <v>17961.99813232556</v>
      </c>
      <c r="L119" s="455">
        <f t="shared" ca="1" si="3"/>
        <v>4328841.5498904604</v>
      </c>
      <c r="M119" s="471">
        <f t="shared" si="6"/>
        <v>0.05</v>
      </c>
      <c r="N119" s="475">
        <f t="shared" si="7"/>
        <v>54667</v>
      </c>
    </row>
    <row r="120" spans="1:14" ht="11.25" customHeight="1" x14ac:dyDescent="0.3">
      <c r="A120" s="470">
        <v>113</v>
      </c>
      <c r="B120" s="442"/>
      <c r="C120" s="442"/>
      <c r="D120" s="442"/>
      <c r="E120" s="442"/>
      <c r="F120" s="442"/>
      <c r="G120" s="470">
        <f t="shared" si="14"/>
        <v>10</v>
      </c>
      <c r="H120" s="470">
        <v>113</v>
      </c>
      <c r="I120" s="455">
        <f t="shared" ca="1" si="5"/>
        <v>4328841.5498904604</v>
      </c>
      <c r="J120" s="455">
        <f t="array" ref="J120">IFERROR(INDEX('Retirement Calculator'!K:K,MATCH('Lorri 401b'!N120,'Retirement Calculator'!A:A,0),0),0)</f>
        <v>16520.094745597391</v>
      </c>
      <c r="K120" s="455">
        <f t="shared" ca="1" si="2"/>
        <v>17968.006063103596</v>
      </c>
      <c r="L120" s="455">
        <f t="shared" ca="1" si="3"/>
        <v>4330289.4612079663</v>
      </c>
      <c r="M120" s="471">
        <f t="shared" si="6"/>
        <v>0.05</v>
      </c>
      <c r="N120" s="475">
        <f t="shared" si="7"/>
        <v>54697</v>
      </c>
    </row>
    <row r="121" spans="1:14" ht="11.25" customHeight="1" x14ac:dyDescent="0.3">
      <c r="A121" s="470">
        <v>114</v>
      </c>
      <c r="B121" s="442"/>
      <c r="C121" s="442"/>
      <c r="D121" s="442"/>
      <c r="E121" s="442"/>
      <c r="F121" s="442"/>
      <c r="G121" s="470">
        <f t="shared" si="14"/>
        <v>10</v>
      </c>
      <c r="H121" s="470">
        <v>114</v>
      </c>
      <c r="I121" s="455">
        <f t="shared" ca="1" si="5"/>
        <v>4330289.4612079663</v>
      </c>
      <c r="J121" s="455">
        <f t="array" ref="J121">IFERROR(INDEX('Retirement Calculator'!K:K,MATCH('Lorri 401b'!N121,'Retirement Calculator'!A:A,0),0),0)</f>
        <v>16520.094745597391</v>
      </c>
      <c r="K121" s="455">
        <f t="shared" ca="1" si="2"/>
        <v>17974.039026926534</v>
      </c>
      <c r="L121" s="455">
        <f t="shared" ca="1" si="3"/>
        <v>4331743.4054892948</v>
      </c>
      <c r="M121" s="471">
        <f t="shared" si="6"/>
        <v>0.05</v>
      </c>
      <c r="N121" s="475">
        <f t="shared" si="7"/>
        <v>54728</v>
      </c>
    </row>
    <row r="122" spans="1:14" ht="11.25" customHeight="1" x14ac:dyDescent="0.3">
      <c r="A122" s="470">
        <v>115</v>
      </c>
      <c r="B122" s="442"/>
      <c r="C122" s="442"/>
      <c r="D122" s="442"/>
      <c r="E122" s="442"/>
      <c r="F122" s="442"/>
      <c r="G122" s="470">
        <f t="shared" si="14"/>
        <v>10</v>
      </c>
      <c r="H122" s="470">
        <v>115</v>
      </c>
      <c r="I122" s="455">
        <f t="shared" ca="1" si="5"/>
        <v>4331743.4054892948</v>
      </c>
      <c r="J122" s="455">
        <f t="array" ref="J122">IFERROR(INDEX('Retirement Calculator'!K:K,MATCH('Lorri 401b'!N122,'Retirement Calculator'!A:A,0),0),0)</f>
        <v>16520.094745597391</v>
      </c>
      <c r="K122" s="455">
        <f t="shared" ca="1" si="2"/>
        <v>17980.097128098736</v>
      </c>
      <c r="L122" s="455">
        <f t="shared" ca="1" si="3"/>
        <v>4333203.4078717958</v>
      </c>
      <c r="M122" s="471">
        <f t="shared" si="6"/>
        <v>0.05</v>
      </c>
      <c r="N122" s="475">
        <f t="shared" si="7"/>
        <v>54758</v>
      </c>
    </row>
    <row r="123" spans="1:14" ht="11.25" customHeight="1" x14ac:dyDescent="0.3">
      <c r="A123" s="470">
        <v>116</v>
      </c>
      <c r="B123" s="442"/>
      <c r="C123" s="442"/>
      <c r="D123" s="442"/>
      <c r="E123" s="442"/>
      <c r="F123" s="442"/>
      <c r="G123" s="470">
        <f t="shared" si="14"/>
        <v>10</v>
      </c>
      <c r="H123" s="470">
        <v>116</v>
      </c>
      <c r="I123" s="455">
        <f t="shared" ca="1" si="5"/>
        <v>4333203.4078717958</v>
      </c>
      <c r="J123" s="455">
        <f t="array" ref="J123">IFERROR(INDEX('Retirement Calculator'!K:K,MATCH('Lorri 401b'!N123,'Retirement Calculator'!A:A,0),0),0)</f>
        <v>16520.094745597391</v>
      </c>
      <c r="K123" s="455">
        <f t="shared" ca="1" si="2"/>
        <v>17986.180471359159</v>
      </c>
      <c r="L123" s="455">
        <f t="shared" ca="1" si="3"/>
        <v>4334669.4935975568</v>
      </c>
      <c r="M123" s="471">
        <f t="shared" si="6"/>
        <v>0.05</v>
      </c>
      <c r="N123" s="475">
        <f t="shared" si="7"/>
        <v>54789</v>
      </c>
    </row>
    <row r="124" spans="1:14" ht="11.25" customHeight="1" x14ac:dyDescent="0.3">
      <c r="A124" s="470">
        <v>117</v>
      </c>
      <c r="B124" s="442"/>
      <c r="C124" s="442"/>
      <c r="D124" s="442"/>
      <c r="E124" s="442"/>
      <c r="F124" s="442"/>
      <c r="G124" s="470">
        <f t="shared" si="14"/>
        <v>10</v>
      </c>
      <c r="H124" s="470">
        <v>117</v>
      </c>
      <c r="I124" s="455">
        <f t="shared" ca="1" si="5"/>
        <v>4334669.4935975568</v>
      </c>
      <c r="J124" s="455">
        <f t="array" ref="J124">IFERROR(INDEX('Retirement Calculator'!K:K,MATCH('Lorri 401b'!N124,'Retirement Calculator'!A:A,0),0),0)</f>
        <v>16520.094745597391</v>
      </c>
      <c r="K124" s="455">
        <f t="shared" ca="1" si="2"/>
        <v>17992.289161883164</v>
      </c>
      <c r="L124" s="455">
        <f t="shared" ca="1" si="3"/>
        <v>4336141.6880138423</v>
      </c>
      <c r="M124" s="471">
        <f t="shared" si="6"/>
        <v>0.05</v>
      </c>
      <c r="N124" s="475">
        <f t="shared" si="7"/>
        <v>54820</v>
      </c>
    </row>
    <row r="125" spans="1:14" ht="11.25" customHeight="1" x14ac:dyDescent="0.3">
      <c r="A125" s="470">
        <v>118</v>
      </c>
      <c r="B125" s="442"/>
      <c r="C125" s="442"/>
      <c r="D125" s="442"/>
      <c r="E125" s="442"/>
      <c r="F125" s="442"/>
      <c r="G125" s="470">
        <f t="shared" si="14"/>
        <v>10</v>
      </c>
      <c r="H125" s="470">
        <v>118</v>
      </c>
      <c r="I125" s="455">
        <f t="shared" ca="1" si="5"/>
        <v>4336141.6880138423</v>
      </c>
      <c r="J125" s="455">
        <f t="array" ref="J125">IFERROR(INDEX('Retirement Calculator'!K:K,MATCH('Lorri 401b'!N125,'Retirement Calculator'!A:A,0),0),0)</f>
        <v>16520.094745597391</v>
      </c>
      <c r="K125" s="455">
        <f t="shared" ca="1" si="2"/>
        <v>17998.423305284352</v>
      </c>
      <c r="L125" s="455">
        <f t="shared" ca="1" si="3"/>
        <v>4337620.0165735288</v>
      </c>
      <c r="M125" s="471">
        <f t="shared" si="6"/>
        <v>0.05</v>
      </c>
      <c r="N125" s="475">
        <f t="shared" si="7"/>
        <v>54848</v>
      </c>
    </row>
    <row r="126" spans="1:14" ht="11.25" customHeight="1" x14ac:dyDescent="0.3">
      <c r="A126" s="470">
        <v>119</v>
      </c>
      <c r="B126" s="442"/>
      <c r="C126" s="442"/>
      <c r="D126" s="442"/>
      <c r="E126" s="442"/>
      <c r="F126" s="442"/>
      <c r="G126" s="470">
        <f t="shared" si="14"/>
        <v>10</v>
      </c>
      <c r="H126" s="470">
        <v>119</v>
      </c>
      <c r="I126" s="455">
        <f t="shared" ca="1" si="5"/>
        <v>4337620.0165735288</v>
      </c>
      <c r="J126" s="455">
        <f t="array" ref="J126">IFERROR(INDEX('Retirement Calculator'!K:K,MATCH('Lorri 401b'!N126,'Retirement Calculator'!A:A,0),0),0)</f>
        <v>16520.094745597391</v>
      </c>
      <c r="K126" s="455">
        <f t="shared" ca="1" si="2"/>
        <v>18004.58300761638</v>
      </c>
      <c r="L126" s="455">
        <f t="shared" ca="1" si="3"/>
        <v>4339104.5048355469</v>
      </c>
      <c r="M126" s="471">
        <f t="shared" si="6"/>
        <v>0.05</v>
      </c>
      <c r="N126" s="475">
        <f t="shared" si="7"/>
        <v>54879</v>
      </c>
    </row>
    <row r="127" spans="1:14" ht="11.25" customHeight="1" x14ac:dyDescent="0.3">
      <c r="A127" s="470">
        <v>120</v>
      </c>
      <c r="B127" s="442"/>
      <c r="C127" s="442"/>
      <c r="D127" s="442"/>
      <c r="E127" s="442"/>
      <c r="F127" s="442"/>
      <c r="G127" s="470">
        <f t="shared" si="14"/>
        <v>10</v>
      </c>
      <c r="H127" s="470">
        <v>120</v>
      </c>
      <c r="I127" s="455">
        <f t="shared" ca="1" si="5"/>
        <v>4339104.5048355469</v>
      </c>
      <c r="J127" s="455">
        <f t="array" ref="J127">IFERROR(INDEX('Retirement Calculator'!K:K,MATCH('Lorri 401b'!N127,'Retirement Calculator'!A:A,0),0),0)</f>
        <v>16520.094745597391</v>
      </c>
      <c r="K127" s="455">
        <f t="shared" ca="1" si="2"/>
        <v>18010.768375374788</v>
      </c>
      <c r="L127" s="455">
        <f t="shared" ca="1" si="3"/>
        <v>4340595.1784653235</v>
      </c>
      <c r="M127" s="471">
        <f t="shared" si="6"/>
        <v>0.05</v>
      </c>
      <c r="N127" s="475">
        <f t="shared" si="7"/>
        <v>54909</v>
      </c>
    </row>
    <row r="128" spans="1:14" ht="11.25" customHeight="1" x14ac:dyDescent="0.3">
      <c r="A128" s="470">
        <v>121</v>
      </c>
      <c r="B128" s="442"/>
      <c r="C128" s="442"/>
      <c r="D128" s="442"/>
      <c r="E128" s="442"/>
      <c r="F128" s="442"/>
      <c r="G128" s="470">
        <f>G127+1</f>
        <v>11</v>
      </c>
      <c r="H128" s="470">
        <v>121</v>
      </c>
      <c r="I128" s="455">
        <f t="shared" ca="1" si="5"/>
        <v>4340595.1784653235</v>
      </c>
      <c r="J128" s="455">
        <f t="array" ref="J128">IFERROR(INDEX('Retirement Calculator'!K:K,MATCH('Lorri 401b'!N128,'Retirement Calculator'!A:A,0),0),0)</f>
        <v>16520.094745597391</v>
      </c>
      <c r="K128" s="455">
        <f t="shared" ca="1" si="2"/>
        <v>18016.979515498857</v>
      </c>
      <c r="L128" s="455">
        <f t="shared" ca="1" si="3"/>
        <v>4342092.0632352242</v>
      </c>
      <c r="M128" s="471">
        <f t="shared" si="6"/>
        <v>0.05</v>
      </c>
      <c r="N128" s="475">
        <f t="shared" si="7"/>
        <v>54940</v>
      </c>
    </row>
    <row r="129" spans="1:14" ht="11.25" customHeight="1" x14ac:dyDescent="0.3">
      <c r="A129" s="470">
        <v>122</v>
      </c>
      <c r="B129" s="442"/>
      <c r="C129" s="442"/>
      <c r="D129" s="442"/>
      <c r="E129" s="442"/>
      <c r="F129" s="442"/>
      <c r="G129" s="470">
        <f t="shared" ref="G129:G139" si="15">G128</f>
        <v>11</v>
      </c>
      <c r="H129" s="470">
        <v>122</v>
      </c>
      <c r="I129" s="455">
        <f t="shared" ca="1" si="5"/>
        <v>4342092.0632352242</v>
      </c>
      <c r="J129" s="455">
        <f t="array" ref="J129">IFERROR(INDEX('Retirement Calculator'!K:K,MATCH('Lorri 401b'!N129,'Retirement Calculator'!A:A,0),0),0)</f>
        <v>16520.094745597391</v>
      </c>
      <c r="K129" s="455">
        <f t="shared" ca="1" si="2"/>
        <v>18023.216535373442</v>
      </c>
      <c r="L129" s="455">
        <f t="shared" ca="1" si="3"/>
        <v>4343595.185025</v>
      </c>
      <c r="M129" s="471">
        <f t="shared" si="6"/>
        <v>0.05</v>
      </c>
      <c r="N129" s="475">
        <f t="shared" si="7"/>
        <v>54970</v>
      </c>
    </row>
    <row r="130" spans="1:14" ht="11.25" customHeight="1" x14ac:dyDescent="0.3">
      <c r="A130" s="470">
        <v>123</v>
      </c>
      <c r="B130" s="442"/>
      <c r="C130" s="442"/>
      <c r="D130" s="442"/>
      <c r="E130" s="442"/>
      <c r="F130" s="442"/>
      <c r="G130" s="470">
        <f t="shared" si="15"/>
        <v>11</v>
      </c>
      <c r="H130" s="470">
        <v>123</v>
      </c>
      <c r="I130" s="455">
        <f t="shared" ca="1" si="5"/>
        <v>4343595.185025</v>
      </c>
      <c r="J130" s="455">
        <f t="array" ref="J130">IFERROR(INDEX('Retirement Calculator'!K:K,MATCH('Lorri 401b'!N130,'Retirement Calculator'!A:A,0),0),0)</f>
        <v>16520.094745597391</v>
      </c>
      <c r="K130" s="455">
        <f t="shared" ca="1" si="2"/>
        <v>18029.479542830843</v>
      </c>
      <c r="L130" s="455">
        <f t="shared" ca="1" si="3"/>
        <v>4345104.5698222332</v>
      </c>
      <c r="M130" s="471">
        <f t="shared" si="6"/>
        <v>0.05</v>
      </c>
      <c r="N130" s="475">
        <f t="shared" si="7"/>
        <v>55001</v>
      </c>
    </row>
    <row r="131" spans="1:14" ht="11.25" customHeight="1" x14ac:dyDescent="0.3">
      <c r="A131" s="470">
        <v>124</v>
      </c>
      <c r="B131" s="442"/>
      <c r="C131" s="442"/>
      <c r="D131" s="442"/>
      <c r="E131" s="442"/>
      <c r="F131" s="442"/>
      <c r="G131" s="470">
        <f t="shared" si="15"/>
        <v>11</v>
      </c>
      <c r="H131" s="470">
        <v>124</v>
      </c>
      <c r="I131" s="455">
        <f t="shared" ca="1" si="5"/>
        <v>4345104.5698222332</v>
      </c>
      <c r="J131" s="455">
        <f t="array" ref="J131">IFERROR(INDEX('Retirement Calculator'!K:K,MATCH('Lorri 401b'!N131,'Retirement Calculator'!A:A,0),0),0)</f>
        <v>16520.094745597391</v>
      </c>
      <c r="K131" s="455">
        <f t="shared" ca="1" si="2"/>
        <v>18035.768646152646</v>
      </c>
      <c r="L131" s="455">
        <f t="shared" ca="1" si="3"/>
        <v>4346620.2437227881</v>
      </c>
      <c r="M131" s="471">
        <f t="shared" si="6"/>
        <v>0.05</v>
      </c>
      <c r="N131" s="475">
        <f t="shared" si="7"/>
        <v>55032</v>
      </c>
    </row>
    <row r="132" spans="1:14" ht="11.25" customHeight="1" x14ac:dyDescent="0.3">
      <c r="A132" s="470">
        <v>125</v>
      </c>
      <c r="B132" s="442"/>
      <c r="C132" s="442"/>
      <c r="D132" s="442"/>
      <c r="E132" s="442"/>
      <c r="F132" s="442"/>
      <c r="G132" s="470">
        <f t="shared" si="15"/>
        <v>11</v>
      </c>
      <c r="H132" s="470">
        <v>125</v>
      </c>
      <c r="I132" s="455">
        <f t="shared" ca="1" si="5"/>
        <v>4346620.2437227881</v>
      </c>
      <c r="J132" s="455">
        <f t="array" ref="J132">IFERROR(INDEX('Retirement Calculator'!K:K,MATCH('Lorri 401b'!N132,'Retirement Calculator'!A:A,0),0),0)</f>
        <v>16520.094745597391</v>
      </c>
      <c r="K132" s="455">
        <f t="shared" ca="1" si="2"/>
        <v>18042.083954071626</v>
      </c>
      <c r="L132" s="455">
        <f t="shared" ca="1" si="3"/>
        <v>4348142.2329312619</v>
      </c>
      <c r="M132" s="471">
        <f t="shared" si="6"/>
        <v>0.05</v>
      </c>
      <c r="N132" s="475">
        <f t="shared" si="7"/>
        <v>55062</v>
      </c>
    </row>
    <row r="133" spans="1:14" ht="11.25" customHeight="1" x14ac:dyDescent="0.3">
      <c r="A133" s="470">
        <v>126</v>
      </c>
      <c r="B133" s="442"/>
      <c r="C133" s="442"/>
      <c r="D133" s="442"/>
      <c r="E133" s="442"/>
      <c r="F133" s="442"/>
      <c r="G133" s="470">
        <f t="shared" si="15"/>
        <v>11</v>
      </c>
      <c r="H133" s="470">
        <v>126</v>
      </c>
      <c r="I133" s="455">
        <f t="shared" ca="1" si="5"/>
        <v>4348142.2329312619</v>
      </c>
      <c r="J133" s="455">
        <f t="array" ref="J133">IFERROR(INDEX('Retirement Calculator'!K:K,MATCH('Lorri 401b'!N133,'Retirement Calculator'!A:A,0),0),0)</f>
        <v>16520.094745597391</v>
      </c>
      <c r="K133" s="455">
        <f t="shared" ca="1" si="2"/>
        <v>18048.425575773599</v>
      </c>
      <c r="L133" s="455">
        <f t="shared" ca="1" si="3"/>
        <v>4349670.5637614373</v>
      </c>
      <c r="M133" s="471">
        <f t="shared" si="6"/>
        <v>0.05</v>
      </c>
      <c r="N133" s="475">
        <f t="shared" si="7"/>
        <v>55093</v>
      </c>
    </row>
    <row r="134" spans="1:14" ht="11.25" customHeight="1" x14ac:dyDescent="0.3">
      <c r="A134" s="470">
        <v>127</v>
      </c>
      <c r="B134" s="442"/>
      <c r="C134" s="442"/>
      <c r="D134" s="442"/>
      <c r="E134" s="442"/>
      <c r="F134" s="442"/>
      <c r="G134" s="470">
        <f t="shared" si="15"/>
        <v>11</v>
      </c>
      <c r="H134" s="470">
        <v>127</v>
      </c>
      <c r="I134" s="455">
        <f t="shared" ca="1" si="5"/>
        <v>4349670.5637614373</v>
      </c>
      <c r="J134" s="455">
        <f t="array" ref="J134">IFERROR(INDEX('Retirement Calculator'!K:K,MATCH('Lorri 401b'!N134,'Retirement Calculator'!A:A,0),0),0)</f>
        <v>16520.094745597391</v>
      </c>
      <c r="K134" s="455">
        <f t="shared" ca="1" si="2"/>
        <v>18054.793620899331</v>
      </c>
      <c r="L134" s="455">
        <f t="shared" ca="1" si="3"/>
        <v>4351205.2626367388</v>
      </c>
      <c r="M134" s="471">
        <f t="shared" si="6"/>
        <v>0.05</v>
      </c>
      <c r="N134" s="475">
        <f t="shared" si="7"/>
        <v>55123</v>
      </c>
    </row>
    <row r="135" spans="1:14" ht="11.25" customHeight="1" x14ac:dyDescent="0.3">
      <c r="A135" s="470">
        <v>128</v>
      </c>
      <c r="B135" s="442"/>
      <c r="C135" s="442"/>
      <c r="D135" s="442"/>
      <c r="E135" s="442"/>
      <c r="F135" s="442"/>
      <c r="G135" s="470">
        <f t="shared" si="15"/>
        <v>11</v>
      </c>
      <c r="H135" s="470">
        <v>128</v>
      </c>
      <c r="I135" s="455">
        <f t="shared" ca="1" si="5"/>
        <v>4351205.2626367388</v>
      </c>
      <c r="J135" s="455">
        <f t="array" ref="J135">IFERROR(INDEX('Retirement Calculator'!K:K,MATCH('Lorri 401b'!N135,'Retirement Calculator'!A:A,0),0),0)</f>
        <v>16520.094745597391</v>
      </c>
      <c r="K135" s="455">
        <f t="shared" ca="1" si="2"/>
        <v>18061.188199546421</v>
      </c>
      <c r="L135" s="455">
        <f t="shared" ca="1" si="3"/>
        <v>4352746.3560906872</v>
      </c>
      <c r="M135" s="471">
        <f t="shared" si="6"/>
        <v>0.05</v>
      </c>
      <c r="N135" s="475">
        <f t="shared" si="7"/>
        <v>55154</v>
      </c>
    </row>
    <row r="136" spans="1:14" ht="11.25" customHeight="1" x14ac:dyDescent="0.3">
      <c r="A136" s="470">
        <v>129</v>
      </c>
      <c r="B136" s="442"/>
      <c r="C136" s="442"/>
      <c r="D136" s="442"/>
      <c r="E136" s="442"/>
      <c r="F136" s="442"/>
      <c r="G136" s="470">
        <f t="shared" si="15"/>
        <v>11</v>
      </c>
      <c r="H136" s="470">
        <v>129</v>
      </c>
      <c r="I136" s="455">
        <f t="shared" ca="1" si="5"/>
        <v>4352746.3560906872</v>
      </c>
      <c r="J136" s="455">
        <f t="array" ref="J136">IFERROR(INDEX('Retirement Calculator'!K:K,MATCH('Lorri 401b'!N136,'Retirement Calculator'!A:A,0),0),0)</f>
        <v>16520.094745597391</v>
      </c>
      <c r="K136" s="455">
        <f t="shared" ca="1" si="2"/>
        <v>18067.609422271205</v>
      </c>
      <c r="L136" s="455">
        <f t="shared" ca="1" si="3"/>
        <v>4354293.8707673606</v>
      </c>
      <c r="M136" s="471">
        <f t="shared" si="6"/>
        <v>0.05</v>
      </c>
      <c r="N136" s="475">
        <f t="shared" si="7"/>
        <v>55185</v>
      </c>
    </row>
    <row r="137" spans="1:14" ht="11.25" customHeight="1" x14ac:dyDescent="0.3">
      <c r="A137" s="470"/>
      <c r="B137" s="442"/>
      <c r="C137" s="442"/>
      <c r="D137" s="442"/>
      <c r="E137" s="442"/>
      <c r="F137" s="442"/>
      <c r="G137" s="470">
        <f t="shared" si="15"/>
        <v>11</v>
      </c>
      <c r="H137" s="470">
        <v>130</v>
      </c>
      <c r="I137" s="455">
        <f t="shared" ca="1" si="5"/>
        <v>4354293.8707673606</v>
      </c>
      <c r="J137" s="455">
        <f t="array" ref="J137">IFERROR(INDEX('Retirement Calculator'!K:K,MATCH('Lorri 401b'!N137,'Retirement Calculator'!A:A,0),0),0)</f>
        <v>16520.094745597391</v>
      </c>
      <c r="K137" s="455">
        <f t="shared" ca="1" si="2"/>
        <v>18074.057400090678</v>
      </c>
      <c r="L137" s="455">
        <f t="shared" ca="1" si="3"/>
        <v>4355847.8334218534</v>
      </c>
      <c r="M137" s="471">
        <f t="shared" si="6"/>
        <v>0.05</v>
      </c>
      <c r="N137" s="475">
        <f t="shared" si="7"/>
        <v>55213</v>
      </c>
    </row>
    <row r="138" spans="1:14" ht="11.25" customHeight="1" x14ac:dyDescent="0.3">
      <c r="A138" s="470"/>
      <c r="B138" s="442"/>
      <c r="C138" s="442"/>
      <c r="D138" s="442"/>
      <c r="E138" s="442"/>
      <c r="F138" s="442"/>
      <c r="G138" s="470">
        <f t="shared" si="15"/>
        <v>11</v>
      </c>
      <c r="H138" s="470">
        <v>131</v>
      </c>
      <c r="I138" s="455">
        <f t="shared" ca="1" si="5"/>
        <v>4355847.8334218534</v>
      </c>
      <c r="J138" s="455">
        <f t="array" ref="J138">IFERROR(INDEX('Retirement Calculator'!K:K,MATCH('Lorri 401b'!N138,'Retirement Calculator'!A:A,0),0),0)</f>
        <v>16520.094745597391</v>
      </c>
      <c r="K138" s="455">
        <f t="shared" ca="1" si="2"/>
        <v>18080.532244484399</v>
      </c>
      <c r="L138" s="455">
        <f t="shared" ca="1" si="3"/>
        <v>4357408.2709207395</v>
      </c>
      <c r="M138" s="471">
        <f t="shared" si="6"/>
        <v>0.05</v>
      </c>
      <c r="N138" s="475">
        <f t="shared" si="7"/>
        <v>55244</v>
      </c>
    </row>
    <row r="139" spans="1:14" ht="11.25" customHeight="1" x14ac:dyDescent="0.3">
      <c r="A139" s="470"/>
      <c r="B139" s="442"/>
      <c r="C139" s="442"/>
      <c r="D139" s="442"/>
      <c r="E139" s="442"/>
      <c r="F139" s="442"/>
      <c r="G139" s="470">
        <f t="shared" si="15"/>
        <v>11</v>
      </c>
      <c r="H139" s="470">
        <v>132</v>
      </c>
      <c r="I139" s="455">
        <f t="shared" ca="1" si="5"/>
        <v>4357408.2709207395</v>
      </c>
      <c r="J139" s="455">
        <f t="array" ref="J139">IFERROR(INDEX('Retirement Calculator'!K:K,MATCH('Lorri 401b'!N139,'Retirement Calculator'!A:A,0),0),0)</f>
        <v>16520.094745597391</v>
      </c>
      <c r="K139" s="455">
        <f t="shared" ca="1" si="2"/>
        <v>18087.034067396424</v>
      </c>
      <c r="L139" s="455">
        <f t="shared" ca="1" si="3"/>
        <v>4358975.2102425378</v>
      </c>
      <c r="M139" s="471">
        <f t="shared" si="6"/>
        <v>0.05</v>
      </c>
      <c r="N139" s="475">
        <f t="shared" si="7"/>
        <v>55274</v>
      </c>
    </row>
    <row r="140" spans="1:14" ht="11.25" customHeight="1" x14ac:dyDescent="0.3">
      <c r="A140" s="470"/>
      <c r="B140" s="442"/>
      <c r="C140" s="442"/>
      <c r="D140" s="442"/>
      <c r="E140" s="442"/>
      <c r="F140" s="442"/>
      <c r="G140" s="470">
        <f>G139+1</f>
        <v>12</v>
      </c>
      <c r="H140" s="470">
        <v>133</v>
      </c>
      <c r="I140" s="455">
        <f t="shared" ca="1" si="5"/>
        <v>4358975.2102425378</v>
      </c>
      <c r="J140" s="455">
        <f t="array" ref="J140">IFERROR(INDEX('Retirement Calculator'!K:K,MATCH('Lorri 401b'!N140,'Retirement Calculator'!A:A,0),0),0)</f>
        <v>16520.094745597391</v>
      </c>
      <c r="K140" s="455">
        <f t="shared" ca="1" si="2"/>
        <v>18093.56298123725</v>
      </c>
      <c r="L140" s="455">
        <f t="shared" ca="1" si="3"/>
        <v>4360548.6784781776</v>
      </c>
      <c r="M140" s="471">
        <f t="shared" si="6"/>
        <v>0.05</v>
      </c>
      <c r="N140" s="475">
        <f t="shared" si="7"/>
        <v>55305</v>
      </c>
    </row>
    <row r="141" spans="1:14" ht="11.25" customHeight="1" x14ac:dyDescent="0.3">
      <c r="A141" s="470"/>
      <c r="B141" s="442"/>
      <c r="C141" s="442"/>
      <c r="D141" s="442"/>
      <c r="E141" s="442"/>
      <c r="F141" s="442"/>
      <c r="G141" s="470">
        <f t="shared" ref="G141:G151" si="16">G140</f>
        <v>12</v>
      </c>
      <c r="H141" s="470">
        <v>134</v>
      </c>
      <c r="I141" s="455">
        <f t="shared" ca="1" si="5"/>
        <v>4360548.6784781776</v>
      </c>
      <c r="J141" s="455">
        <f t="array" ref="J141">IFERROR(INDEX('Retirement Calculator'!K:K,MATCH('Lorri 401b'!N141,'Retirement Calculator'!A:A,0),0),0)</f>
        <v>16520.094745597391</v>
      </c>
      <c r="K141" s="455">
        <f t="shared" ca="1" si="2"/>
        <v>18100.119098885749</v>
      </c>
      <c r="L141" s="455">
        <f t="shared" ca="1" si="3"/>
        <v>4362128.7028314658</v>
      </c>
      <c r="M141" s="471">
        <f t="shared" si="6"/>
        <v>0.05</v>
      </c>
      <c r="N141" s="475">
        <f t="shared" si="7"/>
        <v>55335</v>
      </c>
    </row>
    <row r="142" spans="1:14" ht="11.25" customHeight="1" x14ac:dyDescent="0.3">
      <c r="A142" s="470"/>
      <c r="B142" s="442"/>
      <c r="C142" s="442"/>
      <c r="D142" s="442"/>
      <c r="E142" s="442"/>
      <c r="F142" s="442"/>
      <c r="G142" s="470">
        <f t="shared" si="16"/>
        <v>12</v>
      </c>
      <c r="H142" s="470">
        <v>135</v>
      </c>
      <c r="I142" s="455">
        <f t="shared" ca="1" si="5"/>
        <v>4362128.7028314658</v>
      </c>
      <c r="J142" s="455">
        <f t="array" ref="J142">IFERROR(INDEX('Retirement Calculator'!K:K,MATCH('Lorri 401b'!N142,'Retirement Calculator'!A:A,0),0),0)</f>
        <v>16520.094745597391</v>
      </c>
      <c r="K142" s="455">
        <f t="shared" ca="1" si="2"/>
        <v>18106.702533691117</v>
      </c>
      <c r="L142" s="455">
        <f t="shared" ca="1" si="3"/>
        <v>4363715.3106195591</v>
      </c>
      <c r="M142" s="471">
        <f t="shared" si="6"/>
        <v>0.05</v>
      </c>
      <c r="N142" s="475">
        <f t="shared" si="7"/>
        <v>55366</v>
      </c>
    </row>
    <row r="143" spans="1:14" ht="11.25" customHeight="1" x14ac:dyDescent="0.3">
      <c r="A143" s="470"/>
      <c r="B143" s="442"/>
      <c r="C143" s="442"/>
      <c r="D143" s="442"/>
      <c r="E143" s="442"/>
      <c r="F143" s="442"/>
      <c r="G143" s="470">
        <f t="shared" si="16"/>
        <v>12</v>
      </c>
      <c r="H143" s="470">
        <v>136</v>
      </c>
      <c r="I143" s="455">
        <f t="shared" ca="1" si="5"/>
        <v>4363715.3106195591</v>
      </c>
      <c r="J143" s="455">
        <f t="array" ref="J143">IFERROR(INDEX('Retirement Calculator'!K:K,MATCH('Lorri 401b'!N143,'Retirement Calculator'!A:A,0),0),0)</f>
        <v>16520.094745597391</v>
      </c>
      <c r="K143" s="455">
        <f t="shared" ca="1" si="2"/>
        <v>18113.313399474839</v>
      </c>
      <c r="L143" s="455">
        <f t="shared" ca="1" si="3"/>
        <v>4365308.5292734364</v>
      </c>
      <c r="M143" s="471">
        <f t="shared" si="6"/>
        <v>0.05</v>
      </c>
      <c r="N143" s="475">
        <f t="shared" si="7"/>
        <v>55397</v>
      </c>
    </row>
    <row r="144" spans="1:14" ht="11.25" customHeight="1" x14ac:dyDescent="0.3">
      <c r="A144" s="470"/>
      <c r="B144" s="442"/>
      <c r="C144" s="442"/>
      <c r="D144" s="442"/>
      <c r="E144" s="442"/>
      <c r="F144" s="442"/>
      <c r="G144" s="470">
        <f t="shared" si="16"/>
        <v>12</v>
      </c>
      <c r="H144" s="470">
        <v>137</v>
      </c>
      <c r="I144" s="455">
        <f t="shared" ca="1" si="5"/>
        <v>4365308.5292734364</v>
      </c>
      <c r="J144" s="455">
        <f t="array" ref="J144">IFERROR(INDEX('Retirement Calculator'!K:K,MATCH('Lorri 401b'!N144,'Retirement Calculator'!A:A,0),0),0)</f>
        <v>16520.094745597391</v>
      </c>
      <c r="K144" s="455">
        <f t="shared" ca="1" si="2"/>
        <v>18119.951810532661</v>
      </c>
      <c r="L144" s="455">
        <f t="shared" ca="1" si="3"/>
        <v>4366908.3863383709</v>
      </c>
      <c r="M144" s="471">
        <f t="shared" si="6"/>
        <v>0.05</v>
      </c>
      <c r="N144" s="475">
        <f t="shared" si="7"/>
        <v>55427</v>
      </c>
    </row>
    <row r="145" spans="7:14" ht="11.25" customHeight="1" x14ac:dyDescent="0.3">
      <c r="G145" s="470">
        <f t="shared" si="16"/>
        <v>12</v>
      </c>
      <c r="H145" s="470">
        <v>138</v>
      </c>
      <c r="I145" s="455">
        <f t="shared" ca="1" si="5"/>
        <v>4366908.3863383709</v>
      </c>
      <c r="J145" s="455">
        <f t="array" ref="J145">IFERROR(INDEX('Retirement Calculator'!K:K,MATCH('Lorri 401b'!N145,'Retirement Calculator'!A:A,0),0),0)</f>
        <v>16520.094745597391</v>
      </c>
      <c r="K145" s="455">
        <f t="shared" ca="1" si="2"/>
        <v>18126.617881636554</v>
      </c>
      <c r="L145" s="455">
        <f t="shared" ca="1" si="3"/>
        <v>4368514.9094744092</v>
      </c>
      <c r="M145" s="471">
        <f t="shared" si="6"/>
        <v>0.05</v>
      </c>
      <c r="N145" s="475">
        <f t="shared" si="7"/>
        <v>55458</v>
      </c>
    </row>
    <row r="146" spans="7:14" ht="11.25" customHeight="1" x14ac:dyDescent="0.3">
      <c r="G146" s="470">
        <f t="shared" si="16"/>
        <v>12</v>
      </c>
      <c r="H146" s="470">
        <v>139</v>
      </c>
      <c r="I146" s="455">
        <f t="shared" ca="1" si="5"/>
        <v>4368514.9094744092</v>
      </c>
      <c r="J146" s="455">
        <f t="array" ref="J146">IFERROR(INDEX('Retirement Calculator'!K:K,MATCH('Lorri 401b'!N146,'Retirement Calculator'!A:A,0),0),0)</f>
        <v>16520.094745597391</v>
      </c>
      <c r="K146" s="455">
        <f t="shared" ca="1" si="2"/>
        <v>18133.311728036715</v>
      </c>
      <c r="L146" s="455">
        <f t="shared" ca="1" si="3"/>
        <v>4370128.1264568483</v>
      </c>
      <c r="M146" s="471">
        <f t="shared" si="6"/>
        <v>0.05</v>
      </c>
      <c r="N146" s="475">
        <f t="shared" si="7"/>
        <v>55488</v>
      </c>
    </row>
    <row r="147" spans="7:14" ht="11.25" customHeight="1" x14ac:dyDescent="0.3">
      <c r="G147" s="470">
        <f t="shared" si="16"/>
        <v>12</v>
      </c>
      <c r="H147" s="470">
        <v>140</v>
      </c>
      <c r="I147" s="455">
        <f t="shared" ca="1" si="5"/>
        <v>4370128.1264568483</v>
      </c>
      <c r="J147" s="455">
        <f t="array" ref="J147">IFERROR(INDEX('Retirement Calculator'!K:K,MATCH('Lorri 401b'!N147,'Retirement Calculator'!A:A,0),0),0)</f>
        <v>16520.094745597391</v>
      </c>
      <c r="K147" s="455">
        <f t="shared" ca="1" si="2"/>
        <v>18140.033465463544</v>
      </c>
      <c r="L147" s="455">
        <f t="shared" ca="1" si="3"/>
        <v>4371748.0651767142</v>
      </c>
      <c r="M147" s="471">
        <f t="shared" si="6"/>
        <v>0.05</v>
      </c>
      <c r="N147" s="475">
        <f t="shared" si="7"/>
        <v>55519</v>
      </c>
    </row>
    <row r="148" spans="7:14" ht="11.25" customHeight="1" x14ac:dyDescent="0.3">
      <c r="G148" s="470">
        <f t="shared" si="16"/>
        <v>12</v>
      </c>
      <c r="H148" s="470">
        <v>141</v>
      </c>
      <c r="I148" s="455">
        <f t="shared" ca="1" si="5"/>
        <v>4371748.0651767142</v>
      </c>
      <c r="J148" s="455">
        <f t="array" ref="J148">IFERROR(INDEX('Retirement Calculator'!K:K,MATCH('Lorri 401b'!N148,'Retirement Calculator'!A:A,0),0),0)</f>
        <v>16520.094745597391</v>
      </c>
      <c r="K148" s="455">
        <f t="shared" ca="1" si="2"/>
        <v>18146.783210129652</v>
      </c>
      <c r="L148" s="455">
        <f t="shared" ca="1" si="3"/>
        <v>4373374.7536412459</v>
      </c>
      <c r="M148" s="471">
        <f t="shared" si="6"/>
        <v>0.05</v>
      </c>
      <c r="N148" s="475">
        <f t="shared" si="7"/>
        <v>55550</v>
      </c>
    </row>
    <row r="149" spans="7:14" ht="11.25" customHeight="1" x14ac:dyDescent="0.3">
      <c r="G149" s="470">
        <f t="shared" si="16"/>
        <v>12</v>
      </c>
      <c r="H149" s="470">
        <v>142</v>
      </c>
      <c r="I149" s="455">
        <f t="shared" ca="1" si="5"/>
        <v>4373374.7536412459</v>
      </c>
      <c r="J149" s="455">
        <f t="array" ref="J149">IFERROR(INDEX('Retirement Calculator'!K:K,MATCH('Lorri 401b'!N149,'Retirement Calculator'!A:A,0),0),0)</f>
        <v>16520.094745597391</v>
      </c>
      <c r="K149" s="455">
        <f t="shared" ca="1" si="2"/>
        <v>18153.561078731866</v>
      </c>
      <c r="L149" s="455">
        <f t="shared" ca="1" si="3"/>
        <v>4375008.21997438</v>
      </c>
      <c r="M149" s="471">
        <f t="shared" si="6"/>
        <v>0.05</v>
      </c>
      <c r="N149" s="475">
        <f t="shared" si="7"/>
        <v>55579</v>
      </c>
    </row>
    <row r="150" spans="7:14" ht="11.25" customHeight="1" x14ac:dyDescent="0.3">
      <c r="G150" s="470">
        <f t="shared" si="16"/>
        <v>12</v>
      </c>
      <c r="H150" s="470">
        <v>143</v>
      </c>
      <c r="I150" s="455">
        <f t="shared" ca="1" si="5"/>
        <v>4375008.21997438</v>
      </c>
      <c r="J150" s="455">
        <f t="array" ref="J150">IFERROR(INDEX('Retirement Calculator'!K:K,MATCH('Lorri 401b'!N150,'Retirement Calculator'!A:A,0),0),0)</f>
        <v>16520.094745597391</v>
      </c>
      <c r="K150" s="455">
        <f t="shared" ca="1" si="2"/>
        <v>18160.36718845326</v>
      </c>
      <c r="L150" s="455">
        <f t="shared" ca="1" si="3"/>
        <v>4376648.4924172359</v>
      </c>
      <c r="M150" s="471">
        <f t="shared" si="6"/>
        <v>0.05</v>
      </c>
      <c r="N150" s="475">
        <f t="shared" si="7"/>
        <v>55610</v>
      </c>
    </row>
    <row r="151" spans="7:14" ht="11.25" customHeight="1" x14ac:dyDescent="0.3">
      <c r="G151" s="470">
        <f t="shared" si="16"/>
        <v>12</v>
      </c>
      <c r="H151" s="470">
        <v>144</v>
      </c>
      <c r="I151" s="455">
        <f t="shared" ca="1" si="5"/>
        <v>4376648.4924172359</v>
      </c>
      <c r="J151" s="455">
        <f t="array" ref="J151">IFERROR(INDEX('Retirement Calculator'!K:K,MATCH('Lorri 401b'!N151,'Retirement Calculator'!A:A,0),0),0)</f>
        <v>16520.094745597391</v>
      </c>
      <c r="K151" s="455">
        <f t="shared" ca="1" si="2"/>
        <v>18167.201656965157</v>
      </c>
      <c r="L151" s="455">
        <f t="shared" ca="1" si="3"/>
        <v>4378295.5993286036</v>
      </c>
      <c r="M151" s="471">
        <f t="shared" si="6"/>
        <v>0.05</v>
      </c>
      <c r="N151" s="475">
        <f t="shared" si="7"/>
        <v>55640</v>
      </c>
    </row>
    <row r="152" spans="7:14" ht="11.25" customHeight="1" x14ac:dyDescent="0.3">
      <c r="G152" s="470">
        <f>G151+1</f>
        <v>13</v>
      </c>
      <c r="H152" s="470">
        <v>145</v>
      </c>
      <c r="I152" s="455">
        <f t="shared" ca="1" si="5"/>
        <v>4378295.5993286036</v>
      </c>
      <c r="J152" s="455">
        <f t="array" ref="J152">IFERROR(INDEX('Retirement Calculator'!K:K,MATCH('Lorri 401b'!N152,'Retirement Calculator'!A:A,0),0),0)</f>
        <v>16520.094745597391</v>
      </c>
      <c r="K152" s="455">
        <f t="shared" ca="1" si="2"/>
        <v>18174.064602429189</v>
      </c>
      <c r="L152" s="455">
        <f t="shared" ca="1" si="3"/>
        <v>4379949.5691854348</v>
      </c>
      <c r="M152" s="471">
        <f t="shared" si="6"/>
        <v>0.05</v>
      </c>
      <c r="N152" s="475">
        <f t="shared" si="7"/>
        <v>55671</v>
      </c>
    </row>
    <row r="153" spans="7:14" ht="11.25" customHeight="1" x14ac:dyDescent="0.3">
      <c r="G153" s="470">
        <f t="shared" ref="G153:G163" si="17">G152</f>
        <v>13</v>
      </c>
      <c r="H153" s="470">
        <v>146</v>
      </c>
      <c r="I153" s="455">
        <f t="shared" ca="1" si="5"/>
        <v>4379949.5691854348</v>
      </c>
      <c r="J153" s="455">
        <f t="array" ref="J153">IFERROR(INDEX('Retirement Calculator'!K:K,MATCH('Lorri 401b'!N153,'Retirement Calculator'!A:A,0),0),0)</f>
        <v>16520.094745597391</v>
      </c>
      <c r="K153" s="455">
        <f t="shared" ca="1" si="2"/>
        <v>18180.956143499319</v>
      </c>
      <c r="L153" s="455">
        <f t="shared" ca="1" si="3"/>
        <v>4381610.4305833364</v>
      </c>
      <c r="M153" s="471">
        <f t="shared" si="6"/>
        <v>0.05</v>
      </c>
      <c r="N153" s="475">
        <f t="shared" si="7"/>
        <v>55701</v>
      </c>
    </row>
    <row r="154" spans="7:14" ht="11.25" customHeight="1" x14ac:dyDescent="0.3">
      <c r="G154" s="470">
        <f t="shared" si="17"/>
        <v>13</v>
      </c>
      <c r="H154" s="470">
        <v>147</v>
      </c>
      <c r="I154" s="455">
        <f t="shared" ca="1" si="5"/>
        <v>4381610.4305833364</v>
      </c>
      <c r="J154" s="455">
        <f t="array" ref="J154">IFERROR(INDEX('Retirement Calculator'!K:K,MATCH('Lorri 401b'!N154,'Retirement Calculator'!A:A,0),0),0)</f>
        <v>16520.094745597391</v>
      </c>
      <c r="K154" s="455">
        <f t="shared" ca="1" si="2"/>
        <v>18187.876399323912</v>
      </c>
      <c r="L154" s="455">
        <f t="shared" ca="1" si="3"/>
        <v>4383278.2122370629</v>
      </c>
      <c r="M154" s="471">
        <f t="shared" si="6"/>
        <v>0.05</v>
      </c>
      <c r="N154" s="475">
        <f t="shared" si="7"/>
        <v>55732</v>
      </c>
    </row>
    <row r="155" spans="7:14" ht="11.25" customHeight="1" x14ac:dyDescent="0.3">
      <c r="G155" s="470">
        <f t="shared" si="17"/>
        <v>13</v>
      </c>
      <c r="H155" s="470">
        <v>148</v>
      </c>
      <c r="I155" s="455">
        <f t="shared" ca="1" si="5"/>
        <v>4383278.2122370629</v>
      </c>
      <c r="J155" s="455">
        <f t="array" ref="J155">IFERROR(INDEX('Retirement Calculator'!K:K,MATCH('Lorri 401b'!N155,'Retirement Calculator'!A:A,0),0),0)</f>
        <v>16520.094745597391</v>
      </c>
      <c r="K155" s="455">
        <f t="shared" ca="1" si="2"/>
        <v>18194.825489547769</v>
      </c>
      <c r="L155" s="455">
        <f t="shared" ca="1" si="3"/>
        <v>4384952.9429810131</v>
      </c>
      <c r="M155" s="471">
        <f t="shared" si="6"/>
        <v>0.05</v>
      </c>
      <c r="N155" s="475">
        <f t="shared" si="7"/>
        <v>55763</v>
      </c>
    </row>
    <row r="156" spans="7:14" ht="11.25" customHeight="1" x14ac:dyDescent="0.3">
      <c r="G156" s="470">
        <f t="shared" si="17"/>
        <v>13</v>
      </c>
      <c r="H156" s="470">
        <v>149</v>
      </c>
      <c r="I156" s="455">
        <f t="shared" ca="1" si="5"/>
        <v>4384952.9429810131</v>
      </c>
      <c r="J156" s="455">
        <f t="array" ref="J156">IFERROR(INDEX('Retirement Calculator'!K:K,MATCH('Lorri 401b'!N156,'Retirement Calculator'!A:A,0),0),0)</f>
        <v>16520.094745597391</v>
      </c>
      <c r="K156" s="455">
        <f t="shared" ca="1" si="2"/>
        <v>18201.803534314229</v>
      </c>
      <c r="L156" s="455">
        <f t="shared" ca="1" si="3"/>
        <v>4386634.6517697293</v>
      </c>
      <c r="M156" s="471">
        <f t="shared" si="6"/>
        <v>0.05</v>
      </c>
      <c r="N156" s="475">
        <f t="shared" si="7"/>
        <v>55793</v>
      </c>
    </row>
    <row r="157" spans="7:14" ht="11.25" customHeight="1" x14ac:dyDescent="0.3">
      <c r="G157" s="470">
        <f t="shared" si="17"/>
        <v>13</v>
      </c>
      <c r="H157" s="470">
        <v>150</v>
      </c>
      <c r="I157" s="455">
        <f t="shared" ca="1" si="5"/>
        <v>4386634.6517697293</v>
      </c>
      <c r="J157" s="455">
        <f t="array" ref="J157">IFERROR(INDEX('Retirement Calculator'!K:K,MATCH('Lorri 401b'!N157,'Retirement Calculator'!A:A,0),0),0)</f>
        <v>16520.094745597391</v>
      </c>
      <c r="K157" s="455">
        <f t="shared" ca="1" si="2"/>
        <v>18208.810654267214</v>
      </c>
      <c r="L157" s="455">
        <f t="shared" ca="1" si="3"/>
        <v>4388323.3676783992</v>
      </c>
      <c r="M157" s="471">
        <f t="shared" si="6"/>
        <v>0.05</v>
      </c>
      <c r="N157" s="475">
        <f t="shared" si="7"/>
        <v>55824</v>
      </c>
    </row>
    <row r="158" spans="7:14" ht="11.25" customHeight="1" x14ac:dyDescent="0.3">
      <c r="G158" s="470">
        <f t="shared" si="17"/>
        <v>13</v>
      </c>
      <c r="H158" s="470">
        <v>151</v>
      </c>
      <c r="I158" s="455">
        <f t="shared" ca="1" si="5"/>
        <v>4388323.3676783992</v>
      </c>
      <c r="J158" s="455">
        <f t="array" ref="J158">IFERROR(INDEX('Retirement Calculator'!K:K,MATCH('Lorri 401b'!N158,'Retirement Calculator'!A:A,0),0),0)</f>
        <v>16520.094745597391</v>
      </c>
      <c r="K158" s="455">
        <f t="shared" ca="1" si="2"/>
        <v>18215.846970553339</v>
      </c>
      <c r="L158" s="455">
        <f t="shared" ca="1" si="3"/>
        <v>4390019.1199033549</v>
      </c>
      <c r="M158" s="471">
        <f t="shared" si="6"/>
        <v>0.05</v>
      </c>
      <c r="N158" s="475">
        <f t="shared" si="7"/>
        <v>55854</v>
      </c>
    </row>
    <row r="159" spans="7:14" ht="11.25" customHeight="1" x14ac:dyDescent="0.3">
      <c r="G159" s="470">
        <f t="shared" si="17"/>
        <v>13</v>
      </c>
      <c r="H159" s="470">
        <v>152</v>
      </c>
      <c r="I159" s="455">
        <f t="shared" ca="1" si="5"/>
        <v>4390019.1199033549</v>
      </c>
      <c r="J159" s="455">
        <f t="array" ref="J159">IFERROR(INDEX('Retirement Calculator'!K:K,MATCH('Lorri 401b'!N159,'Retirement Calculator'!A:A,0),0),0)</f>
        <v>16520.094745597391</v>
      </c>
      <c r="K159" s="455">
        <f t="shared" ca="1" si="2"/>
        <v>18222.912604823989</v>
      </c>
      <c r="L159" s="455">
        <f t="shared" ca="1" si="3"/>
        <v>4391721.9377625808</v>
      </c>
      <c r="M159" s="471">
        <f t="shared" si="6"/>
        <v>0.05</v>
      </c>
      <c r="N159" s="475">
        <f t="shared" si="7"/>
        <v>55885</v>
      </c>
    </row>
    <row r="160" spans="7:14" ht="11.25" customHeight="1" x14ac:dyDescent="0.3">
      <c r="G160" s="470">
        <f t="shared" si="17"/>
        <v>13</v>
      </c>
      <c r="H160" s="470">
        <v>153</v>
      </c>
      <c r="I160" s="455">
        <f t="shared" ca="1" si="5"/>
        <v>4391721.9377625808</v>
      </c>
      <c r="J160" s="455">
        <f t="array" ref="J160">IFERROR(INDEX('Retirement Calculator'!K:K,MATCH('Lorri 401b'!N160,'Retirement Calculator'!A:A,0),0),0)</f>
        <v>16520.094745597391</v>
      </c>
      <c r="K160" s="455">
        <f t="shared" ca="1" si="2"/>
        <v>18230.007679237428</v>
      </c>
      <c r="L160" s="455">
        <f t="shared" ca="1" si="3"/>
        <v>4393431.8506962201</v>
      </c>
      <c r="M160" s="471">
        <f t="shared" si="6"/>
        <v>0.05</v>
      </c>
      <c r="N160" s="475">
        <f t="shared" si="7"/>
        <v>55916</v>
      </c>
    </row>
    <row r="161" spans="7:14" ht="11.25" customHeight="1" x14ac:dyDescent="0.3">
      <c r="G161" s="470">
        <f t="shared" si="17"/>
        <v>13</v>
      </c>
      <c r="H161" s="470">
        <v>154</v>
      </c>
      <c r="I161" s="455">
        <f t="shared" ca="1" si="5"/>
        <v>4393431.8506962201</v>
      </c>
      <c r="J161" s="455">
        <f t="array" ref="J161">IFERROR(INDEX('Retirement Calculator'!K:K,MATCH('Lorri 401b'!N161,'Retirement Calculator'!A:A,0),0),0)</f>
        <v>16520.094745597391</v>
      </c>
      <c r="K161" s="455">
        <f t="shared" ca="1" si="2"/>
        <v>18237.132316460928</v>
      </c>
      <c r="L161" s="455">
        <f t="shared" ca="1" si="3"/>
        <v>4395148.8882670831</v>
      </c>
      <c r="M161" s="471">
        <f t="shared" si="6"/>
        <v>0.05</v>
      </c>
      <c r="N161" s="475">
        <f t="shared" si="7"/>
        <v>55944</v>
      </c>
    </row>
    <row r="162" spans="7:14" ht="11.25" customHeight="1" x14ac:dyDescent="0.3">
      <c r="G162" s="470">
        <f t="shared" si="17"/>
        <v>13</v>
      </c>
      <c r="H162" s="470">
        <v>155</v>
      </c>
      <c r="I162" s="455">
        <f t="shared" ca="1" si="5"/>
        <v>4395148.8882670831</v>
      </c>
      <c r="J162" s="455">
        <f t="array" ref="J162">IFERROR(INDEX('Retirement Calculator'!K:K,MATCH('Lorri 401b'!N162,'Retirement Calculator'!A:A,0),0),0)</f>
        <v>16520.094745597391</v>
      </c>
      <c r="K162" s="455">
        <f t="shared" ca="1" si="2"/>
        <v>18244.286639672857</v>
      </c>
      <c r="L162" s="455">
        <f t="shared" ca="1" si="3"/>
        <v>4396873.080161158</v>
      </c>
      <c r="M162" s="471">
        <f t="shared" si="6"/>
        <v>0.05</v>
      </c>
      <c r="N162" s="475">
        <f t="shared" si="7"/>
        <v>55975</v>
      </c>
    </row>
    <row r="163" spans="7:14" ht="11.25" customHeight="1" x14ac:dyDescent="0.3">
      <c r="G163" s="470">
        <f t="shared" si="17"/>
        <v>13</v>
      </c>
      <c r="H163" s="470">
        <v>156</v>
      </c>
      <c r="I163" s="455">
        <f t="shared" ca="1" si="5"/>
        <v>4396873.080161158</v>
      </c>
      <c r="J163" s="455">
        <f t="array" ref="J163">IFERROR(INDEX('Retirement Calculator'!K:K,MATCH('Lorri 401b'!N163,'Retirement Calculator'!A:A,0),0),0)</f>
        <v>16520.094745597391</v>
      </c>
      <c r="K163" s="455">
        <f t="shared" ca="1" si="2"/>
        <v>18251.470772564833</v>
      </c>
      <c r="L163" s="455">
        <f t="shared" ca="1" si="3"/>
        <v>4398604.4561881246</v>
      </c>
      <c r="M163" s="471">
        <f t="shared" si="6"/>
        <v>0.05</v>
      </c>
      <c r="N163" s="475">
        <f t="shared" si="7"/>
        <v>56005</v>
      </c>
    </row>
    <row r="164" spans="7:14" ht="11.25" customHeight="1" x14ac:dyDescent="0.3">
      <c r="G164" s="470">
        <f>G163+1</f>
        <v>14</v>
      </c>
      <c r="H164" s="470">
        <v>157</v>
      </c>
      <c r="I164" s="455">
        <f t="shared" ca="1" si="5"/>
        <v>4398604.4561881246</v>
      </c>
      <c r="J164" s="455">
        <f t="array" ref="J164">IFERROR(INDEX('Retirement Calculator'!K:K,MATCH('Lorri 401b'!N164,'Retirement Calculator'!A:A,0),0),0)</f>
        <v>16520.094745597391</v>
      </c>
      <c r="K164" s="455">
        <f t="shared" ca="1" si="2"/>
        <v>18258.684839343863</v>
      </c>
      <c r="L164" s="455">
        <f t="shared" ca="1" si="3"/>
        <v>4400343.0462818705</v>
      </c>
      <c r="M164" s="471">
        <f t="shared" si="6"/>
        <v>0.05</v>
      </c>
      <c r="N164" s="475">
        <f t="shared" si="7"/>
        <v>56036</v>
      </c>
    </row>
    <row r="165" spans="7:14" ht="11.25" customHeight="1" x14ac:dyDescent="0.3">
      <c r="G165" s="470">
        <f t="shared" ref="G165:G175" si="18">G164</f>
        <v>14</v>
      </c>
      <c r="H165" s="470">
        <v>158</v>
      </c>
      <c r="I165" s="455">
        <f t="shared" ca="1" si="5"/>
        <v>4400343.0462818705</v>
      </c>
      <c r="J165" s="455">
        <f t="array" ref="J165">IFERROR(INDEX('Retirement Calculator'!K:K,MATCH('Lorri 401b'!N165,'Retirement Calculator'!A:A,0),0),0)</f>
        <v>16520.094745597391</v>
      </c>
      <c r="K165" s="455">
        <f t="shared" ca="1" si="2"/>
        <v>18265.92896473447</v>
      </c>
      <c r="L165" s="455">
        <f t="shared" ca="1" si="3"/>
        <v>4402088.8805010067</v>
      </c>
      <c r="M165" s="471">
        <f t="shared" si="6"/>
        <v>0.05</v>
      </c>
      <c r="N165" s="475">
        <f t="shared" si="7"/>
        <v>56066</v>
      </c>
    </row>
    <row r="166" spans="7:14" ht="11.25" customHeight="1" x14ac:dyDescent="0.3">
      <c r="G166" s="470">
        <f t="shared" si="18"/>
        <v>14</v>
      </c>
      <c r="H166" s="470">
        <v>159</v>
      </c>
      <c r="I166" s="455">
        <f t="shared" ca="1" si="5"/>
        <v>4402088.8805010067</v>
      </c>
      <c r="J166" s="455">
        <f t="array" ref="J166">IFERROR(INDEX('Retirement Calculator'!K:K,MATCH('Lorri 401b'!N166,'Retirement Calculator'!A:A,0),0),0)</f>
        <v>16520.094745597391</v>
      </c>
      <c r="K166" s="455">
        <f t="shared" ca="1" si="2"/>
        <v>18273.203273980871</v>
      </c>
      <c r="L166" s="455">
        <f t="shared" ca="1" si="3"/>
        <v>4403841.9890293898</v>
      </c>
      <c r="M166" s="471">
        <f t="shared" si="6"/>
        <v>0.05</v>
      </c>
      <c r="N166" s="475">
        <f t="shared" si="7"/>
        <v>56097</v>
      </c>
    </row>
    <row r="167" spans="7:14" ht="11.25" customHeight="1" x14ac:dyDescent="0.3">
      <c r="G167" s="470">
        <f t="shared" si="18"/>
        <v>14</v>
      </c>
      <c r="H167" s="470">
        <v>160</v>
      </c>
      <c r="I167" s="455">
        <f t="shared" ca="1" si="5"/>
        <v>4403841.9890293898</v>
      </c>
      <c r="J167" s="455">
        <f t="array" ref="J167">IFERROR(INDEX('Retirement Calculator'!K:K,MATCH('Lorri 401b'!N167,'Retirement Calculator'!A:A,0),0),0)</f>
        <v>16520.094745597391</v>
      </c>
      <c r="K167" s="455">
        <f t="shared" ca="1" si="2"/>
        <v>18280.507892849135</v>
      </c>
      <c r="L167" s="455">
        <f t="shared" ca="1" si="3"/>
        <v>4405602.4021766409</v>
      </c>
      <c r="M167" s="471">
        <f t="shared" si="6"/>
        <v>0.05</v>
      </c>
      <c r="N167" s="475">
        <f t="shared" si="7"/>
        <v>56128</v>
      </c>
    </row>
    <row r="168" spans="7:14" ht="11.25" customHeight="1" x14ac:dyDescent="0.3">
      <c r="G168" s="470">
        <f t="shared" si="18"/>
        <v>14</v>
      </c>
      <c r="H168" s="470">
        <v>161</v>
      </c>
      <c r="I168" s="455">
        <f t="shared" ca="1" si="5"/>
        <v>4405602.4021766409</v>
      </c>
      <c r="J168" s="455">
        <f t="array" ref="J168">IFERROR(INDEX('Retirement Calculator'!K:K,MATCH('Lorri 401b'!N168,'Retirement Calculator'!A:A,0),0),0)</f>
        <v>16520.094745597391</v>
      </c>
      <c r="K168" s="455">
        <f t="shared" ca="1" si="2"/>
        <v>18287.842947629346</v>
      </c>
      <c r="L168" s="455">
        <f t="shared" ca="1" si="3"/>
        <v>4407370.1503786724</v>
      </c>
      <c r="M168" s="471">
        <f t="shared" si="6"/>
        <v>0.05</v>
      </c>
      <c r="N168" s="475">
        <f t="shared" si="7"/>
        <v>56158</v>
      </c>
    </row>
    <row r="169" spans="7:14" ht="11.25" customHeight="1" x14ac:dyDescent="0.3">
      <c r="G169" s="470">
        <f t="shared" si="18"/>
        <v>14</v>
      </c>
      <c r="H169" s="470">
        <v>162</v>
      </c>
      <c r="I169" s="455">
        <f t="shared" ca="1" si="5"/>
        <v>4407370.1503786724</v>
      </c>
      <c r="J169" s="455">
        <f t="array" ref="J169">IFERROR(INDEX('Retirement Calculator'!K:K,MATCH('Lorri 401b'!N169,'Retirement Calculator'!A:A,0),0),0)</f>
        <v>16520.094745597391</v>
      </c>
      <c r="K169" s="455">
        <f t="shared" ca="1" si="2"/>
        <v>18295.208565137811</v>
      </c>
      <c r="L169" s="455">
        <f t="shared" ca="1" si="3"/>
        <v>4409145.264198212</v>
      </c>
      <c r="M169" s="471">
        <f t="shared" si="6"/>
        <v>0.05</v>
      </c>
      <c r="N169" s="475">
        <f t="shared" si="7"/>
        <v>56189</v>
      </c>
    </row>
    <row r="170" spans="7:14" ht="11.25" customHeight="1" x14ac:dyDescent="0.3">
      <c r="G170" s="470">
        <f t="shared" si="18"/>
        <v>14</v>
      </c>
      <c r="H170" s="470">
        <v>163</v>
      </c>
      <c r="I170" s="455">
        <f t="shared" ca="1" si="5"/>
        <v>4409145.264198212</v>
      </c>
      <c r="J170" s="455">
        <f t="array" ref="J170">IFERROR(INDEX('Retirement Calculator'!K:K,MATCH('Lorri 401b'!N170,'Retirement Calculator'!A:A,0),0),0)</f>
        <v>16520.094745597391</v>
      </c>
      <c r="K170" s="455">
        <f t="shared" ca="1" si="2"/>
        <v>18302.604872719225</v>
      </c>
      <c r="L170" s="455">
        <f t="shared" ca="1" si="3"/>
        <v>4410927.7743253335</v>
      </c>
      <c r="M170" s="471">
        <f t="shared" si="6"/>
        <v>0.05</v>
      </c>
      <c r="N170" s="475">
        <f t="shared" si="7"/>
        <v>56219</v>
      </c>
    </row>
    <row r="171" spans="7:14" ht="11.25" customHeight="1" x14ac:dyDescent="0.3">
      <c r="G171" s="470">
        <f t="shared" si="18"/>
        <v>14</v>
      </c>
      <c r="H171" s="470">
        <v>164</v>
      </c>
      <c r="I171" s="455">
        <f t="shared" ca="1" si="5"/>
        <v>4410927.7743253335</v>
      </c>
      <c r="J171" s="455">
        <f t="array" ref="J171">IFERROR(INDEX('Retirement Calculator'!K:K,MATCH('Lorri 401b'!N171,'Retirement Calculator'!A:A,0),0),0)</f>
        <v>16520.094745597391</v>
      </c>
      <c r="K171" s="455">
        <f t="shared" ca="1" si="2"/>
        <v>18310.031998248898</v>
      </c>
      <c r="L171" s="455">
        <f t="shared" ca="1" si="3"/>
        <v>4412717.7115779845</v>
      </c>
      <c r="M171" s="471">
        <f t="shared" si="6"/>
        <v>0.05</v>
      </c>
      <c r="N171" s="475">
        <f t="shared" si="7"/>
        <v>56250</v>
      </c>
    </row>
    <row r="172" spans="7:14" ht="11.25" customHeight="1" x14ac:dyDescent="0.3">
      <c r="G172" s="470">
        <f t="shared" si="18"/>
        <v>14</v>
      </c>
      <c r="H172" s="470">
        <v>165</v>
      </c>
      <c r="I172" s="455">
        <f t="shared" ca="1" si="5"/>
        <v>4412717.7115779845</v>
      </c>
      <c r="J172" s="455">
        <f t="array" ref="J172">IFERROR(INDEX('Retirement Calculator'!K:K,MATCH('Lorri 401b'!N172,'Retirement Calculator'!A:A,0),0),0)</f>
        <v>16520.094745597391</v>
      </c>
      <c r="K172" s="455">
        <f t="shared" ca="1" si="2"/>
        <v>18317.490070134943</v>
      </c>
      <c r="L172" s="455">
        <f t="shared" ca="1" si="3"/>
        <v>4414515.106902522</v>
      </c>
      <c r="M172" s="471">
        <f t="shared" si="6"/>
        <v>0.05</v>
      </c>
      <c r="N172" s="475">
        <f t="shared" si="7"/>
        <v>56281</v>
      </c>
    </row>
    <row r="173" spans="7:14" ht="11.25" customHeight="1" x14ac:dyDescent="0.3">
      <c r="G173" s="470">
        <f t="shared" si="18"/>
        <v>14</v>
      </c>
      <c r="H173" s="470">
        <v>166</v>
      </c>
      <c r="I173" s="455">
        <f t="shared" ca="1" si="5"/>
        <v>4414515.106902522</v>
      </c>
      <c r="J173" s="455">
        <f t="array" ref="J173">IFERROR(INDEX('Retirement Calculator'!K:K,MATCH('Lorri 401b'!N173,'Retirement Calculator'!A:A,0),0),0)</f>
        <v>16520.094745597391</v>
      </c>
      <c r="K173" s="455">
        <f t="shared" ca="1" si="2"/>
        <v>18324.979217320517</v>
      </c>
      <c r="L173" s="455">
        <f t="shared" ca="1" si="3"/>
        <v>4416319.9913742449</v>
      </c>
      <c r="M173" s="471">
        <f t="shared" si="6"/>
        <v>0.05</v>
      </c>
      <c r="N173" s="475">
        <f t="shared" si="7"/>
        <v>56309</v>
      </c>
    </row>
    <row r="174" spans="7:14" ht="11.25" customHeight="1" x14ac:dyDescent="0.3">
      <c r="G174" s="470">
        <f t="shared" si="18"/>
        <v>14</v>
      </c>
      <c r="H174" s="470">
        <v>167</v>
      </c>
      <c r="I174" s="455">
        <f t="shared" ca="1" si="5"/>
        <v>4416319.9913742449</v>
      </c>
      <c r="J174" s="455">
        <f t="array" ref="J174">IFERROR(INDEX('Retirement Calculator'!K:K,MATCH('Lorri 401b'!N174,'Retirement Calculator'!A:A,0),0),0)</f>
        <v>16520.094745597391</v>
      </c>
      <c r="K174" s="455">
        <f t="shared" ca="1" si="2"/>
        <v>18332.499569286028</v>
      </c>
      <c r="L174" s="455">
        <f t="shared" ca="1" si="3"/>
        <v>4418132.3961979328</v>
      </c>
      <c r="M174" s="471">
        <f t="shared" si="6"/>
        <v>0.05</v>
      </c>
      <c r="N174" s="475">
        <f t="shared" si="7"/>
        <v>56340</v>
      </c>
    </row>
    <row r="175" spans="7:14" ht="11.25" customHeight="1" x14ac:dyDescent="0.3">
      <c r="G175" s="470">
        <f t="shared" si="18"/>
        <v>14</v>
      </c>
      <c r="H175" s="470">
        <v>168</v>
      </c>
      <c r="I175" s="455">
        <f t="shared" ca="1" si="5"/>
        <v>4418132.3961979328</v>
      </c>
      <c r="J175" s="455">
        <f t="array" ref="J175">IFERROR(INDEX('Retirement Calculator'!K:K,MATCH('Lorri 401b'!N175,'Retirement Calculator'!A:A,0),0),0)</f>
        <v>16520.094745597391</v>
      </c>
      <c r="K175" s="455">
        <f t="shared" ca="1" si="2"/>
        <v>18340.051256051396</v>
      </c>
      <c r="L175" s="455">
        <f t="shared" ca="1" si="3"/>
        <v>4419952.3527083863</v>
      </c>
      <c r="M175" s="471">
        <f t="shared" si="6"/>
        <v>0.05</v>
      </c>
      <c r="N175" s="475">
        <f t="shared" si="7"/>
        <v>56370</v>
      </c>
    </row>
    <row r="176" spans="7:14" ht="11.25" customHeight="1" x14ac:dyDescent="0.3">
      <c r="G176" s="470">
        <f>G175+1</f>
        <v>15</v>
      </c>
      <c r="H176" s="470">
        <v>169</v>
      </c>
      <c r="I176" s="455">
        <f t="shared" ca="1" si="5"/>
        <v>4419952.3527083863</v>
      </c>
      <c r="J176" s="455">
        <f t="array" ref="J176">IFERROR(INDEX('Retirement Calculator'!K:K,MATCH('Lorri 401b'!N176,'Retirement Calculator'!A:A,0),0),0)</f>
        <v>16520.094745597391</v>
      </c>
      <c r="K176" s="455">
        <f t="shared" ca="1" si="2"/>
        <v>18347.634408178285</v>
      </c>
      <c r="L176" s="455">
        <f t="shared" ca="1" si="3"/>
        <v>4421779.8923709672</v>
      </c>
      <c r="M176" s="471">
        <f t="shared" si="6"/>
        <v>0.05</v>
      </c>
      <c r="N176" s="475">
        <f t="shared" si="7"/>
        <v>56401</v>
      </c>
    </row>
    <row r="177" spans="7:14" ht="11.25" customHeight="1" x14ac:dyDescent="0.3">
      <c r="G177" s="470">
        <f t="shared" ref="G177:G187" si="19">G176</f>
        <v>15</v>
      </c>
      <c r="H177" s="470">
        <v>170</v>
      </c>
      <c r="I177" s="455">
        <f t="shared" ca="1" si="5"/>
        <v>4421779.8923709672</v>
      </c>
      <c r="J177" s="455">
        <f t="array" ref="J177">IFERROR(INDEX('Retirement Calculator'!K:K,MATCH('Lorri 401b'!N177,'Retirement Calculator'!A:A,0),0),0)</f>
        <v>16520.094745597391</v>
      </c>
      <c r="K177" s="455">
        <f t="shared" ca="1" si="2"/>
        <v>18355.249156772374</v>
      </c>
      <c r="L177" s="455">
        <f t="shared" ca="1" si="3"/>
        <v>4423615.0467821416</v>
      </c>
      <c r="M177" s="471">
        <f t="shared" si="6"/>
        <v>0.05</v>
      </c>
      <c r="N177" s="475">
        <f t="shared" si="7"/>
        <v>56431</v>
      </c>
    </row>
    <row r="178" spans="7:14" ht="11.25" customHeight="1" x14ac:dyDescent="0.3">
      <c r="G178" s="470">
        <f t="shared" si="19"/>
        <v>15</v>
      </c>
      <c r="H178" s="470">
        <v>171</v>
      </c>
      <c r="I178" s="455">
        <f t="shared" ca="1" si="5"/>
        <v>4423615.0467821416</v>
      </c>
      <c r="J178" s="455">
        <f t="array" ref="J178">IFERROR(INDEX('Retirement Calculator'!K:K,MATCH('Lorri 401b'!N178,'Retirement Calculator'!A:A,0),0),0)</f>
        <v>16520.094745597391</v>
      </c>
      <c r="K178" s="455">
        <f t="shared" ca="1" si="2"/>
        <v>18362.895633485598</v>
      </c>
      <c r="L178" s="455">
        <f t="shared" ca="1" si="3"/>
        <v>4425457.8476700289</v>
      </c>
      <c r="M178" s="471">
        <f t="shared" si="6"/>
        <v>0.05</v>
      </c>
      <c r="N178" s="475">
        <f t="shared" si="7"/>
        <v>56462</v>
      </c>
    </row>
    <row r="179" spans="7:14" ht="11.25" customHeight="1" x14ac:dyDescent="0.3">
      <c r="G179" s="470">
        <f t="shared" si="19"/>
        <v>15</v>
      </c>
      <c r="H179" s="470">
        <v>172</v>
      </c>
      <c r="I179" s="455">
        <f t="shared" ca="1" si="5"/>
        <v>4425457.8476700289</v>
      </c>
      <c r="J179" s="455">
        <f t="array" ref="J179">IFERROR(INDEX('Retirement Calculator'!K:K,MATCH('Lorri 401b'!N179,'Retirement Calculator'!A:A,0),0),0)</f>
        <v>16520.094745597391</v>
      </c>
      <c r="K179" s="455">
        <f t="shared" ca="1" si="2"/>
        <v>18370.573970518464</v>
      </c>
      <c r="L179" s="455">
        <f t="shared" ca="1" si="3"/>
        <v>4427308.3268949492</v>
      </c>
      <c r="M179" s="471">
        <f t="shared" si="6"/>
        <v>0.05</v>
      </c>
      <c r="N179" s="475">
        <f t="shared" si="7"/>
        <v>56493</v>
      </c>
    </row>
    <row r="180" spans="7:14" ht="11.25" customHeight="1" x14ac:dyDescent="0.3">
      <c r="G180" s="470">
        <f t="shared" si="19"/>
        <v>15</v>
      </c>
      <c r="H180" s="470">
        <v>173</v>
      </c>
      <c r="I180" s="455">
        <f t="shared" ca="1" si="5"/>
        <v>4427308.3268949492</v>
      </c>
      <c r="J180" s="455">
        <f t="array" ref="J180">IFERROR(INDEX('Retirement Calculator'!K:K,MATCH('Lorri 401b'!N180,'Retirement Calculator'!A:A,0),0),0)</f>
        <v>16520.094745597391</v>
      </c>
      <c r="K180" s="455">
        <f t="shared" ca="1" si="2"/>
        <v>18378.284300622297</v>
      </c>
      <c r="L180" s="455">
        <f t="shared" ca="1" si="3"/>
        <v>4429166.5164499739</v>
      </c>
      <c r="M180" s="471">
        <f t="shared" si="6"/>
        <v>0.05</v>
      </c>
      <c r="N180" s="475">
        <f t="shared" si="7"/>
        <v>56523</v>
      </c>
    </row>
    <row r="181" spans="7:14" ht="11.25" customHeight="1" x14ac:dyDescent="0.3">
      <c r="G181" s="470">
        <f t="shared" si="19"/>
        <v>15</v>
      </c>
      <c r="H181" s="470">
        <v>174</v>
      </c>
      <c r="I181" s="455">
        <f t="shared" ca="1" si="5"/>
        <v>4429166.5164499739</v>
      </c>
      <c r="J181" s="455">
        <f t="array" ref="J181">IFERROR(INDEX('Retirement Calculator'!K:K,MATCH('Lorri 401b'!N181,'Retirement Calculator'!A:A,0),0),0)</f>
        <v>16520.094745597391</v>
      </c>
      <c r="K181" s="455">
        <f t="shared" ca="1" si="2"/>
        <v>18386.026757101568</v>
      </c>
      <c r="L181" s="455">
        <f t="shared" ca="1" si="3"/>
        <v>4431032.4484614776</v>
      </c>
      <c r="M181" s="471">
        <f t="shared" si="6"/>
        <v>0.05</v>
      </c>
      <c r="N181" s="475">
        <f t="shared" si="7"/>
        <v>56554</v>
      </c>
    </row>
    <row r="182" spans="7:14" ht="11.25" customHeight="1" x14ac:dyDescent="0.3">
      <c r="G182" s="470">
        <f t="shared" si="19"/>
        <v>15</v>
      </c>
      <c r="H182" s="470">
        <v>175</v>
      </c>
      <c r="I182" s="455">
        <f t="shared" ca="1" si="5"/>
        <v>4431032.4484614776</v>
      </c>
      <c r="J182" s="455">
        <f t="array" ref="J182">IFERROR(INDEX('Retirement Calculator'!K:K,MATCH('Lorri 401b'!N182,'Retirement Calculator'!A:A,0),0),0)</f>
        <v>16520.094745597391</v>
      </c>
      <c r="K182" s="455">
        <f t="shared" ca="1" si="2"/>
        <v>18393.801473816166</v>
      </c>
      <c r="L182" s="455">
        <f t="shared" ca="1" si="3"/>
        <v>4432906.1551896958</v>
      </c>
      <c r="M182" s="471">
        <f t="shared" si="6"/>
        <v>0.05</v>
      </c>
      <c r="N182" s="475">
        <f t="shared" si="7"/>
        <v>56584</v>
      </c>
    </row>
    <row r="183" spans="7:14" ht="11.25" customHeight="1" x14ac:dyDescent="0.3">
      <c r="G183" s="470">
        <f t="shared" si="19"/>
        <v>15</v>
      </c>
      <c r="H183" s="470">
        <v>176</v>
      </c>
      <c r="I183" s="455">
        <f t="shared" ca="1" si="5"/>
        <v>4432906.1551896958</v>
      </c>
      <c r="J183" s="455">
        <f t="array" ref="J183">IFERROR(INDEX('Retirement Calculator'!K:K,MATCH('Lorri 401b'!N183,'Retirement Calculator'!A:A,0),0),0)</f>
        <v>16520.094745597391</v>
      </c>
      <c r="K183" s="455">
        <f t="shared" ca="1" si="2"/>
        <v>18401.608585183742</v>
      </c>
      <c r="L183" s="455">
        <f t="shared" ca="1" si="3"/>
        <v>4434787.6690292815</v>
      </c>
      <c r="M183" s="471">
        <f t="shared" si="6"/>
        <v>0.05</v>
      </c>
      <c r="N183" s="475">
        <f t="shared" si="7"/>
        <v>56615</v>
      </c>
    </row>
    <row r="184" spans="7:14" ht="11.25" customHeight="1" x14ac:dyDescent="0.3">
      <c r="G184" s="470">
        <f t="shared" si="19"/>
        <v>15</v>
      </c>
      <c r="H184" s="470">
        <v>177</v>
      </c>
      <c r="I184" s="455">
        <f t="shared" ca="1" si="5"/>
        <v>4434787.6690292815</v>
      </c>
      <c r="J184" s="455">
        <f t="array" ref="J184">IFERROR(INDEX('Retirement Calculator'!K:K,MATCH('Lorri 401b'!N184,'Retirement Calculator'!A:A,0),0),0)</f>
        <v>16520.094745597391</v>
      </c>
      <c r="K184" s="455">
        <f t="shared" ca="1" si="2"/>
        <v>18409.448226182016</v>
      </c>
      <c r="L184" s="455">
        <f t="shared" ca="1" si="3"/>
        <v>4436677.0225098655</v>
      </c>
      <c r="M184" s="471">
        <f t="shared" si="6"/>
        <v>0.05</v>
      </c>
      <c r="N184" s="475">
        <f t="shared" si="7"/>
        <v>56646</v>
      </c>
    </row>
    <row r="185" spans="7:14" ht="11.25" customHeight="1" x14ac:dyDescent="0.3">
      <c r="G185" s="470">
        <f t="shared" si="19"/>
        <v>15</v>
      </c>
      <c r="H185" s="470">
        <v>178</v>
      </c>
      <c r="I185" s="455">
        <f t="shared" ca="1" si="5"/>
        <v>4436677.0225098655</v>
      </c>
      <c r="J185" s="455">
        <f t="array" ref="J185">IFERROR(INDEX('Retirement Calculator'!K:K,MATCH('Lorri 401b'!N185,'Retirement Calculator'!A:A,0),0),0)</f>
        <v>16520.094745597391</v>
      </c>
      <c r="K185" s="455">
        <f t="shared" ca="1" si="2"/>
        <v>18417.320532351114</v>
      </c>
      <c r="L185" s="455">
        <f t="shared" ca="1" si="3"/>
        <v>4438574.2482966185</v>
      </c>
      <c r="M185" s="471">
        <f t="shared" si="6"/>
        <v>0.05</v>
      </c>
      <c r="N185" s="475">
        <f t="shared" si="7"/>
        <v>56674</v>
      </c>
    </row>
    <row r="186" spans="7:14" ht="11.25" customHeight="1" x14ac:dyDescent="0.3">
      <c r="G186" s="470">
        <f t="shared" si="19"/>
        <v>15</v>
      </c>
      <c r="H186" s="470">
        <v>179</v>
      </c>
      <c r="I186" s="455">
        <f t="shared" ca="1" si="5"/>
        <v>4438574.2482966185</v>
      </c>
      <c r="J186" s="455">
        <f t="array" ref="J186">IFERROR(INDEX('Retirement Calculator'!K:K,MATCH('Lorri 401b'!N186,'Retirement Calculator'!A:A,0),0),0)</f>
        <v>16520.094745597391</v>
      </c>
      <c r="K186" s="455">
        <f t="shared" ca="1" si="2"/>
        <v>18425.225639795921</v>
      </c>
      <c r="L186" s="455">
        <f t="shared" ca="1" si="3"/>
        <v>4440479.3791908165</v>
      </c>
      <c r="M186" s="471">
        <f t="shared" si="6"/>
        <v>0.05</v>
      </c>
      <c r="N186" s="475">
        <f t="shared" si="7"/>
        <v>56705</v>
      </c>
    </row>
    <row r="187" spans="7:14" ht="11.25" customHeight="1" x14ac:dyDescent="0.3">
      <c r="G187" s="470">
        <f t="shared" si="19"/>
        <v>15</v>
      </c>
      <c r="H187" s="470">
        <v>180</v>
      </c>
      <c r="I187" s="455">
        <f t="shared" ca="1" si="5"/>
        <v>4440479.3791908165</v>
      </c>
      <c r="J187" s="455">
        <f t="array" ref="J187">IFERROR(INDEX('Retirement Calculator'!K:K,MATCH('Lorri 401b'!N187,'Retirement Calculator'!A:A,0),0),0)</f>
        <v>16520.094745597391</v>
      </c>
      <c r="K187" s="455">
        <f t="shared" ca="1" si="2"/>
        <v>18433.16368518841</v>
      </c>
      <c r="L187" s="455">
        <f t="shared" ca="1" si="3"/>
        <v>4442392.4481304074</v>
      </c>
      <c r="M187" s="471">
        <f t="shared" si="6"/>
        <v>0.05</v>
      </c>
      <c r="N187" s="475">
        <f t="shared" si="7"/>
        <v>56735</v>
      </c>
    </row>
    <row r="188" spans="7:14" ht="11.25" customHeight="1" x14ac:dyDescent="0.3">
      <c r="G188" s="470">
        <f>G187+1</f>
        <v>16</v>
      </c>
      <c r="H188" s="470">
        <v>181</v>
      </c>
      <c r="I188" s="455">
        <f t="shared" ca="1" si="5"/>
        <v>4442392.4481304074</v>
      </c>
      <c r="J188" s="455">
        <f t="array" ref="J188">IFERROR(INDEX('Retirement Calculator'!K:K,MATCH('Lorri 401b'!N188,'Retirement Calculator'!A:A,0),0),0)</f>
        <v>16520.094745597391</v>
      </c>
      <c r="K188" s="455">
        <f t="shared" ca="1" si="2"/>
        <v>18441.134805770038</v>
      </c>
      <c r="L188" s="455">
        <f t="shared" ca="1" si="3"/>
        <v>4444313.4881905792</v>
      </c>
      <c r="M188" s="471">
        <f t="shared" si="6"/>
        <v>0.05</v>
      </c>
      <c r="N188" s="475">
        <f t="shared" si="7"/>
        <v>56766</v>
      </c>
    </row>
    <row r="189" spans="7:14" ht="11.25" customHeight="1" x14ac:dyDescent="0.3">
      <c r="G189" s="470">
        <f t="shared" ref="G189:G199" si="20">G188</f>
        <v>16</v>
      </c>
      <c r="H189" s="470">
        <v>182</v>
      </c>
      <c r="I189" s="455">
        <f t="shared" ca="1" si="5"/>
        <v>4444313.4881905792</v>
      </c>
      <c r="J189" s="455">
        <f t="array" ref="J189">IFERROR(INDEX('Retirement Calculator'!K:K,MATCH('Lorri 401b'!N189,'Retirement Calculator'!A:A,0),0),0)</f>
        <v>16520.094745597391</v>
      </c>
      <c r="K189" s="455">
        <f t="shared" ca="1" si="2"/>
        <v>18449.139139354091</v>
      </c>
      <c r="L189" s="455">
        <f t="shared" ca="1" si="3"/>
        <v>4446242.5325843357</v>
      </c>
      <c r="M189" s="471">
        <f t="shared" si="6"/>
        <v>0.05</v>
      </c>
      <c r="N189" s="475">
        <f t="shared" si="7"/>
        <v>56796</v>
      </c>
    </row>
    <row r="190" spans="7:14" ht="11.25" customHeight="1" x14ac:dyDescent="0.3">
      <c r="G190" s="470">
        <f t="shared" si="20"/>
        <v>16</v>
      </c>
      <c r="H190" s="470">
        <v>183</v>
      </c>
      <c r="I190" s="455">
        <f t="shared" ca="1" si="5"/>
        <v>4446242.5325843357</v>
      </c>
      <c r="J190" s="455">
        <f t="array" ref="J190">IFERROR(INDEX('Retirement Calculator'!K:K,MATCH('Lorri 401b'!N190,'Retirement Calculator'!A:A,0),0),0)</f>
        <v>16520.094745597391</v>
      </c>
      <c r="K190" s="455">
        <f t="shared" ca="1" si="2"/>
        <v>18457.176824328075</v>
      </c>
      <c r="L190" s="455">
        <f t="shared" ca="1" si="3"/>
        <v>4448179.6146630663</v>
      </c>
      <c r="M190" s="471">
        <f t="shared" si="6"/>
        <v>0.05</v>
      </c>
      <c r="N190" s="475">
        <f t="shared" si="7"/>
        <v>56827</v>
      </c>
    </row>
    <row r="191" spans="7:14" ht="11.25" customHeight="1" x14ac:dyDescent="0.3">
      <c r="G191" s="470">
        <f t="shared" si="20"/>
        <v>16</v>
      </c>
      <c r="H191" s="470">
        <v>184</v>
      </c>
      <c r="I191" s="455">
        <f t="shared" ca="1" si="5"/>
        <v>4448179.6146630663</v>
      </c>
      <c r="J191" s="455">
        <f t="array" ref="J191">IFERROR(INDEX('Retirement Calculator'!K:K,MATCH('Lorri 401b'!N191,'Retirement Calculator'!A:A,0),0),0)</f>
        <v>16520.094745597391</v>
      </c>
      <c r="K191" s="455">
        <f t="shared" ca="1" si="2"/>
        <v>18465.24799965612</v>
      </c>
      <c r="L191" s="455">
        <f t="shared" ca="1" si="3"/>
        <v>4450124.7679171246</v>
      </c>
      <c r="M191" s="471">
        <f t="shared" si="6"/>
        <v>0.05</v>
      </c>
      <c r="N191" s="475">
        <f t="shared" si="7"/>
        <v>56858</v>
      </c>
    </row>
    <row r="192" spans="7:14" ht="11.25" customHeight="1" x14ac:dyDescent="0.3">
      <c r="G192" s="470">
        <f t="shared" si="20"/>
        <v>16</v>
      </c>
      <c r="H192" s="470">
        <v>185</v>
      </c>
      <c r="I192" s="455">
        <f t="shared" ca="1" si="5"/>
        <v>4450124.7679171246</v>
      </c>
      <c r="J192" s="455">
        <f t="array" ref="J192">IFERROR(INDEX('Retirement Calculator'!K:K,MATCH('Lorri 401b'!N192,'Retirement Calculator'!A:A,0),0),0)</f>
        <v>16520.094745597391</v>
      </c>
      <c r="K192" s="455">
        <f t="shared" ca="1" si="2"/>
        <v>18473.35280488136</v>
      </c>
      <c r="L192" s="455">
        <f t="shared" ca="1" si="3"/>
        <v>4452078.0259764083</v>
      </c>
      <c r="M192" s="471">
        <f t="shared" si="6"/>
        <v>0.05</v>
      </c>
      <c r="N192" s="475">
        <f t="shared" si="7"/>
        <v>56888</v>
      </c>
    </row>
    <row r="193" spans="7:14" ht="11.25" customHeight="1" x14ac:dyDescent="0.3">
      <c r="G193" s="470">
        <f t="shared" si="20"/>
        <v>16</v>
      </c>
      <c r="H193" s="470">
        <v>186</v>
      </c>
      <c r="I193" s="455">
        <f t="shared" ca="1" si="5"/>
        <v>4452078.0259764083</v>
      </c>
      <c r="J193" s="455">
        <f t="array" ref="J193">IFERROR(INDEX('Retirement Calculator'!K:K,MATCH('Lorri 401b'!N193,'Retirement Calculator'!A:A,0),0),0)</f>
        <v>16520.094745597391</v>
      </c>
      <c r="K193" s="455">
        <f t="shared" ca="1" si="2"/>
        <v>18481.491380128376</v>
      </c>
      <c r="L193" s="455">
        <f t="shared" ca="1" si="3"/>
        <v>4454039.4226109385</v>
      </c>
      <c r="M193" s="471">
        <f t="shared" si="6"/>
        <v>0.05</v>
      </c>
      <c r="N193" s="475">
        <f t="shared" si="7"/>
        <v>56919</v>
      </c>
    </row>
    <row r="194" spans="7:14" ht="11.25" customHeight="1" x14ac:dyDescent="0.3">
      <c r="G194" s="470">
        <f t="shared" si="20"/>
        <v>16</v>
      </c>
      <c r="H194" s="470">
        <v>187</v>
      </c>
      <c r="I194" s="455">
        <f t="shared" ca="1" si="5"/>
        <v>4454039.4226109385</v>
      </c>
      <c r="J194" s="455">
        <f t="array" ref="J194">IFERROR(INDEX('Retirement Calculator'!K:K,MATCH('Lorri 401b'!N194,'Retirement Calculator'!A:A,0),0),0)</f>
        <v>16520.094745597391</v>
      </c>
      <c r="K194" s="455">
        <f t="shared" ca="1" si="2"/>
        <v>18489.663866105588</v>
      </c>
      <c r="L194" s="455">
        <f t="shared" ca="1" si="3"/>
        <v>4456008.9917314462</v>
      </c>
      <c r="M194" s="471">
        <f t="shared" si="6"/>
        <v>0.05</v>
      </c>
      <c r="N194" s="475">
        <f t="shared" si="7"/>
        <v>56949</v>
      </c>
    </row>
    <row r="195" spans="7:14" ht="11.25" customHeight="1" x14ac:dyDescent="0.3">
      <c r="G195" s="470">
        <f t="shared" si="20"/>
        <v>16</v>
      </c>
      <c r="H195" s="470">
        <v>188</v>
      </c>
      <c r="I195" s="455">
        <f t="shared" ca="1" si="5"/>
        <v>4456008.9917314462</v>
      </c>
      <c r="J195" s="455">
        <f t="array" ref="J195">IFERROR(INDEX('Retirement Calculator'!K:K,MATCH('Lorri 401b'!N195,'Retirement Calculator'!A:A,0),0),0)</f>
        <v>16520.094745597391</v>
      </c>
      <c r="K195" s="455">
        <f t="shared" ca="1" si="2"/>
        <v>18497.8704041077</v>
      </c>
      <c r="L195" s="455">
        <f t="shared" ca="1" si="3"/>
        <v>4457986.7673899559</v>
      </c>
      <c r="M195" s="471">
        <f t="shared" si="6"/>
        <v>0.05</v>
      </c>
      <c r="N195" s="475">
        <f t="shared" si="7"/>
        <v>56980</v>
      </c>
    </row>
    <row r="196" spans="7:14" ht="11.25" customHeight="1" x14ac:dyDescent="0.3">
      <c r="G196" s="470">
        <f t="shared" si="20"/>
        <v>16</v>
      </c>
      <c r="H196" s="470">
        <v>189</v>
      </c>
      <c r="I196" s="455">
        <f t="shared" ca="1" si="5"/>
        <v>4457986.7673899559</v>
      </c>
      <c r="J196" s="455">
        <f t="array" ref="J196">IFERROR(INDEX('Retirement Calculator'!K:K,MATCH('Lorri 401b'!N196,'Retirement Calculator'!A:A,0),0),0)</f>
        <v>16520.094745597391</v>
      </c>
      <c r="K196" s="455">
        <f t="shared" ca="1" si="2"/>
        <v>18506.11113601816</v>
      </c>
      <c r="L196" s="455">
        <f t="shared" ca="1" si="3"/>
        <v>4459972.7837803764</v>
      </c>
      <c r="M196" s="471">
        <f t="shared" si="6"/>
        <v>0.05</v>
      </c>
      <c r="N196" s="475">
        <f t="shared" si="7"/>
        <v>57011</v>
      </c>
    </row>
    <row r="197" spans="7:14" ht="11.25" customHeight="1" x14ac:dyDescent="0.3">
      <c r="G197" s="470">
        <f t="shared" si="20"/>
        <v>16</v>
      </c>
      <c r="H197" s="470">
        <v>190</v>
      </c>
      <c r="I197" s="455">
        <f t="shared" ca="1" si="5"/>
        <v>4459972.7837803764</v>
      </c>
      <c r="J197" s="455">
        <f t="array" ref="J197">IFERROR(INDEX('Retirement Calculator'!K:K,MATCH('Lorri 401b'!N197,'Retirement Calculator'!A:A,0),0),0)</f>
        <v>16520.094745597391</v>
      </c>
      <c r="K197" s="455">
        <f t="shared" ca="1" si="2"/>
        <v>18514.386204311577</v>
      </c>
      <c r="L197" s="455">
        <f t="shared" ca="1" si="3"/>
        <v>4461967.0752390902</v>
      </c>
      <c r="M197" s="471">
        <f t="shared" si="6"/>
        <v>0.05</v>
      </c>
      <c r="N197" s="475">
        <f t="shared" si="7"/>
        <v>57040</v>
      </c>
    </row>
    <row r="198" spans="7:14" ht="11.25" customHeight="1" x14ac:dyDescent="0.3">
      <c r="G198" s="470">
        <f t="shared" si="20"/>
        <v>16</v>
      </c>
      <c r="H198" s="470">
        <v>191</v>
      </c>
      <c r="I198" s="455">
        <f t="shared" ca="1" si="5"/>
        <v>4461967.0752390902</v>
      </c>
      <c r="J198" s="455">
        <f t="array" ref="J198">IFERROR(INDEX('Retirement Calculator'!K:K,MATCH('Lorri 401b'!N198,'Retirement Calculator'!A:A,0),0),0)</f>
        <v>16520.094745597391</v>
      </c>
      <c r="K198" s="455">
        <f t="shared" ca="1" si="2"/>
        <v>18522.695752056217</v>
      </c>
      <c r="L198" s="455">
        <f t="shared" ca="1" si="3"/>
        <v>4463969.6762455488</v>
      </c>
      <c r="M198" s="471">
        <f t="shared" si="6"/>
        <v>0.05</v>
      </c>
      <c r="N198" s="475">
        <f t="shared" si="7"/>
        <v>57071</v>
      </c>
    </row>
    <row r="199" spans="7:14" ht="11.25" customHeight="1" x14ac:dyDescent="0.3">
      <c r="G199" s="470">
        <f t="shared" si="20"/>
        <v>16</v>
      </c>
      <c r="H199" s="470">
        <v>192</v>
      </c>
      <c r="I199" s="455">
        <f t="shared" ca="1" si="5"/>
        <v>4463969.6762455488</v>
      </c>
      <c r="J199" s="455">
        <f t="array" ref="J199">IFERROR(INDEX('Retirement Calculator'!K:K,MATCH('Lorri 401b'!N199,'Retirement Calculator'!A:A,0),0),0)</f>
        <v>16520.094745597391</v>
      </c>
      <c r="K199" s="455">
        <f t="shared" ca="1" si="2"/>
        <v>18531.039922916461</v>
      </c>
      <c r="L199" s="455">
        <f t="shared" ca="1" si="3"/>
        <v>4465980.6214228673</v>
      </c>
      <c r="M199" s="471">
        <f t="shared" si="6"/>
        <v>0.05</v>
      </c>
      <c r="N199" s="475">
        <f t="shared" si="7"/>
        <v>57101</v>
      </c>
    </row>
    <row r="200" spans="7:14" ht="11.25" customHeight="1" x14ac:dyDescent="0.3">
      <c r="G200" s="470">
        <f>G199+1</f>
        <v>17</v>
      </c>
      <c r="H200" s="470">
        <v>193</v>
      </c>
      <c r="I200" s="455">
        <f t="shared" ca="1" si="5"/>
        <v>4465980.6214228673</v>
      </c>
      <c r="J200" s="455">
        <f t="array" ref="J200">IFERROR(INDEX('Retirement Calculator'!K:K,MATCH('Lorri 401b'!N200,'Retirement Calculator'!A:A,0),0),0)</f>
        <v>16520.094745597391</v>
      </c>
      <c r="K200" s="455">
        <f t="shared" ca="1" si="2"/>
        <v>18539.418861155289</v>
      </c>
      <c r="L200" s="455">
        <f t="shared" ca="1" si="3"/>
        <v>4467999.9455384249</v>
      </c>
      <c r="M200" s="471">
        <f t="shared" si="6"/>
        <v>0.05</v>
      </c>
      <c r="N200" s="475">
        <f t="shared" si="7"/>
        <v>57132</v>
      </c>
    </row>
    <row r="201" spans="7:14" ht="11.25" customHeight="1" x14ac:dyDescent="0.3">
      <c r="G201" s="470">
        <f t="shared" ref="G201:G211" si="21">G200</f>
        <v>17</v>
      </c>
      <c r="H201" s="470">
        <v>194</v>
      </c>
      <c r="I201" s="455">
        <f t="shared" ca="1" si="5"/>
        <v>4467999.9455384249</v>
      </c>
      <c r="J201" s="455">
        <f t="array" ref="J201">IFERROR(INDEX('Retirement Calculator'!K:K,MATCH('Lorri 401b'!N201,'Retirement Calculator'!A:A,0),0),0)</f>
        <v>16520.094745597391</v>
      </c>
      <c r="K201" s="455">
        <f t="shared" ca="1" si="2"/>
        <v>18547.83271163678</v>
      </c>
      <c r="L201" s="455">
        <f t="shared" ca="1" si="3"/>
        <v>4470027.6835044641</v>
      </c>
      <c r="M201" s="471">
        <f t="shared" si="6"/>
        <v>0.05</v>
      </c>
      <c r="N201" s="475">
        <f t="shared" si="7"/>
        <v>57162</v>
      </c>
    </row>
    <row r="202" spans="7:14" ht="11.25" customHeight="1" x14ac:dyDescent="0.3">
      <c r="G202" s="470">
        <f t="shared" si="21"/>
        <v>17</v>
      </c>
      <c r="H202" s="470">
        <v>195</v>
      </c>
      <c r="I202" s="455">
        <f t="shared" ca="1" si="5"/>
        <v>4470027.6835044641</v>
      </c>
      <c r="J202" s="455">
        <f t="array" ref="J202">IFERROR(INDEX('Retirement Calculator'!K:K,MATCH('Lorri 401b'!N202,'Retirement Calculator'!A:A,0),0),0)</f>
        <v>16520.094745597391</v>
      </c>
      <c r="K202" s="455">
        <f t="shared" ca="1" si="2"/>
        <v>18556.281619828609</v>
      </c>
      <c r="L202" s="455">
        <f t="shared" ca="1" si="3"/>
        <v>4472063.8703786945</v>
      </c>
      <c r="M202" s="471">
        <f t="shared" si="6"/>
        <v>0.05</v>
      </c>
      <c r="N202" s="475">
        <f t="shared" si="7"/>
        <v>57193</v>
      </c>
    </row>
    <row r="203" spans="7:14" ht="11.25" customHeight="1" x14ac:dyDescent="0.3">
      <c r="G203" s="470">
        <f t="shared" si="21"/>
        <v>17</v>
      </c>
      <c r="H203" s="470">
        <v>196</v>
      </c>
      <c r="I203" s="455">
        <f t="shared" ca="1" si="5"/>
        <v>4472063.8703786945</v>
      </c>
      <c r="J203" s="455">
        <f t="array" ref="J203">IFERROR(INDEX('Retirement Calculator'!K:K,MATCH('Lorri 401b'!N203,'Retirement Calculator'!A:A,0),0),0)</f>
        <v>16520.094745597391</v>
      </c>
      <c r="K203" s="455">
        <f t="shared" ca="1" si="2"/>
        <v>18564.765731804568</v>
      </c>
      <c r="L203" s="455">
        <f t="shared" ca="1" si="3"/>
        <v>4474108.5413649017</v>
      </c>
      <c r="M203" s="471">
        <f t="shared" si="6"/>
        <v>0.05</v>
      </c>
      <c r="N203" s="475">
        <f t="shared" si="7"/>
        <v>57224</v>
      </c>
    </row>
    <row r="204" spans="7:14" ht="11.25" customHeight="1" x14ac:dyDescent="0.3">
      <c r="G204" s="470">
        <f t="shared" si="21"/>
        <v>17</v>
      </c>
      <c r="H204" s="470">
        <v>197</v>
      </c>
      <c r="I204" s="455">
        <f t="shared" ca="1" si="5"/>
        <v>4474108.5413649017</v>
      </c>
      <c r="J204" s="455">
        <f t="array" ref="J204">IFERROR(INDEX('Retirement Calculator'!K:K,MATCH('Lorri 401b'!N204,'Retirement Calculator'!A:A,0),0),0)</f>
        <v>16520.094745597391</v>
      </c>
      <c r="K204" s="455">
        <f t="shared" ca="1" si="2"/>
        <v>18573.285194247099</v>
      </c>
      <c r="L204" s="455">
        <f t="shared" ca="1" si="3"/>
        <v>4476161.7318135509</v>
      </c>
      <c r="M204" s="471">
        <f t="shared" si="6"/>
        <v>0.05</v>
      </c>
      <c r="N204" s="475">
        <f t="shared" si="7"/>
        <v>57254</v>
      </c>
    </row>
    <row r="205" spans="7:14" ht="11.25" customHeight="1" x14ac:dyDescent="0.3">
      <c r="G205" s="470">
        <f t="shared" si="21"/>
        <v>17</v>
      </c>
      <c r="H205" s="470">
        <v>198</v>
      </c>
      <c r="I205" s="455">
        <f t="shared" ca="1" si="5"/>
        <v>4476161.7318135509</v>
      </c>
      <c r="J205" s="455">
        <f t="array" ref="J205">IFERROR(INDEX('Retirement Calculator'!K:K,MATCH('Lorri 401b'!N205,'Retirement Calculator'!A:A,0),0),0)</f>
        <v>16520.094745597391</v>
      </c>
      <c r="K205" s="455">
        <f t="shared" ca="1" si="2"/>
        <v>18581.840154449805</v>
      </c>
      <c r="L205" s="455">
        <f t="shared" ca="1" si="3"/>
        <v>4478223.4772224026</v>
      </c>
      <c r="M205" s="471">
        <f t="shared" si="6"/>
        <v>0.05</v>
      </c>
      <c r="N205" s="475">
        <f t="shared" si="7"/>
        <v>57285</v>
      </c>
    </row>
    <row r="206" spans="7:14" ht="11.25" customHeight="1" x14ac:dyDescent="0.3">
      <c r="G206" s="470">
        <f t="shared" si="21"/>
        <v>17</v>
      </c>
      <c r="H206" s="470">
        <v>199</v>
      </c>
      <c r="I206" s="455">
        <f t="shared" ca="1" si="5"/>
        <v>4478223.4772224026</v>
      </c>
      <c r="J206" s="455">
        <f t="array" ref="J206">IFERROR(INDEX('Retirement Calculator'!K:K,MATCH('Lorri 401b'!N206,'Retirement Calculator'!A:A,0),0),0)</f>
        <v>16520.094745597391</v>
      </c>
      <c r="K206" s="455">
        <f t="shared" ca="1" si="2"/>
        <v>18590.430760320021</v>
      </c>
      <c r="L206" s="455">
        <f t="shared" ca="1" si="3"/>
        <v>4480293.8132371251</v>
      </c>
      <c r="M206" s="471">
        <f t="shared" si="6"/>
        <v>0.05</v>
      </c>
      <c r="N206" s="475">
        <f t="shared" si="7"/>
        <v>57315</v>
      </c>
    </row>
    <row r="207" spans="7:14" ht="11.25" customHeight="1" x14ac:dyDescent="0.3">
      <c r="G207" s="470">
        <f t="shared" si="21"/>
        <v>17</v>
      </c>
      <c r="H207" s="470">
        <v>200</v>
      </c>
      <c r="I207" s="455">
        <f t="shared" ca="1" si="5"/>
        <v>4480293.8132371251</v>
      </c>
      <c r="J207" s="455">
        <f t="array" ref="J207">IFERROR(INDEX('Retirement Calculator'!K:K,MATCH('Lorri 401b'!N207,'Retirement Calculator'!A:A,0),0),0)</f>
        <v>16520.094745597391</v>
      </c>
      <c r="K207" s="455">
        <f t="shared" ca="1" si="2"/>
        <v>18599.057160381362</v>
      </c>
      <c r="L207" s="455">
        <f t="shared" ca="1" si="3"/>
        <v>4482372.7756519085</v>
      </c>
      <c r="M207" s="471">
        <f t="shared" si="6"/>
        <v>0.05</v>
      </c>
      <c r="N207" s="475">
        <f t="shared" si="7"/>
        <v>57346</v>
      </c>
    </row>
    <row r="208" spans="7:14" ht="11.25" customHeight="1" x14ac:dyDescent="0.3">
      <c r="G208" s="470">
        <f t="shared" si="21"/>
        <v>17</v>
      </c>
      <c r="H208" s="470">
        <v>201</v>
      </c>
      <c r="I208" s="455">
        <f t="shared" ca="1" si="5"/>
        <v>4482372.7756519085</v>
      </c>
      <c r="J208" s="455">
        <f t="array" ref="J208">IFERROR(INDEX('Retirement Calculator'!K:K,MATCH('Lorri 401b'!N208,'Retirement Calculator'!A:A,0),0),0)</f>
        <v>16520.094745597391</v>
      </c>
      <c r="K208" s="455">
        <f t="shared" ca="1" si="2"/>
        <v>18607.719503776294</v>
      </c>
      <c r="L208" s="455">
        <f t="shared" ca="1" si="3"/>
        <v>4484460.4004100868</v>
      </c>
      <c r="M208" s="471">
        <f t="shared" si="6"/>
        <v>0.05</v>
      </c>
      <c r="N208" s="475">
        <f t="shared" si="7"/>
        <v>57377</v>
      </c>
    </row>
    <row r="209" spans="7:14" ht="11.25" customHeight="1" x14ac:dyDescent="0.3">
      <c r="G209" s="470">
        <f t="shared" si="21"/>
        <v>17</v>
      </c>
      <c r="H209" s="470">
        <v>202</v>
      </c>
      <c r="I209" s="455">
        <f t="shared" ca="1" si="5"/>
        <v>4484460.4004100868</v>
      </c>
      <c r="J209" s="455">
        <f t="array" ref="J209">IFERROR(INDEX('Retirement Calculator'!K:K,MATCH('Lorri 401b'!N209,'Retirement Calculator'!A:A,0),0),0)</f>
        <v>16520.094745597391</v>
      </c>
      <c r="K209" s="455">
        <f t="shared" ca="1" si="2"/>
        <v>18616.417940268704</v>
      </c>
      <c r="L209" s="455">
        <f t="shared" ca="1" si="3"/>
        <v>4486556.7236047573</v>
      </c>
      <c r="M209" s="471">
        <f t="shared" si="6"/>
        <v>0.05</v>
      </c>
      <c r="N209" s="475">
        <f t="shared" si="7"/>
        <v>57405</v>
      </c>
    </row>
    <row r="210" spans="7:14" ht="11.25" customHeight="1" x14ac:dyDescent="0.3">
      <c r="G210" s="470">
        <f t="shared" si="21"/>
        <v>17</v>
      </c>
      <c r="H210" s="470">
        <v>203</v>
      </c>
      <c r="I210" s="455">
        <f t="shared" ca="1" si="5"/>
        <v>4486556.7236047573</v>
      </c>
      <c r="J210" s="455">
        <f t="array" ref="J210">IFERROR(INDEX('Retirement Calculator'!K:K,MATCH('Lorri 401b'!N210,'Retirement Calculator'!A:A,0),0),0)</f>
        <v>16520.094745597391</v>
      </c>
      <c r="K210" s="455">
        <f t="shared" ca="1" si="2"/>
        <v>18625.152620246499</v>
      </c>
      <c r="L210" s="455">
        <f t="shared" ca="1" si="3"/>
        <v>4488661.7814794062</v>
      </c>
      <c r="M210" s="471">
        <f t="shared" si="6"/>
        <v>0.05</v>
      </c>
      <c r="N210" s="475">
        <f t="shared" si="7"/>
        <v>57436</v>
      </c>
    </row>
    <row r="211" spans="7:14" ht="11.25" customHeight="1" x14ac:dyDescent="0.3">
      <c r="G211" s="470">
        <f t="shared" si="21"/>
        <v>17</v>
      </c>
      <c r="H211" s="470">
        <v>204</v>
      </c>
      <c r="I211" s="455">
        <f t="shared" ca="1" si="5"/>
        <v>4488661.7814794062</v>
      </c>
      <c r="J211" s="455">
        <f t="array" ref="J211">IFERROR(INDEX('Retirement Calculator'!K:K,MATCH('Lorri 401b'!N211,'Retirement Calculator'!A:A,0),0),0)</f>
        <v>16520.094745597391</v>
      </c>
      <c r="K211" s="455">
        <f t="shared" ca="1" si="2"/>
        <v>18633.923694724203</v>
      </c>
      <c r="L211" s="455">
        <f t="shared" ca="1" si="3"/>
        <v>4490775.6104285326</v>
      </c>
      <c r="M211" s="471">
        <f t="shared" si="6"/>
        <v>0.05</v>
      </c>
      <c r="N211" s="475">
        <f t="shared" si="7"/>
        <v>57466</v>
      </c>
    </row>
    <row r="212" spans="7:14" ht="11.25" customHeight="1" x14ac:dyDescent="0.3">
      <c r="G212" s="470">
        <f>G211+1</f>
        <v>18</v>
      </c>
      <c r="H212" s="470">
        <v>205</v>
      </c>
      <c r="I212" s="455">
        <f t="shared" ca="1" si="5"/>
        <v>4490775.6104285326</v>
      </c>
      <c r="J212" s="455">
        <f t="array" ref="J212">IFERROR(INDEX('Retirement Calculator'!K:K,MATCH('Lorri 401b'!N212,'Retirement Calculator'!A:A,0),0),0)</f>
        <v>16520.094745597391</v>
      </c>
      <c r="K212" s="455">
        <f t="shared" ca="1" si="2"/>
        <v>18642.731315345562</v>
      </c>
      <c r="L212" s="455">
        <f t="shared" ca="1" si="3"/>
        <v>4492898.2469982803</v>
      </c>
      <c r="M212" s="471">
        <f t="shared" si="6"/>
        <v>0.05</v>
      </c>
      <c r="N212" s="475">
        <f t="shared" si="7"/>
        <v>57497</v>
      </c>
    </row>
    <row r="213" spans="7:14" ht="11.25" customHeight="1" x14ac:dyDescent="0.3">
      <c r="G213" s="470">
        <f t="shared" ref="G213:G223" si="22">G212</f>
        <v>18</v>
      </c>
      <c r="H213" s="470">
        <v>206</v>
      </c>
      <c r="I213" s="455">
        <f t="shared" ca="1" si="5"/>
        <v>4492898.2469982803</v>
      </c>
      <c r="J213" s="455">
        <f t="array" ref="J213">IFERROR(INDEX('Retirement Calculator'!K:K,MATCH('Lorri 401b'!N213,'Retirement Calculator'!A:A,0),0),0)</f>
        <v>16520.094745597391</v>
      </c>
      <c r="K213" s="455">
        <f t="shared" ca="1" si="2"/>
        <v>18651.575634386176</v>
      </c>
      <c r="L213" s="455">
        <f t="shared" ca="1" si="3"/>
        <v>4495029.7278870689</v>
      </c>
      <c r="M213" s="471">
        <f t="shared" si="6"/>
        <v>0.05</v>
      </c>
      <c r="N213" s="475">
        <f t="shared" si="7"/>
        <v>57527</v>
      </c>
    </row>
    <row r="214" spans="7:14" ht="11.25" customHeight="1" x14ac:dyDescent="0.3">
      <c r="G214" s="470">
        <f t="shared" si="22"/>
        <v>18</v>
      </c>
      <c r="H214" s="470">
        <v>207</v>
      </c>
      <c r="I214" s="455">
        <f t="shared" ca="1" si="5"/>
        <v>4495029.7278870689</v>
      </c>
      <c r="J214" s="455">
        <f t="array" ref="J214">IFERROR(INDEX('Retirement Calculator'!K:K,MATCH('Lorri 401b'!N214,'Retirement Calculator'!A:A,0),0),0)</f>
        <v>16520.094745597391</v>
      </c>
      <c r="K214" s="455">
        <f t="shared" ca="1" si="2"/>
        <v>18660.45680475613</v>
      </c>
      <c r="L214" s="455">
        <f t="shared" ca="1" si="3"/>
        <v>4497170.0899462271</v>
      </c>
      <c r="M214" s="471">
        <f t="shared" si="6"/>
        <v>0.05</v>
      </c>
      <c r="N214" s="475">
        <f t="shared" si="7"/>
        <v>57558</v>
      </c>
    </row>
    <row r="215" spans="7:14" ht="11.25" customHeight="1" x14ac:dyDescent="0.3">
      <c r="G215" s="470">
        <f t="shared" si="22"/>
        <v>18</v>
      </c>
      <c r="H215" s="470">
        <v>208</v>
      </c>
      <c r="I215" s="455">
        <f t="shared" ca="1" si="5"/>
        <v>4497170.0899462271</v>
      </c>
      <c r="J215" s="455">
        <f t="array" ref="J215">IFERROR(INDEX('Retirement Calculator'!K:K,MATCH('Lorri 401b'!N215,'Retirement Calculator'!A:A,0),0),0)</f>
        <v>16520.094745597391</v>
      </c>
      <c r="K215" s="455">
        <f t="shared" ca="1" si="2"/>
        <v>18669.374980002623</v>
      </c>
      <c r="L215" s="455">
        <f t="shared" ca="1" si="3"/>
        <v>4499319.370180632</v>
      </c>
      <c r="M215" s="471">
        <f t="shared" si="6"/>
        <v>0.05</v>
      </c>
      <c r="N215" s="475">
        <f t="shared" si="7"/>
        <v>57589</v>
      </c>
    </row>
    <row r="216" spans="7:14" ht="11.25" customHeight="1" x14ac:dyDescent="0.3">
      <c r="G216" s="470">
        <f t="shared" si="22"/>
        <v>18</v>
      </c>
      <c r="H216" s="470">
        <v>209</v>
      </c>
      <c r="I216" s="455">
        <f t="shared" ca="1" si="5"/>
        <v>4499319.370180632</v>
      </c>
      <c r="J216" s="455">
        <f t="array" ref="J216">IFERROR(INDEX('Retirement Calculator'!K:K,MATCH('Lorri 401b'!N216,'Retirement Calculator'!A:A,0),0),0)</f>
        <v>16520.094745597391</v>
      </c>
      <c r="K216" s="455">
        <f t="shared" ca="1" si="2"/>
        <v>18678.330314312643</v>
      </c>
      <c r="L216" s="455">
        <f t="shared" ca="1" si="3"/>
        <v>4501477.6057493472</v>
      </c>
      <c r="M216" s="471">
        <f t="shared" si="6"/>
        <v>0.05</v>
      </c>
      <c r="N216" s="475">
        <f t="shared" si="7"/>
        <v>57619</v>
      </c>
    </row>
    <row r="217" spans="7:14" ht="11.25" customHeight="1" x14ac:dyDescent="0.3">
      <c r="G217" s="470">
        <f t="shared" si="22"/>
        <v>18</v>
      </c>
      <c r="H217" s="470">
        <v>210</v>
      </c>
      <c r="I217" s="455">
        <f t="shared" ca="1" si="5"/>
        <v>4501477.6057493472</v>
      </c>
      <c r="J217" s="455">
        <f t="array" ref="J217">IFERROR(INDEX('Retirement Calculator'!K:K,MATCH('Lorri 401b'!N217,'Retirement Calculator'!A:A,0),0),0)</f>
        <v>16520.094745597391</v>
      </c>
      <c r="K217" s="455">
        <f t="shared" ca="1" si="2"/>
        <v>18687.322962515624</v>
      </c>
      <c r="L217" s="455">
        <f t="shared" ca="1" si="3"/>
        <v>4503644.8339662654</v>
      </c>
      <c r="M217" s="471">
        <f t="shared" si="6"/>
        <v>0.05</v>
      </c>
      <c r="N217" s="475">
        <f t="shared" si="7"/>
        <v>57650</v>
      </c>
    </row>
    <row r="218" spans="7:14" ht="11.25" customHeight="1" x14ac:dyDescent="0.3">
      <c r="G218" s="470">
        <f t="shared" si="22"/>
        <v>18</v>
      </c>
      <c r="H218" s="470">
        <v>211</v>
      </c>
      <c r="I218" s="455">
        <f t="shared" ca="1" si="5"/>
        <v>4503644.8339662654</v>
      </c>
      <c r="J218" s="455">
        <f t="array" ref="J218">IFERROR(INDEX('Retirement Calculator'!K:K,MATCH('Lorri 401b'!N218,'Retirement Calculator'!A:A,0),0),0)</f>
        <v>16520.094745597391</v>
      </c>
      <c r="K218" s="455">
        <f t="shared" ca="1" si="2"/>
        <v>18696.353080086115</v>
      </c>
      <c r="L218" s="455">
        <f t="shared" ca="1" si="3"/>
        <v>4505821.092300754</v>
      </c>
      <c r="M218" s="471">
        <f t="shared" si="6"/>
        <v>0.05</v>
      </c>
      <c r="N218" s="475">
        <f t="shared" si="7"/>
        <v>57680</v>
      </c>
    </row>
    <row r="219" spans="7:14" ht="11.25" customHeight="1" x14ac:dyDescent="0.3">
      <c r="G219" s="470">
        <f t="shared" si="22"/>
        <v>18</v>
      </c>
      <c r="H219" s="470">
        <v>212</v>
      </c>
      <c r="I219" s="455">
        <f t="shared" ca="1" si="5"/>
        <v>4505821.092300754</v>
      </c>
      <c r="J219" s="455">
        <f t="array" ref="J219">IFERROR(INDEX('Retirement Calculator'!K:K,MATCH('Lorri 401b'!N219,'Retirement Calculator'!A:A,0),0),0)</f>
        <v>16520.094745597391</v>
      </c>
      <c r="K219" s="455">
        <f t="shared" ca="1" si="2"/>
        <v>18705.420823146484</v>
      </c>
      <c r="L219" s="455">
        <f t="shared" ca="1" si="3"/>
        <v>4508006.4183783028</v>
      </c>
      <c r="M219" s="471">
        <f t="shared" si="6"/>
        <v>0.05</v>
      </c>
      <c r="N219" s="475">
        <f t="shared" si="7"/>
        <v>57711</v>
      </c>
    </row>
    <row r="220" spans="7:14" ht="11.25" customHeight="1" x14ac:dyDescent="0.3">
      <c r="G220" s="470">
        <f t="shared" si="22"/>
        <v>18</v>
      </c>
      <c r="H220" s="470">
        <v>213</v>
      </c>
      <c r="I220" s="455">
        <f t="shared" ca="1" si="5"/>
        <v>4508006.4183783028</v>
      </c>
      <c r="J220" s="455">
        <f t="array" ref="J220">IFERROR(INDEX('Retirement Calculator'!K:K,MATCH('Lorri 401b'!N220,'Retirement Calculator'!A:A,0),0),0)</f>
        <v>16520.094745597391</v>
      </c>
      <c r="K220" s="455">
        <f t="shared" ca="1" si="2"/>
        <v>18714.526348469604</v>
      </c>
      <c r="L220" s="455">
        <f t="shared" ca="1" si="3"/>
        <v>4510200.8499811748</v>
      </c>
      <c r="M220" s="471">
        <f t="shared" si="6"/>
        <v>0.05</v>
      </c>
      <c r="N220" s="475">
        <f t="shared" si="7"/>
        <v>57742</v>
      </c>
    </row>
    <row r="221" spans="7:14" ht="11.25" customHeight="1" x14ac:dyDescent="0.3">
      <c r="G221" s="470">
        <f t="shared" si="22"/>
        <v>18</v>
      </c>
      <c r="H221" s="470">
        <v>214</v>
      </c>
      <c r="I221" s="455">
        <f t="shared" ca="1" si="5"/>
        <v>4510200.8499811748</v>
      </c>
      <c r="J221" s="455">
        <f t="array" ref="J221">IFERROR(INDEX('Retirement Calculator'!K:K,MATCH('Lorri 401b'!N221,'Retirement Calculator'!A:A,0),0),0)</f>
        <v>16520.094745597391</v>
      </c>
      <c r="K221" s="455">
        <f t="shared" ca="1" si="2"/>
        <v>18723.669813481571</v>
      </c>
      <c r="L221" s="455">
        <f t="shared" ca="1" si="3"/>
        <v>4512404.4250490582</v>
      </c>
      <c r="M221" s="471">
        <f t="shared" si="6"/>
        <v>0.05</v>
      </c>
      <c r="N221" s="475">
        <f t="shared" si="7"/>
        <v>57770</v>
      </c>
    </row>
    <row r="222" spans="7:14" ht="11.25" customHeight="1" x14ac:dyDescent="0.3">
      <c r="G222" s="470">
        <f t="shared" si="22"/>
        <v>18</v>
      </c>
      <c r="H222" s="470">
        <v>215</v>
      </c>
      <c r="I222" s="455">
        <f t="shared" ca="1" si="5"/>
        <v>4512404.4250490582</v>
      </c>
      <c r="J222" s="455">
        <f t="array" ref="J222">IFERROR(INDEX('Retirement Calculator'!K:K,MATCH('Lorri 401b'!N222,'Retirement Calculator'!A:A,0),0),0)</f>
        <v>16520.094745597391</v>
      </c>
      <c r="K222" s="455">
        <f t="shared" ca="1" si="2"/>
        <v>18732.851376264418</v>
      </c>
      <c r="L222" s="455">
        <f t="shared" ca="1" si="3"/>
        <v>4514617.1816797247</v>
      </c>
      <c r="M222" s="471">
        <f t="shared" si="6"/>
        <v>0.05</v>
      </c>
      <c r="N222" s="475">
        <f t="shared" si="7"/>
        <v>57801</v>
      </c>
    </row>
    <row r="223" spans="7:14" ht="11.25" customHeight="1" x14ac:dyDescent="0.3">
      <c r="G223" s="470">
        <f t="shared" si="22"/>
        <v>18</v>
      </c>
      <c r="H223" s="470">
        <v>216</v>
      </c>
      <c r="I223" s="455">
        <f t="shared" ca="1" si="5"/>
        <v>4514617.1816797247</v>
      </c>
      <c r="J223" s="455">
        <f t="array" ref="J223">IFERROR(INDEX('Retirement Calculator'!K:K,MATCH('Lorri 401b'!N223,'Retirement Calculator'!A:A,0),0),0)</f>
        <v>16520.094745597391</v>
      </c>
      <c r="K223" s="455">
        <f t="shared" ca="1" si="2"/>
        <v>18742.071195558863</v>
      </c>
      <c r="L223" s="455">
        <f t="shared" ca="1" si="3"/>
        <v>4516839.1581296856</v>
      </c>
      <c r="M223" s="471">
        <f t="shared" si="6"/>
        <v>0.05</v>
      </c>
      <c r="N223" s="475">
        <f t="shared" si="7"/>
        <v>57831</v>
      </c>
    </row>
    <row r="224" spans="7:14" ht="11.25" customHeight="1" x14ac:dyDescent="0.3">
      <c r="G224" s="470">
        <f>G223+1</f>
        <v>19</v>
      </c>
      <c r="H224" s="470">
        <v>217</v>
      </c>
      <c r="I224" s="455">
        <f t="shared" ca="1" si="5"/>
        <v>4516839.1581296856</v>
      </c>
      <c r="J224" s="455">
        <f t="array" ref="J224">IFERROR(INDEX('Retirement Calculator'!K:K,MATCH('Lorri 401b'!N224,'Retirement Calculator'!A:A,0),0),0)</f>
        <v>16520.094745597391</v>
      </c>
      <c r="K224" s="455">
        <f t="shared" ca="1" si="2"/>
        <v>18751.329430767033</v>
      </c>
      <c r="L224" s="455">
        <f t="shared" ca="1" si="3"/>
        <v>4519070.3928148551</v>
      </c>
      <c r="M224" s="471">
        <f t="shared" si="6"/>
        <v>0.05</v>
      </c>
      <c r="N224" s="475">
        <f t="shared" si="7"/>
        <v>57862</v>
      </c>
    </row>
    <row r="225" spans="7:14" ht="11.25" customHeight="1" x14ac:dyDescent="0.3">
      <c r="G225" s="470">
        <f t="shared" ref="G225:G235" si="23">G224</f>
        <v>19</v>
      </c>
      <c r="H225" s="470">
        <v>218</v>
      </c>
      <c r="I225" s="455">
        <f t="shared" ca="1" si="5"/>
        <v>4519070.3928148551</v>
      </c>
      <c r="J225" s="455">
        <f t="array" ref="J225">IFERROR(INDEX('Retirement Calculator'!K:K,MATCH('Lorri 401b'!N225,'Retirement Calculator'!A:A,0),0),0)</f>
        <v>16520.094745597391</v>
      </c>
      <c r="K225" s="455">
        <f t="shared" ca="1" si="2"/>
        <v>18760.626241955237</v>
      </c>
      <c r="L225" s="455">
        <f t="shared" ca="1" si="3"/>
        <v>4521310.9243112123</v>
      </c>
      <c r="M225" s="471">
        <f t="shared" si="6"/>
        <v>0.05</v>
      </c>
      <c r="N225" s="475">
        <f t="shared" si="7"/>
        <v>57892</v>
      </c>
    </row>
    <row r="226" spans="7:14" ht="11.25" customHeight="1" x14ac:dyDescent="0.3">
      <c r="G226" s="470">
        <f t="shared" si="23"/>
        <v>19</v>
      </c>
      <c r="H226" s="470">
        <v>219</v>
      </c>
      <c r="I226" s="455">
        <f t="shared" ca="1" si="5"/>
        <v>4521310.9243112123</v>
      </c>
      <c r="J226" s="455">
        <f t="array" ref="J226">IFERROR(INDEX('Retirement Calculator'!K:K,MATCH('Lorri 401b'!N226,'Retirement Calculator'!A:A,0),0),0)</f>
        <v>16520.094745597391</v>
      </c>
      <c r="K226" s="455">
        <f t="shared" ca="1" si="2"/>
        <v>18769.961789856727</v>
      </c>
      <c r="L226" s="455">
        <f t="shared" ca="1" si="3"/>
        <v>4523560.7913554711</v>
      </c>
      <c r="M226" s="471">
        <f t="shared" si="6"/>
        <v>0.05</v>
      </c>
      <c r="N226" s="475">
        <f t="shared" si="7"/>
        <v>57923</v>
      </c>
    </row>
    <row r="227" spans="7:14" ht="11.25" customHeight="1" x14ac:dyDescent="0.3">
      <c r="G227" s="470">
        <f t="shared" si="23"/>
        <v>19</v>
      </c>
      <c r="H227" s="470">
        <v>220</v>
      </c>
      <c r="I227" s="455">
        <f t="shared" ca="1" si="5"/>
        <v>4523560.7913554711</v>
      </c>
      <c r="J227" s="455">
        <f t="array" ref="J227">IFERROR(INDEX('Retirement Calculator'!K:K,MATCH('Lorri 401b'!N227,'Retirement Calculator'!A:A,0),0),0)</f>
        <v>16520.094745597391</v>
      </c>
      <c r="K227" s="455">
        <f t="shared" ca="1" si="2"/>
        <v>18779.336235874471</v>
      </c>
      <c r="L227" s="455">
        <f t="shared" ca="1" si="3"/>
        <v>4525820.0328457477</v>
      </c>
      <c r="M227" s="471">
        <f t="shared" si="6"/>
        <v>0.05</v>
      </c>
      <c r="N227" s="475">
        <f t="shared" si="7"/>
        <v>57954</v>
      </c>
    </row>
    <row r="228" spans="7:14" ht="11.25" customHeight="1" x14ac:dyDescent="0.3">
      <c r="G228" s="470">
        <f t="shared" si="23"/>
        <v>19</v>
      </c>
      <c r="H228" s="470">
        <v>221</v>
      </c>
      <c r="I228" s="455">
        <f t="shared" ca="1" si="5"/>
        <v>4525820.0328457477</v>
      </c>
      <c r="J228" s="455">
        <f t="array" ref="J228">IFERROR(INDEX('Retirement Calculator'!K:K,MATCH('Lorri 401b'!N228,'Retirement Calculator'!A:A,0),0),0)</f>
        <v>16520.094745597391</v>
      </c>
      <c r="K228" s="455">
        <f t="shared" ca="1" si="2"/>
        <v>18788.749742083957</v>
      </c>
      <c r="L228" s="455">
        <f t="shared" ca="1" si="3"/>
        <v>4528088.687842234</v>
      </c>
      <c r="M228" s="471">
        <f t="shared" si="6"/>
        <v>0.05</v>
      </c>
      <c r="N228" s="475">
        <f t="shared" si="7"/>
        <v>57984</v>
      </c>
    </row>
    <row r="229" spans="7:14" ht="11.25" customHeight="1" x14ac:dyDescent="0.3">
      <c r="G229" s="470">
        <f t="shared" si="23"/>
        <v>19</v>
      </c>
      <c r="H229" s="470">
        <v>222</v>
      </c>
      <c r="I229" s="455">
        <f t="shared" ca="1" si="5"/>
        <v>4528088.687842234</v>
      </c>
      <c r="J229" s="455">
        <f t="array" ref="J229">IFERROR(INDEX('Retirement Calculator'!K:K,MATCH('Lorri 401b'!N229,'Retirement Calculator'!A:A,0),0),0)</f>
        <v>16520.094745597391</v>
      </c>
      <c r="K229" s="455">
        <f t="shared" ca="1" si="2"/>
        <v>18798.202471235985</v>
      </c>
      <c r="L229" s="455">
        <f t="shared" ca="1" si="3"/>
        <v>4530366.795567872</v>
      </c>
      <c r="M229" s="471">
        <f t="shared" si="6"/>
        <v>0.05</v>
      </c>
      <c r="N229" s="475">
        <f t="shared" si="7"/>
        <v>58015</v>
      </c>
    </row>
    <row r="230" spans="7:14" ht="11.25" customHeight="1" x14ac:dyDescent="0.3">
      <c r="G230" s="470">
        <f t="shared" si="23"/>
        <v>19</v>
      </c>
      <c r="H230" s="470">
        <v>223</v>
      </c>
      <c r="I230" s="455">
        <f t="shared" ca="1" si="5"/>
        <v>4530366.795567872</v>
      </c>
      <c r="J230" s="455">
        <f t="array" ref="J230">IFERROR(INDEX('Retirement Calculator'!K:K,MATCH('Lorri 401b'!N230,'Retirement Calculator'!A:A,0),0),0)</f>
        <v>16520.094745597391</v>
      </c>
      <c r="K230" s="455">
        <f t="shared" ca="1" si="2"/>
        <v>18807.694586759477</v>
      </c>
      <c r="L230" s="455">
        <f t="shared" ca="1" si="3"/>
        <v>4532654.3954090336</v>
      </c>
      <c r="M230" s="471">
        <f t="shared" si="6"/>
        <v>0.05</v>
      </c>
      <c r="N230" s="475">
        <f t="shared" si="7"/>
        <v>58045</v>
      </c>
    </row>
    <row r="231" spans="7:14" ht="11.25" customHeight="1" x14ac:dyDescent="0.3">
      <c r="G231" s="470">
        <f t="shared" si="23"/>
        <v>19</v>
      </c>
      <c r="H231" s="470">
        <v>224</v>
      </c>
      <c r="I231" s="455">
        <f t="shared" ca="1" si="5"/>
        <v>4532654.3954090336</v>
      </c>
      <c r="J231" s="455">
        <f t="array" ref="J231">IFERROR(INDEX('Retirement Calculator'!K:K,MATCH('Lorri 401b'!N231,'Retirement Calculator'!A:A,0),0),0)</f>
        <v>16520.094745597391</v>
      </c>
      <c r="K231" s="455">
        <f t="shared" ca="1" si="2"/>
        <v>18817.226252764314</v>
      </c>
      <c r="L231" s="455">
        <f t="shared" ca="1" si="3"/>
        <v>4534951.5269162003</v>
      </c>
      <c r="M231" s="471">
        <f t="shared" si="6"/>
        <v>0.05</v>
      </c>
      <c r="N231" s="475">
        <f t="shared" si="7"/>
        <v>58076</v>
      </c>
    </row>
    <row r="232" spans="7:14" ht="11.25" customHeight="1" x14ac:dyDescent="0.3">
      <c r="G232" s="470">
        <f t="shared" si="23"/>
        <v>19</v>
      </c>
      <c r="H232" s="470">
        <v>225</v>
      </c>
      <c r="I232" s="455">
        <f t="shared" ca="1" si="5"/>
        <v>4534951.5269162003</v>
      </c>
      <c r="J232" s="455">
        <f t="array" ref="J232">IFERROR(INDEX('Retirement Calculator'!K:K,MATCH('Lorri 401b'!N232,'Retirement Calculator'!A:A,0),0),0)</f>
        <v>16520.094745597391</v>
      </c>
      <c r="K232" s="455">
        <f t="shared" ca="1" si="2"/>
        <v>18826.797634044178</v>
      </c>
      <c r="L232" s="455">
        <f t="shared" ca="1" si="3"/>
        <v>4537258.2298046462</v>
      </c>
      <c r="M232" s="471">
        <f t="shared" si="6"/>
        <v>0.05</v>
      </c>
      <c r="N232" s="475">
        <f t="shared" si="7"/>
        <v>58107</v>
      </c>
    </row>
    <row r="233" spans="7:14" ht="11.25" customHeight="1" x14ac:dyDescent="0.3">
      <c r="G233" s="470">
        <f t="shared" si="23"/>
        <v>19</v>
      </c>
      <c r="H233" s="470">
        <v>226</v>
      </c>
      <c r="I233" s="455">
        <f t="shared" ca="1" si="5"/>
        <v>4537258.2298046462</v>
      </c>
      <c r="J233" s="455">
        <f t="array" ref="J233">IFERROR(INDEX('Retirement Calculator'!K:K,MATCH('Lorri 401b'!N233,'Retirement Calculator'!A:A,0),0),0)</f>
        <v>16520.094745597391</v>
      </c>
      <c r="K233" s="455">
        <f t="shared" ca="1" si="2"/>
        <v>18836.408896079367</v>
      </c>
      <c r="L233" s="455">
        <f t="shared" ca="1" si="3"/>
        <v>4539574.5439551277</v>
      </c>
      <c r="M233" s="471">
        <f t="shared" si="6"/>
        <v>0.05</v>
      </c>
      <c r="N233" s="475">
        <f t="shared" si="7"/>
        <v>58135</v>
      </c>
    </row>
    <row r="234" spans="7:14" ht="11.25" customHeight="1" x14ac:dyDescent="0.3">
      <c r="G234" s="470">
        <f t="shared" si="23"/>
        <v>19</v>
      </c>
      <c r="H234" s="470">
        <v>227</v>
      </c>
      <c r="I234" s="455">
        <f t="shared" ca="1" si="5"/>
        <v>4539574.5439551277</v>
      </c>
      <c r="J234" s="455">
        <f t="array" ref="J234">IFERROR(INDEX('Retirement Calculator'!K:K,MATCH('Lorri 401b'!N234,'Retirement Calculator'!A:A,0),0),0)</f>
        <v>16520.094745597391</v>
      </c>
      <c r="K234" s="455">
        <f t="shared" ca="1" si="2"/>
        <v>18846.060205039706</v>
      </c>
      <c r="L234" s="455">
        <f t="shared" ca="1" si="3"/>
        <v>4541900.5094145695</v>
      </c>
      <c r="M234" s="471">
        <f t="shared" si="6"/>
        <v>0.05</v>
      </c>
      <c r="N234" s="475">
        <f t="shared" si="7"/>
        <v>58166</v>
      </c>
    </row>
    <row r="235" spans="7:14" ht="11.25" customHeight="1" x14ac:dyDescent="0.3">
      <c r="G235" s="470">
        <f t="shared" si="23"/>
        <v>19</v>
      </c>
      <c r="H235" s="470">
        <v>228</v>
      </c>
      <c r="I235" s="455">
        <f t="shared" ca="1" si="5"/>
        <v>4541900.5094145695</v>
      </c>
      <c r="J235" s="455">
        <f t="array" ref="J235">IFERROR(INDEX('Retirement Calculator'!K:K,MATCH('Lorri 401b'!N235,'Retirement Calculator'!A:A,0),0),0)</f>
        <v>16520.094745597391</v>
      </c>
      <c r="K235" s="455">
        <f t="shared" ca="1" si="2"/>
        <v>18855.751727787381</v>
      </c>
      <c r="L235" s="455">
        <f t="shared" ca="1" si="3"/>
        <v>4544236.1663967595</v>
      </c>
      <c r="M235" s="471">
        <f t="shared" si="6"/>
        <v>0.05</v>
      </c>
      <c r="N235" s="475">
        <f t="shared" si="7"/>
        <v>58196</v>
      </c>
    </row>
    <row r="236" spans="7:14" ht="11.25" customHeight="1" x14ac:dyDescent="0.3">
      <c r="G236" s="470">
        <f>G235+1</f>
        <v>20</v>
      </c>
      <c r="H236" s="470">
        <v>229</v>
      </c>
      <c r="I236" s="455">
        <f t="shared" ca="1" si="5"/>
        <v>4544236.1663967595</v>
      </c>
      <c r="J236" s="455">
        <f t="array" ref="J236">IFERROR(INDEX('Retirement Calculator'!K:K,MATCH('Lorri 401b'!N236,'Retirement Calculator'!A:A,0),0),0)</f>
        <v>16520.094745597391</v>
      </c>
      <c r="K236" s="455">
        <f t="shared" ca="1" si="2"/>
        <v>18865.483631879841</v>
      </c>
      <c r="L236" s="455">
        <f t="shared" ca="1" si="3"/>
        <v>4546581.5552830417</v>
      </c>
      <c r="M236" s="471">
        <f t="shared" si="6"/>
        <v>0.05</v>
      </c>
      <c r="N236" s="475">
        <f t="shared" si="7"/>
        <v>58227</v>
      </c>
    </row>
    <row r="237" spans="7:14" ht="11.25" customHeight="1" x14ac:dyDescent="0.3">
      <c r="G237" s="470">
        <f t="shared" ref="G237:G247" si="24">G236</f>
        <v>20</v>
      </c>
      <c r="H237" s="470">
        <v>230</v>
      </c>
      <c r="I237" s="455">
        <f t="shared" ca="1" si="5"/>
        <v>4546581.5552830417</v>
      </c>
      <c r="J237" s="455">
        <f t="array" ref="J237">IFERROR(INDEX('Retirement Calculator'!K:K,MATCH('Lorri 401b'!N237,'Retirement Calculator'!A:A,0),0),0)</f>
        <v>16520.094745597391</v>
      </c>
      <c r="K237" s="455">
        <f t="shared" ca="1" si="2"/>
        <v>18875.256085572684</v>
      </c>
      <c r="L237" s="455">
        <f t="shared" ca="1" si="3"/>
        <v>4548936.7166230166</v>
      </c>
      <c r="M237" s="471">
        <f t="shared" si="6"/>
        <v>0.05</v>
      </c>
      <c r="N237" s="475">
        <f t="shared" si="7"/>
        <v>58257</v>
      </c>
    </row>
    <row r="238" spans="7:14" ht="11.25" customHeight="1" x14ac:dyDescent="0.3">
      <c r="G238" s="470">
        <f t="shared" si="24"/>
        <v>20</v>
      </c>
      <c r="H238" s="470">
        <v>231</v>
      </c>
      <c r="I238" s="455">
        <f t="shared" ca="1" si="5"/>
        <v>4548936.7166230166</v>
      </c>
      <c r="J238" s="455">
        <f t="array" ref="J238">IFERROR(INDEX('Retirement Calculator'!K:K,MATCH('Lorri 401b'!N238,'Retirement Calculator'!A:A,0),0),0)</f>
        <v>16520.094745597391</v>
      </c>
      <c r="K238" s="455">
        <f t="shared" ca="1" si="2"/>
        <v>18885.069257822579</v>
      </c>
      <c r="L238" s="455">
        <f t="shared" ca="1" si="3"/>
        <v>4551301.6911352417</v>
      </c>
      <c r="M238" s="471">
        <f t="shared" si="6"/>
        <v>0.05</v>
      </c>
      <c r="N238" s="475">
        <f t="shared" si="7"/>
        <v>58288</v>
      </c>
    </row>
    <row r="239" spans="7:14" ht="11.25" customHeight="1" x14ac:dyDescent="0.3">
      <c r="G239" s="470">
        <f t="shared" si="24"/>
        <v>20</v>
      </c>
      <c r="H239" s="470">
        <v>232</v>
      </c>
      <c r="I239" s="455">
        <f t="shared" ca="1" si="5"/>
        <v>4551301.6911352417</v>
      </c>
      <c r="J239" s="455">
        <f t="array" ref="J239">IFERROR(INDEX('Retirement Calculator'!K:K,MATCH('Lorri 401b'!N239,'Retirement Calculator'!A:A,0),0),0)</f>
        <v>16520.094745597391</v>
      </c>
      <c r="K239" s="455">
        <f t="shared" ca="1" si="2"/>
        <v>18894.923318290181</v>
      </c>
      <c r="L239" s="455">
        <f t="shared" ca="1" si="3"/>
        <v>4553676.519707934</v>
      </c>
      <c r="M239" s="471">
        <f t="shared" si="6"/>
        <v>0.05</v>
      </c>
      <c r="N239" s="475">
        <f t="shared" si="7"/>
        <v>58319</v>
      </c>
    </row>
    <row r="240" spans="7:14" ht="11.25" customHeight="1" x14ac:dyDescent="0.3">
      <c r="G240" s="470">
        <f t="shared" si="24"/>
        <v>20</v>
      </c>
      <c r="H240" s="470">
        <v>233</v>
      </c>
      <c r="I240" s="455">
        <f t="shared" ca="1" si="5"/>
        <v>4553676.519707934</v>
      </c>
      <c r="J240" s="455">
        <f t="array" ref="J240">IFERROR(INDEX('Retirement Calculator'!K:K,MATCH('Lorri 401b'!N240,'Retirement Calculator'!A:A,0),0),0)</f>
        <v>16520.094745597391</v>
      </c>
      <c r="K240" s="455">
        <f t="shared" ca="1" si="2"/>
        <v>18904.818437343067</v>
      </c>
      <c r="L240" s="455">
        <f t="shared" ca="1" si="3"/>
        <v>4556061.2433996797</v>
      </c>
      <c r="M240" s="471">
        <f t="shared" si="6"/>
        <v>0.05</v>
      </c>
      <c r="N240" s="475">
        <f t="shared" si="7"/>
        <v>58349</v>
      </c>
    </row>
    <row r="241" spans="7:14" ht="11.25" customHeight="1" x14ac:dyDescent="0.3">
      <c r="G241" s="470">
        <f t="shared" si="24"/>
        <v>20</v>
      </c>
      <c r="H241" s="470">
        <v>234</v>
      </c>
      <c r="I241" s="455">
        <f t="shared" ca="1" si="5"/>
        <v>4556061.2433996797</v>
      </c>
      <c r="J241" s="455">
        <f t="array" ref="J241">IFERROR(INDEX('Retirement Calculator'!K:K,MATCH('Lorri 401b'!N241,'Retirement Calculator'!A:A,0),0),0)</f>
        <v>16520.094745597391</v>
      </c>
      <c r="K241" s="455">
        <f t="shared" ca="1" si="2"/>
        <v>18914.754786058675</v>
      </c>
      <c r="L241" s="455">
        <f t="shared" ca="1" si="3"/>
        <v>4558455.9034401402</v>
      </c>
      <c r="M241" s="471">
        <f t="shared" si="6"/>
        <v>0.05</v>
      </c>
      <c r="N241" s="475">
        <f t="shared" si="7"/>
        <v>58380</v>
      </c>
    </row>
    <row r="242" spans="7:14" ht="11.25" customHeight="1" x14ac:dyDescent="0.3">
      <c r="G242" s="470">
        <f t="shared" si="24"/>
        <v>20</v>
      </c>
      <c r="H242" s="470">
        <v>235</v>
      </c>
      <c r="I242" s="455">
        <f t="shared" ca="1" si="5"/>
        <v>4558455.9034401402</v>
      </c>
      <c r="J242" s="455">
        <f t="array" ref="J242">IFERROR(INDEX('Retirement Calculator'!K:K,MATCH('Lorri 401b'!N242,'Retirement Calculator'!A:A,0),0),0)</f>
        <v>16520.094745597391</v>
      </c>
      <c r="K242" s="455">
        <f t="shared" ca="1" si="2"/>
        <v>18924.73253622726</v>
      </c>
      <c r="L242" s="455">
        <f t="shared" ca="1" si="3"/>
        <v>4560860.5412307698</v>
      </c>
      <c r="M242" s="471">
        <f t="shared" si="6"/>
        <v>0.05</v>
      </c>
      <c r="N242" s="475">
        <f t="shared" si="7"/>
        <v>58410</v>
      </c>
    </row>
    <row r="243" spans="7:14" ht="11.25" customHeight="1" x14ac:dyDescent="0.3">
      <c r="G243" s="470">
        <f t="shared" si="24"/>
        <v>20</v>
      </c>
      <c r="H243" s="470">
        <v>236</v>
      </c>
      <c r="I243" s="455">
        <f t="shared" ca="1" si="5"/>
        <v>4560860.5412307698</v>
      </c>
      <c r="J243" s="455">
        <f t="array" ref="J243">IFERROR(INDEX('Retirement Calculator'!K:K,MATCH('Lorri 401b'!N243,'Retirement Calculator'!A:A,0),0),0)</f>
        <v>16520.094745597391</v>
      </c>
      <c r="K243" s="455">
        <f t="shared" ca="1" si="2"/>
        <v>18934.751860354882</v>
      </c>
      <c r="L243" s="455">
        <f t="shared" ca="1" si="3"/>
        <v>4563275.1983455271</v>
      </c>
      <c r="M243" s="471">
        <f t="shared" si="6"/>
        <v>0.05</v>
      </c>
      <c r="N243" s="475">
        <f t="shared" si="7"/>
        <v>58441</v>
      </c>
    </row>
    <row r="244" spans="7:14" ht="11.25" customHeight="1" x14ac:dyDescent="0.3">
      <c r="G244" s="470">
        <f t="shared" si="24"/>
        <v>20</v>
      </c>
      <c r="H244" s="470">
        <v>237</v>
      </c>
      <c r="I244" s="455">
        <f t="shared" ca="1" si="5"/>
        <v>4563275.1983455271</v>
      </c>
      <c r="J244" s="455">
        <f t="array" ref="J244">IFERROR(INDEX('Retirement Calculator'!K:K,MATCH('Lorri 401b'!N244,'Retirement Calculator'!A:A,0),0),0)</f>
        <v>16520.094745597391</v>
      </c>
      <c r="K244" s="455">
        <f t="shared" ca="1" si="2"/>
        <v>18944.812931666373</v>
      </c>
      <c r="L244" s="455">
        <f t="shared" ca="1" si="3"/>
        <v>4565699.9165315954</v>
      </c>
      <c r="M244" s="471">
        <f t="shared" si="6"/>
        <v>0.05</v>
      </c>
      <c r="N244" s="475">
        <f t="shared" si="7"/>
        <v>58472</v>
      </c>
    </row>
    <row r="245" spans="7:14" ht="11.25" customHeight="1" x14ac:dyDescent="0.3">
      <c r="G245" s="470">
        <f t="shared" si="24"/>
        <v>20</v>
      </c>
      <c r="H245" s="470">
        <v>238</v>
      </c>
      <c r="I245" s="455">
        <f t="shared" ca="1" si="5"/>
        <v>4565699.9165315954</v>
      </c>
      <c r="J245" s="455">
        <f t="array" ref="J245">IFERROR(INDEX('Retirement Calculator'!K:K,MATCH('Lorri 401b'!N245,'Retirement Calculator'!A:A,0),0),0)</f>
        <v>16520.094745597391</v>
      </c>
      <c r="K245" s="455">
        <f t="shared" ca="1" si="2"/>
        <v>18954.915924108322</v>
      </c>
      <c r="L245" s="455">
        <f t="shared" ca="1" si="3"/>
        <v>4568134.7377101062</v>
      </c>
      <c r="M245" s="471">
        <f t="shared" si="6"/>
        <v>0.05</v>
      </c>
      <c r="N245" s="475">
        <f t="shared" si="7"/>
        <v>58501</v>
      </c>
    </row>
    <row r="246" spans="7:14" ht="11.25" customHeight="1" x14ac:dyDescent="0.3">
      <c r="G246" s="470">
        <f t="shared" si="24"/>
        <v>20</v>
      </c>
      <c r="H246" s="470">
        <v>239</v>
      </c>
      <c r="I246" s="455">
        <f t="shared" ca="1" si="5"/>
        <v>4568134.7377101062</v>
      </c>
      <c r="J246" s="455">
        <f t="array" ref="J246">IFERROR(INDEX('Retirement Calculator'!K:K,MATCH('Lorri 401b'!N246,'Retirement Calculator'!A:A,0),0),0)</f>
        <v>16520.094745597391</v>
      </c>
      <c r="K246" s="455">
        <f t="shared" ca="1" si="2"/>
        <v>18965.061012352118</v>
      </c>
      <c r="L246" s="455">
        <f t="shared" ca="1" si="3"/>
        <v>4570579.7039768603</v>
      </c>
      <c r="M246" s="471">
        <f t="shared" si="6"/>
        <v>0.05</v>
      </c>
      <c r="N246" s="475">
        <f t="shared" si="7"/>
        <v>58532</v>
      </c>
    </row>
    <row r="247" spans="7:14" ht="11.25" customHeight="1" x14ac:dyDescent="0.3">
      <c r="G247" s="470">
        <f t="shared" si="24"/>
        <v>20</v>
      </c>
      <c r="H247" s="470">
        <v>240</v>
      </c>
      <c r="I247" s="455">
        <f t="shared" ca="1" si="5"/>
        <v>4570579.7039768603</v>
      </c>
      <c r="J247" s="455">
        <f t="array" ref="J247">IFERROR(INDEX('Retirement Calculator'!K:K,MATCH('Lorri 401b'!N247,'Retirement Calculator'!A:A,0),0),0)</f>
        <v>16520.094745597391</v>
      </c>
      <c r="K247" s="455">
        <f t="shared" ca="1" si="2"/>
        <v>18975.248371796926</v>
      </c>
      <c r="L247" s="455">
        <f t="shared" ca="1" si="3"/>
        <v>4573034.8576030592</v>
      </c>
      <c r="M247" s="471">
        <f t="shared" si="6"/>
        <v>0.05</v>
      </c>
      <c r="N247" s="475">
        <f t="shared" si="7"/>
        <v>58562</v>
      </c>
    </row>
    <row r="248" spans="7:14" ht="11.25" customHeight="1" x14ac:dyDescent="0.3">
      <c r="G248" s="470">
        <f>G247+1</f>
        <v>21</v>
      </c>
      <c r="H248" s="470">
        <v>241</v>
      </c>
      <c r="I248" s="455">
        <f t="shared" ca="1" si="5"/>
        <v>4573034.8576030592</v>
      </c>
      <c r="J248" s="455">
        <f t="array" ref="J248">IFERROR(INDEX('Retirement Calculator'!K:K,MATCH('Lorri 401b'!N248,'Retirement Calculator'!A:A,0),0),0)</f>
        <v>16520.094745597391</v>
      </c>
      <c r="K248" s="455">
        <f t="shared" ca="1" si="2"/>
        <v>18985.478178572754</v>
      </c>
      <c r="L248" s="455">
        <f t="shared" ca="1" si="3"/>
        <v>4575500.2410360342</v>
      </c>
      <c r="M248" s="471">
        <f t="shared" si="6"/>
        <v>0.05</v>
      </c>
      <c r="N248" s="475">
        <f t="shared" si="7"/>
        <v>58593</v>
      </c>
    </row>
    <row r="249" spans="7:14" ht="11.25" customHeight="1" x14ac:dyDescent="0.3">
      <c r="G249" s="470">
        <f t="shared" ref="G249:G259" si="25">G248</f>
        <v>21</v>
      </c>
      <c r="H249" s="470">
        <v>242</v>
      </c>
      <c r="I249" s="455">
        <f t="shared" ca="1" si="5"/>
        <v>4575500.2410360342</v>
      </c>
      <c r="J249" s="455">
        <f t="array" ref="J249">IFERROR(INDEX('Retirement Calculator'!K:K,MATCH('Lorri 401b'!N249,'Retirement Calculator'!A:A,0),0),0)</f>
        <v>16520.094745597391</v>
      </c>
      <c r="K249" s="455">
        <f t="shared" ca="1" si="2"/>
        <v>18995.750609543484</v>
      </c>
      <c r="L249" s="455">
        <f t="shared" ca="1" si="3"/>
        <v>4577975.8968999796</v>
      </c>
      <c r="M249" s="471">
        <f t="shared" si="6"/>
        <v>0.05</v>
      </c>
      <c r="N249" s="475">
        <f t="shared" si="7"/>
        <v>58623</v>
      </c>
    </row>
    <row r="250" spans="7:14" ht="11.25" customHeight="1" x14ac:dyDescent="0.3">
      <c r="G250" s="470">
        <f t="shared" si="25"/>
        <v>21</v>
      </c>
      <c r="H250" s="470">
        <v>243</v>
      </c>
      <c r="I250" s="455">
        <f t="shared" ca="1" si="5"/>
        <v>4577975.8968999796</v>
      </c>
      <c r="J250" s="455">
        <f t="array" ref="J250">IFERROR(INDEX('Retirement Calculator'!K:K,MATCH('Lorri 401b'!N250,'Retirement Calculator'!A:A,0),0),0)</f>
        <v>16520.094745597391</v>
      </c>
      <c r="K250" s="455">
        <f t="shared" ca="1" si="2"/>
        <v>19006.065842309923</v>
      </c>
      <c r="L250" s="455">
        <f t="shared" ca="1" si="3"/>
        <v>4580461.8679966917</v>
      </c>
      <c r="M250" s="471">
        <f t="shared" si="6"/>
        <v>0.05</v>
      </c>
      <c r="N250" s="475">
        <f t="shared" si="7"/>
        <v>58654</v>
      </c>
    </row>
    <row r="251" spans="7:14" ht="11.25" customHeight="1" x14ac:dyDescent="0.3">
      <c r="G251" s="470">
        <f t="shared" si="25"/>
        <v>21</v>
      </c>
      <c r="H251" s="470">
        <v>244</v>
      </c>
      <c r="I251" s="455">
        <f t="shared" ca="1" si="5"/>
        <v>4580461.8679966917</v>
      </c>
      <c r="J251" s="455">
        <f t="array" ref="J251">IFERROR(INDEX('Retirement Calculator'!K:K,MATCH('Lorri 401b'!N251,'Retirement Calculator'!A:A,0),0),0)</f>
        <v>16520.094745597391</v>
      </c>
      <c r="K251" s="455">
        <f t="shared" ca="1" si="2"/>
        <v>19016.42405521289</v>
      </c>
      <c r="L251" s="455">
        <f t="shared" ca="1" si="3"/>
        <v>4582958.197306307</v>
      </c>
      <c r="M251" s="471">
        <f t="shared" si="6"/>
        <v>0.05</v>
      </c>
      <c r="N251" s="475">
        <f t="shared" si="7"/>
        <v>58685</v>
      </c>
    </row>
    <row r="252" spans="7:14" ht="11.25" customHeight="1" x14ac:dyDescent="0.3">
      <c r="G252" s="470">
        <f t="shared" si="25"/>
        <v>21</v>
      </c>
      <c r="H252" s="470">
        <v>245</v>
      </c>
      <c r="I252" s="455">
        <f t="shared" ca="1" si="5"/>
        <v>4582958.197306307</v>
      </c>
      <c r="J252" s="455">
        <f t="array" ref="J252">IFERROR(INDEX('Retirement Calculator'!K:K,MATCH('Lorri 401b'!N252,'Retirement Calculator'!A:A,0),0),0)</f>
        <v>16520.094745597391</v>
      </c>
      <c r="K252" s="455">
        <f t="shared" ca="1" si="2"/>
        <v>19026.825427336287</v>
      </c>
      <c r="L252" s="455">
        <f t="shared" ca="1" si="3"/>
        <v>4585464.9279880458</v>
      </c>
      <c r="M252" s="471">
        <f t="shared" si="6"/>
        <v>0.05</v>
      </c>
      <c r="N252" s="475">
        <f t="shared" si="7"/>
        <v>58715</v>
      </c>
    </row>
    <row r="253" spans="7:14" ht="11.25" customHeight="1" x14ac:dyDescent="0.3">
      <c r="G253" s="470">
        <f t="shared" si="25"/>
        <v>21</v>
      </c>
      <c r="H253" s="470">
        <v>246</v>
      </c>
      <c r="I253" s="455">
        <f t="shared" ca="1" si="5"/>
        <v>4585464.9279880458</v>
      </c>
      <c r="J253" s="455">
        <f t="array" ref="J253">IFERROR(INDEX('Retirement Calculator'!K:K,MATCH('Lorri 401b'!N253,'Retirement Calculator'!A:A,0),0),0)</f>
        <v>16520.094745597391</v>
      </c>
      <c r="K253" s="455">
        <f t="shared" ca="1" si="2"/>
        <v>19037.270138510201</v>
      </c>
      <c r="L253" s="455">
        <f t="shared" ca="1" si="3"/>
        <v>4587982.1033809585</v>
      </c>
      <c r="M253" s="471">
        <f t="shared" si="6"/>
        <v>0.05</v>
      </c>
      <c r="N253" s="475">
        <f t="shared" si="7"/>
        <v>58746</v>
      </c>
    </row>
    <row r="254" spans="7:14" ht="11.25" customHeight="1" x14ac:dyDescent="0.3">
      <c r="G254" s="470">
        <f t="shared" si="25"/>
        <v>21</v>
      </c>
      <c r="H254" s="470">
        <v>247</v>
      </c>
      <c r="I254" s="455">
        <f t="shared" ca="1" si="5"/>
        <v>4587982.1033809585</v>
      </c>
      <c r="J254" s="455">
        <f t="array" ref="J254">IFERROR(INDEX('Retirement Calculator'!K:K,MATCH('Lorri 401b'!N254,'Retirement Calculator'!A:A,0),0),0)</f>
        <v>16520.094745597391</v>
      </c>
      <c r="K254" s="455">
        <f t="shared" ca="1" si="2"/>
        <v>19047.758369314004</v>
      </c>
      <c r="L254" s="455">
        <f t="shared" ca="1" si="3"/>
        <v>4590509.7670046743</v>
      </c>
      <c r="M254" s="471">
        <f t="shared" si="6"/>
        <v>0.05</v>
      </c>
      <c r="N254" s="475">
        <f t="shared" si="7"/>
        <v>58776</v>
      </c>
    </row>
    <row r="255" spans="7:14" ht="11.25" customHeight="1" x14ac:dyDescent="0.3">
      <c r="G255" s="470">
        <f t="shared" si="25"/>
        <v>21</v>
      </c>
      <c r="H255" s="470">
        <v>248</v>
      </c>
      <c r="I255" s="455">
        <f t="shared" ca="1" si="5"/>
        <v>4590509.7670046743</v>
      </c>
      <c r="J255" s="455">
        <f t="array" ref="J255">IFERROR(INDEX('Retirement Calculator'!K:K,MATCH('Lorri 401b'!N255,'Retirement Calculator'!A:A,0),0),0)</f>
        <v>16520.094745597391</v>
      </c>
      <c r="K255" s="455">
        <f t="shared" ca="1" si="2"/>
        <v>19058.290301079483</v>
      </c>
      <c r="L255" s="455">
        <f t="shared" ca="1" si="3"/>
        <v>4593047.9625601564</v>
      </c>
      <c r="M255" s="471">
        <f t="shared" si="6"/>
        <v>0.05</v>
      </c>
      <c r="N255" s="475">
        <f t="shared" si="7"/>
        <v>58807</v>
      </c>
    </row>
    <row r="256" spans="7:14" ht="11.25" customHeight="1" x14ac:dyDescent="0.3">
      <c r="G256" s="470">
        <f t="shared" si="25"/>
        <v>21</v>
      </c>
      <c r="H256" s="470">
        <v>249</v>
      </c>
      <c r="I256" s="455">
        <f t="shared" ca="1" si="5"/>
        <v>4593047.9625601564</v>
      </c>
      <c r="J256" s="455">
        <f t="array" ref="J256">IFERROR(INDEX('Retirement Calculator'!K:K,MATCH('Lorri 401b'!N256,'Retirement Calculator'!A:A,0),0),0)</f>
        <v>16520.094745597391</v>
      </c>
      <c r="K256" s="455">
        <f t="shared" ca="1" si="2"/>
        <v>19068.866115893994</v>
      </c>
      <c r="L256" s="455">
        <f t="shared" ca="1" si="3"/>
        <v>4595596.7339304527</v>
      </c>
      <c r="M256" s="471">
        <f t="shared" si="6"/>
        <v>0.05</v>
      </c>
      <c r="N256" s="475">
        <f t="shared" si="7"/>
        <v>58838</v>
      </c>
    </row>
    <row r="257" spans="7:14" ht="11.25" customHeight="1" x14ac:dyDescent="0.3">
      <c r="G257" s="470">
        <f t="shared" si="25"/>
        <v>21</v>
      </c>
      <c r="H257" s="470">
        <v>250</v>
      </c>
      <c r="I257" s="455">
        <f t="shared" ca="1" si="5"/>
        <v>4595596.7339304527</v>
      </c>
      <c r="J257" s="455">
        <f t="array" ref="J257">IFERROR(INDEX('Retirement Calculator'!K:K,MATCH('Lorri 401b'!N257,'Retirement Calculator'!A:A,0),0),0)</f>
        <v>16520.094745597391</v>
      </c>
      <c r="K257" s="455">
        <f t="shared" ca="1" si="2"/>
        <v>19079.485996603562</v>
      </c>
      <c r="L257" s="455">
        <f t="shared" ca="1" si="3"/>
        <v>4598156.1251814589</v>
      </c>
      <c r="M257" s="471">
        <f t="shared" si="6"/>
        <v>0.05</v>
      </c>
      <c r="N257" s="475">
        <f t="shared" si="7"/>
        <v>58866</v>
      </c>
    </row>
    <row r="258" spans="7:14" ht="11.25" customHeight="1" x14ac:dyDescent="0.3">
      <c r="G258" s="470">
        <f t="shared" si="25"/>
        <v>21</v>
      </c>
      <c r="H258" s="470">
        <v>251</v>
      </c>
      <c r="I258" s="455">
        <f t="shared" ca="1" si="5"/>
        <v>4598156.1251814589</v>
      </c>
      <c r="J258" s="455">
        <f t="array" ref="J258">IFERROR(INDEX('Retirement Calculator'!K:K,MATCH('Lorri 401b'!N258,'Retirement Calculator'!A:A,0),0),0)</f>
        <v>16520.094745597391</v>
      </c>
      <c r="K258" s="455">
        <f t="shared" ca="1" si="2"/>
        <v>19090.150126816086</v>
      </c>
      <c r="L258" s="455">
        <f t="shared" ca="1" si="3"/>
        <v>4600726.1805626769</v>
      </c>
      <c r="M258" s="471">
        <f t="shared" si="6"/>
        <v>0.05</v>
      </c>
      <c r="N258" s="475">
        <f t="shared" si="7"/>
        <v>58897</v>
      </c>
    </row>
    <row r="259" spans="7:14" ht="11.25" customHeight="1" x14ac:dyDescent="0.3">
      <c r="G259" s="470">
        <f t="shared" si="25"/>
        <v>21</v>
      </c>
      <c r="H259" s="470">
        <v>252</v>
      </c>
      <c r="I259" s="455">
        <f t="shared" ca="1" si="5"/>
        <v>4600726.1805626769</v>
      </c>
      <c r="J259" s="455">
        <f t="array" ref="J259">IFERROR(INDEX('Retirement Calculator'!K:K,MATCH('Lorri 401b'!N259,'Retirement Calculator'!A:A,0),0),0)</f>
        <v>16520.094745597391</v>
      </c>
      <c r="K259" s="455">
        <f t="shared" ca="1" si="2"/>
        <v>19100.858690904497</v>
      </c>
      <c r="L259" s="455">
        <f t="shared" ca="1" si="3"/>
        <v>4603306.9445079835</v>
      </c>
      <c r="M259" s="471">
        <f t="shared" si="6"/>
        <v>0.05</v>
      </c>
      <c r="N259" s="475">
        <f t="shared" si="7"/>
        <v>58927</v>
      </c>
    </row>
    <row r="260" spans="7:14" ht="11.25" customHeight="1" x14ac:dyDescent="0.3">
      <c r="G260" s="470">
        <f>G259+1</f>
        <v>22</v>
      </c>
      <c r="H260" s="470">
        <v>253</v>
      </c>
      <c r="I260" s="455">
        <f t="shared" ca="1" si="5"/>
        <v>4603306.9445079835</v>
      </c>
      <c r="J260" s="455">
        <f t="array" ref="J260">IFERROR(INDEX('Retirement Calculator'!K:K,MATCH('Lorri 401b'!N260,'Retirement Calculator'!A:A,0),0),0)</f>
        <v>16520.094745597391</v>
      </c>
      <c r="K260" s="455">
        <f t="shared" ca="1" si="2"/>
        <v>19111.611874009941</v>
      </c>
      <c r="L260" s="455">
        <f t="shared" ca="1" si="3"/>
        <v>4605898.4616363952</v>
      </c>
      <c r="M260" s="471">
        <f t="shared" si="6"/>
        <v>0.05</v>
      </c>
      <c r="N260" s="475">
        <f t="shared" si="7"/>
        <v>58958</v>
      </c>
    </row>
    <row r="261" spans="7:14" ht="11.25" customHeight="1" x14ac:dyDescent="0.3">
      <c r="G261" s="470">
        <f t="shared" ref="G261:G271" si="26">G260</f>
        <v>22</v>
      </c>
      <c r="H261" s="470">
        <v>254</v>
      </c>
      <c r="I261" s="455">
        <f t="shared" ca="1" si="5"/>
        <v>4605898.4616363952</v>
      </c>
      <c r="J261" s="455">
        <f t="array" ref="J261">IFERROR(INDEX('Retirement Calculator'!K:K,MATCH('Lorri 401b'!N261,'Retirement Calculator'!A:A,0),0),0)</f>
        <v>16520.094745597391</v>
      </c>
      <c r="K261" s="455">
        <f t="shared" ca="1" si="2"/>
        <v>19122.409862044988</v>
      </c>
      <c r="L261" s="455">
        <f t="shared" ca="1" si="3"/>
        <v>4608500.7767528426</v>
      </c>
      <c r="M261" s="471">
        <f t="shared" si="6"/>
        <v>0.05</v>
      </c>
      <c r="N261" s="475">
        <f t="shared" si="7"/>
        <v>58988</v>
      </c>
    </row>
    <row r="262" spans="7:14" ht="11.25" customHeight="1" x14ac:dyDescent="0.3">
      <c r="G262" s="470">
        <f t="shared" si="26"/>
        <v>22</v>
      </c>
      <c r="H262" s="470">
        <v>255</v>
      </c>
      <c r="I262" s="455">
        <f t="shared" ca="1" si="5"/>
        <v>4608500.7767528426</v>
      </c>
      <c r="J262" s="455">
        <f t="array" ref="J262">IFERROR(INDEX('Retirement Calculator'!K:K,MATCH('Lorri 401b'!N262,'Retirement Calculator'!A:A,0),0),0)</f>
        <v>16520.094745597391</v>
      </c>
      <c r="K262" s="455">
        <f t="shared" ca="1" si="2"/>
        <v>19133.252841696853</v>
      </c>
      <c r="L262" s="455">
        <f t="shared" ca="1" si="3"/>
        <v>4611113.9348489419</v>
      </c>
      <c r="M262" s="471">
        <f t="shared" si="6"/>
        <v>0.05</v>
      </c>
      <c r="N262" s="475">
        <f t="shared" si="7"/>
        <v>59019</v>
      </c>
    </row>
    <row r="263" spans="7:14" ht="11.25" customHeight="1" x14ac:dyDescent="0.3">
      <c r="G263" s="470">
        <f t="shared" si="26"/>
        <v>22</v>
      </c>
      <c r="H263" s="470">
        <v>256</v>
      </c>
      <c r="I263" s="455">
        <f t="shared" ca="1" si="5"/>
        <v>4611113.9348489419</v>
      </c>
      <c r="J263" s="455">
        <f t="array" ref="J263">IFERROR(INDEX('Retirement Calculator'!K:K,MATCH('Lorri 401b'!N263,'Retirement Calculator'!A:A,0),0),0)</f>
        <v>16520.094745597391</v>
      </c>
      <c r="K263" s="455">
        <f t="shared" ref="K263:K517" ca="1" si="27">IPMT(M263/12,1,12,-I263+J263,,0)</f>
        <v>19144.141000430602</v>
      </c>
      <c r="L263" s="455">
        <f t="shared" ref="L263:L517" ca="1" si="28">I263-J263+K263</f>
        <v>4613737.9811037751</v>
      </c>
      <c r="M263" s="471">
        <f t="shared" si="6"/>
        <v>0.05</v>
      </c>
      <c r="N263" s="475">
        <f t="shared" si="7"/>
        <v>59050</v>
      </c>
    </row>
    <row r="264" spans="7:14" ht="11.25" customHeight="1" x14ac:dyDescent="0.3">
      <c r="G264" s="470">
        <f t="shared" si="26"/>
        <v>22</v>
      </c>
      <c r="H264" s="470">
        <v>257</v>
      </c>
      <c r="I264" s="455">
        <f t="shared" ref="I264:I518" ca="1" si="29">L263</f>
        <v>4613737.9811037751</v>
      </c>
      <c r="J264" s="455">
        <f t="array" ref="J264">IFERROR(INDEX('Retirement Calculator'!K:K,MATCH('Lorri 401b'!N264,'Retirement Calculator'!A:A,0),0),0)</f>
        <v>16520.094745597391</v>
      </c>
      <c r="K264" s="455">
        <f t="shared" ca="1" si="27"/>
        <v>19155.074526492404</v>
      </c>
      <c r="L264" s="455">
        <f t="shared" ca="1" si="28"/>
        <v>4616372.9608846698</v>
      </c>
      <c r="M264" s="471">
        <f t="shared" ref="M264:M518" si="30">M263</f>
        <v>0.05</v>
      </c>
      <c r="N264" s="475">
        <f t="shared" ref="N264:N518" si="31">EDATE(N263,1)</f>
        <v>59080</v>
      </c>
    </row>
    <row r="265" spans="7:14" ht="11.25" customHeight="1" x14ac:dyDescent="0.3">
      <c r="G265" s="470">
        <f t="shared" si="26"/>
        <v>22</v>
      </c>
      <c r="H265" s="470">
        <v>258</v>
      </c>
      <c r="I265" s="455">
        <f t="shared" ca="1" si="29"/>
        <v>4616372.9608846698</v>
      </c>
      <c r="J265" s="455">
        <f t="array" ref="J265">IFERROR(INDEX('Retirement Calculator'!K:K,MATCH('Lorri 401b'!N265,'Retirement Calculator'!A:A,0),0),0)</f>
        <v>16520.094745597391</v>
      </c>
      <c r="K265" s="455">
        <f t="shared" ca="1" si="27"/>
        <v>19166.0536089128</v>
      </c>
      <c r="L265" s="455">
        <f t="shared" ca="1" si="28"/>
        <v>4619018.919747985</v>
      </c>
      <c r="M265" s="471">
        <f t="shared" si="30"/>
        <v>0.05</v>
      </c>
      <c r="N265" s="475">
        <f t="shared" si="31"/>
        <v>59111</v>
      </c>
    </row>
    <row r="266" spans="7:14" ht="11.25" customHeight="1" x14ac:dyDescent="0.3">
      <c r="G266" s="470">
        <f t="shared" si="26"/>
        <v>22</v>
      </c>
      <c r="H266" s="470">
        <v>259</v>
      </c>
      <c r="I266" s="455">
        <f t="shared" ca="1" si="29"/>
        <v>4619018.919747985</v>
      </c>
      <c r="J266" s="455">
        <f t="array" ref="J266">IFERROR(INDEX('Retirement Calculator'!K:K,MATCH('Lorri 401b'!N266,'Retirement Calculator'!A:A,0),0),0)</f>
        <v>16520.094745597391</v>
      </c>
      <c r="K266" s="455">
        <f t="shared" ca="1" si="27"/>
        <v>19177.078437509947</v>
      </c>
      <c r="L266" s="455">
        <f t="shared" ca="1" si="28"/>
        <v>4621675.9034398971</v>
      </c>
      <c r="M266" s="471">
        <f t="shared" si="30"/>
        <v>0.05</v>
      </c>
      <c r="N266" s="475">
        <f t="shared" si="31"/>
        <v>59141</v>
      </c>
    </row>
    <row r="267" spans="7:14" ht="11.25" customHeight="1" x14ac:dyDescent="0.3">
      <c r="G267" s="470">
        <f t="shared" si="26"/>
        <v>22</v>
      </c>
      <c r="H267" s="470">
        <v>260</v>
      </c>
      <c r="I267" s="455">
        <f t="shared" ca="1" si="29"/>
        <v>4621675.9034398971</v>
      </c>
      <c r="J267" s="455">
        <f t="array" ref="J267">IFERROR(INDEX('Retirement Calculator'!K:K,MATCH('Lorri 401b'!N267,'Retirement Calculator'!A:A,0),0),0)</f>
        <v>16520.094745597391</v>
      </c>
      <c r="K267" s="455">
        <f t="shared" ca="1" si="27"/>
        <v>19188.149202892913</v>
      </c>
      <c r="L267" s="455">
        <f t="shared" ca="1" si="28"/>
        <v>4624343.9578971919</v>
      </c>
      <c r="M267" s="471">
        <f t="shared" si="30"/>
        <v>0.05</v>
      </c>
      <c r="N267" s="475">
        <f t="shared" si="31"/>
        <v>59172</v>
      </c>
    </row>
    <row r="268" spans="7:14" ht="11.25" customHeight="1" x14ac:dyDescent="0.3">
      <c r="G268" s="470">
        <f t="shared" si="26"/>
        <v>22</v>
      </c>
      <c r="H268" s="470">
        <v>261</v>
      </c>
      <c r="I268" s="455">
        <f t="shared" ca="1" si="29"/>
        <v>4624343.9578971919</v>
      </c>
      <c r="J268" s="455">
        <f t="array" ref="J268">IFERROR(INDEX('Retirement Calculator'!K:K,MATCH('Lorri 401b'!N268,'Retirement Calculator'!A:A,0),0),0)</f>
        <v>16520.094745597391</v>
      </c>
      <c r="K268" s="455">
        <f t="shared" ca="1" si="27"/>
        <v>19199.266096464977</v>
      </c>
      <c r="L268" s="455">
        <f t="shared" ca="1" si="28"/>
        <v>4627023.1292480594</v>
      </c>
      <c r="M268" s="471">
        <f t="shared" si="30"/>
        <v>0.05</v>
      </c>
      <c r="N268" s="475">
        <f t="shared" si="31"/>
        <v>59203</v>
      </c>
    </row>
    <row r="269" spans="7:14" ht="11.25" customHeight="1" x14ac:dyDescent="0.3">
      <c r="G269" s="470">
        <f t="shared" si="26"/>
        <v>22</v>
      </c>
      <c r="H269" s="470">
        <v>262</v>
      </c>
      <c r="I269" s="455">
        <f t="shared" ca="1" si="29"/>
        <v>4627023.1292480594</v>
      </c>
      <c r="J269" s="455">
        <f t="array" ref="J269">IFERROR(INDEX('Retirement Calculator'!K:K,MATCH('Lorri 401b'!N269,'Retirement Calculator'!A:A,0),0),0)</f>
        <v>16520.094745597391</v>
      </c>
      <c r="K269" s="455">
        <f t="shared" ca="1" si="27"/>
        <v>19210.429310426924</v>
      </c>
      <c r="L269" s="455">
        <f t="shared" ca="1" si="28"/>
        <v>4629713.4638128886</v>
      </c>
      <c r="M269" s="471">
        <f t="shared" si="30"/>
        <v>0.05</v>
      </c>
      <c r="N269" s="475">
        <f t="shared" si="31"/>
        <v>59231</v>
      </c>
    </row>
    <row r="270" spans="7:14" ht="11.25" customHeight="1" x14ac:dyDescent="0.3">
      <c r="G270" s="470">
        <f t="shared" si="26"/>
        <v>22</v>
      </c>
      <c r="H270" s="470">
        <v>263</v>
      </c>
      <c r="I270" s="455">
        <f t="shared" ca="1" si="29"/>
        <v>4629713.4638128886</v>
      </c>
      <c r="J270" s="455">
        <f t="array" ref="J270">IFERROR(INDEX('Retirement Calculator'!K:K,MATCH('Lorri 401b'!N270,'Retirement Calculator'!A:A,0),0),0)</f>
        <v>16520.094745597391</v>
      </c>
      <c r="K270" s="455">
        <f t="shared" ca="1" si="27"/>
        <v>19221.639037780376</v>
      </c>
      <c r="L270" s="455">
        <f t="shared" ca="1" si="28"/>
        <v>4632415.0081050713</v>
      </c>
      <c r="M270" s="471">
        <f t="shared" si="30"/>
        <v>0.05</v>
      </c>
      <c r="N270" s="475">
        <f t="shared" si="31"/>
        <v>59262</v>
      </c>
    </row>
    <row r="271" spans="7:14" ht="11.25" customHeight="1" x14ac:dyDescent="0.3">
      <c r="G271" s="470">
        <f t="shared" si="26"/>
        <v>22</v>
      </c>
      <c r="H271" s="470">
        <v>264</v>
      </c>
      <c r="I271" s="455">
        <f t="shared" ca="1" si="29"/>
        <v>4632415.0081050713</v>
      </c>
      <c r="J271" s="455">
        <f t="array" ref="J271">IFERROR(INDEX('Retirement Calculator'!K:K,MATCH('Lorri 401b'!N271,'Retirement Calculator'!A:A,0),0),0)</f>
        <v>16520.094745597391</v>
      </c>
      <c r="K271" s="455">
        <f t="shared" ca="1" si="27"/>
        <v>19232.89547233114</v>
      </c>
      <c r="L271" s="455">
        <f t="shared" ca="1" si="28"/>
        <v>4635127.8088318044</v>
      </c>
      <c r="M271" s="471">
        <f t="shared" si="30"/>
        <v>0.05</v>
      </c>
      <c r="N271" s="475">
        <f t="shared" si="31"/>
        <v>59292</v>
      </c>
    </row>
    <row r="272" spans="7:14" ht="11.25" customHeight="1" x14ac:dyDescent="0.3">
      <c r="G272" s="470">
        <f>G271+1</f>
        <v>23</v>
      </c>
      <c r="H272" s="470">
        <v>265</v>
      </c>
      <c r="I272" s="455">
        <f t="shared" ca="1" si="29"/>
        <v>4635127.8088318044</v>
      </c>
      <c r="J272" s="455">
        <f t="array" ref="J272">IFERROR(INDEX('Retirement Calculator'!K:K,MATCH('Lorri 401b'!N272,'Retirement Calculator'!A:A,0),0),0)</f>
        <v>16520.094745597391</v>
      </c>
      <c r="K272" s="455">
        <f t="shared" ca="1" si="27"/>
        <v>19244.198808692527</v>
      </c>
      <c r="L272" s="455">
        <f t="shared" ca="1" si="28"/>
        <v>4637851.912894899</v>
      </c>
      <c r="M272" s="471">
        <f t="shared" si="30"/>
        <v>0.05</v>
      </c>
      <c r="N272" s="475">
        <f t="shared" si="31"/>
        <v>59323</v>
      </c>
    </row>
    <row r="273" spans="7:14" ht="11.25" customHeight="1" x14ac:dyDescent="0.3">
      <c r="G273" s="470">
        <f t="shared" ref="G273:G283" si="32">G272</f>
        <v>23</v>
      </c>
      <c r="H273" s="470">
        <v>266</v>
      </c>
      <c r="I273" s="455">
        <f t="shared" ca="1" si="29"/>
        <v>4637851.912894899</v>
      </c>
      <c r="J273" s="455">
        <f t="array" ref="J273">IFERROR(INDEX('Retirement Calculator'!K:K,MATCH('Lorri 401b'!N273,'Retirement Calculator'!A:A,0),0),0)</f>
        <v>16520.094745597391</v>
      </c>
      <c r="K273" s="455">
        <f t="shared" ca="1" si="27"/>
        <v>19255.549242288755</v>
      </c>
      <c r="L273" s="455">
        <f t="shared" ca="1" si="28"/>
        <v>4640587.36739159</v>
      </c>
      <c r="M273" s="471">
        <f t="shared" si="30"/>
        <v>0.05</v>
      </c>
      <c r="N273" s="475">
        <f t="shared" si="31"/>
        <v>59353</v>
      </c>
    </row>
    <row r="274" spans="7:14" ht="11.25" customHeight="1" x14ac:dyDescent="0.3">
      <c r="G274" s="470">
        <f t="shared" si="32"/>
        <v>23</v>
      </c>
      <c r="H274" s="470">
        <v>267</v>
      </c>
      <c r="I274" s="455">
        <f t="shared" ca="1" si="29"/>
        <v>4640587.36739159</v>
      </c>
      <c r="J274" s="455">
        <f t="array" ref="J274">IFERROR(INDEX('Retirement Calculator'!K:K,MATCH('Lorri 401b'!N274,'Retirement Calculator'!A:A,0),0),0)</f>
        <v>16520.094745597391</v>
      </c>
      <c r="K274" s="455">
        <f t="shared" ca="1" si="27"/>
        <v>19266.946969358301</v>
      </c>
      <c r="L274" s="455">
        <f t="shared" ca="1" si="28"/>
        <v>4643334.2196153505</v>
      </c>
      <c r="M274" s="471">
        <f t="shared" si="30"/>
        <v>0.05</v>
      </c>
      <c r="N274" s="475">
        <f t="shared" si="31"/>
        <v>59384</v>
      </c>
    </row>
    <row r="275" spans="7:14" ht="11.25" customHeight="1" x14ac:dyDescent="0.3">
      <c r="G275" s="470">
        <f t="shared" si="32"/>
        <v>23</v>
      </c>
      <c r="H275" s="470">
        <v>268</v>
      </c>
      <c r="I275" s="455">
        <f t="shared" ca="1" si="29"/>
        <v>4643334.2196153505</v>
      </c>
      <c r="J275" s="455">
        <f t="array" ref="J275">IFERROR(INDEX('Retirement Calculator'!K:K,MATCH('Lorri 401b'!N275,'Retirement Calculator'!A:A,0),0),0)</f>
        <v>16520.094745597391</v>
      </c>
      <c r="K275" s="455">
        <f t="shared" ca="1" si="27"/>
        <v>19278.392186957302</v>
      </c>
      <c r="L275" s="455">
        <f t="shared" ca="1" si="28"/>
        <v>4646092.5170567101</v>
      </c>
      <c r="M275" s="471">
        <f t="shared" si="30"/>
        <v>0.05</v>
      </c>
      <c r="N275" s="475">
        <f t="shared" si="31"/>
        <v>59415</v>
      </c>
    </row>
    <row r="276" spans="7:14" ht="11.25" customHeight="1" x14ac:dyDescent="0.3">
      <c r="G276" s="470">
        <f t="shared" si="32"/>
        <v>23</v>
      </c>
      <c r="H276" s="470">
        <v>269</v>
      </c>
      <c r="I276" s="455">
        <f t="shared" ca="1" si="29"/>
        <v>4646092.5170567101</v>
      </c>
      <c r="J276" s="455">
        <f t="array" ref="J276">IFERROR(INDEX('Retirement Calculator'!K:K,MATCH('Lorri 401b'!N276,'Retirement Calculator'!A:A,0),0),0)</f>
        <v>16520.094745597391</v>
      </c>
      <c r="K276" s="455">
        <f t="shared" ca="1" si="27"/>
        <v>19289.885092962966</v>
      </c>
      <c r="L276" s="455">
        <f t="shared" ca="1" si="28"/>
        <v>4648862.3074040748</v>
      </c>
      <c r="M276" s="471">
        <f t="shared" si="30"/>
        <v>0.05</v>
      </c>
      <c r="N276" s="475">
        <f t="shared" si="31"/>
        <v>59445</v>
      </c>
    </row>
    <row r="277" spans="7:14" ht="11.25" customHeight="1" x14ac:dyDescent="0.3">
      <c r="G277" s="470">
        <f t="shared" si="32"/>
        <v>23</v>
      </c>
      <c r="H277" s="470">
        <v>270</v>
      </c>
      <c r="I277" s="455">
        <f t="shared" ca="1" si="29"/>
        <v>4648862.3074040748</v>
      </c>
      <c r="J277" s="455">
        <f t="array" ref="J277">IFERROR(INDEX('Retirement Calculator'!K:K,MATCH('Lorri 401b'!N277,'Retirement Calculator'!A:A,0),0),0)</f>
        <v>16520.094745597391</v>
      </c>
      <c r="K277" s="455">
        <f t="shared" ca="1" si="27"/>
        <v>19301.425886076988</v>
      </c>
      <c r="L277" s="455">
        <f t="shared" ca="1" si="28"/>
        <v>4651643.6385445539</v>
      </c>
      <c r="M277" s="471">
        <f t="shared" si="30"/>
        <v>0.05</v>
      </c>
      <c r="N277" s="475">
        <f t="shared" si="31"/>
        <v>59476</v>
      </c>
    </row>
    <row r="278" spans="7:14" ht="11.25" customHeight="1" x14ac:dyDescent="0.3">
      <c r="G278" s="470">
        <f t="shared" si="32"/>
        <v>23</v>
      </c>
      <c r="H278" s="470">
        <v>271</v>
      </c>
      <c r="I278" s="455">
        <f t="shared" ca="1" si="29"/>
        <v>4651643.6385445539</v>
      </c>
      <c r="J278" s="455">
        <f t="array" ref="J278">IFERROR(INDEX('Retirement Calculator'!K:K,MATCH('Lorri 401b'!N278,'Retirement Calculator'!A:A,0),0),0)</f>
        <v>16520.094745597391</v>
      </c>
      <c r="K278" s="455">
        <f t="shared" ca="1" si="27"/>
        <v>19313.014765828982</v>
      </c>
      <c r="L278" s="455">
        <f t="shared" ca="1" si="28"/>
        <v>4654436.5585647849</v>
      </c>
      <c r="M278" s="471">
        <f t="shared" si="30"/>
        <v>0.05</v>
      </c>
      <c r="N278" s="475">
        <f t="shared" si="31"/>
        <v>59506</v>
      </c>
    </row>
    <row r="279" spans="7:14" ht="11.25" customHeight="1" x14ac:dyDescent="0.3">
      <c r="G279" s="470">
        <f t="shared" si="32"/>
        <v>23</v>
      </c>
      <c r="H279" s="470">
        <v>272</v>
      </c>
      <c r="I279" s="455">
        <f t="shared" ca="1" si="29"/>
        <v>4654436.5585647849</v>
      </c>
      <c r="J279" s="455">
        <f t="array" ref="J279">IFERROR(INDEX('Retirement Calculator'!K:K,MATCH('Lorri 401b'!N279,'Retirement Calculator'!A:A,0),0),0)</f>
        <v>16520.094745597391</v>
      </c>
      <c r="K279" s="455">
        <f t="shared" ca="1" si="27"/>
        <v>19324.651932579945</v>
      </c>
      <c r="L279" s="455">
        <f t="shared" ca="1" si="28"/>
        <v>4657241.1157517675</v>
      </c>
      <c r="M279" s="471">
        <f t="shared" si="30"/>
        <v>0.05</v>
      </c>
      <c r="N279" s="475">
        <f t="shared" si="31"/>
        <v>59537</v>
      </c>
    </row>
    <row r="280" spans="7:14" ht="11.25" customHeight="1" x14ac:dyDescent="0.3">
      <c r="G280" s="470">
        <f t="shared" si="32"/>
        <v>23</v>
      </c>
      <c r="H280" s="470">
        <v>273</v>
      </c>
      <c r="I280" s="455">
        <f t="shared" ca="1" si="29"/>
        <v>4657241.1157517675</v>
      </c>
      <c r="J280" s="455">
        <f t="array" ref="J280">IFERROR(INDEX('Retirement Calculator'!K:K,MATCH('Lorri 401b'!N280,'Retirement Calculator'!A:A,0),0),0)</f>
        <v>16520.094745597391</v>
      </c>
      <c r="K280" s="455">
        <f t="shared" ca="1" si="27"/>
        <v>19336.337587525708</v>
      </c>
      <c r="L280" s="455">
        <f t="shared" ca="1" si="28"/>
        <v>4660057.3585936958</v>
      </c>
      <c r="M280" s="471">
        <f t="shared" si="30"/>
        <v>0.05</v>
      </c>
      <c r="N280" s="475">
        <f t="shared" si="31"/>
        <v>59568</v>
      </c>
    </row>
    <row r="281" spans="7:14" ht="11.25" customHeight="1" x14ac:dyDescent="0.3">
      <c r="G281" s="470">
        <f t="shared" si="32"/>
        <v>23</v>
      </c>
      <c r="H281" s="470">
        <v>274</v>
      </c>
      <c r="I281" s="455">
        <f t="shared" ca="1" si="29"/>
        <v>4660057.3585936958</v>
      </c>
      <c r="J281" s="455">
        <f t="array" ref="J281">IFERROR(INDEX('Retirement Calculator'!K:K,MATCH('Lorri 401b'!N281,'Retirement Calculator'!A:A,0),0),0)</f>
        <v>16520.094745597391</v>
      </c>
      <c r="K281" s="455">
        <f t="shared" ca="1" si="27"/>
        <v>19348.071932700408</v>
      </c>
      <c r="L281" s="455">
        <f t="shared" ca="1" si="28"/>
        <v>4662885.3357807985</v>
      </c>
      <c r="M281" s="471">
        <f t="shared" si="30"/>
        <v>0.05</v>
      </c>
      <c r="N281" s="475">
        <f t="shared" si="31"/>
        <v>59596</v>
      </c>
    </row>
    <row r="282" spans="7:14" ht="11.25" customHeight="1" x14ac:dyDescent="0.3">
      <c r="G282" s="470">
        <f t="shared" si="32"/>
        <v>23</v>
      </c>
      <c r="H282" s="470">
        <v>275</v>
      </c>
      <c r="I282" s="455">
        <f t="shared" ca="1" si="29"/>
        <v>4662885.3357807985</v>
      </c>
      <c r="J282" s="455">
        <f t="array" ref="J282">IFERROR(INDEX('Retirement Calculator'!K:K,MATCH('Lorri 401b'!N282,'Retirement Calculator'!A:A,0),0),0)</f>
        <v>16520.094745597391</v>
      </c>
      <c r="K282" s="455">
        <f t="shared" ca="1" si="27"/>
        <v>19359.855170980001</v>
      </c>
      <c r="L282" s="455">
        <f t="shared" ca="1" si="28"/>
        <v>4665725.0962061808</v>
      </c>
      <c r="M282" s="471">
        <f t="shared" si="30"/>
        <v>0.05</v>
      </c>
      <c r="N282" s="475">
        <f t="shared" si="31"/>
        <v>59627</v>
      </c>
    </row>
    <row r="283" spans="7:14" ht="11.25" customHeight="1" x14ac:dyDescent="0.3">
      <c r="G283" s="470">
        <f t="shared" si="32"/>
        <v>23</v>
      </c>
      <c r="H283" s="470">
        <v>276</v>
      </c>
      <c r="I283" s="455">
        <f t="shared" ca="1" si="29"/>
        <v>4665725.0962061808</v>
      </c>
      <c r="J283" s="455">
        <f t="array" ref="J283">IFERROR(INDEX('Retirement Calculator'!K:K,MATCH('Lorri 401b'!N283,'Retirement Calculator'!A:A,0),0),0)</f>
        <v>16520.094745597391</v>
      </c>
      <c r="K283" s="455">
        <f t="shared" ca="1" si="27"/>
        <v>19371.687506085764</v>
      </c>
      <c r="L283" s="455">
        <f t="shared" ca="1" si="28"/>
        <v>4668576.6889666691</v>
      </c>
      <c r="M283" s="471">
        <f t="shared" si="30"/>
        <v>0.05</v>
      </c>
      <c r="N283" s="475">
        <f t="shared" si="31"/>
        <v>59657</v>
      </c>
    </row>
    <row r="284" spans="7:14" ht="11.25" customHeight="1" x14ac:dyDescent="0.3">
      <c r="G284" s="470">
        <f>G283+1</f>
        <v>24</v>
      </c>
      <c r="H284" s="470">
        <v>277</v>
      </c>
      <c r="I284" s="455">
        <f t="shared" ca="1" si="29"/>
        <v>4668576.6889666691</v>
      </c>
      <c r="J284" s="455">
        <f t="array" ref="J284">IFERROR(INDEX('Retirement Calculator'!K:K,MATCH('Lorri 401b'!N284,'Retirement Calculator'!A:A,0),0),0)</f>
        <v>16520.094745597391</v>
      </c>
      <c r="K284" s="455">
        <f t="shared" ca="1" si="27"/>
        <v>19383.569142587796</v>
      </c>
      <c r="L284" s="455">
        <f t="shared" ca="1" si="28"/>
        <v>4671440.1633636588</v>
      </c>
      <c r="M284" s="471">
        <f t="shared" si="30"/>
        <v>0.05</v>
      </c>
      <c r="N284" s="475">
        <f t="shared" si="31"/>
        <v>59688</v>
      </c>
    </row>
    <row r="285" spans="7:14" ht="11.25" customHeight="1" x14ac:dyDescent="0.3">
      <c r="G285" s="470">
        <f t="shared" ref="G285:G295" si="33">G284</f>
        <v>24</v>
      </c>
      <c r="H285" s="470">
        <v>278</v>
      </c>
      <c r="I285" s="455">
        <f t="shared" ca="1" si="29"/>
        <v>4671440.1633636588</v>
      </c>
      <c r="J285" s="455">
        <f t="array" ref="J285">IFERROR(INDEX('Retirement Calculator'!K:K,MATCH('Lorri 401b'!N285,'Retirement Calculator'!A:A,0),0),0)</f>
        <v>16520.094745597391</v>
      </c>
      <c r="K285" s="455">
        <f t="shared" ca="1" si="27"/>
        <v>19395.500285908587</v>
      </c>
      <c r="L285" s="455">
        <f t="shared" ca="1" si="28"/>
        <v>4674315.5689039696</v>
      </c>
      <c r="M285" s="471">
        <f t="shared" si="30"/>
        <v>0.05</v>
      </c>
      <c r="N285" s="475">
        <f t="shared" si="31"/>
        <v>59718</v>
      </c>
    </row>
    <row r="286" spans="7:14" ht="11.25" customHeight="1" x14ac:dyDescent="0.3">
      <c r="G286" s="470">
        <f t="shared" si="33"/>
        <v>24</v>
      </c>
      <c r="H286" s="470">
        <v>279</v>
      </c>
      <c r="I286" s="455">
        <f t="shared" ca="1" si="29"/>
        <v>4674315.5689039696</v>
      </c>
      <c r="J286" s="455">
        <f t="array" ref="J286">IFERROR(INDEX('Retirement Calculator'!K:K,MATCH('Lorri 401b'!N286,'Retirement Calculator'!A:A,0),0),0)</f>
        <v>16520.094745597391</v>
      </c>
      <c r="K286" s="455">
        <f t="shared" ca="1" si="27"/>
        <v>19407.481142326549</v>
      </c>
      <c r="L286" s="455">
        <f t="shared" ca="1" si="28"/>
        <v>4677202.9553006981</v>
      </c>
      <c r="M286" s="471">
        <f t="shared" si="30"/>
        <v>0.05</v>
      </c>
      <c r="N286" s="475">
        <f t="shared" si="31"/>
        <v>59749</v>
      </c>
    </row>
    <row r="287" spans="7:14" ht="11.25" customHeight="1" x14ac:dyDescent="0.3">
      <c r="G287" s="470">
        <f t="shared" si="33"/>
        <v>24</v>
      </c>
      <c r="H287" s="470">
        <v>280</v>
      </c>
      <c r="I287" s="455">
        <f t="shared" ca="1" si="29"/>
        <v>4677202.9553006981</v>
      </c>
      <c r="J287" s="455">
        <f t="array" ref="J287">IFERROR(INDEX('Retirement Calculator'!K:K,MATCH('Lorri 401b'!N287,'Retirement Calculator'!A:A,0),0),0)</f>
        <v>16520.094745597391</v>
      </c>
      <c r="K287" s="455">
        <f t="shared" ca="1" si="27"/>
        <v>19419.511918979584</v>
      </c>
      <c r="L287" s="455">
        <f t="shared" ca="1" si="28"/>
        <v>4680102.37247408</v>
      </c>
      <c r="M287" s="471">
        <f t="shared" si="30"/>
        <v>0.05</v>
      </c>
      <c r="N287" s="475">
        <f t="shared" si="31"/>
        <v>59780</v>
      </c>
    </row>
    <row r="288" spans="7:14" ht="11.25" customHeight="1" x14ac:dyDescent="0.3">
      <c r="G288" s="470">
        <f t="shared" si="33"/>
        <v>24</v>
      </c>
      <c r="H288" s="470">
        <v>281</v>
      </c>
      <c r="I288" s="455">
        <f t="shared" ca="1" si="29"/>
        <v>4680102.37247408</v>
      </c>
      <c r="J288" s="455">
        <f t="array" ref="J288">IFERROR(INDEX('Retirement Calculator'!K:K,MATCH('Lorri 401b'!N288,'Retirement Calculator'!A:A,0),0),0)</f>
        <v>16520.094745597391</v>
      </c>
      <c r="K288" s="455">
        <f t="shared" ca="1" si="27"/>
        <v>19431.592823868676</v>
      </c>
      <c r="L288" s="455">
        <f t="shared" ca="1" si="28"/>
        <v>4683013.8705523508</v>
      </c>
      <c r="M288" s="471">
        <f t="shared" si="30"/>
        <v>0.05</v>
      </c>
      <c r="N288" s="475">
        <f t="shared" si="31"/>
        <v>59810</v>
      </c>
    </row>
    <row r="289" spans="7:14" ht="11.25" customHeight="1" x14ac:dyDescent="0.3">
      <c r="G289" s="470">
        <f t="shared" si="33"/>
        <v>24</v>
      </c>
      <c r="H289" s="470">
        <v>282</v>
      </c>
      <c r="I289" s="455">
        <f t="shared" ca="1" si="29"/>
        <v>4683013.8705523508</v>
      </c>
      <c r="J289" s="455">
        <f t="array" ref="J289">IFERROR(INDEX('Retirement Calculator'!K:K,MATCH('Lorri 401b'!N289,'Retirement Calculator'!A:A,0),0),0)</f>
        <v>16520.094745597391</v>
      </c>
      <c r="K289" s="455">
        <f t="shared" ca="1" si="27"/>
        <v>19443.724065861472</v>
      </c>
      <c r="L289" s="455">
        <f t="shared" ca="1" si="28"/>
        <v>4685937.4998726146</v>
      </c>
      <c r="M289" s="471">
        <f t="shared" si="30"/>
        <v>0.05</v>
      </c>
      <c r="N289" s="475">
        <f t="shared" si="31"/>
        <v>59841</v>
      </c>
    </row>
    <row r="290" spans="7:14" ht="11.25" customHeight="1" x14ac:dyDescent="0.3">
      <c r="G290" s="470">
        <f t="shared" si="33"/>
        <v>24</v>
      </c>
      <c r="H290" s="470">
        <v>283</v>
      </c>
      <c r="I290" s="455">
        <f t="shared" ca="1" si="29"/>
        <v>4685937.4998726146</v>
      </c>
      <c r="J290" s="455">
        <f t="array" ref="J290">IFERROR(INDEX('Retirement Calculator'!K:K,MATCH('Lorri 401b'!N290,'Retirement Calculator'!A:A,0),0),0)</f>
        <v>16520.094745597391</v>
      </c>
      <c r="K290" s="455">
        <f t="shared" ca="1" si="27"/>
        <v>19455.905854695902</v>
      </c>
      <c r="L290" s="455">
        <f t="shared" ca="1" si="28"/>
        <v>4688873.3109817123</v>
      </c>
      <c r="M290" s="471">
        <f t="shared" si="30"/>
        <v>0.05</v>
      </c>
      <c r="N290" s="475">
        <f t="shared" si="31"/>
        <v>59871</v>
      </c>
    </row>
    <row r="291" spans="7:14" ht="11.25" customHeight="1" x14ac:dyDescent="0.3">
      <c r="G291" s="470">
        <f t="shared" si="33"/>
        <v>24</v>
      </c>
      <c r="H291" s="470">
        <v>284</v>
      </c>
      <c r="I291" s="455">
        <f t="shared" ca="1" si="29"/>
        <v>4688873.3109817123</v>
      </c>
      <c r="J291" s="455">
        <f t="array" ref="J291">IFERROR(INDEX('Retirement Calculator'!K:K,MATCH('Lorri 401b'!N291,'Retirement Calculator'!A:A,0),0),0)</f>
        <v>16520.094745597391</v>
      </c>
      <c r="K291" s="455">
        <f t="shared" ca="1" si="27"/>
        <v>19468.138400983811</v>
      </c>
      <c r="L291" s="455">
        <f t="shared" ca="1" si="28"/>
        <v>4691821.3546370985</v>
      </c>
      <c r="M291" s="471">
        <f t="shared" si="30"/>
        <v>0.05</v>
      </c>
      <c r="N291" s="475">
        <f t="shared" si="31"/>
        <v>59902</v>
      </c>
    </row>
    <row r="292" spans="7:14" ht="11.25" customHeight="1" x14ac:dyDescent="0.3">
      <c r="G292" s="470">
        <f t="shared" si="33"/>
        <v>24</v>
      </c>
      <c r="H292" s="470">
        <v>285</v>
      </c>
      <c r="I292" s="455">
        <f t="shared" ca="1" si="29"/>
        <v>4691821.3546370985</v>
      </c>
      <c r="J292" s="455">
        <f t="array" ref="J292">IFERROR(INDEX('Retirement Calculator'!K:K,MATCH('Lorri 401b'!N292,'Retirement Calculator'!A:A,0),0),0)</f>
        <v>16520.094745597391</v>
      </c>
      <c r="K292" s="455">
        <f t="shared" ca="1" si="27"/>
        <v>19480.421916214586</v>
      </c>
      <c r="L292" s="455">
        <f t="shared" ca="1" si="28"/>
        <v>4694781.6818077154</v>
      </c>
      <c r="M292" s="471">
        <f t="shared" si="30"/>
        <v>0.05</v>
      </c>
      <c r="N292" s="475">
        <f t="shared" si="31"/>
        <v>59933</v>
      </c>
    </row>
    <row r="293" spans="7:14" ht="11.25" customHeight="1" x14ac:dyDescent="0.3">
      <c r="G293" s="470">
        <f t="shared" si="33"/>
        <v>24</v>
      </c>
      <c r="H293" s="470">
        <v>286</v>
      </c>
      <c r="I293" s="455">
        <f t="shared" ca="1" si="29"/>
        <v>4694781.6818077154</v>
      </c>
      <c r="J293" s="455">
        <f t="array" ref="J293">IFERROR(INDEX('Retirement Calculator'!K:K,MATCH('Lorri 401b'!N293,'Retirement Calculator'!A:A,0),0),0)</f>
        <v>16520.094745597391</v>
      </c>
      <c r="K293" s="455">
        <f t="shared" ca="1" si="27"/>
        <v>19492.756612758822</v>
      </c>
      <c r="L293" s="455">
        <f t="shared" ca="1" si="28"/>
        <v>4697754.3436748767</v>
      </c>
      <c r="M293" s="471">
        <f t="shared" si="30"/>
        <v>0.05</v>
      </c>
      <c r="N293" s="475">
        <f t="shared" si="31"/>
        <v>59962</v>
      </c>
    </row>
    <row r="294" spans="7:14" ht="11.25" customHeight="1" x14ac:dyDescent="0.3">
      <c r="G294" s="470">
        <f t="shared" si="33"/>
        <v>24</v>
      </c>
      <c r="H294" s="470">
        <v>287</v>
      </c>
      <c r="I294" s="455">
        <f t="shared" ca="1" si="29"/>
        <v>4697754.3436748767</v>
      </c>
      <c r="J294" s="455">
        <f t="array" ref="J294">IFERROR(INDEX('Retirement Calculator'!K:K,MATCH('Lorri 401b'!N294,'Retirement Calculator'!A:A,0),0),0)</f>
        <v>16520.094745597391</v>
      </c>
      <c r="K294" s="455">
        <f t="shared" ca="1" si="27"/>
        <v>19505.142703871996</v>
      </c>
      <c r="L294" s="455">
        <f t="shared" ca="1" si="28"/>
        <v>4700739.3916331511</v>
      </c>
      <c r="M294" s="471">
        <f t="shared" si="30"/>
        <v>0.05</v>
      </c>
      <c r="N294" s="475">
        <f t="shared" si="31"/>
        <v>59993</v>
      </c>
    </row>
    <row r="295" spans="7:14" ht="11.25" customHeight="1" x14ac:dyDescent="0.3">
      <c r="G295" s="470">
        <f t="shared" si="33"/>
        <v>24</v>
      </c>
      <c r="H295" s="470">
        <v>288</v>
      </c>
      <c r="I295" s="455">
        <f t="shared" ca="1" si="29"/>
        <v>4700739.3916331511</v>
      </c>
      <c r="J295" s="455">
        <f t="array" ref="J295">IFERROR(INDEX('Retirement Calculator'!K:K,MATCH('Lorri 401b'!N295,'Retirement Calculator'!A:A,0),0),0)</f>
        <v>16520.094745597391</v>
      </c>
      <c r="K295" s="455">
        <f t="shared" ca="1" si="27"/>
        <v>19517.580403698139</v>
      </c>
      <c r="L295" s="455">
        <f t="shared" ca="1" si="28"/>
        <v>4703736.877291251</v>
      </c>
      <c r="M295" s="471">
        <f t="shared" si="30"/>
        <v>0.05</v>
      </c>
      <c r="N295" s="475">
        <f t="shared" si="31"/>
        <v>60023</v>
      </c>
    </row>
    <row r="296" spans="7:14" ht="11.25" customHeight="1" x14ac:dyDescent="0.3">
      <c r="G296" s="470">
        <f>G295+1</f>
        <v>25</v>
      </c>
      <c r="H296" s="470">
        <v>289</v>
      </c>
      <c r="I296" s="455">
        <f t="shared" ca="1" si="29"/>
        <v>4703736.877291251</v>
      </c>
      <c r="J296" s="455">
        <f t="array" ref="J296">IFERROR(INDEX('Retirement Calculator'!K:K,MATCH('Lorri 401b'!N296,'Retirement Calculator'!A:A,0),0),0)</f>
        <v>16520.094745597391</v>
      </c>
      <c r="K296" s="455">
        <f t="shared" ca="1" si="27"/>
        <v>19530.069927273555</v>
      </c>
      <c r="L296" s="455">
        <f t="shared" ca="1" si="28"/>
        <v>4706746.8524729265</v>
      </c>
      <c r="M296" s="471">
        <f t="shared" si="30"/>
        <v>0.05</v>
      </c>
      <c r="N296" s="475">
        <f t="shared" si="31"/>
        <v>60054</v>
      </c>
    </row>
    <row r="297" spans="7:14" ht="11.25" customHeight="1" x14ac:dyDescent="0.3">
      <c r="G297" s="470">
        <f t="shared" ref="G297:G307" si="34">G296</f>
        <v>25</v>
      </c>
      <c r="H297" s="470">
        <v>290</v>
      </c>
      <c r="I297" s="455">
        <f t="shared" ca="1" si="29"/>
        <v>4706746.8524729265</v>
      </c>
      <c r="J297" s="455">
        <f t="array" ref="J297">IFERROR(INDEX('Retirement Calculator'!K:K,MATCH('Lorri 401b'!N297,'Retirement Calculator'!A:A,0),0),0)</f>
        <v>16520.094745597391</v>
      </c>
      <c r="K297" s="455">
        <f t="shared" ca="1" si="27"/>
        <v>19542.611490530537</v>
      </c>
      <c r="L297" s="455">
        <f t="shared" ca="1" si="28"/>
        <v>4709769.3692178596</v>
      </c>
      <c r="M297" s="471">
        <f t="shared" si="30"/>
        <v>0.05</v>
      </c>
      <c r="N297" s="475">
        <f t="shared" si="31"/>
        <v>60084</v>
      </c>
    </row>
    <row r="298" spans="7:14" ht="11.25" customHeight="1" x14ac:dyDescent="0.3">
      <c r="G298" s="470">
        <f t="shared" si="34"/>
        <v>25</v>
      </c>
      <c r="H298" s="470">
        <v>291</v>
      </c>
      <c r="I298" s="455">
        <f t="shared" ca="1" si="29"/>
        <v>4709769.3692178596</v>
      </c>
      <c r="J298" s="455">
        <f t="array" ref="J298">IFERROR(INDEX('Retirement Calculator'!K:K,MATCH('Lorri 401b'!N298,'Retirement Calculator'!A:A,0),0),0)</f>
        <v>16520.094745597391</v>
      </c>
      <c r="K298" s="455">
        <f t="shared" ca="1" si="27"/>
        <v>19555.205310301091</v>
      </c>
      <c r="L298" s="455">
        <f t="shared" ca="1" si="28"/>
        <v>4712804.4797825627</v>
      </c>
      <c r="M298" s="471">
        <f t="shared" si="30"/>
        <v>0.05</v>
      </c>
      <c r="N298" s="475">
        <f t="shared" si="31"/>
        <v>60115</v>
      </c>
    </row>
    <row r="299" spans="7:14" ht="11.25" customHeight="1" x14ac:dyDescent="0.3">
      <c r="G299" s="470">
        <f t="shared" si="34"/>
        <v>25</v>
      </c>
      <c r="H299" s="470">
        <v>292</v>
      </c>
      <c r="I299" s="455">
        <f t="shared" ca="1" si="29"/>
        <v>4712804.4797825627</v>
      </c>
      <c r="J299" s="455">
        <f t="array" ref="J299">IFERROR(INDEX('Retirement Calculator'!K:K,MATCH('Lorri 401b'!N299,'Retirement Calculator'!A:A,0),0),0)</f>
        <v>16520.094745597391</v>
      </c>
      <c r="K299" s="455">
        <f t="shared" ca="1" si="27"/>
        <v>19567.851604320687</v>
      </c>
      <c r="L299" s="455">
        <f t="shared" ca="1" si="28"/>
        <v>4715852.2366412859</v>
      </c>
      <c r="M299" s="471">
        <f t="shared" si="30"/>
        <v>0.05</v>
      </c>
      <c r="N299" s="475">
        <f t="shared" si="31"/>
        <v>60146</v>
      </c>
    </row>
    <row r="300" spans="7:14" ht="11.25" customHeight="1" x14ac:dyDescent="0.3">
      <c r="G300" s="470">
        <f t="shared" si="34"/>
        <v>25</v>
      </c>
      <c r="H300" s="470">
        <v>293</v>
      </c>
      <c r="I300" s="455">
        <f t="shared" ca="1" si="29"/>
        <v>4715852.2366412859</v>
      </c>
      <c r="J300" s="455">
        <f t="array" ref="J300">IFERROR(INDEX('Retirement Calculator'!K:K,MATCH('Lorri 401b'!N300,'Retirement Calculator'!A:A,0),0),0)</f>
        <v>16520.094745597391</v>
      </c>
      <c r="K300" s="455">
        <f t="shared" ca="1" si="27"/>
        <v>19580.550591232033</v>
      </c>
      <c r="L300" s="455">
        <f t="shared" ca="1" si="28"/>
        <v>4718912.6924869204</v>
      </c>
      <c r="M300" s="471">
        <f t="shared" si="30"/>
        <v>0.05</v>
      </c>
      <c r="N300" s="475">
        <f t="shared" si="31"/>
        <v>60176</v>
      </c>
    </row>
    <row r="301" spans="7:14" ht="11.25" customHeight="1" x14ac:dyDescent="0.3">
      <c r="G301" s="470">
        <f t="shared" si="34"/>
        <v>25</v>
      </c>
      <c r="H301" s="470">
        <v>294</v>
      </c>
      <c r="I301" s="455">
        <f t="shared" ca="1" si="29"/>
        <v>4718912.6924869204</v>
      </c>
      <c r="J301" s="455">
        <f t="array" ref="J301">IFERROR(INDEX('Retirement Calculator'!K:K,MATCH('Lorri 401b'!N301,'Retirement Calculator'!A:A,0),0),0)</f>
        <v>16520.094745597391</v>
      </c>
      <c r="K301" s="455">
        <f t="shared" ca="1" si="27"/>
        <v>19593.302490588845</v>
      </c>
      <c r="L301" s="455">
        <f t="shared" ca="1" si="28"/>
        <v>4721985.9002319118</v>
      </c>
      <c r="M301" s="471">
        <f t="shared" si="30"/>
        <v>0.05</v>
      </c>
      <c r="N301" s="475">
        <f t="shared" si="31"/>
        <v>60207</v>
      </c>
    </row>
    <row r="302" spans="7:14" ht="11.25" customHeight="1" x14ac:dyDescent="0.3">
      <c r="G302" s="470">
        <f t="shared" si="34"/>
        <v>25</v>
      </c>
      <c r="H302" s="470">
        <v>295</v>
      </c>
      <c r="I302" s="455">
        <f t="shared" ca="1" si="29"/>
        <v>4721985.9002319118</v>
      </c>
      <c r="J302" s="455">
        <f t="array" ref="J302">IFERROR(INDEX('Retirement Calculator'!K:K,MATCH('Lorri 401b'!N302,'Retirement Calculator'!A:A,0),0),0)</f>
        <v>16520.094745597391</v>
      </c>
      <c r="K302" s="455">
        <f t="shared" ca="1" si="27"/>
        <v>19606.107522859642</v>
      </c>
      <c r="L302" s="455">
        <f t="shared" ca="1" si="28"/>
        <v>4725071.9130091732</v>
      </c>
      <c r="M302" s="471">
        <f t="shared" si="30"/>
        <v>0.05</v>
      </c>
      <c r="N302" s="475">
        <f t="shared" si="31"/>
        <v>60237</v>
      </c>
    </row>
    <row r="303" spans="7:14" ht="11.25" customHeight="1" x14ac:dyDescent="0.3">
      <c r="G303" s="470">
        <f t="shared" si="34"/>
        <v>25</v>
      </c>
      <c r="H303" s="470">
        <v>296</v>
      </c>
      <c r="I303" s="455">
        <f t="shared" ca="1" si="29"/>
        <v>4725071.9130091732</v>
      </c>
      <c r="J303" s="455">
        <f t="array" ref="J303">IFERROR(INDEX('Retirement Calculator'!K:K,MATCH('Lorri 401b'!N303,'Retirement Calculator'!A:A,0),0),0)</f>
        <v>16520.094745597391</v>
      </c>
      <c r="K303" s="455">
        <f t="shared" ca="1" si="27"/>
        <v>19618.965909431565</v>
      </c>
      <c r="L303" s="455">
        <f t="shared" ca="1" si="28"/>
        <v>4728170.7841730071</v>
      </c>
      <c r="M303" s="471">
        <f t="shared" si="30"/>
        <v>0.05</v>
      </c>
      <c r="N303" s="475">
        <f t="shared" si="31"/>
        <v>60268</v>
      </c>
    </row>
    <row r="304" spans="7:14" ht="11.25" customHeight="1" x14ac:dyDescent="0.3">
      <c r="G304" s="470">
        <f t="shared" si="34"/>
        <v>25</v>
      </c>
      <c r="H304" s="470">
        <v>297</v>
      </c>
      <c r="I304" s="455">
        <f t="shared" ca="1" si="29"/>
        <v>4728170.7841730071</v>
      </c>
      <c r="J304" s="455">
        <f t="array" ref="J304">IFERROR(INDEX('Retirement Calculator'!K:K,MATCH('Lorri 401b'!N304,'Retirement Calculator'!A:A,0),0),0)</f>
        <v>16520.094745597391</v>
      </c>
      <c r="K304" s="455">
        <f t="shared" ca="1" si="27"/>
        <v>19631.877872614205</v>
      </c>
      <c r="L304" s="455">
        <f t="shared" ca="1" si="28"/>
        <v>4731282.5673000235</v>
      </c>
      <c r="M304" s="471">
        <f t="shared" si="30"/>
        <v>0.05</v>
      </c>
      <c r="N304" s="475">
        <f t="shared" si="31"/>
        <v>60299</v>
      </c>
    </row>
    <row r="305" spans="7:14" ht="11.25" customHeight="1" x14ac:dyDescent="0.3">
      <c r="G305" s="470">
        <f t="shared" si="34"/>
        <v>25</v>
      </c>
      <c r="H305" s="470">
        <v>298</v>
      </c>
      <c r="I305" s="455">
        <f t="shared" ca="1" si="29"/>
        <v>4731282.5673000235</v>
      </c>
      <c r="J305" s="455">
        <f t="array" ref="J305">IFERROR(INDEX('Retirement Calculator'!K:K,MATCH('Lorri 401b'!N305,'Retirement Calculator'!A:A,0),0),0)</f>
        <v>16520.094745597391</v>
      </c>
      <c r="K305" s="455">
        <f t="shared" ca="1" si="27"/>
        <v>19644.843635643439</v>
      </c>
      <c r="L305" s="455">
        <f t="shared" ca="1" si="28"/>
        <v>4734407.3161900695</v>
      </c>
      <c r="M305" s="471">
        <f t="shared" si="30"/>
        <v>0.05</v>
      </c>
      <c r="N305" s="475">
        <f t="shared" si="31"/>
        <v>60327</v>
      </c>
    </row>
    <row r="306" spans="7:14" ht="11.25" customHeight="1" x14ac:dyDescent="0.3">
      <c r="G306" s="470">
        <f t="shared" si="34"/>
        <v>25</v>
      </c>
      <c r="H306" s="470">
        <v>299</v>
      </c>
      <c r="I306" s="455">
        <f t="shared" ca="1" si="29"/>
        <v>4734407.3161900695</v>
      </c>
      <c r="J306" s="455">
        <f t="array" ref="J306">IFERROR(INDEX('Retirement Calculator'!K:K,MATCH('Lorri 401b'!N306,'Retirement Calculator'!A:A,0),0),0)</f>
        <v>16520.094745597391</v>
      </c>
      <c r="K306" s="455">
        <f t="shared" ca="1" si="27"/>
        <v>19657.863422685299</v>
      </c>
      <c r="L306" s="455">
        <f t="shared" ca="1" si="28"/>
        <v>4737545.084867157</v>
      </c>
      <c r="M306" s="471">
        <f t="shared" si="30"/>
        <v>0.05</v>
      </c>
      <c r="N306" s="475">
        <f t="shared" si="31"/>
        <v>60358</v>
      </c>
    </row>
    <row r="307" spans="7:14" ht="11.25" customHeight="1" x14ac:dyDescent="0.3">
      <c r="G307" s="470">
        <f t="shared" si="34"/>
        <v>25</v>
      </c>
      <c r="H307" s="470">
        <v>300</v>
      </c>
      <c r="I307" s="455">
        <f t="shared" ca="1" si="29"/>
        <v>4737545.084867157</v>
      </c>
      <c r="J307" s="455">
        <f t="array" ref="J307">IFERROR(INDEX('Retirement Calculator'!K:K,MATCH('Lorri 401b'!N307,'Retirement Calculator'!A:A,0),0),0)</f>
        <v>16520.094745597391</v>
      </c>
      <c r="K307" s="455">
        <f t="shared" ca="1" si="27"/>
        <v>19670.937458839831</v>
      </c>
      <c r="L307" s="455">
        <f t="shared" ca="1" si="28"/>
        <v>4740695.9275803994</v>
      </c>
      <c r="M307" s="471">
        <f t="shared" si="30"/>
        <v>0.05</v>
      </c>
      <c r="N307" s="475">
        <f t="shared" si="31"/>
        <v>60388</v>
      </c>
    </row>
    <row r="308" spans="7:14" ht="11.25" customHeight="1" x14ac:dyDescent="0.3">
      <c r="G308" s="470">
        <f>G307+1</f>
        <v>26</v>
      </c>
      <c r="H308" s="470">
        <v>301</v>
      </c>
      <c r="I308" s="455">
        <f t="shared" ca="1" si="29"/>
        <v>4740695.9275803994</v>
      </c>
      <c r="J308" s="455">
        <f t="array" ref="J308">IFERROR(INDEX('Retirement Calculator'!K:K,MATCH('Lorri 401b'!N308,'Retirement Calculator'!A:A,0),0),0)</f>
        <v>16520.094745597391</v>
      </c>
      <c r="K308" s="455">
        <f t="shared" ca="1" si="27"/>
        <v>19684.065970145006</v>
      </c>
      <c r="L308" s="455">
        <f t="shared" ca="1" si="28"/>
        <v>4743859.8988049468</v>
      </c>
      <c r="M308" s="471">
        <f t="shared" si="30"/>
        <v>0.05</v>
      </c>
      <c r="N308" s="475">
        <f t="shared" si="31"/>
        <v>60419</v>
      </c>
    </row>
    <row r="309" spans="7:14" ht="11.25" customHeight="1" x14ac:dyDescent="0.3">
      <c r="G309" s="470">
        <f t="shared" ref="G309:G319" si="35">G308</f>
        <v>26</v>
      </c>
      <c r="H309" s="470">
        <v>302</v>
      </c>
      <c r="I309" s="455">
        <f t="shared" ca="1" si="29"/>
        <v>4743859.8988049468</v>
      </c>
      <c r="J309" s="455">
        <f t="array" ref="J309">IFERROR(INDEX('Retirement Calculator'!K:K,MATCH('Lorri 401b'!N309,'Retirement Calculator'!A:A,0),0),0)</f>
        <v>16520.094745597391</v>
      </c>
      <c r="K309" s="455">
        <f t="shared" ca="1" si="27"/>
        <v>19697.249183580621</v>
      </c>
      <c r="L309" s="455">
        <f t="shared" ca="1" si="28"/>
        <v>4747037.0532429293</v>
      </c>
      <c r="M309" s="471">
        <f t="shared" si="30"/>
        <v>0.05</v>
      </c>
      <c r="N309" s="475">
        <f t="shared" si="31"/>
        <v>60449</v>
      </c>
    </row>
    <row r="310" spans="7:14" ht="11.25" customHeight="1" x14ac:dyDescent="0.3">
      <c r="G310" s="470">
        <f t="shared" si="35"/>
        <v>26</v>
      </c>
      <c r="H310" s="470">
        <v>303</v>
      </c>
      <c r="I310" s="455">
        <f t="shared" ca="1" si="29"/>
        <v>4747037.0532429293</v>
      </c>
      <c r="J310" s="455">
        <f t="array" ref="J310">IFERROR(INDEX('Retirement Calculator'!K:K,MATCH('Lorri 401b'!N310,'Retirement Calculator'!A:A,0),0),0)</f>
        <v>16520.094745597391</v>
      </c>
      <c r="K310" s="455">
        <f t="shared" ca="1" si="27"/>
        <v>19710.487327072213</v>
      </c>
      <c r="L310" s="455">
        <f t="shared" ca="1" si="28"/>
        <v>4750227.4458244033</v>
      </c>
      <c r="M310" s="471">
        <f t="shared" si="30"/>
        <v>0.05</v>
      </c>
      <c r="N310" s="475">
        <f t="shared" si="31"/>
        <v>60480</v>
      </c>
    </row>
    <row r="311" spans="7:14" ht="11.25" customHeight="1" x14ac:dyDescent="0.3">
      <c r="G311" s="470">
        <f t="shared" si="35"/>
        <v>26</v>
      </c>
      <c r="H311" s="470">
        <v>304</v>
      </c>
      <c r="I311" s="455">
        <f t="shared" ca="1" si="29"/>
        <v>4750227.4458244033</v>
      </c>
      <c r="J311" s="455">
        <f t="array" ref="J311">IFERROR(INDEX('Retirement Calculator'!K:K,MATCH('Lorri 401b'!N311,'Retirement Calculator'!A:A,0),0),0)</f>
        <v>16520.094745597391</v>
      </c>
      <c r="K311" s="455">
        <f t="shared" ca="1" si="27"/>
        <v>19723.780629495024</v>
      </c>
      <c r="L311" s="455">
        <f t="shared" ca="1" si="28"/>
        <v>4753431.1317083007</v>
      </c>
      <c r="M311" s="471">
        <f t="shared" si="30"/>
        <v>0.05</v>
      </c>
      <c r="N311" s="475">
        <f t="shared" si="31"/>
        <v>60511</v>
      </c>
    </row>
    <row r="312" spans="7:14" ht="11.25" customHeight="1" x14ac:dyDescent="0.3">
      <c r="G312" s="470">
        <f t="shared" si="35"/>
        <v>26</v>
      </c>
      <c r="H312" s="470">
        <v>305</v>
      </c>
      <c r="I312" s="455">
        <f t="shared" ca="1" si="29"/>
        <v>4753431.1317083007</v>
      </c>
      <c r="J312" s="455">
        <f t="array" ref="J312">IFERROR(INDEX('Retirement Calculator'!K:K,MATCH('Lorri 401b'!N312,'Retirement Calculator'!A:A,0),0),0)</f>
        <v>16520.094745597391</v>
      </c>
      <c r="K312" s="455">
        <f t="shared" ca="1" si="27"/>
        <v>19737.12932067793</v>
      </c>
      <c r="L312" s="455">
        <f t="shared" ca="1" si="28"/>
        <v>4756648.1662833812</v>
      </c>
      <c r="M312" s="471">
        <f t="shared" si="30"/>
        <v>0.05</v>
      </c>
      <c r="N312" s="475">
        <f t="shared" si="31"/>
        <v>60541</v>
      </c>
    </row>
    <row r="313" spans="7:14" ht="11.25" customHeight="1" x14ac:dyDescent="0.3">
      <c r="G313" s="470">
        <f t="shared" si="35"/>
        <v>26</v>
      </c>
      <c r="H313" s="470">
        <v>306</v>
      </c>
      <c r="I313" s="455">
        <f t="shared" ca="1" si="29"/>
        <v>4756648.1662833812</v>
      </c>
      <c r="J313" s="455">
        <f t="array" ref="J313">IFERROR(INDEX('Retirement Calculator'!K:K,MATCH('Lorri 401b'!N313,'Retirement Calculator'!A:A,0),0),0)</f>
        <v>16520.094745597391</v>
      </c>
      <c r="K313" s="455">
        <f t="shared" ca="1" si="27"/>
        <v>19750.53363140743</v>
      </c>
      <c r="L313" s="455">
        <f t="shared" ca="1" si="28"/>
        <v>4759878.605169191</v>
      </c>
      <c r="M313" s="471">
        <f t="shared" si="30"/>
        <v>0.05</v>
      </c>
      <c r="N313" s="475">
        <f t="shared" si="31"/>
        <v>60572</v>
      </c>
    </row>
    <row r="314" spans="7:14" ht="11.25" customHeight="1" x14ac:dyDescent="0.3">
      <c r="G314" s="470">
        <f t="shared" si="35"/>
        <v>26</v>
      </c>
      <c r="H314" s="470">
        <v>307</v>
      </c>
      <c r="I314" s="455">
        <f t="shared" ca="1" si="29"/>
        <v>4759878.605169191</v>
      </c>
      <c r="J314" s="455">
        <f t="array" ref="J314">IFERROR(INDEX('Retirement Calculator'!K:K,MATCH('Lorri 401b'!N314,'Retirement Calculator'!A:A,0),0),0)</f>
        <v>16520.094745597391</v>
      </c>
      <c r="K314" s="455">
        <f t="shared" ca="1" si="27"/>
        <v>19763.993793431637</v>
      </c>
      <c r="L314" s="455">
        <f t="shared" ca="1" si="28"/>
        <v>4763122.5042170249</v>
      </c>
      <c r="M314" s="471">
        <f t="shared" si="30"/>
        <v>0.05</v>
      </c>
      <c r="N314" s="475">
        <f t="shared" si="31"/>
        <v>60602</v>
      </c>
    </row>
    <row r="315" spans="7:14" ht="11.25" customHeight="1" x14ac:dyDescent="0.3">
      <c r="G315" s="470">
        <f t="shared" si="35"/>
        <v>26</v>
      </c>
      <c r="H315" s="470">
        <v>308</v>
      </c>
      <c r="I315" s="455">
        <f t="shared" ca="1" si="29"/>
        <v>4763122.5042170249</v>
      </c>
      <c r="J315" s="455">
        <f t="array" ref="J315">IFERROR(INDEX('Retirement Calculator'!K:K,MATCH('Lorri 401b'!N315,'Retirement Calculator'!A:A,0),0),0)</f>
        <v>16520.094745597391</v>
      </c>
      <c r="K315" s="455">
        <f t="shared" ca="1" si="27"/>
        <v>19777.51003946428</v>
      </c>
      <c r="L315" s="455">
        <f t="shared" ca="1" si="28"/>
        <v>4766379.9195108917</v>
      </c>
      <c r="M315" s="471">
        <f t="shared" si="30"/>
        <v>0.05</v>
      </c>
      <c r="N315" s="475">
        <f t="shared" si="31"/>
        <v>60633</v>
      </c>
    </row>
    <row r="316" spans="7:14" ht="11.25" customHeight="1" x14ac:dyDescent="0.3">
      <c r="G316" s="470">
        <f t="shared" si="35"/>
        <v>26</v>
      </c>
      <c r="H316" s="470">
        <v>309</v>
      </c>
      <c r="I316" s="455">
        <f t="shared" ca="1" si="29"/>
        <v>4766379.9195108917</v>
      </c>
      <c r="J316" s="455">
        <f t="array" ref="J316">IFERROR(INDEX('Retirement Calculator'!K:K,MATCH('Lorri 401b'!N316,'Retirement Calculator'!A:A,0),0),0)</f>
        <v>16520.094745597391</v>
      </c>
      <c r="K316" s="455">
        <f t="shared" ca="1" si="27"/>
        <v>19791.082603188723</v>
      </c>
      <c r="L316" s="455">
        <f t="shared" ca="1" si="28"/>
        <v>4769650.907368483</v>
      </c>
      <c r="M316" s="471">
        <f t="shared" si="30"/>
        <v>0.05</v>
      </c>
      <c r="N316" s="475">
        <f t="shared" si="31"/>
        <v>60664</v>
      </c>
    </row>
    <row r="317" spans="7:14" ht="11.25" customHeight="1" x14ac:dyDescent="0.3">
      <c r="G317" s="470">
        <f t="shared" si="35"/>
        <v>26</v>
      </c>
      <c r="H317" s="470">
        <v>310</v>
      </c>
      <c r="I317" s="455">
        <f t="shared" ca="1" si="29"/>
        <v>4769650.907368483</v>
      </c>
      <c r="J317" s="455">
        <f t="array" ref="J317">IFERROR(INDEX('Retirement Calculator'!K:K,MATCH('Lorri 401b'!N317,'Retirement Calculator'!A:A,0),0),0)</f>
        <v>16520.094745597391</v>
      </c>
      <c r="K317" s="455">
        <f t="shared" ca="1" si="27"/>
        <v>19804.711719262021</v>
      </c>
      <c r="L317" s="455">
        <f t="shared" ca="1" si="28"/>
        <v>4772935.5243421476</v>
      </c>
      <c r="M317" s="471">
        <f t="shared" si="30"/>
        <v>0.05</v>
      </c>
      <c r="N317" s="475">
        <f t="shared" si="31"/>
        <v>60692</v>
      </c>
    </row>
    <row r="318" spans="7:14" ht="11.25" customHeight="1" x14ac:dyDescent="0.3">
      <c r="G318" s="470">
        <f t="shared" si="35"/>
        <v>26</v>
      </c>
      <c r="H318" s="470">
        <v>311</v>
      </c>
      <c r="I318" s="455">
        <f t="shared" ca="1" si="29"/>
        <v>4772935.5243421476</v>
      </c>
      <c r="J318" s="455">
        <f t="array" ref="J318">IFERROR(INDEX('Retirement Calculator'!K:K,MATCH('Lorri 401b'!N318,'Retirement Calculator'!A:A,0),0),0)</f>
        <v>16520.094745597391</v>
      </c>
      <c r="K318" s="455">
        <f t="shared" ca="1" si="27"/>
        <v>19818.397623318957</v>
      </c>
      <c r="L318" s="455">
        <f t="shared" ca="1" si="28"/>
        <v>4776233.827219869</v>
      </c>
      <c r="M318" s="471">
        <f t="shared" si="30"/>
        <v>0.05</v>
      </c>
      <c r="N318" s="475">
        <f t="shared" si="31"/>
        <v>60723</v>
      </c>
    </row>
    <row r="319" spans="7:14" ht="11.25" customHeight="1" x14ac:dyDescent="0.3">
      <c r="G319" s="470">
        <f t="shared" si="35"/>
        <v>26</v>
      </c>
      <c r="H319" s="470">
        <v>312</v>
      </c>
      <c r="I319" s="455">
        <f t="shared" ca="1" si="29"/>
        <v>4776233.827219869</v>
      </c>
      <c r="J319" s="455">
        <f t="array" ref="J319">IFERROR(INDEX('Retirement Calculator'!K:K,MATCH('Lorri 401b'!N319,'Retirement Calculator'!A:A,0),0),0)</f>
        <v>16520.094745597391</v>
      </c>
      <c r="K319" s="455">
        <f t="shared" ca="1" si="27"/>
        <v>19832.140551976128</v>
      </c>
      <c r="L319" s="455">
        <f t="shared" ca="1" si="28"/>
        <v>4779545.8730262471</v>
      </c>
      <c r="M319" s="471">
        <f t="shared" si="30"/>
        <v>0.05</v>
      </c>
      <c r="N319" s="475">
        <f t="shared" si="31"/>
        <v>60753</v>
      </c>
    </row>
    <row r="320" spans="7:14" ht="11.25" customHeight="1" x14ac:dyDescent="0.3">
      <c r="G320" s="470">
        <f>G319+1</f>
        <v>27</v>
      </c>
      <c r="H320" s="470">
        <v>313</v>
      </c>
      <c r="I320" s="455">
        <f t="shared" ca="1" si="29"/>
        <v>4779545.8730262471</v>
      </c>
      <c r="J320" s="455">
        <f t="array" ref="J320">IFERROR(INDEX('Retirement Calculator'!K:K,MATCH('Lorri 401b'!N320,'Retirement Calculator'!A:A,0),0),0)</f>
        <v>16520.094745597391</v>
      </c>
      <c r="K320" s="455">
        <f t="shared" ca="1" si="27"/>
        <v>19845.940742836039</v>
      </c>
      <c r="L320" s="455">
        <f t="shared" ca="1" si="28"/>
        <v>4782871.7190234857</v>
      </c>
      <c r="M320" s="471">
        <f t="shared" si="30"/>
        <v>0.05</v>
      </c>
      <c r="N320" s="475">
        <f t="shared" si="31"/>
        <v>60784</v>
      </c>
    </row>
    <row r="321" spans="7:14" ht="11.25" customHeight="1" x14ac:dyDescent="0.3">
      <c r="G321" s="470">
        <f t="shared" ref="G321:G331" si="36">G320</f>
        <v>27</v>
      </c>
      <c r="H321" s="470">
        <v>314</v>
      </c>
      <c r="I321" s="455">
        <f t="shared" ca="1" si="29"/>
        <v>4782871.7190234857</v>
      </c>
      <c r="J321" s="455">
        <f t="array" ref="J321">IFERROR(INDEX('Retirement Calculator'!K:K,MATCH('Lorri 401b'!N321,'Retirement Calculator'!A:A,0),0),0)</f>
        <v>16520.094745597391</v>
      </c>
      <c r="K321" s="455">
        <f t="shared" ca="1" si="27"/>
        <v>19859.7984344912</v>
      </c>
      <c r="L321" s="455">
        <f t="shared" ca="1" si="28"/>
        <v>4786211.4227123791</v>
      </c>
      <c r="M321" s="471">
        <f t="shared" si="30"/>
        <v>0.05</v>
      </c>
      <c r="N321" s="475">
        <f t="shared" si="31"/>
        <v>60814</v>
      </c>
    </row>
    <row r="322" spans="7:14" ht="11.25" customHeight="1" x14ac:dyDescent="0.3">
      <c r="G322" s="470">
        <f t="shared" si="36"/>
        <v>27</v>
      </c>
      <c r="H322" s="470">
        <v>315</v>
      </c>
      <c r="I322" s="455">
        <f t="shared" ca="1" si="29"/>
        <v>4786211.4227123791</v>
      </c>
      <c r="J322" s="455">
        <f t="array" ref="J322">IFERROR(INDEX('Retirement Calculator'!K:K,MATCH('Lorri 401b'!N322,'Retirement Calculator'!A:A,0),0),0)</f>
        <v>16520.094745597391</v>
      </c>
      <c r="K322" s="455">
        <f t="shared" ca="1" si="27"/>
        <v>19873.713866528255</v>
      </c>
      <c r="L322" s="455">
        <f t="shared" ca="1" si="28"/>
        <v>4789565.0418333095</v>
      </c>
      <c r="M322" s="471">
        <f t="shared" si="30"/>
        <v>0.05</v>
      </c>
      <c r="N322" s="475">
        <f t="shared" si="31"/>
        <v>60845</v>
      </c>
    </row>
    <row r="323" spans="7:14" ht="11.25" customHeight="1" x14ac:dyDescent="0.3">
      <c r="G323" s="470">
        <f t="shared" si="36"/>
        <v>27</v>
      </c>
      <c r="H323" s="470">
        <v>316</v>
      </c>
      <c r="I323" s="455">
        <f t="shared" ca="1" si="29"/>
        <v>4789565.0418333095</v>
      </c>
      <c r="J323" s="455">
        <f t="array" ref="J323">IFERROR(INDEX('Retirement Calculator'!K:K,MATCH('Lorri 401b'!N323,'Retirement Calculator'!A:A,0),0),0)</f>
        <v>16520.094745597391</v>
      </c>
      <c r="K323" s="455">
        <f t="shared" ca="1" si="27"/>
        <v>19887.687279532132</v>
      </c>
      <c r="L323" s="455">
        <f t="shared" ca="1" si="28"/>
        <v>4792932.6343672434</v>
      </c>
      <c r="M323" s="471">
        <f t="shared" si="30"/>
        <v>0.05</v>
      </c>
      <c r="N323" s="475">
        <f t="shared" si="31"/>
        <v>60876</v>
      </c>
    </row>
    <row r="324" spans="7:14" ht="11.25" customHeight="1" x14ac:dyDescent="0.3">
      <c r="G324" s="470">
        <f t="shared" si="36"/>
        <v>27</v>
      </c>
      <c r="H324" s="470">
        <v>317</v>
      </c>
      <c r="I324" s="455">
        <f t="shared" ca="1" si="29"/>
        <v>4792932.6343672434</v>
      </c>
      <c r="J324" s="455">
        <f t="array" ref="J324">IFERROR(INDEX('Retirement Calculator'!K:K,MATCH('Lorri 401b'!N324,'Retirement Calculator'!A:A,0),0),0)</f>
        <v>16520.094745597391</v>
      </c>
      <c r="K324" s="455">
        <f t="shared" ca="1" si="27"/>
        <v>19901.71891509019</v>
      </c>
      <c r="L324" s="455">
        <f t="shared" ca="1" si="28"/>
        <v>4796314.2585367355</v>
      </c>
      <c r="M324" s="471">
        <f t="shared" si="30"/>
        <v>0.05</v>
      </c>
      <c r="N324" s="475">
        <f t="shared" si="31"/>
        <v>60906</v>
      </c>
    </row>
    <row r="325" spans="7:14" ht="11.25" customHeight="1" x14ac:dyDescent="0.3">
      <c r="G325" s="470">
        <f t="shared" si="36"/>
        <v>27</v>
      </c>
      <c r="H325" s="470">
        <v>318</v>
      </c>
      <c r="I325" s="455">
        <f t="shared" ca="1" si="29"/>
        <v>4796314.2585367355</v>
      </c>
      <c r="J325" s="455">
        <f t="array" ref="J325">IFERROR(INDEX('Retirement Calculator'!K:K,MATCH('Lorri 401b'!N325,'Retirement Calculator'!A:A,0),0),0)</f>
        <v>16520.094745597391</v>
      </c>
      <c r="K325" s="455">
        <f t="shared" ca="1" si="27"/>
        <v>19915.809015796407</v>
      </c>
      <c r="L325" s="455">
        <f t="shared" ca="1" si="28"/>
        <v>4799709.9728069343</v>
      </c>
      <c r="M325" s="471">
        <f t="shared" si="30"/>
        <v>0.05</v>
      </c>
      <c r="N325" s="475">
        <f t="shared" si="31"/>
        <v>60937</v>
      </c>
    </row>
    <row r="326" spans="7:14" ht="11.25" customHeight="1" x14ac:dyDescent="0.3">
      <c r="G326" s="470">
        <f t="shared" si="36"/>
        <v>27</v>
      </c>
      <c r="H326" s="470">
        <v>319</v>
      </c>
      <c r="I326" s="455">
        <f t="shared" ca="1" si="29"/>
        <v>4799709.9728069343</v>
      </c>
      <c r="J326" s="455">
        <f t="array" ref="J326">IFERROR(INDEX('Retirement Calculator'!K:K,MATCH('Lorri 401b'!N326,'Retirement Calculator'!A:A,0),0),0)</f>
        <v>16520.094745597391</v>
      </c>
      <c r="K326" s="455">
        <f t="shared" ca="1" si="27"/>
        <v>19929.957825255569</v>
      </c>
      <c r="L326" s="455">
        <f t="shared" ca="1" si="28"/>
        <v>4803119.835886592</v>
      </c>
      <c r="M326" s="471">
        <f t="shared" si="30"/>
        <v>0.05</v>
      </c>
      <c r="N326" s="475">
        <f t="shared" si="31"/>
        <v>60967</v>
      </c>
    </row>
    <row r="327" spans="7:14" ht="11.25" customHeight="1" x14ac:dyDescent="0.3">
      <c r="G327" s="470">
        <f t="shared" si="36"/>
        <v>27</v>
      </c>
      <c r="H327" s="470">
        <v>320</v>
      </c>
      <c r="I327" s="455">
        <f t="shared" ca="1" si="29"/>
        <v>4803119.835886592</v>
      </c>
      <c r="J327" s="455">
        <f t="array" ref="J327">IFERROR(INDEX('Retirement Calculator'!K:K,MATCH('Lorri 401b'!N327,'Retirement Calculator'!A:A,0),0),0)</f>
        <v>16520.094745597391</v>
      </c>
      <c r="K327" s="455">
        <f t="shared" ca="1" si="27"/>
        <v>19944.165588087475</v>
      </c>
      <c r="L327" s="455">
        <f t="shared" ca="1" si="28"/>
        <v>4806543.9067290816</v>
      </c>
      <c r="M327" s="471">
        <f t="shared" si="30"/>
        <v>0.05</v>
      </c>
      <c r="N327" s="475">
        <f t="shared" si="31"/>
        <v>60998</v>
      </c>
    </row>
    <row r="328" spans="7:14" ht="11.25" customHeight="1" x14ac:dyDescent="0.3">
      <c r="G328" s="470">
        <f t="shared" si="36"/>
        <v>27</v>
      </c>
      <c r="H328" s="470">
        <v>321</v>
      </c>
      <c r="I328" s="455">
        <f t="shared" ca="1" si="29"/>
        <v>4806543.9067290816</v>
      </c>
      <c r="J328" s="455">
        <f t="array" ref="J328">IFERROR(INDEX('Retirement Calculator'!K:K,MATCH('Lorri 401b'!N328,'Retirement Calculator'!A:A,0),0),0)</f>
        <v>16520.094745597391</v>
      </c>
      <c r="K328" s="455">
        <f t="shared" ca="1" si="27"/>
        <v>19958.432549931182</v>
      </c>
      <c r="L328" s="455">
        <f t="shared" ca="1" si="28"/>
        <v>4809982.244533415</v>
      </c>
      <c r="M328" s="471">
        <f t="shared" si="30"/>
        <v>0.05</v>
      </c>
      <c r="N328" s="475">
        <f t="shared" si="31"/>
        <v>61029</v>
      </c>
    </row>
    <row r="329" spans="7:14" ht="11.25" customHeight="1" x14ac:dyDescent="0.3">
      <c r="G329" s="470">
        <f t="shared" si="36"/>
        <v>27</v>
      </c>
      <c r="H329" s="470">
        <v>322</v>
      </c>
      <c r="I329" s="455">
        <f t="shared" ca="1" si="29"/>
        <v>4809982.244533415</v>
      </c>
      <c r="J329" s="455">
        <f t="array" ref="J329">IFERROR(INDEX('Retirement Calculator'!K:K,MATCH('Lorri 401b'!N329,'Retirement Calculator'!A:A,0),0),0)</f>
        <v>16520.094745597391</v>
      </c>
      <c r="K329" s="455">
        <f t="shared" ca="1" si="27"/>
        <v>19972.758957449238</v>
      </c>
      <c r="L329" s="455">
        <f t="shared" ca="1" si="28"/>
        <v>4813434.9087452665</v>
      </c>
      <c r="M329" s="471">
        <f t="shared" si="30"/>
        <v>0.05</v>
      </c>
      <c r="N329" s="475">
        <f t="shared" si="31"/>
        <v>61057</v>
      </c>
    </row>
    <row r="330" spans="7:14" ht="11.25" customHeight="1" x14ac:dyDescent="0.3">
      <c r="G330" s="470">
        <f t="shared" si="36"/>
        <v>27</v>
      </c>
      <c r="H330" s="470">
        <v>323</v>
      </c>
      <c r="I330" s="455">
        <f t="shared" ca="1" si="29"/>
        <v>4813434.9087452665</v>
      </c>
      <c r="J330" s="455">
        <f t="array" ref="J330">IFERROR(INDEX('Retirement Calculator'!K:K,MATCH('Lorri 401b'!N330,'Retirement Calculator'!A:A,0),0),0)</f>
        <v>16520.094745597391</v>
      </c>
      <c r="K330" s="455">
        <f t="shared" ca="1" si="27"/>
        <v>19987.145058331953</v>
      </c>
      <c r="L330" s="455">
        <f t="shared" ca="1" si="28"/>
        <v>4816901.9590580007</v>
      </c>
      <c r="M330" s="471">
        <f t="shared" si="30"/>
        <v>0.05</v>
      </c>
      <c r="N330" s="475">
        <f t="shared" si="31"/>
        <v>61088</v>
      </c>
    </row>
    <row r="331" spans="7:14" ht="11.25" customHeight="1" x14ac:dyDescent="0.3">
      <c r="G331" s="470">
        <f t="shared" si="36"/>
        <v>27</v>
      </c>
      <c r="H331" s="470">
        <v>324</v>
      </c>
      <c r="I331" s="455">
        <f t="shared" ca="1" si="29"/>
        <v>4816901.9590580007</v>
      </c>
      <c r="J331" s="455">
        <f t="array" ref="J331">IFERROR(INDEX('Retirement Calculator'!K:K,MATCH('Lorri 401b'!N331,'Retirement Calculator'!A:A,0),0),0)</f>
        <v>16520.094745597391</v>
      </c>
      <c r="K331" s="455">
        <f t="shared" ca="1" si="27"/>
        <v>20001.591101301678</v>
      </c>
      <c r="L331" s="455">
        <f t="shared" ca="1" si="28"/>
        <v>4820383.4554137047</v>
      </c>
      <c r="M331" s="471">
        <f t="shared" si="30"/>
        <v>0.05</v>
      </c>
      <c r="N331" s="475">
        <f t="shared" si="31"/>
        <v>61118</v>
      </c>
    </row>
    <row r="332" spans="7:14" ht="11.25" customHeight="1" x14ac:dyDescent="0.3">
      <c r="G332" s="470">
        <f>G331+1</f>
        <v>28</v>
      </c>
      <c r="H332" s="470">
        <v>325</v>
      </c>
      <c r="I332" s="455">
        <f t="shared" ca="1" si="29"/>
        <v>4820383.4554137047</v>
      </c>
      <c r="J332" s="455">
        <f t="array" ref="J332">IFERROR(INDEX('Retirement Calculator'!K:K,MATCH('Lorri 401b'!N332,'Retirement Calculator'!A:A,0),0),0)</f>
        <v>16520.094745597391</v>
      </c>
      <c r="K332" s="455">
        <f t="shared" ca="1" si="27"/>
        <v>20016.097336117113</v>
      </c>
      <c r="L332" s="455">
        <f t="shared" ca="1" si="28"/>
        <v>4823879.4580042241</v>
      </c>
      <c r="M332" s="471">
        <f t="shared" si="30"/>
        <v>0.05</v>
      </c>
      <c r="N332" s="475">
        <f t="shared" si="31"/>
        <v>61149</v>
      </c>
    </row>
    <row r="333" spans="7:14" ht="11.25" customHeight="1" x14ac:dyDescent="0.3">
      <c r="G333" s="470">
        <f t="shared" ref="G333:G343" si="37">G332</f>
        <v>28</v>
      </c>
      <c r="H333" s="470">
        <v>326</v>
      </c>
      <c r="I333" s="455">
        <f t="shared" ca="1" si="29"/>
        <v>4823879.4580042241</v>
      </c>
      <c r="J333" s="455">
        <f t="array" ref="J333">IFERROR(INDEX('Retirement Calculator'!K:K,MATCH('Lorri 401b'!N333,'Retirement Calculator'!A:A,0),0),0)</f>
        <v>16520.094745597391</v>
      </c>
      <c r="K333" s="455">
        <f t="shared" ca="1" si="27"/>
        <v>20030.664013577611</v>
      </c>
      <c r="L333" s="455">
        <f t="shared" ca="1" si="28"/>
        <v>4827390.0272722039</v>
      </c>
      <c r="M333" s="471">
        <f t="shared" si="30"/>
        <v>0.05</v>
      </c>
      <c r="N333" s="475">
        <f t="shared" si="31"/>
        <v>61179</v>
      </c>
    </row>
    <row r="334" spans="7:14" ht="11.25" customHeight="1" x14ac:dyDescent="0.3">
      <c r="G334" s="470">
        <f t="shared" si="37"/>
        <v>28</v>
      </c>
      <c r="H334" s="470">
        <v>327</v>
      </c>
      <c r="I334" s="455">
        <f t="shared" ca="1" si="29"/>
        <v>4827390.0272722039</v>
      </c>
      <c r="J334" s="455">
        <f t="array" ref="J334">IFERROR(INDEX('Retirement Calculator'!K:K,MATCH('Lorri 401b'!N334,'Retirement Calculator'!A:A,0),0),0)</f>
        <v>16520.094745597391</v>
      </c>
      <c r="K334" s="455">
        <f t="shared" ca="1" si="27"/>
        <v>20045.291385527526</v>
      </c>
      <c r="L334" s="455">
        <f t="shared" ca="1" si="28"/>
        <v>4830915.2239121338</v>
      </c>
      <c r="M334" s="471">
        <f t="shared" si="30"/>
        <v>0.05</v>
      </c>
      <c r="N334" s="475">
        <f t="shared" si="31"/>
        <v>61210</v>
      </c>
    </row>
    <row r="335" spans="7:14" ht="11.25" customHeight="1" x14ac:dyDescent="0.3">
      <c r="G335" s="470">
        <f t="shared" si="37"/>
        <v>28</v>
      </c>
      <c r="H335" s="470">
        <v>328</v>
      </c>
      <c r="I335" s="455">
        <f t="shared" ca="1" si="29"/>
        <v>4830915.2239121338</v>
      </c>
      <c r="J335" s="455">
        <f t="array" ref="J335">IFERROR(INDEX('Retirement Calculator'!K:K,MATCH('Lorri 401b'!N335,'Retirement Calculator'!A:A,0),0),0)</f>
        <v>16520.094745597391</v>
      </c>
      <c r="K335" s="455">
        <f t="shared" ca="1" si="27"/>
        <v>20059.979704860565</v>
      </c>
      <c r="L335" s="455">
        <f t="shared" ca="1" si="28"/>
        <v>4834455.1088713966</v>
      </c>
      <c r="M335" s="471">
        <f t="shared" si="30"/>
        <v>0.05</v>
      </c>
      <c r="N335" s="475">
        <f t="shared" si="31"/>
        <v>61241</v>
      </c>
    </row>
    <row r="336" spans="7:14" ht="11.25" customHeight="1" x14ac:dyDescent="0.3">
      <c r="G336" s="470">
        <f t="shared" si="37"/>
        <v>28</v>
      </c>
      <c r="H336" s="470">
        <v>329</v>
      </c>
      <c r="I336" s="455">
        <f t="shared" ca="1" si="29"/>
        <v>4834455.1088713966</v>
      </c>
      <c r="J336" s="455">
        <f t="array" ref="J336">IFERROR(INDEX('Retirement Calculator'!K:K,MATCH('Lorri 401b'!N336,'Retirement Calculator'!A:A,0),0),0)</f>
        <v>16520.094745597391</v>
      </c>
      <c r="K336" s="455">
        <f t="shared" ca="1" si="27"/>
        <v>20074.729225524163</v>
      </c>
      <c r="L336" s="455">
        <f t="shared" ca="1" si="28"/>
        <v>4838009.7433513226</v>
      </c>
      <c r="M336" s="471">
        <f t="shared" si="30"/>
        <v>0.05</v>
      </c>
      <c r="N336" s="475">
        <f t="shared" si="31"/>
        <v>61271</v>
      </c>
    </row>
    <row r="337" spans="7:14" ht="11.25" customHeight="1" x14ac:dyDescent="0.3">
      <c r="G337" s="470">
        <f t="shared" si="37"/>
        <v>28</v>
      </c>
      <c r="H337" s="470">
        <v>330</v>
      </c>
      <c r="I337" s="455">
        <f t="shared" ca="1" si="29"/>
        <v>4838009.7433513226</v>
      </c>
      <c r="J337" s="455">
        <f t="array" ref="J337">IFERROR(INDEX('Retirement Calculator'!K:K,MATCH('Lorri 401b'!N337,'Retirement Calculator'!A:A,0),0),0)</f>
        <v>16520.094745597391</v>
      </c>
      <c r="K337" s="455">
        <f t="shared" ca="1" si="27"/>
        <v>20089.540202523855</v>
      </c>
      <c r="L337" s="455">
        <f t="shared" ca="1" si="28"/>
        <v>4841579.1888082484</v>
      </c>
      <c r="M337" s="471">
        <f t="shared" si="30"/>
        <v>0.05</v>
      </c>
      <c r="N337" s="475">
        <f t="shared" si="31"/>
        <v>61302</v>
      </c>
    </row>
    <row r="338" spans="7:14" ht="11.25" customHeight="1" x14ac:dyDescent="0.3">
      <c r="G338" s="470">
        <f t="shared" si="37"/>
        <v>28</v>
      </c>
      <c r="H338" s="470">
        <v>331</v>
      </c>
      <c r="I338" s="455">
        <f t="shared" ca="1" si="29"/>
        <v>4841579.1888082484</v>
      </c>
      <c r="J338" s="455">
        <f t="array" ref="J338">IFERROR(INDEX('Retirement Calculator'!K:K,MATCH('Lorri 401b'!N338,'Retirement Calculator'!A:A,0),0),0)</f>
        <v>16520.094745597391</v>
      </c>
      <c r="K338" s="455">
        <f t="shared" ca="1" si="27"/>
        <v>20104.41289192771</v>
      </c>
      <c r="L338" s="455">
        <f t="shared" ca="1" si="28"/>
        <v>4845163.5069545787</v>
      </c>
      <c r="M338" s="471">
        <f t="shared" si="30"/>
        <v>0.05</v>
      </c>
      <c r="N338" s="475">
        <f t="shared" si="31"/>
        <v>61332</v>
      </c>
    </row>
    <row r="339" spans="7:14" ht="11.25" customHeight="1" x14ac:dyDescent="0.3">
      <c r="G339" s="470">
        <f t="shared" si="37"/>
        <v>28</v>
      </c>
      <c r="H339" s="470">
        <v>332</v>
      </c>
      <c r="I339" s="455">
        <f t="shared" ca="1" si="29"/>
        <v>4845163.5069545787</v>
      </c>
      <c r="J339" s="455">
        <f t="array" ref="J339">IFERROR(INDEX('Retirement Calculator'!K:K,MATCH('Lorri 401b'!N339,'Retirement Calculator'!A:A,0),0),0)</f>
        <v>16520.094745597391</v>
      </c>
      <c r="K339" s="455">
        <f t="shared" ca="1" si="27"/>
        <v>20119.347550870752</v>
      </c>
      <c r="L339" s="455">
        <f t="shared" ca="1" si="28"/>
        <v>4848762.7597598517</v>
      </c>
      <c r="M339" s="471">
        <f t="shared" si="30"/>
        <v>0.05</v>
      </c>
      <c r="N339" s="475">
        <f t="shared" si="31"/>
        <v>61363</v>
      </c>
    </row>
    <row r="340" spans="7:14" ht="11.25" customHeight="1" x14ac:dyDescent="0.3">
      <c r="G340" s="470">
        <f t="shared" si="37"/>
        <v>28</v>
      </c>
      <c r="H340" s="470">
        <v>333</v>
      </c>
      <c r="I340" s="455">
        <f t="shared" ca="1" si="29"/>
        <v>4848762.7597598517</v>
      </c>
      <c r="J340" s="455">
        <f t="array" ref="J340">IFERROR(INDEX('Retirement Calculator'!K:K,MATCH('Lorri 401b'!N340,'Retirement Calculator'!A:A,0),0),0)</f>
        <v>16520.094745597391</v>
      </c>
      <c r="K340" s="455">
        <f t="shared" ca="1" si="27"/>
        <v>20134.34443755939</v>
      </c>
      <c r="L340" s="455">
        <f t="shared" ca="1" si="28"/>
        <v>4852377.0094518131</v>
      </c>
      <c r="M340" s="471">
        <f t="shared" si="30"/>
        <v>0.05</v>
      </c>
      <c r="N340" s="475">
        <f t="shared" si="31"/>
        <v>61394</v>
      </c>
    </row>
    <row r="341" spans="7:14" ht="11.25" customHeight="1" x14ac:dyDescent="0.3">
      <c r="G341" s="470">
        <f t="shared" si="37"/>
        <v>28</v>
      </c>
      <c r="H341" s="470">
        <v>334</v>
      </c>
      <c r="I341" s="455">
        <f t="shared" ca="1" si="29"/>
        <v>4852377.0094518131</v>
      </c>
      <c r="J341" s="455">
        <f t="array" ref="J341">IFERROR(INDEX('Retirement Calculator'!K:K,MATCH('Lorri 401b'!N341,'Retirement Calculator'!A:A,0),0),0)</f>
        <v>16520.094745597391</v>
      </c>
      <c r="K341" s="455">
        <f t="shared" ca="1" si="27"/>
        <v>20149.403811275897</v>
      </c>
      <c r="L341" s="455">
        <f t="shared" ca="1" si="28"/>
        <v>4856006.3185174912</v>
      </c>
      <c r="M341" s="471">
        <f t="shared" si="30"/>
        <v>0.05</v>
      </c>
      <c r="N341" s="475">
        <f t="shared" si="31"/>
        <v>61423</v>
      </c>
    </row>
    <row r="342" spans="7:14" ht="11.25" customHeight="1" x14ac:dyDescent="0.3">
      <c r="G342" s="470">
        <f t="shared" si="37"/>
        <v>28</v>
      </c>
      <c r="H342" s="470">
        <v>335</v>
      </c>
      <c r="I342" s="455">
        <f t="shared" ca="1" si="29"/>
        <v>4856006.3185174912</v>
      </c>
      <c r="J342" s="455">
        <f t="array" ref="J342">IFERROR(INDEX('Retirement Calculator'!K:K,MATCH('Lorri 401b'!N342,'Retirement Calculator'!A:A,0),0),0)</f>
        <v>16520.094745597391</v>
      </c>
      <c r="K342" s="455">
        <f t="shared" ca="1" si="27"/>
        <v>20164.52593238289</v>
      </c>
      <c r="L342" s="455">
        <f t="shared" ca="1" si="28"/>
        <v>4859650.7497042762</v>
      </c>
      <c r="M342" s="471">
        <f t="shared" si="30"/>
        <v>0.05</v>
      </c>
      <c r="N342" s="475">
        <f t="shared" si="31"/>
        <v>61454</v>
      </c>
    </row>
    <row r="343" spans="7:14" ht="11.25" customHeight="1" x14ac:dyDescent="0.3">
      <c r="G343" s="470">
        <f t="shared" si="37"/>
        <v>28</v>
      </c>
      <c r="H343" s="470">
        <v>336</v>
      </c>
      <c r="I343" s="455">
        <f t="shared" ca="1" si="29"/>
        <v>4859650.7497042762</v>
      </c>
      <c r="J343" s="455">
        <f t="array" ref="J343">IFERROR(INDEX('Retirement Calculator'!K:K,MATCH('Lorri 401b'!N343,'Retirement Calculator'!A:A,0),0),0)</f>
        <v>16520.094745597391</v>
      </c>
      <c r="K343" s="455">
        <f t="shared" ca="1" si="27"/>
        <v>20179.711062327828</v>
      </c>
      <c r="L343" s="455">
        <f t="shared" ca="1" si="28"/>
        <v>4863310.3660210064</v>
      </c>
      <c r="M343" s="471">
        <f t="shared" si="30"/>
        <v>0.05</v>
      </c>
      <c r="N343" s="475">
        <f t="shared" si="31"/>
        <v>61484</v>
      </c>
    </row>
    <row r="344" spans="7:14" ht="11.25" customHeight="1" x14ac:dyDescent="0.3">
      <c r="G344" s="470">
        <f>G343+1</f>
        <v>29</v>
      </c>
      <c r="H344" s="470">
        <v>337</v>
      </c>
      <c r="I344" s="455">
        <f t="shared" ca="1" si="29"/>
        <v>4863310.3660210064</v>
      </c>
      <c r="J344" s="455">
        <f t="array" ref="J344">IFERROR(INDEX('Retirement Calculator'!K:K,MATCH('Lorri 401b'!N344,'Retirement Calculator'!A:A,0),0),0)</f>
        <v>16520.094745597391</v>
      </c>
      <c r="K344" s="455">
        <f t="shared" ca="1" si="27"/>
        <v>20194.959463647534</v>
      </c>
      <c r="L344" s="455">
        <f t="shared" ca="1" si="28"/>
        <v>4866985.2307390561</v>
      </c>
      <c r="M344" s="471">
        <f t="shared" si="30"/>
        <v>0.05</v>
      </c>
      <c r="N344" s="475">
        <f t="shared" si="31"/>
        <v>61515</v>
      </c>
    </row>
    <row r="345" spans="7:14" ht="11.25" customHeight="1" x14ac:dyDescent="0.3">
      <c r="G345" s="470">
        <f t="shared" ref="G345:G355" si="38">G344</f>
        <v>29</v>
      </c>
      <c r="H345" s="470">
        <v>338</v>
      </c>
      <c r="I345" s="455">
        <f t="shared" ca="1" si="29"/>
        <v>4866985.2307390561</v>
      </c>
      <c r="J345" s="455">
        <f t="array" ref="J345">IFERROR(INDEX('Retirement Calculator'!K:K,MATCH('Lorri 401b'!N345,'Retirement Calculator'!A:A,0),0),0)</f>
        <v>16520.094745597391</v>
      </c>
      <c r="K345" s="455">
        <f t="shared" ca="1" si="27"/>
        <v>20210.271399972742</v>
      </c>
      <c r="L345" s="455">
        <f t="shared" ca="1" si="28"/>
        <v>4870675.4073934313</v>
      </c>
      <c r="M345" s="471">
        <f t="shared" si="30"/>
        <v>0.05</v>
      </c>
      <c r="N345" s="475">
        <f t="shared" si="31"/>
        <v>61545</v>
      </c>
    </row>
    <row r="346" spans="7:14" ht="11.25" customHeight="1" x14ac:dyDescent="0.3">
      <c r="G346" s="470">
        <f t="shared" si="38"/>
        <v>29</v>
      </c>
      <c r="H346" s="470">
        <v>339</v>
      </c>
      <c r="I346" s="455">
        <f t="shared" ca="1" si="29"/>
        <v>4870675.4073934313</v>
      </c>
      <c r="J346" s="455">
        <f t="array" ref="J346">IFERROR(INDEX('Retirement Calculator'!K:K,MATCH('Lorri 401b'!N346,'Retirement Calculator'!A:A,0),0),0)</f>
        <v>16520.094745597391</v>
      </c>
      <c r="K346" s="455">
        <f t="shared" ca="1" si="27"/>
        <v>20225.64713603264</v>
      </c>
      <c r="L346" s="455">
        <f t="shared" ca="1" si="28"/>
        <v>4874380.9597838661</v>
      </c>
      <c r="M346" s="471">
        <f t="shared" si="30"/>
        <v>0.05</v>
      </c>
      <c r="N346" s="475">
        <f t="shared" si="31"/>
        <v>61576</v>
      </c>
    </row>
    <row r="347" spans="7:14" ht="11.25" customHeight="1" x14ac:dyDescent="0.3">
      <c r="G347" s="470">
        <f t="shared" si="38"/>
        <v>29</v>
      </c>
      <c r="H347" s="470">
        <v>340</v>
      </c>
      <c r="I347" s="455">
        <f t="shared" ca="1" si="29"/>
        <v>4874380.9597838661</v>
      </c>
      <c r="J347" s="455">
        <f t="array" ref="J347">IFERROR(INDEX('Retirement Calculator'!K:K,MATCH('Lorri 401b'!N347,'Retirement Calculator'!A:A,0),0),0)</f>
        <v>16520.094745597391</v>
      </c>
      <c r="K347" s="455">
        <f t="shared" ca="1" si="27"/>
        <v>20241.086937659449</v>
      </c>
      <c r="L347" s="455">
        <f t="shared" ca="1" si="28"/>
        <v>4878101.9519759277</v>
      </c>
      <c r="M347" s="471">
        <f t="shared" si="30"/>
        <v>0.05</v>
      </c>
      <c r="N347" s="475">
        <f t="shared" si="31"/>
        <v>61607</v>
      </c>
    </row>
    <row r="348" spans="7:14" ht="11.25" customHeight="1" x14ac:dyDescent="0.3">
      <c r="G348" s="470">
        <f t="shared" si="38"/>
        <v>29</v>
      </c>
      <c r="H348" s="470">
        <v>341</v>
      </c>
      <c r="I348" s="455">
        <f t="shared" ca="1" si="29"/>
        <v>4878101.9519759277</v>
      </c>
      <c r="J348" s="455">
        <f t="array" ref="J348">IFERROR(INDEX('Retirement Calculator'!K:K,MATCH('Lorri 401b'!N348,'Retirement Calculator'!A:A,0),0),0)</f>
        <v>16520.094745597391</v>
      </c>
      <c r="K348" s="455">
        <f t="shared" ca="1" si="27"/>
        <v>20256.591071793042</v>
      </c>
      <c r="L348" s="455">
        <f t="shared" ca="1" si="28"/>
        <v>4881838.4483021228</v>
      </c>
      <c r="M348" s="471">
        <f t="shared" si="30"/>
        <v>0.05</v>
      </c>
      <c r="N348" s="475">
        <f t="shared" si="31"/>
        <v>61637</v>
      </c>
    </row>
    <row r="349" spans="7:14" ht="11.25" customHeight="1" x14ac:dyDescent="0.3">
      <c r="G349" s="470">
        <f t="shared" si="38"/>
        <v>29</v>
      </c>
      <c r="H349" s="470">
        <v>342</v>
      </c>
      <c r="I349" s="455">
        <f t="shared" ca="1" si="29"/>
        <v>4881838.4483021228</v>
      </c>
      <c r="J349" s="455">
        <f t="array" ref="J349">IFERROR(INDEX('Retirement Calculator'!K:K,MATCH('Lorri 401b'!N349,'Retirement Calculator'!A:A,0),0),0)</f>
        <v>16520.094745597391</v>
      </c>
      <c r="K349" s="455">
        <f t="shared" ca="1" si="27"/>
        <v>20272.159806485521</v>
      </c>
      <c r="L349" s="455">
        <f t="shared" ca="1" si="28"/>
        <v>4885590.5133630103</v>
      </c>
      <c r="M349" s="471">
        <f t="shared" si="30"/>
        <v>0.05</v>
      </c>
      <c r="N349" s="475">
        <f t="shared" si="31"/>
        <v>61668</v>
      </c>
    </row>
    <row r="350" spans="7:14" ht="11.25" customHeight="1" x14ac:dyDescent="0.3">
      <c r="G350" s="470">
        <f t="shared" si="38"/>
        <v>29</v>
      </c>
      <c r="H350" s="470">
        <v>343</v>
      </c>
      <c r="I350" s="455">
        <f t="shared" ca="1" si="29"/>
        <v>4885590.5133630103</v>
      </c>
      <c r="J350" s="455">
        <f t="array" ref="J350">IFERROR(INDEX('Retirement Calculator'!K:K,MATCH('Lorri 401b'!N350,'Retirement Calculator'!A:A,0),0),0)</f>
        <v>16520.094745597391</v>
      </c>
      <c r="K350" s="455">
        <f t="shared" ca="1" si="27"/>
        <v>20287.793410905884</v>
      </c>
      <c r="L350" s="455">
        <f t="shared" ca="1" si="28"/>
        <v>4889358.2120283181</v>
      </c>
      <c r="M350" s="471">
        <f t="shared" si="30"/>
        <v>0.05</v>
      </c>
      <c r="N350" s="475">
        <f t="shared" si="31"/>
        <v>61698</v>
      </c>
    </row>
    <row r="351" spans="7:14" ht="11.25" customHeight="1" x14ac:dyDescent="0.3">
      <c r="G351" s="470">
        <f t="shared" si="38"/>
        <v>29</v>
      </c>
      <c r="H351" s="470">
        <v>344</v>
      </c>
      <c r="I351" s="455">
        <f t="shared" ca="1" si="29"/>
        <v>4889358.2120283181</v>
      </c>
      <c r="J351" s="455">
        <f t="array" ref="J351">IFERROR(INDEX('Retirement Calculator'!K:K,MATCH('Lorri 401b'!N351,'Retirement Calculator'!A:A,0),0),0)</f>
        <v>16520.094745597391</v>
      </c>
      <c r="K351" s="455">
        <f t="shared" ca="1" si="27"/>
        <v>20303.492155344669</v>
      </c>
      <c r="L351" s="455">
        <f t="shared" ca="1" si="28"/>
        <v>4893141.6094380645</v>
      </c>
      <c r="M351" s="471">
        <f t="shared" si="30"/>
        <v>0.05</v>
      </c>
      <c r="N351" s="475">
        <f t="shared" si="31"/>
        <v>61729</v>
      </c>
    </row>
    <row r="352" spans="7:14" ht="11.25" customHeight="1" x14ac:dyDescent="0.3">
      <c r="G352" s="470">
        <f t="shared" si="38"/>
        <v>29</v>
      </c>
      <c r="H352" s="470">
        <v>345</v>
      </c>
      <c r="I352" s="455">
        <f t="shared" ca="1" si="29"/>
        <v>4893141.6094380645</v>
      </c>
      <c r="J352" s="455">
        <f t="array" ref="J352">IFERROR(INDEX('Retirement Calculator'!K:K,MATCH('Lorri 401b'!N352,'Retirement Calculator'!A:A,0),0),0)</f>
        <v>16520.094745597391</v>
      </c>
      <c r="K352" s="455">
        <f t="shared" ca="1" si="27"/>
        <v>20319.256311218611</v>
      </c>
      <c r="L352" s="455">
        <f t="shared" ca="1" si="28"/>
        <v>4896940.771003685</v>
      </c>
      <c r="M352" s="471">
        <f t="shared" si="30"/>
        <v>0.05</v>
      </c>
      <c r="N352" s="475">
        <f t="shared" si="31"/>
        <v>61760</v>
      </c>
    </row>
    <row r="353" spans="7:14" ht="11.25" customHeight="1" x14ac:dyDescent="0.3">
      <c r="G353" s="470">
        <f t="shared" si="38"/>
        <v>29</v>
      </c>
      <c r="H353" s="470">
        <v>346</v>
      </c>
      <c r="I353" s="455">
        <f t="shared" ca="1" si="29"/>
        <v>4896940.771003685</v>
      </c>
      <c r="J353" s="455">
        <f t="array" ref="J353">IFERROR(INDEX('Retirement Calculator'!K:K,MATCH('Lorri 401b'!N353,'Retirement Calculator'!A:A,0),0),0)</f>
        <v>16520.094745597391</v>
      </c>
      <c r="K353" s="455">
        <f t="shared" ca="1" si="27"/>
        <v>20335.086151075364</v>
      </c>
      <c r="L353" s="455">
        <f t="shared" ca="1" si="28"/>
        <v>4900755.7624091627</v>
      </c>
      <c r="M353" s="471">
        <f t="shared" si="30"/>
        <v>0.05</v>
      </c>
      <c r="N353" s="475">
        <f t="shared" si="31"/>
        <v>61788</v>
      </c>
    </row>
    <row r="354" spans="7:14" ht="11.25" customHeight="1" x14ac:dyDescent="0.3">
      <c r="G354" s="470">
        <f t="shared" si="38"/>
        <v>29</v>
      </c>
      <c r="H354" s="470">
        <v>347</v>
      </c>
      <c r="I354" s="455">
        <f t="shared" ca="1" si="29"/>
        <v>4900755.7624091627</v>
      </c>
      <c r="J354" s="455">
        <f t="array" ref="J354">IFERROR(INDEX('Retirement Calculator'!K:K,MATCH('Lorri 401b'!N354,'Retirement Calculator'!A:A,0),0),0)</f>
        <v>16520.094745597391</v>
      </c>
      <c r="K354" s="455">
        <f t="shared" ca="1" si="27"/>
        <v>20350.981948598186</v>
      </c>
      <c r="L354" s="455">
        <f t="shared" ca="1" si="28"/>
        <v>4904586.6496121632</v>
      </c>
      <c r="M354" s="471">
        <f t="shared" si="30"/>
        <v>0.05</v>
      </c>
      <c r="N354" s="475">
        <f t="shared" si="31"/>
        <v>61819</v>
      </c>
    </row>
    <row r="355" spans="7:14" ht="11.25" customHeight="1" x14ac:dyDescent="0.3">
      <c r="G355" s="470">
        <f t="shared" si="38"/>
        <v>29</v>
      </c>
      <c r="H355" s="470">
        <v>348</v>
      </c>
      <c r="I355" s="455">
        <f t="shared" ca="1" si="29"/>
        <v>4904586.6496121632</v>
      </c>
      <c r="J355" s="455">
        <f t="array" ref="J355">IFERROR(INDEX('Retirement Calculator'!K:K,MATCH('Lorri 401b'!N355,'Retirement Calculator'!A:A,0),0),0)</f>
        <v>16520.094745597391</v>
      </c>
      <c r="K355" s="455">
        <f t="shared" ca="1" si="27"/>
        <v>20366.943978610689</v>
      </c>
      <c r="L355" s="455">
        <f t="shared" ca="1" si="28"/>
        <v>4908433.4988451758</v>
      </c>
      <c r="M355" s="471">
        <f t="shared" si="30"/>
        <v>0.05</v>
      </c>
      <c r="N355" s="475">
        <f t="shared" si="31"/>
        <v>61849</v>
      </c>
    </row>
    <row r="356" spans="7:14" ht="11.25" customHeight="1" x14ac:dyDescent="0.3">
      <c r="G356" s="470">
        <f>G355+1</f>
        <v>30</v>
      </c>
      <c r="H356" s="470">
        <v>349</v>
      </c>
      <c r="I356" s="455">
        <f t="shared" ca="1" si="29"/>
        <v>4908433.4988451758</v>
      </c>
      <c r="J356" s="455">
        <f t="array" ref="J356">IFERROR(INDEX('Retirement Calculator'!K:K,MATCH('Lorri 401b'!N356,'Retirement Calculator'!A:A,0),0),0)</f>
        <v>16520.094745597391</v>
      </c>
      <c r="K356" s="455">
        <f t="shared" ca="1" si="27"/>
        <v>20382.972517081576</v>
      </c>
      <c r="L356" s="455">
        <f t="shared" ca="1" si="28"/>
        <v>4912296.3766166596</v>
      </c>
      <c r="M356" s="471">
        <f t="shared" si="30"/>
        <v>0.05</v>
      </c>
      <c r="N356" s="475">
        <f t="shared" si="31"/>
        <v>61880</v>
      </c>
    </row>
    <row r="357" spans="7:14" ht="11.25" customHeight="1" x14ac:dyDescent="0.3">
      <c r="G357" s="470">
        <f t="shared" ref="G357:G367" si="39">G356</f>
        <v>30</v>
      </c>
      <c r="H357" s="470">
        <v>350</v>
      </c>
      <c r="I357" s="455">
        <f t="shared" ca="1" si="29"/>
        <v>4912296.3766166596</v>
      </c>
      <c r="J357" s="455">
        <f t="array" ref="J357">IFERROR(INDEX('Retirement Calculator'!K:K,MATCH('Lorri 401b'!N357,'Retirement Calculator'!A:A,0),0),0)</f>
        <v>16520.094745597391</v>
      </c>
      <c r="K357" s="455">
        <f t="shared" ca="1" si="27"/>
        <v>20399.067841129425</v>
      </c>
      <c r="L357" s="455">
        <f t="shared" ca="1" si="28"/>
        <v>4916175.3497121911</v>
      </c>
      <c r="M357" s="471">
        <f t="shared" si="30"/>
        <v>0.05</v>
      </c>
      <c r="N357" s="475">
        <f t="shared" si="31"/>
        <v>61910</v>
      </c>
    </row>
    <row r="358" spans="7:14" ht="11.25" customHeight="1" x14ac:dyDescent="0.3">
      <c r="G358" s="470">
        <f t="shared" si="39"/>
        <v>30</v>
      </c>
      <c r="H358" s="470">
        <v>351</v>
      </c>
      <c r="I358" s="455">
        <f t="shared" ca="1" si="29"/>
        <v>4916175.3497121911</v>
      </c>
      <c r="J358" s="455">
        <f t="array" ref="J358">IFERROR(INDEX('Retirement Calculator'!K:K,MATCH('Lorri 401b'!N358,'Retirement Calculator'!A:A,0),0),0)</f>
        <v>16520.094745597391</v>
      </c>
      <c r="K358" s="455">
        <f t="shared" ca="1" si="27"/>
        <v>20415.230229027471</v>
      </c>
      <c r="L358" s="455">
        <f t="shared" ca="1" si="28"/>
        <v>4920070.4851956209</v>
      </c>
      <c r="M358" s="471">
        <f t="shared" si="30"/>
        <v>0.05</v>
      </c>
      <c r="N358" s="475">
        <f t="shared" si="31"/>
        <v>61941</v>
      </c>
    </row>
    <row r="359" spans="7:14" ht="11.25" customHeight="1" x14ac:dyDescent="0.3">
      <c r="G359" s="470">
        <f t="shared" si="39"/>
        <v>30</v>
      </c>
      <c r="H359" s="470">
        <v>352</v>
      </c>
      <c r="I359" s="455">
        <f t="shared" ca="1" si="29"/>
        <v>4920070.4851956209</v>
      </c>
      <c r="J359" s="455">
        <f t="array" ref="J359">IFERROR(INDEX('Retirement Calculator'!K:K,MATCH('Lorri 401b'!N359,'Retirement Calculator'!A:A,0),0),0)</f>
        <v>16520.094745597391</v>
      </c>
      <c r="K359" s="455">
        <f t="shared" ca="1" si="27"/>
        <v>20431.459960208431</v>
      </c>
      <c r="L359" s="455">
        <f t="shared" ca="1" si="28"/>
        <v>4923981.8504102314</v>
      </c>
      <c r="M359" s="471">
        <f t="shared" si="30"/>
        <v>0.05</v>
      </c>
      <c r="N359" s="475">
        <f t="shared" si="31"/>
        <v>61972</v>
      </c>
    </row>
    <row r="360" spans="7:14" ht="11.25" customHeight="1" x14ac:dyDescent="0.3">
      <c r="G360" s="470">
        <f t="shared" si="39"/>
        <v>30</v>
      </c>
      <c r="H360" s="470">
        <v>353</v>
      </c>
      <c r="I360" s="455">
        <f t="shared" ca="1" si="29"/>
        <v>4923981.8504102314</v>
      </c>
      <c r="J360" s="455">
        <f t="array" ref="J360">IFERROR(INDEX('Retirement Calculator'!K:K,MATCH('Lorri 401b'!N360,'Retirement Calculator'!A:A,0),0),0)</f>
        <v>16520.094745597391</v>
      </c>
      <c r="K360" s="455">
        <f t="shared" ca="1" si="27"/>
        <v>20447.757315269308</v>
      </c>
      <c r="L360" s="455">
        <f t="shared" ca="1" si="28"/>
        <v>4927909.5129799033</v>
      </c>
      <c r="M360" s="471">
        <f t="shared" si="30"/>
        <v>0.05</v>
      </c>
      <c r="N360" s="475">
        <f t="shared" si="31"/>
        <v>62002</v>
      </c>
    </row>
    <row r="361" spans="7:14" ht="11.25" customHeight="1" x14ac:dyDescent="0.3">
      <c r="G361" s="470">
        <f t="shared" si="39"/>
        <v>30</v>
      </c>
      <c r="H361" s="470">
        <v>354</v>
      </c>
      <c r="I361" s="455">
        <f t="shared" ca="1" si="29"/>
        <v>4927909.5129799033</v>
      </c>
      <c r="J361" s="455">
        <f t="array" ref="J361">IFERROR(INDEX('Retirement Calculator'!K:K,MATCH('Lorri 401b'!N361,'Retirement Calculator'!A:A,0),0),0)</f>
        <v>16520.094745597391</v>
      </c>
      <c r="K361" s="455">
        <f t="shared" ca="1" si="27"/>
        <v>20464.122575976271</v>
      </c>
      <c r="L361" s="455">
        <f t="shared" ca="1" si="28"/>
        <v>4931853.5408102814</v>
      </c>
      <c r="M361" s="471">
        <f t="shared" si="30"/>
        <v>0.05</v>
      </c>
      <c r="N361" s="475">
        <f t="shared" si="31"/>
        <v>62033</v>
      </c>
    </row>
    <row r="362" spans="7:14" ht="11.25" customHeight="1" x14ac:dyDescent="0.3">
      <c r="G362" s="470">
        <f t="shared" si="39"/>
        <v>30</v>
      </c>
      <c r="H362" s="470">
        <v>355</v>
      </c>
      <c r="I362" s="455">
        <f t="shared" ca="1" si="29"/>
        <v>4931853.5408102814</v>
      </c>
      <c r="J362" s="455">
        <f t="array" ref="J362">IFERROR(INDEX('Retirement Calculator'!K:K,MATCH('Lorri 401b'!N362,'Retirement Calculator'!A:A,0),0),0)</f>
        <v>16520.094745597391</v>
      </c>
      <c r="K362" s="455">
        <f t="shared" ca="1" si="27"/>
        <v>20480.556025269514</v>
      </c>
      <c r="L362" s="455">
        <f t="shared" ca="1" si="28"/>
        <v>4935814.0020899531</v>
      </c>
      <c r="M362" s="471">
        <f t="shared" si="30"/>
        <v>0.05</v>
      </c>
      <c r="N362" s="475">
        <f t="shared" si="31"/>
        <v>62063</v>
      </c>
    </row>
    <row r="363" spans="7:14" ht="11.25" customHeight="1" x14ac:dyDescent="0.3">
      <c r="G363" s="470">
        <f t="shared" si="39"/>
        <v>30</v>
      </c>
      <c r="H363" s="470">
        <v>356</v>
      </c>
      <c r="I363" s="455">
        <f t="shared" ca="1" si="29"/>
        <v>4935814.0020899531</v>
      </c>
      <c r="J363" s="455">
        <f t="array" ref="J363">IFERROR(INDEX('Retirement Calculator'!K:K,MATCH('Lorri 401b'!N363,'Retirement Calculator'!A:A,0),0),0)</f>
        <v>16520.094745597391</v>
      </c>
      <c r="K363" s="455">
        <f t="shared" ca="1" si="27"/>
        <v>20497.057947268146</v>
      </c>
      <c r="L363" s="455">
        <f t="shared" ca="1" si="28"/>
        <v>4939790.965291623</v>
      </c>
      <c r="M363" s="471">
        <f t="shared" si="30"/>
        <v>0.05</v>
      </c>
      <c r="N363" s="475">
        <f t="shared" si="31"/>
        <v>62094</v>
      </c>
    </row>
    <row r="364" spans="7:14" ht="11.25" customHeight="1" x14ac:dyDescent="0.3">
      <c r="G364" s="470">
        <f t="shared" si="39"/>
        <v>30</v>
      </c>
      <c r="H364" s="470">
        <v>357</v>
      </c>
      <c r="I364" s="455">
        <f t="shared" ca="1" si="29"/>
        <v>4939790.965291623</v>
      </c>
      <c r="J364" s="455">
        <f t="array" ref="J364">IFERROR(INDEX('Retirement Calculator'!K:K,MATCH('Lorri 401b'!N364,'Retirement Calculator'!A:A,0),0),0)</f>
        <v>16520.094745597391</v>
      </c>
      <c r="K364" s="455">
        <f t="shared" ca="1" si="27"/>
        <v>20513.628627275106</v>
      </c>
      <c r="L364" s="455">
        <f t="shared" ca="1" si="28"/>
        <v>4943784.4991733003</v>
      </c>
      <c r="M364" s="471">
        <f t="shared" si="30"/>
        <v>0.05</v>
      </c>
      <c r="N364" s="475">
        <f t="shared" si="31"/>
        <v>62125</v>
      </c>
    </row>
    <row r="365" spans="7:14" ht="11.25" customHeight="1" x14ac:dyDescent="0.3">
      <c r="G365" s="470">
        <f t="shared" si="39"/>
        <v>30</v>
      </c>
      <c r="H365" s="470">
        <v>358</v>
      </c>
      <c r="I365" s="455">
        <f t="shared" ca="1" si="29"/>
        <v>4943784.4991733003</v>
      </c>
      <c r="J365" s="455">
        <f t="array" ref="J365">IFERROR(INDEX('Retirement Calculator'!K:K,MATCH('Lorri 401b'!N365,'Retirement Calculator'!A:A,0),0),0)</f>
        <v>16520.094745597391</v>
      </c>
      <c r="K365" s="455">
        <f t="shared" ca="1" si="27"/>
        <v>20530.268351782095</v>
      </c>
      <c r="L365" s="455">
        <f t="shared" ca="1" si="28"/>
        <v>4947794.6727794847</v>
      </c>
      <c r="M365" s="471">
        <f t="shared" si="30"/>
        <v>0.05</v>
      </c>
      <c r="N365" s="475">
        <f t="shared" si="31"/>
        <v>62153</v>
      </c>
    </row>
    <row r="366" spans="7:14" ht="11.25" customHeight="1" x14ac:dyDescent="0.3">
      <c r="G366" s="470">
        <f t="shared" si="39"/>
        <v>30</v>
      </c>
      <c r="H366" s="470">
        <v>359</v>
      </c>
      <c r="I366" s="455">
        <f t="shared" ca="1" si="29"/>
        <v>4947794.6727794847</v>
      </c>
      <c r="J366" s="455">
        <f t="array" ref="J366">IFERROR(INDEX('Retirement Calculator'!K:K,MATCH('Lorri 401b'!N366,'Retirement Calculator'!A:A,0),0),0)</f>
        <v>16520.094745597391</v>
      </c>
      <c r="K366" s="455">
        <f t="shared" ca="1" si="27"/>
        <v>20546.97740847453</v>
      </c>
      <c r="L366" s="455">
        <f t="shared" ca="1" si="28"/>
        <v>4951821.5554423612</v>
      </c>
      <c r="M366" s="471">
        <f t="shared" si="30"/>
        <v>0.05</v>
      </c>
      <c r="N366" s="475">
        <f t="shared" si="31"/>
        <v>62184</v>
      </c>
    </row>
    <row r="367" spans="7:14" ht="11.25" customHeight="1" x14ac:dyDescent="0.3">
      <c r="G367" s="470">
        <f t="shared" si="39"/>
        <v>30</v>
      </c>
      <c r="H367" s="470">
        <v>360</v>
      </c>
      <c r="I367" s="455">
        <f t="shared" ca="1" si="29"/>
        <v>4951821.5554423612</v>
      </c>
      <c r="J367" s="455">
        <f t="array" ref="J367">IFERROR(INDEX('Retirement Calculator'!K:K,MATCH('Lorri 401b'!N367,'Retirement Calculator'!A:A,0),0),0)</f>
        <v>16520.094745597391</v>
      </c>
      <c r="K367" s="455">
        <f t="shared" ca="1" si="27"/>
        <v>20563.756086236514</v>
      </c>
      <c r="L367" s="455">
        <f t="shared" ca="1" si="28"/>
        <v>4955865.2167830002</v>
      </c>
      <c r="M367" s="471">
        <f t="shared" si="30"/>
        <v>0.05</v>
      </c>
      <c r="N367" s="475">
        <f t="shared" si="31"/>
        <v>62214</v>
      </c>
    </row>
    <row r="368" spans="7:14" ht="11.25" customHeight="1" x14ac:dyDescent="0.3">
      <c r="G368" s="470">
        <f>G367+1</f>
        <v>31</v>
      </c>
      <c r="H368" s="470">
        <v>361</v>
      </c>
      <c r="I368" s="455">
        <f t="shared" ca="1" si="29"/>
        <v>4955865.2167830002</v>
      </c>
      <c r="J368" s="455">
        <f t="array" ref="J368">IFERROR(INDEX('Retirement Calculator'!K:K,MATCH('Lorri 401b'!N368,'Retirement Calculator'!A:A,0),0),0)</f>
        <v>16520.094745597391</v>
      </c>
      <c r="K368" s="455">
        <f t="shared" ca="1" si="27"/>
        <v>20580.604675155842</v>
      </c>
      <c r="L368" s="455">
        <f t="shared" ca="1" si="28"/>
        <v>4959925.7267125584</v>
      </c>
      <c r="M368" s="471">
        <f t="shared" si="30"/>
        <v>0.05</v>
      </c>
      <c r="N368" s="475">
        <f t="shared" si="31"/>
        <v>62245</v>
      </c>
    </row>
    <row r="369" spans="7:14" ht="11.25" customHeight="1" x14ac:dyDescent="0.3">
      <c r="G369" s="470">
        <f t="shared" ref="G369:G379" si="40">G368</f>
        <v>31</v>
      </c>
      <c r="H369" s="470">
        <v>362</v>
      </c>
      <c r="I369" s="455">
        <f t="shared" ca="1" si="29"/>
        <v>4959925.7267125584</v>
      </c>
      <c r="J369" s="455">
        <f t="array" ref="J369">IFERROR(INDEX('Retirement Calculator'!K:K,MATCH('Lorri 401b'!N369,'Retirement Calculator'!A:A,0),0),0)</f>
        <v>16520.094745597391</v>
      </c>
      <c r="K369" s="455">
        <f t="shared" ca="1" si="27"/>
        <v>20597.523466529001</v>
      </c>
      <c r="L369" s="455">
        <f t="shared" ca="1" si="28"/>
        <v>4964003.1554334899</v>
      </c>
      <c r="M369" s="471">
        <f t="shared" si="30"/>
        <v>0.05</v>
      </c>
      <c r="N369" s="475">
        <f t="shared" si="31"/>
        <v>62275</v>
      </c>
    </row>
    <row r="370" spans="7:14" ht="11.25" customHeight="1" x14ac:dyDescent="0.3">
      <c r="G370" s="470">
        <f t="shared" si="40"/>
        <v>31</v>
      </c>
      <c r="H370" s="470">
        <v>363</v>
      </c>
      <c r="I370" s="455">
        <f t="shared" ca="1" si="29"/>
        <v>4964003.1554334899</v>
      </c>
      <c r="J370" s="455">
        <f t="array" ref="J370">IFERROR(INDEX('Retirement Calculator'!K:K,MATCH('Lorri 401b'!N370,'Retirement Calculator'!A:A,0),0),0)</f>
        <v>16520.094745597391</v>
      </c>
      <c r="K370" s="455">
        <f t="shared" ca="1" si="27"/>
        <v>20614.512752866216</v>
      </c>
      <c r="L370" s="455">
        <f t="shared" ca="1" si="28"/>
        <v>4968097.5734407585</v>
      </c>
      <c r="M370" s="471">
        <f t="shared" si="30"/>
        <v>0.05</v>
      </c>
      <c r="N370" s="475">
        <f t="shared" si="31"/>
        <v>62306</v>
      </c>
    </row>
    <row r="371" spans="7:14" ht="11.25" customHeight="1" x14ac:dyDescent="0.3">
      <c r="G371" s="470">
        <f t="shared" si="40"/>
        <v>31</v>
      </c>
      <c r="H371" s="470">
        <v>364</v>
      </c>
      <c r="I371" s="455">
        <f t="shared" ca="1" si="29"/>
        <v>4968097.5734407585</v>
      </c>
      <c r="J371" s="455">
        <f t="array" ref="J371">IFERROR(INDEX('Retirement Calculator'!K:K,MATCH('Lorri 401b'!N371,'Retirement Calculator'!A:A,0),0),0)</f>
        <v>16520.094745597391</v>
      </c>
      <c r="K371" s="455">
        <f t="shared" ca="1" si="27"/>
        <v>20631.572827896503</v>
      </c>
      <c r="L371" s="455">
        <f t="shared" ca="1" si="28"/>
        <v>4972209.0515230568</v>
      </c>
      <c r="M371" s="471">
        <f t="shared" si="30"/>
        <v>0.05</v>
      </c>
      <c r="N371" s="475">
        <f t="shared" si="31"/>
        <v>62337</v>
      </c>
    </row>
    <row r="372" spans="7:14" ht="11.25" customHeight="1" x14ac:dyDescent="0.3">
      <c r="G372" s="470">
        <f t="shared" si="40"/>
        <v>31</v>
      </c>
      <c r="H372" s="470">
        <v>365</v>
      </c>
      <c r="I372" s="455">
        <f t="shared" ca="1" si="29"/>
        <v>4972209.0515230568</v>
      </c>
      <c r="J372" s="455">
        <f t="array" ref="J372">IFERROR(INDEX('Retirement Calculator'!K:K,MATCH('Lorri 401b'!N372,'Retirement Calculator'!A:A,0),0),0)</f>
        <v>16520.094745597391</v>
      </c>
      <c r="K372" s="455">
        <f t="shared" ca="1" si="27"/>
        <v>20648.703986572746</v>
      </c>
      <c r="L372" s="455">
        <f t="shared" ca="1" si="28"/>
        <v>4976337.660764032</v>
      </c>
      <c r="M372" s="471">
        <f t="shared" si="30"/>
        <v>0.05</v>
      </c>
      <c r="N372" s="475">
        <f t="shared" si="31"/>
        <v>62367</v>
      </c>
    </row>
    <row r="373" spans="7:14" ht="11.25" customHeight="1" x14ac:dyDescent="0.3">
      <c r="G373" s="470">
        <f t="shared" si="40"/>
        <v>31</v>
      </c>
      <c r="H373" s="470">
        <v>366</v>
      </c>
      <c r="I373" s="455">
        <f t="shared" ca="1" si="29"/>
        <v>4976337.660764032</v>
      </c>
      <c r="J373" s="455">
        <f t="array" ref="J373">IFERROR(INDEX('Retirement Calculator'!K:K,MATCH('Lorri 401b'!N373,'Retirement Calculator'!A:A,0),0),0)</f>
        <v>16520.094745597391</v>
      </c>
      <c r="K373" s="455">
        <f t="shared" ca="1" si="27"/>
        <v>20665.906525076811</v>
      </c>
      <c r="L373" s="455">
        <f t="shared" ca="1" si="28"/>
        <v>4980483.4725435106</v>
      </c>
      <c r="M373" s="471">
        <f t="shared" si="30"/>
        <v>0.05</v>
      </c>
      <c r="N373" s="475">
        <f t="shared" si="31"/>
        <v>62398</v>
      </c>
    </row>
    <row r="374" spans="7:14" ht="11.25" customHeight="1" x14ac:dyDescent="0.3">
      <c r="G374" s="470">
        <f t="shared" si="40"/>
        <v>31</v>
      </c>
      <c r="H374" s="470">
        <v>367</v>
      </c>
      <c r="I374" s="455">
        <f t="shared" ca="1" si="29"/>
        <v>4980483.4725435106</v>
      </c>
      <c r="J374" s="455">
        <f t="array" ref="J374">IFERROR(INDEX('Retirement Calculator'!K:K,MATCH('Lorri 401b'!N374,'Retirement Calculator'!A:A,0),0),0)</f>
        <v>16520.094745597391</v>
      </c>
      <c r="K374" s="455">
        <f t="shared" ca="1" si="27"/>
        <v>20683.180740824635</v>
      </c>
      <c r="L374" s="455">
        <f t="shared" ca="1" si="28"/>
        <v>4984646.5585387377</v>
      </c>
      <c r="M374" s="471">
        <f t="shared" si="30"/>
        <v>0.05</v>
      </c>
      <c r="N374" s="475">
        <f t="shared" si="31"/>
        <v>62428</v>
      </c>
    </row>
    <row r="375" spans="7:14" ht="11.25" customHeight="1" x14ac:dyDescent="0.3">
      <c r="G375" s="470">
        <f t="shared" si="40"/>
        <v>31</v>
      </c>
      <c r="H375" s="470">
        <v>368</v>
      </c>
      <c r="I375" s="455">
        <f t="shared" ca="1" si="29"/>
        <v>4984646.5585387377</v>
      </c>
      <c r="J375" s="455">
        <f t="array" ref="J375">IFERROR(INDEX('Retirement Calculator'!K:K,MATCH('Lorri 401b'!N375,'Retirement Calculator'!A:A,0),0),0)</f>
        <v>16520.094745597391</v>
      </c>
      <c r="K375" s="455">
        <f t="shared" ca="1" si="27"/>
        <v>20700.526932471417</v>
      </c>
      <c r="L375" s="455">
        <f t="shared" ca="1" si="28"/>
        <v>4988826.9907256113</v>
      </c>
      <c r="M375" s="471">
        <f t="shared" si="30"/>
        <v>0.05</v>
      </c>
      <c r="N375" s="475">
        <f t="shared" si="31"/>
        <v>62459</v>
      </c>
    </row>
    <row r="376" spans="7:14" ht="11.25" customHeight="1" x14ac:dyDescent="0.3">
      <c r="G376" s="470">
        <f t="shared" si="40"/>
        <v>31</v>
      </c>
      <c r="H376" s="470">
        <v>369</v>
      </c>
      <c r="I376" s="455">
        <f t="shared" ca="1" si="29"/>
        <v>4988826.9907256113</v>
      </c>
      <c r="J376" s="455">
        <f t="array" ref="J376">IFERROR(INDEX('Retirement Calculator'!K:K,MATCH('Lorri 401b'!N376,'Retirement Calculator'!A:A,0),0),0)</f>
        <v>16520.094745597391</v>
      </c>
      <c r="K376" s="455">
        <f t="shared" ca="1" si="27"/>
        <v>20717.945399916724</v>
      </c>
      <c r="L376" s="455">
        <f t="shared" ca="1" si="28"/>
        <v>4993024.8413799303</v>
      </c>
      <c r="M376" s="471">
        <f t="shared" si="30"/>
        <v>0.05</v>
      </c>
      <c r="N376" s="475">
        <f t="shared" si="31"/>
        <v>62490</v>
      </c>
    </row>
    <row r="377" spans="7:14" ht="11.25" customHeight="1" x14ac:dyDescent="0.3">
      <c r="G377" s="470">
        <f t="shared" si="40"/>
        <v>31</v>
      </c>
      <c r="H377" s="470">
        <v>370</v>
      </c>
      <c r="I377" s="455">
        <f t="shared" ca="1" si="29"/>
        <v>4993024.8413799303</v>
      </c>
      <c r="J377" s="455">
        <f t="array" ref="J377">IFERROR(INDEX('Retirement Calculator'!K:K,MATCH('Lorri 401b'!N377,'Retirement Calculator'!A:A,0),0),0)</f>
        <v>16520.094745597391</v>
      </c>
      <c r="K377" s="455">
        <f t="shared" ca="1" si="27"/>
        <v>20735.436444309718</v>
      </c>
      <c r="L377" s="455">
        <f t="shared" ca="1" si="28"/>
        <v>4997240.183078642</v>
      </c>
      <c r="M377" s="471">
        <f t="shared" si="30"/>
        <v>0.05</v>
      </c>
      <c r="N377" s="475">
        <f t="shared" si="31"/>
        <v>62518</v>
      </c>
    </row>
    <row r="378" spans="7:14" ht="11.25" customHeight="1" x14ac:dyDescent="0.3">
      <c r="G378" s="470">
        <f t="shared" si="40"/>
        <v>31</v>
      </c>
      <c r="H378" s="470">
        <v>371</v>
      </c>
      <c r="I378" s="455">
        <f t="shared" ca="1" si="29"/>
        <v>4997240.183078642</v>
      </c>
      <c r="J378" s="455">
        <f t="array" ref="J378">IFERROR(INDEX('Retirement Calculator'!K:K,MATCH('Lorri 401b'!N378,'Retirement Calculator'!A:A,0),0),0)</f>
        <v>16520.094745597391</v>
      </c>
      <c r="K378" s="455">
        <f t="shared" ca="1" si="27"/>
        <v>20753.000368054352</v>
      </c>
      <c r="L378" s="455">
        <f t="shared" ca="1" si="28"/>
        <v>5001473.0887010982</v>
      </c>
      <c r="M378" s="471">
        <f t="shared" si="30"/>
        <v>0.05</v>
      </c>
      <c r="N378" s="475">
        <f t="shared" si="31"/>
        <v>62549</v>
      </c>
    </row>
    <row r="379" spans="7:14" ht="11.25" customHeight="1" x14ac:dyDescent="0.3">
      <c r="G379" s="470">
        <f t="shared" si="40"/>
        <v>31</v>
      </c>
      <c r="H379" s="470">
        <v>372</v>
      </c>
      <c r="I379" s="455">
        <f t="shared" ca="1" si="29"/>
        <v>5001473.0887010982</v>
      </c>
      <c r="J379" s="455">
        <f t="array" ref="J379">IFERROR(INDEX('Retirement Calculator'!K:K,MATCH('Lorri 401b'!N379,'Retirement Calculator'!A:A,0),0),0)</f>
        <v>16520.094745597391</v>
      </c>
      <c r="K379" s="455">
        <f t="shared" ca="1" si="27"/>
        <v>20770.637474814586</v>
      </c>
      <c r="L379" s="455">
        <f t="shared" ca="1" si="28"/>
        <v>5005723.6314303149</v>
      </c>
      <c r="M379" s="471">
        <f t="shared" si="30"/>
        <v>0.05</v>
      </c>
      <c r="N379" s="475">
        <f t="shared" si="31"/>
        <v>62579</v>
      </c>
    </row>
    <row r="380" spans="7:14" ht="11.25" customHeight="1" x14ac:dyDescent="0.3">
      <c r="G380" s="470">
        <f>G379+1</f>
        <v>32</v>
      </c>
      <c r="H380" s="470">
        <v>373</v>
      </c>
      <c r="I380" s="455">
        <f t="shared" ca="1" si="29"/>
        <v>5005723.6314303149</v>
      </c>
      <c r="J380" s="455">
        <f t="array" ref="J380">IFERROR(INDEX('Retirement Calculator'!K:K,MATCH('Lorri 401b'!N380,'Retirement Calculator'!A:A,0),0),0)</f>
        <v>16520.094745597391</v>
      </c>
      <c r="K380" s="455">
        <f t="shared" ca="1" si="27"/>
        <v>20788.348069519656</v>
      </c>
      <c r="L380" s="455">
        <f t="shared" ca="1" si="28"/>
        <v>5009991.8847542368</v>
      </c>
      <c r="M380" s="471">
        <f t="shared" si="30"/>
        <v>0.05</v>
      </c>
      <c r="N380" s="475">
        <f t="shared" si="31"/>
        <v>62610</v>
      </c>
    </row>
    <row r="381" spans="7:14" ht="11.25" customHeight="1" x14ac:dyDescent="0.3">
      <c r="G381" s="470">
        <f t="shared" ref="G381:G391" si="41">G380</f>
        <v>32</v>
      </c>
      <c r="H381" s="470">
        <v>374</v>
      </c>
      <c r="I381" s="455">
        <f t="shared" ca="1" si="29"/>
        <v>5009991.8847542368</v>
      </c>
      <c r="J381" s="455">
        <f t="array" ref="J381">IFERROR(INDEX('Retirement Calculator'!K:K,MATCH('Lorri 401b'!N381,'Retirement Calculator'!A:A,0),0),0)</f>
        <v>16520.094745597391</v>
      </c>
      <c r="K381" s="455">
        <f t="shared" ca="1" si="27"/>
        <v>20806.132458369328</v>
      </c>
      <c r="L381" s="455">
        <f t="shared" ca="1" si="28"/>
        <v>5014277.9224670082</v>
      </c>
      <c r="M381" s="471">
        <f t="shared" si="30"/>
        <v>0.05</v>
      </c>
      <c r="N381" s="475">
        <f t="shared" si="31"/>
        <v>62640</v>
      </c>
    </row>
    <row r="382" spans="7:14" ht="11.25" customHeight="1" x14ac:dyDescent="0.3">
      <c r="G382" s="470">
        <f t="shared" si="41"/>
        <v>32</v>
      </c>
      <c r="H382" s="470">
        <v>375</v>
      </c>
      <c r="I382" s="455">
        <f t="shared" ca="1" si="29"/>
        <v>5014277.9224670082</v>
      </c>
      <c r="J382" s="455">
        <f t="array" ref="J382">IFERROR(INDEX('Retirement Calculator'!K:K,MATCH('Lorri 401b'!N382,'Retirement Calculator'!A:A,0),0),0)</f>
        <v>16520.094745597391</v>
      </c>
      <c r="K382" s="455">
        <f t="shared" ca="1" si="27"/>
        <v>20823.990948839211</v>
      </c>
      <c r="L382" s="455">
        <f t="shared" ca="1" si="28"/>
        <v>5018581.8186702495</v>
      </c>
      <c r="M382" s="471">
        <f t="shared" si="30"/>
        <v>0.05</v>
      </c>
      <c r="N382" s="475">
        <f t="shared" si="31"/>
        <v>62671</v>
      </c>
    </row>
    <row r="383" spans="7:14" ht="11.25" customHeight="1" x14ac:dyDescent="0.3">
      <c r="G383" s="470">
        <f t="shared" si="41"/>
        <v>32</v>
      </c>
      <c r="H383" s="470">
        <v>376</v>
      </c>
      <c r="I383" s="455">
        <f t="shared" ca="1" si="29"/>
        <v>5018581.8186702495</v>
      </c>
      <c r="J383" s="455">
        <f t="array" ref="J383">IFERROR(INDEX('Retirement Calculator'!K:K,MATCH('Lorri 401b'!N383,'Retirement Calculator'!A:A,0),0),0)</f>
        <v>16520.094745597391</v>
      </c>
      <c r="K383" s="455">
        <f t="shared" ca="1" si="27"/>
        <v>20841.923849686049</v>
      </c>
      <c r="L383" s="455">
        <f t="shared" ca="1" si="28"/>
        <v>5022903.6477743378</v>
      </c>
      <c r="M383" s="471">
        <f t="shared" si="30"/>
        <v>0.05</v>
      </c>
      <c r="N383" s="475">
        <f t="shared" si="31"/>
        <v>62702</v>
      </c>
    </row>
    <row r="384" spans="7:14" ht="11.25" customHeight="1" x14ac:dyDescent="0.3">
      <c r="G384" s="470">
        <f t="shared" si="41"/>
        <v>32</v>
      </c>
      <c r="H384" s="470">
        <v>377</v>
      </c>
      <c r="I384" s="455">
        <f t="shared" ca="1" si="29"/>
        <v>5022903.6477743378</v>
      </c>
      <c r="J384" s="455">
        <f t="array" ref="J384">IFERROR(INDEX('Retirement Calculator'!K:K,MATCH('Lorri 401b'!N384,'Retirement Calculator'!A:A,0),0),0)</f>
        <v>16520.094745597391</v>
      </c>
      <c r="K384" s="455">
        <f t="shared" ca="1" si="27"/>
        <v>20859.931470953084</v>
      </c>
      <c r="L384" s="455">
        <f t="shared" ca="1" si="28"/>
        <v>5027243.4844996929</v>
      </c>
      <c r="M384" s="471">
        <f t="shared" si="30"/>
        <v>0.05</v>
      </c>
      <c r="N384" s="475">
        <f t="shared" si="31"/>
        <v>62732</v>
      </c>
    </row>
    <row r="385" spans="7:14" ht="11.25" customHeight="1" x14ac:dyDescent="0.3">
      <c r="G385" s="470">
        <f t="shared" si="41"/>
        <v>32</v>
      </c>
      <c r="H385" s="470">
        <v>378</v>
      </c>
      <c r="I385" s="455">
        <f t="shared" ca="1" si="29"/>
        <v>5027243.4844996929</v>
      </c>
      <c r="J385" s="455">
        <f t="array" ref="J385">IFERROR(INDEX('Retirement Calculator'!K:K,MATCH('Lorri 401b'!N385,'Retirement Calculator'!A:A,0),0),0)</f>
        <v>16520.094745597391</v>
      </c>
      <c r="K385" s="455">
        <f t="shared" ca="1" si="27"/>
        <v>20878.014123975398</v>
      </c>
      <c r="L385" s="455">
        <f t="shared" ca="1" si="28"/>
        <v>5031601.4038780704</v>
      </c>
      <c r="M385" s="471">
        <f t="shared" si="30"/>
        <v>0.05</v>
      </c>
      <c r="N385" s="475">
        <f t="shared" si="31"/>
        <v>62763</v>
      </c>
    </row>
    <row r="386" spans="7:14" ht="11.25" customHeight="1" x14ac:dyDescent="0.3">
      <c r="G386" s="470">
        <f t="shared" si="41"/>
        <v>32</v>
      </c>
      <c r="H386" s="470">
        <v>379</v>
      </c>
      <c r="I386" s="455">
        <f t="shared" ca="1" si="29"/>
        <v>5031601.4038780704</v>
      </c>
      <c r="J386" s="455">
        <f t="array" ref="J386">IFERROR(INDEX('Retirement Calculator'!K:K,MATCH('Lorri 401b'!N386,'Retirement Calculator'!A:A,0),0),0)</f>
        <v>16520.094745597391</v>
      </c>
      <c r="K386" s="455">
        <f t="shared" ca="1" si="27"/>
        <v>20896.172121385302</v>
      </c>
      <c r="L386" s="455">
        <f t="shared" ca="1" si="28"/>
        <v>5035977.4812538577</v>
      </c>
      <c r="M386" s="471">
        <f t="shared" si="30"/>
        <v>0.05</v>
      </c>
      <c r="N386" s="475">
        <f t="shared" si="31"/>
        <v>62793</v>
      </c>
    </row>
    <row r="387" spans="7:14" ht="11.25" customHeight="1" x14ac:dyDescent="0.3">
      <c r="G387" s="470">
        <f t="shared" si="41"/>
        <v>32</v>
      </c>
      <c r="H387" s="470">
        <v>380</v>
      </c>
      <c r="I387" s="455">
        <f t="shared" ca="1" si="29"/>
        <v>5035977.4812538577</v>
      </c>
      <c r="J387" s="455">
        <f t="array" ref="J387">IFERROR(INDEX('Retirement Calculator'!K:K,MATCH('Lorri 401b'!N387,'Retirement Calculator'!A:A,0),0),0)</f>
        <v>16520.094745597391</v>
      </c>
      <c r="K387" s="455">
        <f t="shared" ca="1" si="27"/>
        <v>20914.40577711775</v>
      </c>
      <c r="L387" s="455">
        <f t="shared" ca="1" si="28"/>
        <v>5040371.7922853781</v>
      </c>
      <c r="M387" s="471">
        <f t="shared" si="30"/>
        <v>0.05</v>
      </c>
      <c r="N387" s="475">
        <f t="shared" si="31"/>
        <v>62824</v>
      </c>
    </row>
    <row r="388" spans="7:14" ht="11.25" customHeight="1" x14ac:dyDescent="0.3">
      <c r="G388" s="470">
        <f t="shared" si="41"/>
        <v>32</v>
      </c>
      <c r="H388" s="470">
        <v>381</v>
      </c>
      <c r="I388" s="455">
        <f t="shared" ca="1" si="29"/>
        <v>5040371.7922853781</v>
      </c>
      <c r="J388" s="455">
        <f t="array" ref="J388">IFERROR(INDEX('Retirement Calculator'!K:K,MATCH('Lorri 401b'!N388,'Retirement Calculator'!A:A,0),0),0)</f>
        <v>16520.094745597391</v>
      </c>
      <c r="K388" s="455">
        <f t="shared" ca="1" si="27"/>
        <v>20932.715406415751</v>
      </c>
      <c r="L388" s="455">
        <f t="shared" ca="1" si="28"/>
        <v>5044784.4129461963</v>
      </c>
      <c r="M388" s="471">
        <f t="shared" si="30"/>
        <v>0.05</v>
      </c>
      <c r="N388" s="475">
        <f t="shared" si="31"/>
        <v>62855</v>
      </c>
    </row>
    <row r="389" spans="7:14" ht="11.25" customHeight="1" x14ac:dyDescent="0.3">
      <c r="G389" s="470">
        <f t="shared" si="41"/>
        <v>32</v>
      </c>
      <c r="H389" s="470">
        <v>382</v>
      </c>
      <c r="I389" s="455">
        <f t="shared" ca="1" si="29"/>
        <v>5044784.4129461963</v>
      </c>
      <c r="J389" s="455">
        <f t="array" ref="J389">IFERROR(INDEX('Retirement Calculator'!K:K,MATCH('Lorri 401b'!N389,'Retirement Calculator'!A:A,0),0),0)</f>
        <v>16520.094745597391</v>
      </c>
      <c r="K389" s="455">
        <f t="shared" ca="1" si="27"/>
        <v>20951.101325835825</v>
      </c>
      <c r="L389" s="455">
        <f t="shared" ca="1" si="28"/>
        <v>5049215.4195264345</v>
      </c>
      <c r="M389" s="471">
        <f t="shared" si="30"/>
        <v>0.05</v>
      </c>
      <c r="N389" s="475">
        <f t="shared" si="31"/>
        <v>62884</v>
      </c>
    </row>
    <row r="390" spans="7:14" ht="11.25" customHeight="1" x14ac:dyDescent="0.3">
      <c r="G390" s="470">
        <f t="shared" si="41"/>
        <v>32</v>
      </c>
      <c r="H390" s="470">
        <v>383</v>
      </c>
      <c r="I390" s="455">
        <f t="shared" ca="1" si="29"/>
        <v>5049215.4195264345</v>
      </c>
      <c r="J390" s="455">
        <f t="array" ref="J390">IFERROR(INDEX('Retirement Calculator'!K:K,MATCH('Lorri 401b'!N390,'Retirement Calculator'!A:A,0),0),0)</f>
        <v>16520.094745597391</v>
      </c>
      <c r="K390" s="455">
        <f t="shared" ca="1" si="27"/>
        <v>20969.563853253487</v>
      </c>
      <c r="L390" s="455">
        <f t="shared" ca="1" si="28"/>
        <v>5053664.8886340903</v>
      </c>
      <c r="M390" s="471">
        <f t="shared" si="30"/>
        <v>0.05</v>
      </c>
      <c r="N390" s="475">
        <f t="shared" si="31"/>
        <v>62915</v>
      </c>
    </row>
    <row r="391" spans="7:14" ht="11.25" customHeight="1" x14ac:dyDescent="0.3">
      <c r="G391" s="470">
        <f t="shared" si="41"/>
        <v>32</v>
      </c>
      <c r="H391" s="470">
        <v>384</v>
      </c>
      <c r="I391" s="455">
        <f t="shared" ca="1" si="29"/>
        <v>5053664.8886340903</v>
      </c>
      <c r="J391" s="455">
        <f t="array" ref="J391">IFERROR(INDEX('Retirement Calculator'!K:K,MATCH('Lorri 401b'!N391,'Retirement Calculator'!A:A,0),0),0)</f>
        <v>16520.094745597391</v>
      </c>
      <c r="K391" s="455">
        <f t="shared" ca="1" si="27"/>
        <v>20988.103307868718</v>
      </c>
      <c r="L391" s="455">
        <f t="shared" ca="1" si="28"/>
        <v>5058132.8971963609</v>
      </c>
      <c r="M391" s="471">
        <f t="shared" si="30"/>
        <v>0.05</v>
      </c>
      <c r="N391" s="475">
        <f t="shared" si="31"/>
        <v>62945</v>
      </c>
    </row>
    <row r="392" spans="7:14" ht="11.25" customHeight="1" x14ac:dyDescent="0.3">
      <c r="G392" s="470">
        <f>G391+1</f>
        <v>33</v>
      </c>
      <c r="H392" s="470">
        <v>385</v>
      </c>
      <c r="I392" s="455">
        <f t="shared" ca="1" si="29"/>
        <v>5058132.8971963609</v>
      </c>
      <c r="J392" s="455">
        <f t="array" ref="J392">IFERROR(INDEX('Retirement Calculator'!K:K,MATCH('Lorri 401b'!N392,'Retirement Calculator'!A:A,0),0),0)</f>
        <v>16520.094745597391</v>
      </c>
      <c r="K392" s="455">
        <f t="shared" ca="1" si="27"/>
        <v>21006.720010211513</v>
      </c>
      <c r="L392" s="455">
        <f t="shared" ca="1" si="28"/>
        <v>5062619.5224609748</v>
      </c>
      <c r="M392" s="471">
        <f t="shared" si="30"/>
        <v>0.05</v>
      </c>
      <c r="N392" s="475">
        <f t="shared" si="31"/>
        <v>62976</v>
      </c>
    </row>
    <row r="393" spans="7:14" ht="11.25" customHeight="1" x14ac:dyDescent="0.3">
      <c r="G393" s="470">
        <f t="shared" ref="G393:G403" si="42">G392</f>
        <v>33</v>
      </c>
      <c r="H393" s="470">
        <v>386</v>
      </c>
      <c r="I393" s="455">
        <f t="shared" ca="1" si="29"/>
        <v>5062619.5224609748</v>
      </c>
      <c r="J393" s="455">
        <f t="array" ref="J393">IFERROR(INDEX('Retirement Calculator'!K:K,MATCH('Lorri 401b'!N393,'Retirement Calculator'!A:A,0),0),0)</f>
        <v>16520.094745597391</v>
      </c>
      <c r="K393" s="455">
        <f t="shared" ca="1" si="27"/>
        <v>21025.414282147405</v>
      </c>
      <c r="L393" s="455">
        <f t="shared" ca="1" si="28"/>
        <v>5067124.8419975247</v>
      </c>
      <c r="M393" s="471">
        <f t="shared" si="30"/>
        <v>0.05</v>
      </c>
      <c r="N393" s="475">
        <f t="shared" si="31"/>
        <v>63006</v>
      </c>
    </row>
    <row r="394" spans="7:14" ht="11.25" customHeight="1" x14ac:dyDescent="0.3">
      <c r="G394" s="470">
        <f t="shared" si="42"/>
        <v>33</v>
      </c>
      <c r="H394" s="470">
        <v>387</v>
      </c>
      <c r="I394" s="455">
        <f t="shared" ca="1" si="29"/>
        <v>5067124.8419975247</v>
      </c>
      <c r="J394" s="455">
        <f t="array" ref="J394">IFERROR(INDEX('Retirement Calculator'!K:K,MATCH('Lorri 401b'!N394,'Retirement Calculator'!A:A,0),0),0)</f>
        <v>16520.094745597391</v>
      </c>
      <c r="K394" s="455">
        <f t="shared" ca="1" si="27"/>
        <v>21044.186446883028</v>
      </c>
      <c r="L394" s="455">
        <f t="shared" ca="1" si="28"/>
        <v>5071648.9336988097</v>
      </c>
      <c r="M394" s="471">
        <f t="shared" si="30"/>
        <v>0.05</v>
      </c>
      <c r="N394" s="475">
        <f t="shared" si="31"/>
        <v>63037</v>
      </c>
    </row>
    <row r="395" spans="7:14" ht="11.25" customHeight="1" x14ac:dyDescent="0.3">
      <c r="G395" s="470">
        <f t="shared" si="42"/>
        <v>33</v>
      </c>
      <c r="H395" s="470">
        <v>388</v>
      </c>
      <c r="I395" s="455">
        <f t="shared" ca="1" si="29"/>
        <v>5071648.9336988097</v>
      </c>
      <c r="J395" s="455">
        <f t="array" ref="J395">IFERROR(INDEX('Retirement Calculator'!K:K,MATCH('Lorri 401b'!N395,'Retirement Calculator'!A:A,0),0),0)</f>
        <v>16520.094745597391</v>
      </c>
      <c r="K395" s="455">
        <f t="shared" ca="1" si="27"/>
        <v>21063.036828971715</v>
      </c>
      <c r="L395" s="455">
        <f t="shared" ca="1" si="28"/>
        <v>5076191.8757821834</v>
      </c>
      <c r="M395" s="471">
        <f t="shared" si="30"/>
        <v>0.05</v>
      </c>
      <c r="N395" s="475">
        <f t="shared" si="31"/>
        <v>63068</v>
      </c>
    </row>
    <row r="396" spans="7:14" ht="11.25" customHeight="1" x14ac:dyDescent="0.3">
      <c r="G396" s="470">
        <f t="shared" si="42"/>
        <v>33</v>
      </c>
      <c r="H396" s="470">
        <v>389</v>
      </c>
      <c r="I396" s="455">
        <f t="shared" ca="1" si="29"/>
        <v>5076191.8757821834</v>
      </c>
      <c r="J396" s="455">
        <f t="array" ref="J396">IFERROR(INDEX('Retirement Calculator'!K:K,MATCH('Lorri 401b'!N396,'Retirement Calculator'!A:A,0),0),0)</f>
        <v>16520.094745597391</v>
      </c>
      <c r="K396" s="455">
        <f t="shared" ca="1" si="27"/>
        <v>21081.965754319106</v>
      </c>
      <c r="L396" s="455">
        <f t="shared" ca="1" si="28"/>
        <v>5080753.7467909046</v>
      </c>
      <c r="M396" s="471">
        <f t="shared" si="30"/>
        <v>0.05</v>
      </c>
      <c r="N396" s="475">
        <f t="shared" si="31"/>
        <v>63098</v>
      </c>
    </row>
    <row r="397" spans="7:14" ht="11.25" customHeight="1" x14ac:dyDescent="0.3">
      <c r="G397" s="470">
        <f t="shared" si="42"/>
        <v>33</v>
      </c>
      <c r="H397" s="470">
        <v>390</v>
      </c>
      <c r="I397" s="455">
        <f t="shared" ca="1" si="29"/>
        <v>5080753.7467909046</v>
      </c>
      <c r="J397" s="455">
        <f t="array" ref="J397">IFERROR(INDEX('Retirement Calculator'!K:K,MATCH('Lorri 401b'!N397,'Retirement Calculator'!A:A,0),0),0)</f>
        <v>16520.094745597391</v>
      </c>
      <c r="K397" s="455">
        <f t="shared" ca="1" si="27"/>
        <v>21100.973550188777</v>
      </c>
      <c r="L397" s="455">
        <f t="shared" ca="1" si="28"/>
        <v>5085334.6255954951</v>
      </c>
      <c r="M397" s="471">
        <f t="shared" si="30"/>
        <v>0.05</v>
      </c>
      <c r="N397" s="475">
        <f t="shared" si="31"/>
        <v>63129</v>
      </c>
    </row>
    <row r="398" spans="7:14" ht="11.25" customHeight="1" x14ac:dyDescent="0.3">
      <c r="G398" s="470">
        <f t="shared" si="42"/>
        <v>33</v>
      </c>
      <c r="H398" s="470">
        <v>391</v>
      </c>
      <c r="I398" s="455">
        <f t="shared" ca="1" si="29"/>
        <v>5085334.6255954951</v>
      </c>
      <c r="J398" s="455">
        <f t="array" ref="J398">IFERROR(INDEX('Retirement Calculator'!K:K,MATCH('Lorri 401b'!N398,'Retirement Calculator'!A:A,0),0),0)</f>
        <v>16520.094745597391</v>
      </c>
      <c r="K398" s="455">
        <f t="shared" ca="1" si="27"/>
        <v>21120.060545207903</v>
      </c>
      <c r="L398" s="455">
        <f t="shared" ca="1" si="28"/>
        <v>5089934.5913951052</v>
      </c>
      <c r="M398" s="471">
        <f t="shared" si="30"/>
        <v>0.05</v>
      </c>
      <c r="N398" s="475">
        <f t="shared" si="31"/>
        <v>63159</v>
      </c>
    </row>
    <row r="399" spans="7:14" ht="11.25" customHeight="1" x14ac:dyDescent="0.3">
      <c r="G399" s="470">
        <f t="shared" si="42"/>
        <v>33</v>
      </c>
      <c r="H399" s="470">
        <v>392</v>
      </c>
      <c r="I399" s="455">
        <f t="shared" ca="1" si="29"/>
        <v>5089934.5913951052</v>
      </c>
      <c r="J399" s="455">
        <f t="array" ref="J399">IFERROR(INDEX('Retirement Calculator'!K:K,MATCH('Lorri 401b'!N399,'Retirement Calculator'!A:A,0),0),0)</f>
        <v>16520.094745597391</v>
      </c>
      <c r="K399" s="455">
        <f t="shared" ca="1" si="27"/>
        <v>21139.227069372948</v>
      </c>
      <c r="L399" s="455">
        <f t="shared" ca="1" si="28"/>
        <v>5094553.7237188807</v>
      </c>
      <c r="M399" s="471">
        <f t="shared" si="30"/>
        <v>0.05</v>
      </c>
      <c r="N399" s="475">
        <f t="shared" si="31"/>
        <v>63190</v>
      </c>
    </row>
    <row r="400" spans="7:14" ht="11.25" customHeight="1" x14ac:dyDescent="0.3">
      <c r="G400" s="470">
        <f t="shared" si="42"/>
        <v>33</v>
      </c>
      <c r="H400" s="470">
        <v>393</v>
      </c>
      <c r="I400" s="455">
        <f t="shared" ca="1" si="29"/>
        <v>5094553.7237188807</v>
      </c>
      <c r="J400" s="455">
        <f t="array" ref="J400">IFERROR(INDEX('Retirement Calculator'!K:K,MATCH('Lorri 401b'!N400,'Retirement Calculator'!A:A,0),0),0)</f>
        <v>16520.094745597391</v>
      </c>
      <c r="K400" s="455">
        <f t="shared" ca="1" si="27"/>
        <v>21158.473454055344</v>
      </c>
      <c r="L400" s="455">
        <f t="shared" ca="1" si="28"/>
        <v>5099192.1024273382</v>
      </c>
      <c r="M400" s="471">
        <f t="shared" si="30"/>
        <v>0.05</v>
      </c>
      <c r="N400" s="475">
        <f t="shared" si="31"/>
        <v>63221</v>
      </c>
    </row>
    <row r="401" spans="7:14" ht="11.25" customHeight="1" x14ac:dyDescent="0.3">
      <c r="G401" s="470">
        <f t="shared" si="42"/>
        <v>33</v>
      </c>
      <c r="H401" s="470">
        <v>394</v>
      </c>
      <c r="I401" s="455">
        <f t="shared" ca="1" si="29"/>
        <v>5099192.1024273382</v>
      </c>
      <c r="J401" s="455">
        <f t="array" ref="J401">IFERROR(INDEX('Retirement Calculator'!K:K,MATCH('Lorri 401b'!N401,'Retirement Calculator'!A:A,0),0),0)</f>
        <v>16520.094745597391</v>
      </c>
      <c r="K401" s="455">
        <f t="shared" ca="1" si="27"/>
        <v>21177.800032007253</v>
      </c>
      <c r="L401" s="455">
        <f t="shared" ca="1" si="28"/>
        <v>5103849.807713748</v>
      </c>
      <c r="M401" s="471">
        <f t="shared" si="30"/>
        <v>0.05</v>
      </c>
      <c r="N401" s="475">
        <f t="shared" si="31"/>
        <v>63249</v>
      </c>
    </row>
    <row r="402" spans="7:14" ht="11.25" customHeight="1" x14ac:dyDescent="0.3">
      <c r="G402" s="470">
        <f t="shared" si="42"/>
        <v>33</v>
      </c>
      <c r="H402" s="470">
        <v>395</v>
      </c>
      <c r="I402" s="455">
        <f t="shared" ca="1" si="29"/>
        <v>5103849.807713748</v>
      </c>
      <c r="J402" s="455">
        <f t="array" ref="J402">IFERROR(INDEX('Retirement Calculator'!K:K,MATCH('Lorri 401b'!N402,'Retirement Calculator'!A:A,0),0),0)</f>
        <v>16520.094745597391</v>
      </c>
      <c r="K402" s="455">
        <f t="shared" ca="1" si="27"/>
        <v>21197.207137367292</v>
      </c>
      <c r="L402" s="455">
        <f t="shared" ca="1" si="28"/>
        <v>5108526.9201055178</v>
      </c>
      <c r="M402" s="471">
        <f t="shared" si="30"/>
        <v>0.05</v>
      </c>
      <c r="N402" s="475">
        <f t="shared" si="31"/>
        <v>63280</v>
      </c>
    </row>
    <row r="403" spans="7:14" ht="11.25" customHeight="1" x14ac:dyDescent="0.3">
      <c r="G403" s="470">
        <f t="shared" si="42"/>
        <v>33</v>
      </c>
      <c r="H403" s="470">
        <v>396</v>
      </c>
      <c r="I403" s="455">
        <f t="shared" ca="1" si="29"/>
        <v>5108526.9201055178</v>
      </c>
      <c r="J403" s="455">
        <f t="array" ref="J403">IFERROR(INDEX('Retirement Calculator'!K:K,MATCH('Lorri 401b'!N403,'Retirement Calculator'!A:A,0),0),0)</f>
        <v>16520.094745597391</v>
      </c>
      <c r="K403" s="455">
        <f t="shared" ca="1" si="27"/>
        <v>21216.695105666335</v>
      </c>
      <c r="L403" s="455">
        <f t="shared" ca="1" si="28"/>
        <v>5113223.5204655863</v>
      </c>
      <c r="M403" s="471">
        <f t="shared" si="30"/>
        <v>0.05</v>
      </c>
      <c r="N403" s="475">
        <f t="shared" si="31"/>
        <v>63310</v>
      </c>
    </row>
    <row r="404" spans="7:14" ht="11.25" customHeight="1" x14ac:dyDescent="0.3">
      <c r="G404" s="470">
        <f>G403+1</f>
        <v>34</v>
      </c>
      <c r="H404" s="470">
        <v>397</v>
      </c>
      <c r="I404" s="455">
        <f t="shared" ca="1" si="29"/>
        <v>5113223.5204655863</v>
      </c>
      <c r="J404" s="455">
        <f t="array" ref="J404">IFERROR(INDEX('Retirement Calculator'!K:K,MATCH('Lorri 401b'!N404,'Retirement Calculator'!A:A,0),0),0)</f>
        <v>16520.094745597391</v>
      </c>
      <c r="K404" s="455">
        <f t="shared" ca="1" si="27"/>
        <v>21236.264273833287</v>
      </c>
      <c r="L404" s="455">
        <f t="shared" ca="1" si="28"/>
        <v>5117939.689993822</v>
      </c>
      <c r="M404" s="471">
        <f t="shared" si="30"/>
        <v>0.05</v>
      </c>
      <c r="N404" s="475">
        <f t="shared" si="31"/>
        <v>63341</v>
      </c>
    </row>
    <row r="405" spans="7:14" ht="11.25" customHeight="1" x14ac:dyDescent="0.3">
      <c r="G405" s="470">
        <f t="shared" ref="G405:G415" si="43">G404</f>
        <v>34</v>
      </c>
      <c r="H405" s="470">
        <v>398</v>
      </c>
      <c r="I405" s="455">
        <f t="shared" ca="1" si="29"/>
        <v>5117939.689993822</v>
      </c>
      <c r="J405" s="455">
        <f t="array" ref="J405">IFERROR(INDEX('Retirement Calculator'!K:K,MATCH('Lorri 401b'!N405,'Retirement Calculator'!A:A,0),0),0)</f>
        <v>16520.094745597391</v>
      </c>
      <c r="K405" s="455">
        <f t="shared" ca="1" si="27"/>
        <v>21255.914980200934</v>
      </c>
      <c r="L405" s="455">
        <f t="shared" ca="1" si="28"/>
        <v>5122675.5102284253</v>
      </c>
      <c r="M405" s="471">
        <f t="shared" si="30"/>
        <v>0.05</v>
      </c>
      <c r="N405" s="475">
        <f t="shared" si="31"/>
        <v>63371</v>
      </c>
    </row>
    <row r="406" spans="7:14" ht="11.25" customHeight="1" x14ac:dyDescent="0.3">
      <c r="G406" s="470">
        <f t="shared" si="43"/>
        <v>34</v>
      </c>
      <c r="H406" s="470">
        <v>399</v>
      </c>
      <c r="I406" s="455">
        <f t="shared" ca="1" si="29"/>
        <v>5122675.5102284253</v>
      </c>
      <c r="J406" s="455">
        <f t="array" ref="J406">IFERROR(INDEX('Retirement Calculator'!K:K,MATCH('Lorri 401b'!N406,'Retirement Calculator'!A:A,0),0),0)</f>
        <v>16520.094745597391</v>
      </c>
      <c r="K406" s="455">
        <f t="shared" ca="1" si="27"/>
        <v>21275.647564511783</v>
      </c>
      <c r="L406" s="455">
        <f t="shared" ca="1" si="28"/>
        <v>5127431.0630473392</v>
      </c>
      <c r="M406" s="471">
        <f t="shared" si="30"/>
        <v>0.05</v>
      </c>
      <c r="N406" s="475">
        <f t="shared" si="31"/>
        <v>63402</v>
      </c>
    </row>
    <row r="407" spans="7:14" ht="11.25" customHeight="1" x14ac:dyDescent="0.3">
      <c r="G407" s="470">
        <f t="shared" si="43"/>
        <v>34</v>
      </c>
      <c r="H407" s="470">
        <v>400</v>
      </c>
      <c r="I407" s="455">
        <f t="shared" ca="1" si="29"/>
        <v>5127431.0630473392</v>
      </c>
      <c r="J407" s="455">
        <f t="array" ref="J407">IFERROR(INDEX('Retirement Calculator'!K:K,MATCH('Lorri 401b'!N407,'Retirement Calculator'!A:A,0),0),0)</f>
        <v>16520.094745597391</v>
      </c>
      <c r="K407" s="455">
        <f t="shared" ca="1" si="27"/>
        <v>21295.462367923923</v>
      </c>
      <c r="L407" s="455">
        <f t="shared" ca="1" si="28"/>
        <v>5132206.4306696653</v>
      </c>
      <c r="M407" s="471">
        <f t="shared" si="30"/>
        <v>0.05</v>
      </c>
      <c r="N407" s="475">
        <f t="shared" si="31"/>
        <v>63433</v>
      </c>
    </row>
    <row r="408" spans="7:14" ht="11.25" customHeight="1" x14ac:dyDescent="0.3">
      <c r="G408" s="470">
        <f t="shared" si="43"/>
        <v>34</v>
      </c>
      <c r="H408" s="470">
        <v>401</v>
      </c>
      <c r="I408" s="455">
        <f t="shared" ca="1" si="29"/>
        <v>5132206.4306696653</v>
      </c>
      <c r="J408" s="455">
        <f t="array" ref="J408">IFERROR(INDEX('Retirement Calculator'!K:K,MATCH('Lorri 401b'!N408,'Retirement Calculator'!A:A,0),0),0)</f>
        <v>16520.094745597391</v>
      </c>
      <c r="K408" s="455">
        <f t="shared" ca="1" si="27"/>
        <v>21315.359733016947</v>
      </c>
      <c r="L408" s="455">
        <f t="shared" ca="1" si="28"/>
        <v>5137001.6956570847</v>
      </c>
      <c r="M408" s="471">
        <f t="shared" si="30"/>
        <v>0.05</v>
      </c>
      <c r="N408" s="475">
        <f t="shared" si="31"/>
        <v>63463</v>
      </c>
    </row>
    <row r="409" spans="7:14" ht="11.25" customHeight="1" x14ac:dyDescent="0.3">
      <c r="G409" s="470">
        <f t="shared" si="43"/>
        <v>34</v>
      </c>
      <c r="H409" s="470">
        <v>402</v>
      </c>
      <c r="I409" s="455">
        <f t="shared" ca="1" si="29"/>
        <v>5137001.6956570847</v>
      </c>
      <c r="J409" s="455">
        <f t="array" ref="J409">IFERROR(INDEX('Retirement Calculator'!K:K,MATCH('Lorri 401b'!N409,'Retirement Calculator'!A:A,0),0),0)</f>
        <v>16520.094745597391</v>
      </c>
      <c r="K409" s="455">
        <f t="shared" ca="1" si="27"/>
        <v>21335.340003797861</v>
      </c>
      <c r="L409" s="455">
        <f t="shared" ca="1" si="28"/>
        <v>5141816.9409152847</v>
      </c>
      <c r="M409" s="471">
        <f t="shared" si="30"/>
        <v>0.05</v>
      </c>
      <c r="N409" s="475">
        <f t="shared" si="31"/>
        <v>63494</v>
      </c>
    </row>
    <row r="410" spans="7:14" ht="11.25" customHeight="1" x14ac:dyDescent="0.3">
      <c r="G410" s="470">
        <f t="shared" si="43"/>
        <v>34</v>
      </c>
      <c r="H410" s="470">
        <v>403</v>
      </c>
      <c r="I410" s="455">
        <f t="shared" ca="1" si="29"/>
        <v>5141816.9409152847</v>
      </c>
      <c r="J410" s="455">
        <f t="array" ref="J410">IFERROR(INDEX('Retirement Calculator'!K:K,MATCH('Lorri 401b'!N410,'Retirement Calculator'!A:A,0),0),0)</f>
        <v>16520.094745597391</v>
      </c>
      <c r="K410" s="455">
        <f t="shared" ca="1" si="27"/>
        <v>21355.403525707028</v>
      </c>
      <c r="L410" s="455">
        <f t="shared" ca="1" si="28"/>
        <v>5146652.2496953942</v>
      </c>
      <c r="M410" s="471">
        <f t="shared" si="30"/>
        <v>0.05</v>
      </c>
      <c r="N410" s="475">
        <f t="shared" si="31"/>
        <v>63524</v>
      </c>
    </row>
    <row r="411" spans="7:14" ht="11.25" customHeight="1" x14ac:dyDescent="0.3">
      <c r="G411" s="470">
        <f t="shared" si="43"/>
        <v>34</v>
      </c>
      <c r="H411" s="470">
        <v>404</v>
      </c>
      <c r="I411" s="455">
        <f t="shared" ca="1" si="29"/>
        <v>5146652.2496953942</v>
      </c>
      <c r="J411" s="455">
        <f t="array" ref="J411">IFERROR(INDEX('Retirement Calculator'!K:K,MATCH('Lorri 401b'!N411,'Retirement Calculator'!A:A,0),0),0)</f>
        <v>16520.094745597391</v>
      </c>
      <c r="K411" s="455">
        <f t="shared" ca="1" si="27"/>
        <v>21375.550645624153</v>
      </c>
      <c r="L411" s="455">
        <f t="shared" ca="1" si="28"/>
        <v>5151507.7055954207</v>
      </c>
      <c r="M411" s="471">
        <f t="shared" si="30"/>
        <v>0.05</v>
      </c>
      <c r="N411" s="475">
        <f t="shared" si="31"/>
        <v>63555</v>
      </c>
    </row>
    <row r="412" spans="7:14" ht="11.25" customHeight="1" x14ac:dyDescent="0.3">
      <c r="G412" s="470">
        <f t="shared" si="43"/>
        <v>34</v>
      </c>
      <c r="H412" s="470">
        <v>405</v>
      </c>
      <c r="I412" s="455">
        <f t="shared" ca="1" si="29"/>
        <v>5151507.7055954207</v>
      </c>
      <c r="J412" s="455">
        <f t="array" ref="J412">IFERROR(INDEX('Retirement Calculator'!K:K,MATCH('Lorri 401b'!N412,'Retirement Calculator'!A:A,0),0),0)</f>
        <v>16520.094745597391</v>
      </c>
      <c r="K412" s="455">
        <f t="shared" ca="1" si="27"/>
        <v>21395.781711874261</v>
      </c>
      <c r="L412" s="455">
        <f t="shared" ca="1" si="28"/>
        <v>5156383.3925616974</v>
      </c>
      <c r="M412" s="471">
        <f t="shared" si="30"/>
        <v>0.05</v>
      </c>
      <c r="N412" s="475">
        <f t="shared" si="31"/>
        <v>63586</v>
      </c>
    </row>
    <row r="413" spans="7:14" ht="11.25" customHeight="1" x14ac:dyDescent="0.3">
      <c r="G413" s="470">
        <f t="shared" si="43"/>
        <v>34</v>
      </c>
      <c r="H413" s="470">
        <v>406</v>
      </c>
      <c r="I413" s="455">
        <f t="shared" ca="1" si="29"/>
        <v>5156383.3925616974</v>
      </c>
      <c r="J413" s="455">
        <f t="array" ref="J413">IFERROR(INDEX('Retirement Calculator'!K:K,MATCH('Lorri 401b'!N413,'Retirement Calculator'!A:A,0),0),0)</f>
        <v>16520.094745597391</v>
      </c>
      <c r="K413" s="455">
        <f t="shared" ca="1" si="27"/>
        <v>21416.097074233749</v>
      </c>
      <c r="L413" s="455">
        <f t="shared" ca="1" si="28"/>
        <v>5161279.3948903335</v>
      </c>
      <c r="M413" s="471">
        <f t="shared" si="30"/>
        <v>0.05</v>
      </c>
      <c r="N413" s="475">
        <f t="shared" si="31"/>
        <v>63614</v>
      </c>
    </row>
    <row r="414" spans="7:14" ht="11.25" customHeight="1" x14ac:dyDescent="0.3">
      <c r="G414" s="470">
        <f t="shared" si="43"/>
        <v>34</v>
      </c>
      <c r="H414" s="470">
        <v>407</v>
      </c>
      <c r="I414" s="455">
        <f t="shared" ca="1" si="29"/>
        <v>5161279.3948903335</v>
      </c>
      <c r="J414" s="455">
        <f t="array" ref="J414">IFERROR(INDEX('Retirement Calculator'!K:K,MATCH('Lorri 401b'!N414,'Retirement Calculator'!A:A,0),0),0)</f>
        <v>16520.094745597391</v>
      </c>
      <c r="K414" s="455">
        <f t="shared" ca="1" si="27"/>
        <v>21436.4970839364</v>
      </c>
      <c r="L414" s="455">
        <f t="shared" ca="1" si="28"/>
        <v>5166195.7972286725</v>
      </c>
      <c r="M414" s="471">
        <f t="shared" si="30"/>
        <v>0.05</v>
      </c>
      <c r="N414" s="475">
        <f t="shared" si="31"/>
        <v>63645</v>
      </c>
    </row>
    <row r="415" spans="7:14" ht="11.25" customHeight="1" x14ac:dyDescent="0.3">
      <c r="G415" s="470">
        <f t="shared" si="43"/>
        <v>34</v>
      </c>
      <c r="H415" s="470">
        <v>408</v>
      </c>
      <c r="I415" s="455">
        <f t="shared" ca="1" si="29"/>
        <v>5166195.7972286725</v>
      </c>
      <c r="J415" s="455">
        <f t="array" ref="J415">IFERROR(INDEX('Retirement Calculator'!K:K,MATCH('Lorri 401b'!N415,'Retirement Calculator'!A:A,0),0),0)</f>
        <v>16520.094745597391</v>
      </c>
      <c r="K415" s="455">
        <f t="shared" ca="1" si="27"/>
        <v>21456.982093679479</v>
      </c>
      <c r="L415" s="455">
        <f t="shared" ca="1" si="28"/>
        <v>5171132.6845767545</v>
      </c>
      <c r="M415" s="471">
        <f t="shared" si="30"/>
        <v>0.05</v>
      </c>
      <c r="N415" s="475">
        <f t="shared" si="31"/>
        <v>63675</v>
      </c>
    </row>
    <row r="416" spans="7:14" ht="11.25" customHeight="1" x14ac:dyDescent="0.3">
      <c r="G416" s="470">
        <f>G415+1</f>
        <v>35</v>
      </c>
      <c r="H416" s="470">
        <v>409</v>
      </c>
      <c r="I416" s="455">
        <f t="shared" ca="1" si="29"/>
        <v>5171132.6845767545</v>
      </c>
      <c r="J416" s="455">
        <f t="array" ref="J416">IFERROR(INDEX('Retirement Calculator'!K:K,MATCH('Lorri 401b'!N416,'Retirement Calculator'!A:A,0),0),0)</f>
        <v>16520.094745597391</v>
      </c>
      <c r="K416" s="455">
        <f t="shared" ca="1" si="27"/>
        <v>21477.552457629819</v>
      </c>
      <c r="L416" s="455">
        <f t="shared" ca="1" si="28"/>
        <v>5176090.1422887864</v>
      </c>
      <c r="M416" s="471">
        <f t="shared" si="30"/>
        <v>0.05</v>
      </c>
      <c r="N416" s="475">
        <f t="shared" si="31"/>
        <v>63706</v>
      </c>
    </row>
    <row r="417" spans="7:14" ht="11.25" customHeight="1" x14ac:dyDescent="0.3">
      <c r="G417" s="470">
        <f t="shared" ref="G417:G427" si="44">G416</f>
        <v>35</v>
      </c>
      <c r="H417" s="470">
        <v>410</v>
      </c>
      <c r="I417" s="455">
        <f t="shared" ca="1" si="29"/>
        <v>5176090.1422887864</v>
      </c>
      <c r="J417" s="455">
        <f t="array" ref="J417">IFERROR(INDEX('Retirement Calculator'!K:K,MATCH('Lorri 401b'!N417,'Retirement Calculator'!A:A,0),0),0)</f>
        <v>16520.094745597391</v>
      </c>
      <c r="K417" s="455">
        <f t="shared" ca="1" si="27"/>
        <v>21498.208531429951</v>
      </c>
      <c r="L417" s="455">
        <f t="shared" ca="1" si="28"/>
        <v>5181068.2560746185</v>
      </c>
      <c r="M417" s="471">
        <f t="shared" si="30"/>
        <v>0.05</v>
      </c>
      <c r="N417" s="475">
        <f t="shared" si="31"/>
        <v>63736</v>
      </c>
    </row>
    <row r="418" spans="7:14" ht="11.25" customHeight="1" x14ac:dyDescent="0.3">
      <c r="G418" s="470">
        <f t="shared" si="44"/>
        <v>35</v>
      </c>
      <c r="H418" s="470">
        <v>411</v>
      </c>
      <c r="I418" s="455">
        <f t="shared" ca="1" si="29"/>
        <v>5181068.2560746185</v>
      </c>
      <c r="J418" s="455">
        <f t="array" ref="J418">IFERROR(INDEX('Retirement Calculator'!K:K,MATCH('Lorri 401b'!N418,'Retirement Calculator'!A:A,0),0),0)</f>
        <v>16520.094745597391</v>
      </c>
      <c r="K418" s="455">
        <f t="shared" ca="1" si="27"/>
        <v>21518.950672204253</v>
      </c>
      <c r="L418" s="455">
        <f t="shared" ca="1" si="28"/>
        <v>5186067.1120012254</v>
      </c>
      <c r="M418" s="471">
        <f t="shared" si="30"/>
        <v>0.05</v>
      </c>
      <c r="N418" s="475">
        <f t="shared" si="31"/>
        <v>63767</v>
      </c>
    </row>
    <row r="419" spans="7:14" ht="11.25" customHeight="1" x14ac:dyDescent="0.3">
      <c r="G419" s="470">
        <f t="shared" si="44"/>
        <v>35</v>
      </c>
      <c r="H419" s="470">
        <v>412</v>
      </c>
      <c r="I419" s="455">
        <f t="shared" ca="1" si="29"/>
        <v>5186067.1120012254</v>
      </c>
      <c r="J419" s="455">
        <f t="array" ref="J419">IFERROR(INDEX('Retirement Calculator'!K:K,MATCH('Lorri 401b'!N419,'Retirement Calculator'!A:A,0),0),0)</f>
        <v>16520.094745597391</v>
      </c>
      <c r="K419" s="455">
        <f t="shared" ca="1" si="27"/>
        <v>21539.779238565116</v>
      </c>
      <c r="L419" s="455">
        <f t="shared" ca="1" si="28"/>
        <v>5191086.7964941924</v>
      </c>
      <c r="M419" s="471">
        <f t="shared" si="30"/>
        <v>0.05</v>
      </c>
      <c r="N419" s="475">
        <f t="shared" si="31"/>
        <v>63798</v>
      </c>
    </row>
    <row r="420" spans="7:14" ht="11.25" customHeight="1" x14ac:dyDescent="0.3">
      <c r="G420" s="470">
        <f t="shared" si="44"/>
        <v>35</v>
      </c>
      <c r="H420" s="470">
        <v>413</v>
      </c>
      <c r="I420" s="455">
        <f t="shared" ca="1" si="29"/>
        <v>5191086.7964941924</v>
      </c>
      <c r="J420" s="455">
        <f t="array" ref="J420">IFERROR(INDEX('Retirement Calculator'!K:K,MATCH('Lorri 401b'!N420,'Retirement Calculator'!A:A,0),0),0)</f>
        <v>16520.094745597391</v>
      </c>
      <c r="K420" s="455">
        <f t="shared" ca="1" si="27"/>
        <v>21560.694590619143</v>
      </c>
      <c r="L420" s="455">
        <f t="shared" ca="1" si="28"/>
        <v>5196127.3963392135</v>
      </c>
      <c r="M420" s="471">
        <f t="shared" si="30"/>
        <v>0.05</v>
      </c>
      <c r="N420" s="475">
        <f t="shared" si="31"/>
        <v>63828</v>
      </c>
    </row>
    <row r="421" spans="7:14" ht="11.25" customHeight="1" x14ac:dyDescent="0.3">
      <c r="G421" s="470">
        <f t="shared" si="44"/>
        <v>35</v>
      </c>
      <c r="H421" s="470">
        <v>414</v>
      </c>
      <c r="I421" s="455">
        <f t="shared" ca="1" si="29"/>
        <v>5196127.3963392135</v>
      </c>
      <c r="J421" s="455">
        <f t="array" ref="J421">IFERROR(INDEX('Retirement Calculator'!K:K,MATCH('Lorri 401b'!N421,'Retirement Calculator'!A:A,0),0),0)</f>
        <v>16520.094745597391</v>
      </c>
      <c r="K421" s="455">
        <f t="shared" ca="1" si="27"/>
        <v>21581.697089973397</v>
      </c>
      <c r="L421" s="455">
        <f t="shared" ca="1" si="28"/>
        <v>5201188.9986835895</v>
      </c>
      <c r="M421" s="471">
        <f t="shared" si="30"/>
        <v>0.05</v>
      </c>
      <c r="N421" s="475">
        <f t="shared" si="31"/>
        <v>63859</v>
      </c>
    </row>
    <row r="422" spans="7:14" ht="11.25" customHeight="1" x14ac:dyDescent="0.3">
      <c r="G422" s="470">
        <f t="shared" si="44"/>
        <v>35</v>
      </c>
      <c r="H422" s="470">
        <v>415</v>
      </c>
      <c r="I422" s="455">
        <f t="shared" ca="1" si="29"/>
        <v>5201188.9986835895</v>
      </c>
      <c r="J422" s="455">
        <f t="array" ref="J422">IFERROR(INDEX('Retirement Calculator'!K:K,MATCH('Lorri 401b'!N422,'Retirement Calculator'!A:A,0),0),0)</f>
        <v>16520.094745597391</v>
      </c>
      <c r="K422" s="455">
        <f t="shared" ca="1" si="27"/>
        <v>21602.787099741632</v>
      </c>
      <c r="L422" s="455">
        <f t="shared" ca="1" si="28"/>
        <v>5206271.6910377331</v>
      </c>
      <c r="M422" s="471">
        <f t="shared" si="30"/>
        <v>0.05</v>
      </c>
      <c r="N422" s="475">
        <f t="shared" si="31"/>
        <v>63889</v>
      </c>
    </row>
    <row r="423" spans="7:14" ht="11.25" customHeight="1" x14ac:dyDescent="0.3">
      <c r="G423" s="470">
        <f t="shared" si="44"/>
        <v>35</v>
      </c>
      <c r="H423" s="470">
        <v>416</v>
      </c>
      <c r="I423" s="455">
        <f t="shared" ca="1" si="29"/>
        <v>5206271.6910377331</v>
      </c>
      <c r="J423" s="455">
        <f t="array" ref="J423">IFERROR(INDEX('Retirement Calculator'!K:K,MATCH('Lorri 401b'!N423,'Retirement Calculator'!A:A,0),0),0)</f>
        <v>16520.094745597391</v>
      </c>
      <c r="K423" s="455">
        <f t="shared" ca="1" si="27"/>
        <v>21623.964984550563</v>
      </c>
      <c r="L423" s="455">
        <f t="shared" ca="1" si="28"/>
        <v>5211375.5612766854</v>
      </c>
      <c r="M423" s="471">
        <f t="shared" si="30"/>
        <v>0.05</v>
      </c>
      <c r="N423" s="475">
        <f t="shared" si="31"/>
        <v>63920</v>
      </c>
    </row>
    <row r="424" spans="7:14" ht="11.25" customHeight="1" x14ac:dyDescent="0.3">
      <c r="G424" s="470">
        <f t="shared" si="44"/>
        <v>35</v>
      </c>
      <c r="H424" s="470">
        <v>417</v>
      </c>
      <c r="I424" s="455">
        <f t="shared" ca="1" si="29"/>
        <v>5211375.5612766854</v>
      </c>
      <c r="J424" s="455">
        <f t="array" ref="J424">IFERROR(INDEX('Retirement Calculator'!K:K,MATCH('Lorri 401b'!N424,'Retirement Calculator'!A:A,0),0),0)</f>
        <v>16520.094745597391</v>
      </c>
      <c r="K424" s="455">
        <f t="shared" ca="1" si="27"/>
        <v>21645.231110546199</v>
      </c>
      <c r="L424" s="455">
        <f t="shared" ca="1" si="28"/>
        <v>5216500.6976416335</v>
      </c>
      <c r="M424" s="471">
        <f t="shared" si="30"/>
        <v>0.05</v>
      </c>
      <c r="N424" s="475">
        <f t="shared" si="31"/>
        <v>63951</v>
      </c>
    </row>
    <row r="425" spans="7:14" ht="11.25" customHeight="1" x14ac:dyDescent="0.3">
      <c r="G425" s="470">
        <f t="shared" si="44"/>
        <v>35</v>
      </c>
      <c r="H425" s="470">
        <v>418</v>
      </c>
      <c r="I425" s="455">
        <f t="shared" ca="1" si="29"/>
        <v>5216500.6976416335</v>
      </c>
      <c r="J425" s="455">
        <f t="array" ref="J425">IFERROR(INDEX('Retirement Calculator'!K:K,MATCH('Lorri 401b'!N425,'Retirement Calculator'!A:A,0),0),0)</f>
        <v>16520.094745597391</v>
      </c>
      <c r="K425" s="455">
        <f t="shared" ca="1" si="27"/>
        <v>21666.58584540015</v>
      </c>
      <c r="L425" s="455">
        <f t="shared" ca="1" si="28"/>
        <v>5221647.1887414362</v>
      </c>
      <c r="M425" s="471">
        <f t="shared" si="30"/>
        <v>0.05</v>
      </c>
      <c r="N425" s="475">
        <f t="shared" si="31"/>
        <v>63979</v>
      </c>
    </row>
    <row r="426" spans="7:14" ht="11.25" customHeight="1" x14ac:dyDescent="0.3">
      <c r="G426" s="470">
        <f t="shared" si="44"/>
        <v>35</v>
      </c>
      <c r="H426" s="470">
        <v>419</v>
      </c>
      <c r="I426" s="455">
        <f t="shared" ca="1" si="29"/>
        <v>5221647.1887414362</v>
      </c>
      <c r="J426" s="455">
        <f t="array" ref="J426">IFERROR(INDEX('Retirement Calculator'!K:K,MATCH('Lorri 401b'!N426,'Retirement Calculator'!A:A,0),0),0)</f>
        <v>16520.094745597391</v>
      </c>
      <c r="K426" s="455">
        <f t="shared" ca="1" si="27"/>
        <v>21688.029558315993</v>
      </c>
      <c r="L426" s="455">
        <f t="shared" ca="1" si="28"/>
        <v>5226815.1235541543</v>
      </c>
      <c r="M426" s="471">
        <f t="shared" si="30"/>
        <v>0.05</v>
      </c>
      <c r="N426" s="475">
        <f t="shared" si="31"/>
        <v>64010</v>
      </c>
    </row>
    <row r="427" spans="7:14" ht="11.25" customHeight="1" x14ac:dyDescent="0.3">
      <c r="G427" s="470">
        <f t="shared" si="44"/>
        <v>35</v>
      </c>
      <c r="H427" s="470">
        <v>420</v>
      </c>
      <c r="I427" s="455">
        <f t="shared" ca="1" si="29"/>
        <v>5226815.1235541543</v>
      </c>
      <c r="J427" s="455">
        <f t="array" ref="J427">IFERROR(INDEX('Retirement Calculator'!K:K,MATCH('Lorri 401b'!N427,'Retirement Calculator'!A:A,0),0),0)</f>
        <v>16520.094745597391</v>
      </c>
      <c r="K427" s="455">
        <f t="shared" ca="1" si="27"/>
        <v>21709.562620035653</v>
      </c>
      <c r="L427" s="455">
        <f t="shared" ca="1" si="28"/>
        <v>5232004.5914285919</v>
      </c>
      <c r="M427" s="471">
        <f t="shared" si="30"/>
        <v>0.05</v>
      </c>
      <c r="N427" s="475">
        <f t="shared" si="31"/>
        <v>64040</v>
      </c>
    </row>
    <row r="428" spans="7:14" ht="11.25" customHeight="1" x14ac:dyDescent="0.3">
      <c r="G428" s="470">
        <f>G427+1</f>
        <v>36</v>
      </c>
      <c r="H428" s="470">
        <v>421</v>
      </c>
      <c r="I428" s="455">
        <f t="shared" ca="1" si="29"/>
        <v>5232004.5914285919</v>
      </c>
      <c r="J428" s="455">
        <f t="array" ref="J428">IFERROR(INDEX('Retirement Calculator'!K:K,MATCH('Lorri 401b'!N428,'Retirement Calculator'!A:A,0),0),0)</f>
        <v>16520.094745597391</v>
      </c>
      <c r="K428" s="455">
        <f t="shared" ca="1" si="27"/>
        <v>21731.185402845807</v>
      </c>
      <c r="L428" s="455">
        <f t="shared" ca="1" si="28"/>
        <v>5237215.68208584</v>
      </c>
      <c r="M428" s="471">
        <f t="shared" si="30"/>
        <v>0.05</v>
      </c>
      <c r="N428" s="475">
        <f t="shared" si="31"/>
        <v>64071</v>
      </c>
    </row>
    <row r="429" spans="7:14" ht="11.25" customHeight="1" x14ac:dyDescent="0.3">
      <c r="G429" s="470">
        <f t="shared" ref="G429:G439" si="45">G428</f>
        <v>36</v>
      </c>
      <c r="H429" s="470">
        <v>422</v>
      </c>
      <c r="I429" s="455">
        <f t="shared" ca="1" si="29"/>
        <v>5237215.68208584</v>
      </c>
      <c r="J429" s="455">
        <f t="array" ref="J429">IFERROR(INDEX('Retirement Calculator'!K:K,MATCH('Lorri 401b'!N429,'Retirement Calculator'!A:A,0),0),0)</f>
        <v>16520.094745597391</v>
      </c>
      <c r="K429" s="455">
        <f t="shared" ca="1" si="27"/>
        <v>21752.898280584341</v>
      </c>
      <c r="L429" s="455">
        <f t="shared" ca="1" si="28"/>
        <v>5242448.4856208265</v>
      </c>
      <c r="M429" s="471">
        <f t="shared" si="30"/>
        <v>0.05</v>
      </c>
      <c r="N429" s="475">
        <f t="shared" si="31"/>
        <v>64101</v>
      </c>
    </row>
    <row r="430" spans="7:14" ht="11.25" customHeight="1" x14ac:dyDescent="0.3">
      <c r="G430" s="470">
        <f t="shared" si="45"/>
        <v>36</v>
      </c>
      <c r="H430" s="470">
        <v>423</v>
      </c>
      <c r="I430" s="455">
        <f t="shared" ca="1" si="29"/>
        <v>5242448.4856208265</v>
      </c>
      <c r="J430" s="455">
        <f t="array" ref="J430">IFERROR(INDEX('Retirement Calculator'!K:K,MATCH('Lorri 401b'!N430,'Retirement Calculator'!A:A,0),0),0)</f>
        <v>16520.094745597391</v>
      </c>
      <c r="K430" s="455">
        <f t="shared" ca="1" si="27"/>
        <v>21774.701628646784</v>
      </c>
      <c r="L430" s="455">
        <f t="shared" ca="1" si="28"/>
        <v>5247703.0925038755</v>
      </c>
      <c r="M430" s="471">
        <f t="shared" si="30"/>
        <v>0.05</v>
      </c>
      <c r="N430" s="475">
        <f t="shared" si="31"/>
        <v>64132</v>
      </c>
    </row>
    <row r="431" spans="7:14" ht="11.25" customHeight="1" x14ac:dyDescent="0.3">
      <c r="G431" s="470">
        <f t="shared" si="45"/>
        <v>36</v>
      </c>
      <c r="H431" s="470">
        <v>424</v>
      </c>
      <c r="I431" s="455">
        <f t="shared" ca="1" si="29"/>
        <v>5247703.0925038755</v>
      </c>
      <c r="J431" s="455">
        <f t="array" ref="J431">IFERROR(INDEX('Retirement Calculator'!K:K,MATCH('Lorri 401b'!N431,'Retirement Calculator'!A:A,0),0),0)</f>
        <v>16520.094745597391</v>
      </c>
      <c r="K431" s="455">
        <f t="shared" ca="1" si="27"/>
        <v>21796.595823992822</v>
      </c>
      <c r="L431" s="455">
        <f t="shared" ca="1" si="28"/>
        <v>5252979.5935822707</v>
      </c>
      <c r="M431" s="471">
        <f t="shared" si="30"/>
        <v>0.05</v>
      </c>
      <c r="N431" s="475">
        <f t="shared" si="31"/>
        <v>64163</v>
      </c>
    </row>
    <row r="432" spans="7:14" ht="11.25" customHeight="1" x14ac:dyDescent="0.3">
      <c r="G432" s="470">
        <f t="shared" si="45"/>
        <v>36</v>
      </c>
      <c r="H432" s="470">
        <v>425</v>
      </c>
      <c r="I432" s="455">
        <f t="shared" ca="1" si="29"/>
        <v>5252979.5935822707</v>
      </c>
      <c r="J432" s="455">
        <f t="array" ref="J432">IFERROR(INDEX('Retirement Calculator'!K:K,MATCH('Lorri 401b'!N432,'Retirement Calculator'!A:A,0),0),0)</f>
        <v>16520.094745597391</v>
      </c>
      <c r="K432" s="455">
        <f t="shared" ca="1" si="27"/>
        <v>21818.581245152804</v>
      </c>
      <c r="L432" s="455">
        <f t="shared" ca="1" si="28"/>
        <v>5258278.0800818261</v>
      </c>
      <c r="M432" s="471">
        <f t="shared" si="30"/>
        <v>0.05</v>
      </c>
      <c r="N432" s="475">
        <f t="shared" si="31"/>
        <v>64193</v>
      </c>
    </row>
    <row r="433" spans="7:14" ht="11.25" customHeight="1" x14ac:dyDescent="0.3">
      <c r="G433" s="470">
        <f t="shared" si="45"/>
        <v>36</v>
      </c>
      <c r="H433" s="470">
        <v>426</v>
      </c>
      <c r="I433" s="455">
        <f t="shared" ca="1" si="29"/>
        <v>5258278.0800818261</v>
      </c>
      <c r="J433" s="455">
        <f t="array" ref="J433">IFERROR(INDEX('Retirement Calculator'!K:K,MATCH('Lorri 401b'!N433,'Retirement Calculator'!A:A,0),0),0)</f>
        <v>16520.094745597391</v>
      </c>
      <c r="K433" s="455">
        <f t="shared" ca="1" si="27"/>
        <v>21840.658272234283</v>
      </c>
      <c r="L433" s="455">
        <f t="shared" ca="1" si="28"/>
        <v>5263598.643608463</v>
      </c>
      <c r="M433" s="471">
        <f t="shared" si="30"/>
        <v>0.05</v>
      </c>
      <c r="N433" s="475">
        <f t="shared" si="31"/>
        <v>64224</v>
      </c>
    </row>
    <row r="434" spans="7:14" ht="11.25" customHeight="1" x14ac:dyDescent="0.3">
      <c r="G434" s="470">
        <f t="shared" si="45"/>
        <v>36</v>
      </c>
      <c r="H434" s="470">
        <v>427</v>
      </c>
      <c r="I434" s="455">
        <f t="shared" ca="1" si="29"/>
        <v>5263598.643608463</v>
      </c>
      <c r="J434" s="455">
        <f t="array" ref="J434">IFERROR(INDEX('Retirement Calculator'!K:K,MATCH('Lorri 401b'!N434,'Retirement Calculator'!A:A,0),0),0)</f>
        <v>16520.094745597391</v>
      </c>
      <c r="K434" s="455">
        <f t="shared" ca="1" si="27"/>
        <v>21862.827286928605</v>
      </c>
      <c r="L434" s="455">
        <f t="shared" ca="1" si="28"/>
        <v>5268941.3761497941</v>
      </c>
      <c r="M434" s="471">
        <f t="shared" si="30"/>
        <v>0.05</v>
      </c>
      <c r="N434" s="475">
        <f t="shared" si="31"/>
        <v>64254</v>
      </c>
    </row>
    <row r="435" spans="7:14" ht="11.25" customHeight="1" x14ac:dyDescent="0.3">
      <c r="G435" s="470">
        <f t="shared" si="45"/>
        <v>36</v>
      </c>
      <c r="H435" s="470">
        <v>428</v>
      </c>
      <c r="I435" s="455">
        <f t="shared" ca="1" si="29"/>
        <v>5268941.3761497941</v>
      </c>
      <c r="J435" s="455">
        <f t="array" ref="J435">IFERROR(INDEX('Retirement Calculator'!K:K,MATCH('Lorri 401b'!N435,'Retirement Calculator'!A:A,0),0),0)</f>
        <v>16520.094745597391</v>
      </c>
      <c r="K435" s="455">
        <f t="shared" ca="1" si="27"/>
        <v>21885.088672517486</v>
      </c>
      <c r="L435" s="455">
        <f t="shared" ca="1" si="28"/>
        <v>5274306.3700767141</v>
      </c>
      <c r="M435" s="471">
        <f t="shared" si="30"/>
        <v>0.05</v>
      </c>
      <c r="N435" s="475">
        <f t="shared" si="31"/>
        <v>64285</v>
      </c>
    </row>
    <row r="436" spans="7:14" ht="11.25" customHeight="1" x14ac:dyDescent="0.3">
      <c r="G436" s="470">
        <f t="shared" si="45"/>
        <v>36</v>
      </c>
      <c r="H436" s="470">
        <v>429</v>
      </c>
      <c r="I436" s="455">
        <f t="shared" ca="1" si="29"/>
        <v>5274306.3700767141</v>
      </c>
      <c r="J436" s="455">
        <f t="array" ref="J436">IFERROR(INDEX('Retirement Calculator'!K:K,MATCH('Lorri 401b'!N436,'Retirement Calculator'!A:A,0),0),0)</f>
        <v>16520.094745597391</v>
      </c>
      <c r="K436" s="455">
        <f t="shared" ca="1" si="27"/>
        <v>21907.44281387965</v>
      </c>
      <c r="L436" s="455">
        <f t="shared" ca="1" si="28"/>
        <v>5279693.7181449961</v>
      </c>
      <c r="M436" s="471">
        <f t="shared" si="30"/>
        <v>0.05</v>
      </c>
      <c r="N436" s="475">
        <f t="shared" si="31"/>
        <v>64316</v>
      </c>
    </row>
    <row r="437" spans="7:14" ht="11.25" customHeight="1" x14ac:dyDescent="0.3">
      <c r="G437" s="470">
        <f t="shared" si="45"/>
        <v>36</v>
      </c>
      <c r="H437" s="470">
        <v>430</v>
      </c>
      <c r="I437" s="455">
        <f t="shared" ca="1" si="29"/>
        <v>5279693.7181449961</v>
      </c>
      <c r="J437" s="455">
        <f t="array" ref="J437">IFERROR(INDEX('Retirement Calculator'!K:K,MATCH('Lorri 401b'!N437,'Retirement Calculator'!A:A,0),0),0)</f>
        <v>16520.094745597391</v>
      </c>
      <c r="K437" s="455">
        <f t="shared" ca="1" si="27"/>
        <v>21929.890097497493</v>
      </c>
      <c r="L437" s="455">
        <f t="shared" ca="1" si="28"/>
        <v>5285103.5134968953</v>
      </c>
      <c r="M437" s="471">
        <f t="shared" si="30"/>
        <v>0.05</v>
      </c>
      <c r="N437" s="475">
        <f t="shared" si="31"/>
        <v>64345</v>
      </c>
    </row>
    <row r="438" spans="7:14" ht="11.25" customHeight="1" x14ac:dyDescent="0.3">
      <c r="G438" s="470">
        <f t="shared" si="45"/>
        <v>36</v>
      </c>
      <c r="H438" s="470">
        <v>431</v>
      </c>
      <c r="I438" s="455">
        <f t="shared" ca="1" si="29"/>
        <v>5285103.5134968953</v>
      </c>
      <c r="J438" s="455">
        <f t="array" ref="J438">IFERROR(INDEX('Retirement Calculator'!K:K,MATCH('Lorri 401b'!N438,'Retirement Calculator'!A:A,0),0),0)</f>
        <v>16520.094745597391</v>
      </c>
      <c r="K438" s="455">
        <f t="shared" ca="1" si="27"/>
        <v>21952.43091146374</v>
      </c>
      <c r="L438" s="455">
        <f t="shared" ca="1" si="28"/>
        <v>5290535.8496627612</v>
      </c>
      <c r="M438" s="471">
        <f t="shared" si="30"/>
        <v>0.05</v>
      </c>
      <c r="N438" s="475">
        <f t="shared" si="31"/>
        <v>64376</v>
      </c>
    </row>
    <row r="439" spans="7:14" ht="11.25" customHeight="1" x14ac:dyDescent="0.3">
      <c r="G439" s="470">
        <f t="shared" si="45"/>
        <v>36</v>
      </c>
      <c r="H439" s="470">
        <v>432</v>
      </c>
      <c r="I439" s="455">
        <f t="shared" ca="1" si="29"/>
        <v>5290535.8496627612</v>
      </c>
      <c r="J439" s="455">
        <f t="array" ref="J439">IFERROR(INDEX('Retirement Calculator'!K:K,MATCH('Lorri 401b'!N439,'Retirement Calculator'!A:A,0),0),0)</f>
        <v>16520.094745597391</v>
      </c>
      <c r="K439" s="455">
        <f t="shared" ca="1" si="27"/>
        <v>21975.065645488179</v>
      </c>
      <c r="L439" s="455">
        <f t="shared" ca="1" si="28"/>
        <v>5295990.8205626514</v>
      </c>
      <c r="M439" s="471">
        <f t="shared" si="30"/>
        <v>0.05</v>
      </c>
      <c r="N439" s="475">
        <f t="shared" si="31"/>
        <v>64406</v>
      </c>
    </row>
    <row r="440" spans="7:14" ht="11.25" customHeight="1" x14ac:dyDescent="0.3">
      <c r="G440" s="470">
        <f>G439+1</f>
        <v>37</v>
      </c>
      <c r="H440" s="470">
        <v>433</v>
      </c>
      <c r="I440" s="455">
        <f t="shared" ca="1" si="29"/>
        <v>5295990.8205626514</v>
      </c>
      <c r="J440" s="455">
        <f t="array" ref="J440">IFERROR(INDEX('Retirement Calculator'!K:K,MATCH('Lorri 401b'!N440,'Retirement Calculator'!A:A,0),0),0)</f>
        <v>16520.094745597391</v>
      </c>
      <c r="K440" s="455">
        <f t="shared" ca="1" si="27"/>
        <v>21997.794690904389</v>
      </c>
      <c r="L440" s="455">
        <f t="shared" ca="1" si="28"/>
        <v>5301468.5205079578</v>
      </c>
      <c r="M440" s="471">
        <f t="shared" si="30"/>
        <v>0.05</v>
      </c>
      <c r="N440" s="475">
        <f t="shared" si="31"/>
        <v>64437</v>
      </c>
    </row>
    <row r="441" spans="7:14" ht="11.25" customHeight="1" x14ac:dyDescent="0.3">
      <c r="G441" s="470">
        <f t="shared" ref="G441:G451" si="46">G440</f>
        <v>37</v>
      </c>
      <c r="H441" s="470">
        <v>434</v>
      </c>
      <c r="I441" s="455">
        <f t="shared" ca="1" si="29"/>
        <v>5301468.5205079578</v>
      </c>
      <c r="J441" s="455">
        <f t="array" ref="J441">IFERROR(INDEX('Retirement Calculator'!K:K,MATCH('Lorri 401b'!N441,'Retirement Calculator'!A:A,0),0),0)</f>
        <v>16520.094745597391</v>
      </c>
      <c r="K441" s="455">
        <f t="shared" ca="1" si="27"/>
        <v>22020.618440676499</v>
      </c>
      <c r="L441" s="455">
        <f t="shared" ca="1" si="28"/>
        <v>5306969.0442030365</v>
      </c>
      <c r="M441" s="471">
        <f t="shared" si="30"/>
        <v>0.05</v>
      </c>
      <c r="N441" s="475">
        <f t="shared" si="31"/>
        <v>64467</v>
      </c>
    </row>
    <row r="442" spans="7:14" ht="11.25" customHeight="1" x14ac:dyDescent="0.3">
      <c r="G442" s="470">
        <f t="shared" si="46"/>
        <v>37</v>
      </c>
      <c r="H442" s="470">
        <v>435</v>
      </c>
      <c r="I442" s="455">
        <f t="shared" ca="1" si="29"/>
        <v>5306969.0442030365</v>
      </c>
      <c r="J442" s="455">
        <f t="array" ref="J442">IFERROR(INDEX('Retirement Calculator'!K:K,MATCH('Lorri 401b'!N442,'Retirement Calculator'!A:A,0),0),0)</f>
        <v>16520.094745597391</v>
      </c>
      <c r="K442" s="455">
        <f t="shared" ca="1" si="27"/>
        <v>22043.537289405995</v>
      </c>
      <c r="L442" s="455">
        <f t="shared" ca="1" si="28"/>
        <v>5312492.4867468448</v>
      </c>
      <c r="M442" s="471">
        <f t="shared" si="30"/>
        <v>0.05</v>
      </c>
      <c r="N442" s="475">
        <f t="shared" si="31"/>
        <v>64498</v>
      </c>
    </row>
    <row r="443" spans="7:14" ht="11.25" customHeight="1" x14ac:dyDescent="0.3">
      <c r="G443" s="470">
        <f t="shared" si="46"/>
        <v>37</v>
      </c>
      <c r="H443" s="470">
        <v>436</v>
      </c>
      <c r="I443" s="455">
        <f t="shared" ca="1" si="29"/>
        <v>5312492.4867468448</v>
      </c>
      <c r="J443" s="455">
        <f t="array" ref="J443">IFERROR(INDEX('Retirement Calculator'!K:K,MATCH('Lorri 401b'!N443,'Retirement Calculator'!A:A,0),0),0)</f>
        <v>16520.094745597391</v>
      </c>
      <c r="K443" s="455">
        <f t="shared" ca="1" si="27"/>
        <v>22066.551633338528</v>
      </c>
      <c r="L443" s="455">
        <f t="shared" ca="1" si="28"/>
        <v>5318038.9436345855</v>
      </c>
      <c r="M443" s="471">
        <f t="shared" si="30"/>
        <v>0.05</v>
      </c>
      <c r="N443" s="475">
        <f t="shared" si="31"/>
        <v>64529</v>
      </c>
    </row>
    <row r="444" spans="7:14" ht="11.25" customHeight="1" x14ac:dyDescent="0.3">
      <c r="G444" s="470">
        <f t="shared" si="46"/>
        <v>37</v>
      </c>
      <c r="H444" s="470">
        <v>437</v>
      </c>
      <c r="I444" s="455">
        <f t="shared" ca="1" si="29"/>
        <v>5318038.9436345855</v>
      </c>
      <c r="J444" s="455">
        <f t="array" ref="J444">IFERROR(INDEX('Retirement Calculator'!K:K,MATCH('Lorri 401b'!N444,'Retirement Calculator'!A:A,0),0),0)</f>
        <v>16520.094745597391</v>
      </c>
      <c r="K444" s="455">
        <f t="shared" ca="1" si="27"/>
        <v>22089.661870370783</v>
      </c>
      <c r="L444" s="455">
        <f t="shared" ca="1" si="28"/>
        <v>5323608.5107593583</v>
      </c>
      <c r="M444" s="471">
        <f t="shared" si="30"/>
        <v>0.05</v>
      </c>
      <c r="N444" s="475">
        <f t="shared" si="31"/>
        <v>64559</v>
      </c>
    </row>
    <row r="445" spans="7:14" ht="11.25" customHeight="1" x14ac:dyDescent="0.3">
      <c r="G445" s="470">
        <f t="shared" si="46"/>
        <v>37</v>
      </c>
      <c r="H445" s="470">
        <v>438</v>
      </c>
      <c r="I445" s="455">
        <f t="shared" ca="1" si="29"/>
        <v>5323608.5107593583</v>
      </c>
      <c r="J445" s="455">
        <f t="array" ref="J445">IFERROR(INDEX('Retirement Calculator'!K:K,MATCH('Lorri 401b'!N445,'Retirement Calculator'!A:A,0),0),0)</f>
        <v>16520.094745597391</v>
      </c>
      <c r="K445" s="455">
        <f t="shared" ca="1" si="27"/>
        <v>22112.868400057334</v>
      </c>
      <c r="L445" s="455">
        <f t="shared" ca="1" si="28"/>
        <v>5329201.2844138183</v>
      </c>
      <c r="M445" s="471">
        <f t="shared" si="30"/>
        <v>0.05</v>
      </c>
      <c r="N445" s="475">
        <f t="shared" si="31"/>
        <v>64590</v>
      </c>
    </row>
    <row r="446" spans="7:14" ht="11.25" customHeight="1" x14ac:dyDescent="0.3">
      <c r="G446" s="470">
        <f t="shared" si="46"/>
        <v>37</v>
      </c>
      <c r="H446" s="470">
        <v>439</v>
      </c>
      <c r="I446" s="455">
        <f t="shared" ca="1" si="29"/>
        <v>5329201.2844138183</v>
      </c>
      <c r="J446" s="455">
        <f t="array" ref="J446">IFERROR(INDEX('Retirement Calculator'!K:K,MATCH('Lorri 401b'!N446,'Retirement Calculator'!A:A,0),0),0)</f>
        <v>16520.094745597391</v>
      </c>
      <c r="K446" s="455">
        <f t="shared" ca="1" si="27"/>
        <v>22136.171623617585</v>
      </c>
      <c r="L446" s="455">
        <f t="shared" ca="1" si="28"/>
        <v>5334817.3612918379</v>
      </c>
      <c r="M446" s="471">
        <f t="shared" si="30"/>
        <v>0.05</v>
      </c>
      <c r="N446" s="475">
        <f t="shared" si="31"/>
        <v>64620</v>
      </c>
    </row>
    <row r="447" spans="7:14" ht="11.25" customHeight="1" x14ac:dyDescent="0.3">
      <c r="G447" s="470">
        <f t="shared" si="46"/>
        <v>37</v>
      </c>
      <c r="H447" s="470">
        <v>440</v>
      </c>
      <c r="I447" s="455">
        <f t="shared" ca="1" si="29"/>
        <v>5334817.3612918379</v>
      </c>
      <c r="J447" s="455">
        <f t="array" ref="J447">IFERROR(INDEX('Retirement Calculator'!K:K,MATCH('Lorri 401b'!N447,'Retirement Calculator'!A:A,0),0),0)</f>
        <v>16520.094745597391</v>
      </c>
      <c r="K447" s="455">
        <f t="shared" ca="1" si="27"/>
        <v>22159.571943942668</v>
      </c>
      <c r="L447" s="455">
        <f t="shared" ca="1" si="28"/>
        <v>5340456.8384901825</v>
      </c>
      <c r="M447" s="471">
        <f t="shared" si="30"/>
        <v>0.05</v>
      </c>
      <c r="N447" s="475">
        <f t="shared" si="31"/>
        <v>64651</v>
      </c>
    </row>
    <row r="448" spans="7:14" ht="11.25" customHeight="1" x14ac:dyDescent="0.3">
      <c r="G448" s="470">
        <f t="shared" si="46"/>
        <v>37</v>
      </c>
      <c r="H448" s="470">
        <v>441</v>
      </c>
      <c r="I448" s="455">
        <f t="shared" ca="1" si="29"/>
        <v>5340456.8384901825</v>
      </c>
      <c r="J448" s="455">
        <f t="array" ref="J448">IFERROR(INDEX('Retirement Calculator'!K:K,MATCH('Lorri 401b'!N448,'Retirement Calculator'!A:A,0),0),0)</f>
        <v>16520.094745597391</v>
      </c>
      <c r="K448" s="455">
        <f t="shared" ca="1" si="27"/>
        <v>22183.069765602435</v>
      </c>
      <c r="L448" s="455">
        <f t="shared" ca="1" si="28"/>
        <v>5346119.813510187</v>
      </c>
      <c r="M448" s="471">
        <f t="shared" si="30"/>
        <v>0.05</v>
      </c>
      <c r="N448" s="475">
        <f t="shared" si="31"/>
        <v>64682</v>
      </c>
    </row>
    <row r="449" spans="7:14" ht="11.25" customHeight="1" x14ac:dyDescent="0.3">
      <c r="G449" s="470">
        <f t="shared" si="46"/>
        <v>37</v>
      </c>
      <c r="H449" s="470">
        <v>442</v>
      </c>
      <c r="I449" s="455">
        <f t="shared" ca="1" si="29"/>
        <v>5346119.813510187</v>
      </c>
      <c r="J449" s="455">
        <f t="array" ref="J449">IFERROR(INDEX('Retirement Calculator'!K:K,MATCH('Lorri 401b'!N449,'Retirement Calculator'!A:A,0),0),0)</f>
        <v>16520.094745597391</v>
      </c>
      <c r="K449" s="455">
        <f t="shared" ca="1" si="27"/>
        <v>22206.665494852456</v>
      </c>
      <c r="L449" s="455">
        <f t="shared" ca="1" si="28"/>
        <v>5351806.3842594419</v>
      </c>
      <c r="M449" s="471">
        <f t="shared" si="30"/>
        <v>0.05</v>
      </c>
      <c r="N449" s="475">
        <f t="shared" si="31"/>
        <v>64710</v>
      </c>
    </row>
    <row r="450" spans="7:14" ht="11.25" customHeight="1" x14ac:dyDescent="0.3">
      <c r="G450" s="470">
        <f t="shared" si="46"/>
        <v>37</v>
      </c>
      <c r="H450" s="470">
        <v>443</v>
      </c>
      <c r="I450" s="455">
        <f t="shared" ca="1" si="29"/>
        <v>5351806.3842594419</v>
      </c>
      <c r="J450" s="455">
        <f t="array" ref="J450">IFERROR(INDEX('Retirement Calculator'!K:K,MATCH('Lorri 401b'!N450,'Retirement Calculator'!A:A,0),0),0)</f>
        <v>16520.094745597391</v>
      </c>
      <c r="K450" s="455">
        <f t="shared" ca="1" si="27"/>
        <v>22230.359539641016</v>
      </c>
      <c r="L450" s="455">
        <f t="shared" ca="1" si="28"/>
        <v>5357516.6490534851</v>
      </c>
      <c r="M450" s="471">
        <f t="shared" si="30"/>
        <v>0.05</v>
      </c>
      <c r="N450" s="475">
        <f t="shared" si="31"/>
        <v>64741</v>
      </c>
    </row>
    <row r="451" spans="7:14" ht="11.25" customHeight="1" x14ac:dyDescent="0.3">
      <c r="G451" s="470">
        <f t="shared" si="46"/>
        <v>37</v>
      </c>
      <c r="H451" s="470">
        <v>444</v>
      </c>
      <c r="I451" s="455">
        <f t="shared" ca="1" si="29"/>
        <v>5357516.6490534851</v>
      </c>
      <c r="J451" s="455">
        <f t="array" ref="J451">IFERROR(INDEX('Retirement Calculator'!K:K,MATCH('Lorri 401b'!N451,'Retirement Calculator'!A:A,0),0),0)</f>
        <v>16520.094745597391</v>
      </c>
      <c r="K451" s="455">
        <f t="shared" ca="1" si="27"/>
        <v>22254.152309616198</v>
      </c>
      <c r="L451" s="455">
        <f t="shared" ca="1" si="28"/>
        <v>5363250.7066175034</v>
      </c>
      <c r="M451" s="471">
        <f t="shared" si="30"/>
        <v>0.05</v>
      </c>
      <c r="N451" s="475">
        <f t="shared" si="31"/>
        <v>64771</v>
      </c>
    </row>
    <row r="452" spans="7:14" ht="11.25" customHeight="1" x14ac:dyDescent="0.3">
      <c r="G452" s="470">
        <f>G451+1</f>
        <v>38</v>
      </c>
      <c r="H452" s="470">
        <v>445</v>
      </c>
      <c r="I452" s="455">
        <f t="shared" ca="1" si="29"/>
        <v>5363250.7066175034</v>
      </c>
      <c r="J452" s="455">
        <f t="array" ref="J452">IFERROR(INDEX('Retirement Calculator'!K:K,MATCH('Lorri 401b'!N452,'Retirement Calculator'!A:A,0),0),0)</f>
        <v>16520.094745597391</v>
      </c>
      <c r="K452" s="455">
        <f t="shared" ca="1" si="27"/>
        <v>22278.044216132941</v>
      </c>
      <c r="L452" s="455">
        <f t="shared" ca="1" si="28"/>
        <v>5369008.6560880383</v>
      </c>
      <c r="M452" s="471">
        <f t="shared" si="30"/>
        <v>0.05</v>
      </c>
      <c r="N452" s="475">
        <f t="shared" si="31"/>
        <v>64802</v>
      </c>
    </row>
    <row r="453" spans="7:14" ht="11.25" customHeight="1" x14ac:dyDescent="0.3">
      <c r="G453" s="470">
        <f t="shared" ref="G453:G463" si="47">G452</f>
        <v>38</v>
      </c>
      <c r="H453" s="470">
        <v>446</v>
      </c>
      <c r="I453" s="455">
        <f t="shared" ca="1" si="29"/>
        <v>5369008.6560880383</v>
      </c>
      <c r="J453" s="455">
        <f t="array" ref="J453">IFERROR(INDEX('Retirement Calculator'!K:K,MATCH('Lorri 401b'!N453,'Retirement Calculator'!A:A,0),0),0)</f>
        <v>16520.094745597391</v>
      </c>
      <c r="K453" s="455">
        <f t="shared" ca="1" si="27"/>
        <v>22302.035672260168</v>
      </c>
      <c r="L453" s="455">
        <f t="shared" ca="1" si="28"/>
        <v>5374790.597014701</v>
      </c>
      <c r="M453" s="471">
        <f t="shared" si="30"/>
        <v>0.05</v>
      </c>
      <c r="N453" s="475">
        <f t="shared" si="31"/>
        <v>64832</v>
      </c>
    </row>
    <row r="454" spans="7:14" ht="11.25" customHeight="1" x14ac:dyDescent="0.3">
      <c r="G454" s="470">
        <f t="shared" si="47"/>
        <v>38</v>
      </c>
      <c r="H454" s="470">
        <v>447</v>
      </c>
      <c r="I454" s="455">
        <f t="shared" ca="1" si="29"/>
        <v>5374790.597014701</v>
      </c>
      <c r="J454" s="455">
        <f t="array" ref="J454">IFERROR(INDEX('Retirement Calculator'!K:K,MATCH('Lorri 401b'!N454,'Retirement Calculator'!A:A,0),0),0)</f>
        <v>16520.094745597391</v>
      </c>
      <c r="K454" s="455">
        <f t="shared" ca="1" si="27"/>
        <v>22326.12709278793</v>
      </c>
      <c r="L454" s="455">
        <f t="shared" ca="1" si="28"/>
        <v>5380596.6293618912</v>
      </c>
      <c r="M454" s="471">
        <f t="shared" si="30"/>
        <v>0.05</v>
      </c>
      <c r="N454" s="475">
        <f t="shared" si="31"/>
        <v>64863</v>
      </c>
    </row>
    <row r="455" spans="7:14" ht="11.25" customHeight="1" x14ac:dyDescent="0.3">
      <c r="G455" s="470">
        <f t="shared" si="47"/>
        <v>38</v>
      </c>
      <c r="H455" s="470">
        <v>448</v>
      </c>
      <c r="I455" s="455">
        <f t="shared" ca="1" si="29"/>
        <v>5380596.6293618912</v>
      </c>
      <c r="J455" s="455">
        <f t="array" ref="J455">IFERROR(INDEX('Retirement Calculator'!K:K,MATCH('Lorri 401b'!N455,'Retirement Calculator'!A:A,0),0),0)</f>
        <v>16520.094745597391</v>
      </c>
      <c r="K455" s="455">
        <f t="shared" ca="1" si="27"/>
        <v>22350.318894234555</v>
      </c>
      <c r="L455" s="455">
        <f t="shared" ca="1" si="28"/>
        <v>5386426.8535105279</v>
      </c>
      <c r="M455" s="471">
        <f t="shared" si="30"/>
        <v>0.05</v>
      </c>
      <c r="N455" s="475">
        <f t="shared" si="31"/>
        <v>64894</v>
      </c>
    </row>
    <row r="456" spans="7:14" ht="11.25" customHeight="1" x14ac:dyDescent="0.3">
      <c r="G456" s="470">
        <f t="shared" si="47"/>
        <v>38</v>
      </c>
      <c r="H456" s="470">
        <v>449</v>
      </c>
      <c r="I456" s="455">
        <f t="shared" ca="1" si="29"/>
        <v>5386426.8535105279</v>
      </c>
      <c r="J456" s="455">
        <f t="array" ref="J456">IFERROR(INDEX('Retirement Calculator'!K:K,MATCH('Lorri 401b'!N456,'Retirement Calculator'!A:A,0),0),0)</f>
        <v>16520.094745597391</v>
      </c>
      <c r="K456" s="455">
        <f t="shared" ca="1" si="27"/>
        <v>22374.611494853874</v>
      </c>
      <c r="L456" s="455">
        <f t="shared" ca="1" si="28"/>
        <v>5392281.3702597842</v>
      </c>
      <c r="M456" s="471">
        <f t="shared" si="30"/>
        <v>0.05</v>
      </c>
      <c r="N456" s="475">
        <f t="shared" si="31"/>
        <v>64924</v>
      </c>
    </row>
    <row r="457" spans="7:14" ht="11.25" customHeight="1" x14ac:dyDescent="0.3">
      <c r="G457" s="470">
        <f t="shared" si="47"/>
        <v>38</v>
      </c>
      <c r="H457" s="470">
        <v>450</v>
      </c>
      <c r="I457" s="455">
        <f t="shared" ca="1" si="29"/>
        <v>5392281.3702597842</v>
      </c>
      <c r="J457" s="455">
        <f t="array" ref="J457">IFERROR(INDEX('Retirement Calculator'!K:K,MATCH('Lorri 401b'!N457,'Retirement Calculator'!A:A,0),0),0)</f>
        <v>16520.094745597391</v>
      </c>
      <c r="K457" s="455">
        <f t="shared" ca="1" si="27"/>
        <v>22399.005314642443</v>
      </c>
      <c r="L457" s="455">
        <f t="shared" ca="1" si="28"/>
        <v>5398160.2808288289</v>
      </c>
      <c r="M457" s="471">
        <f t="shared" si="30"/>
        <v>0.05</v>
      </c>
      <c r="N457" s="475">
        <f t="shared" si="31"/>
        <v>64955</v>
      </c>
    </row>
    <row r="458" spans="7:14" ht="11.25" customHeight="1" x14ac:dyDescent="0.3">
      <c r="G458" s="470">
        <f t="shared" si="47"/>
        <v>38</v>
      </c>
      <c r="H458" s="470">
        <v>451</v>
      </c>
      <c r="I458" s="455">
        <f t="shared" ca="1" si="29"/>
        <v>5398160.2808288289</v>
      </c>
      <c r="J458" s="455">
        <f t="array" ref="J458">IFERROR(INDEX('Retirement Calculator'!K:K,MATCH('Lorri 401b'!N458,'Retirement Calculator'!A:A,0),0),0)</f>
        <v>16520.094745597391</v>
      </c>
      <c r="K458" s="455">
        <f t="shared" ca="1" si="27"/>
        <v>22423.500775346794</v>
      </c>
      <c r="L458" s="455">
        <f t="shared" ca="1" si="28"/>
        <v>5404063.6868585777</v>
      </c>
      <c r="M458" s="471">
        <f t="shared" si="30"/>
        <v>0.05</v>
      </c>
      <c r="N458" s="475">
        <f t="shared" si="31"/>
        <v>64985</v>
      </c>
    </row>
    <row r="459" spans="7:14" ht="11.25" customHeight="1" x14ac:dyDescent="0.3">
      <c r="G459" s="470">
        <f t="shared" si="47"/>
        <v>38</v>
      </c>
      <c r="H459" s="470">
        <v>452</v>
      </c>
      <c r="I459" s="455">
        <f t="shared" ca="1" si="29"/>
        <v>5404063.6868585777</v>
      </c>
      <c r="J459" s="455">
        <f t="array" ref="J459">IFERROR(INDEX('Retirement Calculator'!K:K,MATCH('Lorri 401b'!N459,'Retirement Calculator'!A:A,0),0),0)</f>
        <v>16520.094745597391</v>
      </c>
      <c r="K459" s="455">
        <f t="shared" ca="1" si="27"/>
        <v>22448.098300470749</v>
      </c>
      <c r="L459" s="455">
        <f t="shared" ca="1" si="28"/>
        <v>5409991.6904134508</v>
      </c>
      <c r="M459" s="471">
        <f t="shared" si="30"/>
        <v>0.05</v>
      </c>
      <c r="N459" s="475">
        <f t="shared" si="31"/>
        <v>65016</v>
      </c>
    </row>
    <row r="460" spans="7:14" ht="11.25" customHeight="1" x14ac:dyDescent="0.3">
      <c r="G460" s="470">
        <f t="shared" si="47"/>
        <v>38</v>
      </c>
      <c r="H460" s="470">
        <v>453</v>
      </c>
      <c r="I460" s="455">
        <f t="shared" ca="1" si="29"/>
        <v>5409991.6904134508</v>
      </c>
      <c r="J460" s="455">
        <f t="array" ref="J460">IFERROR(INDEX('Retirement Calculator'!K:K,MATCH('Lorri 401b'!N460,'Retirement Calculator'!A:A,0),0),0)</f>
        <v>16520.094745597391</v>
      </c>
      <c r="K460" s="455">
        <f t="shared" ca="1" si="27"/>
        <v>22472.798315282722</v>
      </c>
      <c r="L460" s="455">
        <f t="shared" ca="1" si="28"/>
        <v>5415944.3939831359</v>
      </c>
      <c r="M460" s="471">
        <f t="shared" si="30"/>
        <v>0.05</v>
      </c>
      <c r="N460" s="475">
        <f t="shared" si="31"/>
        <v>65047</v>
      </c>
    </row>
    <row r="461" spans="7:14" ht="11.25" customHeight="1" x14ac:dyDescent="0.3">
      <c r="G461" s="470">
        <f t="shared" si="47"/>
        <v>38</v>
      </c>
      <c r="H461" s="470">
        <v>454</v>
      </c>
      <c r="I461" s="455">
        <f t="shared" ca="1" si="29"/>
        <v>5415944.3939831359</v>
      </c>
      <c r="J461" s="455">
        <f t="array" ref="J461">IFERROR(INDEX('Retirement Calculator'!K:K,MATCH('Lorri 401b'!N461,'Retirement Calculator'!A:A,0),0),0)</f>
        <v>16520.094745597391</v>
      </c>
      <c r="K461" s="455">
        <f t="shared" ca="1" si="27"/>
        <v>22497.601246823077</v>
      </c>
      <c r="L461" s="455">
        <f t="shared" ca="1" si="28"/>
        <v>5421921.9004843608</v>
      </c>
      <c r="M461" s="471">
        <f t="shared" si="30"/>
        <v>0.05</v>
      </c>
      <c r="N461" s="475">
        <f t="shared" si="31"/>
        <v>65075</v>
      </c>
    </row>
    <row r="462" spans="7:14" ht="11.25" customHeight="1" x14ac:dyDescent="0.3">
      <c r="G462" s="470">
        <f t="shared" si="47"/>
        <v>38</v>
      </c>
      <c r="H462" s="470">
        <v>455</v>
      </c>
      <c r="I462" s="455">
        <f t="shared" ca="1" si="29"/>
        <v>5421921.9004843608</v>
      </c>
      <c r="J462" s="455">
        <f t="array" ref="J462">IFERROR(INDEX('Retirement Calculator'!K:K,MATCH('Lorri 401b'!N462,'Retirement Calculator'!A:A,0),0),0)</f>
        <v>16520.094745597391</v>
      </c>
      <c r="K462" s="455">
        <f t="shared" ca="1" si="27"/>
        <v>22522.50752391151</v>
      </c>
      <c r="L462" s="455">
        <f t="shared" ca="1" si="28"/>
        <v>5427924.313262674</v>
      </c>
      <c r="M462" s="471">
        <f t="shared" si="30"/>
        <v>0.05</v>
      </c>
      <c r="N462" s="475">
        <f t="shared" si="31"/>
        <v>65106</v>
      </c>
    </row>
    <row r="463" spans="7:14" ht="11.25" customHeight="1" x14ac:dyDescent="0.3">
      <c r="G463" s="470">
        <f t="shared" si="47"/>
        <v>38</v>
      </c>
      <c r="H463" s="470">
        <v>456</v>
      </c>
      <c r="I463" s="455">
        <f t="shared" ca="1" si="29"/>
        <v>5427924.313262674</v>
      </c>
      <c r="J463" s="455">
        <f t="array" ref="J463">IFERROR(INDEX('Retirement Calculator'!K:K,MATCH('Lorri 401b'!N463,'Retirement Calculator'!A:A,0),0),0)</f>
        <v>16520.094745597391</v>
      </c>
      <c r="K463" s="455">
        <f t="shared" ca="1" si="27"/>
        <v>22547.517577154485</v>
      </c>
      <c r="L463" s="455">
        <f t="shared" ca="1" si="28"/>
        <v>5433951.7360942308</v>
      </c>
      <c r="M463" s="471">
        <f t="shared" si="30"/>
        <v>0.05</v>
      </c>
      <c r="N463" s="475">
        <f t="shared" si="31"/>
        <v>65136</v>
      </c>
    </row>
    <row r="464" spans="7:14" ht="11.25" customHeight="1" x14ac:dyDescent="0.3">
      <c r="G464" s="470">
        <f>G463+1</f>
        <v>39</v>
      </c>
      <c r="H464" s="470">
        <v>457</v>
      </c>
      <c r="I464" s="455">
        <f t="shared" ca="1" si="29"/>
        <v>5433951.7360942308</v>
      </c>
      <c r="J464" s="455">
        <f t="array" ref="J464">IFERROR(INDEX('Retirement Calculator'!K:K,MATCH('Lorri 401b'!N464,'Retirement Calculator'!A:A,0),0),0)</f>
        <v>16520.094745597391</v>
      </c>
      <c r="K464" s="455">
        <f t="shared" ca="1" si="27"/>
        <v>22572.631838952639</v>
      </c>
      <c r="L464" s="455">
        <f t="shared" ca="1" si="28"/>
        <v>5440004.2731875852</v>
      </c>
      <c r="M464" s="471">
        <f t="shared" si="30"/>
        <v>0.05</v>
      </c>
      <c r="N464" s="475">
        <f t="shared" si="31"/>
        <v>65167</v>
      </c>
    </row>
    <row r="465" spans="7:14" ht="11.25" customHeight="1" x14ac:dyDescent="0.3">
      <c r="G465" s="470">
        <f t="shared" ref="G465:G475" si="48">G464</f>
        <v>39</v>
      </c>
      <c r="H465" s="470">
        <v>458</v>
      </c>
      <c r="I465" s="455">
        <f t="shared" ca="1" si="29"/>
        <v>5440004.2731875852</v>
      </c>
      <c r="J465" s="455">
        <f t="array" ref="J465">IFERROR(INDEX('Retirement Calculator'!K:K,MATCH('Lorri 401b'!N465,'Retirement Calculator'!A:A,0),0),0)</f>
        <v>16520.094745597391</v>
      </c>
      <c r="K465" s="455">
        <f t="shared" ca="1" si="27"/>
        <v>22597.850743508279</v>
      </c>
      <c r="L465" s="455">
        <f t="shared" ca="1" si="28"/>
        <v>5446082.0291854953</v>
      </c>
      <c r="M465" s="471">
        <f t="shared" si="30"/>
        <v>0.05</v>
      </c>
      <c r="N465" s="475">
        <f t="shared" si="31"/>
        <v>65197</v>
      </c>
    </row>
    <row r="466" spans="7:14" ht="11.25" customHeight="1" x14ac:dyDescent="0.3">
      <c r="G466" s="470">
        <f t="shared" si="48"/>
        <v>39</v>
      </c>
      <c r="H466" s="470">
        <v>459</v>
      </c>
      <c r="I466" s="455">
        <f t="shared" ca="1" si="29"/>
        <v>5446082.0291854953</v>
      </c>
      <c r="J466" s="455">
        <f t="array" ref="J466">IFERROR(INDEX('Retirement Calculator'!K:K,MATCH('Lorri 401b'!N466,'Retirement Calculator'!A:A,0),0),0)</f>
        <v>16520.094745597391</v>
      </c>
      <c r="K466" s="455">
        <f t="shared" ca="1" si="27"/>
        <v>22623.174726832905</v>
      </c>
      <c r="L466" s="455">
        <f t="shared" ca="1" si="28"/>
        <v>5452185.1091667302</v>
      </c>
      <c r="M466" s="471">
        <f t="shared" si="30"/>
        <v>0.05</v>
      </c>
      <c r="N466" s="475">
        <f t="shared" si="31"/>
        <v>65228</v>
      </c>
    </row>
    <row r="467" spans="7:14" ht="11.25" customHeight="1" x14ac:dyDescent="0.3">
      <c r="G467" s="470">
        <f t="shared" si="48"/>
        <v>39</v>
      </c>
      <c r="H467" s="470">
        <v>460</v>
      </c>
      <c r="I467" s="455">
        <f t="shared" ca="1" si="29"/>
        <v>5452185.1091667302</v>
      </c>
      <c r="J467" s="455">
        <f t="array" ref="J467">IFERROR(INDEX('Retirement Calculator'!K:K,MATCH('Lorri 401b'!N467,'Retirement Calculator'!A:A,0),0),0)</f>
        <v>16520.094745597391</v>
      </c>
      <c r="K467" s="455">
        <f t="shared" ca="1" si="27"/>
        <v>22648.604226754716</v>
      </c>
      <c r="L467" s="455">
        <f t="shared" ca="1" si="28"/>
        <v>5458313.6186478874</v>
      </c>
      <c r="M467" s="471">
        <f t="shared" si="30"/>
        <v>0.05</v>
      </c>
      <c r="N467" s="475">
        <f t="shared" si="31"/>
        <v>65259</v>
      </c>
    </row>
    <row r="468" spans="7:14" ht="11.25" customHeight="1" x14ac:dyDescent="0.3">
      <c r="G468" s="470">
        <f t="shared" si="48"/>
        <v>39</v>
      </c>
      <c r="H468" s="470">
        <v>461</v>
      </c>
      <c r="I468" s="455">
        <f t="shared" ca="1" si="29"/>
        <v>5458313.6186478874</v>
      </c>
      <c r="J468" s="455">
        <f t="array" ref="J468">IFERROR(INDEX('Retirement Calculator'!K:K,MATCH('Lorri 401b'!N468,'Retirement Calculator'!A:A,0),0),0)</f>
        <v>16520.094745597391</v>
      </c>
      <c r="K468" s="455">
        <f t="shared" ca="1" si="27"/>
        <v>22674.139682926205</v>
      </c>
      <c r="L468" s="455">
        <f t="shared" ca="1" si="28"/>
        <v>5464467.6635852158</v>
      </c>
      <c r="M468" s="471">
        <f t="shared" si="30"/>
        <v>0.05</v>
      </c>
      <c r="N468" s="475">
        <f t="shared" si="31"/>
        <v>65289</v>
      </c>
    </row>
    <row r="469" spans="7:14" ht="11.25" customHeight="1" x14ac:dyDescent="0.3">
      <c r="G469" s="470">
        <f t="shared" si="48"/>
        <v>39</v>
      </c>
      <c r="H469" s="470">
        <v>462</v>
      </c>
      <c r="I469" s="455">
        <f t="shared" ca="1" si="29"/>
        <v>5464467.6635852158</v>
      </c>
      <c r="J469" s="455">
        <f t="array" ref="J469">IFERROR(INDEX('Retirement Calculator'!K:K,MATCH('Lorri 401b'!N469,'Retirement Calculator'!A:A,0),0),0)</f>
        <v>16520.094745597391</v>
      </c>
      <c r="K469" s="455">
        <f t="shared" ca="1" si="27"/>
        <v>22699.781536831742</v>
      </c>
      <c r="L469" s="455">
        <f t="shared" ca="1" si="28"/>
        <v>5470647.3503764495</v>
      </c>
      <c r="M469" s="471">
        <f t="shared" si="30"/>
        <v>0.05</v>
      </c>
      <c r="N469" s="475">
        <f t="shared" si="31"/>
        <v>65320</v>
      </c>
    </row>
    <row r="470" spans="7:14" ht="11.25" customHeight="1" x14ac:dyDescent="0.3">
      <c r="G470" s="470">
        <f t="shared" si="48"/>
        <v>39</v>
      </c>
      <c r="H470" s="470">
        <v>463</v>
      </c>
      <c r="I470" s="455">
        <f t="shared" ca="1" si="29"/>
        <v>5470647.3503764495</v>
      </c>
      <c r="J470" s="455">
        <f t="array" ref="J470">IFERROR(INDEX('Retirement Calculator'!K:K,MATCH('Lorri 401b'!N470,'Retirement Calculator'!A:A,0),0),0)</f>
        <v>16520.094745597391</v>
      </c>
      <c r="K470" s="455">
        <f t="shared" ca="1" si="27"/>
        <v>22725.530231795216</v>
      </c>
      <c r="L470" s="455">
        <f t="shared" ca="1" si="28"/>
        <v>5476852.785862647</v>
      </c>
      <c r="M470" s="471">
        <f t="shared" si="30"/>
        <v>0.05</v>
      </c>
      <c r="N470" s="475">
        <f t="shared" si="31"/>
        <v>65350</v>
      </c>
    </row>
    <row r="471" spans="7:14" ht="11.25" customHeight="1" x14ac:dyDescent="0.3">
      <c r="G471" s="470">
        <f t="shared" si="48"/>
        <v>39</v>
      </c>
      <c r="H471" s="470">
        <v>464</v>
      </c>
      <c r="I471" s="455">
        <f t="shared" ca="1" si="29"/>
        <v>5476852.785862647</v>
      </c>
      <c r="J471" s="455">
        <f t="array" ref="J471">IFERROR(INDEX('Retirement Calculator'!K:K,MATCH('Lorri 401b'!N471,'Retirement Calculator'!A:A,0),0),0)</f>
        <v>16520.094745597391</v>
      </c>
      <c r="K471" s="455">
        <f t="shared" ca="1" si="27"/>
        <v>22751.386212987705</v>
      </c>
      <c r="L471" s="455">
        <f t="shared" ca="1" si="28"/>
        <v>5483084.077330037</v>
      </c>
      <c r="M471" s="471">
        <f t="shared" si="30"/>
        <v>0.05</v>
      </c>
      <c r="N471" s="475">
        <f t="shared" si="31"/>
        <v>65381</v>
      </c>
    </row>
    <row r="472" spans="7:14" ht="11.25" customHeight="1" x14ac:dyDescent="0.3">
      <c r="G472" s="470">
        <f t="shared" si="48"/>
        <v>39</v>
      </c>
      <c r="H472" s="470">
        <v>465</v>
      </c>
      <c r="I472" s="455">
        <f t="shared" ca="1" si="29"/>
        <v>5483084.077330037</v>
      </c>
      <c r="J472" s="455">
        <f t="array" ref="J472">IFERROR(INDEX('Retirement Calculator'!K:K,MATCH('Lorri 401b'!N472,'Retirement Calculator'!A:A,0),0),0)</f>
        <v>16520.094745597391</v>
      </c>
      <c r="K472" s="455">
        <f t="shared" ca="1" si="27"/>
        <v>22777.349927435163</v>
      </c>
      <c r="L472" s="455">
        <f t="shared" ca="1" si="28"/>
        <v>5489341.3325118739</v>
      </c>
      <c r="M472" s="471">
        <f t="shared" si="30"/>
        <v>0.05</v>
      </c>
      <c r="N472" s="475">
        <f t="shared" si="31"/>
        <v>65412</v>
      </c>
    </row>
    <row r="473" spans="7:14" ht="11.25" customHeight="1" x14ac:dyDescent="0.3">
      <c r="G473" s="470">
        <f t="shared" si="48"/>
        <v>39</v>
      </c>
      <c r="H473" s="470">
        <v>466</v>
      </c>
      <c r="I473" s="455">
        <f t="shared" ca="1" si="29"/>
        <v>5489341.3325118739</v>
      </c>
      <c r="J473" s="455">
        <f t="array" ref="J473">IFERROR(INDEX('Retirement Calculator'!K:K,MATCH('Lorri 401b'!N473,'Retirement Calculator'!A:A,0),0),0)</f>
        <v>16520.094745597391</v>
      </c>
      <c r="K473" s="455">
        <f t="shared" ca="1" si="27"/>
        <v>22803.421824026151</v>
      </c>
      <c r="L473" s="455">
        <f t="shared" ca="1" si="28"/>
        <v>5495624.659590302</v>
      </c>
      <c r="M473" s="471">
        <f t="shared" si="30"/>
        <v>0.05</v>
      </c>
      <c r="N473" s="475">
        <f t="shared" si="31"/>
        <v>65440</v>
      </c>
    </row>
    <row r="474" spans="7:14" ht="11.25" customHeight="1" x14ac:dyDescent="0.3">
      <c r="G474" s="470">
        <f t="shared" si="48"/>
        <v>39</v>
      </c>
      <c r="H474" s="470">
        <v>467</v>
      </c>
      <c r="I474" s="455">
        <f t="shared" ca="1" si="29"/>
        <v>5495624.659590302</v>
      </c>
      <c r="J474" s="455">
        <f t="array" ref="J474">IFERROR(INDEX('Retirement Calculator'!K:K,MATCH('Lorri 401b'!N474,'Retirement Calculator'!A:A,0),0),0)</f>
        <v>16520.094745597391</v>
      </c>
      <c r="K474" s="455">
        <f t="shared" ca="1" si="27"/>
        <v>22829.6023535196</v>
      </c>
      <c r="L474" s="455">
        <f t="shared" ca="1" si="28"/>
        <v>5501934.167198224</v>
      </c>
      <c r="M474" s="471">
        <f t="shared" si="30"/>
        <v>0.05</v>
      </c>
      <c r="N474" s="475">
        <f t="shared" si="31"/>
        <v>65471</v>
      </c>
    </row>
    <row r="475" spans="7:14" ht="11.25" customHeight="1" x14ac:dyDescent="0.3">
      <c r="G475" s="470">
        <f t="shared" si="48"/>
        <v>39</v>
      </c>
      <c r="H475" s="470">
        <v>468</v>
      </c>
      <c r="I475" s="455">
        <f t="shared" ca="1" si="29"/>
        <v>5501934.167198224</v>
      </c>
      <c r="J475" s="455">
        <f t="array" ref="J475">IFERROR(INDEX('Retirement Calculator'!K:K,MATCH('Lorri 401b'!N475,'Retirement Calculator'!A:A,0),0),0)</f>
        <v>16520.094745597391</v>
      </c>
      <c r="K475" s="455">
        <f t="shared" ca="1" si="27"/>
        <v>22855.891968552609</v>
      </c>
      <c r="L475" s="455">
        <f t="shared" ca="1" si="28"/>
        <v>5508269.9644211791</v>
      </c>
      <c r="M475" s="471">
        <f t="shared" si="30"/>
        <v>0.05</v>
      </c>
      <c r="N475" s="475">
        <f t="shared" si="31"/>
        <v>65501</v>
      </c>
    </row>
    <row r="476" spans="7:14" ht="11.25" customHeight="1" x14ac:dyDescent="0.3">
      <c r="G476" s="470">
        <f>G475+1</f>
        <v>40</v>
      </c>
      <c r="H476" s="470">
        <v>469</v>
      </c>
      <c r="I476" s="455">
        <f t="shared" ca="1" si="29"/>
        <v>5508269.9644211791</v>
      </c>
      <c r="J476" s="455">
        <f t="array" ref="J476">IFERROR(INDEX('Retirement Calculator'!K:K,MATCH('Lorri 401b'!N476,'Retirement Calculator'!A:A,0),0),0)</f>
        <v>16520.094745597391</v>
      </c>
      <c r="K476" s="455">
        <f t="shared" ca="1" si="27"/>
        <v>22882.291123648254</v>
      </c>
      <c r="L476" s="455">
        <f t="shared" ca="1" si="28"/>
        <v>5514632.1607992295</v>
      </c>
      <c r="M476" s="471">
        <f t="shared" si="30"/>
        <v>0.05</v>
      </c>
      <c r="N476" s="475">
        <f t="shared" si="31"/>
        <v>65532</v>
      </c>
    </row>
    <row r="477" spans="7:14" ht="11.25" customHeight="1" x14ac:dyDescent="0.3">
      <c r="G477" s="470">
        <f t="shared" ref="G477:G487" si="49">G476</f>
        <v>40</v>
      </c>
      <c r="H477" s="470">
        <v>470</v>
      </c>
      <c r="I477" s="455">
        <f t="shared" ca="1" si="29"/>
        <v>5514632.1607992295</v>
      </c>
      <c r="J477" s="455">
        <f t="array" ref="J477">IFERROR(INDEX('Retirement Calculator'!K:K,MATCH('Lorri 401b'!N477,'Retirement Calculator'!A:A,0),0),0)</f>
        <v>16520.094745597391</v>
      </c>
      <c r="K477" s="455">
        <f t="shared" ca="1" si="27"/>
        <v>22908.800275223464</v>
      </c>
      <c r="L477" s="455">
        <f t="shared" ca="1" si="28"/>
        <v>5521020.866328855</v>
      </c>
      <c r="M477" s="471">
        <f t="shared" si="30"/>
        <v>0.05</v>
      </c>
      <c r="N477" s="475">
        <f t="shared" si="31"/>
        <v>65562</v>
      </c>
    </row>
    <row r="478" spans="7:14" ht="11.25" customHeight="1" x14ac:dyDescent="0.3">
      <c r="G478" s="470">
        <f t="shared" si="49"/>
        <v>40</v>
      </c>
      <c r="H478" s="470">
        <v>471</v>
      </c>
      <c r="I478" s="455">
        <f t="shared" ca="1" si="29"/>
        <v>5521020.866328855</v>
      </c>
      <c r="J478" s="455">
        <f t="array" ref="J478">IFERROR(INDEX('Retirement Calculator'!K:K,MATCH('Lorri 401b'!N478,'Retirement Calculator'!A:A,0),0),0)</f>
        <v>16520.094745597391</v>
      </c>
      <c r="K478" s="455">
        <f t="shared" ca="1" si="27"/>
        <v>22935.419881596907</v>
      </c>
      <c r="L478" s="455">
        <f t="shared" ca="1" si="28"/>
        <v>5527436.1914648544</v>
      </c>
      <c r="M478" s="471">
        <f t="shared" si="30"/>
        <v>0.05</v>
      </c>
      <c r="N478" s="475">
        <f t="shared" si="31"/>
        <v>65593</v>
      </c>
    </row>
    <row r="479" spans="7:14" ht="11.25" customHeight="1" x14ac:dyDescent="0.3">
      <c r="G479" s="470">
        <f t="shared" si="49"/>
        <v>40</v>
      </c>
      <c r="H479" s="470">
        <v>472</v>
      </c>
      <c r="I479" s="455">
        <f t="shared" ca="1" si="29"/>
        <v>5527436.1914648544</v>
      </c>
      <c r="J479" s="455">
        <f t="array" ref="J479">IFERROR(INDEX('Retirement Calculator'!K:K,MATCH('Lorri 401b'!N479,'Retirement Calculator'!A:A,0),0),0)</f>
        <v>16520.094745597391</v>
      </c>
      <c r="K479" s="455">
        <f t="shared" ca="1" si="27"/>
        <v>22962.150402996904</v>
      </c>
      <c r="L479" s="455">
        <f t="shared" ca="1" si="28"/>
        <v>5533878.2471222533</v>
      </c>
      <c r="M479" s="471">
        <f t="shared" si="30"/>
        <v>0.05</v>
      </c>
      <c r="N479" s="475">
        <f t="shared" si="31"/>
        <v>65624</v>
      </c>
    </row>
    <row r="480" spans="7:14" ht="11.25" customHeight="1" x14ac:dyDescent="0.3">
      <c r="G480" s="470">
        <f t="shared" si="49"/>
        <v>40</v>
      </c>
      <c r="H480" s="470">
        <v>473</v>
      </c>
      <c r="I480" s="455">
        <f t="shared" ca="1" si="29"/>
        <v>5533878.2471222533</v>
      </c>
      <c r="J480" s="455">
        <f t="array" ref="J480">IFERROR(INDEX('Retirement Calculator'!K:K,MATCH('Lorri 401b'!N480,'Retirement Calculator'!A:A,0),0),0)</f>
        <v>16520.094745597391</v>
      </c>
      <c r="K480" s="455">
        <f t="shared" ca="1" si="27"/>
        <v>22988.992301569397</v>
      </c>
      <c r="L480" s="455">
        <f t="shared" ca="1" si="28"/>
        <v>5540347.1446782248</v>
      </c>
      <c r="M480" s="471">
        <f t="shared" si="30"/>
        <v>0.05</v>
      </c>
      <c r="N480" s="475">
        <f t="shared" si="31"/>
        <v>65654</v>
      </c>
    </row>
    <row r="481" spans="7:14" ht="11.25" customHeight="1" x14ac:dyDescent="0.3">
      <c r="G481" s="470">
        <f t="shared" si="49"/>
        <v>40</v>
      </c>
      <c r="H481" s="470">
        <v>474</v>
      </c>
      <c r="I481" s="455">
        <f t="shared" ca="1" si="29"/>
        <v>5540347.1446782248</v>
      </c>
      <c r="J481" s="455">
        <f t="array" ref="J481">IFERROR(INDEX('Retirement Calculator'!K:K,MATCH('Lorri 401b'!N481,'Retirement Calculator'!A:A,0),0),0)</f>
        <v>16520.094745597391</v>
      </c>
      <c r="K481" s="455">
        <f t="shared" ca="1" si="27"/>
        <v>23015.946041385945</v>
      </c>
      <c r="L481" s="455">
        <f t="shared" ca="1" si="28"/>
        <v>5546842.9959740127</v>
      </c>
      <c r="M481" s="471">
        <f t="shared" si="30"/>
        <v>0.05</v>
      </c>
      <c r="N481" s="475">
        <f t="shared" si="31"/>
        <v>65685</v>
      </c>
    </row>
    <row r="482" spans="7:14" ht="11.25" customHeight="1" x14ac:dyDescent="0.3">
      <c r="G482" s="470">
        <f t="shared" si="49"/>
        <v>40</v>
      </c>
      <c r="H482" s="470">
        <v>475</v>
      </c>
      <c r="I482" s="455">
        <f t="shared" ca="1" si="29"/>
        <v>5546842.9959740127</v>
      </c>
      <c r="J482" s="455">
        <f t="array" ref="J482">IFERROR(INDEX('Retirement Calculator'!K:K,MATCH('Lorri 401b'!N482,'Retirement Calculator'!A:A,0),0),0)</f>
        <v>16520.094745597391</v>
      </c>
      <c r="K482" s="455">
        <f t="shared" ca="1" si="27"/>
        <v>23043.012088451727</v>
      </c>
      <c r="L482" s="455">
        <f t="shared" ca="1" si="28"/>
        <v>5553365.9133168664</v>
      </c>
      <c r="M482" s="471">
        <f t="shared" si="30"/>
        <v>0.05</v>
      </c>
      <c r="N482" s="475">
        <f t="shared" si="31"/>
        <v>65715</v>
      </c>
    </row>
    <row r="483" spans="7:14" ht="11.25" customHeight="1" x14ac:dyDescent="0.3">
      <c r="G483" s="470">
        <f t="shared" si="49"/>
        <v>40</v>
      </c>
      <c r="H483" s="470">
        <v>476</v>
      </c>
      <c r="I483" s="455">
        <f t="shared" ca="1" si="29"/>
        <v>5553365.9133168664</v>
      </c>
      <c r="J483" s="455">
        <f t="array" ref="J483">IFERROR(INDEX('Retirement Calculator'!K:K,MATCH('Lorri 401b'!N483,'Retirement Calculator'!A:A,0),0),0)</f>
        <v>16520.094745597391</v>
      </c>
      <c r="K483" s="455">
        <f t="shared" ca="1" si="27"/>
        <v>23070.19091071362</v>
      </c>
      <c r="L483" s="455">
        <f t="shared" ca="1" si="28"/>
        <v>5559916.0094819823</v>
      </c>
      <c r="M483" s="471">
        <f t="shared" si="30"/>
        <v>0.05</v>
      </c>
      <c r="N483" s="475">
        <f t="shared" si="31"/>
        <v>65746</v>
      </c>
    </row>
    <row r="484" spans="7:14" ht="11.25" customHeight="1" x14ac:dyDescent="0.3">
      <c r="G484" s="470">
        <f t="shared" si="49"/>
        <v>40</v>
      </c>
      <c r="H484" s="470">
        <v>477</v>
      </c>
      <c r="I484" s="455">
        <f t="shared" ca="1" si="29"/>
        <v>5559916.0094819823</v>
      </c>
      <c r="J484" s="455">
        <f t="array" ref="J484">IFERROR(INDEX('Retirement Calculator'!K:K,MATCH('Lorri 401b'!N484,'Retirement Calculator'!A:A,0),0),0)</f>
        <v>16520.094745597391</v>
      </c>
      <c r="K484" s="455">
        <f t="shared" ca="1" si="27"/>
        <v>23097.48297806827</v>
      </c>
      <c r="L484" s="455">
        <f t="shared" ca="1" si="28"/>
        <v>5566493.3977144528</v>
      </c>
      <c r="M484" s="471">
        <f t="shared" si="30"/>
        <v>0.05</v>
      </c>
      <c r="N484" s="475">
        <f t="shared" si="31"/>
        <v>65777</v>
      </c>
    </row>
    <row r="485" spans="7:14" ht="11.25" customHeight="1" x14ac:dyDescent="0.3">
      <c r="G485" s="470">
        <f t="shared" si="49"/>
        <v>40</v>
      </c>
      <c r="H485" s="470">
        <v>478</v>
      </c>
      <c r="I485" s="455">
        <f t="shared" ca="1" si="29"/>
        <v>5566493.3977144528</v>
      </c>
      <c r="J485" s="455">
        <f t="array" ref="J485">IFERROR(INDEX('Retirement Calculator'!K:K,MATCH('Lorri 401b'!N485,'Retirement Calculator'!A:A,0),0),0)</f>
        <v>16520.094745597391</v>
      </c>
      <c r="K485" s="455">
        <f t="shared" ca="1" si="27"/>
        <v>23124.888762370229</v>
      </c>
      <c r="L485" s="455">
        <f t="shared" ca="1" si="28"/>
        <v>5573098.1917312257</v>
      </c>
      <c r="M485" s="471">
        <f t="shared" si="30"/>
        <v>0.05</v>
      </c>
      <c r="N485" s="475">
        <f t="shared" si="31"/>
        <v>65806</v>
      </c>
    </row>
    <row r="486" spans="7:14" ht="11.25" customHeight="1" x14ac:dyDescent="0.3">
      <c r="G486" s="470">
        <f t="shared" si="49"/>
        <v>40</v>
      </c>
      <c r="H486" s="470">
        <v>479</v>
      </c>
      <c r="I486" s="455">
        <f t="shared" ca="1" si="29"/>
        <v>5573098.1917312257</v>
      </c>
      <c r="J486" s="455">
        <f t="array" ref="J486">IFERROR(INDEX('Retirement Calculator'!K:K,MATCH('Lorri 401b'!N486,'Retirement Calculator'!A:A,0),0),0)</f>
        <v>16520.094745597391</v>
      </c>
      <c r="K486" s="455">
        <f t="shared" ca="1" si="27"/>
        <v>23152.408737440117</v>
      </c>
      <c r="L486" s="455">
        <f t="shared" ca="1" si="28"/>
        <v>5579730.5057230676</v>
      </c>
      <c r="M486" s="471">
        <f t="shared" si="30"/>
        <v>0.05</v>
      </c>
      <c r="N486" s="475">
        <f t="shared" si="31"/>
        <v>65837</v>
      </c>
    </row>
    <row r="487" spans="7:14" ht="11.25" customHeight="1" x14ac:dyDescent="0.3">
      <c r="G487" s="470">
        <f t="shared" si="49"/>
        <v>40</v>
      </c>
      <c r="H487" s="470">
        <v>480</v>
      </c>
      <c r="I487" s="455">
        <f t="shared" ca="1" si="29"/>
        <v>5579730.5057230676</v>
      </c>
      <c r="J487" s="455">
        <f t="array" ref="J487">IFERROR(INDEX('Retirement Calculator'!K:K,MATCH('Lorri 401b'!N487,'Retirement Calculator'!A:A,0),0),0)</f>
        <v>16520.094745597391</v>
      </c>
      <c r="K487" s="455">
        <f t="shared" ca="1" si="27"/>
        <v>23180.043379072791</v>
      </c>
      <c r="L487" s="455">
        <f t="shared" ca="1" si="28"/>
        <v>5586390.4543565428</v>
      </c>
      <c r="M487" s="471">
        <f t="shared" si="30"/>
        <v>0.05</v>
      </c>
      <c r="N487" s="475">
        <f t="shared" si="31"/>
        <v>65867</v>
      </c>
    </row>
    <row r="488" spans="7:14" ht="11.25" customHeight="1" x14ac:dyDescent="0.3">
      <c r="G488" s="470">
        <f>G487+1</f>
        <v>41</v>
      </c>
      <c r="H488" s="470">
        <v>481</v>
      </c>
      <c r="I488" s="455">
        <f t="shared" ca="1" si="29"/>
        <v>5586390.4543565428</v>
      </c>
      <c r="J488" s="455">
        <f t="array" ref="J488">IFERROR(INDEX('Retirement Calculator'!K:K,MATCH('Lorri 401b'!N488,'Retirement Calculator'!A:A,0),0),0)</f>
        <v>16520.094745597391</v>
      </c>
      <c r="K488" s="455">
        <f t="shared" ca="1" si="27"/>
        <v>23207.793165045605</v>
      </c>
      <c r="L488" s="455">
        <f t="shared" ca="1" si="28"/>
        <v>5593078.1527759908</v>
      </c>
      <c r="M488" s="471">
        <f t="shared" si="30"/>
        <v>0.05</v>
      </c>
      <c r="N488" s="475">
        <f t="shared" si="31"/>
        <v>65898</v>
      </c>
    </row>
    <row r="489" spans="7:14" ht="11.25" customHeight="1" x14ac:dyDescent="0.3">
      <c r="G489" s="470">
        <f t="shared" ref="G489:G499" si="50">G488</f>
        <v>41</v>
      </c>
      <c r="H489" s="470">
        <v>482</v>
      </c>
      <c r="I489" s="455">
        <f t="shared" ca="1" si="29"/>
        <v>5593078.1527759908</v>
      </c>
      <c r="J489" s="455">
        <f t="array" ref="J489">IFERROR(INDEX('Retirement Calculator'!K:K,MATCH('Lorri 401b'!N489,'Retirement Calculator'!A:A,0),0),0)</f>
        <v>16520.094745597391</v>
      </c>
      <c r="K489" s="455">
        <f t="shared" ca="1" si="27"/>
        <v>23235.658575126636</v>
      </c>
      <c r="L489" s="455">
        <f t="shared" ca="1" si="28"/>
        <v>5599793.7166055199</v>
      </c>
      <c r="M489" s="471">
        <f t="shared" si="30"/>
        <v>0.05</v>
      </c>
      <c r="N489" s="475">
        <f t="shared" si="31"/>
        <v>65928</v>
      </c>
    </row>
    <row r="490" spans="7:14" ht="11.25" customHeight="1" x14ac:dyDescent="0.3">
      <c r="G490" s="470">
        <f t="shared" si="50"/>
        <v>41</v>
      </c>
      <c r="H490" s="470">
        <v>483</v>
      </c>
      <c r="I490" s="455">
        <f t="shared" ca="1" si="29"/>
        <v>5599793.7166055199</v>
      </c>
      <c r="J490" s="455">
        <f t="array" ref="J490">IFERROR(INDEX('Retirement Calculator'!K:K,MATCH('Lorri 401b'!N490,'Retirement Calculator'!A:A,0),0),0)</f>
        <v>16520.094745597391</v>
      </c>
      <c r="K490" s="455">
        <f t="shared" ca="1" si="27"/>
        <v>23263.640091083009</v>
      </c>
      <c r="L490" s="455">
        <f t="shared" ca="1" si="28"/>
        <v>5606537.2619510051</v>
      </c>
      <c r="M490" s="471">
        <f t="shared" si="30"/>
        <v>0.05</v>
      </c>
      <c r="N490" s="475">
        <f t="shared" si="31"/>
        <v>65959</v>
      </c>
    </row>
    <row r="491" spans="7:14" ht="11.25" customHeight="1" x14ac:dyDescent="0.3">
      <c r="G491" s="470">
        <f t="shared" si="50"/>
        <v>41</v>
      </c>
      <c r="H491" s="470">
        <v>484</v>
      </c>
      <c r="I491" s="455">
        <f t="shared" ca="1" si="29"/>
        <v>5606537.2619510051</v>
      </c>
      <c r="J491" s="455">
        <f t="array" ref="J491">IFERROR(INDEX('Retirement Calculator'!K:K,MATCH('Lorri 401b'!N491,'Retirement Calculator'!A:A,0),0),0)</f>
        <v>16520.094745597391</v>
      </c>
      <c r="K491" s="455">
        <f t="shared" ca="1" si="27"/>
        <v>23291.738196689195</v>
      </c>
      <c r="L491" s="455">
        <f t="shared" ca="1" si="28"/>
        <v>5613308.9054020969</v>
      </c>
      <c r="M491" s="471">
        <f t="shared" si="30"/>
        <v>0.05</v>
      </c>
      <c r="N491" s="475">
        <f t="shared" si="31"/>
        <v>65990</v>
      </c>
    </row>
    <row r="492" spans="7:14" ht="11.25" customHeight="1" x14ac:dyDescent="0.3">
      <c r="G492" s="470">
        <f t="shared" si="50"/>
        <v>41</v>
      </c>
      <c r="H492" s="470">
        <v>485</v>
      </c>
      <c r="I492" s="455">
        <f t="shared" ca="1" si="29"/>
        <v>5613308.9054020969</v>
      </c>
      <c r="J492" s="455">
        <f t="array" ref="J492">IFERROR(INDEX('Retirement Calculator'!K:K,MATCH('Lorri 401b'!N492,'Retirement Calculator'!A:A,0),0),0)</f>
        <v>16520.094745597391</v>
      </c>
      <c r="K492" s="455">
        <f t="shared" ca="1" si="27"/>
        <v>23319.953377735412</v>
      </c>
      <c r="L492" s="455">
        <f t="shared" ca="1" si="28"/>
        <v>5620108.7640342349</v>
      </c>
      <c r="M492" s="471">
        <f t="shared" si="30"/>
        <v>0.05</v>
      </c>
      <c r="N492" s="475">
        <f t="shared" si="31"/>
        <v>66020</v>
      </c>
    </row>
    <row r="493" spans="7:14" ht="11.25" customHeight="1" x14ac:dyDescent="0.3">
      <c r="G493" s="470">
        <f t="shared" si="50"/>
        <v>41</v>
      </c>
      <c r="H493" s="470">
        <v>486</v>
      </c>
      <c r="I493" s="455">
        <f t="shared" ca="1" si="29"/>
        <v>5620108.7640342349</v>
      </c>
      <c r="J493" s="455">
        <f t="array" ref="J493">IFERROR(INDEX('Retirement Calculator'!K:K,MATCH('Lorri 401b'!N493,'Retirement Calculator'!A:A,0),0),0)</f>
        <v>16520.094745597391</v>
      </c>
      <c r="K493" s="455">
        <f t="shared" ca="1" si="27"/>
        <v>23348.286122035988</v>
      </c>
      <c r="L493" s="455">
        <f t="shared" ca="1" si="28"/>
        <v>5626936.9554106733</v>
      </c>
      <c r="M493" s="471">
        <f t="shared" si="30"/>
        <v>0.05</v>
      </c>
      <c r="N493" s="475">
        <f t="shared" si="31"/>
        <v>66051</v>
      </c>
    </row>
    <row r="494" spans="7:14" ht="11.25" customHeight="1" x14ac:dyDescent="0.3">
      <c r="G494" s="470">
        <f t="shared" si="50"/>
        <v>41</v>
      </c>
      <c r="H494" s="470">
        <v>487</v>
      </c>
      <c r="I494" s="455">
        <f t="shared" ca="1" si="29"/>
        <v>5626936.9554106733</v>
      </c>
      <c r="J494" s="455">
        <f t="array" ref="J494">IFERROR(INDEX('Retirement Calculator'!K:K,MATCH('Lorri 401b'!N494,'Retirement Calculator'!A:A,0),0),0)</f>
        <v>16520.094745597391</v>
      </c>
      <c r="K494" s="455">
        <f t="shared" ca="1" si="27"/>
        <v>23376.736919437815</v>
      </c>
      <c r="L494" s="455">
        <f t="shared" ca="1" si="28"/>
        <v>5633793.597584513</v>
      </c>
      <c r="M494" s="471">
        <f t="shared" si="30"/>
        <v>0.05</v>
      </c>
      <c r="N494" s="475">
        <f t="shared" si="31"/>
        <v>66081</v>
      </c>
    </row>
    <row r="495" spans="7:14" ht="11.25" customHeight="1" x14ac:dyDescent="0.3">
      <c r="G495" s="470">
        <f t="shared" si="50"/>
        <v>41</v>
      </c>
      <c r="H495" s="470">
        <v>488</v>
      </c>
      <c r="I495" s="455">
        <f t="shared" ca="1" si="29"/>
        <v>5633793.597584513</v>
      </c>
      <c r="J495" s="455">
        <f t="array" ref="J495">IFERROR(INDEX('Retirement Calculator'!K:K,MATCH('Lorri 401b'!N495,'Retirement Calculator'!A:A,0),0),0)</f>
        <v>16520.094745597391</v>
      </c>
      <c r="K495" s="455">
        <f t="shared" ca="1" si="27"/>
        <v>23405.306261828813</v>
      </c>
      <c r="L495" s="455">
        <f t="shared" ca="1" si="28"/>
        <v>5640678.8091007443</v>
      </c>
      <c r="M495" s="471">
        <f t="shared" si="30"/>
        <v>0.05</v>
      </c>
      <c r="N495" s="475">
        <f t="shared" si="31"/>
        <v>66112</v>
      </c>
    </row>
    <row r="496" spans="7:14" ht="11.25" customHeight="1" x14ac:dyDescent="0.3">
      <c r="G496" s="470">
        <f t="shared" si="50"/>
        <v>41</v>
      </c>
      <c r="H496" s="470">
        <v>489</v>
      </c>
      <c r="I496" s="455">
        <f t="shared" ca="1" si="29"/>
        <v>5640678.8091007443</v>
      </c>
      <c r="J496" s="455">
        <f t="array" ref="J496">IFERROR(INDEX('Retirement Calculator'!K:K,MATCH('Lorri 401b'!N496,'Retirement Calculator'!A:A,0),0),0)</f>
        <v>16520.094745597391</v>
      </c>
      <c r="K496" s="455">
        <f t="shared" ca="1" si="27"/>
        <v>23433.994643146445</v>
      </c>
      <c r="L496" s="455">
        <f t="shared" ca="1" si="28"/>
        <v>5647592.7089982927</v>
      </c>
      <c r="M496" s="471">
        <f t="shared" si="30"/>
        <v>0.05</v>
      </c>
      <c r="N496" s="475">
        <f t="shared" si="31"/>
        <v>66143</v>
      </c>
    </row>
    <row r="497" spans="7:14" ht="11.25" customHeight="1" x14ac:dyDescent="0.3">
      <c r="G497" s="470">
        <f t="shared" si="50"/>
        <v>41</v>
      </c>
      <c r="H497" s="470">
        <v>490</v>
      </c>
      <c r="I497" s="455">
        <f t="shared" ca="1" si="29"/>
        <v>5647592.7089982927</v>
      </c>
      <c r="J497" s="455">
        <f t="array" ref="J497">IFERROR(INDEX('Retirement Calculator'!K:K,MATCH('Lorri 401b'!N497,'Retirement Calculator'!A:A,0),0),0)</f>
        <v>16520.094745597391</v>
      </c>
      <c r="K497" s="455">
        <f t="shared" ca="1" si="27"/>
        <v>23462.802559386229</v>
      </c>
      <c r="L497" s="455">
        <f t="shared" ca="1" si="28"/>
        <v>5654535.4168120809</v>
      </c>
      <c r="M497" s="471">
        <f t="shared" si="30"/>
        <v>0.05</v>
      </c>
      <c r="N497" s="475">
        <f t="shared" si="31"/>
        <v>66171</v>
      </c>
    </row>
    <row r="498" spans="7:14" ht="11.25" customHeight="1" x14ac:dyDescent="0.3">
      <c r="G498" s="470">
        <f t="shared" si="50"/>
        <v>41</v>
      </c>
      <c r="H498" s="470">
        <v>491</v>
      </c>
      <c r="I498" s="455">
        <f t="shared" ca="1" si="29"/>
        <v>5654535.4168120809</v>
      </c>
      <c r="J498" s="455">
        <f t="array" ref="J498">IFERROR(INDEX('Retirement Calculator'!K:K,MATCH('Lorri 401b'!N498,'Retirement Calculator'!A:A,0),0),0)</f>
        <v>16520.094745597391</v>
      </c>
      <c r="K498" s="455">
        <f t="shared" ca="1" si="27"/>
        <v>23491.730508610344</v>
      </c>
      <c r="L498" s="455">
        <f t="shared" ca="1" si="28"/>
        <v>5661507.0525750937</v>
      </c>
      <c r="M498" s="471">
        <f t="shared" si="30"/>
        <v>0.05</v>
      </c>
      <c r="N498" s="475">
        <f t="shared" si="31"/>
        <v>66202</v>
      </c>
    </row>
    <row r="499" spans="7:14" ht="11.25" customHeight="1" x14ac:dyDescent="0.3">
      <c r="G499" s="470">
        <f t="shared" si="50"/>
        <v>41</v>
      </c>
      <c r="H499" s="470">
        <v>492</v>
      </c>
      <c r="I499" s="455">
        <f t="shared" ca="1" si="29"/>
        <v>5661507.0525750937</v>
      </c>
      <c r="J499" s="455">
        <f t="array" ref="J499">IFERROR(INDEX('Retirement Calculator'!K:K,MATCH('Lorri 401b'!N499,'Retirement Calculator'!A:A,0),0),0)</f>
        <v>16520.094745597391</v>
      </c>
      <c r="K499" s="455">
        <f t="shared" ca="1" si="27"/>
        <v>23520.778990956234</v>
      </c>
      <c r="L499" s="455">
        <f t="shared" ca="1" si="28"/>
        <v>5668507.7368204519</v>
      </c>
      <c r="M499" s="471">
        <f t="shared" si="30"/>
        <v>0.05</v>
      </c>
      <c r="N499" s="475">
        <f t="shared" si="31"/>
        <v>66232</v>
      </c>
    </row>
    <row r="500" spans="7:14" ht="11.25" customHeight="1" x14ac:dyDescent="0.3">
      <c r="G500" s="470">
        <f>G499+1</f>
        <v>42</v>
      </c>
      <c r="H500" s="470">
        <v>493</v>
      </c>
      <c r="I500" s="455">
        <f t="shared" ca="1" si="29"/>
        <v>5668507.7368204519</v>
      </c>
      <c r="J500" s="455">
        <f t="array" ref="J500">IFERROR(INDEX('Retirement Calculator'!K:K,MATCH('Lorri 401b'!N500,'Retirement Calculator'!A:A,0),0),0)</f>
        <v>16520.094745597391</v>
      </c>
      <c r="K500" s="455">
        <f t="shared" ca="1" si="27"/>
        <v>23549.948508645226</v>
      </c>
      <c r="L500" s="455">
        <f t="shared" ca="1" si="28"/>
        <v>5675537.5905834995</v>
      </c>
      <c r="M500" s="471">
        <f t="shared" si="30"/>
        <v>0.05</v>
      </c>
      <c r="N500" s="475">
        <f t="shared" si="31"/>
        <v>66263</v>
      </c>
    </row>
    <row r="501" spans="7:14" ht="11.25" customHeight="1" x14ac:dyDescent="0.3">
      <c r="G501" s="470">
        <f t="shared" ref="G501:G511" si="51">G500</f>
        <v>42</v>
      </c>
      <c r="H501" s="470">
        <v>494</v>
      </c>
      <c r="I501" s="455">
        <f t="shared" ca="1" si="29"/>
        <v>5675537.5905834995</v>
      </c>
      <c r="J501" s="455">
        <f t="array" ref="J501">IFERROR(INDEX('Retirement Calculator'!K:K,MATCH('Lorri 401b'!N501,'Retirement Calculator'!A:A,0),0),0)</f>
        <v>16520.094745597391</v>
      </c>
      <c r="K501" s="455">
        <f t="shared" ca="1" si="27"/>
        <v>23579.239565991258</v>
      </c>
      <c r="L501" s="455">
        <f t="shared" ca="1" si="28"/>
        <v>5682596.7354038926</v>
      </c>
      <c r="M501" s="471">
        <f t="shared" si="30"/>
        <v>0.05</v>
      </c>
      <c r="N501" s="475">
        <f t="shared" si="31"/>
        <v>66293</v>
      </c>
    </row>
    <row r="502" spans="7:14" ht="11.25" customHeight="1" x14ac:dyDescent="0.3">
      <c r="G502" s="470">
        <f t="shared" si="51"/>
        <v>42</v>
      </c>
      <c r="H502" s="470">
        <v>495</v>
      </c>
      <c r="I502" s="455">
        <f t="shared" ca="1" si="29"/>
        <v>5682596.7354038926</v>
      </c>
      <c r="J502" s="455">
        <f t="array" ref="J502">IFERROR(INDEX('Retirement Calculator'!K:K,MATCH('Lorri 401b'!N502,'Retirement Calculator'!A:A,0),0),0)</f>
        <v>16520.094745597391</v>
      </c>
      <c r="K502" s="455">
        <f t="shared" ca="1" si="27"/>
        <v>23608.652669409563</v>
      </c>
      <c r="L502" s="455">
        <f t="shared" ca="1" si="28"/>
        <v>5689685.2933277041</v>
      </c>
      <c r="M502" s="471">
        <f t="shared" si="30"/>
        <v>0.05</v>
      </c>
      <c r="N502" s="475">
        <f t="shared" si="31"/>
        <v>66324</v>
      </c>
    </row>
    <row r="503" spans="7:14" ht="11.25" customHeight="1" x14ac:dyDescent="0.3">
      <c r="G503" s="470">
        <f t="shared" si="51"/>
        <v>42</v>
      </c>
      <c r="H503" s="470">
        <v>496</v>
      </c>
      <c r="I503" s="455">
        <f t="shared" ca="1" si="29"/>
        <v>5689685.2933277041</v>
      </c>
      <c r="J503" s="455">
        <f t="array" ref="J503">IFERROR(INDEX('Retirement Calculator'!K:K,MATCH('Lorri 401b'!N503,'Retirement Calculator'!A:A,0),0),0)</f>
        <v>16520.094745597391</v>
      </c>
      <c r="K503" s="455">
        <f t="shared" ca="1" si="27"/>
        <v>23638.188327425443</v>
      </c>
      <c r="L503" s="455">
        <f t="shared" ca="1" si="28"/>
        <v>5696803.3869095314</v>
      </c>
      <c r="M503" s="471">
        <f t="shared" si="30"/>
        <v>0.05</v>
      </c>
      <c r="N503" s="475">
        <f t="shared" si="31"/>
        <v>66355</v>
      </c>
    </row>
    <row r="504" spans="7:14" ht="11.25" customHeight="1" x14ac:dyDescent="0.3">
      <c r="G504" s="470">
        <f t="shared" si="51"/>
        <v>42</v>
      </c>
      <c r="H504" s="470">
        <v>497</v>
      </c>
      <c r="I504" s="455">
        <f t="shared" ca="1" si="29"/>
        <v>5696803.3869095314</v>
      </c>
      <c r="J504" s="455">
        <f t="array" ref="J504">IFERROR(INDEX('Retirement Calculator'!K:K,MATCH('Lorri 401b'!N504,'Retirement Calculator'!A:A,0),0),0)</f>
        <v>16520.094745597391</v>
      </c>
      <c r="K504" s="455">
        <f t="shared" ca="1" si="27"/>
        <v>23667.847050683056</v>
      </c>
      <c r="L504" s="455">
        <f t="shared" ca="1" si="28"/>
        <v>5703951.1392146163</v>
      </c>
      <c r="M504" s="471">
        <f t="shared" si="30"/>
        <v>0.05</v>
      </c>
      <c r="N504" s="475">
        <f t="shared" si="31"/>
        <v>66385</v>
      </c>
    </row>
    <row r="505" spans="7:14" ht="11.25" customHeight="1" x14ac:dyDescent="0.3">
      <c r="G505" s="470">
        <f t="shared" si="51"/>
        <v>42</v>
      </c>
      <c r="H505" s="470">
        <v>498</v>
      </c>
      <c r="I505" s="455">
        <f t="shared" ca="1" si="29"/>
        <v>5703951.1392146163</v>
      </c>
      <c r="J505" s="455">
        <f t="array" ref="J505">IFERROR(INDEX('Retirement Calculator'!K:K,MATCH('Lorri 401b'!N505,'Retirement Calculator'!A:A,0),0),0)</f>
        <v>16520.094745597391</v>
      </c>
      <c r="K505" s="455">
        <f t="shared" ca="1" si="27"/>
        <v>23697.629351954245</v>
      </c>
      <c r="L505" s="455">
        <f t="shared" ca="1" si="28"/>
        <v>5711128.6738209724</v>
      </c>
      <c r="M505" s="471">
        <f t="shared" si="30"/>
        <v>0.05</v>
      </c>
      <c r="N505" s="475">
        <f t="shared" si="31"/>
        <v>66416</v>
      </c>
    </row>
    <row r="506" spans="7:14" ht="11.25" customHeight="1" x14ac:dyDescent="0.3">
      <c r="G506" s="470">
        <f t="shared" si="51"/>
        <v>42</v>
      </c>
      <c r="H506" s="470">
        <v>499</v>
      </c>
      <c r="I506" s="455">
        <f t="shared" ca="1" si="29"/>
        <v>5711128.6738209724</v>
      </c>
      <c r="J506" s="455">
        <f t="array" ref="J506">IFERROR(INDEX('Retirement Calculator'!K:K,MATCH('Lorri 401b'!N506,'Retirement Calculator'!A:A,0),0),0)</f>
        <v>16520.094745597391</v>
      </c>
      <c r="K506" s="455">
        <f t="shared" ca="1" si="27"/>
        <v>23727.535746147394</v>
      </c>
      <c r="L506" s="455">
        <f t="shared" ca="1" si="28"/>
        <v>5718336.1148215225</v>
      </c>
      <c r="M506" s="471">
        <f t="shared" si="30"/>
        <v>0.05</v>
      </c>
      <c r="N506" s="475">
        <f t="shared" si="31"/>
        <v>66446</v>
      </c>
    </row>
    <row r="507" spans="7:14" ht="11.25" customHeight="1" x14ac:dyDescent="0.3">
      <c r="G507" s="470">
        <f t="shared" si="51"/>
        <v>42</v>
      </c>
      <c r="H507" s="470">
        <v>500</v>
      </c>
      <c r="I507" s="455">
        <f t="shared" ca="1" si="29"/>
        <v>5718336.1148215225</v>
      </c>
      <c r="J507" s="455">
        <f t="array" ref="J507">IFERROR(INDEX('Retirement Calculator'!K:K,MATCH('Lorri 401b'!N507,'Retirement Calculator'!A:A,0),0),0)</f>
        <v>16520.094745597391</v>
      </c>
      <c r="K507" s="455">
        <f t="shared" ca="1" si="27"/>
        <v>23757.566750316353</v>
      </c>
      <c r="L507" s="455">
        <f t="shared" ca="1" si="28"/>
        <v>5725573.5868262406</v>
      </c>
      <c r="M507" s="471">
        <f t="shared" si="30"/>
        <v>0.05</v>
      </c>
      <c r="N507" s="475">
        <f t="shared" si="31"/>
        <v>66477</v>
      </c>
    </row>
    <row r="508" spans="7:14" ht="11.25" customHeight="1" x14ac:dyDescent="0.3">
      <c r="G508" s="470">
        <f t="shared" si="51"/>
        <v>42</v>
      </c>
      <c r="H508" s="470">
        <v>501</v>
      </c>
      <c r="I508" s="455">
        <f t="shared" ca="1" si="29"/>
        <v>5725573.5868262406</v>
      </c>
      <c r="J508" s="455">
        <f t="array" ref="J508">IFERROR(INDEX('Retirement Calculator'!K:K,MATCH('Lorri 401b'!N508,'Retirement Calculator'!A:A,0),0),0)</f>
        <v>16520.094745597391</v>
      </c>
      <c r="K508" s="455">
        <f t="shared" ca="1" si="27"/>
        <v>23787.722883669347</v>
      </c>
      <c r="L508" s="455">
        <f t="shared" ca="1" si="28"/>
        <v>5732841.2149643125</v>
      </c>
      <c r="M508" s="471">
        <f t="shared" si="30"/>
        <v>0.05</v>
      </c>
      <c r="N508" s="475">
        <f t="shared" si="31"/>
        <v>66508</v>
      </c>
    </row>
    <row r="509" spans="7:14" ht="11.25" customHeight="1" x14ac:dyDescent="0.3">
      <c r="G509" s="470">
        <f t="shared" si="51"/>
        <v>42</v>
      </c>
      <c r="H509" s="470">
        <v>502</v>
      </c>
      <c r="I509" s="455">
        <f t="shared" ca="1" si="29"/>
        <v>5732841.2149643125</v>
      </c>
      <c r="J509" s="455">
        <f t="array" ref="J509">IFERROR(INDEX('Retirement Calculator'!K:K,MATCH('Lorri 401b'!N509,'Retirement Calculator'!A:A,0),0),0)</f>
        <v>16520.094745597391</v>
      </c>
      <c r="K509" s="455">
        <f t="shared" ca="1" si="27"/>
        <v>23818.004667577978</v>
      </c>
      <c r="L509" s="455">
        <f t="shared" ca="1" si="28"/>
        <v>5740139.124886293</v>
      </c>
      <c r="M509" s="471">
        <f t="shared" si="30"/>
        <v>0.05</v>
      </c>
      <c r="N509" s="475">
        <f t="shared" si="31"/>
        <v>66536</v>
      </c>
    </row>
    <row r="510" spans="7:14" ht="11.25" customHeight="1" x14ac:dyDescent="0.3">
      <c r="G510" s="470">
        <f t="shared" si="51"/>
        <v>42</v>
      </c>
      <c r="H510" s="470">
        <v>503</v>
      </c>
      <c r="I510" s="455">
        <f t="shared" ca="1" si="29"/>
        <v>5740139.124886293</v>
      </c>
      <c r="J510" s="455">
        <f t="array" ref="J510">IFERROR(INDEX('Retirement Calculator'!K:K,MATCH('Lorri 401b'!N510,'Retirement Calculator'!A:A,0),0),0)</f>
        <v>16520.094745597391</v>
      </c>
      <c r="K510" s="455">
        <f t="shared" ca="1" si="27"/>
        <v>23848.412625586228</v>
      </c>
      <c r="L510" s="455">
        <f t="shared" ca="1" si="28"/>
        <v>5747467.4427662818</v>
      </c>
      <c r="M510" s="471">
        <f t="shared" si="30"/>
        <v>0.05</v>
      </c>
      <c r="N510" s="475">
        <f t="shared" si="31"/>
        <v>66567</v>
      </c>
    </row>
    <row r="511" spans="7:14" ht="11.25" customHeight="1" x14ac:dyDescent="0.3">
      <c r="G511" s="470">
        <f t="shared" si="51"/>
        <v>42</v>
      </c>
      <c r="H511" s="470">
        <v>504</v>
      </c>
      <c r="I511" s="455">
        <f t="shared" ca="1" si="29"/>
        <v>5747467.4427662818</v>
      </c>
      <c r="J511" s="455">
        <f t="array" ref="J511">IFERROR(INDEX('Retirement Calculator'!K:K,MATCH('Lorri 401b'!N511,'Retirement Calculator'!A:A,0),0),0)</f>
        <v>16520.094745597391</v>
      </c>
      <c r="K511" s="455">
        <f t="shared" ca="1" si="27"/>
        <v>23878.947283419515</v>
      </c>
      <c r="L511" s="455">
        <f t="shared" ca="1" si="28"/>
        <v>5754826.2953041038</v>
      </c>
      <c r="M511" s="471">
        <f t="shared" si="30"/>
        <v>0.05</v>
      </c>
      <c r="N511" s="475">
        <f t="shared" si="31"/>
        <v>66597</v>
      </c>
    </row>
    <row r="512" spans="7:14" ht="11.25" customHeight="1" x14ac:dyDescent="0.3">
      <c r="G512" s="470">
        <f>G511+1</f>
        <v>43</v>
      </c>
      <c r="H512" s="470">
        <v>505</v>
      </c>
      <c r="I512" s="455">
        <f t="shared" ca="1" si="29"/>
        <v>5754826.2953041038</v>
      </c>
      <c r="J512" s="455">
        <f t="array" ref="J512">IFERROR(INDEX('Retirement Calculator'!K:K,MATCH('Lorri 401b'!N512,'Retirement Calculator'!A:A,0),0),0)</f>
        <v>16520.094745597391</v>
      </c>
      <c r="K512" s="455">
        <f t="shared" ca="1" si="27"/>
        <v>23909.609168993775</v>
      </c>
      <c r="L512" s="455">
        <f t="shared" ca="1" si="28"/>
        <v>5762215.8097274993</v>
      </c>
      <c r="M512" s="471">
        <f t="shared" si="30"/>
        <v>0.05</v>
      </c>
      <c r="N512" s="475">
        <f t="shared" si="31"/>
        <v>66628</v>
      </c>
    </row>
    <row r="513" spans="7:14" ht="11.25" customHeight="1" x14ac:dyDescent="0.3">
      <c r="G513" s="470">
        <f t="shared" ref="G513:G523" si="52">G512</f>
        <v>43</v>
      </c>
      <c r="H513" s="470">
        <v>506</v>
      </c>
      <c r="I513" s="455">
        <f t="shared" ca="1" si="29"/>
        <v>5762215.8097274993</v>
      </c>
      <c r="J513" s="455">
        <f t="array" ref="J513">IFERROR(INDEX('Retirement Calculator'!K:K,MATCH('Lorri 401b'!N513,'Retirement Calculator'!A:A,0),0),0)</f>
        <v>16520.094745597391</v>
      </c>
      <c r="K513" s="455">
        <f t="shared" ca="1" si="27"/>
        <v>23940.398812424588</v>
      </c>
      <c r="L513" s="455">
        <f t="shared" ca="1" si="28"/>
        <v>5769636.1137943259</v>
      </c>
      <c r="M513" s="471">
        <f t="shared" si="30"/>
        <v>0.05</v>
      </c>
      <c r="N513" s="475">
        <f t="shared" si="31"/>
        <v>66658</v>
      </c>
    </row>
    <row r="514" spans="7:14" ht="11.25" customHeight="1" x14ac:dyDescent="0.3">
      <c r="G514" s="470">
        <f t="shared" si="52"/>
        <v>43</v>
      </c>
      <c r="H514" s="470">
        <v>507</v>
      </c>
      <c r="I514" s="455">
        <f t="shared" ca="1" si="29"/>
        <v>5769636.1137943259</v>
      </c>
      <c r="J514" s="455">
        <f t="array" ref="J514">IFERROR(INDEX('Retirement Calculator'!K:K,MATCH('Lorri 401b'!N514,'Retirement Calculator'!A:A,0),0),0)</f>
        <v>16520.094745597391</v>
      </c>
      <c r="K514" s="455">
        <f t="shared" ca="1" si="27"/>
        <v>23971.316746036366</v>
      </c>
      <c r="L514" s="455">
        <f t="shared" ca="1" si="28"/>
        <v>5777087.3357947646</v>
      </c>
      <c r="M514" s="471">
        <f t="shared" si="30"/>
        <v>0.05</v>
      </c>
      <c r="N514" s="475">
        <f t="shared" si="31"/>
        <v>66689</v>
      </c>
    </row>
    <row r="515" spans="7:14" ht="11.25" customHeight="1" x14ac:dyDescent="0.3">
      <c r="G515" s="470">
        <f t="shared" si="52"/>
        <v>43</v>
      </c>
      <c r="H515" s="470">
        <v>508</v>
      </c>
      <c r="I515" s="455">
        <f t="shared" ca="1" si="29"/>
        <v>5777087.3357947646</v>
      </c>
      <c r="J515" s="455">
        <f t="array" ref="J515">IFERROR(INDEX('Retirement Calculator'!K:K,MATCH('Lorri 401b'!N515,'Retirement Calculator'!A:A,0),0),0)</f>
        <v>16520.094745597391</v>
      </c>
      <c r="K515" s="455">
        <f t="shared" ca="1" si="27"/>
        <v>24002.363504371529</v>
      </c>
      <c r="L515" s="455">
        <f t="shared" ca="1" si="28"/>
        <v>5784569.6045535384</v>
      </c>
      <c r="M515" s="471">
        <f t="shared" si="30"/>
        <v>0.05</v>
      </c>
      <c r="N515" s="475">
        <f t="shared" si="31"/>
        <v>66720</v>
      </c>
    </row>
    <row r="516" spans="7:14" ht="11.25" customHeight="1" x14ac:dyDescent="0.3">
      <c r="G516" s="470">
        <f t="shared" si="52"/>
        <v>43</v>
      </c>
      <c r="H516" s="470">
        <v>509</v>
      </c>
      <c r="I516" s="455">
        <f t="shared" ca="1" si="29"/>
        <v>5784569.6045535384</v>
      </c>
      <c r="J516" s="455">
        <f t="array" ref="J516">IFERROR(INDEX('Retirement Calculator'!K:K,MATCH('Lorri 401b'!N516,'Retirement Calculator'!A:A,0),0),0)</f>
        <v>16520.094745597391</v>
      </c>
      <c r="K516" s="455">
        <f t="shared" ca="1" si="27"/>
        <v>24033.539624199751</v>
      </c>
      <c r="L516" s="455">
        <f t="shared" ca="1" si="28"/>
        <v>5792083.0494321408</v>
      </c>
      <c r="M516" s="471">
        <f t="shared" si="30"/>
        <v>0.05</v>
      </c>
      <c r="N516" s="475">
        <f t="shared" si="31"/>
        <v>66750</v>
      </c>
    </row>
    <row r="517" spans="7:14" ht="11.25" customHeight="1" x14ac:dyDescent="0.3">
      <c r="G517" s="470">
        <f t="shared" si="52"/>
        <v>43</v>
      </c>
      <c r="H517" s="470">
        <v>510</v>
      </c>
      <c r="I517" s="455">
        <f t="shared" ca="1" si="29"/>
        <v>5792083.0494321408</v>
      </c>
      <c r="J517" s="455">
        <f t="array" ref="J517">IFERROR(INDEX('Retirement Calculator'!K:K,MATCH('Lorri 401b'!N517,'Retirement Calculator'!A:A,0),0),0)</f>
        <v>16520.094745597391</v>
      </c>
      <c r="K517" s="455">
        <f t="shared" ca="1" si="27"/>
        <v>24064.84564452726</v>
      </c>
      <c r="L517" s="455">
        <f t="shared" ca="1" si="28"/>
        <v>5799627.8003310701</v>
      </c>
      <c r="M517" s="471">
        <f t="shared" si="30"/>
        <v>0.05</v>
      </c>
      <c r="N517" s="475">
        <f t="shared" si="31"/>
        <v>66781</v>
      </c>
    </row>
    <row r="518" spans="7:14" ht="11.25" customHeight="1" x14ac:dyDescent="0.3">
      <c r="G518" s="470">
        <f t="shared" si="52"/>
        <v>43</v>
      </c>
      <c r="H518" s="470">
        <v>511</v>
      </c>
      <c r="I518" s="455">
        <f t="shared" ca="1" si="29"/>
        <v>5799627.8003310701</v>
      </c>
      <c r="J518" s="455">
        <f t="array" ref="J518">IFERROR(INDEX('Retirement Calculator'!K:K,MATCH('Lorri 401b'!N518,'Retirement Calculator'!A:A,0),0),0)</f>
        <v>16520.094745597391</v>
      </c>
      <c r="K518" s="455">
        <f t="shared" ref="K518:K772" ca="1" si="53">IPMT(M518/12,1,12,-I518+J518,,0)</f>
        <v>24096.282106606133</v>
      </c>
      <c r="L518" s="455">
        <f t="shared" ref="L518:L772" ca="1" si="54">I518-J518+K518</f>
        <v>5807203.9876920786</v>
      </c>
      <c r="M518" s="471">
        <f t="shared" si="30"/>
        <v>0.05</v>
      </c>
      <c r="N518" s="475">
        <f t="shared" si="31"/>
        <v>66811</v>
      </c>
    </row>
    <row r="519" spans="7:14" ht="11.25" customHeight="1" x14ac:dyDescent="0.3">
      <c r="G519" s="470">
        <f t="shared" si="52"/>
        <v>43</v>
      </c>
      <c r="H519" s="470">
        <v>512</v>
      </c>
      <c r="I519" s="455">
        <f t="shared" ref="I519:I773" ca="1" si="55">L518</f>
        <v>5807203.9876920786</v>
      </c>
      <c r="J519" s="455">
        <f t="array" ref="J519">IFERROR(INDEX('Retirement Calculator'!K:K,MATCH('Lorri 401b'!N519,'Retirement Calculator'!A:A,0),0),0)</f>
        <v>16520.094745597391</v>
      </c>
      <c r="K519" s="455">
        <f t="shared" ca="1" si="53"/>
        <v>24127.84955394367</v>
      </c>
      <c r="L519" s="455">
        <f t="shared" ca="1" si="54"/>
        <v>5814811.7425004244</v>
      </c>
      <c r="M519" s="471">
        <f t="shared" ref="M519:M773" si="56">M518</f>
        <v>0.05</v>
      </c>
      <c r="N519" s="475">
        <f t="shared" ref="N519:N773" si="57">EDATE(N518,1)</f>
        <v>66842</v>
      </c>
    </row>
    <row r="520" spans="7:14" ht="11.25" customHeight="1" x14ac:dyDescent="0.3">
      <c r="G520" s="470">
        <f t="shared" si="52"/>
        <v>43</v>
      </c>
      <c r="H520" s="470">
        <v>513</v>
      </c>
      <c r="I520" s="455">
        <f t="shared" ca="1" si="55"/>
        <v>5814811.7425004244</v>
      </c>
      <c r="J520" s="455">
        <f t="array" ref="J520">IFERROR(INDEX('Retirement Calculator'!K:K,MATCH('Lorri 401b'!N520,'Retirement Calculator'!A:A,0),0),0)</f>
        <v>16520.094745597391</v>
      </c>
      <c r="K520" s="455">
        <f t="shared" ca="1" si="53"/>
        <v>24159.548532311775</v>
      </c>
      <c r="L520" s="455">
        <f t="shared" ca="1" si="54"/>
        <v>5822451.1962871384</v>
      </c>
      <c r="M520" s="471">
        <f t="shared" si="56"/>
        <v>0.05</v>
      </c>
      <c r="N520" s="475">
        <f t="shared" si="57"/>
        <v>66873</v>
      </c>
    </row>
    <row r="521" spans="7:14" ht="11.25" customHeight="1" x14ac:dyDescent="0.3">
      <c r="G521" s="470">
        <f t="shared" si="52"/>
        <v>43</v>
      </c>
      <c r="H521" s="470">
        <v>514</v>
      </c>
      <c r="I521" s="455">
        <f t="shared" ca="1" si="55"/>
        <v>5822451.1962871384</v>
      </c>
      <c r="J521" s="455">
        <f t="array" ref="J521">IFERROR(INDEX('Retirement Calculator'!K:K,MATCH('Lorri 401b'!N521,'Retirement Calculator'!A:A,0),0),0)</f>
        <v>16520.094745597391</v>
      </c>
      <c r="K521" s="455">
        <f t="shared" ca="1" si="53"/>
        <v>24191.37958975642</v>
      </c>
      <c r="L521" s="455">
        <f t="shared" ca="1" si="54"/>
        <v>5830122.4811312966</v>
      </c>
      <c r="M521" s="471">
        <f t="shared" si="56"/>
        <v>0.05</v>
      </c>
      <c r="N521" s="475">
        <f t="shared" si="57"/>
        <v>66901</v>
      </c>
    </row>
    <row r="522" spans="7:14" ht="11.25" customHeight="1" x14ac:dyDescent="0.3">
      <c r="G522" s="470">
        <f t="shared" si="52"/>
        <v>43</v>
      </c>
      <c r="H522" s="470">
        <v>515</v>
      </c>
      <c r="I522" s="455">
        <f t="shared" ca="1" si="55"/>
        <v>5830122.4811312966</v>
      </c>
      <c r="J522" s="455">
        <f t="array" ref="J522">IFERROR(INDEX('Retirement Calculator'!K:K,MATCH('Lorri 401b'!N522,'Retirement Calculator'!A:A,0),0),0)</f>
        <v>16520.094745597391</v>
      </c>
      <c r="K522" s="455">
        <f t="shared" ca="1" si="53"/>
        <v>24223.343276607076</v>
      </c>
      <c r="L522" s="455">
        <f t="shared" ca="1" si="54"/>
        <v>5837825.7296623057</v>
      </c>
      <c r="M522" s="471">
        <f t="shared" si="56"/>
        <v>0.05</v>
      </c>
      <c r="N522" s="475">
        <f t="shared" si="57"/>
        <v>66932</v>
      </c>
    </row>
    <row r="523" spans="7:14" ht="11.25" customHeight="1" x14ac:dyDescent="0.3">
      <c r="G523" s="470">
        <f t="shared" si="52"/>
        <v>43</v>
      </c>
      <c r="H523" s="470">
        <v>516</v>
      </c>
      <c r="I523" s="455">
        <f t="shared" ca="1" si="55"/>
        <v>5837825.7296623057</v>
      </c>
      <c r="J523" s="455">
        <f t="array" ref="J523">IFERROR(INDEX('Retirement Calculator'!K:K,MATCH('Lorri 401b'!N523,'Retirement Calculator'!A:A,0),0),0)</f>
        <v>16520.094745597391</v>
      </c>
      <c r="K523" s="455">
        <f t="shared" ca="1" si="53"/>
        <v>24255.440145486282</v>
      </c>
      <c r="L523" s="455">
        <f t="shared" ca="1" si="54"/>
        <v>5845561.0750621939</v>
      </c>
      <c r="M523" s="471">
        <f t="shared" si="56"/>
        <v>0.05</v>
      </c>
      <c r="N523" s="475">
        <f t="shared" si="57"/>
        <v>66962</v>
      </c>
    </row>
    <row r="524" spans="7:14" ht="11.25" customHeight="1" x14ac:dyDescent="0.3">
      <c r="G524" s="470">
        <f>G523+1</f>
        <v>44</v>
      </c>
      <c r="H524" s="470">
        <v>517</v>
      </c>
      <c r="I524" s="455">
        <f t="shared" ca="1" si="55"/>
        <v>5845561.0750621939</v>
      </c>
      <c r="J524" s="455">
        <f t="array" ref="J524">IFERROR(INDEX('Retirement Calculator'!K:K,MATCH('Lorri 401b'!N524,'Retirement Calculator'!A:A,0),0),0)</f>
        <v>16520.094745597391</v>
      </c>
      <c r="K524" s="455">
        <f t="shared" ca="1" si="53"/>
        <v>24287.67075131915</v>
      </c>
      <c r="L524" s="455">
        <f t="shared" ca="1" si="54"/>
        <v>5853328.6510679154</v>
      </c>
      <c r="M524" s="471">
        <f t="shared" si="56"/>
        <v>0.05</v>
      </c>
      <c r="N524" s="475">
        <f t="shared" si="57"/>
        <v>66993</v>
      </c>
    </row>
    <row r="525" spans="7:14" ht="11.25" customHeight="1" x14ac:dyDescent="0.3">
      <c r="G525" s="470">
        <f t="shared" ref="G525:G535" si="58">G524</f>
        <v>44</v>
      </c>
      <c r="H525" s="470">
        <v>518</v>
      </c>
      <c r="I525" s="455">
        <f t="shared" ca="1" si="55"/>
        <v>5853328.6510679154</v>
      </c>
      <c r="J525" s="455">
        <f t="array" ref="J525">IFERROR(INDEX('Retirement Calculator'!K:K,MATCH('Lorri 401b'!N525,'Retirement Calculator'!A:A,0),0),0)</f>
        <v>16520.094745597391</v>
      </c>
      <c r="K525" s="455">
        <f t="shared" ca="1" si="53"/>
        <v>24320.035651342991</v>
      </c>
      <c r="L525" s="455">
        <f t="shared" ca="1" si="54"/>
        <v>5861128.5919736605</v>
      </c>
      <c r="M525" s="471">
        <f t="shared" si="56"/>
        <v>0.05</v>
      </c>
      <c r="N525" s="475">
        <f t="shared" si="57"/>
        <v>67023</v>
      </c>
    </row>
    <row r="526" spans="7:14" ht="11.25" customHeight="1" x14ac:dyDescent="0.3">
      <c r="G526" s="470">
        <f t="shared" si="58"/>
        <v>44</v>
      </c>
      <c r="H526" s="470">
        <v>519</v>
      </c>
      <c r="I526" s="455">
        <f t="shared" ca="1" si="55"/>
        <v>5861128.5919736605</v>
      </c>
      <c r="J526" s="455">
        <f t="array" ref="J526">IFERROR(INDEX('Retirement Calculator'!K:K,MATCH('Lorri 401b'!N526,'Retirement Calculator'!A:A,0),0),0)</f>
        <v>16520.094745597391</v>
      </c>
      <c r="K526" s="455">
        <f t="shared" ca="1" si="53"/>
        <v>24352.535405116927</v>
      </c>
      <c r="L526" s="455">
        <f t="shared" ca="1" si="54"/>
        <v>5868961.0326331798</v>
      </c>
      <c r="M526" s="471">
        <f t="shared" si="56"/>
        <v>0.05</v>
      </c>
      <c r="N526" s="475">
        <f t="shared" si="57"/>
        <v>67054</v>
      </c>
    </row>
    <row r="527" spans="7:14" ht="11.25" customHeight="1" x14ac:dyDescent="0.3">
      <c r="G527" s="470">
        <f t="shared" si="58"/>
        <v>44</v>
      </c>
      <c r="H527" s="470">
        <v>520</v>
      </c>
      <c r="I527" s="455">
        <f t="shared" ca="1" si="55"/>
        <v>5868961.0326331798</v>
      </c>
      <c r="J527" s="455">
        <f t="array" ref="J527">IFERROR(INDEX('Retirement Calculator'!K:K,MATCH('Lorri 401b'!N527,'Retirement Calculator'!A:A,0),0),0)</f>
        <v>16520.094745597391</v>
      </c>
      <c r="K527" s="455">
        <f t="shared" ca="1" si="53"/>
        <v>24385.170574531592</v>
      </c>
      <c r="L527" s="455">
        <f t="shared" ca="1" si="54"/>
        <v>5876826.1084621139</v>
      </c>
      <c r="M527" s="471">
        <f t="shared" si="56"/>
        <v>0.05</v>
      </c>
      <c r="N527" s="475">
        <f t="shared" si="57"/>
        <v>67085</v>
      </c>
    </row>
    <row r="528" spans="7:14" ht="11.25" customHeight="1" x14ac:dyDescent="0.3">
      <c r="G528" s="470">
        <f t="shared" si="58"/>
        <v>44</v>
      </c>
      <c r="H528" s="470">
        <v>521</v>
      </c>
      <c r="I528" s="455">
        <f t="shared" ca="1" si="55"/>
        <v>5876826.1084621139</v>
      </c>
      <c r="J528" s="455">
        <f t="array" ref="J528">IFERROR(INDEX('Retirement Calculator'!K:K,MATCH('Lorri 401b'!N528,'Retirement Calculator'!A:A,0),0),0)</f>
        <v>16520.094745597391</v>
      </c>
      <c r="K528" s="455">
        <f t="shared" ca="1" si="53"/>
        <v>24417.941723818818</v>
      </c>
      <c r="L528" s="455">
        <f t="shared" ca="1" si="54"/>
        <v>5884723.955440335</v>
      </c>
      <c r="M528" s="471">
        <f t="shared" si="56"/>
        <v>0.05</v>
      </c>
      <c r="N528" s="475">
        <f t="shared" si="57"/>
        <v>67115</v>
      </c>
    </row>
    <row r="529" spans="7:14" ht="11.25" customHeight="1" x14ac:dyDescent="0.3">
      <c r="G529" s="470">
        <f t="shared" si="58"/>
        <v>44</v>
      </c>
      <c r="H529" s="470">
        <v>522</v>
      </c>
      <c r="I529" s="455">
        <f t="shared" ca="1" si="55"/>
        <v>5884723.955440335</v>
      </c>
      <c r="J529" s="455">
        <f t="array" ref="J529">IFERROR(INDEX('Retirement Calculator'!K:K,MATCH('Lorri 401b'!N529,'Retirement Calculator'!A:A,0),0),0)</f>
        <v>16520.094745597391</v>
      </c>
      <c r="K529" s="455">
        <f t="shared" ca="1" si="53"/>
        <v>24450.849419561404</v>
      </c>
      <c r="L529" s="455">
        <f t="shared" ca="1" si="54"/>
        <v>5892654.7101142984</v>
      </c>
      <c r="M529" s="471">
        <f t="shared" si="56"/>
        <v>0.05</v>
      </c>
      <c r="N529" s="475">
        <f t="shared" si="57"/>
        <v>67146</v>
      </c>
    </row>
    <row r="530" spans="7:14" ht="11.25" customHeight="1" x14ac:dyDescent="0.3">
      <c r="G530" s="470">
        <f t="shared" si="58"/>
        <v>44</v>
      </c>
      <c r="H530" s="470">
        <v>523</v>
      </c>
      <c r="I530" s="455">
        <f t="shared" ca="1" si="55"/>
        <v>5892654.7101142984</v>
      </c>
      <c r="J530" s="455">
        <f t="array" ref="J530">IFERROR(INDEX('Retirement Calculator'!K:K,MATCH('Lorri 401b'!N530,'Retirement Calculator'!A:A,0),0),0)</f>
        <v>16520.094745597391</v>
      </c>
      <c r="K530" s="455">
        <f t="shared" ca="1" si="53"/>
        <v>24483.894230702917</v>
      </c>
      <c r="L530" s="455">
        <f t="shared" ca="1" si="54"/>
        <v>5900618.5095994035</v>
      </c>
      <c r="M530" s="471">
        <f t="shared" si="56"/>
        <v>0.05</v>
      </c>
      <c r="N530" s="475">
        <f t="shared" si="57"/>
        <v>67176</v>
      </c>
    </row>
    <row r="531" spans="7:14" ht="11.25" customHeight="1" x14ac:dyDescent="0.3">
      <c r="G531" s="470">
        <f t="shared" si="58"/>
        <v>44</v>
      </c>
      <c r="H531" s="470">
        <v>524</v>
      </c>
      <c r="I531" s="455">
        <f t="shared" ca="1" si="55"/>
        <v>5900618.5095994035</v>
      </c>
      <c r="J531" s="455">
        <f t="array" ref="J531">IFERROR(INDEX('Retirement Calculator'!K:K,MATCH('Lorri 401b'!N531,'Retirement Calculator'!A:A,0),0),0)</f>
        <v>16520.094745597391</v>
      </c>
      <c r="K531" s="455">
        <f t="shared" ca="1" si="53"/>
        <v>24517.076728557524</v>
      </c>
      <c r="L531" s="455">
        <f t="shared" ca="1" si="54"/>
        <v>5908615.4915823629</v>
      </c>
      <c r="M531" s="471">
        <f t="shared" si="56"/>
        <v>0.05</v>
      </c>
      <c r="N531" s="475">
        <f t="shared" si="57"/>
        <v>67207</v>
      </c>
    </row>
    <row r="532" spans="7:14" ht="11.25" customHeight="1" x14ac:dyDescent="0.3">
      <c r="G532" s="470">
        <f t="shared" si="58"/>
        <v>44</v>
      </c>
      <c r="H532" s="470">
        <v>525</v>
      </c>
      <c r="I532" s="455">
        <f t="shared" ca="1" si="55"/>
        <v>5908615.4915823629</v>
      </c>
      <c r="J532" s="455">
        <f t="array" ref="J532">IFERROR(INDEX('Retirement Calculator'!K:K,MATCH('Lorri 401b'!N532,'Retirement Calculator'!A:A,0),0),0)</f>
        <v>16520.094745597391</v>
      </c>
      <c r="K532" s="455">
        <f t="shared" ca="1" si="53"/>
        <v>24550.397486819853</v>
      </c>
      <c r="L532" s="455">
        <f t="shared" ca="1" si="54"/>
        <v>5916645.794323585</v>
      </c>
      <c r="M532" s="471">
        <f t="shared" si="56"/>
        <v>0.05</v>
      </c>
      <c r="N532" s="475">
        <f t="shared" si="57"/>
        <v>67238</v>
      </c>
    </row>
    <row r="533" spans="7:14" ht="11.25" customHeight="1" x14ac:dyDescent="0.3">
      <c r="G533" s="470">
        <f t="shared" si="58"/>
        <v>44</v>
      </c>
      <c r="H533" s="470">
        <v>526</v>
      </c>
      <c r="I533" s="455">
        <f t="shared" ca="1" si="55"/>
        <v>5916645.794323585</v>
      </c>
      <c r="J533" s="455">
        <f t="array" ref="J533">IFERROR(INDEX('Retirement Calculator'!K:K,MATCH('Lorri 401b'!N533,'Retirement Calculator'!A:A,0),0),0)</f>
        <v>16520.094745597391</v>
      </c>
      <c r="K533" s="455">
        <f t="shared" ca="1" si="53"/>
        <v>24583.857081574948</v>
      </c>
      <c r="L533" s="455">
        <f t="shared" ca="1" si="54"/>
        <v>5924709.5566595625</v>
      </c>
      <c r="M533" s="471">
        <f t="shared" si="56"/>
        <v>0.05</v>
      </c>
      <c r="N533" s="475">
        <f t="shared" si="57"/>
        <v>67267</v>
      </c>
    </row>
    <row r="534" spans="7:14" ht="11.25" customHeight="1" x14ac:dyDescent="0.3">
      <c r="G534" s="470">
        <f t="shared" si="58"/>
        <v>44</v>
      </c>
      <c r="H534" s="470">
        <v>527</v>
      </c>
      <c r="I534" s="455">
        <f t="shared" ca="1" si="55"/>
        <v>5924709.5566595625</v>
      </c>
      <c r="J534" s="455">
        <f t="array" ref="J534">IFERROR(INDEX('Retirement Calculator'!K:K,MATCH('Lorri 401b'!N534,'Retirement Calculator'!A:A,0),0),0)</f>
        <v>16520.094745597391</v>
      </c>
      <c r="K534" s="455">
        <f t="shared" ca="1" si="53"/>
        <v>24617.456091308188</v>
      </c>
      <c r="L534" s="455">
        <f t="shared" ca="1" si="54"/>
        <v>5932806.9180052727</v>
      </c>
      <c r="M534" s="471">
        <f t="shared" si="56"/>
        <v>0.05</v>
      </c>
      <c r="N534" s="475">
        <f t="shared" si="57"/>
        <v>67298</v>
      </c>
    </row>
    <row r="535" spans="7:14" ht="11.25" customHeight="1" x14ac:dyDescent="0.3">
      <c r="G535" s="470">
        <f t="shared" si="58"/>
        <v>44</v>
      </c>
      <c r="H535" s="470">
        <v>528</v>
      </c>
      <c r="I535" s="455">
        <f t="shared" ca="1" si="55"/>
        <v>5932806.9180052727</v>
      </c>
      <c r="J535" s="455">
        <f t="array" ref="J535">IFERROR(INDEX('Retirement Calculator'!K:K,MATCH('Lorri 401b'!N535,'Retirement Calculator'!A:A,0),0),0)</f>
        <v>16520.094745597391</v>
      </c>
      <c r="K535" s="455">
        <f t="shared" ca="1" si="53"/>
        <v>24651.195096915311</v>
      </c>
      <c r="L535" s="455">
        <f t="shared" ca="1" si="54"/>
        <v>5940938.0183565905</v>
      </c>
      <c r="M535" s="471">
        <f t="shared" si="56"/>
        <v>0.05</v>
      </c>
      <c r="N535" s="475">
        <f t="shared" si="57"/>
        <v>67328</v>
      </c>
    </row>
    <row r="536" spans="7:14" ht="11.25" customHeight="1" x14ac:dyDescent="0.3">
      <c r="G536" s="470">
        <f>G535+1</f>
        <v>45</v>
      </c>
      <c r="H536" s="470">
        <v>529</v>
      </c>
      <c r="I536" s="455">
        <f t="shared" ca="1" si="55"/>
        <v>5940938.0183565905</v>
      </c>
      <c r="J536" s="455">
        <f t="array" ref="J536">IFERROR(INDEX('Retirement Calculator'!K:K,MATCH('Lorri 401b'!N536,'Retirement Calculator'!A:A,0),0),0)</f>
        <v>16520.094745597391</v>
      </c>
      <c r="K536" s="455">
        <f t="shared" ca="1" si="53"/>
        <v>24685.074681712471</v>
      </c>
      <c r="L536" s="455">
        <f t="shared" ca="1" si="54"/>
        <v>5949102.998292705</v>
      </c>
      <c r="M536" s="471">
        <f t="shared" si="56"/>
        <v>0.05</v>
      </c>
      <c r="N536" s="475">
        <f t="shared" si="57"/>
        <v>67359</v>
      </c>
    </row>
    <row r="537" spans="7:14" ht="11.25" customHeight="1" x14ac:dyDescent="0.3">
      <c r="G537" s="470">
        <f t="shared" ref="G537:G547" si="59">G536</f>
        <v>45</v>
      </c>
      <c r="H537" s="470">
        <v>530</v>
      </c>
      <c r="I537" s="455">
        <f t="shared" ca="1" si="55"/>
        <v>5949102.998292705</v>
      </c>
      <c r="J537" s="455">
        <f t="array" ref="J537">IFERROR(INDEX('Retirement Calculator'!K:K,MATCH('Lorri 401b'!N537,'Retirement Calculator'!A:A,0),0),0)</f>
        <v>16520.094745597391</v>
      </c>
      <c r="K537" s="455">
        <f t="shared" ca="1" si="53"/>
        <v>24719.09543144628</v>
      </c>
      <c r="L537" s="455">
        <f t="shared" ca="1" si="54"/>
        <v>5957301.9989785533</v>
      </c>
      <c r="M537" s="471">
        <f t="shared" si="56"/>
        <v>0.05</v>
      </c>
      <c r="N537" s="475">
        <f t="shared" si="57"/>
        <v>67389</v>
      </c>
    </row>
    <row r="538" spans="7:14" ht="11.25" customHeight="1" x14ac:dyDescent="0.3">
      <c r="G538" s="470">
        <f t="shared" si="59"/>
        <v>45</v>
      </c>
      <c r="H538" s="470">
        <v>531</v>
      </c>
      <c r="I538" s="455">
        <f t="shared" ca="1" si="55"/>
        <v>5957301.9989785533</v>
      </c>
      <c r="J538" s="455">
        <f t="array" ref="J538">IFERROR(INDEX('Retirement Calculator'!K:K,MATCH('Lorri 401b'!N538,'Retirement Calculator'!A:A,0),0),0)</f>
        <v>16520.094745597391</v>
      </c>
      <c r="K538" s="455">
        <f t="shared" ca="1" si="53"/>
        <v>24753.25793430398</v>
      </c>
      <c r="L538" s="455">
        <f t="shared" ca="1" si="54"/>
        <v>5965535.1621672595</v>
      </c>
      <c r="M538" s="471">
        <f t="shared" si="56"/>
        <v>0.05</v>
      </c>
      <c r="N538" s="475">
        <f t="shared" si="57"/>
        <v>67420</v>
      </c>
    </row>
    <row r="539" spans="7:14" ht="11.25" customHeight="1" x14ac:dyDescent="0.3">
      <c r="G539" s="470">
        <f t="shared" si="59"/>
        <v>45</v>
      </c>
      <c r="H539" s="470">
        <v>532</v>
      </c>
      <c r="I539" s="455">
        <f t="shared" ca="1" si="55"/>
        <v>5965535.1621672595</v>
      </c>
      <c r="J539" s="455">
        <f t="array" ref="J539">IFERROR(INDEX('Retirement Calculator'!K:K,MATCH('Lorri 401b'!N539,'Retirement Calculator'!A:A,0),0),0)</f>
        <v>16520.094745597391</v>
      </c>
      <c r="K539" s="455">
        <f t="shared" ca="1" si="53"/>
        <v>24787.562780923588</v>
      </c>
      <c r="L539" s="455">
        <f t="shared" ca="1" si="54"/>
        <v>5973802.6302025849</v>
      </c>
      <c r="M539" s="471">
        <f t="shared" si="56"/>
        <v>0.05</v>
      </c>
      <c r="N539" s="475">
        <f t="shared" si="57"/>
        <v>67451</v>
      </c>
    </row>
    <row r="540" spans="7:14" ht="11.25" customHeight="1" x14ac:dyDescent="0.3">
      <c r="G540" s="470">
        <f t="shared" si="59"/>
        <v>45</v>
      </c>
      <c r="H540" s="470">
        <v>533</v>
      </c>
      <c r="I540" s="455">
        <f t="shared" ca="1" si="55"/>
        <v>5973802.6302025849</v>
      </c>
      <c r="J540" s="455">
        <f t="array" ref="J540">IFERROR(INDEX('Retirement Calculator'!K:K,MATCH('Lorri 401b'!N540,'Retirement Calculator'!A:A,0),0),0)</f>
        <v>16520.094745597391</v>
      </c>
      <c r="K540" s="455">
        <f t="shared" ca="1" si="53"/>
        <v>24822.010564404114</v>
      </c>
      <c r="L540" s="455">
        <f t="shared" ca="1" si="54"/>
        <v>5982104.5460213916</v>
      </c>
      <c r="M540" s="471">
        <f t="shared" si="56"/>
        <v>0.05</v>
      </c>
      <c r="N540" s="475">
        <f t="shared" si="57"/>
        <v>67481</v>
      </c>
    </row>
    <row r="541" spans="7:14" ht="11.25" customHeight="1" x14ac:dyDescent="0.3">
      <c r="G541" s="470">
        <f t="shared" si="59"/>
        <v>45</v>
      </c>
      <c r="H541" s="470">
        <v>534</v>
      </c>
      <c r="I541" s="455">
        <f t="shared" ca="1" si="55"/>
        <v>5982104.5460213916</v>
      </c>
      <c r="J541" s="455">
        <f t="array" ref="J541">IFERROR(INDEX('Retirement Calculator'!K:K,MATCH('Lorri 401b'!N541,'Retirement Calculator'!A:A,0),0),0)</f>
        <v>16520.094745597391</v>
      </c>
      <c r="K541" s="455">
        <f t="shared" ca="1" si="53"/>
        <v>24856.601880315808</v>
      </c>
      <c r="L541" s="455">
        <f t="shared" ca="1" si="54"/>
        <v>5990441.0531561095</v>
      </c>
      <c r="M541" s="471">
        <f t="shared" si="56"/>
        <v>0.05</v>
      </c>
      <c r="N541" s="475">
        <f t="shared" si="57"/>
        <v>67512</v>
      </c>
    </row>
    <row r="542" spans="7:14" ht="11.25" customHeight="1" x14ac:dyDescent="0.3">
      <c r="G542" s="470">
        <f t="shared" si="59"/>
        <v>45</v>
      </c>
      <c r="H542" s="470">
        <v>535</v>
      </c>
      <c r="I542" s="455">
        <f t="shared" ca="1" si="55"/>
        <v>5990441.0531561095</v>
      </c>
      <c r="J542" s="455">
        <f t="array" ref="J542">IFERROR(INDEX('Retirement Calculator'!K:K,MATCH('Lorri 401b'!N542,'Retirement Calculator'!A:A,0),0),0)</f>
        <v>16520.094745597391</v>
      </c>
      <c r="K542" s="455">
        <f t="shared" ca="1" si="53"/>
        <v>24891.337326710465</v>
      </c>
      <c r="L542" s="455">
        <f t="shared" ca="1" si="54"/>
        <v>5998812.2957372218</v>
      </c>
      <c r="M542" s="471">
        <f t="shared" si="56"/>
        <v>0.05</v>
      </c>
      <c r="N542" s="475">
        <f t="shared" si="57"/>
        <v>67542</v>
      </c>
    </row>
    <row r="543" spans="7:14" ht="11.25" customHeight="1" x14ac:dyDescent="0.3">
      <c r="G543" s="470">
        <f t="shared" si="59"/>
        <v>45</v>
      </c>
      <c r="H543" s="470">
        <v>536</v>
      </c>
      <c r="I543" s="455">
        <f t="shared" ca="1" si="55"/>
        <v>5998812.2957372218</v>
      </c>
      <c r="J543" s="455">
        <f t="array" ref="J543">IFERROR(INDEX('Retirement Calculator'!K:K,MATCH('Lorri 401b'!N543,'Retirement Calculator'!A:A,0),0),0)</f>
        <v>16520.094745597391</v>
      </c>
      <c r="K543" s="455">
        <f t="shared" ca="1" si="53"/>
        <v>24926.217504131768</v>
      </c>
      <c r="L543" s="455">
        <f t="shared" ca="1" si="54"/>
        <v>6007218.4184957556</v>
      </c>
      <c r="M543" s="471">
        <f t="shared" si="56"/>
        <v>0.05</v>
      </c>
      <c r="N543" s="475">
        <f t="shared" si="57"/>
        <v>67573</v>
      </c>
    </row>
    <row r="544" spans="7:14" ht="11.25" customHeight="1" x14ac:dyDescent="0.3">
      <c r="G544" s="470">
        <f t="shared" si="59"/>
        <v>45</v>
      </c>
      <c r="H544" s="470">
        <v>537</v>
      </c>
      <c r="I544" s="455">
        <f t="shared" ca="1" si="55"/>
        <v>6007218.4184957556</v>
      </c>
      <c r="J544" s="455">
        <f t="array" ref="J544">IFERROR(INDEX('Retirement Calculator'!K:K,MATCH('Lorri 401b'!N544,'Retirement Calculator'!A:A,0),0),0)</f>
        <v>16520.094745597391</v>
      </c>
      <c r="K544" s="455">
        <f t="shared" ca="1" si="53"/>
        <v>24961.243015625656</v>
      </c>
      <c r="L544" s="455">
        <f t="shared" ca="1" si="54"/>
        <v>6015659.5667657834</v>
      </c>
      <c r="M544" s="471">
        <f t="shared" si="56"/>
        <v>0.05</v>
      </c>
      <c r="N544" s="475">
        <f t="shared" si="57"/>
        <v>67604</v>
      </c>
    </row>
    <row r="545" spans="7:14" ht="11.25" customHeight="1" x14ac:dyDescent="0.3">
      <c r="G545" s="470">
        <f t="shared" si="59"/>
        <v>45</v>
      </c>
      <c r="H545" s="470">
        <v>538</v>
      </c>
      <c r="I545" s="455">
        <f t="shared" ca="1" si="55"/>
        <v>6015659.5667657834</v>
      </c>
      <c r="J545" s="455">
        <f t="array" ref="J545">IFERROR(INDEX('Retirement Calculator'!K:K,MATCH('Lorri 401b'!N545,'Retirement Calculator'!A:A,0),0),0)</f>
        <v>16520.094745597391</v>
      </c>
      <c r="K545" s="455">
        <f t="shared" ca="1" si="53"/>
        <v>24996.414466750772</v>
      </c>
      <c r="L545" s="455">
        <f t="shared" ca="1" si="54"/>
        <v>6024135.8864869364</v>
      </c>
      <c r="M545" s="471">
        <f t="shared" si="56"/>
        <v>0.05</v>
      </c>
      <c r="N545" s="475">
        <f t="shared" si="57"/>
        <v>67632</v>
      </c>
    </row>
    <row r="546" spans="7:14" ht="11.25" customHeight="1" x14ac:dyDescent="0.3">
      <c r="G546" s="470">
        <f t="shared" si="59"/>
        <v>45</v>
      </c>
      <c r="H546" s="470">
        <v>539</v>
      </c>
      <c r="I546" s="455">
        <f t="shared" ca="1" si="55"/>
        <v>6024135.8864869364</v>
      </c>
      <c r="J546" s="455">
        <f t="array" ref="J546">IFERROR(INDEX('Retirement Calculator'!K:K,MATCH('Lorri 401b'!N546,'Retirement Calculator'!A:A,0),0),0)</f>
        <v>16520.094745597391</v>
      </c>
      <c r="K546" s="455">
        <f t="shared" ca="1" si="53"/>
        <v>25031.73246558891</v>
      </c>
      <c r="L546" s="455">
        <f t="shared" ca="1" si="54"/>
        <v>6032647.524206927</v>
      </c>
      <c r="M546" s="471">
        <f t="shared" si="56"/>
        <v>0.05</v>
      </c>
      <c r="N546" s="475">
        <f t="shared" si="57"/>
        <v>67663</v>
      </c>
    </row>
    <row r="547" spans="7:14" ht="11.25" customHeight="1" x14ac:dyDescent="0.3">
      <c r="G547" s="470">
        <f t="shared" si="59"/>
        <v>45</v>
      </c>
      <c r="H547" s="470">
        <v>540</v>
      </c>
      <c r="I547" s="455">
        <f t="shared" ca="1" si="55"/>
        <v>6032647.524206927</v>
      </c>
      <c r="J547" s="455">
        <f t="array" ref="J547">IFERROR(INDEX('Retirement Calculator'!K:K,MATCH('Lorri 401b'!N547,'Retirement Calculator'!A:A,0),0),0)</f>
        <v>16520.094745597391</v>
      </c>
      <c r="K547" s="455">
        <f t="shared" ca="1" si="53"/>
        <v>25067.197622755539</v>
      </c>
      <c r="L547" s="455">
        <f t="shared" ca="1" si="54"/>
        <v>6041194.6270840848</v>
      </c>
      <c r="M547" s="471">
        <f t="shared" si="56"/>
        <v>0.05</v>
      </c>
      <c r="N547" s="475">
        <f t="shared" si="57"/>
        <v>67693</v>
      </c>
    </row>
    <row r="548" spans="7:14" ht="11.25" customHeight="1" x14ac:dyDescent="0.3">
      <c r="G548" s="470">
        <f>G547+1</f>
        <v>46</v>
      </c>
      <c r="H548" s="470">
        <v>541</v>
      </c>
      <c r="I548" s="455">
        <f t="shared" ca="1" si="55"/>
        <v>6041194.6270840848</v>
      </c>
      <c r="J548" s="455">
        <f t="array" ref="J548">IFERROR(INDEX('Retirement Calculator'!K:K,MATCH('Lorri 401b'!N548,'Retirement Calculator'!A:A,0),0),0)</f>
        <v>16520.094745597391</v>
      </c>
      <c r="K548" s="455">
        <f t="shared" ca="1" si="53"/>
        <v>25102.810551410363</v>
      </c>
      <c r="L548" s="455">
        <f t="shared" ca="1" si="54"/>
        <v>6049777.3428898975</v>
      </c>
      <c r="M548" s="471">
        <f t="shared" si="56"/>
        <v>0.05</v>
      </c>
      <c r="N548" s="475">
        <f t="shared" si="57"/>
        <v>67724</v>
      </c>
    </row>
    <row r="549" spans="7:14" ht="11.25" customHeight="1" x14ac:dyDescent="0.3">
      <c r="G549" s="470">
        <f t="shared" ref="G549:G559" si="60">G548</f>
        <v>46</v>
      </c>
      <c r="H549" s="470">
        <v>542</v>
      </c>
      <c r="I549" s="455">
        <f t="shared" ca="1" si="55"/>
        <v>6049777.3428898975</v>
      </c>
      <c r="J549" s="455">
        <f t="array" ref="J549">IFERROR(INDEX('Retirement Calculator'!K:K,MATCH('Lorri 401b'!N549,'Retirement Calculator'!A:A,0),0),0)</f>
        <v>16520.094745597391</v>
      </c>
      <c r="K549" s="455">
        <f t="shared" ca="1" si="53"/>
        <v>25138.571867267914</v>
      </c>
      <c r="L549" s="455">
        <f t="shared" ca="1" si="54"/>
        <v>6058395.8200115673</v>
      </c>
      <c r="M549" s="471">
        <f t="shared" si="56"/>
        <v>0.05</v>
      </c>
      <c r="N549" s="475">
        <f t="shared" si="57"/>
        <v>67754</v>
      </c>
    </row>
    <row r="550" spans="7:14" ht="11.25" customHeight="1" x14ac:dyDescent="0.3">
      <c r="G550" s="470">
        <f t="shared" si="60"/>
        <v>46</v>
      </c>
      <c r="H550" s="470">
        <v>543</v>
      </c>
      <c r="I550" s="455">
        <f t="shared" ca="1" si="55"/>
        <v>6058395.8200115673</v>
      </c>
      <c r="J550" s="455">
        <f t="array" ref="J550">IFERROR(INDEX('Retirement Calculator'!K:K,MATCH('Lorri 401b'!N550,'Retirement Calculator'!A:A,0),0),0)</f>
        <v>16520.094745597391</v>
      </c>
      <c r="K550" s="455">
        <f t="shared" ca="1" si="53"/>
        <v>25174.482188608206</v>
      </c>
      <c r="L550" s="455">
        <f t="shared" ca="1" si="54"/>
        <v>6067050.207454578</v>
      </c>
      <c r="M550" s="471">
        <f t="shared" si="56"/>
        <v>0.05</v>
      </c>
      <c r="N550" s="475">
        <f t="shared" si="57"/>
        <v>67785</v>
      </c>
    </row>
    <row r="551" spans="7:14" ht="11.25" customHeight="1" x14ac:dyDescent="0.3">
      <c r="G551" s="470">
        <f t="shared" si="60"/>
        <v>46</v>
      </c>
      <c r="H551" s="470">
        <v>544</v>
      </c>
      <c r="I551" s="455">
        <f t="shared" ca="1" si="55"/>
        <v>6067050.207454578</v>
      </c>
      <c r="J551" s="455">
        <f t="array" ref="J551">IFERROR(INDEX('Retirement Calculator'!K:K,MATCH('Lorri 401b'!N551,'Retirement Calculator'!A:A,0),0),0)</f>
        <v>16520.094745597391</v>
      </c>
      <c r="K551" s="455">
        <f t="shared" ca="1" si="53"/>
        <v>25210.542136287419</v>
      </c>
      <c r="L551" s="455">
        <f t="shared" ca="1" si="54"/>
        <v>6075740.6548452675</v>
      </c>
      <c r="M551" s="471">
        <f t="shared" si="56"/>
        <v>0.05</v>
      </c>
      <c r="N551" s="475">
        <f t="shared" si="57"/>
        <v>67816</v>
      </c>
    </row>
    <row r="552" spans="7:14" ht="11.25" customHeight="1" x14ac:dyDescent="0.3">
      <c r="G552" s="470">
        <f t="shared" si="60"/>
        <v>46</v>
      </c>
      <c r="H552" s="470">
        <v>545</v>
      </c>
      <c r="I552" s="455">
        <f t="shared" ca="1" si="55"/>
        <v>6075740.6548452675</v>
      </c>
      <c r="J552" s="455">
        <f t="array" ref="J552">IFERROR(INDEX('Retirement Calculator'!K:K,MATCH('Lorri 401b'!N552,'Retirement Calculator'!A:A,0),0),0)</f>
        <v>16520.094745597391</v>
      </c>
      <c r="K552" s="455">
        <f t="shared" ca="1" si="53"/>
        <v>25246.752333748624</v>
      </c>
      <c r="L552" s="455">
        <f t="shared" ca="1" si="54"/>
        <v>6084467.3124334188</v>
      </c>
      <c r="M552" s="471">
        <f t="shared" si="56"/>
        <v>0.05</v>
      </c>
      <c r="N552" s="475">
        <f t="shared" si="57"/>
        <v>67846</v>
      </c>
    </row>
    <row r="553" spans="7:14" ht="11.25" customHeight="1" x14ac:dyDescent="0.3">
      <c r="G553" s="470">
        <f t="shared" si="60"/>
        <v>46</v>
      </c>
      <c r="H553" s="470">
        <v>546</v>
      </c>
      <c r="I553" s="455">
        <f t="shared" ca="1" si="55"/>
        <v>6084467.3124334188</v>
      </c>
      <c r="J553" s="455">
        <f t="array" ref="J553">IFERROR(INDEX('Retirement Calculator'!K:K,MATCH('Lorri 401b'!N553,'Retirement Calculator'!A:A,0),0),0)</f>
        <v>16520.094745597391</v>
      </c>
      <c r="K553" s="455">
        <f t="shared" ca="1" si="53"/>
        <v>25283.113407032586</v>
      </c>
      <c r="L553" s="455">
        <f t="shared" ca="1" si="54"/>
        <v>6093230.3310948536</v>
      </c>
      <c r="M553" s="471">
        <f t="shared" si="56"/>
        <v>0.05</v>
      </c>
      <c r="N553" s="475">
        <f t="shared" si="57"/>
        <v>67877</v>
      </c>
    </row>
    <row r="554" spans="7:14" ht="11.25" customHeight="1" x14ac:dyDescent="0.3">
      <c r="G554" s="470">
        <f t="shared" si="60"/>
        <v>46</v>
      </c>
      <c r="H554" s="470">
        <v>547</v>
      </c>
      <c r="I554" s="455">
        <f t="shared" ca="1" si="55"/>
        <v>6093230.3310948536</v>
      </c>
      <c r="J554" s="455">
        <f t="array" ref="J554">IFERROR(INDEX('Retirement Calculator'!K:K,MATCH('Lorri 401b'!N554,'Retirement Calculator'!A:A,0),0),0)</f>
        <v>16520.094745597391</v>
      </c>
      <c r="K554" s="455">
        <f t="shared" ca="1" si="53"/>
        <v>25319.625984788567</v>
      </c>
      <c r="L554" s="455">
        <f t="shared" ca="1" si="54"/>
        <v>6102029.8623340447</v>
      </c>
      <c r="M554" s="471">
        <f t="shared" si="56"/>
        <v>0.05</v>
      </c>
      <c r="N554" s="475">
        <f t="shared" si="57"/>
        <v>67907</v>
      </c>
    </row>
    <row r="555" spans="7:14" ht="11.25" customHeight="1" x14ac:dyDescent="0.3">
      <c r="G555" s="470">
        <f t="shared" si="60"/>
        <v>46</v>
      </c>
      <c r="H555" s="470">
        <v>548</v>
      </c>
      <c r="I555" s="455">
        <f t="shared" ca="1" si="55"/>
        <v>6102029.8623340447</v>
      </c>
      <c r="J555" s="455">
        <f t="array" ref="J555">IFERROR(INDEX('Retirement Calculator'!K:K,MATCH('Lorri 401b'!N555,'Retirement Calculator'!A:A,0),0),0)</f>
        <v>16520.094745597391</v>
      </c>
      <c r="K555" s="455">
        <f t="shared" ca="1" si="53"/>
        <v>25356.290698285196</v>
      </c>
      <c r="L555" s="455">
        <f t="shared" ca="1" si="54"/>
        <v>6110866.0582867321</v>
      </c>
      <c r="M555" s="471">
        <f t="shared" si="56"/>
        <v>0.05</v>
      </c>
      <c r="N555" s="475">
        <f t="shared" si="57"/>
        <v>67938</v>
      </c>
    </row>
    <row r="556" spans="7:14" ht="11.25" customHeight="1" x14ac:dyDescent="0.3">
      <c r="G556" s="470">
        <f t="shared" si="60"/>
        <v>46</v>
      </c>
      <c r="H556" s="470">
        <v>549</v>
      </c>
      <c r="I556" s="455">
        <f t="shared" ca="1" si="55"/>
        <v>6110866.0582867321</v>
      </c>
      <c r="J556" s="455">
        <f t="array" ref="J556">IFERROR(INDEX('Retirement Calculator'!K:K,MATCH('Lorri 401b'!N556,'Retirement Calculator'!A:A,0),0),0)</f>
        <v>16520.094745597391</v>
      </c>
      <c r="K556" s="455">
        <f t="shared" ca="1" si="53"/>
        <v>25393.108181421394</v>
      </c>
      <c r="L556" s="455">
        <f t="shared" ca="1" si="54"/>
        <v>6119739.0717225559</v>
      </c>
      <c r="M556" s="471">
        <f t="shared" si="56"/>
        <v>0.05</v>
      </c>
      <c r="N556" s="475">
        <f t="shared" si="57"/>
        <v>67969</v>
      </c>
    </row>
    <row r="557" spans="7:14" ht="11.25" customHeight="1" x14ac:dyDescent="0.3">
      <c r="G557" s="470">
        <f t="shared" si="60"/>
        <v>46</v>
      </c>
      <c r="H557" s="470">
        <v>550</v>
      </c>
      <c r="I557" s="455">
        <f t="shared" ca="1" si="55"/>
        <v>6119739.0717225559</v>
      </c>
      <c r="J557" s="455">
        <f t="array" ref="J557">IFERROR(INDEX('Retirement Calculator'!K:K,MATCH('Lorri 401b'!N557,'Retirement Calculator'!A:A,0),0),0)</f>
        <v>16520.094745597391</v>
      </c>
      <c r="K557" s="455">
        <f t="shared" ca="1" si="53"/>
        <v>25430.079070737323</v>
      </c>
      <c r="L557" s="455">
        <f t="shared" ca="1" si="54"/>
        <v>6128649.0560476957</v>
      </c>
      <c r="M557" s="471">
        <f t="shared" si="56"/>
        <v>0.05</v>
      </c>
      <c r="N557" s="475">
        <f t="shared" si="57"/>
        <v>67997</v>
      </c>
    </row>
    <row r="558" spans="7:14" ht="11.25" customHeight="1" x14ac:dyDescent="0.3">
      <c r="G558" s="470">
        <f t="shared" si="60"/>
        <v>46</v>
      </c>
      <c r="H558" s="470">
        <v>551</v>
      </c>
      <c r="I558" s="455">
        <f t="shared" ca="1" si="55"/>
        <v>6128649.0560476957</v>
      </c>
      <c r="J558" s="455">
        <f t="array" ref="J558">IFERROR(INDEX('Retirement Calculator'!K:K,MATCH('Lorri 401b'!N558,'Retirement Calculator'!A:A,0),0),0)</f>
        <v>16520.094745597391</v>
      </c>
      <c r="K558" s="455">
        <f t="shared" ca="1" si="53"/>
        <v>25467.204005425407</v>
      </c>
      <c r="L558" s="455">
        <f t="shared" ca="1" si="54"/>
        <v>6137596.1653075237</v>
      </c>
      <c r="M558" s="471">
        <f t="shared" si="56"/>
        <v>0.05</v>
      </c>
      <c r="N558" s="475">
        <f t="shared" si="57"/>
        <v>68028</v>
      </c>
    </row>
    <row r="559" spans="7:14" ht="11.25" customHeight="1" x14ac:dyDescent="0.3">
      <c r="G559" s="470">
        <f t="shared" si="60"/>
        <v>46</v>
      </c>
      <c r="H559" s="470">
        <v>552</v>
      </c>
      <c r="I559" s="455">
        <f t="shared" ca="1" si="55"/>
        <v>6137596.1653075237</v>
      </c>
      <c r="J559" s="455">
        <f t="array" ref="J559">IFERROR(INDEX('Retirement Calculator'!K:K,MATCH('Lorri 401b'!N559,'Retirement Calculator'!A:A,0),0),0)</f>
        <v>16520.094745597391</v>
      </c>
      <c r="K559" s="455">
        <f t="shared" ca="1" si="53"/>
        <v>25504.483627341357</v>
      </c>
      <c r="L559" s="455">
        <f t="shared" ca="1" si="54"/>
        <v>6146580.5541892676</v>
      </c>
      <c r="M559" s="471">
        <f t="shared" si="56"/>
        <v>0.05</v>
      </c>
      <c r="N559" s="475">
        <f t="shared" si="57"/>
        <v>68058</v>
      </c>
    </row>
    <row r="560" spans="7:14" ht="11.25" customHeight="1" x14ac:dyDescent="0.3">
      <c r="G560" s="470">
        <f>G559+1</f>
        <v>47</v>
      </c>
      <c r="H560" s="470">
        <v>553</v>
      </c>
      <c r="I560" s="455">
        <f t="shared" ca="1" si="55"/>
        <v>6146580.5541892676</v>
      </c>
      <c r="J560" s="455">
        <f t="array" ref="J560">IFERROR(INDEX('Retirement Calculator'!K:K,MATCH('Lorri 401b'!N560,'Retirement Calculator'!A:A,0),0),0)</f>
        <v>16520.094745597391</v>
      </c>
      <c r="K560" s="455">
        <f t="shared" ca="1" si="53"/>
        <v>25541.918581015292</v>
      </c>
      <c r="L560" s="455">
        <f t="shared" ca="1" si="54"/>
        <v>6155602.3780246852</v>
      </c>
      <c r="M560" s="471">
        <f t="shared" si="56"/>
        <v>0.05</v>
      </c>
      <c r="N560" s="475">
        <f t="shared" si="57"/>
        <v>68089</v>
      </c>
    </row>
    <row r="561" spans="7:14" ht="11.25" customHeight="1" x14ac:dyDescent="0.3">
      <c r="G561" s="470">
        <f t="shared" ref="G561:G571" si="61">G560</f>
        <v>47</v>
      </c>
      <c r="H561" s="470">
        <v>554</v>
      </c>
      <c r="I561" s="455">
        <f t="shared" ca="1" si="55"/>
        <v>6155602.3780246852</v>
      </c>
      <c r="J561" s="455">
        <f t="array" ref="J561">IFERROR(INDEX('Retirement Calculator'!K:K,MATCH('Lorri 401b'!N561,'Retirement Calculator'!A:A,0),0),0)</f>
        <v>16520.094745597391</v>
      </c>
      <c r="K561" s="455">
        <f t="shared" ca="1" si="53"/>
        <v>25579.509513662862</v>
      </c>
      <c r="L561" s="455">
        <f t="shared" ca="1" si="54"/>
        <v>6164661.7927927505</v>
      </c>
      <c r="M561" s="471">
        <f t="shared" si="56"/>
        <v>0.05</v>
      </c>
      <c r="N561" s="475">
        <f t="shared" si="57"/>
        <v>68119</v>
      </c>
    </row>
    <row r="562" spans="7:14" ht="11.25" customHeight="1" x14ac:dyDescent="0.3">
      <c r="G562" s="470">
        <f t="shared" si="61"/>
        <v>47</v>
      </c>
      <c r="H562" s="470">
        <v>555</v>
      </c>
      <c r="I562" s="455">
        <f t="shared" ca="1" si="55"/>
        <v>6164661.7927927505</v>
      </c>
      <c r="J562" s="455">
        <f t="array" ref="J562">IFERROR(INDEX('Retirement Calculator'!K:K,MATCH('Lorri 401b'!N562,'Retirement Calculator'!A:A,0),0),0)</f>
        <v>16520.094745597391</v>
      </c>
      <c r="K562" s="455">
        <f t="shared" ca="1" si="53"/>
        <v>25617.25707519647</v>
      </c>
      <c r="L562" s="455">
        <f t="shared" ca="1" si="54"/>
        <v>6173758.9551223489</v>
      </c>
      <c r="M562" s="471">
        <f t="shared" si="56"/>
        <v>0.05</v>
      </c>
      <c r="N562" s="475">
        <f t="shared" si="57"/>
        <v>68150</v>
      </c>
    </row>
    <row r="563" spans="7:14" ht="11.25" customHeight="1" x14ac:dyDescent="0.3">
      <c r="G563" s="470">
        <f t="shared" si="61"/>
        <v>47</v>
      </c>
      <c r="H563" s="470">
        <v>556</v>
      </c>
      <c r="I563" s="455">
        <f t="shared" ca="1" si="55"/>
        <v>6173758.9551223489</v>
      </c>
      <c r="J563" s="455">
        <f t="array" ref="J563">IFERROR(INDEX('Retirement Calculator'!K:K,MATCH('Lorri 401b'!N563,'Retirement Calculator'!A:A,0),0),0)</f>
        <v>16520.094745597391</v>
      </c>
      <c r="K563" s="455">
        <f t="shared" ca="1" si="53"/>
        <v>25655.161918236463</v>
      </c>
      <c r="L563" s="455">
        <f t="shared" ca="1" si="54"/>
        <v>6182894.0222949879</v>
      </c>
      <c r="M563" s="471">
        <f t="shared" si="56"/>
        <v>0.05</v>
      </c>
      <c r="N563" s="475">
        <f t="shared" si="57"/>
        <v>68181</v>
      </c>
    </row>
    <row r="564" spans="7:14" ht="11.25" customHeight="1" x14ac:dyDescent="0.3">
      <c r="G564" s="470">
        <f t="shared" si="61"/>
        <v>47</v>
      </c>
      <c r="H564" s="470">
        <v>557</v>
      </c>
      <c r="I564" s="455">
        <f t="shared" ca="1" si="55"/>
        <v>6182894.0222949879</v>
      </c>
      <c r="J564" s="455">
        <f t="array" ref="J564">IFERROR(INDEX('Retirement Calculator'!K:K,MATCH('Lorri 401b'!N564,'Retirement Calculator'!A:A,0),0),0)</f>
        <v>16520.094745597391</v>
      </c>
      <c r="K564" s="455">
        <f t="shared" ca="1" si="53"/>
        <v>25693.22469812246</v>
      </c>
      <c r="L564" s="455">
        <f t="shared" ca="1" si="54"/>
        <v>6192067.1522475127</v>
      </c>
      <c r="M564" s="471">
        <f t="shared" si="56"/>
        <v>0.05</v>
      </c>
      <c r="N564" s="475">
        <f t="shared" si="57"/>
        <v>68211</v>
      </c>
    </row>
    <row r="565" spans="7:14" ht="11.25" customHeight="1" x14ac:dyDescent="0.3">
      <c r="G565" s="470">
        <f t="shared" si="61"/>
        <v>47</v>
      </c>
      <c r="H565" s="470">
        <v>558</v>
      </c>
      <c r="I565" s="455">
        <f t="shared" ca="1" si="55"/>
        <v>6192067.1522475127</v>
      </c>
      <c r="J565" s="455">
        <f t="array" ref="J565">IFERROR(INDEX('Retirement Calculator'!K:K,MATCH('Lorri 401b'!N565,'Retirement Calculator'!A:A,0),0),0)</f>
        <v>16520.094745597391</v>
      </c>
      <c r="K565" s="455">
        <f t="shared" ca="1" si="53"/>
        <v>25731.446072924646</v>
      </c>
      <c r="L565" s="455">
        <f t="shared" ca="1" si="54"/>
        <v>6201278.5035748398</v>
      </c>
      <c r="M565" s="471">
        <f t="shared" si="56"/>
        <v>0.05</v>
      </c>
      <c r="N565" s="475">
        <f t="shared" si="57"/>
        <v>68242</v>
      </c>
    </row>
    <row r="566" spans="7:14" ht="11.25" customHeight="1" x14ac:dyDescent="0.3">
      <c r="G566" s="470">
        <f t="shared" si="61"/>
        <v>47</v>
      </c>
      <c r="H566" s="470">
        <v>559</v>
      </c>
      <c r="I566" s="455">
        <f t="shared" ca="1" si="55"/>
        <v>6201278.5035748398</v>
      </c>
      <c r="J566" s="455">
        <f t="array" ref="J566">IFERROR(INDEX('Retirement Calculator'!K:K,MATCH('Lorri 401b'!N566,'Retirement Calculator'!A:A,0),0),0)</f>
        <v>16520.094745597391</v>
      </c>
      <c r="K566" s="455">
        <f t="shared" ca="1" si="53"/>
        <v>25769.826703455175</v>
      </c>
      <c r="L566" s="455">
        <f t="shared" ca="1" si="54"/>
        <v>6210528.2355326973</v>
      </c>
      <c r="M566" s="471">
        <f t="shared" si="56"/>
        <v>0.05</v>
      </c>
      <c r="N566" s="475">
        <f t="shared" si="57"/>
        <v>68272</v>
      </c>
    </row>
    <row r="567" spans="7:14" ht="11.25" customHeight="1" x14ac:dyDescent="0.3">
      <c r="G567" s="470">
        <f t="shared" si="61"/>
        <v>47</v>
      </c>
      <c r="H567" s="470">
        <v>560</v>
      </c>
      <c r="I567" s="455">
        <f t="shared" ca="1" si="55"/>
        <v>6210528.2355326973</v>
      </c>
      <c r="J567" s="455">
        <f t="array" ref="J567">IFERROR(INDEX('Retirement Calculator'!K:K,MATCH('Lorri 401b'!N567,'Retirement Calculator'!A:A,0),0),0)</f>
        <v>16520.094745597391</v>
      </c>
      <c r="K567" s="455">
        <f t="shared" ca="1" si="53"/>
        <v>25808.367253279583</v>
      </c>
      <c r="L567" s="455">
        <f t="shared" ca="1" si="54"/>
        <v>6219816.5080403788</v>
      </c>
      <c r="M567" s="471">
        <f t="shared" si="56"/>
        <v>0.05</v>
      </c>
      <c r="N567" s="475">
        <f t="shared" si="57"/>
        <v>68303</v>
      </c>
    </row>
    <row r="568" spans="7:14" ht="11.25" customHeight="1" x14ac:dyDescent="0.3">
      <c r="G568" s="470">
        <f t="shared" si="61"/>
        <v>47</v>
      </c>
      <c r="H568" s="470">
        <v>561</v>
      </c>
      <c r="I568" s="455">
        <f t="shared" ca="1" si="55"/>
        <v>6219816.5080403788</v>
      </c>
      <c r="J568" s="455">
        <f t="array" ref="J568">IFERROR(INDEX('Retirement Calculator'!K:K,MATCH('Lorri 401b'!N568,'Retirement Calculator'!A:A,0),0),0)</f>
        <v>16520.094745597391</v>
      </c>
      <c r="K568" s="455">
        <f t="shared" ca="1" si="53"/>
        <v>25847.068388728254</v>
      </c>
      <c r="L568" s="455">
        <f t="shared" ca="1" si="54"/>
        <v>6229143.4816835094</v>
      </c>
      <c r="M568" s="471">
        <f t="shared" si="56"/>
        <v>0.05</v>
      </c>
      <c r="N568" s="475">
        <f t="shared" si="57"/>
        <v>68334</v>
      </c>
    </row>
    <row r="569" spans="7:14" ht="11.25" customHeight="1" x14ac:dyDescent="0.3">
      <c r="G569" s="470">
        <f t="shared" si="61"/>
        <v>47</v>
      </c>
      <c r="H569" s="470">
        <v>562</v>
      </c>
      <c r="I569" s="455">
        <f t="shared" ca="1" si="55"/>
        <v>6229143.4816835094</v>
      </c>
      <c r="J569" s="455">
        <f t="array" ref="J569">IFERROR(INDEX('Retirement Calculator'!K:K,MATCH('Lorri 401b'!N569,'Retirement Calculator'!A:A,0),0),0)</f>
        <v>16520.094745597391</v>
      </c>
      <c r="K569" s="455">
        <f t="shared" ca="1" si="53"/>
        <v>25885.930778907965</v>
      </c>
      <c r="L569" s="455">
        <f t="shared" ca="1" si="54"/>
        <v>6238509.3177168192</v>
      </c>
      <c r="M569" s="471">
        <f t="shared" si="56"/>
        <v>0.05</v>
      </c>
      <c r="N569" s="475">
        <f t="shared" si="57"/>
        <v>68362</v>
      </c>
    </row>
    <row r="570" spans="7:14" ht="11.25" customHeight="1" x14ac:dyDescent="0.3">
      <c r="G570" s="470">
        <f t="shared" si="61"/>
        <v>47</v>
      </c>
      <c r="H570" s="470">
        <v>563</v>
      </c>
      <c r="I570" s="455">
        <f t="shared" ca="1" si="55"/>
        <v>6238509.3177168192</v>
      </c>
      <c r="J570" s="455">
        <f t="array" ref="J570">IFERROR(INDEX('Retirement Calculator'!K:K,MATCH('Lorri 401b'!N570,'Retirement Calculator'!A:A,0),0),0)</f>
        <v>16520.094745597391</v>
      </c>
      <c r="K570" s="455">
        <f t="shared" ca="1" si="53"/>
        <v>25924.955095713423</v>
      </c>
      <c r="L570" s="455">
        <f t="shared" ca="1" si="54"/>
        <v>6247914.1780669345</v>
      </c>
      <c r="M570" s="471">
        <f t="shared" si="56"/>
        <v>0.05</v>
      </c>
      <c r="N570" s="475">
        <f t="shared" si="57"/>
        <v>68393</v>
      </c>
    </row>
    <row r="571" spans="7:14" ht="11.25" customHeight="1" x14ac:dyDescent="0.3">
      <c r="G571" s="470">
        <f t="shared" si="61"/>
        <v>47</v>
      </c>
      <c r="H571" s="470">
        <v>564</v>
      </c>
      <c r="I571" s="455">
        <f t="shared" ca="1" si="55"/>
        <v>6247914.1780669345</v>
      </c>
      <c r="J571" s="455">
        <f t="array" ref="J571">IFERROR(INDEX('Retirement Calculator'!K:K,MATCH('Lorri 401b'!N571,'Retirement Calculator'!A:A,0),0),0)</f>
        <v>16520.094745597391</v>
      </c>
      <c r="K571" s="455">
        <f t="shared" ca="1" si="53"/>
        <v>25964.142013838904</v>
      </c>
      <c r="L571" s="455">
        <f t="shared" ca="1" si="54"/>
        <v>6257358.2253351752</v>
      </c>
      <c r="M571" s="471">
        <f t="shared" si="56"/>
        <v>0.05</v>
      </c>
      <c r="N571" s="475">
        <f t="shared" si="57"/>
        <v>68423</v>
      </c>
    </row>
    <row r="572" spans="7:14" ht="11.25" customHeight="1" x14ac:dyDescent="0.3">
      <c r="G572" s="470">
        <f>G571+1</f>
        <v>48</v>
      </c>
      <c r="H572" s="470">
        <v>565</v>
      </c>
      <c r="I572" s="455">
        <f t="shared" ca="1" si="55"/>
        <v>6257358.2253351752</v>
      </c>
      <c r="J572" s="455">
        <f t="array" ref="J572">IFERROR(INDEX('Retirement Calculator'!K:K,MATCH('Lorri 401b'!N572,'Retirement Calculator'!A:A,0),0),0)</f>
        <v>16520.094745597391</v>
      </c>
      <c r="K572" s="455">
        <f t="shared" ca="1" si="53"/>
        <v>26003.492210789904</v>
      </c>
      <c r="L572" s="455">
        <f t="shared" ca="1" si="54"/>
        <v>6266841.622800367</v>
      </c>
      <c r="M572" s="471">
        <f t="shared" si="56"/>
        <v>0.05</v>
      </c>
      <c r="N572" s="475">
        <f t="shared" si="57"/>
        <v>68454</v>
      </c>
    </row>
    <row r="573" spans="7:14" ht="11.25" customHeight="1" x14ac:dyDescent="0.3">
      <c r="G573" s="470">
        <f t="shared" ref="G573:G583" si="62">G572</f>
        <v>48</v>
      </c>
      <c r="H573" s="470">
        <v>566</v>
      </c>
      <c r="I573" s="455">
        <f t="shared" ca="1" si="55"/>
        <v>6266841.622800367</v>
      </c>
      <c r="J573" s="455">
        <f t="array" ref="J573">IFERROR(INDEX('Retirement Calculator'!K:K,MATCH('Lorri 401b'!N573,'Retirement Calculator'!A:A,0),0),0)</f>
        <v>16520.094745597391</v>
      </c>
      <c r="K573" s="455">
        <f t="shared" ca="1" si="53"/>
        <v>26043.006366894871</v>
      </c>
      <c r="L573" s="455">
        <f t="shared" ca="1" si="54"/>
        <v>6276364.5344216637</v>
      </c>
      <c r="M573" s="471">
        <f t="shared" si="56"/>
        <v>0.05</v>
      </c>
      <c r="N573" s="475">
        <f t="shared" si="57"/>
        <v>68484</v>
      </c>
    </row>
    <row r="574" spans="7:14" ht="11.25" customHeight="1" x14ac:dyDescent="0.3">
      <c r="G574" s="470">
        <f t="shared" si="62"/>
        <v>48</v>
      </c>
      <c r="H574" s="470">
        <v>567</v>
      </c>
      <c r="I574" s="455">
        <f t="shared" ca="1" si="55"/>
        <v>6276364.5344216637</v>
      </c>
      <c r="J574" s="455">
        <f t="array" ref="J574">IFERROR(INDEX('Retirement Calculator'!K:K,MATCH('Lorri 401b'!N574,'Retirement Calculator'!A:A,0),0),0)</f>
        <v>16520.094745597391</v>
      </c>
      <c r="K574" s="455">
        <f t="shared" ca="1" si="53"/>
        <v>26082.68516531694</v>
      </c>
      <c r="L574" s="455">
        <f t="shared" ca="1" si="54"/>
        <v>6285927.1248413827</v>
      </c>
      <c r="M574" s="471">
        <f t="shared" si="56"/>
        <v>0.05</v>
      </c>
      <c r="N574" s="475">
        <f t="shared" si="57"/>
        <v>68515</v>
      </c>
    </row>
    <row r="575" spans="7:14" ht="11.25" customHeight="1" x14ac:dyDescent="0.3">
      <c r="G575" s="470">
        <f t="shared" si="62"/>
        <v>48</v>
      </c>
      <c r="H575" s="470">
        <v>568</v>
      </c>
      <c r="I575" s="455">
        <f t="shared" ca="1" si="55"/>
        <v>6285927.1248413827</v>
      </c>
      <c r="J575" s="455">
        <f t="array" ref="J575">IFERROR(INDEX('Retirement Calculator'!K:K,MATCH('Lorri 401b'!N575,'Retirement Calculator'!A:A,0),0),0)</f>
        <v>16520.094745597391</v>
      </c>
      <c r="K575" s="455">
        <f t="shared" ca="1" si="53"/>
        <v>26122.52929206577</v>
      </c>
      <c r="L575" s="455">
        <f t="shared" ca="1" si="54"/>
        <v>6295529.5593878506</v>
      </c>
      <c r="M575" s="471">
        <f t="shared" si="56"/>
        <v>0.05</v>
      </c>
      <c r="N575" s="475">
        <f t="shared" si="57"/>
        <v>68546</v>
      </c>
    </row>
    <row r="576" spans="7:14" ht="11.25" customHeight="1" x14ac:dyDescent="0.3">
      <c r="G576" s="470">
        <f t="shared" si="62"/>
        <v>48</v>
      </c>
      <c r="H576" s="470">
        <v>569</v>
      </c>
      <c r="I576" s="455">
        <f t="shared" ca="1" si="55"/>
        <v>6295529.5593878506</v>
      </c>
      <c r="J576" s="455">
        <f t="array" ref="J576">IFERROR(INDEX('Retirement Calculator'!K:K,MATCH('Lorri 401b'!N576,'Retirement Calculator'!A:A,0),0),0)</f>
        <v>16520.094745597391</v>
      </c>
      <c r="K576" s="455">
        <f t="shared" ca="1" si="53"/>
        <v>26162.539436009385</v>
      </c>
      <c r="L576" s="455">
        <f t="shared" ca="1" si="54"/>
        <v>6305172.0040782625</v>
      </c>
      <c r="M576" s="471">
        <f t="shared" si="56"/>
        <v>0.05</v>
      </c>
      <c r="N576" s="475">
        <f t="shared" si="57"/>
        <v>68576</v>
      </c>
    </row>
    <row r="577" spans="7:14" ht="11.25" customHeight="1" x14ac:dyDescent="0.3">
      <c r="G577" s="470">
        <f t="shared" si="62"/>
        <v>48</v>
      </c>
      <c r="H577" s="470">
        <v>570</v>
      </c>
      <c r="I577" s="455">
        <f t="shared" ca="1" si="55"/>
        <v>6305172.0040782625</v>
      </c>
      <c r="J577" s="455">
        <f t="array" ref="J577">IFERROR(INDEX('Retirement Calculator'!K:K,MATCH('Lorri 401b'!N577,'Retirement Calculator'!A:A,0),0),0)</f>
        <v>16520.094745597391</v>
      </c>
      <c r="K577" s="455">
        <f t="shared" ca="1" si="53"/>
        <v>26202.716288886102</v>
      </c>
      <c r="L577" s="455">
        <f t="shared" ca="1" si="54"/>
        <v>6314854.6256215507</v>
      </c>
      <c r="M577" s="471">
        <f t="shared" si="56"/>
        <v>0.05</v>
      </c>
      <c r="N577" s="475">
        <f t="shared" si="57"/>
        <v>68607</v>
      </c>
    </row>
    <row r="578" spans="7:14" ht="11.25" customHeight="1" x14ac:dyDescent="0.3">
      <c r="G578" s="470">
        <f t="shared" si="62"/>
        <v>48</v>
      </c>
      <c r="H578" s="470">
        <v>571</v>
      </c>
      <c r="I578" s="455">
        <f t="shared" ca="1" si="55"/>
        <v>6314854.6256215507</v>
      </c>
      <c r="J578" s="455">
        <f t="array" ref="J578">IFERROR(INDEX('Retirement Calculator'!K:K,MATCH('Lorri 401b'!N578,'Retirement Calculator'!A:A,0),0),0)</f>
        <v>16520.094745597391</v>
      </c>
      <c r="K578" s="455">
        <f t="shared" ca="1" si="53"/>
        <v>26243.060545316472</v>
      </c>
      <c r="L578" s="455">
        <f t="shared" ca="1" si="54"/>
        <v>6324577.5914212698</v>
      </c>
      <c r="M578" s="471">
        <f t="shared" si="56"/>
        <v>0.05</v>
      </c>
      <c r="N578" s="475">
        <f t="shared" si="57"/>
        <v>68637</v>
      </c>
    </row>
    <row r="579" spans="7:14" ht="11.25" customHeight="1" x14ac:dyDescent="0.3">
      <c r="G579" s="470">
        <f t="shared" si="62"/>
        <v>48</v>
      </c>
      <c r="H579" s="470">
        <v>572</v>
      </c>
      <c r="I579" s="455">
        <f t="shared" ca="1" si="55"/>
        <v>6324577.5914212698</v>
      </c>
      <c r="J579" s="455">
        <f t="array" ref="J579">IFERROR(INDEX('Retirement Calculator'!K:K,MATCH('Lorri 401b'!N579,'Retirement Calculator'!A:A,0),0),0)</f>
        <v>16520.094745597391</v>
      </c>
      <c r="K579" s="455">
        <f t="shared" ca="1" si="53"/>
        <v>26283.5729028153</v>
      </c>
      <c r="L579" s="455">
        <f t="shared" ca="1" si="54"/>
        <v>6334341.0695784874</v>
      </c>
      <c r="M579" s="471">
        <f t="shared" si="56"/>
        <v>0.05</v>
      </c>
      <c r="N579" s="475">
        <f t="shared" si="57"/>
        <v>68668</v>
      </c>
    </row>
    <row r="580" spans="7:14" ht="11.25" customHeight="1" x14ac:dyDescent="0.3">
      <c r="G580" s="470">
        <f t="shared" si="62"/>
        <v>48</v>
      </c>
      <c r="H580" s="470">
        <v>573</v>
      </c>
      <c r="I580" s="455">
        <f t="shared" ca="1" si="55"/>
        <v>6334341.0695784874</v>
      </c>
      <c r="J580" s="455">
        <f t="array" ref="J580">IFERROR(INDEX('Retirement Calculator'!K:K,MATCH('Lorri 401b'!N580,'Retirement Calculator'!A:A,0),0),0)</f>
        <v>16520.094745597391</v>
      </c>
      <c r="K580" s="455">
        <f t="shared" ca="1" si="53"/>
        <v>26324.254061803706</v>
      </c>
      <c r="L580" s="455">
        <f t="shared" ca="1" si="54"/>
        <v>6344145.2288946938</v>
      </c>
      <c r="M580" s="471">
        <f t="shared" si="56"/>
        <v>0.05</v>
      </c>
      <c r="N580" s="475">
        <f t="shared" si="57"/>
        <v>68699</v>
      </c>
    </row>
    <row r="581" spans="7:14" ht="11.25" customHeight="1" x14ac:dyDescent="0.3">
      <c r="G581" s="470">
        <f t="shared" si="62"/>
        <v>48</v>
      </c>
      <c r="H581" s="470">
        <v>574</v>
      </c>
      <c r="I581" s="455">
        <f t="shared" ca="1" si="55"/>
        <v>6344145.2288946938</v>
      </c>
      <c r="J581" s="455">
        <f t="array" ref="J581">IFERROR(INDEX('Retirement Calculator'!K:K,MATCH('Lorri 401b'!N581,'Retirement Calculator'!A:A,0),0),0)</f>
        <v>16520.094745597391</v>
      </c>
      <c r="K581" s="455">
        <f t="shared" ca="1" si="53"/>
        <v>26365.104725621233</v>
      </c>
      <c r="L581" s="455">
        <f t="shared" ca="1" si="54"/>
        <v>6353990.2388747176</v>
      </c>
      <c r="M581" s="471">
        <f t="shared" si="56"/>
        <v>0.05</v>
      </c>
      <c r="N581" s="475">
        <f t="shared" si="57"/>
        <v>68728</v>
      </c>
    </row>
    <row r="582" spans="7:14" ht="11.25" customHeight="1" x14ac:dyDescent="0.3">
      <c r="G582" s="470">
        <f t="shared" si="62"/>
        <v>48</v>
      </c>
      <c r="H582" s="470">
        <v>575</v>
      </c>
      <c r="I582" s="455">
        <f t="shared" ca="1" si="55"/>
        <v>6353990.2388747176</v>
      </c>
      <c r="J582" s="455">
        <f t="array" ref="J582">IFERROR(INDEX('Retirement Calculator'!K:K,MATCH('Lorri 401b'!N582,'Retirement Calculator'!A:A,0),0),0)</f>
        <v>16520.094745597391</v>
      </c>
      <c r="K582" s="455">
        <f t="shared" ca="1" si="53"/>
        <v>26406.125600537998</v>
      </c>
      <c r="L582" s="455">
        <f t="shared" ca="1" si="54"/>
        <v>6363876.269729658</v>
      </c>
      <c r="M582" s="471">
        <f t="shared" si="56"/>
        <v>0.05</v>
      </c>
      <c r="N582" s="475">
        <f t="shared" si="57"/>
        <v>68759</v>
      </c>
    </row>
    <row r="583" spans="7:14" ht="11.25" customHeight="1" x14ac:dyDescent="0.3">
      <c r="G583" s="470">
        <f t="shared" si="62"/>
        <v>48</v>
      </c>
      <c r="H583" s="470">
        <v>576</v>
      </c>
      <c r="I583" s="455">
        <f t="shared" ca="1" si="55"/>
        <v>6363876.269729658</v>
      </c>
      <c r="J583" s="455">
        <f t="array" ref="J583">IFERROR(INDEX('Retirement Calculator'!K:K,MATCH('Lorri 401b'!N583,'Retirement Calculator'!A:A,0),0),0)</f>
        <v>16520.094745597391</v>
      </c>
      <c r="K583" s="455">
        <f t="shared" ca="1" si="53"/>
        <v>26447.317395766917</v>
      </c>
      <c r="L583" s="455">
        <f t="shared" ca="1" si="54"/>
        <v>6373803.4923798274</v>
      </c>
      <c r="M583" s="471">
        <f t="shared" si="56"/>
        <v>0.05</v>
      </c>
      <c r="N583" s="475">
        <f t="shared" si="57"/>
        <v>68789</v>
      </c>
    </row>
    <row r="584" spans="7:14" ht="11.25" customHeight="1" x14ac:dyDescent="0.3">
      <c r="G584" s="470">
        <f>G583+1</f>
        <v>49</v>
      </c>
      <c r="H584" s="470">
        <v>577</v>
      </c>
      <c r="I584" s="455">
        <f t="shared" ca="1" si="55"/>
        <v>6373803.4923798274</v>
      </c>
      <c r="J584" s="455">
        <f t="array" ref="J584">IFERROR(INDEX('Retirement Calculator'!K:K,MATCH('Lorri 401b'!N584,'Retirement Calculator'!A:A,0),0),0)</f>
        <v>16520.094745597391</v>
      </c>
      <c r="K584" s="455">
        <f t="shared" ca="1" si="53"/>
        <v>26488.680823475956</v>
      </c>
      <c r="L584" s="455">
        <f t="shared" ca="1" si="54"/>
        <v>6383772.0784577057</v>
      </c>
      <c r="M584" s="471">
        <f t="shared" si="56"/>
        <v>0.05</v>
      </c>
      <c r="N584" s="475">
        <f t="shared" si="57"/>
        <v>68820</v>
      </c>
    </row>
    <row r="585" spans="7:14" ht="11.25" customHeight="1" x14ac:dyDescent="0.3">
      <c r="G585" s="470">
        <f t="shared" ref="G585:G595" si="63">G584</f>
        <v>49</v>
      </c>
      <c r="H585" s="470">
        <v>578</v>
      </c>
      <c r="I585" s="455">
        <f t="shared" ca="1" si="55"/>
        <v>6383772.0784577057</v>
      </c>
      <c r="J585" s="455">
        <f t="array" ref="J585">IFERROR(INDEX('Retirement Calculator'!K:K,MATCH('Lorri 401b'!N585,'Retirement Calculator'!A:A,0),0),0)</f>
        <v>16520.094745597391</v>
      </c>
      <c r="K585" s="455">
        <f t="shared" ca="1" si="53"/>
        <v>26530.216598800449</v>
      </c>
      <c r="L585" s="455">
        <f t="shared" ca="1" si="54"/>
        <v>6393782.2003109083</v>
      </c>
      <c r="M585" s="471">
        <f t="shared" si="56"/>
        <v>0.05</v>
      </c>
      <c r="N585" s="475">
        <f t="shared" si="57"/>
        <v>68850</v>
      </c>
    </row>
    <row r="586" spans="7:14" ht="11.25" customHeight="1" x14ac:dyDescent="0.3">
      <c r="G586" s="470">
        <f t="shared" si="63"/>
        <v>49</v>
      </c>
      <c r="H586" s="470">
        <v>579</v>
      </c>
      <c r="I586" s="455">
        <f t="shared" ca="1" si="55"/>
        <v>6393782.2003109083</v>
      </c>
      <c r="J586" s="455">
        <f t="array" ref="J586">IFERROR(INDEX('Retirement Calculator'!K:K,MATCH('Lorri 401b'!N586,'Retirement Calculator'!A:A,0),0),0)</f>
        <v>16520.094745597391</v>
      </c>
      <c r="K586" s="455">
        <f t="shared" ca="1" si="53"/>
        <v>26571.925439855459</v>
      </c>
      <c r="L586" s="455">
        <f t="shared" ca="1" si="54"/>
        <v>6403834.0310051655</v>
      </c>
      <c r="M586" s="471">
        <f t="shared" si="56"/>
        <v>0.05</v>
      </c>
      <c r="N586" s="475">
        <f t="shared" si="57"/>
        <v>68881</v>
      </c>
    </row>
    <row r="587" spans="7:14" ht="11.25" customHeight="1" x14ac:dyDescent="0.3">
      <c r="G587" s="470">
        <f t="shared" si="63"/>
        <v>49</v>
      </c>
      <c r="H587" s="470">
        <v>580</v>
      </c>
      <c r="I587" s="455">
        <f t="shared" ca="1" si="55"/>
        <v>6403834.0310051655</v>
      </c>
      <c r="J587" s="455">
        <f t="array" ref="J587">IFERROR(INDEX('Retirement Calculator'!K:K,MATCH('Lorri 401b'!N587,'Retirement Calculator'!A:A,0),0),0)</f>
        <v>16520.094745597391</v>
      </c>
      <c r="K587" s="455">
        <f t="shared" ca="1" si="53"/>
        <v>26613.808067748199</v>
      </c>
      <c r="L587" s="455">
        <f t="shared" ca="1" si="54"/>
        <v>6413927.7443273161</v>
      </c>
      <c r="M587" s="471">
        <f t="shared" si="56"/>
        <v>0.05</v>
      </c>
      <c r="N587" s="475">
        <f t="shared" si="57"/>
        <v>68912</v>
      </c>
    </row>
    <row r="588" spans="7:14" ht="11.25" customHeight="1" x14ac:dyDescent="0.3">
      <c r="G588" s="470">
        <f t="shared" si="63"/>
        <v>49</v>
      </c>
      <c r="H588" s="470">
        <v>581</v>
      </c>
      <c r="I588" s="455">
        <f t="shared" ca="1" si="55"/>
        <v>6413927.7443273161</v>
      </c>
      <c r="J588" s="455">
        <f t="array" ref="J588">IFERROR(INDEX('Retirement Calculator'!K:K,MATCH('Lorri 401b'!N588,'Retirement Calculator'!A:A,0),0),0)</f>
        <v>16520.094745597391</v>
      </c>
      <c r="K588" s="455">
        <f t="shared" ca="1" si="53"/>
        <v>26655.865206590493</v>
      </c>
      <c r="L588" s="455">
        <f t="shared" ca="1" si="54"/>
        <v>6424063.5147883091</v>
      </c>
      <c r="M588" s="471">
        <f t="shared" si="56"/>
        <v>0.05</v>
      </c>
      <c r="N588" s="475">
        <f t="shared" si="57"/>
        <v>68942</v>
      </c>
    </row>
    <row r="589" spans="7:14" ht="11.25" customHeight="1" x14ac:dyDescent="0.3">
      <c r="G589" s="470">
        <f t="shared" si="63"/>
        <v>49</v>
      </c>
      <c r="H589" s="470">
        <v>582</v>
      </c>
      <c r="I589" s="455">
        <f t="shared" ca="1" si="55"/>
        <v>6424063.5147883091</v>
      </c>
      <c r="J589" s="455">
        <f t="array" ref="J589">IFERROR(INDEX('Retirement Calculator'!K:K,MATCH('Lorri 401b'!N589,'Retirement Calculator'!A:A,0),0),0)</f>
        <v>16520.094745597391</v>
      </c>
      <c r="K589" s="455">
        <f t="shared" ca="1" si="53"/>
        <v>26698.097583511295</v>
      </c>
      <c r="L589" s="455">
        <f t="shared" ca="1" si="54"/>
        <v>6434241.5176262222</v>
      </c>
      <c r="M589" s="471">
        <f t="shared" si="56"/>
        <v>0.05</v>
      </c>
      <c r="N589" s="475">
        <f t="shared" si="57"/>
        <v>68973</v>
      </c>
    </row>
    <row r="590" spans="7:14" ht="11.25" customHeight="1" x14ac:dyDescent="0.3">
      <c r="G590" s="470">
        <f t="shared" si="63"/>
        <v>49</v>
      </c>
      <c r="H590" s="470">
        <v>583</v>
      </c>
      <c r="I590" s="455">
        <f t="shared" ca="1" si="55"/>
        <v>6434241.5176262222</v>
      </c>
      <c r="J590" s="455">
        <f t="array" ref="J590">IFERROR(INDEX('Retirement Calculator'!K:K,MATCH('Lorri 401b'!N590,'Retirement Calculator'!A:A,0),0),0)</f>
        <v>16520.094745597391</v>
      </c>
      <c r="K590" s="455">
        <f t="shared" ca="1" si="53"/>
        <v>26740.505928669267</v>
      </c>
      <c r="L590" s="455">
        <f t="shared" ca="1" si="54"/>
        <v>6444461.9288092935</v>
      </c>
      <c r="M590" s="471">
        <f t="shared" si="56"/>
        <v>0.05</v>
      </c>
      <c r="N590" s="475">
        <f t="shared" si="57"/>
        <v>69003</v>
      </c>
    </row>
    <row r="591" spans="7:14" ht="11.25" customHeight="1" x14ac:dyDescent="0.3">
      <c r="G591" s="470">
        <f t="shared" si="63"/>
        <v>49</v>
      </c>
      <c r="H591" s="470">
        <v>584</v>
      </c>
      <c r="I591" s="455">
        <f t="shared" ca="1" si="55"/>
        <v>6444461.9288092935</v>
      </c>
      <c r="J591" s="455">
        <f t="array" ref="J591">IFERROR(INDEX('Retirement Calculator'!K:K,MATCH('Lorri 401b'!N591,'Retirement Calculator'!A:A,0),0),0)</f>
        <v>16520.094745597391</v>
      </c>
      <c r="K591" s="455">
        <f t="shared" ca="1" si="53"/>
        <v>26783.090975265397</v>
      </c>
      <c r="L591" s="455">
        <f t="shared" ca="1" si="54"/>
        <v>6454724.9250389608</v>
      </c>
      <c r="M591" s="471">
        <f t="shared" si="56"/>
        <v>0.05</v>
      </c>
      <c r="N591" s="475">
        <f t="shared" si="57"/>
        <v>69034</v>
      </c>
    </row>
    <row r="592" spans="7:14" ht="11.25" customHeight="1" x14ac:dyDescent="0.3">
      <c r="G592" s="470">
        <f t="shared" si="63"/>
        <v>49</v>
      </c>
      <c r="H592" s="470">
        <v>585</v>
      </c>
      <c r="I592" s="455">
        <f t="shared" ca="1" si="55"/>
        <v>6454724.9250389608</v>
      </c>
      <c r="J592" s="455">
        <f t="array" ref="J592">IFERROR(INDEX('Retirement Calculator'!K:K,MATCH('Lorri 401b'!N592,'Retirement Calculator'!A:A,0),0),0)</f>
        <v>16520.094745597391</v>
      </c>
      <c r="K592" s="455">
        <f t="shared" ca="1" si="53"/>
        <v>26825.853459555678</v>
      </c>
      <c r="L592" s="455">
        <f t="shared" ca="1" si="54"/>
        <v>6465030.6837529186</v>
      </c>
      <c r="M592" s="471">
        <f t="shared" si="56"/>
        <v>0.05</v>
      </c>
      <c r="N592" s="475">
        <f t="shared" si="57"/>
        <v>69065</v>
      </c>
    </row>
    <row r="593" spans="7:14" ht="11.25" customHeight="1" x14ac:dyDescent="0.3">
      <c r="G593" s="470">
        <f t="shared" si="63"/>
        <v>49</v>
      </c>
      <c r="H593" s="470">
        <v>586</v>
      </c>
      <c r="I593" s="455">
        <f t="shared" ca="1" si="55"/>
        <v>6465030.6837529186</v>
      </c>
      <c r="J593" s="455">
        <f t="array" ref="J593">IFERROR(INDEX('Retirement Calculator'!K:K,MATCH('Lorri 401b'!N593,'Retirement Calculator'!A:A,0),0),0)</f>
        <v>16520.094745597391</v>
      </c>
      <c r="K593" s="455">
        <f t="shared" ca="1" si="53"/>
        <v>26868.794120863837</v>
      </c>
      <c r="L593" s="455">
        <f t="shared" ca="1" si="54"/>
        <v>6475379.3831281848</v>
      </c>
      <c r="M593" s="471">
        <f t="shared" si="56"/>
        <v>0.05</v>
      </c>
      <c r="N593" s="475">
        <f t="shared" si="57"/>
        <v>69093</v>
      </c>
    </row>
    <row r="594" spans="7:14" ht="11.25" customHeight="1" x14ac:dyDescent="0.3">
      <c r="G594" s="470">
        <f t="shared" si="63"/>
        <v>49</v>
      </c>
      <c r="H594" s="470">
        <v>587</v>
      </c>
      <c r="I594" s="455">
        <f t="shared" ca="1" si="55"/>
        <v>6475379.3831281848</v>
      </c>
      <c r="J594" s="455">
        <f t="array" ref="J594">IFERROR(INDEX('Retirement Calculator'!K:K,MATCH('Lorri 401b'!N594,'Retirement Calculator'!A:A,0),0),0)</f>
        <v>16520.094745597391</v>
      </c>
      <c r="K594" s="455">
        <f t="shared" ca="1" si="53"/>
        <v>26911.913701594112</v>
      </c>
      <c r="L594" s="455">
        <f t="shared" ca="1" si="54"/>
        <v>6485771.2020841809</v>
      </c>
      <c r="M594" s="471">
        <f t="shared" si="56"/>
        <v>0.05</v>
      </c>
      <c r="N594" s="475">
        <f t="shared" si="57"/>
        <v>69124</v>
      </c>
    </row>
    <row r="595" spans="7:14" ht="11.25" customHeight="1" x14ac:dyDescent="0.3">
      <c r="G595" s="470">
        <f t="shared" si="63"/>
        <v>49</v>
      </c>
      <c r="H595" s="470">
        <v>588</v>
      </c>
      <c r="I595" s="455">
        <f t="shared" ca="1" si="55"/>
        <v>6485771.2020841809</v>
      </c>
      <c r="J595" s="455">
        <f t="array" ref="J595">IFERROR(INDEX('Retirement Calculator'!K:K,MATCH('Lorri 401b'!N595,'Retirement Calculator'!A:A,0),0),0)</f>
        <v>16520.094745597391</v>
      </c>
      <c r="K595" s="455">
        <f t="shared" ca="1" si="53"/>
        <v>26955.212947244097</v>
      </c>
      <c r="L595" s="455">
        <f t="shared" ca="1" si="54"/>
        <v>6496206.3202858269</v>
      </c>
      <c r="M595" s="471">
        <f t="shared" si="56"/>
        <v>0.05</v>
      </c>
      <c r="N595" s="475">
        <f t="shared" si="57"/>
        <v>69154</v>
      </c>
    </row>
    <row r="596" spans="7:14" ht="11.25" customHeight="1" x14ac:dyDescent="0.3">
      <c r="G596" s="470">
        <f>G595+1</f>
        <v>50</v>
      </c>
      <c r="H596" s="470">
        <v>589</v>
      </c>
      <c r="I596" s="455">
        <f t="shared" ca="1" si="55"/>
        <v>6496206.3202858269</v>
      </c>
      <c r="J596" s="455">
        <f t="array" ref="J596">IFERROR(INDEX('Retirement Calculator'!K:K,MATCH('Lorri 401b'!N596,'Retirement Calculator'!A:A,0),0),0)</f>
        <v>16520.094745597391</v>
      </c>
      <c r="K596" s="455">
        <f t="shared" ca="1" si="53"/>
        <v>26998.692606417622</v>
      </c>
      <c r="L596" s="455">
        <f t="shared" ca="1" si="54"/>
        <v>6506684.9181466466</v>
      </c>
      <c r="M596" s="471">
        <f t="shared" si="56"/>
        <v>0.05</v>
      </c>
      <c r="N596" s="475">
        <f t="shared" si="57"/>
        <v>69185</v>
      </c>
    </row>
    <row r="597" spans="7:14" ht="11.25" customHeight="1" x14ac:dyDescent="0.3">
      <c r="G597" s="470">
        <f t="shared" ref="G597:G607" si="64">G596</f>
        <v>50</v>
      </c>
      <c r="H597" s="470">
        <v>590</v>
      </c>
      <c r="I597" s="455">
        <f t="shared" ca="1" si="55"/>
        <v>6506684.9181466466</v>
      </c>
      <c r="J597" s="455">
        <f t="array" ref="J597">IFERROR(INDEX('Retirement Calculator'!K:K,MATCH('Lorri 401b'!N597,'Retirement Calculator'!A:A,0),0),0)</f>
        <v>16520.094745597391</v>
      </c>
      <c r="K597" s="455">
        <f t="shared" ca="1" si="53"/>
        <v>27042.353430837702</v>
      </c>
      <c r="L597" s="455">
        <f t="shared" ca="1" si="54"/>
        <v>6517207.1768318862</v>
      </c>
      <c r="M597" s="471">
        <f t="shared" si="56"/>
        <v>0.05</v>
      </c>
      <c r="N597" s="475">
        <f t="shared" si="57"/>
        <v>69215</v>
      </c>
    </row>
    <row r="598" spans="7:14" ht="11.25" customHeight="1" x14ac:dyDescent="0.3">
      <c r="G598" s="470">
        <f t="shared" si="64"/>
        <v>50</v>
      </c>
      <c r="H598" s="470">
        <v>591</v>
      </c>
      <c r="I598" s="455">
        <f t="shared" ca="1" si="55"/>
        <v>6517207.1768318862</v>
      </c>
      <c r="J598" s="455">
        <f t="array" ref="J598">IFERROR(INDEX('Retirement Calculator'!K:K,MATCH('Lorri 401b'!N598,'Retirement Calculator'!A:A,0),0),0)</f>
        <v>16520.094745597391</v>
      </c>
      <c r="K598" s="455">
        <f t="shared" ca="1" si="53"/>
        <v>27086.196175359535</v>
      </c>
      <c r="L598" s="455">
        <f t="shared" ca="1" si="54"/>
        <v>6527773.2782616476</v>
      </c>
      <c r="M598" s="471">
        <f t="shared" si="56"/>
        <v>0.05</v>
      </c>
      <c r="N598" s="475">
        <f t="shared" si="57"/>
        <v>69246</v>
      </c>
    </row>
    <row r="599" spans="7:14" ht="11.25" customHeight="1" x14ac:dyDescent="0.3">
      <c r="G599" s="470">
        <f t="shared" si="64"/>
        <v>50</v>
      </c>
      <c r="H599" s="470">
        <v>592</v>
      </c>
      <c r="I599" s="455">
        <f t="shared" ca="1" si="55"/>
        <v>6527773.2782616476</v>
      </c>
      <c r="J599" s="455">
        <f t="array" ref="J599">IFERROR(INDEX('Retirement Calculator'!K:K,MATCH('Lorri 401b'!N599,'Retirement Calculator'!A:A,0),0),0)</f>
        <v>16520.094745597391</v>
      </c>
      <c r="K599" s="455">
        <f t="shared" ca="1" si="53"/>
        <v>27130.221597983542</v>
      </c>
      <c r="L599" s="455">
        <f t="shared" ca="1" si="54"/>
        <v>6538383.4051140333</v>
      </c>
      <c r="M599" s="471">
        <f t="shared" si="56"/>
        <v>0.05</v>
      </c>
      <c r="N599" s="475">
        <f t="shared" si="57"/>
        <v>69277</v>
      </c>
    </row>
    <row r="600" spans="7:14" ht="11.25" customHeight="1" x14ac:dyDescent="0.3">
      <c r="G600" s="470">
        <f t="shared" si="64"/>
        <v>50</v>
      </c>
      <c r="H600" s="470">
        <v>593</v>
      </c>
      <c r="I600" s="455">
        <f t="shared" ca="1" si="55"/>
        <v>6538383.4051140333</v>
      </c>
      <c r="J600" s="455">
        <f t="array" ref="J600">IFERROR(INDEX('Retirement Calculator'!K:K,MATCH('Lorri 401b'!N600,'Retirement Calculator'!A:A,0),0),0)</f>
        <v>16520.094745597391</v>
      </c>
      <c r="K600" s="455">
        <f t="shared" ca="1" si="53"/>
        <v>27174.430459868479</v>
      </c>
      <c r="L600" s="455">
        <f t="shared" ca="1" si="54"/>
        <v>6549037.7408283036</v>
      </c>
      <c r="M600" s="471">
        <f t="shared" si="56"/>
        <v>0.05</v>
      </c>
      <c r="N600" s="475">
        <f t="shared" si="57"/>
        <v>69307</v>
      </c>
    </row>
    <row r="601" spans="7:14" ht="11.25" customHeight="1" x14ac:dyDescent="0.3">
      <c r="G601" s="470">
        <f t="shared" si="64"/>
        <v>50</v>
      </c>
      <c r="H601" s="470">
        <v>594</v>
      </c>
      <c r="I601" s="455">
        <f t="shared" ca="1" si="55"/>
        <v>6549037.7408283036</v>
      </c>
      <c r="J601" s="455">
        <f t="array" ref="J601">IFERROR(INDEX('Retirement Calculator'!K:K,MATCH('Lorri 401b'!N601,'Retirement Calculator'!A:A,0),0),0)</f>
        <v>16520.094745597391</v>
      </c>
      <c r="K601" s="455">
        <f t="shared" ca="1" si="53"/>
        <v>27218.823525344607</v>
      </c>
      <c r="L601" s="455">
        <f t="shared" ca="1" si="54"/>
        <v>6559736.4696080508</v>
      </c>
      <c r="M601" s="471">
        <f t="shared" si="56"/>
        <v>0.05</v>
      </c>
      <c r="N601" s="475">
        <f t="shared" si="57"/>
        <v>69338</v>
      </c>
    </row>
    <row r="602" spans="7:14" ht="11.25" customHeight="1" x14ac:dyDescent="0.3">
      <c r="G602" s="470">
        <f t="shared" si="64"/>
        <v>50</v>
      </c>
      <c r="H602" s="470">
        <v>595</v>
      </c>
      <c r="I602" s="455">
        <f t="shared" ca="1" si="55"/>
        <v>6559736.4696080508</v>
      </c>
      <c r="J602" s="455">
        <f t="array" ref="J602">IFERROR(INDEX('Retirement Calculator'!K:K,MATCH('Lorri 401b'!N602,'Retirement Calculator'!A:A,0),0),0)</f>
        <v>16520.094745597391</v>
      </c>
      <c r="K602" s="455">
        <f t="shared" ca="1" si="53"/>
        <v>27263.401561926887</v>
      </c>
      <c r="L602" s="455">
        <f t="shared" ca="1" si="54"/>
        <v>6570479.77642438</v>
      </c>
      <c r="M602" s="471">
        <f t="shared" si="56"/>
        <v>0.05</v>
      </c>
      <c r="N602" s="475">
        <f t="shared" si="57"/>
        <v>69368</v>
      </c>
    </row>
    <row r="603" spans="7:14" ht="11.25" customHeight="1" x14ac:dyDescent="0.3">
      <c r="G603" s="470">
        <f t="shared" si="64"/>
        <v>50</v>
      </c>
      <c r="H603" s="470">
        <v>596</v>
      </c>
      <c r="I603" s="455">
        <f t="shared" ca="1" si="55"/>
        <v>6570479.77642438</v>
      </c>
      <c r="J603" s="455">
        <f t="array" ref="J603">IFERROR(INDEX('Retirement Calculator'!K:K,MATCH('Lorri 401b'!N603,'Retirement Calculator'!A:A,0),0),0)</f>
        <v>16520.094745597391</v>
      </c>
      <c r="K603" s="455">
        <f t="shared" ca="1" si="53"/>
        <v>27308.165340328262</v>
      </c>
      <c r="L603" s="455">
        <f t="shared" ca="1" si="54"/>
        <v>6581267.8470191108</v>
      </c>
      <c r="M603" s="471">
        <f t="shared" si="56"/>
        <v>0.05</v>
      </c>
      <c r="N603" s="475">
        <f t="shared" si="57"/>
        <v>69399</v>
      </c>
    </row>
    <row r="604" spans="7:14" ht="11.25" customHeight="1" x14ac:dyDescent="0.3">
      <c r="G604" s="470">
        <f t="shared" si="64"/>
        <v>50</v>
      </c>
      <c r="H604" s="470">
        <v>597</v>
      </c>
      <c r="I604" s="455">
        <f t="shared" ca="1" si="55"/>
        <v>6581267.8470191108</v>
      </c>
      <c r="J604" s="455">
        <f t="array" ref="J604">IFERROR(INDEX('Retirement Calculator'!K:K,MATCH('Lorri 401b'!N604,'Retirement Calculator'!A:A,0),0),0)</f>
        <v>16520.094745597391</v>
      </c>
      <c r="K604" s="455">
        <f t="shared" ca="1" si="53"/>
        <v>27353.115634472972</v>
      </c>
      <c r="L604" s="455">
        <f t="shared" ca="1" si="54"/>
        <v>6592100.867907986</v>
      </c>
      <c r="M604" s="471">
        <f t="shared" si="56"/>
        <v>0.05</v>
      </c>
      <c r="N604" s="475">
        <f t="shared" si="57"/>
        <v>69430</v>
      </c>
    </row>
    <row r="605" spans="7:14" ht="11.25" customHeight="1" x14ac:dyDescent="0.3">
      <c r="G605" s="470">
        <f t="shared" si="64"/>
        <v>50</v>
      </c>
      <c r="H605" s="470">
        <v>598</v>
      </c>
      <c r="I605" s="455">
        <f t="shared" ca="1" si="55"/>
        <v>6592100.867907986</v>
      </c>
      <c r="J605" s="455">
        <f t="array" ref="J605">IFERROR(INDEX('Retirement Calculator'!K:K,MATCH('Lorri 401b'!N605,'Retirement Calculator'!A:A,0),0),0)</f>
        <v>16520.094745597391</v>
      </c>
      <c r="K605" s="455">
        <f t="shared" ca="1" si="53"/>
        <v>27398.253221509949</v>
      </c>
      <c r="L605" s="455">
        <f t="shared" ca="1" si="54"/>
        <v>6602979.0263838982</v>
      </c>
      <c r="M605" s="471">
        <f t="shared" si="56"/>
        <v>0.05</v>
      </c>
      <c r="N605" s="475">
        <f t="shared" si="57"/>
        <v>69458</v>
      </c>
    </row>
    <row r="606" spans="7:14" ht="11.25" customHeight="1" x14ac:dyDescent="0.3">
      <c r="G606" s="470">
        <f t="shared" si="64"/>
        <v>50</v>
      </c>
      <c r="H606" s="470">
        <v>599</v>
      </c>
      <c r="I606" s="455">
        <f t="shared" ca="1" si="55"/>
        <v>6602979.0263838982</v>
      </c>
      <c r="J606" s="455">
        <f t="array" ref="J606">IFERROR(INDEX('Retirement Calculator'!K:K,MATCH('Lorri 401b'!N606,'Retirement Calculator'!A:A,0),0),0)</f>
        <v>16520.094745597391</v>
      </c>
      <c r="K606" s="455">
        <f t="shared" ca="1" si="53"/>
        <v>27443.578881826252</v>
      </c>
      <c r="L606" s="455">
        <f t="shared" ca="1" si="54"/>
        <v>6613902.5105201267</v>
      </c>
      <c r="M606" s="471">
        <f t="shared" si="56"/>
        <v>0.05</v>
      </c>
      <c r="N606" s="475">
        <f t="shared" si="57"/>
        <v>69489</v>
      </c>
    </row>
    <row r="607" spans="7:14" ht="11.25" customHeight="1" x14ac:dyDescent="0.3">
      <c r="G607" s="470">
        <f t="shared" si="64"/>
        <v>50</v>
      </c>
      <c r="H607" s="470">
        <v>600</v>
      </c>
      <c r="I607" s="455">
        <f t="shared" ca="1" si="55"/>
        <v>6613902.5105201267</v>
      </c>
      <c r="J607" s="455">
        <f t="array" ref="J607">IFERROR(INDEX('Retirement Calculator'!K:K,MATCH('Lorri 401b'!N607,'Retirement Calculator'!A:A,0),0),0)</f>
        <v>16520.094745597391</v>
      </c>
      <c r="K607" s="455">
        <f t="shared" ca="1" si="53"/>
        <v>27489.093399060537</v>
      </c>
      <c r="L607" s="455">
        <f t="shared" ca="1" si="54"/>
        <v>6624871.5091735898</v>
      </c>
      <c r="M607" s="471">
        <f t="shared" si="56"/>
        <v>0.05</v>
      </c>
      <c r="N607" s="475">
        <f t="shared" si="57"/>
        <v>69519</v>
      </c>
    </row>
    <row r="608" spans="7:14" ht="11.25" customHeight="1" x14ac:dyDescent="0.3">
      <c r="G608" s="470">
        <f>G607+1</f>
        <v>51</v>
      </c>
      <c r="H608" s="470">
        <v>601</v>
      </c>
      <c r="I608" s="455">
        <f t="shared" ca="1" si="55"/>
        <v>6624871.5091735898</v>
      </c>
      <c r="J608" s="455">
        <f t="array" ref="J608">IFERROR(INDEX('Retirement Calculator'!K:K,MATCH('Lorri 401b'!N608,'Retirement Calculator'!A:A,0),0),0)</f>
        <v>16520.094745597391</v>
      </c>
      <c r="K608" s="455">
        <f t="shared" ca="1" si="53"/>
        <v>27534.797560116629</v>
      </c>
      <c r="L608" s="455">
        <f t="shared" ca="1" si="54"/>
        <v>6635886.2119881082</v>
      </c>
      <c r="M608" s="471">
        <f t="shared" si="56"/>
        <v>0.05</v>
      </c>
      <c r="N608" s="475">
        <f t="shared" si="57"/>
        <v>69550</v>
      </c>
    </row>
    <row r="609" spans="7:14" ht="11.25" customHeight="1" x14ac:dyDescent="0.3">
      <c r="G609" s="470">
        <f t="shared" ref="G609:G619" si="65">G608</f>
        <v>51</v>
      </c>
      <c r="H609" s="470">
        <v>602</v>
      </c>
      <c r="I609" s="455">
        <f t="shared" ca="1" si="55"/>
        <v>6635886.2119881082</v>
      </c>
      <c r="J609" s="455">
        <f t="array" ref="J609">IFERROR(INDEX('Retirement Calculator'!K:K,MATCH('Lorri 401b'!N609,'Retirement Calculator'!A:A,0),0),0)</f>
        <v>16520.094745597391</v>
      </c>
      <c r="K609" s="455">
        <f t="shared" ca="1" si="53"/>
        <v>27580.692155177127</v>
      </c>
      <c r="L609" s="455">
        <f t="shared" ca="1" si="54"/>
        <v>6646946.8093976872</v>
      </c>
      <c r="M609" s="471">
        <f t="shared" si="56"/>
        <v>0.05</v>
      </c>
      <c r="N609" s="475">
        <f t="shared" si="57"/>
        <v>69580</v>
      </c>
    </row>
    <row r="610" spans="7:14" ht="11.25" customHeight="1" x14ac:dyDescent="0.3">
      <c r="G610" s="470">
        <f t="shared" si="65"/>
        <v>51</v>
      </c>
      <c r="H610" s="470">
        <v>603</v>
      </c>
      <c r="I610" s="455">
        <f t="shared" ca="1" si="55"/>
        <v>6646946.8093976872</v>
      </c>
      <c r="J610" s="455">
        <f t="array" ref="J610">IFERROR(INDEX('Retirement Calculator'!K:K,MATCH('Lorri 401b'!N610,'Retirement Calculator'!A:A,0),0),0)</f>
        <v>16520.094745597391</v>
      </c>
      <c r="K610" s="455">
        <f t="shared" ca="1" si="53"/>
        <v>27626.77797771704</v>
      </c>
      <c r="L610" s="455">
        <f t="shared" ca="1" si="54"/>
        <v>6658053.4926298065</v>
      </c>
      <c r="M610" s="471">
        <f t="shared" si="56"/>
        <v>0.05</v>
      </c>
      <c r="N610" s="475">
        <f t="shared" si="57"/>
        <v>69611</v>
      </c>
    </row>
    <row r="611" spans="7:14" ht="11.25" customHeight="1" x14ac:dyDescent="0.3">
      <c r="G611" s="470">
        <f t="shared" si="65"/>
        <v>51</v>
      </c>
      <c r="H611" s="470">
        <v>604</v>
      </c>
      <c r="I611" s="455">
        <f t="shared" ca="1" si="55"/>
        <v>6658053.4926298065</v>
      </c>
      <c r="J611" s="455">
        <f t="array" ref="J611">IFERROR(INDEX('Retirement Calculator'!K:K,MATCH('Lorri 401b'!N611,'Retirement Calculator'!A:A,0),0),0)</f>
        <v>16520.094745597391</v>
      </c>
      <c r="K611" s="455">
        <f t="shared" ca="1" si="53"/>
        <v>27673.055824517534</v>
      </c>
      <c r="L611" s="455">
        <f t="shared" ca="1" si="54"/>
        <v>6669206.453708726</v>
      </c>
      <c r="M611" s="471">
        <f t="shared" si="56"/>
        <v>0.05</v>
      </c>
      <c r="N611" s="475">
        <f t="shared" si="57"/>
        <v>69642</v>
      </c>
    </row>
    <row r="612" spans="7:14" ht="11.25" customHeight="1" x14ac:dyDescent="0.3">
      <c r="G612" s="470">
        <f t="shared" si="65"/>
        <v>51</v>
      </c>
      <c r="H612" s="470">
        <v>605</v>
      </c>
      <c r="I612" s="455">
        <f t="shared" ca="1" si="55"/>
        <v>6669206.453708726</v>
      </c>
      <c r="J612" s="455">
        <f t="array" ref="J612">IFERROR(INDEX('Retirement Calculator'!K:K,MATCH('Lorri 401b'!N612,'Retirement Calculator'!A:A,0),0),0)</f>
        <v>16520.094745597391</v>
      </c>
      <c r="K612" s="455">
        <f t="shared" ca="1" si="53"/>
        <v>27719.526495679696</v>
      </c>
      <c r="L612" s="455">
        <f t="shared" ca="1" si="54"/>
        <v>6680405.8854588075</v>
      </c>
      <c r="M612" s="471">
        <f t="shared" si="56"/>
        <v>0.05</v>
      </c>
      <c r="N612" s="475">
        <f t="shared" si="57"/>
        <v>69672</v>
      </c>
    </row>
    <row r="613" spans="7:14" ht="11.25" customHeight="1" x14ac:dyDescent="0.3">
      <c r="G613" s="470">
        <f t="shared" si="65"/>
        <v>51</v>
      </c>
      <c r="H613" s="470">
        <v>606</v>
      </c>
      <c r="I613" s="455">
        <f t="shared" ca="1" si="55"/>
        <v>6680405.8854588075</v>
      </c>
      <c r="J613" s="455">
        <f t="array" ref="J613">IFERROR(INDEX('Retirement Calculator'!K:K,MATCH('Lorri 401b'!N613,'Retirement Calculator'!A:A,0),0),0)</f>
        <v>16520.094745597391</v>
      </c>
      <c r="K613" s="455">
        <f t="shared" ca="1" si="53"/>
        <v>27766.190794638373</v>
      </c>
      <c r="L613" s="455">
        <f t="shared" ca="1" si="54"/>
        <v>6691651.981507848</v>
      </c>
      <c r="M613" s="471">
        <f t="shared" si="56"/>
        <v>0.05</v>
      </c>
      <c r="N613" s="475">
        <f t="shared" si="57"/>
        <v>69703</v>
      </c>
    </row>
    <row r="614" spans="7:14" ht="11.25" customHeight="1" x14ac:dyDescent="0.3">
      <c r="G614" s="470">
        <f t="shared" si="65"/>
        <v>51</v>
      </c>
      <c r="H614" s="470">
        <v>607</v>
      </c>
      <c r="I614" s="455">
        <f t="shared" ca="1" si="55"/>
        <v>6691651.981507848</v>
      </c>
      <c r="J614" s="455">
        <f t="array" ref="J614">IFERROR(INDEX('Retirement Calculator'!K:K,MATCH('Lorri 401b'!N614,'Retirement Calculator'!A:A,0),0),0)</f>
        <v>16520.094745597391</v>
      </c>
      <c r="K614" s="455">
        <f t="shared" ca="1" si="53"/>
        <v>27813.049528176041</v>
      </c>
      <c r="L614" s="455">
        <f t="shared" ca="1" si="54"/>
        <v>6702944.9362904262</v>
      </c>
      <c r="M614" s="471">
        <f t="shared" si="56"/>
        <v>0.05</v>
      </c>
      <c r="N614" s="475">
        <f t="shared" si="57"/>
        <v>69733</v>
      </c>
    </row>
    <row r="615" spans="7:14" ht="11.25" customHeight="1" x14ac:dyDescent="0.3">
      <c r="G615" s="470">
        <f t="shared" si="65"/>
        <v>51</v>
      </c>
      <c r="H615" s="470">
        <v>608</v>
      </c>
      <c r="I615" s="455">
        <f t="shared" ca="1" si="55"/>
        <v>6702944.9362904262</v>
      </c>
      <c r="J615" s="455">
        <f t="array" ref="J615">IFERROR(INDEX('Retirement Calculator'!K:K,MATCH('Lorri 401b'!N615,'Retirement Calculator'!A:A,0),0),0)</f>
        <v>16520.094745597391</v>
      </c>
      <c r="K615" s="455">
        <f t="shared" ca="1" si="53"/>
        <v>27860.103506436779</v>
      </c>
      <c r="L615" s="455">
        <f t="shared" ca="1" si="54"/>
        <v>6714284.9450512649</v>
      </c>
      <c r="M615" s="471">
        <f t="shared" si="56"/>
        <v>0.05</v>
      </c>
      <c r="N615" s="475">
        <f t="shared" si="57"/>
        <v>69764</v>
      </c>
    </row>
    <row r="616" spans="7:14" ht="11.25" customHeight="1" x14ac:dyDescent="0.3">
      <c r="G616" s="470">
        <f t="shared" si="65"/>
        <v>51</v>
      </c>
      <c r="H616" s="470">
        <v>609</v>
      </c>
      <c r="I616" s="455">
        <f t="shared" ca="1" si="55"/>
        <v>6714284.9450512649</v>
      </c>
      <c r="J616" s="455">
        <f t="array" ref="J616">IFERROR(INDEX('Retirement Calculator'!K:K,MATCH('Lorri 401b'!N616,'Retirement Calculator'!A:A,0),0),0)</f>
        <v>16520.094745597391</v>
      </c>
      <c r="K616" s="455">
        <f t="shared" ca="1" si="53"/>
        <v>27907.353542940276</v>
      </c>
      <c r="L616" s="455">
        <f t="shared" ca="1" si="54"/>
        <v>6725672.2038486078</v>
      </c>
      <c r="M616" s="471">
        <f t="shared" si="56"/>
        <v>0.05</v>
      </c>
      <c r="N616" s="475">
        <f t="shared" si="57"/>
        <v>69795</v>
      </c>
    </row>
    <row r="617" spans="7:14" ht="11.25" customHeight="1" x14ac:dyDescent="0.3">
      <c r="G617" s="470">
        <f t="shared" si="65"/>
        <v>51</v>
      </c>
      <c r="H617" s="470">
        <v>610</v>
      </c>
      <c r="I617" s="455">
        <f t="shared" ca="1" si="55"/>
        <v>6725672.2038486078</v>
      </c>
      <c r="J617" s="455">
        <f t="array" ref="J617">IFERROR(INDEX('Retirement Calculator'!K:K,MATCH('Lorri 401b'!N617,'Retirement Calculator'!A:A,0),0),0)</f>
        <v>16520.094745597391</v>
      </c>
      <c r="K617" s="455">
        <f t="shared" ca="1" si="53"/>
        <v>27954.800454595876</v>
      </c>
      <c r="L617" s="455">
        <f t="shared" ca="1" si="54"/>
        <v>6737106.9095576061</v>
      </c>
      <c r="M617" s="471">
        <f t="shared" si="56"/>
        <v>0.05</v>
      </c>
      <c r="N617" s="475">
        <f t="shared" si="57"/>
        <v>69823</v>
      </c>
    </row>
    <row r="618" spans="7:14" ht="11.25" customHeight="1" x14ac:dyDescent="0.3">
      <c r="G618" s="470">
        <f t="shared" si="65"/>
        <v>51</v>
      </c>
      <c r="H618" s="470">
        <v>611</v>
      </c>
      <c r="I618" s="455">
        <f t="shared" ca="1" si="55"/>
        <v>6737106.9095576061</v>
      </c>
      <c r="J618" s="455">
        <f t="array" ref="J618">IFERROR(INDEX('Retirement Calculator'!K:K,MATCH('Lorri 401b'!N618,'Retirement Calculator'!A:A,0),0),0)</f>
        <v>16520.094745597391</v>
      </c>
      <c r="K618" s="455">
        <f t="shared" ca="1" si="53"/>
        <v>28002.445061716702</v>
      </c>
      <c r="L618" s="455">
        <f t="shared" ca="1" si="54"/>
        <v>6748589.2598737245</v>
      </c>
      <c r="M618" s="471">
        <f t="shared" si="56"/>
        <v>0.05</v>
      </c>
      <c r="N618" s="475">
        <f t="shared" si="57"/>
        <v>69854</v>
      </c>
    </row>
    <row r="619" spans="7:14" ht="11.25" customHeight="1" x14ac:dyDescent="0.3">
      <c r="G619" s="470">
        <f t="shared" si="65"/>
        <v>51</v>
      </c>
      <c r="H619" s="470">
        <v>612</v>
      </c>
      <c r="I619" s="455">
        <f t="shared" ca="1" si="55"/>
        <v>6748589.2598737245</v>
      </c>
      <c r="J619" s="455">
        <f t="array" ref="J619">IFERROR(INDEX('Retirement Calculator'!K:K,MATCH('Lorri 401b'!N619,'Retirement Calculator'!A:A,0),0),0)</f>
        <v>16520.094745597391</v>
      </c>
      <c r="K619" s="455">
        <f t="shared" ca="1" si="53"/>
        <v>28050.288188033861</v>
      </c>
      <c r="L619" s="455">
        <f t="shared" ca="1" si="54"/>
        <v>6760119.4533161605</v>
      </c>
      <c r="M619" s="471">
        <f t="shared" si="56"/>
        <v>0.05</v>
      </c>
      <c r="N619" s="475">
        <f t="shared" si="57"/>
        <v>69884</v>
      </c>
    </row>
    <row r="620" spans="7:14" ht="11.25" customHeight="1" x14ac:dyDescent="0.3">
      <c r="G620" s="470">
        <f>G619+1</f>
        <v>52</v>
      </c>
      <c r="H620" s="470">
        <v>613</v>
      </c>
      <c r="I620" s="455">
        <f t="shared" ca="1" si="55"/>
        <v>6760119.4533161605</v>
      </c>
      <c r="J620" s="455">
        <f t="array" ref="J620">IFERROR(INDEX('Retirement Calculator'!K:K,MATCH('Lorri 401b'!N620,'Retirement Calculator'!A:A,0),0),0)</f>
        <v>16520.094745597391</v>
      </c>
      <c r="K620" s="455">
        <f t="shared" ca="1" si="53"/>
        <v>28098.330660710679</v>
      </c>
      <c r="L620" s="455">
        <f t="shared" ca="1" si="54"/>
        <v>6771697.6892312737</v>
      </c>
      <c r="M620" s="471">
        <f t="shared" si="56"/>
        <v>0.05</v>
      </c>
      <c r="N620" s="475">
        <f t="shared" si="57"/>
        <v>69915</v>
      </c>
    </row>
    <row r="621" spans="7:14" ht="11.25" customHeight="1" x14ac:dyDescent="0.3">
      <c r="G621" s="470">
        <f t="shared" ref="G621:G631" si="66">G620</f>
        <v>52</v>
      </c>
      <c r="H621" s="470">
        <v>614</v>
      </c>
      <c r="I621" s="455">
        <f t="shared" ca="1" si="55"/>
        <v>6771697.6892312737</v>
      </c>
      <c r="J621" s="455">
        <f t="array" ref="J621">IFERROR(INDEX('Retirement Calculator'!K:K,MATCH('Lorri 401b'!N621,'Retirement Calculator'!A:A,0),0),0)</f>
        <v>16520.094745597391</v>
      </c>
      <c r="K621" s="455">
        <f t="shared" ca="1" si="53"/>
        <v>28146.57331035698</v>
      </c>
      <c r="L621" s="455">
        <f t="shared" ca="1" si="54"/>
        <v>6783324.1677960325</v>
      </c>
      <c r="M621" s="471">
        <f t="shared" si="56"/>
        <v>0.05</v>
      </c>
      <c r="N621" s="475">
        <f t="shared" si="57"/>
        <v>69945</v>
      </c>
    </row>
    <row r="622" spans="7:14" ht="11.25" customHeight="1" x14ac:dyDescent="0.3">
      <c r="G622" s="470">
        <f t="shared" si="66"/>
        <v>52</v>
      </c>
      <c r="H622" s="470">
        <v>615</v>
      </c>
      <c r="I622" s="455">
        <f t="shared" ca="1" si="55"/>
        <v>6783324.1677960325</v>
      </c>
      <c r="J622" s="455">
        <f t="array" ref="J622">IFERROR(INDEX('Retirement Calculator'!K:K,MATCH('Lorri 401b'!N622,'Retirement Calculator'!A:A,0),0),0)</f>
        <v>16520.094745597391</v>
      </c>
      <c r="K622" s="455">
        <f t="shared" ca="1" si="53"/>
        <v>28195.016971043478</v>
      </c>
      <c r="L622" s="455">
        <f t="shared" ca="1" si="54"/>
        <v>6794999.090021478</v>
      </c>
      <c r="M622" s="471">
        <f t="shared" si="56"/>
        <v>0.05</v>
      </c>
      <c r="N622" s="475">
        <f t="shared" si="57"/>
        <v>69976</v>
      </c>
    </row>
    <row r="623" spans="7:14" ht="11.25" customHeight="1" x14ac:dyDescent="0.3">
      <c r="G623" s="470">
        <f t="shared" si="66"/>
        <v>52</v>
      </c>
      <c r="H623" s="470">
        <v>616</v>
      </c>
      <c r="I623" s="455">
        <f t="shared" ca="1" si="55"/>
        <v>6794999.090021478</v>
      </c>
      <c r="J623" s="455">
        <f t="array" ref="J623">IFERROR(INDEX('Retirement Calculator'!K:K,MATCH('Lorri 401b'!N623,'Retirement Calculator'!A:A,0),0),0)</f>
        <v>16520.094745597391</v>
      </c>
      <c r="K623" s="455">
        <f t="shared" ca="1" si="53"/>
        <v>28243.662480316169</v>
      </c>
      <c r="L623" s="455">
        <f t="shared" ca="1" si="54"/>
        <v>6806722.6577561963</v>
      </c>
      <c r="M623" s="471">
        <f t="shared" si="56"/>
        <v>0.05</v>
      </c>
      <c r="N623" s="475">
        <f t="shared" si="57"/>
        <v>70007</v>
      </c>
    </row>
    <row r="624" spans="7:14" ht="11.25" customHeight="1" x14ac:dyDescent="0.3">
      <c r="G624" s="470">
        <f t="shared" si="66"/>
        <v>52</v>
      </c>
      <c r="H624" s="470">
        <v>617</v>
      </c>
      <c r="I624" s="455">
        <f t="shared" ca="1" si="55"/>
        <v>6806722.6577561963</v>
      </c>
      <c r="J624" s="455">
        <f t="array" ref="J624">IFERROR(INDEX('Retirement Calculator'!K:K,MATCH('Lorri 401b'!N624,'Retirement Calculator'!A:A,0),0),0)</f>
        <v>16520.094745597391</v>
      </c>
      <c r="K624" s="455">
        <f t="shared" ca="1" si="53"/>
        <v>28292.510679210827</v>
      </c>
      <c r="L624" s="455">
        <f t="shared" ca="1" si="54"/>
        <v>6818495.0736898091</v>
      </c>
      <c r="M624" s="471">
        <f t="shared" si="56"/>
        <v>0.05</v>
      </c>
      <c r="N624" s="475">
        <f t="shared" si="57"/>
        <v>70037</v>
      </c>
    </row>
    <row r="625" spans="7:14" ht="11.25" customHeight="1" x14ac:dyDescent="0.3">
      <c r="G625" s="470">
        <f t="shared" si="66"/>
        <v>52</v>
      </c>
      <c r="H625" s="470">
        <v>618</v>
      </c>
      <c r="I625" s="455">
        <f t="shared" ca="1" si="55"/>
        <v>6818495.0736898091</v>
      </c>
      <c r="J625" s="455">
        <f t="array" ref="J625">IFERROR(INDEX('Retirement Calculator'!K:K,MATCH('Lorri 401b'!N625,'Retirement Calculator'!A:A,0),0),0)</f>
        <v>16520.094745597391</v>
      </c>
      <c r="K625" s="455">
        <f t="shared" ca="1" si="53"/>
        <v>28341.562412267547</v>
      </c>
      <c r="L625" s="455">
        <f t="shared" ca="1" si="54"/>
        <v>6830316.5413564788</v>
      </c>
      <c r="M625" s="471">
        <f t="shared" si="56"/>
        <v>0.05</v>
      </c>
      <c r="N625" s="475">
        <f t="shared" si="57"/>
        <v>70068</v>
      </c>
    </row>
    <row r="626" spans="7:14" ht="11.25" customHeight="1" x14ac:dyDescent="0.3">
      <c r="G626" s="470">
        <f t="shared" si="66"/>
        <v>52</v>
      </c>
      <c r="H626" s="470">
        <v>619</v>
      </c>
      <c r="I626" s="455">
        <f t="shared" ca="1" si="55"/>
        <v>6830316.5413564788</v>
      </c>
      <c r="J626" s="455">
        <f t="array" ref="J626">IFERROR(INDEX('Retirement Calculator'!K:K,MATCH('Lorri 401b'!N626,'Retirement Calculator'!A:A,0),0),0)</f>
        <v>16520.094745597391</v>
      </c>
      <c r="K626" s="455">
        <f t="shared" ca="1" si="53"/>
        <v>28390.818527545336</v>
      </c>
      <c r="L626" s="455">
        <f t="shared" ca="1" si="54"/>
        <v>6842187.2651384268</v>
      </c>
      <c r="M626" s="471">
        <f t="shared" si="56"/>
        <v>0.05</v>
      </c>
      <c r="N626" s="475">
        <f t="shared" si="57"/>
        <v>70098</v>
      </c>
    </row>
    <row r="627" spans="7:14" ht="11.25" customHeight="1" x14ac:dyDescent="0.3">
      <c r="G627" s="470">
        <f t="shared" si="66"/>
        <v>52</v>
      </c>
      <c r="H627" s="470">
        <v>620</v>
      </c>
      <c r="I627" s="455">
        <f t="shared" ca="1" si="55"/>
        <v>6842187.2651384268</v>
      </c>
      <c r="J627" s="455">
        <f t="array" ref="J627">IFERROR(INDEX('Retirement Calculator'!K:K,MATCH('Lorri 401b'!N627,'Retirement Calculator'!A:A,0),0),0)</f>
        <v>16520.094745597391</v>
      </c>
      <c r="K627" s="455">
        <f t="shared" ca="1" si="53"/>
        <v>28440.279876636789</v>
      </c>
      <c r="L627" s="455">
        <f t="shared" ca="1" si="54"/>
        <v>6854107.4502694653</v>
      </c>
      <c r="M627" s="471">
        <f t="shared" si="56"/>
        <v>0.05</v>
      </c>
      <c r="N627" s="475">
        <f t="shared" si="57"/>
        <v>70129</v>
      </c>
    </row>
    <row r="628" spans="7:14" ht="11.25" customHeight="1" x14ac:dyDescent="0.3">
      <c r="G628" s="470">
        <f t="shared" si="66"/>
        <v>52</v>
      </c>
      <c r="H628" s="470">
        <v>621</v>
      </c>
      <c r="I628" s="455">
        <f t="shared" ca="1" si="55"/>
        <v>6854107.4502694653</v>
      </c>
      <c r="J628" s="455">
        <f t="array" ref="J628">IFERROR(INDEX('Retirement Calculator'!K:K,MATCH('Lorri 401b'!N628,'Retirement Calculator'!A:A,0),0),0)</f>
        <v>16520.094745597391</v>
      </c>
      <c r="K628" s="455">
        <f t="shared" ca="1" si="53"/>
        <v>28489.94731468278</v>
      </c>
      <c r="L628" s="455">
        <f t="shared" ca="1" si="54"/>
        <v>6866077.3028385499</v>
      </c>
      <c r="M628" s="471">
        <f t="shared" si="56"/>
        <v>0.05</v>
      </c>
      <c r="N628" s="475">
        <f t="shared" si="57"/>
        <v>70160</v>
      </c>
    </row>
    <row r="629" spans="7:14" ht="11.25" customHeight="1" x14ac:dyDescent="0.3">
      <c r="G629" s="470">
        <f t="shared" si="66"/>
        <v>52</v>
      </c>
      <c r="H629" s="470">
        <v>622</v>
      </c>
      <c r="I629" s="455">
        <f t="shared" ca="1" si="55"/>
        <v>6866077.3028385499</v>
      </c>
      <c r="J629" s="455">
        <f t="array" ref="J629">IFERROR(INDEX('Retirement Calculator'!K:K,MATCH('Lorri 401b'!N629,'Retirement Calculator'!A:A,0),0),0)</f>
        <v>16520.094745597391</v>
      </c>
      <c r="K629" s="455">
        <f t="shared" ca="1" si="53"/>
        <v>28539.8217003873</v>
      </c>
      <c r="L629" s="455">
        <f t="shared" ca="1" si="54"/>
        <v>6878097.0297933398</v>
      </c>
      <c r="M629" s="471">
        <f t="shared" si="56"/>
        <v>0.05</v>
      </c>
      <c r="N629" s="475">
        <f t="shared" si="57"/>
        <v>70189</v>
      </c>
    </row>
    <row r="630" spans="7:14" ht="11.25" customHeight="1" x14ac:dyDescent="0.3">
      <c r="G630" s="470">
        <f t="shared" si="66"/>
        <v>52</v>
      </c>
      <c r="H630" s="470">
        <v>623</v>
      </c>
      <c r="I630" s="455">
        <f t="shared" ca="1" si="55"/>
        <v>6878097.0297933398</v>
      </c>
      <c r="J630" s="455">
        <f t="array" ref="J630">IFERROR(INDEX('Retirement Calculator'!K:K,MATCH('Lorri 401b'!N630,'Retirement Calculator'!A:A,0),0),0)</f>
        <v>16520.094745597391</v>
      </c>
      <c r="K630" s="455">
        <f t="shared" ca="1" si="53"/>
        <v>28589.903896032258</v>
      </c>
      <c r="L630" s="455">
        <f t="shared" ca="1" si="54"/>
        <v>6890166.8389437739</v>
      </c>
      <c r="M630" s="471">
        <f t="shared" si="56"/>
        <v>0.05</v>
      </c>
      <c r="N630" s="475">
        <f t="shared" si="57"/>
        <v>70220</v>
      </c>
    </row>
    <row r="631" spans="7:14" ht="11.25" customHeight="1" x14ac:dyDescent="0.3">
      <c r="G631" s="470">
        <f t="shared" si="66"/>
        <v>52</v>
      </c>
      <c r="H631" s="470">
        <v>624</v>
      </c>
      <c r="I631" s="455">
        <f t="shared" ca="1" si="55"/>
        <v>6890166.8389437739</v>
      </c>
      <c r="J631" s="455">
        <f t="array" ref="J631">IFERROR(INDEX('Retirement Calculator'!K:K,MATCH('Lorri 401b'!N631,'Retirement Calculator'!A:A,0),0),0)</f>
        <v>16520.094745597391</v>
      </c>
      <c r="K631" s="455">
        <f t="shared" ca="1" si="53"/>
        <v>28640.194767492401</v>
      </c>
      <c r="L631" s="455">
        <f t="shared" ca="1" si="54"/>
        <v>6902286.9389656689</v>
      </c>
      <c r="M631" s="471">
        <f t="shared" si="56"/>
        <v>0.05</v>
      </c>
      <c r="N631" s="475">
        <f t="shared" si="57"/>
        <v>70250</v>
      </c>
    </row>
    <row r="632" spans="7:14" ht="11.25" customHeight="1" x14ac:dyDescent="0.3">
      <c r="G632" s="470">
        <f>G631+1</f>
        <v>53</v>
      </c>
      <c r="H632" s="470">
        <v>625</v>
      </c>
      <c r="I632" s="455">
        <f t="shared" ca="1" si="55"/>
        <v>6902286.9389656689</v>
      </c>
      <c r="J632" s="455">
        <f t="array" ref="J632">IFERROR(INDEX('Retirement Calculator'!K:K,MATCH('Lorri 401b'!N632,'Retirement Calculator'!A:A,0),0),0)</f>
        <v>16520.094745597391</v>
      </c>
      <c r="K632" s="455">
        <f t="shared" ca="1" si="53"/>
        <v>28690.695184250293</v>
      </c>
      <c r="L632" s="455">
        <f t="shared" ca="1" si="54"/>
        <v>6914457.5394043215</v>
      </c>
      <c r="M632" s="471">
        <f t="shared" si="56"/>
        <v>0.05</v>
      </c>
      <c r="N632" s="475">
        <f t="shared" si="57"/>
        <v>70281</v>
      </c>
    </row>
    <row r="633" spans="7:14" ht="11.25" customHeight="1" x14ac:dyDescent="0.3">
      <c r="G633" s="470">
        <f t="shared" ref="G633:G643" si="67">G632</f>
        <v>53</v>
      </c>
      <c r="H633" s="470">
        <v>626</v>
      </c>
      <c r="I633" s="455">
        <f t="shared" ca="1" si="55"/>
        <v>6914457.5394043215</v>
      </c>
      <c r="J633" s="455">
        <f t="array" ref="J633">IFERROR(INDEX('Retirement Calculator'!K:K,MATCH('Lorri 401b'!N633,'Retirement Calculator'!A:A,0),0),0)</f>
        <v>16520.094745597391</v>
      </c>
      <c r="K633" s="455">
        <f t="shared" ca="1" si="53"/>
        <v>28741.406019411348</v>
      </c>
      <c r="L633" s="455">
        <f t="shared" ca="1" si="54"/>
        <v>6926678.8506781347</v>
      </c>
      <c r="M633" s="471">
        <f t="shared" si="56"/>
        <v>0.05</v>
      </c>
      <c r="N633" s="475">
        <f t="shared" si="57"/>
        <v>70311</v>
      </c>
    </row>
    <row r="634" spans="7:14" ht="11.25" customHeight="1" x14ac:dyDescent="0.3">
      <c r="G634" s="470">
        <f t="shared" si="67"/>
        <v>53</v>
      </c>
      <c r="H634" s="470">
        <v>627</v>
      </c>
      <c r="I634" s="455">
        <f t="shared" ca="1" si="55"/>
        <v>6926678.8506781347</v>
      </c>
      <c r="J634" s="455">
        <f t="array" ref="J634">IFERROR(INDEX('Retirement Calculator'!K:K,MATCH('Lorri 401b'!N634,'Retirement Calculator'!A:A,0),0),0)</f>
        <v>16520.094745597391</v>
      </c>
      <c r="K634" s="455">
        <f t="shared" ca="1" si="53"/>
        <v>28792.328149718902</v>
      </c>
      <c r="L634" s="455">
        <f t="shared" ca="1" si="54"/>
        <v>6938951.0840822561</v>
      </c>
      <c r="M634" s="471">
        <f t="shared" si="56"/>
        <v>0.05</v>
      </c>
      <c r="N634" s="475">
        <f t="shared" si="57"/>
        <v>70342</v>
      </c>
    </row>
    <row r="635" spans="7:14" ht="11.25" customHeight="1" x14ac:dyDescent="0.3">
      <c r="G635" s="470">
        <f t="shared" si="67"/>
        <v>53</v>
      </c>
      <c r="H635" s="470">
        <v>628</v>
      </c>
      <c r="I635" s="455">
        <f t="shared" ca="1" si="55"/>
        <v>6938951.0840822561</v>
      </c>
      <c r="J635" s="455">
        <f t="array" ref="J635">IFERROR(INDEX('Retirement Calculator'!K:K,MATCH('Lorri 401b'!N635,'Retirement Calculator'!A:A,0),0),0)</f>
        <v>16520.094745597391</v>
      </c>
      <c r="K635" s="455">
        <f t="shared" ca="1" si="53"/>
        <v>28843.462455569414</v>
      </c>
      <c r="L635" s="455">
        <f t="shared" ca="1" si="54"/>
        <v>6951274.451792228</v>
      </c>
      <c r="M635" s="471">
        <f t="shared" si="56"/>
        <v>0.05</v>
      </c>
      <c r="N635" s="475">
        <f t="shared" si="57"/>
        <v>70373</v>
      </c>
    </row>
    <row r="636" spans="7:14" ht="11.25" customHeight="1" x14ac:dyDescent="0.3">
      <c r="G636" s="470">
        <f t="shared" si="67"/>
        <v>53</v>
      </c>
      <c r="H636" s="470">
        <v>629</v>
      </c>
      <c r="I636" s="455">
        <f t="shared" ca="1" si="55"/>
        <v>6951274.451792228</v>
      </c>
      <c r="J636" s="455">
        <f t="array" ref="J636">IFERROR(INDEX('Retirement Calculator'!K:K,MATCH('Lorri 401b'!N636,'Retirement Calculator'!A:A,0),0),0)</f>
        <v>16520.094745597391</v>
      </c>
      <c r="K636" s="455">
        <f t="shared" ca="1" si="53"/>
        <v>28894.809821027626</v>
      </c>
      <c r="L636" s="455">
        <f t="shared" ca="1" si="54"/>
        <v>6963649.1668676576</v>
      </c>
      <c r="M636" s="471">
        <f t="shared" si="56"/>
        <v>0.05</v>
      </c>
      <c r="N636" s="475">
        <f t="shared" si="57"/>
        <v>70403</v>
      </c>
    </row>
    <row r="637" spans="7:14" ht="11.25" customHeight="1" x14ac:dyDescent="0.3">
      <c r="G637" s="470">
        <f t="shared" si="67"/>
        <v>53</v>
      </c>
      <c r="H637" s="470">
        <v>630</v>
      </c>
      <c r="I637" s="455">
        <f t="shared" ca="1" si="55"/>
        <v>6963649.1668676576</v>
      </c>
      <c r="J637" s="455">
        <f t="array" ref="J637">IFERROR(INDEX('Retirement Calculator'!K:K,MATCH('Lorri 401b'!N637,'Retirement Calculator'!A:A,0),0),0)</f>
        <v>16520.094745597391</v>
      </c>
      <c r="K637" s="455">
        <f t="shared" ca="1" si="53"/>
        <v>28946.371133841916</v>
      </c>
      <c r="L637" s="455">
        <f t="shared" ca="1" si="54"/>
        <v>6976075.4432559013</v>
      </c>
      <c r="M637" s="471">
        <f t="shared" si="56"/>
        <v>0.05</v>
      </c>
      <c r="N637" s="475">
        <f t="shared" si="57"/>
        <v>70434</v>
      </c>
    </row>
    <row r="638" spans="7:14" ht="11.25" customHeight="1" x14ac:dyDescent="0.3">
      <c r="G638" s="470">
        <f t="shared" si="67"/>
        <v>53</v>
      </c>
      <c r="H638" s="470">
        <v>631</v>
      </c>
      <c r="I638" s="455">
        <f t="shared" ca="1" si="55"/>
        <v>6976075.4432559013</v>
      </c>
      <c r="J638" s="455">
        <f t="array" ref="J638">IFERROR(INDEX('Retirement Calculator'!K:K,MATCH('Lorri 401b'!N638,'Retirement Calculator'!A:A,0),0),0)</f>
        <v>16520.094745597391</v>
      </c>
      <c r="K638" s="455">
        <f t="shared" ca="1" si="53"/>
        <v>28998.147285459596</v>
      </c>
      <c r="L638" s="455">
        <f t="shared" ca="1" si="54"/>
        <v>6988553.4957957631</v>
      </c>
      <c r="M638" s="471">
        <f t="shared" si="56"/>
        <v>0.05</v>
      </c>
      <c r="N638" s="475">
        <f t="shared" si="57"/>
        <v>70464</v>
      </c>
    </row>
    <row r="639" spans="7:14" ht="11.25" customHeight="1" x14ac:dyDescent="0.3">
      <c r="G639" s="470">
        <f t="shared" si="67"/>
        <v>53</v>
      </c>
      <c r="H639" s="470">
        <v>632</v>
      </c>
      <c r="I639" s="455">
        <f t="shared" ca="1" si="55"/>
        <v>6988553.4957957631</v>
      </c>
      <c r="J639" s="455">
        <f t="array" ref="J639">IFERROR(INDEX('Retirement Calculator'!K:K,MATCH('Lorri 401b'!N639,'Retirement Calculator'!A:A,0),0),0)</f>
        <v>16520.094745597391</v>
      </c>
      <c r="K639" s="455">
        <f t="shared" ca="1" si="53"/>
        <v>29050.139171042356</v>
      </c>
      <c r="L639" s="455">
        <f t="shared" ca="1" si="54"/>
        <v>7001083.5402212078</v>
      </c>
      <c r="M639" s="471">
        <f t="shared" si="56"/>
        <v>0.05</v>
      </c>
      <c r="N639" s="475">
        <f t="shared" si="57"/>
        <v>70495</v>
      </c>
    </row>
    <row r="640" spans="7:14" ht="11.25" customHeight="1" x14ac:dyDescent="0.3">
      <c r="G640" s="470">
        <f t="shared" si="67"/>
        <v>53</v>
      </c>
      <c r="H640" s="470">
        <v>633</v>
      </c>
      <c r="I640" s="455">
        <f t="shared" ca="1" si="55"/>
        <v>7001083.5402212078</v>
      </c>
      <c r="J640" s="455">
        <f t="array" ref="J640">IFERROR(INDEX('Retirement Calculator'!K:K,MATCH('Lorri 401b'!N640,'Retirement Calculator'!A:A,0),0),0)</f>
        <v>16520.094745597391</v>
      </c>
      <c r="K640" s="455">
        <f t="shared" ca="1" si="53"/>
        <v>29102.347689481703</v>
      </c>
      <c r="L640" s="455">
        <f t="shared" ca="1" si="54"/>
        <v>7013665.7931650914</v>
      </c>
      <c r="M640" s="471">
        <f t="shared" si="56"/>
        <v>0.05</v>
      </c>
      <c r="N640" s="475">
        <f t="shared" si="57"/>
        <v>70526</v>
      </c>
    </row>
    <row r="641" spans="7:14" ht="11.25" customHeight="1" x14ac:dyDescent="0.3">
      <c r="G641" s="470">
        <f t="shared" si="67"/>
        <v>53</v>
      </c>
      <c r="H641" s="470">
        <v>634</v>
      </c>
      <c r="I641" s="455">
        <f t="shared" ca="1" si="55"/>
        <v>7013665.7931650914</v>
      </c>
      <c r="J641" s="455">
        <f t="array" ref="J641">IFERROR(INDEX('Retirement Calculator'!K:K,MATCH('Lorri 401b'!N641,'Retirement Calculator'!A:A,0),0),0)</f>
        <v>16520.094745597391</v>
      </c>
      <c r="K641" s="455">
        <f t="shared" ca="1" si="53"/>
        <v>29154.77374341456</v>
      </c>
      <c r="L641" s="455">
        <f t="shared" ca="1" si="54"/>
        <v>7026300.4721629079</v>
      </c>
      <c r="M641" s="471">
        <f t="shared" si="56"/>
        <v>0.05</v>
      </c>
      <c r="N641" s="475">
        <f t="shared" si="57"/>
        <v>70554</v>
      </c>
    </row>
    <row r="642" spans="7:14" ht="11.25" customHeight="1" x14ac:dyDescent="0.3">
      <c r="G642" s="470">
        <f t="shared" si="67"/>
        <v>53</v>
      </c>
      <c r="H642" s="470">
        <v>635</v>
      </c>
      <c r="I642" s="455">
        <f t="shared" ca="1" si="55"/>
        <v>7026300.4721629079</v>
      </c>
      <c r="J642" s="455">
        <f t="array" ref="J642">IFERROR(INDEX('Retirement Calculator'!K:K,MATCH('Lorri 401b'!N642,'Retirement Calculator'!A:A,0),0),0)</f>
        <v>16520.094745597391</v>
      </c>
      <c r="K642" s="455">
        <f t="shared" ca="1" si="53"/>
        <v>29207.418239238788</v>
      </c>
      <c r="L642" s="455">
        <f t="shared" ca="1" si="54"/>
        <v>7038987.7956565488</v>
      </c>
      <c r="M642" s="471">
        <f t="shared" si="56"/>
        <v>0.05</v>
      </c>
      <c r="N642" s="475">
        <f t="shared" si="57"/>
        <v>70585</v>
      </c>
    </row>
    <row r="643" spans="7:14" ht="11.25" customHeight="1" x14ac:dyDescent="0.3">
      <c r="G643" s="470">
        <f t="shared" si="67"/>
        <v>53</v>
      </c>
      <c r="H643" s="470">
        <v>636</v>
      </c>
      <c r="I643" s="455">
        <f t="shared" ca="1" si="55"/>
        <v>7038987.7956565488</v>
      </c>
      <c r="J643" s="455">
        <f t="array" ref="J643">IFERROR(INDEX('Retirement Calculator'!K:K,MATCH('Lorri 401b'!N643,'Retirement Calculator'!A:A,0),0),0)</f>
        <v>16520.094745597391</v>
      </c>
      <c r="K643" s="455">
        <f t="shared" ca="1" si="53"/>
        <v>29260.282087128962</v>
      </c>
      <c r="L643" s="455">
        <f t="shared" ca="1" si="54"/>
        <v>7051727.9829980796</v>
      </c>
      <c r="M643" s="471">
        <f t="shared" si="56"/>
        <v>0.05</v>
      </c>
      <c r="N643" s="475">
        <f t="shared" si="57"/>
        <v>70615</v>
      </c>
    </row>
    <row r="644" spans="7:14" ht="11.25" customHeight="1" x14ac:dyDescent="0.3">
      <c r="G644" s="470">
        <f>G643+1</f>
        <v>54</v>
      </c>
      <c r="H644" s="470">
        <v>637</v>
      </c>
      <c r="I644" s="455">
        <f t="shared" ca="1" si="55"/>
        <v>7051727.9829980796</v>
      </c>
      <c r="J644" s="455">
        <f t="array" ref="J644">IFERROR(INDEX('Retirement Calculator'!K:K,MATCH('Lorri 401b'!N644,'Retirement Calculator'!A:A,0),0),0)</f>
        <v>16520.094745597391</v>
      </c>
      <c r="K644" s="455">
        <f t="shared" ca="1" si="53"/>
        <v>29313.366201052006</v>
      </c>
      <c r="L644" s="455">
        <f t="shared" ca="1" si="54"/>
        <v>7064521.2544535343</v>
      </c>
      <c r="M644" s="471">
        <f t="shared" si="56"/>
        <v>0.05</v>
      </c>
      <c r="N644" s="475">
        <f t="shared" si="57"/>
        <v>70646</v>
      </c>
    </row>
    <row r="645" spans="7:14" ht="11.25" customHeight="1" x14ac:dyDescent="0.3">
      <c r="G645" s="470">
        <f t="shared" ref="G645:G655" si="68">G644</f>
        <v>54</v>
      </c>
      <c r="H645" s="470">
        <v>638</v>
      </c>
      <c r="I645" s="455">
        <f t="shared" ca="1" si="55"/>
        <v>7064521.2544535343</v>
      </c>
      <c r="J645" s="455">
        <f t="array" ref="J645">IFERROR(INDEX('Retirement Calculator'!K:K,MATCH('Lorri 401b'!N645,'Retirement Calculator'!A:A,0),0),0)</f>
        <v>16520.094745597391</v>
      </c>
      <c r="K645" s="455">
        <f t="shared" ca="1" si="53"/>
        <v>29366.671498783067</v>
      </c>
      <c r="L645" s="455">
        <f t="shared" ca="1" si="54"/>
        <v>7077367.8312067194</v>
      </c>
      <c r="M645" s="471">
        <f t="shared" si="56"/>
        <v>0.05</v>
      </c>
      <c r="N645" s="475">
        <f t="shared" si="57"/>
        <v>70676</v>
      </c>
    </row>
    <row r="646" spans="7:14" ht="11.25" customHeight="1" x14ac:dyDescent="0.3">
      <c r="G646" s="470">
        <f t="shared" si="68"/>
        <v>54</v>
      </c>
      <c r="H646" s="470">
        <v>639</v>
      </c>
      <c r="I646" s="455">
        <f t="shared" ca="1" si="55"/>
        <v>7077367.8312067194</v>
      </c>
      <c r="J646" s="455">
        <f t="array" ref="J646">IFERROR(INDEX('Retirement Calculator'!K:K,MATCH('Lorri 401b'!N646,'Retirement Calculator'!A:A,0),0),0)</f>
        <v>16520.094745597391</v>
      </c>
      <c r="K646" s="455">
        <f t="shared" ca="1" si="53"/>
        <v>29420.198901921343</v>
      </c>
      <c r="L646" s="455">
        <f t="shared" ca="1" si="54"/>
        <v>7090267.9353630431</v>
      </c>
      <c r="M646" s="471">
        <f t="shared" si="56"/>
        <v>0.05</v>
      </c>
      <c r="N646" s="475">
        <f t="shared" si="57"/>
        <v>70707</v>
      </c>
    </row>
    <row r="647" spans="7:14" ht="11.25" customHeight="1" x14ac:dyDescent="0.3">
      <c r="G647" s="470">
        <f t="shared" si="68"/>
        <v>54</v>
      </c>
      <c r="H647" s="470">
        <v>640</v>
      </c>
      <c r="I647" s="455">
        <f t="shared" ca="1" si="55"/>
        <v>7090267.9353630431</v>
      </c>
      <c r="J647" s="455">
        <f t="array" ref="J647">IFERROR(INDEX('Retirement Calculator'!K:K,MATCH('Lorri 401b'!N647,'Retirement Calculator'!A:A,0),0),0)</f>
        <v>16520.094745597391</v>
      </c>
      <c r="K647" s="455">
        <f t="shared" ca="1" si="53"/>
        <v>29473.949335906025</v>
      </c>
      <c r="L647" s="455">
        <f t="shared" ca="1" si="54"/>
        <v>7103221.789953351</v>
      </c>
      <c r="M647" s="471">
        <f t="shared" si="56"/>
        <v>0.05</v>
      </c>
      <c r="N647" s="475">
        <f t="shared" si="57"/>
        <v>70738</v>
      </c>
    </row>
    <row r="648" spans="7:14" ht="11.25" customHeight="1" x14ac:dyDescent="0.3">
      <c r="G648" s="470">
        <f t="shared" si="68"/>
        <v>54</v>
      </c>
      <c r="H648" s="470">
        <v>641</v>
      </c>
      <c r="I648" s="455">
        <f t="shared" ca="1" si="55"/>
        <v>7103221.789953351</v>
      </c>
      <c r="J648" s="455">
        <f t="array" ref="J648">IFERROR(INDEX('Retirement Calculator'!K:K,MATCH('Lorri 401b'!N648,'Retirement Calculator'!A:A,0),0),0)</f>
        <v>16520.094745597391</v>
      </c>
      <c r="K648" s="455">
        <f t="shared" ca="1" si="53"/>
        <v>29527.923730032308</v>
      </c>
      <c r="L648" s="455">
        <f t="shared" ca="1" si="54"/>
        <v>7116229.6189377857</v>
      </c>
      <c r="M648" s="471">
        <f t="shared" si="56"/>
        <v>0.05</v>
      </c>
      <c r="N648" s="475">
        <f t="shared" si="57"/>
        <v>70768</v>
      </c>
    </row>
    <row r="649" spans="7:14" ht="11.25" customHeight="1" x14ac:dyDescent="0.3">
      <c r="G649" s="470">
        <f t="shared" si="68"/>
        <v>54</v>
      </c>
      <c r="H649" s="470">
        <v>642</v>
      </c>
      <c r="I649" s="455">
        <f t="shared" ca="1" si="55"/>
        <v>7116229.6189377857</v>
      </c>
      <c r="J649" s="455">
        <f t="array" ref="J649">IFERROR(INDEX('Retirement Calculator'!K:K,MATCH('Lorri 401b'!N649,'Retirement Calculator'!A:A,0),0),0)</f>
        <v>16520.094745597391</v>
      </c>
      <c r="K649" s="455">
        <f t="shared" ca="1" si="53"/>
        <v>29582.123017467449</v>
      </c>
      <c r="L649" s="455">
        <f t="shared" ca="1" si="54"/>
        <v>7129291.6472096555</v>
      </c>
      <c r="M649" s="471">
        <f t="shared" si="56"/>
        <v>0.05</v>
      </c>
      <c r="N649" s="475">
        <f t="shared" si="57"/>
        <v>70799</v>
      </c>
    </row>
    <row r="650" spans="7:14" ht="11.25" customHeight="1" x14ac:dyDescent="0.3">
      <c r="G650" s="470">
        <f t="shared" si="68"/>
        <v>54</v>
      </c>
      <c r="H650" s="470">
        <v>643</v>
      </c>
      <c r="I650" s="455">
        <f t="shared" ca="1" si="55"/>
        <v>7129291.6472096555</v>
      </c>
      <c r="J650" s="455">
        <f t="array" ref="J650">IFERROR(INDEX('Retirement Calculator'!K:K,MATCH('Lorri 401b'!N650,'Retirement Calculator'!A:A,0),0),0)</f>
        <v>16520.094745597391</v>
      </c>
      <c r="K650" s="455">
        <f t="shared" ca="1" si="53"/>
        <v>29636.548135266905</v>
      </c>
      <c r="L650" s="455">
        <f t="shared" ca="1" si="54"/>
        <v>7142408.1005993243</v>
      </c>
      <c r="M650" s="471">
        <f t="shared" si="56"/>
        <v>0.05</v>
      </c>
      <c r="N650" s="475">
        <f t="shared" si="57"/>
        <v>70829</v>
      </c>
    </row>
    <row r="651" spans="7:14" ht="11.25" customHeight="1" x14ac:dyDescent="0.3">
      <c r="G651" s="470">
        <f t="shared" si="68"/>
        <v>54</v>
      </c>
      <c r="H651" s="470">
        <v>644</v>
      </c>
      <c r="I651" s="455">
        <f t="shared" ca="1" si="55"/>
        <v>7142408.1005993243</v>
      </c>
      <c r="J651" s="455">
        <f t="array" ref="J651">IFERROR(INDEX('Retirement Calculator'!K:K,MATCH('Lorri 401b'!N651,'Retirement Calculator'!A:A,0),0),0)</f>
        <v>16520.094745597391</v>
      </c>
      <c r="K651" s="455">
        <f t="shared" ca="1" si="53"/>
        <v>29691.200024390524</v>
      </c>
      <c r="L651" s="455">
        <f t="shared" ca="1" si="54"/>
        <v>7155579.2058781171</v>
      </c>
      <c r="M651" s="471">
        <f t="shared" si="56"/>
        <v>0.05</v>
      </c>
      <c r="N651" s="475">
        <f t="shared" si="57"/>
        <v>70860</v>
      </c>
    </row>
    <row r="652" spans="7:14" ht="11.25" customHeight="1" x14ac:dyDescent="0.3">
      <c r="G652" s="470">
        <f t="shared" si="68"/>
        <v>54</v>
      </c>
      <c r="H652" s="470">
        <v>645</v>
      </c>
      <c r="I652" s="455">
        <f t="shared" ca="1" si="55"/>
        <v>7155579.2058781171</v>
      </c>
      <c r="J652" s="455">
        <f t="array" ref="J652">IFERROR(INDEX('Retirement Calculator'!K:K,MATCH('Lorri 401b'!N652,'Retirement Calculator'!A:A,0),0),0)</f>
        <v>16520.094745597391</v>
      </c>
      <c r="K652" s="455">
        <f t="shared" ca="1" si="53"/>
        <v>29746.079629718832</v>
      </c>
      <c r="L652" s="455">
        <f t="shared" ca="1" si="54"/>
        <v>7168805.1907622386</v>
      </c>
      <c r="M652" s="471">
        <f t="shared" si="56"/>
        <v>0.05</v>
      </c>
      <c r="N652" s="475">
        <f t="shared" si="57"/>
        <v>70891</v>
      </c>
    </row>
    <row r="653" spans="7:14" ht="11.25" customHeight="1" x14ac:dyDescent="0.3">
      <c r="G653" s="470">
        <f t="shared" si="68"/>
        <v>54</v>
      </c>
      <c r="H653" s="470">
        <v>646</v>
      </c>
      <c r="I653" s="455">
        <f t="shared" ca="1" si="55"/>
        <v>7168805.1907622386</v>
      </c>
      <c r="J653" s="455">
        <f t="array" ref="J653">IFERROR(INDEX('Retirement Calculator'!K:K,MATCH('Lorri 401b'!N653,'Retirement Calculator'!A:A,0),0),0)</f>
        <v>16520.094745597391</v>
      </c>
      <c r="K653" s="455">
        <f t="shared" ca="1" si="53"/>
        <v>29801.187900069337</v>
      </c>
      <c r="L653" s="455">
        <f t="shared" ca="1" si="54"/>
        <v>7182086.2839167099</v>
      </c>
      <c r="M653" s="471">
        <f t="shared" si="56"/>
        <v>0.05</v>
      </c>
      <c r="N653" s="475">
        <f t="shared" si="57"/>
        <v>70919</v>
      </c>
    </row>
    <row r="654" spans="7:14" ht="11.25" customHeight="1" x14ac:dyDescent="0.3">
      <c r="G654" s="470">
        <f t="shared" si="68"/>
        <v>54</v>
      </c>
      <c r="H654" s="470">
        <v>647</v>
      </c>
      <c r="I654" s="455">
        <f t="shared" ca="1" si="55"/>
        <v>7182086.2839167099</v>
      </c>
      <c r="J654" s="455">
        <f t="array" ref="J654">IFERROR(INDEX('Retirement Calculator'!K:K,MATCH('Lorri 401b'!N654,'Retirement Calculator'!A:A,0),0),0)</f>
        <v>16520.094745597391</v>
      </c>
      <c r="K654" s="455">
        <f t="shared" ca="1" si="53"/>
        <v>29856.525788212966</v>
      </c>
      <c r="L654" s="455">
        <f t="shared" ca="1" si="54"/>
        <v>7195422.7149593253</v>
      </c>
      <c r="M654" s="471">
        <f t="shared" si="56"/>
        <v>0.05</v>
      </c>
      <c r="N654" s="475">
        <f t="shared" si="57"/>
        <v>70950</v>
      </c>
    </row>
    <row r="655" spans="7:14" ht="11.25" customHeight="1" x14ac:dyDescent="0.3">
      <c r="G655" s="470">
        <f t="shared" si="68"/>
        <v>54</v>
      </c>
      <c r="H655" s="470">
        <v>648</v>
      </c>
      <c r="I655" s="455">
        <f t="shared" ca="1" si="55"/>
        <v>7195422.7149593253</v>
      </c>
      <c r="J655" s="455">
        <f t="array" ref="J655">IFERROR(INDEX('Retirement Calculator'!K:K,MATCH('Lorri 401b'!N655,'Retirement Calculator'!A:A,0),0),0)</f>
        <v>16520.094745597391</v>
      </c>
      <c r="K655" s="455">
        <f t="shared" ca="1" si="53"/>
        <v>29912.094250890532</v>
      </c>
      <c r="L655" s="455">
        <f t="shared" ca="1" si="54"/>
        <v>7208814.7144646179</v>
      </c>
      <c r="M655" s="471">
        <f t="shared" si="56"/>
        <v>0.05</v>
      </c>
      <c r="N655" s="475">
        <f t="shared" si="57"/>
        <v>70980</v>
      </c>
    </row>
    <row r="656" spans="7:14" ht="11.25" customHeight="1" x14ac:dyDescent="0.3">
      <c r="G656" s="470">
        <f>G655+1</f>
        <v>55</v>
      </c>
      <c r="H656" s="470">
        <v>649</v>
      </c>
      <c r="I656" s="455">
        <f t="shared" ca="1" si="55"/>
        <v>7208814.7144646179</v>
      </c>
      <c r="J656" s="455">
        <f t="array" ref="J656">IFERROR(INDEX('Retirement Calculator'!K:K,MATCH('Lorri 401b'!N656,'Retirement Calculator'!A:A,0),0),0)</f>
        <v>16520.094745597391</v>
      </c>
      <c r="K656" s="455">
        <f t="shared" ca="1" si="53"/>
        <v>29967.894248829245</v>
      </c>
      <c r="L656" s="455">
        <f t="shared" ca="1" si="54"/>
        <v>7222262.5139678493</v>
      </c>
      <c r="M656" s="471">
        <f t="shared" si="56"/>
        <v>0.05</v>
      </c>
      <c r="N656" s="475">
        <f t="shared" si="57"/>
        <v>71011</v>
      </c>
    </row>
    <row r="657" spans="7:14" ht="11.25" customHeight="1" x14ac:dyDescent="0.3">
      <c r="G657" s="470">
        <f t="shared" ref="G657:G667" si="69">G656</f>
        <v>55</v>
      </c>
      <c r="H657" s="470">
        <v>650</v>
      </c>
      <c r="I657" s="455">
        <f t="shared" ca="1" si="55"/>
        <v>7222262.5139678493</v>
      </c>
      <c r="J657" s="455">
        <f t="array" ref="J657">IFERROR(INDEX('Retirement Calculator'!K:K,MATCH('Lorri 401b'!N657,'Retirement Calculator'!A:A,0),0),0)</f>
        <v>16520.094745597391</v>
      </c>
      <c r="K657" s="455">
        <f t="shared" ca="1" si="53"/>
        <v>30023.926746759378</v>
      </c>
      <c r="L657" s="455">
        <f t="shared" ca="1" si="54"/>
        <v>7235766.3459690111</v>
      </c>
      <c r="M657" s="471">
        <f t="shared" si="56"/>
        <v>0.05</v>
      </c>
      <c r="N657" s="475">
        <f t="shared" si="57"/>
        <v>71041</v>
      </c>
    </row>
    <row r="658" spans="7:14" ht="11.25" customHeight="1" x14ac:dyDescent="0.3">
      <c r="G658" s="470">
        <f t="shared" si="69"/>
        <v>55</v>
      </c>
      <c r="H658" s="470">
        <v>651</v>
      </c>
      <c r="I658" s="455">
        <f t="shared" ca="1" si="55"/>
        <v>7235766.3459690111</v>
      </c>
      <c r="J658" s="455">
        <f t="array" ref="J658">IFERROR(INDEX('Retirement Calculator'!K:K,MATCH('Lorri 401b'!N658,'Retirement Calculator'!A:A,0),0),0)</f>
        <v>16520.094745597391</v>
      </c>
      <c r="K658" s="455">
        <f t="shared" ca="1" si="53"/>
        <v>30080.192713430883</v>
      </c>
      <c r="L658" s="455">
        <f t="shared" ca="1" si="54"/>
        <v>7249326.4439368444</v>
      </c>
      <c r="M658" s="471">
        <f t="shared" si="56"/>
        <v>0.05</v>
      </c>
      <c r="N658" s="475">
        <f t="shared" si="57"/>
        <v>71072</v>
      </c>
    </row>
    <row r="659" spans="7:14" ht="11.25" customHeight="1" x14ac:dyDescent="0.3">
      <c r="G659" s="470">
        <f t="shared" si="69"/>
        <v>55</v>
      </c>
      <c r="H659" s="470">
        <v>652</v>
      </c>
      <c r="I659" s="455">
        <f t="shared" ca="1" si="55"/>
        <v>7249326.4439368444</v>
      </c>
      <c r="J659" s="455">
        <f t="array" ref="J659">IFERROR(INDEX('Retirement Calculator'!K:K,MATCH('Lorri 401b'!N659,'Retirement Calculator'!A:A,0),0),0)</f>
        <v>16520.094745597391</v>
      </c>
      <c r="K659" s="455">
        <f t="shared" ca="1" si="53"/>
        <v>30136.693121630189</v>
      </c>
      <c r="L659" s="455">
        <f t="shared" ca="1" si="54"/>
        <v>7262943.0423128763</v>
      </c>
      <c r="M659" s="471">
        <f t="shared" si="56"/>
        <v>0.05</v>
      </c>
      <c r="N659" s="475">
        <f t="shared" si="57"/>
        <v>71103</v>
      </c>
    </row>
    <row r="660" spans="7:14" ht="11.25" customHeight="1" x14ac:dyDescent="0.3">
      <c r="G660" s="470">
        <f t="shared" si="69"/>
        <v>55</v>
      </c>
      <c r="H660" s="470">
        <v>653</v>
      </c>
      <c r="I660" s="455">
        <f t="shared" ca="1" si="55"/>
        <v>7262943.0423128763</v>
      </c>
      <c r="J660" s="455">
        <f t="array" ref="J660">IFERROR(INDEX('Retirement Calculator'!K:K,MATCH('Lorri 401b'!N660,'Retirement Calculator'!A:A,0),0),0)</f>
        <v>16520.094745597391</v>
      </c>
      <c r="K660" s="455">
        <f t="shared" ca="1" si="53"/>
        <v>30193.428948196994</v>
      </c>
      <c r="L660" s="455">
        <f t="shared" ca="1" si="54"/>
        <v>7276616.3765154751</v>
      </c>
      <c r="M660" s="471">
        <f t="shared" si="56"/>
        <v>0.05</v>
      </c>
      <c r="N660" s="475">
        <f t="shared" si="57"/>
        <v>71133</v>
      </c>
    </row>
    <row r="661" spans="7:14" ht="11.25" customHeight="1" x14ac:dyDescent="0.3">
      <c r="G661" s="470">
        <f t="shared" si="69"/>
        <v>55</v>
      </c>
      <c r="H661" s="470">
        <v>654</v>
      </c>
      <c r="I661" s="455">
        <f t="shared" ca="1" si="55"/>
        <v>7276616.3765154751</v>
      </c>
      <c r="J661" s="455">
        <f t="array" ref="J661">IFERROR(INDEX('Retirement Calculator'!K:K,MATCH('Lorri 401b'!N661,'Retirement Calculator'!A:A,0),0),0)</f>
        <v>16520.094745597391</v>
      </c>
      <c r="K661" s="455">
        <f t="shared" ca="1" si="53"/>
        <v>30250.401174041159</v>
      </c>
      <c r="L661" s="455">
        <f t="shared" ca="1" si="54"/>
        <v>7290346.6829439187</v>
      </c>
      <c r="M661" s="471">
        <f t="shared" si="56"/>
        <v>0.05</v>
      </c>
      <c r="N661" s="475">
        <f t="shared" si="57"/>
        <v>71164</v>
      </c>
    </row>
    <row r="662" spans="7:14" ht="11.25" customHeight="1" x14ac:dyDescent="0.3">
      <c r="G662" s="470">
        <f t="shared" si="69"/>
        <v>55</v>
      </c>
      <c r="H662" s="470">
        <v>655</v>
      </c>
      <c r="I662" s="455">
        <f t="shared" ca="1" si="55"/>
        <v>7290346.6829439187</v>
      </c>
      <c r="J662" s="455">
        <f t="array" ref="J662">IFERROR(INDEX('Retirement Calculator'!K:K,MATCH('Lorri 401b'!N662,'Retirement Calculator'!A:A,0),0),0)</f>
        <v>16520.094745597391</v>
      </c>
      <c r="K662" s="455">
        <f t="shared" ca="1" si="53"/>
        <v>30307.610784159671</v>
      </c>
      <c r="L662" s="455">
        <f t="shared" ca="1" si="54"/>
        <v>7304134.1989824809</v>
      </c>
      <c r="M662" s="471">
        <f t="shared" si="56"/>
        <v>0.05</v>
      </c>
      <c r="N662" s="475">
        <f t="shared" si="57"/>
        <v>71194</v>
      </c>
    </row>
    <row r="663" spans="7:14" ht="11.25" customHeight="1" x14ac:dyDescent="0.3">
      <c r="G663" s="470">
        <f t="shared" si="69"/>
        <v>55</v>
      </c>
      <c r="H663" s="470">
        <v>656</v>
      </c>
      <c r="I663" s="455">
        <f t="shared" ca="1" si="55"/>
        <v>7304134.1989824809</v>
      </c>
      <c r="J663" s="455">
        <f t="array" ref="J663">IFERROR(INDEX('Retirement Calculator'!K:K,MATCH('Lorri 401b'!N663,'Retirement Calculator'!A:A,0),0),0)</f>
        <v>16520.094745597391</v>
      </c>
      <c r="K663" s="455">
        <f t="shared" ca="1" si="53"/>
        <v>30365.058767653682</v>
      </c>
      <c r="L663" s="455">
        <f t="shared" ca="1" si="54"/>
        <v>7317979.1630045371</v>
      </c>
      <c r="M663" s="471">
        <f t="shared" si="56"/>
        <v>0.05</v>
      </c>
      <c r="N663" s="475">
        <f t="shared" si="57"/>
        <v>71225</v>
      </c>
    </row>
    <row r="664" spans="7:14" ht="11.25" customHeight="1" x14ac:dyDescent="0.3">
      <c r="G664" s="470">
        <f t="shared" si="69"/>
        <v>55</v>
      </c>
      <c r="H664" s="470">
        <v>657</v>
      </c>
      <c r="I664" s="455">
        <f t="shared" ca="1" si="55"/>
        <v>7317979.1630045371</v>
      </c>
      <c r="J664" s="455">
        <f t="array" ref="J664">IFERROR(INDEX('Retirement Calculator'!K:K,MATCH('Lorri 401b'!N664,'Retirement Calculator'!A:A,0),0),0)</f>
        <v>16520.094745597391</v>
      </c>
      <c r="K664" s="455">
        <f t="shared" ca="1" si="53"/>
        <v>30422.746117745581</v>
      </c>
      <c r="L664" s="455">
        <f t="shared" ca="1" si="54"/>
        <v>7331881.8143766848</v>
      </c>
      <c r="M664" s="471">
        <f t="shared" si="56"/>
        <v>0.05</v>
      </c>
      <c r="N664" s="475">
        <f t="shared" si="57"/>
        <v>71256</v>
      </c>
    </row>
    <row r="665" spans="7:14" ht="11.25" customHeight="1" x14ac:dyDescent="0.3">
      <c r="G665" s="470">
        <f t="shared" si="69"/>
        <v>55</v>
      </c>
      <c r="H665" s="470">
        <v>658</v>
      </c>
      <c r="I665" s="455">
        <f t="shared" ca="1" si="55"/>
        <v>7331881.8143766848</v>
      </c>
      <c r="J665" s="455">
        <f t="array" ref="J665">IFERROR(INDEX('Retirement Calculator'!K:K,MATCH('Lorri 401b'!N665,'Retirement Calculator'!A:A,0),0),0)</f>
        <v>16520.094745597391</v>
      </c>
      <c r="K665" s="455">
        <f t="shared" ca="1" si="53"/>
        <v>30480.673831796197</v>
      </c>
      <c r="L665" s="455">
        <f t="shared" ca="1" si="54"/>
        <v>7345842.3934628833</v>
      </c>
      <c r="M665" s="471">
        <f t="shared" si="56"/>
        <v>0.05</v>
      </c>
      <c r="N665" s="475">
        <f t="shared" si="57"/>
        <v>71284</v>
      </c>
    </row>
    <row r="666" spans="7:14" ht="11.25" customHeight="1" x14ac:dyDescent="0.3">
      <c r="G666" s="470">
        <f t="shared" si="69"/>
        <v>55</v>
      </c>
      <c r="H666" s="470">
        <v>659</v>
      </c>
      <c r="I666" s="455">
        <f t="shared" ca="1" si="55"/>
        <v>7345842.3934628833</v>
      </c>
      <c r="J666" s="455">
        <f t="array" ref="J666">IFERROR(INDEX('Retirement Calculator'!K:K,MATCH('Lorri 401b'!N666,'Retirement Calculator'!A:A,0),0),0)</f>
        <v>16520.094745597391</v>
      </c>
      <c r="K666" s="455">
        <f t="shared" ca="1" si="53"/>
        <v>30538.842911322023</v>
      </c>
      <c r="L666" s="455">
        <f t="shared" ca="1" si="54"/>
        <v>7359861.1416286072</v>
      </c>
      <c r="M666" s="471">
        <f t="shared" si="56"/>
        <v>0.05</v>
      </c>
      <c r="N666" s="475">
        <f t="shared" si="57"/>
        <v>71315</v>
      </c>
    </row>
    <row r="667" spans="7:14" ht="11.25" customHeight="1" x14ac:dyDescent="0.3">
      <c r="G667" s="470">
        <f t="shared" si="69"/>
        <v>55</v>
      </c>
      <c r="H667" s="470">
        <v>660</v>
      </c>
      <c r="I667" s="455">
        <f t="shared" ca="1" si="55"/>
        <v>7359861.1416286072</v>
      </c>
      <c r="J667" s="455">
        <f t="array" ref="J667">IFERROR(INDEX('Retirement Calculator'!K:K,MATCH('Lorri 401b'!N667,'Retirement Calculator'!A:A,0),0),0)</f>
        <v>16520.094745597391</v>
      </c>
      <c r="K667" s="455">
        <f t="shared" ca="1" si="53"/>
        <v>30597.254362012536</v>
      </c>
      <c r="L667" s="455">
        <f t="shared" ca="1" si="54"/>
        <v>7373938.3012450216</v>
      </c>
      <c r="M667" s="471">
        <f t="shared" si="56"/>
        <v>0.05</v>
      </c>
      <c r="N667" s="475">
        <f t="shared" si="57"/>
        <v>71345</v>
      </c>
    </row>
    <row r="668" spans="7:14" ht="11.25" customHeight="1" x14ac:dyDescent="0.3">
      <c r="G668" s="470">
        <f>G667+1</f>
        <v>56</v>
      </c>
      <c r="H668" s="470">
        <v>661</v>
      </c>
      <c r="I668" s="455">
        <f t="shared" ca="1" si="55"/>
        <v>7373938.3012450216</v>
      </c>
      <c r="J668" s="455">
        <f t="array" ref="J668">IFERROR(INDEX('Retirement Calculator'!K:K,MATCH('Lorri 401b'!N668,'Retirement Calculator'!A:A,0),0),0)</f>
        <v>16520.094745597391</v>
      </c>
      <c r="K668" s="455">
        <f t="shared" ca="1" si="53"/>
        <v>30655.909193747604</v>
      </c>
      <c r="L668" s="455">
        <f t="shared" ca="1" si="54"/>
        <v>7388074.1156931715</v>
      </c>
      <c r="M668" s="471">
        <f t="shared" si="56"/>
        <v>0.05</v>
      </c>
      <c r="N668" s="475">
        <f t="shared" si="57"/>
        <v>71376</v>
      </c>
    </row>
    <row r="669" spans="7:14" ht="11.25" customHeight="1" x14ac:dyDescent="0.3">
      <c r="G669" s="470">
        <f t="shared" ref="G669:G679" si="70">G668</f>
        <v>56</v>
      </c>
      <c r="H669" s="470">
        <v>662</v>
      </c>
      <c r="I669" s="455">
        <f t="shared" ca="1" si="55"/>
        <v>7388074.1156931715</v>
      </c>
      <c r="J669" s="455">
        <f t="array" ref="J669">IFERROR(INDEX('Retirement Calculator'!K:K,MATCH('Lorri 401b'!N669,'Retirement Calculator'!A:A,0),0),0)</f>
        <v>16520.094745597391</v>
      </c>
      <c r="K669" s="455">
        <f t="shared" ca="1" si="53"/>
        <v>30714.808420614889</v>
      </c>
      <c r="L669" s="455">
        <f t="shared" ca="1" si="54"/>
        <v>7402268.829368189</v>
      </c>
      <c r="M669" s="471">
        <f t="shared" si="56"/>
        <v>0.05</v>
      </c>
      <c r="N669" s="475">
        <f t="shared" si="57"/>
        <v>71406</v>
      </c>
    </row>
    <row r="670" spans="7:14" ht="11.25" customHeight="1" x14ac:dyDescent="0.3">
      <c r="G670" s="470">
        <f t="shared" si="70"/>
        <v>56</v>
      </c>
      <c r="H670" s="470">
        <v>663</v>
      </c>
      <c r="I670" s="455">
        <f t="shared" ca="1" si="55"/>
        <v>7402268.829368189</v>
      </c>
      <c r="J670" s="455">
        <f t="array" ref="J670">IFERROR(INDEX('Retirement Calculator'!K:K,MATCH('Lorri 401b'!N670,'Retirement Calculator'!A:A,0),0),0)</f>
        <v>16520.094745597391</v>
      </c>
      <c r="K670" s="455">
        <f t="shared" ca="1" si="53"/>
        <v>30773.953060927463</v>
      </c>
      <c r="L670" s="455">
        <f t="shared" ca="1" si="54"/>
        <v>7416522.687683519</v>
      </c>
      <c r="M670" s="471">
        <f t="shared" si="56"/>
        <v>0.05</v>
      </c>
      <c r="N670" s="475">
        <f t="shared" si="57"/>
        <v>71437</v>
      </c>
    </row>
    <row r="671" spans="7:14" ht="11.25" customHeight="1" x14ac:dyDescent="0.3">
      <c r="G671" s="470">
        <f t="shared" si="70"/>
        <v>56</v>
      </c>
      <c r="H671" s="470">
        <v>664</v>
      </c>
      <c r="I671" s="455">
        <f t="shared" ca="1" si="55"/>
        <v>7416522.687683519</v>
      </c>
      <c r="J671" s="455">
        <f t="array" ref="J671">IFERROR(INDEX('Retirement Calculator'!K:K,MATCH('Lorri 401b'!N671,'Retirement Calculator'!A:A,0),0),0)</f>
        <v>16520.094745597391</v>
      </c>
      <c r="K671" s="455">
        <f t="shared" ca="1" si="53"/>
        <v>30833.344137241336</v>
      </c>
      <c r="L671" s="455">
        <f t="shared" ca="1" si="54"/>
        <v>7430835.9370751623</v>
      </c>
      <c r="M671" s="471">
        <f t="shared" si="56"/>
        <v>0.05</v>
      </c>
      <c r="N671" s="475">
        <f t="shared" si="57"/>
        <v>71468</v>
      </c>
    </row>
    <row r="672" spans="7:14" ht="11.25" customHeight="1" x14ac:dyDescent="0.3">
      <c r="G672" s="470">
        <f t="shared" si="70"/>
        <v>56</v>
      </c>
      <c r="H672" s="470">
        <v>665</v>
      </c>
      <c r="I672" s="455">
        <f t="shared" ca="1" si="55"/>
        <v>7430835.9370751623</v>
      </c>
      <c r="J672" s="455">
        <f t="array" ref="J672">IFERROR(INDEX('Retirement Calculator'!K:K,MATCH('Lorri 401b'!N672,'Retirement Calculator'!A:A,0),0),0)</f>
        <v>16520.094745597391</v>
      </c>
      <c r="K672" s="455">
        <f t="shared" ca="1" si="53"/>
        <v>30892.982676373183</v>
      </c>
      <c r="L672" s="455">
        <f t="shared" ca="1" si="54"/>
        <v>7445208.8250059374</v>
      </c>
      <c r="M672" s="471">
        <f t="shared" si="56"/>
        <v>0.05</v>
      </c>
      <c r="N672" s="475">
        <f t="shared" si="57"/>
        <v>71498</v>
      </c>
    </row>
    <row r="673" spans="7:14" ht="11.25" customHeight="1" x14ac:dyDescent="0.3">
      <c r="G673" s="470">
        <f t="shared" si="70"/>
        <v>56</v>
      </c>
      <c r="H673" s="470">
        <v>666</v>
      </c>
      <c r="I673" s="455">
        <f t="shared" ca="1" si="55"/>
        <v>7445208.8250059374</v>
      </c>
      <c r="J673" s="455">
        <f t="array" ref="J673">IFERROR(INDEX('Retirement Calculator'!K:K,MATCH('Lorri 401b'!N673,'Retirement Calculator'!A:A,0),0),0)</f>
        <v>16520.094745597391</v>
      </c>
      <c r="K673" s="455">
        <f t="shared" ca="1" si="53"/>
        <v>30952.869709418079</v>
      </c>
      <c r="L673" s="455">
        <f t="shared" ca="1" si="54"/>
        <v>7459641.5999697577</v>
      </c>
      <c r="M673" s="471">
        <f t="shared" si="56"/>
        <v>0.05</v>
      </c>
      <c r="N673" s="475">
        <f t="shared" si="57"/>
        <v>71529</v>
      </c>
    </row>
    <row r="674" spans="7:14" ht="11.25" customHeight="1" x14ac:dyDescent="0.3">
      <c r="G674" s="470">
        <f t="shared" si="70"/>
        <v>56</v>
      </c>
      <c r="H674" s="470">
        <v>667</v>
      </c>
      <c r="I674" s="455">
        <f t="shared" ca="1" si="55"/>
        <v>7459641.5999697577</v>
      </c>
      <c r="J674" s="455">
        <f t="array" ref="J674">IFERROR(INDEX('Retirement Calculator'!K:K,MATCH('Lorri 401b'!N674,'Retirement Calculator'!A:A,0),0),0)</f>
        <v>16520.094745597391</v>
      </c>
      <c r="K674" s="455">
        <f t="shared" ca="1" si="53"/>
        <v>31013.006271767332</v>
      </c>
      <c r="L674" s="455">
        <f t="shared" ca="1" si="54"/>
        <v>7474134.5114959273</v>
      </c>
      <c r="M674" s="471">
        <f t="shared" si="56"/>
        <v>0.05</v>
      </c>
      <c r="N674" s="475">
        <f t="shared" si="57"/>
        <v>71559</v>
      </c>
    </row>
    <row r="675" spans="7:14" ht="11.25" customHeight="1" x14ac:dyDescent="0.3">
      <c r="G675" s="470">
        <f t="shared" si="70"/>
        <v>56</v>
      </c>
      <c r="H675" s="470">
        <v>668</v>
      </c>
      <c r="I675" s="455">
        <f t="shared" ca="1" si="55"/>
        <v>7474134.5114959273</v>
      </c>
      <c r="J675" s="455">
        <f t="array" ref="J675">IFERROR(INDEX('Retirement Calculator'!K:K,MATCH('Lorri 401b'!N675,'Retirement Calculator'!A:A,0),0),0)</f>
        <v>16520.094745597391</v>
      </c>
      <c r="K675" s="455">
        <f t="shared" ca="1" si="53"/>
        <v>31073.393403126374</v>
      </c>
      <c r="L675" s="455">
        <f t="shared" ca="1" si="54"/>
        <v>7488687.8101534555</v>
      </c>
      <c r="M675" s="471">
        <f t="shared" si="56"/>
        <v>0.05</v>
      </c>
      <c r="N675" s="475">
        <f t="shared" si="57"/>
        <v>71590</v>
      </c>
    </row>
    <row r="676" spans="7:14" ht="11.25" customHeight="1" x14ac:dyDescent="0.3">
      <c r="G676" s="470">
        <f t="shared" si="70"/>
        <v>56</v>
      </c>
      <c r="H676" s="470">
        <v>669</v>
      </c>
      <c r="I676" s="455">
        <f t="shared" ca="1" si="55"/>
        <v>7488687.8101534555</v>
      </c>
      <c r="J676" s="455">
        <f t="array" ref="J676">IFERROR(INDEX('Retirement Calculator'!K:K,MATCH('Lorri 401b'!N676,'Retirement Calculator'!A:A,0),0),0)</f>
        <v>16520.094745597391</v>
      </c>
      <c r="K676" s="455">
        <f t="shared" ca="1" si="53"/>
        <v>31134.032147532736</v>
      </c>
      <c r="L676" s="455">
        <f t="shared" ca="1" si="54"/>
        <v>7503301.74755539</v>
      </c>
      <c r="M676" s="471">
        <f t="shared" si="56"/>
        <v>0.05</v>
      </c>
      <c r="N676" s="475">
        <f t="shared" si="57"/>
        <v>71621</v>
      </c>
    </row>
    <row r="677" spans="7:14" ht="11.25" customHeight="1" x14ac:dyDescent="0.3">
      <c r="G677" s="470">
        <f t="shared" si="70"/>
        <v>56</v>
      </c>
      <c r="H677" s="470">
        <v>670</v>
      </c>
      <c r="I677" s="455">
        <f t="shared" ca="1" si="55"/>
        <v>7503301.74755539</v>
      </c>
      <c r="J677" s="455">
        <f t="array" ref="J677">IFERROR(INDEX('Retirement Calculator'!K:K,MATCH('Lorri 401b'!N677,'Retirement Calculator'!A:A,0),0),0)</f>
        <v>16520.094745597391</v>
      </c>
      <c r="K677" s="455">
        <f t="shared" ca="1" si="53"/>
        <v>31194.923553374134</v>
      </c>
      <c r="L677" s="455">
        <f t="shared" ca="1" si="54"/>
        <v>7517976.5763631668</v>
      </c>
      <c r="M677" s="471">
        <f t="shared" si="56"/>
        <v>0.05</v>
      </c>
      <c r="N677" s="475">
        <f t="shared" si="57"/>
        <v>71650</v>
      </c>
    </row>
    <row r="678" spans="7:14" ht="11.25" customHeight="1" x14ac:dyDescent="0.3">
      <c r="G678" s="470">
        <f t="shared" si="70"/>
        <v>56</v>
      </c>
      <c r="H678" s="470">
        <v>671</v>
      </c>
      <c r="I678" s="455">
        <f t="shared" ca="1" si="55"/>
        <v>7517976.5763631668</v>
      </c>
      <c r="J678" s="455">
        <f t="array" ref="J678">IFERROR(INDEX('Retirement Calculator'!K:K,MATCH('Lorri 401b'!N678,'Retirement Calculator'!A:A,0),0),0)</f>
        <v>16520.094745597391</v>
      </c>
      <c r="K678" s="455">
        <f t="shared" ca="1" si="53"/>
        <v>31256.068673406538</v>
      </c>
      <c r="L678" s="455">
        <f t="shared" ca="1" si="54"/>
        <v>7532712.5502909757</v>
      </c>
      <c r="M678" s="471">
        <f t="shared" si="56"/>
        <v>0.05</v>
      </c>
      <c r="N678" s="475">
        <f t="shared" si="57"/>
        <v>71681</v>
      </c>
    </row>
    <row r="679" spans="7:14" ht="11.25" customHeight="1" x14ac:dyDescent="0.3">
      <c r="G679" s="470">
        <f t="shared" si="70"/>
        <v>56</v>
      </c>
      <c r="H679" s="470">
        <v>672</v>
      </c>
      <c r="I679" s="455">
        <f t="shared" ca="1" si="55"/>
        <v>7532712.5502909757</v>
      </c>
      <c r="J679" s="455">
        <f t="array" ref="J679">IFERROR(INDEX('Retirement Calculator'!K:K,MATCH('Lorri 401b'!N679,'Retirement Calculator'!A:A,0),0),0)</f>
        <v>16520.094745597391</v>
      </c>
      <c r="K679" s="455">
        <f t="shared" ca="1" si="53"/>
        <v>31317.468564772407</v>
      </c>
      <c r="L679" s="455">
        <f t="shared" ca="1" si="54"/>
        <v>7547509.92411015</v>
      </c>
      <c r="M679" s="471">
        <f t="shared" si="56"/>
        <v>0.05</v>
      </c>
      <c r="N679" s="475">
        <f t="shared" si="57"/>
        <v>71711</v>
      </c>
    </row>
    <row r="680" spans="7:14" ht="11.25" customHeight="1" x14ac:dyDescent="0.3">
      <c r="G680" s="470">
        <f>G679+1</f>
        <v>57</v>
      </c>
      <c r="H680" s="470">
        <v>673</v>
      </c>
      <c r="I680" s="455">
        <f t="shared" ca="1" si="55"/>
        <v>7547509.92411015</v>
      </c>
      <c r="J680" s="455">
        <f t="array" ref="J680">IFERROR(INDEX('Retirement Calculator'!K:K,MATCH('Lorri 401b'!N680,'Retirement Calculator'!A:A,0),0),0)</f>
        <v>16520.094745597391</v>
      </c>
      <c r="K680" s="455">
        <f t="shared" ca="1" si="53"/>
        <v>31379.124289018971</v>
      </c>
      <c r="L680" s="455">
        <f t="shared" ca="1" si="54"/>
        <v>7562368.9536535712</v>
      </c>
      <c r="M680" s="471">
        <f t="shared" si="56"/>
        <v>0.05</v>
      </c>
      <c r="N680" s="475">
        <f t="shared" si="57"/>
        <v>71742</v>
      </c>
    </row>
    <row r="681" spans="7:14" ht="11.25" customHeight="1" x14ac:dyDescent="0.3">
      <c r="G681" s="470">
        <f t="shared" ref="G681:G691" si="71">G680</f>
        <v>57</v>
      </c>
      <c r="H681" s="470">
        <v>674</v>
      </c>
      <c r="I681" s="455">
        <f t="shared" ca="1" si="55"/>
        <v>7562368.9536535712</v>
      </c>
      <c r="J681" s="455">
        <f t="array" ref="J681">IFERROR(INDEX('Retirement Calculator'!K:K,MATCH('Lorri 401b'!N681,'Retirement Calculator'!A:A,0),0),0)</f>
        <v>16520.094745597391</v>
      </c>
      <c r="K681" s="455">
        <f t="shared" ca="1" si="53"/>
        <v>31441.036912116553</v>
      </c>
      <c r="L681" s="455">
        <f t="shared" ca="1" si="54"/>
        <v>7577289.8958200896</v>
      </c>
      <c r="M681" s="471">
        <f t="shared" si="56"/>
        <v>0.05</v>
      </c>
      <c r="N681" s="475">
        <f t="shared" si="57"/>
        <v>71772</v>
      </c>
    </row>
    <row r="682" spans="7:14" ht="11.25" customHeight="1" x14ac:dyDescent="0.3">
      <c r="G682" s="470">
        <f t="shared" si="71"/>
        <v>57</v>
      </c>
      <c r="H682" s="470">
        <v>675</v>
      </c>
      <c r="I682" s="455">
        <f t="shared" ca="1" si="55"/>
        <v>7577289.8958200896</v>
      </c>
      <c r="J682" s="455">
        <f t="array" ref="J682">IFERROR(INDEX('Retirement Calculator'!K:K,MATCH('Lorri 401b'!N682,'Retirement Calculator'!A:A,0),0),0)</f>
        <v>16520.094745597391</v>
      </c>
      <c r="K682" s="455">
        <f t="shared" ca="1" si="53"/>
        <v>31503.20750447705</v>
      </c>
      <c r="L682" s="455">
        <f t="shared" ca="1" si="54"/>
        <v>7592273.0085789692</v>
      </c>
      <c r="M682" s="471">
        <f t="shared" si="56"/>
        <v>0.05</v>
      </c>
      <c r="N682" s="475">
        <f t="shared" si="57"/>
        <v>71803</v>
      </c>
    </row>
    <row r="683" spans="7:14" ht="11.25" customHeight="1" x14ac:dyDescent="0.3">
      <c r="G683" s="470">
        <f t="shared" si="71"/>
        <v>57</v>
      </c>
      <c r="H683" s="470">
        <v>676</v>
      </c>
      <c r="I683" s="455">
        <f t="shared" ca="1" si="55"/>
        <v>7592273.0085789692</v>
      </c>
      <c r="J683" s="455">
        <f t="array" ref="J683">IFERROR(INDEX('Retirement Calculator'!K:K,MATCH('Lorri 401b'!N683,'Retirement Calculator'!A:A,0),0),0)</f>
        <v>16520.094745597391</v>
      </c>
      <c r="K683" s="455">
        <f t="shared" ca="1" si="53"/>
        <v>31565.63714097238</v>
      </c>
      <c r="L683" s="455">
        <f t="shared" ca="1" si="54"/>
        <v>7607318.5509743439</v>
      </c>
      <c r="M683" s="471">
        <f t="shared" si="56"/>
        <v>0.05</v>
      </c>
      <c r="N683" s="475">
        <f t="shared" si="57"/>
        <v>71834</v>
      </c>
    </row>
    <row r="684" spans="7:14" ht="11.25" customHeight="1" x14ac:dyDescent="0.3">
      <c r="G684" s="470">
        <f t="shared" si="71"/>
        <v>57</v>
      </c>
      <c r="H684" s="470">
        <v>677</v>
      </c>
      <c r="I684" s="455">
        <f t="shared" ca="1" si="55"/>
        <v>7607318.5509743439</v>
      </c>
      <c r="J684" s="455">
        <f t="array" ref="J684">IFERROR(INDEX('Retirement Calculator'!K:K,MATCH('Lorri 401b'!N684,'Retirement Calculator'!A:A,0),0),0)</f>
        <v>16520.094745597391</v>
      </c>
      <c r="K684" s="455">
        <f t="shared" ca="1" si="53"/>
        <v>31628.326900953107</v>
      </c>
      <c r="L684" s="455">
        <f t="shared" ca="1" si="54"/>
        <v>7622426.7831296995</v>
      </c>
      <c r="M684" s="471">
        <f t="shared" si="56"/>
        <v>0.05</v>
      </c>
      <c r="N684" s="475">
        <f t="shared" si="57"/>
        <v>71864</v>
      </c>
    </row>
    <row r="685" spans="7:14" ht="11.25" customHeight="1" x14ac:dyDescent="0.3">
      <c r="G685" s="470">
        <f t="shared" si="71"/>
        <v>57</v>
      </c>
      <c r="H685" s="470">
        <v>678</v>
      </c>
      <c r="I685" s="455">
        <f t="shared" ca="1" si="55"/>
        <v>7622426.7831296995</v>
      </c>
      <c r="J685" s="455">
        <f t="array" ref="J685">IFERROR(INDEX('Retirement Calculator'!K:K,MATCH('Lorri 401b'!N685,'Retirement Calculator'!A:A,0),0),0)</f>
        <v>16520.094745597391</v>
      </c>
      <c r="K685" s="455">
        <f t="shared" ca="1" si="53"/>
        <v>31691.277868267094</v>
      </c>
      <c r="L685" s="455">
        <f t="shared" ca="1" si="54"/>
        <v>7637597.9662523689</v>
      </c>
      <c r="M685" s="471">
        <f t="shared" si="56"/>
        <v>0.05</v>
      </c>
      <c r="N685" s="475">
        <f t="shared" si="57"/>
        <v>71895</v>
      </c>
    </row>
    <row r="686" spans="7:14" ht="11.25" customHeight="1" x14ac:dyDescent="0.3">
      <c r="G686" s="470">
        <f t="shared" si="71"/>
        <v>57</v>
      </c>
      <c r="H686" s="470">
        <v>679</v>
      </c>
      <c r="I686" s="455">
        <f t="shared" ca="1" si="55"/>
        <v>7637597.9662523689</v>
      </c>
      <c r="J686" s="455">
        <f t="array" ref="J686">IFERROR(INDEX('Retirement Calculator'!K:K,MATCH('Lorri 401b'!N686,'Retirement Calculator'!A:A,0),0),0)</f>
        <v>16520.094745597391</v>
      </c>
      <c r="K686" s="455">
        <f t="shared" ca="1" si="53"/>
        <v>31754.49113127821</v>
      </c>
      <c r="L686" s="455">
        <f t="shared" ca="1" si="54"/>
        <v>7652832.3626380488</v>
      </c>
      <c r="M686" s="471">
        <f t="shared" si="56"/>
        <v>0.05</v>
      </c>
      <c r="N686" s="475">
        <f t="shared" si="57"/>
        <v>71925</v>
      </c>
    </row>
    <row r="687" spans="7:14" ht="11.25" customHeight="1" x14ac:dyDescent="0.3">
      <c r="G687" s="470">
        <f t="shared" si="71"/>
        <v>57</v>
      </c>
      <c r="H687" s="470">
        <v>680</v>
      </c>
      <c r="I687" s="455">
        <f t="shared" ca="1" si="55"/>
        <v>7652832.3626380488</v>
      </c>
      <c r="J687" s="455">
        <f t="array" ref="J687">IFERROR(INDEX('Retirement Calculator'!K:K,MATCH('Lorri 401b'!N687,'Retirement Calculator'!A:A,0),0),0)</f>
        <v>16520.094745597391</v>
      </c>
      <c r="K687" s="455">
        <f t="shared" ca="1" si="53"/>
        <v>31817.967782885211</v>
      </c>
      <c r="L687" s="455">
        <f t="shared" ca="1" si="54"/>
        <v>7668130.2356753359</v>
      </c>
      <c r="M687" s="471">
        <f t="shared" si="56"/>
        <v>0.05</v>
      </c>
      <c r="N687" s="475">
        <f t="shared" si="57"/>
        <v>71956</v>
      </c>
    </row>
    <row r="688" spans="7:14" ht="11.25" customHeight="1" x14ac:dyDescent="0.3">
      <c r="G688" s="470">
        <f t="shared" si="71"/>
        <v>57</v>
      </c>
      <c r="H688" s="470">
        <v>681</v>
      </c>
      <c r="I688" s="455">
        <f t="shared" ca="1" si="55"/>
        <v>7668130.2356753359</v>
      </c>
      <c r="J688" s="455">
        <f t="array" ref="J688">IFERROR(INDEX('Retirement Calculator'!K:K,MATCH('Lorri 401b'!N688,'Retirement Calculator'!A:A,0),0),0)</f>
        <v>16520.094745597391</v>
      </c>
      <c r="K688" s="455">
        <f t="shared" ca="1" si="53"/>
        <v>31881.708920540575</v>
      </c>
      <c r="L688" s="455">
        <f t="shared" ca="1" si="54"/>
        <v>7683491.8498502783</v>
      </c>
      <c r="M688" s="471">
        <f t="shared" si="56"/>
        <v>0.05</v>
      </c>
      <c r="N688" s="475">
        <f t="shared" si="57"/>
        <v>71987</v>
      </c>
    </row>
    <row r="689" spans="7:14" ht="11.25" customHeight="1" x14ac:dyDescent="0.3">
      <c r="G689" s="470">
        <f t="shared" si="71"/>
        <v>57</v>
      </c>
      <c r="H689" s="470">
        <v>682</v>
      </c>
      <c r="I689" s="455">
        <f t="shared" ca="1" si="55"/>
        <v>7683491.8498502783</v>
      </c>
      <c r="J689" s="455">
        <f t="array" ref="J689">IFERROR(INDEX('Retirement Calculator'!K:K,MATCH('Lorri 401b'!N689,'Retirement Calculator'!A:A,0),0),0)</f>
        <v>16520.094745597391</v>
      </c>
      <c r="K689" s="455">
        <f t="shared" ca="1" si="53"/>
        <v>31945.715646269502</v>
      </c>
      <c r="L689" s="455">
        <f t="shared" ca="1" si="54"/>
        <v>7698917.4707509503</v>
      </c>
      <c r="M689" s="471">
        <f t="shared" si="56"/>
        <v>0.05</v>
      </c>
      <c r="N689" s="475">
        <f t="shared" si="57"/>
        <v>72015</v>
      </c>
    </row>
    <row r="690" spans="7:14" ht="11.25" customHeight="1" x14ac:dyDescent="0.3">
      <c r="G690" s="470">
        <f t="shared" si="71"/>
        <v>57</v>
      </c>
      <c r="H690" s="470">
        <v>683</v>
      </c>
      <c r="I690" s="455">
        <f t="shared" ca="1" si="55"/>
        <v>7698917.4707509503</v>
      </c>
      <c r="J690" s="455">
        <f t="array" ref="J690">IFERROR(INDEX('Retirement Calculator'!K:K,MATCH('Lorri 401b'!N690,'Retirement Calculator'!A:A,0),0),0)</f>
        <v>16520.094745597391</v>
      </c>
      <c r="K690" s="455">
        <f t="shared" ca="1" si="53"/>
        <v>32009.98906668897</v>
      </c>
      <c r="L690" s="455">
        <f t="shared" ca="1" si="54"/>
        <v>7714407.3650720417</v>
      </c>
      <c r="M690" s="471">
        <f t="shared" si="56"/>
        <v>0.05</v>
      </c>
      <c r="N690" s="475">
        <f t="shared" si="57"/>
        <v>72046</v>
      </c>
    </row>
    <row r="691" spans="7:14" ht="11.25" customHeight="1" x14ac:dyDescent="0.3">
      <c r="G691" s="470">
        <f t="shared" si="71"/>
        <v>57</v>
      </c>
      <c r="H691" s="470">
        <v>684</v>
      </c>
      <c r="I691" s="455">
        <f t="shared" ca="1" si="55"/>
        <v>7714407.3650720417</v>
      </c>
      <c r="J691" s="455">
        <f t="array" ref="J691">IFERROR(INDEX('Retirement Calculator'!K:K,MATCH('Lorri 401b'!N691,'Retirement Calculator'!A:A,0),0),0)</f>
        <v>16520.094745597391</v>
      </c>
      <c r="K691" s="455">
        <f t="shared" ca="1" si="53"/>
        <v>32074.530293026848</v>
      </c>
      <c r="L691" s="455">
        <f t="shared" ca="1" si="54"/>
        <v>7729961.8006194709</v>
      </c>
      <c r="M691" s="471">
        <f t="shared" si="56"/>
        <v>0.05</v>
      </c>
      <c r="N691" s="475">
        <f t="shared" si="57"/>
        <v>72076</v>
      </c>
    </row>
    <row r="692" spans="7:14" ht="11.25" customHeight="1" x14ac:dyDescent="0.3">
      <c r="G692" s="470">
        <f>G691+1</f>
        <v>58</v>
      </c>
      <c r="H692" s="470">
        <v>685</v>
      </c>
      <c r="I692" s="455">
        <f t="shared" ca="1" si="55"/>
        <v>7729961.8006194709</v>
      </c>
      <c r="J692" s="455">
        <f t="array" ref="J692">IFERROR(INDEX('Retirement Calculator'!K:K,MATCH('Lorri 401b'!N692,'Retirement Calculator'!A:A,0),0),0)</f>
        <v>16520.094745597391</v>
      </c>
      <c r="K692" s="455">
        <f t="shared" ca="1" si="53"/>
        <v>32139.340441141136</v>
      </c>
      <c r="L692" s="455">
        <f t="shared" ca="1" si="54"/>
        <v>7745581.0463150144</v>
      </c>
      <c r="M692" s="471">
        <f t="shared" si="56"/>
        <v>0.05</v>
      </c>
      <c r="N692" s="475">
        <f t="shared" si="57"/>
        <v>72107</v>
      </c>
    </row>
    <row r="693" spans="7:14" ht="11.25" customHeight="1" x14ac:dyDescent="0.3">
      <c r="G693" s="470">
        <f t="shared" ref="G693:G703" si="72">G692</f>
        <v>58</v>
      </c>
      <c r="H693" s="470">
        <v>686</v>
      </c>
      <c r="I693" s="455">
        <f t="shared" ca="1" si="55"/>
        <v>7745581.0463150144</v>
      </c>
      <c r="J693" s="455">
        <f t="array" ref="J693">IFERROR(INDEX('Retirement Calculator'!K:K,MATCH('Lorri 401b'!N693,'Retirement Calculator'!A:A,0),0),0)</f>
        <v>16520.094745597391</v>
      </c>
      <c r="K693" s="455">
        <f t="shared" ca="1" si="53"/>
        <v>32204.420631539233</v>
      </c>
      <c r="L693" s="455">
        <f t="shared" ca="1" si="54"/>
        <v>7761265.3722009556</v>
      </c>
      <c r="M693" s="471">
        <f t="shared" si="56"/>
        <v>0.05</v>
      </c>
      <c r="N693" s="475">
        <f t="shared" si="57"/>
        <v>72137</v>
      </c>
    </row>
    <row r="694" spans="7:14" ht="11.25" customHeight="1" x14ac:dyDescent="0.3">
      <c r="G694" s="470">
        <f t="shared" si="72"/>
        <v>58</v>
      </c>
      <c r="H694" s="470">
        <v>687</v>
      </c>
      <c r="I694" s="455">
        <f t="shared" ca="1" si="55"/>
        <v>7761265.3722009556</v>
      </c>
      <c r="J694" s="455">
        <f t="array" ref="J694">IFERROR(INDEX('Retirement Calculator'!K:K,MATCH('Lorri 401b'!N694,'Retirement Calculator'!A:A,0),0),0)</f>
        <v>16520.094745597391</v>
      </c>
      <c r="K694" s="455">
        <f t="shared" ca="1" si="53"/>
        <v>32269.771989397323</v>
      </c>
      <c r="L694" s="455">
        <f t="shared" ca="1" si="54"/>
        <v>7777015.0494447555</v>
      </c>
      <c r="M694" s="471">
        <f t="shared" si="56"/>
        <v>0.05</v>
      </c>
      <c r="N694" s="475">
        <f t="shared" si="57"/>
        <v>72168</v>
      </c>
    </row>
    <row r="695" spans="7:14" ht="11.25" customHeight="1" x14ac:dyDescent="0.3">
      <c r="G695" s="470">
        <f t="shared" si="72"/>
        <v>58</v>
      </c>
      <c r="H695" s="470">
        <v>688</v>
      </c>
      <c r="I695" s="455">
        <f t="shared" ca="1" si="55"/>
        <v>7777015.0494447555</v>
      </c>
      <c r="J695" s="455">
        <f t="array" ref="J695">IFERROR(INDEX('Retirement Calculator'!K:K,MATCH('Lorri 401b'!N695,'Retirement Calculator'!A:A,0),0),0)</f>
        <v>16520.094745597391</v>
      </c>
      <c r="K695" s="455">
        <f t="shared" ca="1" si="53"/>
        <v>32335.395644579829</v>
      </c>
      <c r="L695" s="455">
        <f t="shared" ca="1" si="54"/>
        <v>7792830.3503437378</v>
      </c>
      <c r="M695" s="471">
        <f t="shared" si="56"/>
        <v>0.05</v>
      </c>
      <c r="N695" s="475">
        <f t="shared" si="57"/>
        <v>72199</v>
      </c>
    </row>
    <row r="696" spans="7:14" ht="11.25" customHeight="1" x14ac:dyDescent="0.3">
      <c r="G696" s="470">
        <f t="shared" si="72"/>
        <v>58</v>
      </c>
      <c r="H696" s="470">
        <v>689</v>
      </c>
      <c r="I696" s="455">
        <f t="shared" ca="1" si="55"/>
        <v>7792830.3503437378</v>
      </c>
      <c r="J696" s="455">
        <f t="array" ref="J696">IFERROR(INDEX('Retirement Calculator'!K:K,MATCH('Lorri 401b'!N696,'Retirement Calculator'!A:A,0),0),0)</f>
        <v>16520.094745597391</v>
      </c>
      <c r="K696" s="455">
        <f t="shared" ca="1" si="53"/>
        <v>32401.292731658916</v>
      </c>
      <c r="L696" s="455">
        <f t="shared" ca="1" si="54"/>
        <v>7808711.5483297985</v>
      </c>
      <c r="M696" s="471">
        <f t="shared" si="56"/>
        <v>0.05</v>
      </c>
      <c r="N696" s="475">
        <f t="shared" si="57"/>
        <v>72229</v>
      </c>
    </row>
    <row r="697" spans="7:14" ht="11.25" customHeight="1" x14ac:dyDescent="0.3">
      <c r="G697" s="470">
        <f t="shared" si="72"/>
        <v>58</v>
      </c>
      <c r="H697" s="470">
        <v>690</v>
      </c>
      <c r="I697" s="455">
        <f t="shared" ca="1" si="55"/>
        <v>7808711.5483297985</v>
      </c>
      <c r="J697" s="455">
        <f t="array" ref="J697">IFERROR(INDEX('Retirement Calculator'!K:K,MATCH('Lorri 401b'!N697,'Retirement Calculator'!A:A,0),0),0)</f>
        <v>16520.094745597391</v>
      </c>
      <c r="K697" s="455">
        <f t="shared" ca="1" si="53"/>
        <v>32467.464389934168</v>
      </c>
      <c r="L697" s="455">
        <f t="shared" ca="1" si="54"/>
        <v>7824658.9179741349</v>
      </c>
      <c r="M697" s="471">
        <f t="shared" si="56"/>
        <v>0.05</v>
      </c>
      <c r="N697" s="475">
        <f t="shared" si="57"/>
        <v>72260</v>
      </c>
    </row>
    <row r="698" spans="7:14" ht="11.25" customHeight="1" x14ac:dyDescent="0.3">
      <c r="G698" s="470">
        <f t="shared" si="72"/>
        <v>58</v>
      </c>
      <c r="H698" s="470">
        <v>691</v>
      </c>
      <c r="I698" s="455">
        <f t="shared" ca="1" si="55"/>
        <v>7824658.9179741349</v>
      </c>
      <c r="J698" s="455">
        <f t="array" ref="J698">IFERROR(INDEX('Retirement Calculator'!K:K,MATCH('Lorri 401b'!N698,'Retirement Calculator'!A:A,0),0),0)</f>
        <v>16520.094745597391</v>
      </c>
      <c r="K698" s="455">
        <f t="shared" ca="1" si="53"/>
        <v>32533.911763452237</v>
      </c>
      <c r="L698" s="455">
        <f t="shared" ca="1" si="54"/>
        <v>7840672.7349919891</v>
      </c>
      <c r="M698" s="471">
        <f t="shared" si="56"/>
        <v>0.05</v>
      </c>
      <c r="N698" s="475">
        <f t="shared" si="57"/>
        <v>72290</v>
      </c>
    </row>
    <row r="699" spans="7:14" ht="11.25" customHeight="1" x14ac:dyDescent="0.3">
      <c r="G699" s="470">
        <f t="shared" si="72"/>
        <v>58</v>
      </c>
      <c r="H699" s="470">
        <v>692</v>
      </c>
      <c r="I699" s="455">
        <f t="shared" ca="1" si="55"/>
        <v>7840672.7349919891</v>
      </c>
      <c r="J699" s="455">
        <f t="array" ref="J699">IFERROR(INDEX('Retirement Calculator'!K:K,MATCH('Lorri 401b'!N699,'Retirement Calculator'!A:A,0),0),0)</f>
        <v>16520.094745597391</v>
      </c>
      <c r="K699" s="455">
        <f t="shared" ca="1" si="53"/>
        <v>32600.636001026633</v>
      </c>
      <c r="L699" s="455">
        <f t="shared" ca="1" si="54"/>
        <v>7856753.2762474176</v>
      </c>
      <c r="M699" s="471">
        <f t="shared" si="56"/>
        <v>0.05</v>
      </c>
      <c r="N699" s="475">
        <f t="shared" si="57"/>
        <v>72321</v>
      </c>
    </row>
    <row r="700" spans="7:14" ht="11.25" customHeight="1" x14ac:dyDescent="0.3">
      <c r="G700" s="470">
        <f t="shared" si="72"/>
        <v>58</v>
      </c>
      <c r="H700" s="470">
        <v>693</v>
      </c>
      <c r="I700" s="455">
        <f t="shared" ca="1" si="55"/>
        <v>7856753.2762474176</v>
      </c>
      <c r="J700" s="455">
        <f t="array" ref="J700">IFERROR(INDEX('Retirement Calculator'!K:K,MATCH('Lorri 401b'!N700,'Retirement Calculator'!A:A,0),0),0)</f>
        <v>16520.094745597391</v>
      </c>
      <c r="K700" s="455">
        <f t="shared" ca="1" si="53"/>
        <v>32667.638256257582</v>
      </c>
      <c r="L700" s="455">
        <f t="shared" ca="1" si="54"/>
        <v>7872900.8197580772</v>
      </c>
      <c r="M700" s="471">
        <f t="shared" si="56"/>
        <v>0.05</v>
      </c>
      <c r="N700" s="475">
        <f t="shared" si="57"/>
        <v>72352</v>
      </c>
    </row>
    <row r="701" spans="7:14" ht="11.25" customHeight="1" x14ac:dyDescent="0.3">
      <c r="G701" s="470">
        <f t="shared" si="72"/>
        <v>58</v>
      </c>
      <c r="H701" s="470">
        <v>694</v>
      </c>
      <c r="I701" s="455">
        <f t="shared" ca="1" si="55"/>
        <v>7872900.8197580772</v>
      </c>
      <c r="J701" s="455">
        <f t="array" ref="J701">IFERROR(INDEX('Retirement Calculator'!K:K,MATCH('Lorri 401b'!N701,'Retirement Calculator'!A:A,0),0),0)</f>
        <v>16520.094745597391</v>
      </c>
      <c r="K701" s="455">
        <f t="shared" ca="1" si="53"/>
        <v>32734.919687551996</v>
      </c>
      <c r="L701" s="455">
        <f t="shared" ca="1" si="54"/>
        <v>7889115.6447000317</v>
      </c>
      <c r="M701" s="471">
        <f t="shared" si="56"/>
        <v>0.05</v>
      </c>
      <c r="N701" s="475">
        <f t="shared" si="57"/>
        <v>72380</v>
      </c>
    </row>
    <row r="702" spans="7:14" ht="11.25" customHeight="1" x14ac:dyDescent="0.3">
      <c r="G702" s="470">
        <f t="shared" si="72"/>
        <v>58</v>
      </c>
      <c r="H702" s="470">
        <v>695</v>
      </c>
      <c r="I702" s="455">
        <f t="shared" ca="1" si="55"/>
        <v>7889115.6447000317</v>
      </c>
      <c r="J702" s="455">
        <f t="array" ref="J702">IFERROR(INDEX('Retirement Calculator'!K:K,MATCH('Lorri 401b'!N702,'Retirement Calculator'!A:A,0),0),0)</f>
        <v>16520.094745597391</v>
      </c>
      <c r="K702" s="455">
        <f t="shared" ca="1" si="53"/>
        <v>32802.481458143469</v>
      </c>
      <c r="L702" s="455">
        <f t="shared" ca="1" si="54"/>
        <v>7905398.0314125773</v>
      </c>
      <c r="M702" s="471">
        <f t="shared" si="56"/>
        <v>0.05</v>
      </c>
      <c r="N702" s="475">
        <f t="shared" si="57"/>
        <v>72411</v>
      </c>
    </row>
    <row r="703" spans="7:14" ht="11.25" customHeight="1" x14ac:dyDescent="0.3">
      <c r="G703" s="470">
        <f t="shared" si="72"/>
        <v>58</v>
      </c>
      <c r="H703" s="470">
        <v>696</v>
      </c>
      <c r="I703" s="455">
        <f t="shared" ca="1" si="55"/>
        <v>7905398.0314125773</v>
      </c>
      <c r="J703" s="455">
        <f t="array" ref="J703">IFERROR(INDEX('Retirement Calculator'!K:K,MATCH('Lorri 401b'!N703,'Retirement Calculator'!A:A,0),0),0)</f>
        <v>16520.094745597391</v>
      </c>
      <c r="K703" s="455">
        <f t="shared" ca="1" si="53"/>
        <v>32870.324736112416</v>
      </c>
      <c r="L703" s="455">
        <f t="shared" ca="1" si="54"/>
        <v>7921748.2614030922</v>
      </c>
      <c r="M703" s="471">
        <f t="shared" si="56"/>
        <v>0.05</v>
      </c>
      <c r="N703" s="475">
        <f t="shared" si="57"/>
        <v>72441</v>
      </c>
    </row>
    <row r="704" spans="7:14" ht="11.25" customHeight="1" x14ac:dyDescent="0.3">
      <c r="G704" s="470">
        <f>G703+1</f>
        <v>59</v>
      </c>
      <c r="H704" s="470">
        <v>697</v>
      </c>
      <c r="I704" s="455">
        <f t="shared" ca="1" si="55"/>
        <v>7921748.2614030922</v>
      </c>
      <c r="J704" s="455">
        <f t="array" ref="J704">IFERROR(INDEX('Retirement Calculator'!K:K,MATCH('Lorri 401b'!N704,'Retirement Calculator'!A:A,0),0),0)</f>
        <v>16520.094745597391</v>
      </c>
      <c r="K704" s="455">
        <f t="shared" ca="1" si="53"/>
        <v>32938.450694406223</v>
      </c>
      <c r="L704" s="455">
        <f t="shared" ca="1" si="54"/>
        <v>7938166.6173519008</v>
      </c>
      <c r="M704" s="471">
        <f t="shared" si="56"/>
        <v>0.05</v>
      </c>
      <c r="N704" s="475">
        <f t="shared" si="57"/>
        <v>72472</v>
      </c>
    </row>
    <row r="705" spans="7:14" ht="11.25" customHeight="1" x14ac:dyDescent="0.3">
      <c r="G705" s="470">
        <f t="shared" ref="G705:G715" si="73">G704</f>
        <v>59</v>
      </c>
      <c r="H705" s="470">
        <v>698</v>
      </c>
      <c r="I705" s="455">
        <f t="shared" ca="1" si="55"/>
        <v>7938166.6173519008</v>
      </c>
      <c r="J705" s="455">
        <f t="array" ref="J705">IFERROR(INDEX('Retirement Calculator'!K:K,MATCH('Lorri 401b'!N705,'Retirement Calculator'!A:A,0),0),0)</f>
        <v>16520.094745597391</v>
      </c>
      <c r="K705" s="455">
        <f t="shared" ca="1" si="53"/>
        <v>33006.860510859602</v>
      </c>
      <c r="L705" s="455">
        <f t="shared" ca="1" si="54"/>
        <v>7954653.3831171626</v>
      </c>
      <c r="M705" s="471">
        <f t="shared" si="56"/>
        <v>0.05</v>
      </c>
      <c r="N705" s="475">
        <f t="shared" si="57"/>
        <v>72502</v>
      </c>
    </row>
    <row r="706" spans="7:14" ht="11.25" customHeight="1" x14ac:dyDescent="0.3">
      <c r="G706" s="470">
        <f t="shared" si="73"/>
        <v>59</v>
      </c>
      <c r="H706" s="470">
        <v>699</v>
      </c>
      <c r="I706" s="455">
        <f t="shared" ca="1" si="55"/>
        <v>7954653.3831171626</v>
      </c>
      <c r="J706" s="455">
        <f t="array" ref="J706">IFERROR(INDEX('Retirement Calculator'!K:K,MATCH('Lorri 401b'!N706,'Retirement Calculator'!A:A,0),0),0)</f>
        <v>16520.094745597391</v>
      </c>
      <c r="K706" s="455">
        <f t="shared" ca="1" si="53"/>
        <v>33075.55536821486</v>
      </c>
      <c r="L706" s="455">
        <f t="shared" ca="1" si="54"/>
        <v>7971208.8437397797</v>
      </c>
      <c r="M706" s="471">
        <f t="shared" si="56"/>
        <v>0.05</v>
      </c>
      <c r="N706" s="475">
        <f t="shared" si="57"/>
        <v>72533</v>
      </c>
    </row>
    <row r="707" spans="7:14" ht="11.25" customHeight="1" x14ac:dyDescent="0.3">
      <c r="G707" s="470">
        <f t="shared" si="73"/>
        <v>59</v>
      </c>
      <c r="H707" s="470">
        <v>700</v>
      </c>
      <c r="I707" s="455">
        <f t="shared" ca="1" si="55"/>
        <v>7971208.8437397797</v>
      </c>
      <c r="J707" s="455">
        <f t="array" ref="J707">IFERROR(INDEX('Retirement Calculator'!K:K,MATCH('Lorri 401b'!N707,'Retirement Calculator'!A:A,0),0),0)</f>
        <v>16520.094745597391</v>
      </c>
      <c r="K707" s="455">
        <f t="shared" ca="1" si="53"/>
        <v>33144.536454142421</v>
      </c>
      <c r="L707" s="455">
        <f t="shared" ca="1" si="54"/>
        <v>7987833.2854483239</v>
      </c>
      <c r="M707" s="471">
        <f t="shared" si="56"/>
        <v>0.05</v>
      </c>
      <c r="N707" s="475">
        <f t="shared" si="57"/>
        <v>72564</v>
      </c>
    </row>
    <row r="708" spans="7:14" ht="11.25" customHeight="1" x14ac:dyDescent="0.3">
      <c r="G708" s="470">
        <f t="shared" si="73"/>
        <v>59</v>
      </c>
      <c r="H708" s="470">
        <v>701</v>
      </c>
      <c r="I708" s="455">
        <f t="shared" ca="1" si="55"/>
        <v>7987833.2854483239</v>
      </c>
      <c r="J708" s="455">
        <f t="array" ref="J708">IFERROR(INDEX('Retirement Calculator'!K:K,MATCH('Lorri 401b'!N708,'Retirement Calculator'!A:A,0),0),0)</f>
        <v>16520.094745597391</v>
      </c>
      <c r="K708" s="455">
        <f t="shared" ca="1" si="53"/>
        <v>33213.804961261361</v>
      </c>
      <c r="L708" s="455">
        <f t="shared" ca="1" si="54"/>
        <v>8004526.9956639875</v>
      </c>
      <c r="M708" s="471">
        <f t="shared" si="56"/>
        <v>0.05</v>
      </c>
      <c r="N708" s="475">
        <f t="shared" si="57"/>
        <v>72594</v>
      </c>
    </row>
    <row r="709" spans="7:14" ht="11.25" customHeight="1" x14ac:dyDescent="0.3">
      <c r="G709" s="470">
        <f t="shared" si="73"/>
        <v>59</v>
      </c>
      <c r="H709" s="470">
        <v>702</v>
      </c>
      <c r="I709" s="455">
        <f t="shared" ca="1" si="55"/>
        <v>8004526.9956639875</v>
      </c>
      <c r="J709" s="455">
        <f t="array" ref="J709">IFERROR(INDEX('Retirement Calculator'!K:K,MATCH('Lorri 401b'!N709,'Retirement Calculator'!A:A,0),0),0)</f>
        <v>16520.094745597391</v>
      </c>
      <c r="K709" s="455">
        <f t="shared" ca="1" si="53"/>
        <v>33283.362087159956</v>
      </c>
      <c r="L709" s="455">
        <f t="shared" ca="1" si="54"/>
        <v>8021290.26300555</v>
      </c>
      <c r="M709" s="471">
        <f t="shared" si="56"/>
        <v>0.05</v>
      </c>
      <c r="N709" s="475">
        <f t="shared" si="57"/>
        <v>72625</v>
      </c>
    </row>
    <row r="710" spans="7:14" ht="11.25" customHeight="1" x14ac:dyDescent="0.3">
      <c r="G710" s="470">
        <f t="shared" si="73"/>
        <v>59</v>
      </c>
      <c r="H710" s="470">
        <v>703</v>
      </c>
      <c r="I710" s="455">
        <f t="shared" ca="1" si="55"/>
        <v>8021290.26300555</v>
      </c>
      <c r="J710" s="455">
        <f t="array" ref="J710">IFERROR(INDEX('Retirement Calculator'!K:K,MATCH('Lorri 401b'!N710,'Retirement Calculator'!A:A,0),0),0)</f>
        <v>16520.094745597391</v>
      </c>
      <c r="K710" s="455">
        <f t="shared" ca="1" si="53"/>
        <v>33353.209034416461</v>
      </c>
      <c r="L710" s="455">
        <f t="shared" ca="1" si="54"/>
        <v>8038123.377294369</v>
      </c>
      <c r="M710" s="471">
        <f t="shared" si="56"/>
        <v>0.05</v>
      </c>
      <c r="N710" s="475">
        <f t="shared" si="57"/>
        <v>72655</v>
      </c>
    </row>
    <row r="711" spans="7:14" ht="11.25" customHeight="1" x14ac:dyDescent="0.3">
      <c r="G711" s="470">
        <f t="shared" si="73"/>
        <v>59</v>
      </c>
      <c r="H711" s="470">
        <v>704</v>
      </c>
      <c r="I711" s="455">
        <f t="shared" ca="1" si="55"/>
        <v>8038123.377294369</v>
      </c>
      <c r="J711" s="455">
        <f t="array" ref="J711">IFERROR(INDEX('Retirement Calculator'!K:K,MATCH('Lorri 401b'!N711,'Retirement Calculator'!A:A,0),0),0)</f>
        <v>16520.094745597391</v>
      </c>
      <c r="K711" s="455">
        <f t="shared" ca="1" si="53"/>
        <v>33423.34701061988</v>
      </c>
      <c r="L711" s="455">
        <f t="shared" ca="1" si="54"/>
        <v>8055026.6295593912</v>
      </c>
      <c r="M711" s="471">
        <f t="shared" si="56"/>
        <v>0.05</v>
      </c>
      <c r="N711" s="475">
        <f t="shared" si="57"/>
        <v>72686</v>
      </c>
    </row>
    <row r="712" spans="7:14" ht="11.25" customHeight="1" x14ac:dyDescent="0.3">
      <c r="G712" s="470">
        <f t="shared" si="73"/>
        <v>59</v>
      </c>
      <c r="H712" s="470">
        <v>705</v>
      </c>
      <c r="I712" s="455">
        <f t="shared" ca="1" si="55"/>
        <v>8055026.6295593912</v>
      </c>
      <c r="J712" s="455">
        <f t="array" ref="J712">IFERROR(INDEX('Retirement Calculator'!K:K,MATCH('Lorri 401b'!N712,'Retirement Calculator'!A:A,0),0),0)</f>
        <v>16520.094745597391</v>
      </c>
      <c r="K712" s="455">
        <f t="shared" ca="1" si="53"/>
        <v>33493.777228390805</v>
      </c>
      <c r="L712" s="455">
        <f t="shared" ca="1" si="54"/>
        <v>8072000.3120421842</v>
      </c>
      <c r="M712" s="471">
        <f t="shared" si="56"/>
        <v>0.05</v>
      </c>
      <c r="N712" s="475">
        <f t="shared" si="57"/>
        <v>72717</v>
      </c>
    </row>
    <row r="713" spans="7:14" ht="11.25" customHeight="1" x14ac:dyDescent="0.3">
      <c r="G713" s="470">
        <f t="shared" si="73"/>
        <v>59</v>
      </c>
      <c r="H713" s="470">
        <v>706</v>
      </c>
      <c r="I713" s="455">
        <f t="shared" ca="1" si="55"/>
        <v>8072000.3120421842</v>
      </c>
      <c r="J713" s="455">
        <f t="array" ref="J713">IFERROR(INDEX('Retirement Calculator'!K:K,MATCH('Lorri 401b'!N713,'Retirement Calculator'!A:A,0),0),0)</f>
        <v>16520.094745597391</v>
      </c>
      <c r="K713" s="455">
        <f t="shared" ca="1" si="53"/>
        <v>33564.500905402441</v>
      </c>
      <c r="L713" s="455">
        <f t="shared" ca="1" si="54"/>
        <v>8089044.7182019884</v>
      </c>
      <c r="M713" s="471">
        <f t="shared" si="56"/>
        <v>0.05</v>
      </c>
      <c r="N713" s="475">
        <f t="shared" si="57"/>
        <v>72745</v>
      </c>
    </row>
    <row r="714" spans="7:14" ht="11.25" customHeight="1" x14ac:dyDescent="0.3">
      <c r="G714" s="470">
        <f t="shared" si="73"/>
        <v>59</v>
      </c>
      <c r="H714" s="470">
        <v>707</v>
      </c>
      <c r="I714" s="455">
        <f t="shared" ca="1" si="55"/>
        <v>8089044.7182019884</v>
      </c>
      <c r="J714" s="455">
        <f t="array" ref="J714">IFERROR(INDEX('Retirement Calculator'!K:K,MATCH('Lorri 401b'!N714,'Retirement Calculator'!A:A,0),0),0)</f>
        <v>16520.094745597391</v>
      </c>
      <c r="K714" s="455">
        <f t="shared" ca="1" si="53"/>
        <v>33635.519264401628</v>
      </c>
      <c r="L714" s="455">
        <f t="shared" ca="1" si="54"/>
        <v>8106160.1427207924</v>
      </c>
      <c r="M714" s="471">
        <f t="shared" si="56"/>
        <v>0.05</v>
      </c>
      <c r="N714" s="475">
        <f t="shared" si="57"/>
        <v>72776</v>
      </c>
    </row>
    <row r="715" spans="7:14" ht="11.25" customHeight="1" x14ac:dyDescent="0.3">
      <c r="G715" s="470">
        <f t="shared" si="73"/>
        <v>59</v>
      </c>
      <c r="H715" s="470">
        <v>708</v>
      </c>
      <c r="I715" s="455">
        <f t="shared" ca="1" si="55"/>
        <v>8106160.1427207924</v>
      </c>
      <c r="J715" s="455">
        <f t="array" ref="J715">IFERROR(INDEX('Retirement Calculator'!K:K,MATCH('Lorri 401b'!N715,'Retirement Calculator'!A:A,0),0),0)</f>
        <v>16520.094745597391</v>
      </c>
      <c r="K715" s="455">
        <f t="shared" ca="1" si="53"/>
        <v>33706.833533229976</v>
      </c>
      <c r="L715" s="455">
        <f t="shared" ca="1" si="54"/>
        <v>8123346.8815084249</v>
      </c>
      <c r="M715" s="471">
        <f t="shared" si="56"/>
        <v>0.05</v>
      </c>
      <c r="N715" s="475">
        <f t="shared" si="57"/>
        <v>72806</v>
      </c>
    </row>
    <row r="716" spans="7:14" ht="11.25" customHeight="1" x14ac:dyDescent="0.3">
      <c r="G716" s="470">
        <f>G715+1</f>
        <v>60</v>
      </c>
      <c r="H716" s="470">
        <v>709</v>
      </c>
      <c r="I716" s="455">
        <f t="shared" ca="1" si="55"/>
        <v>8123346.8815084249</v>
      </c>
      <c r="J716" s="455">
        <f t="array" ref="J716">IFERROR(INDEX('Retirement Calculator'!K:K,MATCH('Lorri 401b'!N716,'Retirement Calculator'!A:A,0),0),0)</f>
        <v>16520.094745597391</v>
      </c>
      <c r="K716" s="455">
        <f t="shared" ca="1" si="53"/>
        <v>33778.444944845112</v>
      </c>
      <c r="L716" s="455">
        <f t="shared" ca="1" si="54"/>
        <v>8140605.2317076726</v>
      </c>
      <c r="M716" s="471">
        <f t="shared" si="56"/>
        <v>0.05</v>
      </c>
      <c r="N716" s="475">
        <f t="shared" si="57"/>
        <v>72837</v>
      </c>
    </row>
    <row r="717" spans="7:14" ht="11.25" customHeight="1" x14ac:dyDescent="0.3">
      <c r="G717" s="470">
        <f t="shared" ref="G717:G727" si="74">G716</f>
        <v>60</v>
      </c>
      <c r="H717" s="470">
        <v>710</v>
      </c>
      <c r="I717" s="455">
        <f t="shared" ca="1" si="55"/>
        <v>8140605.2317076726</v>
      </c>
      <c r="J717" s="455">
        <f t="array" ref="J717">IFERROR(INDEX('Retirement Calculator'!K:K,MATCH('Lorri 401b'!N717,'Retirement Calculator'!A:A,0),0),0)</f>
        <v>16520.094745597391</v>
      </c>
      <c r="K717" s="455">
        <f t="shared" ca="1" si="53"/>
        <v>33850.354737341971</v>
      </c>
      <c r="L717" s="455">
        <f t="shared" ca="1" si="54"/>
        <v>8157935.4916994171</v>
      </c>
      <c r="M717" s="471">
        <f t="shared" si="56"/>
        <v>0.05</v>
      </c>
      <c r="N717" s="475">
        <f t="shared" si="57"/>
        <v>72867</v>
      </c>
    </row>
    <row r="718" spans="7:14" ht="11.25" customHeight="1" x14ac:dyDescent="0.3">
      <c r="G718" s="470">
        <f t="shared" si="74"/>
        <v>60</v>
      </c>
      <c r="H718" s="470">
        <v>711</v>
      </c>
      <c r="I718" s="455">
        <f t="shared" ca="1" si="55"/>
        <v>8157935.4916994171</v>
      </c>
      <c r="J718" s="455">
        <f t="array" ref="J718">IFERROR(INDEX('Retirement Calculator'!K:K,MATCH('Lorri 401b'!N718,'Retirement Calculator'!A:A,0),0),0)</f>
        <v>16520.094745597391</v>
      </c>
      <c r="K718" s="455">
        <f t="shared" ca="1" si="53"/>
        <v>33922.56415397425</v>
      </c>
      <c r="L718" s="455">
        <f t="shared" ca="1" si="54"/>
        <v>8175337.9611077933</v>
      </c>
      <c r="M718" s="471">
        <f t="shared" si="56"/>
        <v>0.05</v>
      </c>
      <c r="N718" s="475">
        <f t="shared" si="57"/>
        <v>72898</v>
      </c>
    </row>
    <row r="719" spans="7:14" ht="11.25" customHeight="1" x14ac:dyDescent="0.3">
      <c r="G719" s="470">
        <f t="shared" si="74"/>
        <v>60</v>
      </c>
      <c r="H719" s="470">
        <v>712</v>
      </c>
      <c r="I719" s="455">
        <f t="shared" ca="1" si="55"/>
        <v>8175337.9611077933</v>
      </c>
      <c r="J719" s="455">
        <f t="array" ref="J719">IFERROR(INDEX('Retirement Calculator'!K:K,MATCH('Lorri 401b'!N719,'Retirement Calculator'!A:A,0),0),0)</f>
        <v>16520.094745597391</v>
      </c>
      <c r="K719" s="455">
        <f t="shared" ca="1" si="53"/>
        <v>33995.074443175814</v>
      </c>
      <c r="L719" s="455">
        <f t="shared" ca="1" si="54"/>
        <v>8192812.9408053709</v>
      </c>
      <c r="M719" s="471">
        <f t="shared" si="56"/>
        <v>0.05</v>
      </c>
      <c r="N719" s="475">
        <f t="shared" si="57"/>
        <v>72929</v>
      </c>
    </row>
    <row r="720" spans="7:14" ht="11.25" customHeight="1" x14ac:dyDescent="0.3">
      <c r="G720" s="470">
        <f t="shared" si="74"/>
        <v>60</v>
      </c>
      <c r="H720" s="470">
        <v>713</v>
      </c>
      <c r="I720" s="455">
        <f t="shared" ca="1" si="55"/>
        <v>8192812.9408053709</v>
      </c>
      <c r="J720" s="455">
        <f t="array" ref="J720">IFERROR(INDEX('Retirement Calculator'!K:K,MATCH('Lorri 401b'!N720,'Retirement Calculator'!A:A,0),0),0)</f>
        <v>16520.094745597391</v>
      </c>
      <c r="K720" s="455">
        <f t="shared" ca="1" si="53"/>
        <v>34067.886858582388</v>
      </c>
      <c r="L720" s="455">
        <f t="shared" ca="1" si="54"/>
        <v>8210360.7329183556</v>
      </c>
      <c r="M720" s="471">
        <f t="shared" si="56"/>
        <v>0.05</v>
      </c>
      <c r="N720" s="475">
        <f t="shared" si="57"/>
        <v>72959</v>
      </c>
    </row>
    <row r="721" spans="7:14" ht="11.25" customHeight="1" x14ac:dyDescent="0.3">
      <c r="G721" s="470">
        <f t="shared" si="74"/>
        <v>60</v>
      </c>
      <c r="H721" s="470">
        <v>714</v>
      </c>
      <c r="I721" s="455">
        <f t="shared" ca="1" si="55"/>
        <v>8210360.7329183556</v>
      </c>
      <c r="J721" s="455">
        <f t="array" ref="J721">IFERROR(INDEX('Retirement Calculator'!K:K,MATCH('Lorri 401b'!N721,'Retirement Calculator'!A:A,0),0),0)</f>
        <v>16520.094745597391</v>
      </c>
      <c r="K721" s="455">
        <f t="shared" ca="1" si="53"/>
        <v>34141.002659053156</v>
      </c>
      <c r="L721" s="455">
        <f t="shared" ca="1" si="54"/>
        <v>8227981.6408318114</v>
      </c>
      <c r="M721" s="471">
        <f t="shared" si="56"/>
        <v>0.05</v>
      </c>
      <c r="N721" s="475">
        <f t="shared" si="57"/>
        <v>72990</v>
      </c>
    </row>
    <row r="722" spans="7:14" ht="11.25" customHeight="1" x14ac:dyDescent="0.3">
      <c r="G722" s="470">
        <f t="shared" si="74"/>
        <v>60</v>
      </c>
      <c r="H722" s="470">
        <v>715</v>
      </c>
      <c r="I722" s="455">
        <f t="shared" ca="1" si="55"/>
        <v>8227981.6408318114</v>
      </c>
      <c r="J722" s="455">
        <f t="array" ref="J722">IFERROR(INDEX('Retirement Calculator'!K:K,MATCH('Lorri 401b'!N722,'Retirement Calculator'!A:A,0),0),0)</f>
        <v>16520.094745597391</v>
      </c>
      <c r="K722" s="455">
        <f t="shared" ca="1" si="53"/>
        <v>34214.42310869255</v>
      </c>
      <c r="L722" s="455">
        <f t="shared" ca="1" si="54"/>
        <v>8245675.9691949058</v>
      </c>
      <c r="M722" s="471">
        <f t="shared" si="56"/>
        <v>0.05</v>
      </c>
      <c r="N722" s="475">
        <f t="shared" si="57"/>
        <v>73020</v>
      </c>
    </row>
    <row r="723" spans="7:14" ht="11.25" customHeight="1" x14ac:dyDescent="0.3">
      <c r="G723" s="470">
        <f t="shared" si="74"/>
        <v>60</v>
      </c>
      <c r="H723" s="470">
        <v>716</v>
      </c>
      <c r="I723" s="455">
        <f t="shared" ca="1" si="55"/>
        <v>8245675.9691949058</v>
      </c>
      <c r="J723" s="455">
        <f t="array" ref="J723">IFERROR(INDEX('Retirement Calculator'!K:K,MATCH('Lorri 401b'!N723,'Retirement Calculator'!A:A,0),0),0)</f>
        <v>16520.094745597391</v>
      </c>
      <c r="K723" s="455">
        <f t="shared" ca="1" si="53"/>
        <v>34288.149476872117</v>
      </c>
      <c r="L723" s="455">
        <f t="shared" ca="1" si="54"/>
        <v>8263444.0239261799</v>
      </c>
      <c r="M723" s="471">
        <f t="shared" si="56"/>
        <v>0.05</v>
      </c>
      <c r="N723" s="475">
        <f t="shared" si="57"/>
        <v>73051</v>
      </c>
    </row>
    <row r="724" spans="7:14" ht="11.25" customHeight="1" x14ac:dyDescent="0.3">
      <c r="G724" s="470">
        <f t="shared" si="74"/>
        <v>60</v>
      </c>
      <c r="H724" s="470">
        <v>717</v>
      </c>
      <c r="I724" s="455">
        <f t="shared" ca="1" si="55"/>
        <v>8263444.0239261799</v>
      </c>
      <c r="J724" s="455">
        <f t="array" ref="J724">IFERROR(INDEX('Retirement Calculator'!K:K,MATCH('Lorri 401b'!N724,'Retirement Calculator'!A:A,0),0),0)</f>
        <v>16520.094745597391</v>
      </c>
      <c r="K724" s="455">
        <f t="shared" ca="1" si="53"/>
        <v>34362.18303825242</v>
      </c>
      <c r="L724" s="455">
        <f t="shared" ca="1" si="54"/>
        <v>8281286.1122188345</v>
      </c>
      <c r="M724" s="471">
        <f t="shared" si="56"/>
        <v>0.05</v>
      </c>
      <c r="N724" s="475">
        <f t="shared" si="57"/>
        <v>73082</v>
      </c>
    </row>
    <row r="725" spans="7:14" ht="11.25" customHeight="1" x14ac:dyDescent="0.3">
      <c r="G725" s="470">
        <f t="shared" si="74"/>
        <v>60</v>
      </c>
      <c r="H725" s="470">
        <v>718</v>
      </c>
      <c r="I725" s="455">
        <f t="shared" ca="1" si="55"/>
        <v>8281286.1122188345</v>
      </c>
      <c r="J725" s="455">
        <f t="array" ref="J725">IFERROR(INDEX('Retirement Calculator'!K:K,MATCH('Lorri 401b'!N725,'Retirement Calculator'!A:A,0),0),0)</f>
        <v>16520.094745597391</v>
      </c>
      <c r="K725" s="455">
        <f t="shared" ca="1" si="53"/>
        <v>34436.525072805154</v>
      </c>
      <c r="L725" s="455">
        <f t="shared" ca="1" si="54"/>
        <v>8299202.5425460422</v>
      </c>
      <c r="M725" s="471">
        <f t="shared" si="56"/>
        <v>0.05</v>
      </c>
      <c r="N725" s="475">
        <f t="shared" si="57"/>
        <v>73110</v>
      </c>
    </row>
    <row r="726" spans="7:14" ht="11.25" customHeight="1" x14ac:dyDescent="0.3">
      <c r="G726" s="470">
        <f t="shared" si="74"/>
        <v>60</v>
      </c>
      <c r="H726" s="470">
        <v>719</v>
      </c>
      <c r="I726" s="455">
        <f t="shared" ca="1" si="55"/>
        <v>8299202.5425460422</v>
      </c>
      <c r="J726" s="455">
        <f t="array" ref="J726">IFERROR(INDEX('Retirement Calculator'!K:K,MATCH('Lorri 401b'!N726,'Retirement Calculator'!A:A,0),0),0)</f>
        <v>16520.094745597391</v>
      </c>
      <c r="K726" s="455">
        <f t="shared" ca="1" si="53"/>
        <v>34511.176865835187</v>
      </c>
      <c r="L726" s="455">
        <f t="shared" ca="1" si="54"/>
        <v>8317193.6246662792</v>
      </c>
      <c r="M726" s="471">
        <f t="shared" si="56"/>
        <v>0.05</v>
      </c>
      <c r="N726" s="475">
        <f t="shared" si="57"/>
        <v>73141</v>
      </c>
    </row>
    <row r="727" spans="7:14" ht="11.25" customHeight="1" x14ac:dyDescent="0.3">
      <c r="G727" s="470">
        <f t="shared" si="74"/>
        <v>60</v>
      </c>
      <c r="H727" s="470">
        <v>720</v>
      </c>
      <c r="I727" s="455">
        <f t="shared" ca="1" si="55"/>
        <v>8317193.6246662792</v>
      </c>
      <c r="J727" s="455">
        <f t="array" ref="J727">IFERROR(INDEX('Retirement Calculator'!K:K,MATCH('Lorri 401b'!N727,'Retirement Calculator'!A:A,0),0),0)</f>
        <v>16520.094745597391</v>
      </c>
      <c r="K727" s="455">
        <f t="shared" ca="1" si="53"/>
        <v>34586.13970800284</v>
      </c>
      <c r="L727" s="455">
        <f t="shared" ca="1" si="54"/>
        <v>8335259.6696286844</v>
      </c>
      <c r="M727" s="471">
        <f t="shared" si="56"/>
        <v>0.05</v>
      </c>
      <c r="N727" s="475">
        <f t="shared" si="57"/>
        <v>73171</v>
      </c>
    </row>
    <row r="728" spans="7:14" ht="11.25" customHeight="1" x14ac:dyDescent="0.3">
      <c r="G728" s="470">
        <f>G727+1</f>
        <v>61</v>
      </c>
      <c r="H728" s="470">
        <v>721</v>
      </c>
      <c r="I728" s="455">
        <f t="shared" ca="1" si="55"/>
        <v>8335259.6696286844</v>
      </c>
      <c r="J728" s="455">
        <f t="array" ref="J728">IFERROR(INDEX('Retirement Calculator'!K:K,MATCH('Lorri 401b'!N728,'Retirement Calculator'!A:A,0),0),0)</f>
        <v>16520.094745597391</v>
      </c>
      <c r="K728" s="455">
        <f t="shared" ca="1" si="53"/>
        <v>34661.414895346192</v>
      </c>
      <c r="L728" s="455">
        <f t="shared" ca="1" si="54"/>
        <v>8353400.989778433</v>
      </c>
      <c r="M728" s="471">
        <f t="shared" si="56"/>
        <v>0.05</v>
      </c>
      <c r="N728" s="475">
        <f t="shared" si="57"/>
        <v>73202</v>
      </c>
    </row>
    <row r="729" spans="7:14" ht="11.25" customHeight="1" x14ac:dyDescent="0.3">
      <c r="G729" s="470">
        <f t="shared" ref="G729:G739" si="75">G728</f>
        <v>61</v>
      </c>
      <c r="H729" s="470">
        <v>722</v>
      </c>
      <c r="I729" s="455">
        <f t="shared" ca="1" si="55"/>
        <v>8353400.989778433</v>
      </c>
      <c r="J729" s="455">
        <f t="array" ref="J729">IFERROR(INDEX('Retirement Calculator'!K:K,MATCH('Lorri 401b'!N729,'Retirement Calculator'!A:A,0),0),0)</f>
        <v>16520.094745597391</v>
      </c>
      <c r="K729" s="455">
        <f t="shared" ca="1" si="53"/>
        <v>34737.003729303477</v>
      </c>
      <c r="L729" s="455">
        <f t="shared" ca="1" si="54"/>
        <v>8371617.8987621386</v>
      </c>
      <c r="M729" s="471">
        <f t="shared" si="56"/>
        <v>0.05</v>
      </c>
      <c r="N729" s="475">
        <f t="shared" si="57"/>
        <v>73232</v>
      </c>
    </row>
    <row r="730" spans="7:14" ht="11.25" customHeight="1" x14ac:dyDescent="0.3">
      <c r="G730" s="470">
        <f t="shared" si="75"/>
        <v>61</v>
      </c>
      <c r="H730" s="470">
        <v>723</v>
      </c>
      <c r="I730" s="455">
        <f t="shared" ca="1" si="55"/>
        <v>8371617.8987621386</v>
      </c>
      <c r="J730" s="455">
        <f t="array" ref="J730">IFERROR(INDEX('Retirement Calculator'!K:K,MATCH('Lorri 401b'!N730,'Retirement Calculator'!A:A,0),0),0)</f>
        <v>16520.094745597391</v>
      </c>
      <c r="K730" s="455">
        <f t="shared" ca="1" si="53"/>
        <v>34812.907516735584</v>
      </c>
      <c r="L730" s="455">
        <f t="shared" ca="1" si="54"/>
        <v>8389910.7115332764</v>
      </c>
      <c r="M730" s="471">
        <f t="shared" si="56"/>
        <v>0.05</v>
      </c>
      <c r="N730" s="475">
        <f t="shared" si="57"/>
        <v>73263</v>
      </c>
    </row>
    <row r="731" spans="7:14" ht="11.25" customHeight="1" x14ac:dyDescent="0.3">
      <c r="G731" s="470">
        <f t="shared" si="75"/>
        <v>61</v>
      </c>
      <c r="H731" s="470">
        <v>724</v>
      </c>
      <c r="I731" s="455">
        <f t="shared" ca="1" si="55"/>
        <v>8389910.7115332764</v>
      </c>
      <c r="J731" s="455">
        <f t="array" ref="J731">IFERROR(INDEX('Retirement Calculator'!K:K,MATCH('Lorri 401b'!N731,'Retirement Calculator'!A:A,0),0),0)</f>
        <v>16520.094745597391</v>
      </c>
      <c r="K731" s="455">
        <f t="shared" ca="1" si="53"/>
        <v>34889.127569948665</v>
      </c>
      <c r="L731" s="455">
        <f t="shared" ca="1" si="54"/>
        <v>8408279.7443576269</v>
      </c>
      <c r="M731" s="471">
        <f t="shared" si="56"/>
        <v>0.05</v>
      </c>
      <c r="N731" s="475">
        <f t="shared" si="57"/>
        <v>73294</v>
      </c>
    </row>
    <row r="732" spans="7:14" ht="11.25" customHeight="1" x14ac:dyDescent="0.3">
      <c r="G732" s="470">
        <f t="shared" si="75"/>
        <v>61</v>
      </c>
      <c r="H732" s="470">
        <v>725</v>
      </c>
      <c r="I732" s="455">
        <f t="shared" ca="1" si="55"/>
        <v>8408279.7443576269</v>
      </c>
      <c r="J732" s="455">
        <f t="array" ref="J732">IFERROR(INDEX('Retirement Calculator'!K:K,MATCH('Lorri 401b'!N732,'Retirement Calculator'!A:A,0),0),0)</f>
        <v>16520.094745597391</v>
      </c>
      <c r="K732" s="455">
        <f t="shared" ca="1" si="53"/>
        <v>34965.665206716789</v>
      </c>
      <c r="L732" s="455">
        <f t="shared" ca="1" si="54"/>
        <v>8426725.3148187473</v>
      </c>
      <c r="M732" s="471">
        <f t="shared" si="56"/>
        <v>0.05</v>
      </c>
      <c r="N732" s="475">
        <f t="shared" si="57"/>
        <v>73324</v>
      </c>
    </row>
    <row r="733" spans="7:14" ht="11.25" customHeight="1" x14ac:dyDescent="0.3">
      <c r="G733" s="470">
        <f t="shared" si="75"/>
        <v>61</v>
      </c>
      <c r="H733" s="470">
        <v>726</v>
      </c>
      <c r="I733" s="455">
        <f t="shared" ca="1" si="55"/>
        <v>8426725.3148187473</v>
      </c>
      <c r="J733" s="455">
        <f t="array" ref="J733">IFERROR(INDEX('Retirement Calculator'!K:K,MATCH('Lorri 401b'!N733,'Retirement Calculator'!A:A,0),0),0)</f>
        <v>16520.094745597391</v>
      </c>
      <c r="K733" s="455">
        <f t="shared" ca="1" si="53"/>
        <v>35042.52175030479</v>
      </c>
      <c r="L733" s="455">
        <f t="shared" ca="1" si="54"/>
        <v>8445247.7418234553</v>
      </c>
      <c r="M733" s="471">
        <f t="shared" si="56"/>
        <v>0.05</v>
      </c>
      <c r="N733" s="475">
        <f t="shared" si="57"/>
        <v>73355</v>
      </c>
    </row>
    <row r="734" spans="7:14" ht="11.25" customHeight="1" x14ac:dyDescent="0.3">
      <c r="G734" s="470">
        <f t="shared" si="75"/>
        <v>61</v>
      </c>
      <c r="H734" s="470">
        <v>727</v>
      </c>
      <c r="I734" s="455">
        <f t="shared" ca="1" si="55"/>
        <v>8445247.7418234553</v>
      </c>
      <c r="J734" s="455">
        <f t="array" ref="J734">IFERROR(INDEX('Retirement Calculator'!K:K,MATCH('Lorri 401b'!N734,'Retirement Calculator'!A:A,0),0),0)</f>
        <v>16520.094745597391</v>
      </c>
      <c r="K734" s="455">
        <f t="shared" ca="1" si="53"/>
        <v>35119.698529491077</v>
      </c>
      <c r="L734" s="455">
        <f t="shared" ca="1" si="54"/>
        <v>8463847.3456073496</v>
      </c>
      <c r="M734" s="471">
        <f t="shared" si="56"/>
        <v>0.05</v>
      </c>
      <c r="N734" s="475">
        <f t="shared" si="57"/>
        <v>73385</v>
      </c>
    </row>
    <row r="735" spans="7:14" ht="11.25" customHeight="1" x14ac:dyDescent="0.3">
      <c r="G735" s="470">
        <f t="shared" si="75"/>
        <v>61</v>
      </c>
      <c r="H735" s="470">
        <v>728</v>
      </c>
      <c r="I735" s="455">
        <f t="shared" ca="1" si="55"/>
        <v>8463847.3456073496</v>
      </c>
      <c r="J735" s="455">
        <f t="array" ref="J735">IFERROR(INDEX('Retirement Calculator'!K:K,MATCH('Lorri 401b'!N735,'Retirement Calculator'!A:A,0),0),0)</f>
        <v>16520.094745597391</v>
      </c>
      <c r="K735" s="455">
        <f t="shared" ca="1" si="53"/>
        <v>35197.196878590636</v>
      </c>
      <c r="L735" s="455">
        <f t="shared" ca="1" si="54"/>
        <v>8482524.4477403443</v>
      </c>
      <c r="M735" s="471">
        <f t="shared" si="56"/>
        <v>0.05</v>
      </c>
      <c r="N735" s="475">
        <f t="shared" si="57"/>
        <v>73416</v>
      </c>
    </row>
    <row r="736" spans="7:14" ht="11.25" customHeight="1" x14ac:dyDescent="0.3">
      <c r="G736" s="470">
        <f t="shared" si="75"/>
        <v>61</v>
      </c>
      <c r="H736" s="470">
        <v>729</v>
      </c>
      <c r="I736" s="455">
        <f t="shared" ca="1" si="55"/>
        <v>8482524.4477403443</v>
      </c>
      <c r="J736" s="455">
        <f t="array" ref="J736">IFERROR(INDEX('Retirement Calculator'!K:K,MATCH('Lorri 401b'!N736,'Retirement Calculator'!A:A,0),0),0)</f>
        <v>16520.094745597391</v>
      </c>
      <c r="K736" s="455">
        <f t="shared" ca="1" si="53"/>
        <v>35275.018137478117</v>
      </c>
      <c r="L736" s="455">
        <f t="shared" ca="1" si="54"/>
        <v>8501279.3711322248</v>
      </c>
      <c r="M736" s="471">
        <f t="shared" si="56"/>
        <v>0.05</v>
      </c>
      <c r="N736" s="475">
        <f t="shared" si="57"/>
        <v>73447</v>
      </c>
    </row>
    <row r="737" spans="7:14" ht="11.25" customHeight="1" x14ac:dyDescent="0.3">
      <c r="G737" s="470">
        <f t="shared" si="75"/>
        <v>61</v>
      </c>
      <c r="H737" s="470">
        <v>730</v>
      </c>
      <c r="I737" s="455">
        <f t="shared" ca="1" si="55"/>
        <v>8501279.3711322248</v>
      </c>
      <c r="J737" s="455">
        <f t="array" ref="J737">IFERROR(INDEX('Retirement Calculator'!K:K,MATCH('Lorri 401b'!N737,'Retirement Calculator'!A:A,0),0),0)</f>
        <v>16520.094745597391</v>
      </c>
      <c r="K737" s="455">
        <f t="shared" ca="1" si="53"/>
        <v>35353.16365161095</v>
      </c>
      <c r="L737" s="455">
        <f t="shared" ca="1" si="54"/>
        <v>8520112.4400382396</v>
      </c>
      <c r="M737" s="471">
        <f t="shared" si="56"/>
        <v>0.05</v>
      </c>
      <c r="N737" s="475">
        <f t="shared" si="57"/>
        <v>73475</v>
      </c>
    </row>
    <row r="738" spans="7:14" ht="11.25" customHeight="1" x14ac:dyDescent="0.3">
      <c r="G738" s="470">
        <f t="shared" si="75"/>
        <v>61</v>
      </c>
      <c r="H738" s="470">
        <v>731</v>
      </c>
      <c r="I738" s="455">
        <f t="shared" ca="1" si="55"/>
        <v>8520112.4400382396</v>
      </c>
      <c r="J738" s="455">
        <f t="array" ref="J738">IFERROR(INDEX('Retirement Calculator'!K:K,MATCH('Lorri 401b'!N738,'Retirement Calculator'!A:A,0),0),0)</f>
        <v>16520.094745597391</v>
      </c>
      <c r="K738" s="455">
        <f t="shared" ca="1" si="53"/>
        <v>35431.634772052676</v>
      </c>
      <c r="L738" s="455">
        <f t="shared" ca="1" si="54"/>
        <v>8539023.9800646957</v>
      </c>
      <c r="M738" s="471">
        <f t="shared" si="56"/>
        <v>0.05</v>
      </c>
      <c r="N738" s="475">
        <f t="shared" si="57"/>
        <v>73506</v>
      </c>
    </row>
    <row r="739" spans="7:14" ht="11.25" customHeight="1" x14ac:dyDescent="0.3">
      <c r="G739" s="470">
        <f t="shared" si="75"/>
        <v>61</v>
      </c>
      <c r="H739" s="470">
        <v>732</v>
      </c>
      <c r="I739" s="455">
        <f t="shared" ca="1" si="55"/>
        <v>8539023.9800646957</v>
      </c>
      <c r="J739" s="455">
        <f t="array" ref="J739">IFERROR(INDEX('Retirement Calculator'!K:K,MATCH('Lorri 401b'!N739,'Retirement Calculator'!A:A,0),0),0)</f>
        <v>16520.094745597391</v>
      </c>
      <c r="K739" s="455">
        <f t="shared" ca="1" si="53"/>
        <v>35510.432855496241</v>
      </c>
      <c r="L739" s="455">
        <f t="shared" ca="1" si="54"/>
        <v>8558014.318174595</v>
      </c>
      <c r="M739" s="471">
        <f t="shared" si="56"/>
        <v>0.05</v>
      </c>
      <c r="N739" s="475">
        <f t="shared" si="57"/>
        <v>73536</v>
      </c>
    </row>
    <row r="740" spans="7:14" ht="11.25" customHeight="1" x14ac:dyDescent="0.3">
      <c r="G740" s="470">
        <f>G739+1</f>
        <v>62</v>
      </c>
      <c r="H740" s="470">
        <v>733</v>
      </c>
      <c r="I740" s="455">
        <f t="shared" ca="1" si="55"/>
        <v>8558014.318174595</v>
      </c>
      <c r="J740" s="455">
        <f t="array" ref="J740">IFERROR(INDEX('Retirement Calculator'!K:K,MATCH('Lorri 401b'!N740,'Retirement Calculator'!A:A,0),0),0)</f>
        <v>16520.094745597391</v>
      </c>
      <c r="K740" s="455">
        <f t="shared" ca="1" si="53"/>
        <v>35589.559264287491</v>
      </c>
      <c r="L740" s="455">
        <f t="shared" ca="1" si="54"/>
        <v>8577083.7826932855</v>
      </c>
      <c r="M740" s="471">
        <f t="shared" si="56"/>
        <v>0.05</v>
      </c>
      <c r="N740" s="475">
        <f t="shared" si="57"/>
        <v>73567</v>
      </c>
    </row>
    <row r="741" spans="7:14" ht="11.25" customHeight="1" x14ac:dyDescent="0.3">
      <c r="G741" s="470">
        <f t="shared" ref="G741:G751" si="76">G740</f>
        <v>62</v>
      </c>
      <c r="H741" s="470">
        <v>734</v>
      </c>
      <c r="I741" s="455">
        <f t="shared" ca="1" si="55"/>
        <v>8577083.7826932855</v>
      </c>
      <c r="J741" s="455">
        <f t="array" ref="J741">IFERROR(INDEX('Retirement Calculator'!K:K,MATCH('Lorri 401b'!N741,'Retirement Calculator'!A:A,0),0),0)</f>
        <v>16520.094745597391</v>
      </c>
      <c r="K741" s="455">
        <f t="shared" ca="1" si="53"/>
        <v>35669.015366448701</v>
      </c>
      <c r="L741" s="455">
        <f t="shared" ca="1" si="54"/>
        <v>8596232.7033141367</v>
      </c>
      <c r="M741" s="471">
        <f t="shared" si="56"/>
        <v>0.05</v>
      </c>
      <c r="N741" s="475">
        <f t="shared" si="57"/>
        <v>73597</v>
      </c>
    </row>
    <row r="742" spans="7:14" ht="11.25" customHeight="1" x14ac:dyDescent="0.3">
      <c r="G742" s="470">
        <f t="shared" si="76"/>
        <v>62</v>
      </c>
      <c r="H742" s="470">
        <v>735</v>
      </c>
      <c r="I742" s="455">
        <f t="shared" ca="1" si="55"/>
        <v>8596232.7033141367</v>
      </c>
      <c r="J742" s="455">
        <f t="array" ref="J742">IFERROR(INDEX('Retirement Calculator'!K:K,MATCH('Lorri 401b'!N742,'Retirement Calculator'!A:A,0),0),0)</f>
        <v>16520.094745597391</v>
      </c>
      <c r="K742" s="455">
        <f t="shared" ca="1" si="53"/>
        <v>35748.802535702249</v>
      </c>
      <c r="L742" s="455">
        <f t="shared" ca="1" si="54"/>
        <v>8615461.4111042414</v>
      </c>
      <c r="M742" s="471">
        <f t="shared" si="56"/>
        <v>0.05</v>
      </c>
      <c r="N742" s="475">
        <f t="shared" si="57"/>
        <v>73628</v>
      </c>
    </row>
    <row r="743" spans="7:14" ht="11.25" customHeight="1" x14ac:dyDescent="0.3">
      <c r="G743" s="470">
        <f t="shared" si="76"/>
        <v>62</v>
      </c>
      <c r="H743" s="470">
        <v>736</v>
      </c>
      <c r="I743" s="455">
        <f t="shared" ca="1" si="55"/>
        <v>8615461.4111042414</v>
      </c>
      <c r="J743" s="455">
        <f t="array" ref="J743">IFERROR(INDEX('Retirement Calculator'!K:K,MATCH('Lorri 401b'!N743,'Retirement Calculator'!A:A,0),0),0)</f>
        <v>16520.094745597391</v>
      </c>
      <c r="K743" s="455">
        <f t="shared" ca="1" si="53"/>
        <v>35828.922151494349</v>
      </c>
      <c r="L743" s="455">
        <f t="shared" ca="1" si="54"/>
        <v>8634770.2385101393</v>
      </c>
      <c r="M743" s="471">
        <f t="shared" si="56"/>
        <v>0.05</v>
      </c>
      <c r="N743" s="475">
        <f t="shared" si="57"/>
        <v>73659</v>
      </c>
    </row>
    <row r="744" spans="7:14" ht="11.25" customHeight="1" x14ac:dyDescent="0.3">
      <c r="G744" s="470">
        <f t="shared" si="76"/>
        <v>62</v>
      </c>
      <c r="H744" s="470">
        <v>737</v>
      </c>
      <c r="I744" s="455">
        <f t="shared" ca="1" si="55"/>
        <v>8634770.2385101393</v>
      </c>
      <c r="J744" s="455">
        <f t="array" ref="J744">IFERROR(INDEX('Retirement Calculator'!K:K,MATCH('Lorri 401b'!N744,'Retirement Calculator'!A:A,0),0),0)</f>
        <v>16520.094745597391</v>
      </c>
      <c r="K744" s="455">
        <f t="shared" ca="1" si="53"/>
        <v>35909.375599018924</v>
      </c>
      <c r="L744" s="455">
        <f t="shared" ca="1" si="54"/>
        <v>8654159.5193635616</v>
      </c>
      <c r="M744" s="471">
        <f t="shared" si="56"/>
        <v>0.05</v>
      </c>
      <c r="N744" s="475">
        <f t="shared" si="57"/>
        <v>73689</v>
      </c>
    </row>
    <row r="745" spans="7:14" ht="11.25" customHeight="1" x14ac:dyDescent="0.3">
      <c r="G745" s="470">
        <f t="shared" si="76"/>
        <v>62</v>
      </c>
      <c r="H745" s="470">
        <v>738</v>
      </c>
      <c r="I745" s="455">
        <f t="shared" ca="1" si="55"/>
        <v>8654159.5193635616</v>
      </c>
      <c r="J745" s="455">
        <f t="array" ref="J745">IFERROR(INDEX('Retirement Calculator'!K:K,MATCH('Lorri 401b'!N745,'Retirement Calculator'!A:A,0),0),0)</f>
        <v>16520.094745597391</v>
      </c>
      <c r="K745" s="455">
        <f t="shared" ca="1" si="53"/>
        <v>35990.164269241519</v>
      </c>
      <c r="L745" s="455">
        <f t="shared" ca="1" si="54"/>
        <v>8673629.5888872072</v>
      </c>
      <c r="M745" s="471">
        <f t="shared" si="56"/>
        <v>0.05</v>
      </c>
      <c r="N745" s="475">
        <f t="shared" si="57"/>
        <v>73720</v>
      </c>
    </row>
    <row r="746" spans="7:14" ht="11.25" customHeight="1" x14ac:dyDescent="0.3">
      <c r="G746" s="470">
        <f t="shared" si="76"/>
        <v>62</v>
      </c>
      <c r="H746" s="470">
        <v>739</v>
      </c>
      <c r="I746" s="455">
        <f t="shared" ca="1" si="55"/>
        <v>8673629.5888872072</v>
      </c>
      <c r="J746" s="455">
        <f t="array" ref="J746">IFERROR(INDEX('Retirement Calculator'!K:K,MATCH('Lorri 401b'!N746,'Retirement Calculator'!A:A,0),0),0)</f>
        <v>16520.094745597391</v>
      </c>
      <c r="K746" s="455">
        <f t="shared" ca="1" si="53"/>
        <v>36071.289558923374</v>
      </c>
      <c r="L746" s="455">
        <f t="shared" ca="1" si="54"/>
        <v>8693180.7837005332</v>
      </c>
      <c r="M746" s="471">
        <f t="shared" si="56"/>
        <v>0.05</v>
      </c>
      <c r="N746" s="475">
        <f t="shared" si="57"/>
        <v>73750</v>
      </c>
    </row>
    <row r="747" spans="7:14" ht="11.25" customHeight="1" x14ac:dyDescent="0.3">
      <c r="G747" s="470">
        <f t="shared" si="76"/>
        <v>62</v>
      </c>
      <c r="H747" s="470">
        <v>740</v>
      </c>
      <c r="I747" s="455">
        <f t="shared" ca="1" si="55"/>
        <v>8693180.7837005332</v>
      </c>
      <c r="J747" s="455">
        <f t="array" ref="J747">IFERROR(INDEX('Retirement Calculator'!K:K,MATCH('Lorri 401b'!N747,'Retirement Calculator'!A:A,0),0),0)</f>
        <v>16520.094745597391</v>
      </c>
      <c r="K747" s="455">
        <f t="shared" ca="1" si="53"/>
        <v>36152.752870645571</v>
      </c>
      <c r="L747" s="455">
        <f t="shared" ca="1" si="54"/>
        <v>8712813.4418255817</v>
      </c>
      <c r="M747" s="471">
        <f t="shared" si="56"/>
        <v>0.05</v>
      </c>
      <c r="N747" s="475">
        <f t="shared" si="57"/>
        <v>73781</v>
      </c>
    </row>
    <row r="748" spans="7:14" ht="11.25" customHeight="1" x14ac:dyDescent="0.3">
      <c r="G748" s="470">
        <f t="shared" si="76"/>
        <v>62</v>
      </c>
      <c r="H748" s="470">
        <v>741</v>
      </c>
      <c r="I748" s="455">
        <f t="shared" ca="1" si="55"/>
        <v>8712813.4418255817</v>
      </c>
      <c r="J748" s="455">
        <f t="array" ref="J748">IFERROR(INDEX('Retirement Calculator'!K:K,MATCH('Lorri 401b'!N748,'Retirement Calculator'!A:A,0),0),0)</f>
        <v>16520.094745597391</v>
      </c>
      <c r="K748" s="455">
        <f t="shared" ca="1" si="53"/>
        <v>36234.555612833268</v>
      </c>
      <c r="L748" s="455">
        <f t="shared" ca="1" si="54"/>
        <v>8732527.902692819</v>
      </c>
      <c r="M748" s="471">
        <f t="shared" si="56"/>
        <v>0.05</v>
      </c>
      <c r="N748" s="475">
        <f t="shared" si="57"/>
        <v>73812</v>
      </c>
    </row>
    <row r="749" spans="7:14" ht="11.25" customHeight="1" x14ac:dyDescent="0.3">
      <c r="G749" s="470">
        <f t="shared" si="76"/>
        <v>62</v>
      </c>
      <c r="H749" s="470">
        <v>742</v>
      </c>
      <c r="I749" s="455">
        <f t="shared" ca="1" si="55"/>
        <v>8732527.902692819</v>
      </c>
      <c r="J749" s="455">
        <f t="array" ref="J749">IFERROR(INDEX('Retirement Calculator'!K:K,MATCH('Lorri 401b'!N749,'Retirement Calculator'!A:A,0),0),0)</f>
        <v>16520.094745597391</v>
      </c>
      <c r="K749" s="455">
        <f t="shared" ca="1" si="53"/>
        <v>36316.699199780094</v>
      </c>
      <c r="L749" s="455">
        <f t="shared" ca="1" si="54"/>
        <v>8752324.507147003</v>
      </c>
      <c r="M749" s="471">
        <f t="shared" si="56"/>
        <v>0.05</v>
      </c>
      <c r="N749" s="475">
        <f t="shared" si="57"/>
        <v>73840</v>
      </c>
    </row>
    <row r="750" spans="7:14" ht="11.25" customHeight="1" x14ac:dyDescent="0.3">
      <c r="G750" s="470">
        <f t="shared" si="76"/>
        <v>62</v>
      </c>
      <c r="H750" s="470">
        <v>743</v>
      </c>
      <c r="I750" s="455">
        <f t="shared" ca="1" si="55"/>
        <v>8752324.507147003</v>
      </c>
      <c r="J750" s="455">
        <f t="array" ref="J750">IFERROR(INDEX('Retirement Calculator'!K:K,MATCH('Lorri 401b'!N750,'Retirement Calculator'!A:A,0),0),0)</f>
        <v>16520.094745597391</v>
      </c>
      <c r="K750" s="455">
        <f t="shared" ca="1" si="53"/>
        <v>36399.185051672524</v>
      </c>
      <c r="L750" s="455">
        <f t="shared" ca="1" si="54"/>
        <v>8772203.5974530783</v>
      </c>
      <c r="M750" s="471">
        <f t="shared" si="56"/>
        <v>0.05</v>
      </c>
      <c r="N750" s="475">
        <f t="shared" si="57"/>
        <v>73871</v>
      </c>
    </row>
    <row r="751" spans="7:14" ht="11.25" customHeight="1" x14ac:dyDescent="0.3">
      <c r="G751" s="470">
        <f t="shared" si="76"/>
        <v>62</v>
      </c>
      <c r="H751" s="470">
        <v>744</v>
      </c>
      <c r="I751" s="455">
        <f t="shared" ca="1" si="55"/>
        <v>8772203.5974530783</v>
      </c>
      <c r="J751" s="455">
        <f t="array" ref="J751">IFERROR(INDEX('Retirement Calculator'!K:K,MATCH('Lorri 401b'!N751,'Retirement Calculator'!A:A,0),0),0)</f>
        <v>16520.094745597391</v>
      </c>
      <c r="K751" s="455">
        <f t="shared" ca="1" si="53"/>
        <v>36482.014594614506</v>
      </c>
      <c r="L751" s="455">
        <f t="shared" ca="1" si="54"/>
        <v>8792165.5173020959</v>
      </c>
      <c r="M751" s="471">
        <f t="shared" si="56"/>
        <v>0.05</v>
      </c>
      <c r="N751" s="475">
        <f t="shared" si="57"/>
        <v>73901</v>
      </c>
    </row>
    <row r="752" spans="7:14" ht="11.25" customHeight="1" x14ac:dyDescent="0.3">
      <c r="G752" s="470">
        <f>G751+1</f>
        <v>63</v>
      </c>
      <c r="H752" s="470">
        <v>745</v>
      </c>
      <c r="I752" s="455">
        <f t="shared" ca="1" si="55"/>
        <v>8792165.5173020959</v>
      </c>
      <c r="J752" s="455">
        <f t="array" ref="J752">IFERROR(INDEX('Retirement Calculator'!K:K,MATCH('Lorri 401b'!N752,'Retirement Calculator'!A:A,0),0),0)</f>
        <v>16520.094745597391</v>
      </c>
      <c r="K752" s="455">
        <f t="shared" ca="1" si="53"/>
        <v>36565.189260652078</v>
      </c>
      <c r="L752" s="455">
        <f t="shared" ca="1" si="54"/>
        <v>8812210.6118171513</v>
      </c>
      <c r="M752" s="471">
        <f t="shared" si="56"/>
        <v>0.05</v>
      </c>
      <c r="N752" s="475">
        <f t="shared" si="57"/>
        <v>73932</v>
      </c>
    </row>
    <row r="753" spans="7:14" ht="11.25" customHeight="1" x14ac:dyDescent="0.3">
      <c r="G753" s="470">
        <f t="shared" ref="G753:G763" si="77">G752</f>
        <v>63</v>
      </c>
      <c r="H753" s="470">
        <v>746</v>
      </c>
      <c r="I753" s="455">
        <f t="shared" ca="1" si="55"/>
        <v>8812210.6118171513</v>
      </c>
      <c r="J753" s="455">
        <f t="array" ref="J753">IFERROR(INDEX('Retirement Calculator'!K:K,MATCH('Lorri 401b'!N753,'Retirement Calculator'!A:A,0),0),0)</f>
        <v>16520.094745597391</v>
      </c>
      <c r="K753" s="455">
        <f t="shared" ca="1" si="53"/>
        <v>36648.71048779814</v>
      </c>
      <c r="L753" s="455">
        <f t="shared" ca="1" si="54"/>
        <v>8832339.2275593523</v>
      </c>
      <c r="M753" s="471">
        <f t="shared" si="56"/>
        <v>0.05</v>
      </c>
      <c r="N753" s="475">
        <f t="shared" si="57"/>
        <v>73962</v>
      </c>
    </row>
    <row r="754" spans="7:14" ht="11.25" customHeight="1" x14ac:dyDescent="0.3">
      <c r="G754" s="470">
        <f t="shared" si="77"/>
        <v>63</v>
      </c>
      <c r="H754" s="470">
        <v>747</v>
      </c>
      <c r="I754" s="455">
        <f t="shared" ca="1" si="55"/>
        <v>8832339.2275593523</v>
      </c>
      <c r="J754" s="455">
        <f t="array" ref="J754">IFERROR(INDEX('Retirement Calculator'!K:K,MATCH('Lorri 401b'!N754,'Retirement Calculator'!A:A,0),0),0)</f>
        <v>16520.094745597391</v>
      </c>
      <c r="K754" s="455">
        <f t="shared" ca="1" si="53"/>
        <v>36732.579720057314</v>
      </c>
      <c r="L754" s="455">
        <f t="shared" ca="1" si="54"/>
        <v>8852551.712533813</v>
      </c>
      <c r="M754" s="471">
        <f t="shared" si="56"/>
        <v>0.05</v>
      </c>
      <c r="N754" s="475">
        <f t="shared" si="57"/>
        <v>73993</v>
      </c>
    </row>
    <row r="755" spans="7:14" ht="11.25" customHeight="1" x14ac:dyDescent="0.3">
      <c r="G755" s="470">
        <f t="shared" si="77"/>
        <v>63</v>
      </c>
      <c r="H755" s="470">
        <v>748</v>
      </c>
      <c r="I755" s="455">
        <f t="shared" ca="1" si="55"/>
        <v>8852551.712533813</v>
      </c>
      <c r="J755" s="455">
        <f t="array" ref="J755">IFERROR(INDEX('Retirement Calculator'!K:K,MATCH('Lorri 401b'!N755,'Retirement Calculator'!A:A,0),0),0)</f>
        <v>16520.094745597391</v>
      </c>
      <c r="K755" s="455">
        <f t="shared" ca="1" si="53"/>
        <v>36816.7984074509</v>
      </c>
      <c r="L755" s="455">
        <f t="shared" ca="1" si="54"/>
        <v>8872848.4161956664</v>
      </c>
      <c r="M755" s="471">
        <f t="shared" si="56"/>
        <v>0.05</v>
      </c>
      <c r="N755" s="475">
        <f t="shared" si="57"/>
        <v>74024</v>
      </c>
    </row>
    <row r="756" spans="7:14" ht="11.25" customHeight="1" x14ac:dyDescent="0.3">
      <c r="G756" s="470">
        <f t="shared" si="77"/>
        <v>63</v>
      </c>
      <c r="H756" s="470">
        <v>749</v>
      </c>
      <c r="I756" s="455">
        <f t="shared" ca="1" si="55"/>
        <v>8872848.4161956664</v>
      </c>
      <c r="J756" s="455">
        <f t="array" ref="J756">IFERROR(INDEX('Retirement Calculator'!K:K,MATCH('Lorri 401b'!N756,'Retirement Calculator'!A:A,0),0),0)</f>
        <v>16520.094745597391</v>
      </c>
      <c r="K756" s="455">
        <f t="shared" ca="1" si="53"/>
        <v>36901.368006041957</v>
      </c>
      <c r="L756" s="455">
        <f t="shared" ca="1" si="54"/>
        <v>8893229.6894561108</v>
      </c>
      <c r="M756" s="471">
        <f t="shared" si="56"/>
        <v>0.05</v>
      </c>
      <c r="N756" s="475">
        <f t="shared" si="57"/>
        <v>74054</v>
      </c>
    </row>
    <row r="757" spans="7:14" ht="11.25" customHeight="1" x14ac:dyDescent="0.3">
      <c r="G757" s="470">
        <f t="shared" si="77"/>
        <v>63</v>
      </c>
      <c r="H757" s="470">
        <v>750</v>
      </c>
      <c r="I757" s="455">
        <f t="shared" ca="1" si="55"/>
        <v>8893229.6894561108</v>
      </c>
      <c r="J757" s="455">
        <f t="array" ref="J757">IFERROR(INDEX('Retirement Calculator'!K:K,MATCH('Lorri 401b'!N757,'Retirement Calculator'!A:A,0),0),0)</f>
        <v>16520.094745597391</v>
      </c>
      <c r="K757" s="455">
        <f t="shared" ca="1" si="53"/>
        <v>36986.289977960478</v>
      </c>
      <c r="L757" s="455">
        <f t="shared" ca="1" si="54"/>
        <v>8913695.8846884742</v>
      </c>
      <c r="M757" s="471">
        <f t="shared" si="56"/>
        <v>0.05</v>
      </c>
      <c r="N757" s="475">
        <f t="shared" si="57"/>
        <v>74085</v>
      </c>
    </row>
    <row r="758" spans="7:14" ht="11.25" customHeight="1" x14ac:dyDescent="0.3">
      <c r="G758" s="470">
        <f t="shared" si="77"/>
        <v>63</v>
      </c>
      <c r="H758" s="470">
        <v>751</v>
      </c>
      <c r="I758" s="455">
        <f t="shared" ca="1" si="55"/>
        <v>8913695.8846884742</v>
      </c>
      <c r="J758" s="455">
        <f t="array" ref="J758">IFERROR(INDEX('Retirement Calculator'!K:K,MATCH('Lorri 401b'!N758,'Retirement Calculator'!A:A,0),0),0)</f>
        <v>16520.094745597391</v>
      </c>
      <c r="K758" s="455">
        <f t="shared" ca="1" si="53"/>
        <v>37071.565791428657</v>
      </c>
      <c r="L758" s="455">
        <f t="shared" ca="1" si="54"/>
        <v>8934247.3557343055</v>
      </c>
      <c r="M758" s="471">
        <f t="shared" si="56"/>
        <v>0.05</v>
      </c>
      <c r="N758" s="475">
        <f t="shared" si="57"/>
        <v>74115</v>
      </c>
    </row>
    <row r="759" spans="7:14" ht="11.25" customHeight="1" x14ac:dyDescent="0.3">
      <c r="G759" s="470">
        <f t="shared" si="77"/>
        <v>63</v>
      </c>
      <c r="H759" s="470">
        <v>752</v>
      </c>
      <c r="I759" s="455">
        <f t="shared" ca="1" si="55"/>
        <v>8934247.3557343055</v>
      </c>
      <c r="J759" s="455">
        <f t="array" ref="J759">IFERROR(INDEX('Retirement Calculator'!K:K,MATCH('Lorri 401b'!N759,'Retirement Calculator'!A:A,0),0),0)</f>
        <v>16520.094745597391</v>
      </c>
      <c r="K759" s="455">
        <f t="shared" ca="1" si="53"/>
        <v>37157.196920786286</v>
      </c>
      <c r="L759" s="455">
        <f t="shared" ca="1" si="54"/>
        <v>8954884.4579094946</v>
      </c>
      <c r="M759" s="471">
        <f t="shared" si="56"/>
        <v>0.05</v>
      </c>
      <c r="N759" s="475">
        <f t="shared" si="57"/>
        <v>74146</v>
      </c>
    </row>
    <row r="760" spans="7:14" ht="11.25" customHeight="1" x14ac:dyDescent="0.3">
      <c r="G760" s="470">
        <f t="shared" si="77"/>
        <v>63</v>
      </c>
      <c r="H760" s="470">
        <v>753</v>
      </c>
      <c r="I760" s="455">
        <f t="shared" ca="1" si="55"/>
        <v>8954884.4579094946</v>
      </c>
      <c r="J760" s="455">
        <f t="array" ref="J760">IFERROR(INDEX('Retirement Calculator'!K:K,MATCH('Lorri 401b'!N760,'Retirement Calculator'!A:A,0),0),0)</f>
        <v>16520.094745597391</v>
      </c>
      <c r="K760" s="455">
        <f t="shared" ca="1" si="53"/>
        <v>37243.18484651624</v>
      </c>
      <c r="L760" s="455">
        <f t="shared" ca="1" si="54"/>
        <v>8975607.5480104145</v>
      </c>
      <c r="M760" s="471">
        <f t="shared" si="56"/>
        <v>0.05</v>
      </c>
      <c r="N760" s="475">
        <f t="shared" si="57"/>
        <v>74177</v>
      </c>
    </row>
    <row r="761" spans="7:14" ht="11.25" customHeight="1" x14ac:dyDescent="0.3">
      <c r="G761" s="470">
        <f t="shared" si="77"/>
        <v>63</v>
      </c>
      <c r="H761" s="470">
        <v>754</v>
      </c>
      <c r="I761" s="455">
        <f t="shared" ca="1" si="55"/>
        <v>8975607.5480104145</v>
      </c>
      <c r="J761" s="455">
        <f t="array" ref="J761">IFERROR(INDEX('Retirement Calculator'!K:K,MATCH('Lorri 401b'!N761,'Retirement Calculator'!A:A,0),0),0)</f>
        <v>16520.094745597391</v>
      </c>
      <c r="K761" s="455">
        <f t="shared" ca="1" si="53"/>
        <v>37329.531055270076</v>
      </c>
      <c r="L761" s="455">
        <f t="shared" ca="1" si="54"/>
        <v>8996416.9843200874</v>
      </c>
      <c r="M761" s="471">
        <f t="shared" si="56"/>
        <v>0.05</v>
      </c>
      <c r="N761" s="475">
        <f t="shared" si="57"/>
        <v>74205</v>
      </c>
    </row>
    <row r="762" spans="7:14" ht="11.25" customHeight="1" x14ac:dyDescent="0.3">
      <c r="G762" s="470">
        <f t="shared" si="77"/>
        <v>63</v>
      </c>
      <c r="H762" s="470">
        <v>755</v>
      </c>
      <c r="I762" s="455">
        <f t="shared" ca="1" si="55"/>
        <v>8996416.9843200874</v>
      </c>
      <c r="J762" s="455">
        <f t="array" ref="J762">IFERROR(INDEX('Retirement Calculator'!K:K,MATCH('Lorri 401b'!N762,'Retirement Calculator'!A:A,0),0),0)</f>
        <v>16520.094745597391</v>
      </c>
      <c r="K762" s="455">
        <f t="shared" ca="1" si="53"/>
        <v>37416.237039893713</v>
      </c>
      <c r="L762" s="455">
        <f t="shared" ca="1" si="54"/>
        <v>9017313.1266143844</v>
      </c>
      <c r="M762" s="471">
        <f t="shared" si="56"/>
        <v>0.05</v>
      </c>
      <c r="N762" s="475">
        <f t="shared" si="57"/>
        <v>74236</v>
      </c>
    </row>
    <row r="763" spans="7:14" ht="11.25" customHeight="1" x14ac:dyDescent="0.3">
      <c r="G763" s="470">
        <f t="shared" si="77"/>
        <v>63</v>
      </c>
      <c r="H763" s="470">
        <v>756</v>
      </c>
      <c r="I763" s="455">
        <f t="shared" ca="1" si="55"/>
        <v>9017313.1266143844</v>
      </c>
      <c r="J763" s="455">
        <f t="array" ref="J763">IFERROR(INDEX('Retirement Calculator'!K:K,MATCH('Lorri 401b'!N763,'Retirement Calculator'!A:A,0),0),0)</f>
        <v>16520.094745597391</v>
      </c>
      <c r="K763" s="455">
        <f t="shared" ca="1" si="53"/>
        <v>37503.304299453281</v>
      </c>
      <c r="L763" s="455">
        <f t="shared" ca="1" si="54"/>
        <v>9038296.3361682408</v>
      </c>
      <c r="M763" s="471">
        <f t="shared" si="56"/>
        <v>0.05</v>
      </c>
      <c r="N763" s="475">
        <f t="shared" si="57"/>
        <v>74266</v>
      </c>
    </row>
    <row r="764" spans="7:14" ht="11.25" customHeight="1" x14ac:dyDescent="0.3">
      <c r="G764" s="470">
        <f>G763+1</f>
        <v>64</v>
      </c>
      <c r="H764" s="470">
        <v>757</v>
      </c>
      <c r="I764" s="455">
        <f t="shared" ca="1" si="55"/>
        <v>9038296.3361682408</v>
      </c>
      <c r="J764" s="455">
        <f t="array" ref="J764">IFERROR(INDEX('Retirement Calculator'!K:K,MATCH('Lorri 401b'!N764,'Retirement Calculator'!A:A,0),0),0)</f>
        <v>16520.094745597391</v>
      </c>
      <c r="K764" s="455">
        <f t="shared" ca="1" si="53"/>
        <v>37590.734339261013</v>
      </c>
      <c r="L764" s="455">
        <f t="shared" ca="1" si="54"/>
        <v>9059366.9757619053</v>
      </c>
      <c r="M764" s="471">
        <f t="shared" si="56"/>
        <v>0.05</v>
      </c>
      <c r="N764" s="475">
        <f t="shared" si="57"/>
        <v>74297</v>
      </c>
    </row>
    <row r="765" spans="7:14" ht="11.25" customHeight="1" x14ac:dyDescent="0.3">
      <c r="G765" s="470">
        <f t="shared" ref="G765:G775" si="78">G764</f>
        <v>64</v>
      </c>
      <c r="H765" s="470">
        <v>758</v>
      </c>
      <c r="I765" s="455">
        <f t="shared" ca="1" si="55"/>
        <v>9059366.9757619053</v>
      </c>
      <c r="J765" s="455">
        <f t="array" ref="J765">IFERROR(INDEX('Retirement Calculator'!K:K,MATCH('Lorri 401b'!N765,'Retirement Calculator'!A:A,0),0),0)</f>
        <v>16520.094745597391</v>
      </c>
      <c r="K765" s="455">
        <f t="shared" ca="1" si="53"/>
        <v>37678.528670901287</v>
      </c>
      <c r="L765" s="455">
        <f t="shared" ca="1" si="54"/>
        <v>9080525.4096872099</v>
      </c>
      <c r="M765" s="471">
        <f t="shared" si="56"/>
        <v>0.05</v>
      </c>
      <c r="N765" s="475">
        <f t="shared" si="57"/>
        <v>74327</v>
      </c>
    </row>
    <row r="766" spans="7:14" ht="11.25" customHeight="1" x14ac:dyDescent="0.3">
      <c r="G766" s="470">
        <f t="shared" si="78"/>
        <v>64</v>
      </c>
      <c r="H766" s="470">
        <v>759</v>
      </c>
      <c r="I766" s="455">
        <f t="shared" ca="1" si="55"/>
        <v>9080525.4096872099</v>
      </c>
      <c r="J766" s="455">
        <f t="array" ref="J766">IFERROR(INDEX('Retirement Calculator'!K:K,MATCH('Lorri 401b'!N766,'Retirement Calculator'!A:A,0),0),0)</f>
        <v>16520.094745597391</v>
      </c>
      <c r="K766" s="455">
        <f t="shared" ca="1" si="53"/>
        <v>37766.688812256718</v>
      </c>
      <c r="L766" s="455">
        <f t="shared" ca="1" si="54"/>
        <v>9101772.0037538689</v>
      </c>
      <c r="M766" s="471">
        <f t="shared" si="56"/>
        <v>0.05</v>
      </c>
      <c r="N766" s="475">
        <f t="shared" si="57"/>
        <v>74358</v>
      </c>
    </row>
    <row r="767" spans="7:14" ht="11.25" customHeight="1" x14ac:dyDescent="0.3">
      <c r="G767" s="470">
        <f t="shared" si="78"/>
        <v>64</v>
      </c>
      <c r="H767" s="470">
        <v>760</v>
      </c>
      <c r="I767" s="455">
        <f t="shared" ca="1" si="55"/>
        <v>9101772.0037538689</v>
      </c>
      <c r="J767" s="455">
        <f t="array" ref="J767">IFERROR(INDEX('Retirement Calculator'!K:K,MATCH('Lorri 401b'!N767,'Retirement Calculator'!A:A,0),0),0)</f>
        <v>16520.094745597391</v>
      </c>
      <c r="K767" s="455">
        <f t="shared" ca="1" si="53"/>
        <v>37855.216287534466</v>
      </c>
      <c r="L767" s="455">
        <f t="shared" ca="1" si="54"/>
        <v>9123107.1252958067</v>
      </c>
      <c r="M767" s="471">
        <f t="shared" si="56"/>
        <v>0.05</v>
      </c>
      <c r="N767" s="475">
        <f t="shared" si="57"/>
        <v>74389</v>
      </c>
    </row>
    <row r="768" spans="7:14" ht="11.25" customHeight="1" x14ac:dyDescent="0.3">
      <c r="G768" s="470">
        <f t="shared" si="78"/>
        <v>64</v>
      </c>
      <c r="H768" s="470">
        <v>761</v>
      </c>
      <c r="I768" s="455">
        <f t="shared" ca="1" si="55"/>
        <v>9123107.1252958067</v>
      </c>
      <c r="J768" s="455">
        <f t="array" ref="J768">IFERROR(INDEX('Retirement Calculator'!K:K,MATCH('Lorri 401b'!N768,'Retirement Calculator'!A:A,0),0),0)</f>
        <v>16520.094745597391</v>
      </c>
      <c r="K768" s="455">
        <f t="shared" ca="1" si="53"/>
        <v>37944.112627292539</v>
      </c>
      <c r="L768" s="455">
        <f t="shared" ca="1" si="54"/>
        <v>9144531.1431775019</v>
      </c>
      <c r="M768" s="471">
        <f t="shared" si="56"/>
        <v>0.05</v>
      </c>
      <c r="N768" s="475">
        <f t="shared" si="57"/>
        <v>74419</v>
      </c>
    </row>
    <row r="769" spans="7:14" ht="11.25" customHeight="1" x14ac:dyDescent="0.3">
      <c r="G769" s="470">
        <f t="shared" si="78"/>
        <v>64</v>
      </c>
      <c r="H769" s="470">
        <v>762</v>
      </c>
      <c r="I769" s="455">
        <f t="shared" ca="1" si="55"/>
        <v>9144531.1431775019</v>
      </c>
      <c r="J769" s="455">
        <f t="array" ref="J769">IFERROR(INDEX('Retirement Calculator'!K:K,MATCH('Lorri 401b'!N769,'Retirement Calculator'!A:A,0),0),0)</f>
        <v>16520.094745597391</v>
      </c>
      <c r="K769" s="455">
        <f t="shared" ca="1" si="53"/>
        <v>38033.379368466267</v>
      </c>
      <c r="L769" s="455">
        <f t="shared" ca="1" si="54"/>
        <v>9166044.4278003704</v>
      </c>
      <c r="M769" s="471">
        <f t="shared" si="56"/>
        <v>0.05</v>
      </c>
      <c r="N769" s="475">
        <f t="shared" si="57"/>
        <v>74450</v>
      </c>
    </row>
    <row r="770" spans="7:14" ht="11.25" customHeight="1" x14ac:dyDescent="0.3">
      <c r="G770" s="470">
        <f t="shared" si="78"/>
        <v>64</v>
      </c>
      <c r="H770" s="470">
        <v>763</v>
      </c>
      <c r="I770" s="455">
        <f t="shared" ca="1" si="55"/>
        <v>9166044.4278003704</v>
      </c>
      <c r="J770" s="455">
        <f t="array" ref="J770">IFERROR(INDEX('Retirement Calculator'!K:K,MATCH('Lorri 401b'!N770,'Retirement Calculator'!A:A,0),0),0)</f>
        <v>16520.094745597391</v>
      </c>
      <c r="K770" s="455">
        <f t="shared" ca="1" si="53"/>
        <v>38123.018054394888</v>
      </c>
      <c r="L770" s="455">
        <f t="shared" ca="1" si="54"/>
        <v>9187647.3511091676</v>
      </c>
      <c r="M770" s="471">
        <f t="shared" si="56"/>
        <v>0.05</v>
      </c>
      <c r="N770" s="475">
        <f t="shared" si="57"/>
        <v>74480</v>
      </c>
    </row>
    <row r="771" spans="7:14" ht="11.25" customHeight="1" x14ac:dyDescent="0.3">
      <c r="G771" s="470">
        <f t="shared" si="78"/>
        <v>64</v>
      </c>
      <c r="H771" s="470">
        <v>764</v>
      </c>
      <c r="I771" s="455">
        <f t="shared" ca="1" si="55"/>
        <v>9187647.3511091676</v>
      </c>
      <c r="J771" s="455">
        <f t="array" ref="J771">IFERROR(INDEX('Retirement Calculator'!K:K,MATCH('Lorri 401b'!N771,'Retirement Calculator'!A:A,0),0),0)</f>
        <v>16520.094745597391</v>
      </c>
      <c r="K771" s="455">
        <f t="shared" ca="1" si="53"/>
        <v>38213.030234848207</v>
      </c>
      <c r="L771" s="455">
        <f t="shared" ca="1" si="54"/>
        <v>9209340.2865984198</v>
      </c>
      <c r="M771" s="471">
        <f t="shared" si="56"/>
        <v>0.05</v>
      </c>
      <c r="N771" s="475">
        <f t="shared" si="57"/>
        <v>74511</v>
      </c>
    </row>
    <row r="772" spans="7:14" ht="11.25" customHeight="1" x14ac:dyDescent="0.3">
      <c r="G772" s="470">
        <f t="shared" si="78"/>
        <v>64</v>
      </c>
      <c r="H772" s="470">
        <v>765</v>
      </c>
      <c r="I772" s="455">
        <f t="shared" ca="1" si="55"/>
        <v>9209340.2865984198</v>
      </c>
      <c r="J772" s="455">
        <f t="array" ref="J772">IFERROR(INDEX('Retirement Calculator'!K:K,MATCH('Lorri 401b'!N772,'Retirement Calculator'!A:A,0),0),0)</f>
        <v>16520.094745597391</v>
      </c>
      <c r="K772" s="455">
        <f t="shared" ca="1" si="53"/>
        <v>38303.417466053426</v>
      </c>
      <c r="L772" s="455">
        <f t="shared" ca="1" si="54"/>
        <v>9231123.6093188766</v>
      </c>
      <c r="M772" s="471">
        <f t="shared" si="56"/>
        <v>0.05</v>
      </c>
      <c r="N772" s="475">
        <f t="shared" si="57"/>
        <v>74542</v>
      </c>
    </row>
    <row r="773" spans="7:14" ht="11.25" customHeight="1" x14ac:dyDescent="0.3">
      <c r="G773" s="470">
        <f t="shared" si="78"/>
        <v>64</v>
      </c>
      <c r="H773" s="470">
        <v>766</v>
      </c>
      <c r="I773" s="455">
        <f t="shared" ca="1" si="55"/>
        <v>9231123.6093188766</v>
      </c>
      <c r="J773" s="455">
        <f t="array" ref="J773">IFERROR(INDEX('Retirement Calculator'!K:K,MATCH('Lorri 401b'!N773,'Retirement Calculator'!A:A,0),0),0)</f>
        <v>16520.094745597391</v>
      </c>
      <c r="K773" s="455">
        <f t="shared" ref="K773:K1027" ca="1" si="79">IPMT(M773/12,1,12,-I773+J773,,0)</f>
        <v>38394.181310722</v>
      </c>
      <c r="L773" s="455">
        <f t="shared" ref="L773:L1027" ca="1" si="80">I773-J773+K773</f>
        <v>9252997.6958840024</v>
      </c>
      <c r="M773" s="471">
        <f t="shared" si="56"/>
        <v>0.05</v>
      </c>
      <c r="N773" s="475">
        <f t="shared" si="57"/>
        <v>74571</v>
      </c>
    </row>
    <row r="774" spans="7:14" ht="11.25" customHeight="1" x14ac:dyDescent="0.3">
      <c r="G774" s="470">
        <f t="shared" si="78"/>
        <v>64</v>
      </c>
      <c r="H774" s="470">
        <v>767</v>
      </c>
      <c r="I774" s="455">
        <f t="shared" ref="I774:I1028" ca="1" si="81">L773</f>
        <v>9252997.6958840024</v>
      </c>
      <c r="J774" s="455">
        <f t="array" ref="J774">IFERROR(INDEX('Retirement Calculator'!K:K,MATCH('Lorri 401b'!N774,'Retirement Calculator'!A:A,0),0),0)</f>
        <v>16520.094745597391</v>
      </c>
      <c r="K774" s="455">
        <f t="shared" ca="1" si="79"/>
        <v>38485.323338076691</v>
      </c>
      <c r="L774" s="455">
        <f t="shared" ca="1" si="80"/>
        <v>9274962.924476482</v>
      </c>
      <c r="M774" s="471">
        <f t="shared" ref="M774:M1028" si="82">M773</f>
        <v>0.05</v>
      </c>
      <c r="N774" s="475">
        <f t="shared" ref="N774:N1028" si="83">EDATE(N773,1)</f>
        <v>74602</v>
      </c>
    </row>
    <row r="775" spans="7:14" ht="11.25" customHeight="1" x14ac:dyDescent="0.3">
      <c r="G775" s="470">
        <f t="shared" si="78"/>
        <v>64</v>
      </c>
      <c r="H775" s="470">
        <v>768</v>
      </c>
      <c r="I775" s="455">
        <f t="shared" ca="1" si="81"/>
        <v>9274962.924476482</v>
      </c>
      <c r="J775" s="455">
        <f t="array" ref="J775">IFERROR(INDEX('Retirement Calculator'!K:K,MATCH('Lorri 401b'!N775,'Retirement Calculator'!A:A,0),0),0)</f>
        <v>16520.094745597391</v>
      </c>
      <c r="K775" s="455">
        <f t="shared" ca="1" si="79"/>
        <v>38576.845123878687</v>
      </c>
      <c r="L775" s="455">
        <f t="shared" ca="1" si="80"/>
        <v>9297019.6748547647</v>
      </c>
      <c r="M775" s="471">
        <f t="shared" si="82"/>
        <v>0.05</v>
      </c>
      <c r="N775" s="475">
        <f t="shared" si="83"/>
        <v>74632</v>
      </c>
    </row>
    <row r="776" spans="7:14" ht="11.25" customHeight="1" x14ac:dyDescent="0.3">
      <c r="G776" s="470">
        <f>G775+1</f>
        <v>65</v>
      </c>
      <c r="H776" s="470">
        <v>769</v>
      </c>
      <c r="I776" s="455">
        <f t="shared" ca="1" si="81"/>
        <v>9297019.6748547647</v>
      </c>
      <c r="J776" s="455">
        <f t="array" ref="J776">IFERROR(INDEX('Retirement Calculator'!K:K,MATCH('Lorri 401b'!N776,'Retirement Calculator'!A:A,0),0),0)</f>
        <v>16520.094745597391</v>
      </c>
      <c r="K776" s="455">
        <f t="shared" ca="1" si="79"/>
        <v>38668.748250454868</v>
      </c>
      <c r="L776" s="455">
        <f t="shared" ca="1" si="80"/>
        <v>9319168.3283596225</v>
      </c>
      <c r="M776" s="471">
        <f t="shared" si="82"/>
        <v>0.05</v>
      </c>
      <c r="N776" s="475">
        <f t="shared" si="83"/>
        <v>74663</v>
      </c>
    </row>
    <row r="777" spans="7:14" ht="11.25" customHeight="1" x14ac:dyDescent="0.3">
      <c r="G777" s="470">
        <f t="shared" ref="G777:G787" si="84">G776</f>
        <v>65</v>
      </c>
      <c r="H777" s="470">
        <v>770</v>
      </c>
      <c r="I777" s="455">
        <f t="shared" ca="1" si="81"/>
        <v>9319168.3283596225</v>
      </c>
      <c r="J777" s="455">
        <f t="array" ref="J777">IFERROR(INDEX('Retirement Calculator'!K:K,MATCH('Lorri 401b'!N777,'Retirement Calculator'!A:A,0),0),0)</f>
        <v>16520.094745597391</v>
      </c>
      <c r="K777" s="455">
        <f t="shared" ca="1" si="79"/>
        <v>38761.034306725109</v>
      </c>
      <c r="L777" s="455">
        <f t="shared" ca="1" si="80"/>
        <v>9341409.2679207511</v>
      </c>
      <c r="M777" s="471">
        <f t="shared" si="82"/>
        <v>0.05</v>
      </c>
      <c r="N777" s="475">
        <f t="shared" si="83"/>
        <v>74693</v>
      </c>
    </row>
    <row r="778" spans="7:14" ht="11.25" customHeight="1" x14ac:dyDescent="0.3">
      <c r="G778" s="470">
        <f t="shared" si="84"/>
        <v>65</v>
      </c>
      <c r="H778" s="470">
        <v>771</v>
      </c>
      <c r="I778" s="455">
        <f t="shared" ca="1" si="81"/>
        <v>9341409.2679207511</v>
      </c>
      <c r="J778" s="455">
        <f t="array" ref="J778">IFERROR(INDEX('Retirement Calculator'!K:K,MATCH('Lorri 401b'!N778,'Retirement Calculator'!A:A,0),0),0)</f>
        <v>16520.094745597391</v>
      </c>
      <c r="K778" s="455">
        <f t="shared" ca="1" si="79"/>
        <v>38853.704888229811</v>
      </c>
      <c r="L778" s="455">
        <f t="shared" ca="1" si="80"/>
        <v>9363742.8780633844</v>
      </c>
      <c r="M778" s="471">
        <f t="shared" si="82"/>
        <v>0.05</v>
      </c>
      <c r="N778" s="475">
        <f t="shared" si="83"/>
        <v>74724</v>
      </c>
    </row>
    <row r="779" spans="7:14" ht="11.25" customHeight="1" x14ac:dyDescent="0.3">
      <c r="G779" s="470">
        <f t="shared" si="84"/>
        <v>65</v>
      </c>
      <c r="H779" s="470">
        <v>772</v>
      </c>
      <c r="I779" s="455">
        <f t="shared" ca="1" si="81"/>
        <v>9363742.8780633844</v>
      </c>
      <c r="J779" s="455">
        <f t="array" ref="J779">IFERROR(INDEX('Retirement Calculator'!K:K,MATCH('Lorri 401b'!N779,'Retirement Calculator'!A:A,0),0),0)</f>
        <v>16520.094745597391</v>
      </c>
      <c r="K779" s="455">
        <f t="shared" ca="1" si="79"/>
        <v>38946.761597157449</v>
      </c>
      <c r="L779" s="455">
        <f t="shared" ca="1" si="80"/>
        <v>9386169.5449149441</v>
      </c>
      <c r="M779" s="471">
        <f t="shared" si="82"/>
        <v>0.05</v>
      </c>
      <c r="N779" s="475">
        <f t="shared" si="83"/>
        <v>74755</v>
      </c>
    </row>
    <row r="780" spans="7:14" ht="11.25" customHeight="1" x14ac:dyDescent="0.3">
      <c r="G780" s="470">
        <f t="shared" si="84"/>
        <v>65</v>
      </c>
      <c r="H780" s="470">
        <v>773</v>
      </c>
      <c r="I780" s="455">
        <f t="shared" ca="1" si="81"/>
        <v>9386169.5449149441</v>
      </c>
      <c r="J780" s="455">
        <f t="array" ref="J780">IFERROR(INDEX('Retirement Calculator'!K:K,MATCH('Lorri 401b'!N780,'Retirement Calculator'!A:A,0),0),0)</f>
        <v>16520.094745597391</v>
      </c>
      <c r="K780" s="455">
        <f t="shared" ca="1" si="79"/>
        <v>39040.20604237228</v>
      </c>
      <c r="L780" s="455">
        <f t="shared" ca="1" si="80"/>
        <v>9408689.6562117189</v>
      </c>
      <c r="M780" s="471">
        <f t="shared" si="82"/>
        <v>0.05</v>
      </c>
      <c r="N780" s="475">
        <f t="shared" si="83"/>
        <v>74785</v>
      </c>
    </row>
    <row r="781" spans="7:14" ht="11.25" customHeight="1" x14ac:dyDescent="0.3">
      <c r="G781" s="470">
        <f t="shared" si="84"/>
        <v>65</v>
      </c>
      <c r="H781" s="470">
        <v>774</v>
      </c>
      <c r="I781" s="455">
        <f t="shared" ca="1" si="81"/>
        <v>9408689.6562117189</v>
      </c>
      <c r="J781" s="455">
        <f t="array" ref="J781">IFERROR(INDEX('Retirement Calculator'!K:K,MATCH('Lorri 401b'!N781,'Retirement Calculator'!A:A,0),0),0)</f>
        <v>16520.094745597391</v>
      </c>
      <c r="K781" s="455">
        <f t="shared" ca="1" si="79"/>
        <v>39134.039839442172</v>
      </c>
      <c r="L781" s="455">
        <f t="shared" ca="1" si="80"/>
        <v>9431303.6013055649</v>
      </c>
      <c r="M781" s="471">
        <f t="shared" si="82"/>
        <v>0.05</v>
      </c>
      <c r="N781" s="475">
        <f t="shared" si="83"/>
        <v>74816</v>
      </c>
    </row>
    <row r="782" spans="7:14" ht="11.25" customHeight="1" x14ac:dyDescent="0.3">
      <c r="G782" s="470">
        <f t="shared" si="84"/>
        <v>65</v>
      </c>
      <c r="H782" s="470">
        <v>775</v>
      </c>
      <c r="I782" s="455">
        <f t="shared" ca="1" si="81"/>
        <v>9431303.6013055649</v>
      </c>
      <c r="J782" s="455">
        <f t="array" ref="J782">IFERROR(INDEX('Retirement Calculator'!K:K,MATCH('Lorri 401b'!N782,'Retirement Calculator'!A:A,0),0),0)</f>
        <v>16520.094745597391</v>
      </c>
      <c r="K782" s="455">
        <f t="shared" ca="1" si="79"/>
        <v>39228.264610666534</v>
      </c>
      <c r="L782" s="455">
        <f t="shared" ca="1" si="80"/>
        <v>9454011.7711706348</v>
      </c>
      <c r="M782" s="471">
        <f t="shared" si="82"/>
        <v>0.05</v>
      </c>
      <c r="N782" s="475">
        <f t="shared" si="83"/>
        <v>74846</v>
      </c>
    </row>
    <row r="783" spans="7:14" ht="11.25" customHeight="1" x14ac:dyDescent="0.3">
      <c r="G783" s="470">
        <f t="shared" si="84"/>
        <v>65</v>
      </c>
      <c r="H783" s="470">
        <v>776</v>
      </c>
      <c r="I783" s="455">
        <f t="shared" ca="1" si="81"/>
        <v>9454011.7711706348</v>
      </c>
      <c r="J783" s="455">
        <f t="array" ref="J783">IFERROR(INDEX('Retirement Calculator'!K:K,MATCH('Lorri 401b'!N783,'Retirement Calculator'!A:A,0),0),0)</f>
        <v>16520.094745597391</v>
      </c>
      <c r="K783" s="455">
        <f t="shared" ca="1" si="79"/>
        <v>39322.881985104323</v>
      </c>
      <c r="L783" s="455">
        <f t="shared" ca="1" si="80"/>
        <v>9476814.5584101416</v>
      </c>
      <c r="M783" s="471">
        <f t="shared" si="82"/>
        <v>0.05</v>
      </c>
      <c r="N783" s="475">
        <f t="shared" si="83"/>
        <v>74877</v>
      </c>
    </row>
    <row r="784" spans="7:14" ht="11.25" customHeight="1" x14ac:dyDescent="0.3">
      <c r="G784" s="470">
        <f t="shared" si="84"/>
        <v>65</v>
      </c>
      <c r="H784" s="470">
        <v>777</v>
      </c>
      <c r="I784" s="455">
        <f t="shared" ca="1" si="81"/>
        <v>9476814.5584101416</v>
      </c>
      <c r="J784" s="455">
        <f t="array" ref="J784">IFERROR(INDEX('Retirement Calculator'!K:K,MATCH('Lorri 401b'!N784,'Retirement Calculator'!A:A,0),0),0)</f>
        <v>16520.094745597391</v>
      </c>
      <c r="K784" s="455">
        <f t="shared" ca="1" si="79"/>
        <v>39417.89359860227</v>
      </c>
      <c r="L784" s="455">
        <f t="shared" ca="1" si="80"/>
        <v>9499712.3572631478</v>
      </c>
      <c r="M784" s="471">
        <f t="shared" si="82"/>
        <v>0.05</v>
      </c>
      <c r="N784" s="475">
        <f t="shared" si="83"/>
        <v>74908</v>
      </c>
    </row>
    <row r="785" spans="7:14" ht="11.25" customHeight="1" x14ac:dyDescent="0.3">
      <c r="G785" s="470">
        <f t="shared" si="84"/>
        <v>65</v>
      </c>
      <c r="H785" s="470">
        <v>778</v>
      </c>
      <c r="I785" s="455">
        <f t="shared" ca="1" si="81"/>
        <v>9499712.3572631478</v>
      </c>
      <c r="J785" s="455">
        <f t="array" ref="J785">IFERROR(INDEX('Retirement Calculator'!K:K,MATCH('Lorri 401b'!N785,'Retirement Calculator'!A:A,0),0),0)</f>
        <v>16520.094745597391</v>
      </c>
      <c r="K785" s="455">
        <f t="shared" ca="1" si="79"/>
        <v>39513.301093823131</v>
      </c>
      <c r="L785" s="455">
        <f t="shared" ca="1" si="80"/>
        <v>9522705.5636113733</v>
      </c>
      <c r="M785" s="471">
        <f t="shared" si="82"/>
        <v>0.05</v>
      </c>
      <c r="N785" s="475">
        <f t="shared" si="83"/>
        <v>74936</v>
      </c>
    </row>
    <row r="786" spans="7:14" ht="11.25" customHeight="1" x14ac:dyDescent="0.3">
      <c r="G786" s="470">
        <f t="shared" si="84"/>
        <v>65</v>
      </c>
      <c r="H786" s="470">
        <v>779</v>
      </c>
      <c r="I786" s="455">
        <f t="shared" ca="1" si="81"/>
        <v>9522705.5636113733</v>
      </c>
      <c r="J786" s="455">
        <f t="array" ref="J786">IFERROR(INDEX('Retirement Calculator'!K:K,MATCH('Lorri 401b'!N786,'Retirement Calculator'!A:A,0),0),0)</f>
        <v>16520.094745597391</v>
      </c>
      <c r="K786" s="455">
        <f t="shared" ca="1" si="79"/>
        <v>39609.106120274068</v>
      </c>
      <c r="L786" s="455">
        <f t="shared" ca="1" si="80"/>
        <v>9545794.5749860499</v>
      </c>
      <c r="M786" s="471">
        <f t="shared" si="82"/>
        <v>0.05</v>
      </c>
      <c r="N786" s="475">
        <f t="shared" si="83"/>
        <v>74967</v>
      </c>
    </row>
    <row r="787" spans="7:14" ht="11.25" customHeight="1" x14ac:dyDescent="0.3">
      <c r="G787" s="470">
        <f t="shared" si="84"/>
        <v>65</v>
      </c>
      <c r="H787" s="470">
        <v>780</v>
      </c>
      <c r="I787" s="455">
        <f t="shared" ca="1" si="81"/>
        <v>9545794.5749860499</v>
      </c>
      <c r="J787" s="455">
        <f t="array" ref="J787">IFERROR(INDEX('Retirement Calculator'!K:K,MATCH('Lorri 401b'!N787,'Retirement Calculator'!A:A,0),0),0)</f>
        <v>16520.094745597391</v>
      </c>
      <c r="K787" s="455">
        <f t="shared" ca="1" si="79"/>
        <v>39705.31033433522</v>
      </c>
      <c r="L787" s="455">
        <f t="shared" ca="1" si="80"/>
        <v>9568979.790574789</v>
      </c>
      <c r="M787" s="471">
        <f t="shared" si="82"/>
        <v>0.05</v>
      </c>
      <c r="N787" s="475">
        <f t="shared" si="83"/>
        <v>74997</v>
      </c>
    </row>
    <row r="788" spans="7:14" ht="11.25" customHeight="1" x14ac:dyDescent="0.3">
      <c r="G788" s="470">
        <f>G787+1</f>
        <v>66</v>
      </c>
      <c r="H788" s="470">
        <v>781</v>
      </c>
      <c r="I788" s="455">
        <f t="shared" ca="1" si="81"/>
        <v>9568979.790574789</v>
      </c>
      <c r="J788" s="455">
        <f t="array" ref="J788">IFERROR(INDEX('Retirement Calculator'!K:K,MATCH('Lorri 401b'!N788,'Retirement Calculator'!A:A,0),0),0)</f>
        <v>16520.094745597391</v>
      </c>
      <c r="K788" s="455">
        <f t="shared" ca="1" si="79"/>
        <v>39801.9153992883</v>
      </c>
      <c r="L788" s="455">
        <f t="shared" ca="1" si="80"/>
        <v>9592261.6112284809</v>
      </c>
      <c r="M788" s="471">
        <f t="shared" si="82"/>
        <v>0.05</v>
      </c>
      <c r="N788" s="475">
        <f t="shared" si="83"/>
        <v>75028</v>
      </c>
    </row>
    <row r="789" spans="7:14" ht="11.25" customHeight="1" x14ac:dyDescent="0.3">
      <c r="G789" s="470">
        <f t="shared" ref="G789:G799" si="85">G788</f>
        <v>66</v>
      </c>
      <c r="H789" s="470">
        <v>782</v>
      </c>
      <c r="I789" s="455">
        <f t="shared" ca="1" si="81"/>
        <v>9592261.6112284809</v>
      </c>
      <c r="J789" s="455">
        <f t="array" ref="J789">IFERROR(INDEX('Retirement Calculator'!K:K,MATCH('Lorri 401b'!N789,'Retirement Calculator'!A:A,0),0),0)</f>
        <v>16520.094745597391</v>
      </c>
      <c r="K789" s="455">
        <f t="shared" ca="1" si="79"/>
        <v>39898.922985345351</v>
      </c>
      <c r="L789" s="455">
        <f t="shared" ca="1" si="80"/>
        <v>9615640.4394682292</v>
      </c>
      <c r="M789" s="471">
        <f t="shared" si="82"/>
        <v>0.05</v>
      </c>
      <c r="N789" s="475">
        <f t="shared" si="83"/>
        <v>75058</v>
      </c>
    </row>
    <row r="790" spans="7:14" ht="11.25" customHeight="1" x14ac:dyDescent="0.3">
      <c r="G790" s="470">
        <f t="shared" si="85"/>
        <v>66</v>
      </c>
      <c r="H790" s="470">
        <v>783</v>
      </c>
      <c r="I790" s="455">
        <f t="shared" ca="1" si="81"/>
        <v>9615640.4394682292</v>
      </c>
      <c r="J790" s="455">
        <f t="array" ref="J790">IFERROR(INDEX('Retirement Calculator'!K:K,MATCH('Lorri 401b'!N790,'Retirement Calculator'!A:A,0),0),0)</f>
        <v>16520.094745597391</v>
      </c>
      <c r="K790" s="455">
        <f t="shared" ca="1" si="79"/>
        <v>39996.334769677633</v>
      </c>
      <c r="L790" s="455">
        <f t="shared" ca="1" si="80"/>
        <v>9639116.6794923097</v>
      </c>
      <c r="M790" s="471">
        <f t="shared" si="82"/>
        <v>0.05</v>
      </c>
      <c r="N790" s="475">
        <f t="shared" si="83"/>
        <v>75089</v>
      </c>
    </row>
    <row r="791" spans="7:14" ht="11.25" customHeight="1" x14ac:dyDescent="0.3">
      <c r="G791" s="470">
        <f t="shared" si="85"/>
        <v>66</v>
      </c>
      <c r="H791" s="470">
        <v>784</v>
      </c>
      <c r="I791" s="455">
        <f t="shared" ca="1" si="81"/>
        <v>9639116.6794923097</v>
      </c>
      <c r="J791" s="455">
        <f t="array" ref="J791">IFERROR(INDEX('Retirement Calculator'!K:K,MATCH('Lorri 401b'!N791,'Retirement Calculator'!A:A,0),0),0)</f>
        <v>16520.094745597391</v>
      </c>
      <c r="K791" s="455">
        <f t="shared" ca="1" si="79"/>
        <v>40094.152436444638</v>
      </c>
      <c r="L791" s="455">
        <f t="shared" ca="1" si="80"/>
        <v>9662690.7371831574</v>
      </c>
      <c r="M791" s="471">
        <f t="shared" si="82"/>
        <v>0.05</v>
      </c>
      <c r="N791" s="475">
        <f t="shared" si="83"/>
        <v>75120</v>
      </c>
    </row>
    <row r="792" spans="7:14" ht="11.25" customHeight="1" x14ac:dyDescent="0.3">
      <c r="G792" s="470">
        <f t="shared" si="85"/>
        <v>66</v>
      </c>
      <c r="H792" s="470">
        <v>785</v>
      </c>
      <c r="I792" s="455">
        <f t="shared" ca="1" si="81"/>
        <v>9662690.7371831574</v>
      </c>
      <c r="J792" s="455">
        <f t="array" ref="J792">IFERROR(INDEX('Retirement Calculator'!K:K,MATCH('Lorri 401b'!N792,'Retirement Calculator'!A:A,0),0),0)</f>
        <v>16520.094745597391</v>
      </c>
      <c r="K792" s="455">
        <f t="shared" ca="1" si="79"/>
        <v>40192.377676823169</v>
      </c>
      <c r="L792" s="455">
        <f t="shared" ca="1" si="80"/>
        <v>9686363.0201143827</v>
      </c>
      <c r="M792" s="471">
        <f t="shared" si="82"/>
        <v>0.05</v>
      </c>
      <c r="N792" s="475">
        <f t="shared" si="83"/>
        <v>75150</v>
      </c>
    </row>
    <row r="793" spans="7:14" ht="11.25" customHeight="1" x14ac:dyDescent="0.3">
      <c r="G793" s="470">
        <f t="shared" si="85"/>
        <v>66</v>
      </c>
      <c r="H793" s="470">
        <v>786</v>
      </c>
      <c r="I793" s="455">
        <f t="shared" ca="1" si="81"/>
        <v>9686363.0201143827</v>
      </c>
      <c r="J793" s="455">
        <f t="array" ref="J793">IFERROR(INDEX('Retirement Calculator'!K:K,MATCH('Lorri 401b'!N793,'Retirement Calculator'!A:A,0),0),0)</f>
        <v>16520.094745597391</v>
      </c>
      <c r="K793" s="455">
        <f t="shared" ca="1" si="79"/>
        <v>40291.012189036606</v>
      </c>
      <c r="L793" s="455">
        <f t="shared" ca="1" si="80"/>
        <v>9710133.9375578221</v>
      </c>
      <c r="M793" s="471">
        <f t="shared" si="82"/>
        <v>0.05</v>
      </c>
      <c r="N793" s="475">
        <f t="shared" si="83"/>
        <v>75181</v>
      </c>
    </row>
    <row r="794" spans="7:14" ht="11.25" customHeight="1" x14ac:dyDescent="0.3">
      <c r="G794" s="470">
        <f t="shared" si="85"/>
        <v>66</v>
      </c>
      <c r="H794" s="470">
        <v>787</v>
      </c>
      <c r="I794" s="455">
        <f t="shared" ca="1" si="81"/>
        <v>9710133.9375578221</v>
      </c>
      <c r="J794" s="455">
        <f t="array" ref="J794">IFERROR(INDEX('Retirement Calculator'!K:K,MATCH('Lorri 401b'!N794,'Retirement Calculator'!A:A,0),0),0)</f>
        <v>16520.094745597391</v>
      </c>
      <c r="K794" s="455">
        <f t="shared" ca="1" si="79"/>
        <v>40390.05767838427</v>
      </c>
      <c r="L794" s="455">
        <f t="shared" ca="1" si="80"/>
        <v>9734003.9004906099</v>
      </c>
      <c r="M794" s="471">
        <f t="shared" si="82"/>
        <v>0.05</v>
      </c>
      <c r="N794" s="475">
        <f t="shared" si="83"/>
        <v>75211</v>
      </c>
    </row>
    <row r="795" spans="7:14" ht="11.25" customHeight="1" x14ac:dyDescent="0.3">
      <c r="G795" s="470">
        <f t="shared" si="85"/>
        <v>66</v>
      </c>
      <c r="H795" s="470">
        <v>788</v>
      </c>
      <c r="I795" s="455">
        <f t="shared" ca="1" si="81"/>
        <v>9734003.9004906099</v>
      </c>
      <c r="J795" s="455">
        <f t="array" ref="J795">IFERROR(INDEX('Retirement Calculator'!K:K,MATCH('Lorri 401b'!N795,'Retirement Calculator'!A:A,0),0),0)</f>
        <v>16520.094745597391</v>
      </c>
      <c r="K795" s="455">
        <f t="shared" ca="1" si="79"/>
        <v>40489.51585727089</v>
      </c>
      <c r="L795" s="455">
        <f t="shared" ca="1" si="80"/>
        <v>9757973.321602283</v>
      </c>
      <c r="M795" s="471">
        <f t="shared" si="82"/>
        <v>0.05</v>
      </c>
      <c r="N795" s="475">
        <f t="shared" si="83"/>
        <v>75242</v>
      </c>
    </row>
    <row r="796" spans="7:14" ht="11.25" customHeight="1" x14ac:dyDescent="0.3">
      <c r="G796" s="470">
        <f t="shared" si="85"/>
        <v>66</v>
      </c>
      <c r="H796" s="470">
        <v>789</v>
      </c>
      <c r="I796" s="455">
        <f t="shared" ca="1" si="81"/>
        <v>9757973.321602283</v>
      </c>
      <c r="J796" s="455">
        <f t="array" ref="J796">IFERROR(INDEX('Retirement Calculator'!K:K,MATCH('Lorri 401b'!N796,'Retirement Calculator'!A:A,0),0),0)</f>
        <v>16520.094745597391</v>
      </c>
      <c r="K796" s="455">
        <f t="shared" ca="1" si="79"/>
        <v>40589.388445236189</v>
      </c>
      <c r="L796" s="455">
        <f t="shared" ca="1" si="80"/>
        <v>9782042.615301922</v>
      </c>
      <c r="M796" s="471">
        <f t="shared" si="82"/>
        <v>0.05</v>
      </c>
      <c r="N796" s="475">
        <f t="shared" si="83"/>
        <v>75273</v>
      </c>
    </row>
    <row r="797" spans="7:14" ht="11.25" customHeight="1" x14ac:dyDescent="0.3">
      <c r="G797" s="470">
        <f t="shared" si="85"/>
        <v>66</v>
      </c>
      <c r="H797" s="470">
        <v>790</v>
      </c>
      <c r="I797" s="455">
        <f t="shared" ca="1" si="81"/>
        <v>9782042.615301922</v>
      </c>
      <c r="J797" s="455">
        <f t="array" ref="J797">IFERROR(INDEX('Retirement Calculator'!K:K,MATCH('Lorri 401b'!N797,'Retirement Calculator'!A:A,0),0),0)</f>
        <v>16520.094745597391</v>
      </c>
      <c r="K797" s="455">
        <f t="shared" ca="1" si="79"/>
        <v>40689.677168984686</v>
      </c>
      <c r="L797" s="455">
        <f t="shared" ca="1" si="80"/>
        <v>9806212.1977253091</v>
      </c>
      <c r="M797" s="471">
        <f t="shared" si="82"/>
        <v>0.05</v>
      </c>
      <c r="N797" s="475">
        <f t="shared" si="83"/>
        <v>75301</v>
      </c>
    </row>
    <row r="798" spans="7:14" ht="11.25" customHeight="1" x14ac:dyDescent="0.3">
      <c r="G798" s="470">
        <f t="shared" si="85"/>
        <v>66</v>
      </c>
      <c r="H798" s="470">
        <v>791</v>
      </c>
      <c r="I798" s="455">
        <f t="shared" ca="1" si="81"/>
        <v>9806212.1977253091</v>
      </c>
      <c r="J798" s="455">
        <f t="array" ref="J798">IFERROR(INDEX('Retirement Calculator'!K:K,MATCH('Lorri 401b'!N798,'Retirement Calculator'!A:A,0),0),0)</f>
        <v>16520.094745597391</v>
      </c>
      <c r="K798" s="455">
        <f t="shared" ca="1" si="79"/>
        <v>40790.383762415469</v>
      </c>
      <c r="L798" s="455">
        <f t="shared" ca="1" si="80"/>
        <v>9830482.4867421277</v>
      </c>
      <c r="M798" s="471">
        <f t="shared" si="82"/>
        <v>0.05</v>
      </c>
      <c r="N798" s="475">
        <f t="shared" si="83"/>
        <v>75332</v>
      </c>
    </row>
    <row r="799" spans="7:14" ht="11.25" customHeight="1" x14ac:dyDescent="0.3">
      <c r="G799" s="470">
        <f t="shared" si="85"/>
        <v>66</v>
      </c>
      <c r="H799" s="470">
        <v>792</v>
      </c>
      <c r="I799" s="455">
        <f t="shared" ca="1" si="81"/>
        <v>9830482.4867421277</v>
      </c>
      <c r="J799" s="455">
        <f t="array" ref="J799">IFERROR(INDEX('Retirement Calculator'!K:K,MATCH('Lorri 401b'!N799,'Retirement Calculator'!A:A,0),0),0)</f>
        <v>16520.094745597391</v>
      </c>
      <c r="K799" s="455">
        <f t="shared" ca="1" si="79"/>
        <v>40891.509966652215</v>
      </c>
      <c r="L799" s="455">
        <f t="shared" ca="1" si="80"/>
        <v>9854853.9019631837</v>
      </c>
      <c r="M799" s="471">
        <f t="shared" si="82"/>
        <v>0.05</v>
      </c>
      <c r="N799" s="475">
        <f t="shared" si="83"/>
        <v>75362</v>
      </c>
    </row>
    <row r="800" spans="7:14" ht="11.25" customHeight="1" x14ac:dyDescent="0.3">
      <c r="G800" s="470">
        <f>G799+1</f>
        <v>67</v>
      </c>
      <c r="H800" s="470">
        <v>793</v>
      </c>
      <c r="I800" s="455">
        <f t="shared" ca="1" si="81"/>
        <v>9854853.9019631837</v>
      </c>
      <c r="J800" s="455">
        <f t="array" ref="J800">IFERROR(INDEX('Retirement Calculator'!K:K,MATCH('Lorri 401b'!N800,'Retirement Calculator'!A:A,0),0),0)</f>
        <v>16520.094745597391</v>
      </c>
      <c r="K800" s="455">
        <f t="shared" ca="1" si="79"/>
        <v>40993.057530073274</v>
      </c>
      <c r="L800" s="455">
        <f t="shared" ca="1" si="80"/>
        <v>9879326.8647476602</v>
      </c>
      <c r="M800" s="471">
        <f t="shared" si="82"/>
        <v>0.05</v>
      </c>
      <c r="N800" s="475">
        <f t="shared" si="83"/>
        <v>75393</v>
      </c>
    </row>
    <row r="801" spans="7:14" ht="11.25" customHeight="1" x14ac:dyDescent="0.3">
      <c r="G801" s="470">
        <f t="shared" ref="G801:G811" si="86">G800</f>
        <v>67</v>
      </c>
      <c r="H801" s="470">
        <v>794</v>
      </c>
      <c r="I801" s="455">
        <f t="shared" ca="1" si="81"/>
        <v>9879326.8647476602</v>
      </c>
      <c r="J801" s="455">
        <f t="array" ref="J801">IFERROR(INDEX('Retirement Calculator'!K:K,MATCH('Lorri 401b'!N801,'Retirement Calculator'!A:A,0),0),0)</f>
        <v>16520.094745597391</v>
      </c>
      <c r="K801" s="455">
        <f t="shared" ca="1" si="79"/>
        <v>41095.02820834193</v>
      </c>
      <c r="L801" s="455">
        <f t="shared" ca="1" si="80"/>
        <v>9903901.7982104048</v>
      </c>
      <c r="M801" s="471">
        <f t="shared" si="82"/>
        <v>0.05</v>
      </c>
      <c r="N801" s="475">
        <f t="shared" si="83"/>
        <v>75423</v>
      </c>
    </row>
    <row r="802" spans="7:14" ht="11.25" customHeight="1" x14ac:dyDescent="0.3">
      <c r="G802" s="470">
        <f t="shared" si="86"/>
        <v>67</v>
      </c>
      <c r="H802" s="470">
        <v>795</v>
      </c>
      <c r="I802" s="455">
        <f t="shared" ca="1" si="81"/>
        <v>9903901.7982104048</v>
      </c>
      <c r="J802" s="455">
        <f t="array" ref="J802">IFERROR(INDEX('Retirement Calculator'!K:K,MATCH('Lorri 401b'!N802,'Retirement Calculator'!A:A,0),0),0)</f>
        <v>16520.094745597391</v>
      </c>
      <c r="K802" s="455">
        <f t="shared" ca="1" si="79"/>
        <v>41197.423764436702</v>
      </c>
      <c r="L802" s="455">
        <f t="shared" ca="1" si="80"/>
        <v>9928579.1272292454</v>
      </c>
      <c r="M802" s="471">
        <f t="shared" si="82"/>
        <v>0.05</v>
      </c>
      <c r="N802" s="475">
        <f t="shared" si="83"/>
        <v>75454</v>
      </c>
    </row>
    <row r="803" spans="7:14" ht="11.25" customHeight="1" x14ac:dyDescent="0.3">
      <c r="G803" s="470">
        <f t="shared" si="86"/>
        <v>67</v>
      </c>
      <c r="H803" s="470">
        <v>796</v>
      </c>
      <c r="I803" s="455">
        <f t="shared" ca="1" si="81"/>
        <v>9928579.1272292454</v>
      </c>
      <c r="J803" s="455">
        <f t="array" ref="J803">IFERROR(INDEX('Retirement Calculator'!K:K,MATCH('Lorri 401b'!N803,'Retirement Calculator'!A:A,0),0),0)</f>
        <v>16520.094745597391</v>
      </c>
      <c r="K803" s="455">
        <f t="shared" ca="1" si="79"/>
        <v>41300.245968681869</v>
      </c>
      <c r="L803" s="455">
        <f t="shared" ca="1" si="80"/>
        <v>9953359.2784523312</v>
      </c>
      <c r="M803" s="471">
        <f t="shared" si="82"/>
        <v>0.05</v>
      </c>
      <c r="N803" s="475">
        <f t="shared" si="83"/>
        <v>75485</v>
      </c>
    </row>
    <row r="804" spans="7:14" ht="11.25" customHeight="1" x14ac:dyDescent="0.3">
      <c r="G804" s="470">
        <f t="shared" si="86"/>
        <v>67</v>
      </c>
      <c r="H804" s="470">
        <v>797</v>
      </c>
      <c r="I804" s="455">
        <f t="shared" ca="1" si="81"/>
        <v>9953359.2784523312</v>
      </c>
      <c r="J804" s="455">
        <f t="array" ref="J804">IFERROR(INDEX('Retirement Calculator'!K:K,MATCH('Lorri 401b'!N804,'Retirement Calculator'!A:A,0),0),0)</f>
        <v>16520.094745597391</v>
      </c>
      <c r="K804" s="455">
        <f t="shared" ca="1" si="79"/>
        <v>41403.49659877806</v>
      </c>
      <c r="L804" s="455">
        <f t="shared" ca="1" si="80"/>
        <v>9978242.6803055126</v>
      </c>
      <c r="M804" s="471">
        <f t="shared" si="82"/>
        <v>0.05</v>
      </c>
      <c r="N804" s="475">
        <f t="shared" si="83"/>
        <v>75515</v>
      </c>
    </row>
    <row r="805" spans="7:14" ht="11.25" customHeight="1" x14ac:dyDescent="0.3">
      <c r="G805" s="470">
        <f t="shared" si="86"/>
        <v>67</v>
      </c>
      <c r="H805" s="470">
        <v>798</v>
      </c>
      <c r="I805" s="455">
        <f t="shared" ca="1" si="81"/>
        <v>9978242.6803055126</v>
      </c>
      <c r="J805" s="455">
        <f t="array" ref="J805">IFERROR(INDEX('Retirement Calculator'!K:K,MATCH('Lorri 401b'!N805,'Retirement Calculator'!A:A,0),0),0)</f>
        <v>16520.094745597391</v>
      </c>
      <c r="K805" s="455">
        <f t="shared" ca="1" si="79"/>
        <v>41507.17743983298</v>
      </c>
      <c r="L805" s="455">
        <f t="shared" ca="1" si="80"/>
        <v>10003229.762999749</v>
      </c>
      <c r="M805" s="471">
        <f t="shared" si="82"/>
        <v>0.05</v>
      </c>
      <c r="N805" s="475">
        <f t="shared" si="83"/>
        <v>75546</v>
      </c>
    </row>
    <row r="806" spans="7:14" ht="11.25" customHeight="1" x14ac:dyDescent="0.3">
      <c r="G806" s="470">
        <f t="shared" si="86"/>
        <v>67</v>
      </c>
      <c r="H806" s="470">
        <v>799</v>
      </c>
      <c r="I806" s="455">
        <f t="shared" ca="1" si="81"/>
        <v>10003229.762999749</v>
      </c>
      <c r="J806" s="455">
        <f t="array" ref="J806">IFERROR(INDEX('Retirement Calculator'!K:K,MATCH('Lorri 401b'!N806,'Retirement Calculator'!A:A,0),0),0)</f>
        <v>16520.094745597391</v>
      </c>
      <c r="K806" s="455">
        <f t="shared" ca="1" si="79"/>
        <v>41611.2902843923</v>
      </c>
      <c r="L806" s="455">
        <f t="shared" ca="1" si="80"/>
        <v>10028320.958538543</v>
      </c>
      <c r="M806" s="471">
        <f t="shared" si="82"/>
        <v>0.05</v>
      </c>
      <c r="N806" s="475">
        <f t="shared" si="83"/>
        <v>75576</v>
      </c>
    </row>
    <row r="807" spans="7:14" ht="11.25" customHeight="1" x14ac:dyDescent="0.3">
      <c r="G807" s="470">
        <f t="shared" si="86"/>
        <v>67</v>
      </c>
      <c r="H807" s="470">
        <v>800</v>
      </c>
      <c r="I807" s="455">
        <f t="shared" ca="1" si="81"/>
        <v>10028320.958538543</v>
      </c>
      <c r="J807" s="455">
        <f t="array" ref="J807">IFERROR(INDEX('Retirement Calculator'!K:K,MATCH('Lorri 401b'!N807,'Retirement Calculator'!A:A,0),0),0)</f>
        <v>16520.094745597391</v>
      </c>
      <c r="K807" s="455">
        <f t="shared" ca="1" si="79"/>
        <v>41715.836932470607</v>
      </c>
      <c r="L807" s="455">
        <f t="shared" ca="1" si="80"/>
        <v>10053516.700725418</v>
      </c>
      <c r="M807" s="471">
        <f t="shared" si="82"/>
        <v>0.05</v>
      </c>
      <c r="N807" s="475">
        <f t="shared" si="83"/>
        <v>75607</v>
      </c>
    </row>
    <row r="808" spans="7:14" ht="11.25" customHeight="1" x14ac:dyDescent="0.3">
      <c r="G808" s="470">
        <f t="shared" si="86"/>
        <v>67</v>
      </c>
      <c r="H808" s="470">
        <v>801</v>
      </c>
      <c r="I808" s="455">
        <f t="shared" ca="1" si="81"/>
        <v>10053516.700725418</v>
      </c>
      <c r="J808" s="455">
        <f t="array" ref="J808">IFERROR(INDEX('Retirement Calculator'!K:K,MATCH('Lorri 401b'!N808,'Retirement Calculator'!A:A,0),0),0)</f>
        <v>16520.094745597391</v>
      </c>
      <c r="K808" s="455">
        <f t="shared" ca="1" si="79"/>
        <v>41820.819191582588</v>
      </c>
      <c r="L808" s="455">
        <f t="shared" ca="1" si="80"/>
        <v>10078817.425171403</v>
      </c>
      <c r="M808" s="471">
        <f t="shared" si="82"/>
        <v>0.05</v>
      </c>
      <c r="N808" s="475">
        <f t="shared" si="83"/>
        <v>75638</v>
      </c>
    </row>
    <row r="809" spans="7:14" ht="11.25" customHeight="1" x14ac:dyDescent="0.3">
      <c r="G809" s="470">
        <f t="shared" si="86"/>
        <v>67</v>
      </c>
      <c r="H809" s="470">
        <v>802</v>
      </c>
      <c r="I809" s="455">
        <f t="shared" ca="1" si="81"/>
        <v>10078817.425171403</v>
      </c>
      <c r="J809" s="455">
        <f t="array" ref="J809">IFERROR(INDEX('Retirement Calculator'!K:K,MATCH('Lorri 401b'!N809,'Retirement Calculator'!A:A,0),0),0)</f>
        <v>16520.094745597391</v>
      </c>
      <c r="K809" s="455">
        <f t="shared" ca="1" si="79"/>
        <v>41926.238876774194</v>
      </c>
      <c r="L809" s="455">
        <f t="shared" ca="1" si="80"/>
        <v>10104223.569302581</v>
      </c>
      <c r="M809" s="471">
        <f t="shared" si="82"/>
        <v>0.05</v>
      </c>
      <c r="N809" s="475">
        <f t="shared" si="83"/>
        <v>75666</v>
      </c>
    </row>
    <row r="810" spans="7:14" ht="11.25" customHeight="1" x14ac:dyDescent="0.3">
      <c r="G810" s="470">
        <f t="shared" si="86"/>
        <v>67</v>
      </c>
      <c r="H810" s="470">
        <v>803</v>
      </c>
      <c r="I810" s="455">
        <f t="shared" ca="1" si="81"/>
        <v>10104223.569302581</v>
      </c>
      <c r="J810" s="455">
        <f t="array" ref="J810">IFERROR(INDEX('Retirement Calculator'!K:K,MATCH('Lorri 401b'!N810,'Retirement Calculator'!A:A,0),0),0)</f>
        <v>16520.094745597391</v>
      </c>
      <c r="K810" s="455">
        <f t="shared" ca="1" si="79"/>
        <v>42032.097810654101</v>
      </c>
      <c r="L810" s="455">
        <f t="shared" ca="1" si="80"/>
        <v>10129735.572367638</v>
      </c>
      <c r="M810" s="471">
        <f t="shared" si="82"/>
        <v>0.05</v>
      </c>
      <c r="N810" s="475">
        <f t="shared" si="83"/>
        <v>75697</v>
      </c>
    </row>
    <row r="811" spans="7:14" ht="11.25" customHeight="1" x14ac:dyDescent="0.3">
      <c r="G811" s="470">
        <f t="shared" si="86"/>
        <v>67</v>
      </c>
      <c r="H811" s="470">
        <v>804</v>
      </c>
      <c r="I811" s="455">
        <f t="shared" ca="1" si="81"/>
        <v>10129735.572367638</v>
      </c>
      <c r="J811" s="455">
        <f t="array" ref="J811">IFERROR(INDEX('Retirement Calculator'!K:K,MATCH('Lorri 401b'!N811,'Retirement Calculator'!A:A,0),0),0)</f>
        <v>16520.094745597391</v>
      </c>
      <c r="K811" s="455">
        <f t="shared" ca="1" si="79"/>
        <v>42138.39782342517</v>
      </c>
      <c r="L811" s="455">
        <f t="shared" ca="1" si="80"/>
        <v>10155353.875445466</v>
      </c>
      <c r="M811" s="471">
        <f t="shared" si="82"/>
        <v>0.05</v>
      </c>
      <c r="N811" s="475">
        <f t="shared" si="83"/>
        <v>75727</v>
      </c>
    </row>
    <row r="812" spans="7:14" ht="11.25" customHeight="1" x14ac:dyDescent="0.3">
      <c r="G812" s="470">
        <f>G811+1</f>
        <v>68</v>
      </c>
      <c r="H812" s="470">
        <v>805</v>
      </c>
      <c r="I812" s="455">
        <f t="shared" ca="1" si="81"/>
        <v>10155353.875445466</v>
      </c>
      <c r="J812" s="455">
        <f t="array" ref="J812">IFERROR(INDEX('Retirement Calculator'!K:K,MATCH('Lorri 401b'!N812,'Retirement Calculator'!A:A,0),0),0)</f>
        <v>16520.094745597391</v>
      </c>
      <c r="K812" s="455">
        <f t="shared" ca="1" si="79"/>
        <v>42245.140752916122</v>
      </c>
      <c r="L812" s="455">
        <f t="shared" ca="1" si="80"/>
        <v>10181078.921452785</v>
      </c>
      <c r="M812" s="471">
        <f t="shared" si="82"/>
        <v>0.05</v>
      </c>
      <c r="N812" s="475">
        <f t="shared" si="83"/>
        <v>75758</v>
      </c>
    </row>
    <row r="813" spans="7:14" ht="11.25" customHeight="1" x14ac:dyDescent="0.3">
      <c r="G813" s="470">
        <f t="shared" ref="G813:G823" si="87">G812</f>
        <v>68</v>
      </c>
      <c r="H813" s="470">
        <v>806</v>
      </c>
      <c r="I813" s="455">
        <f t="shared" ca="1" si="81"/>
        <v>10181078.921452785</v>
      </c>
      <c r="J813" s="455">
        <f t="array" ref="J813">IFERROR(INDEX('Retirement Calculator'!K:K,MATCH('Lorri 401b'!N813,'Retirement Calculator'!A:A,0),0),0)</f>
        <v>16520.094745597391</v>
      </c>
      <c r="K813" s="455">
        <f t="shared" ca="1" si="79"/>
        <v>42352.328444613282</v>
      </c>
      <c r="L813" s="455">
        <f t="shared" ca="1" si="80"/>
        <v>10206911.155151801</v>
      </c>
      <c r="M813" s="471">
        <f t="shared" si="82"/>
        <v>0.05</v>
      </c>
      <c r="N813" s="475">
        <f t="shared" si="83"/>
        <v>75788</v>
      </c>
    </row>
    <row r="814" spans="7:14" ht="11.25" customHeight="1" x14ac:dyDescent="0.3">
      <c r="G814" s="470">
        <f t="shared" si="87"/>
        <v>68</v>
      </c>
      <c r="H814" s="470">
        <v>807</v>
      </c>
      <c r="I814" s="455">
        <f t="shared" ca="1" si="81"/>
        <v>10206911.155151801</v>
      </c>
      <c r="J814" s="455">
        <f t="array" ref="J814">IFERROR(INDEX('Retirement Calculator'!K:K,MATCH('Lorri 401b'!N814,'Retirement Calculator'!A:A,0),0),0)</f>
        <v>16520.094745597391</v>
      </c>
      <c r="K814" s="455">
        <f t="shared" ca="1" si="79"/>
        <v>42459.962751692517</v>
      </c>
      <c r="L814" s="455">
        <f t="shared" ca="1" si="80"/>
        <v>10232851.023157896</v>
      </c>
      <c r="M814" s="471">
        <f t="shared" si="82"/>
        <v>0.05</v>
      </c>
      <c r="N814" s="475">
        <f t="shared" si="83"/>
        <v>75819</v>
      </c>
    </row>
    <row r="815" spans="7:14" ht="11.25" customHeight="1" x14ac:dyDescent="0.3">
      <c r="G815" s="470">
        <f t="shared" si="87"/>
        <v>68</v>
      </c>
      <c r="H815" s="470">
        <v>808</v>
      </c>
      <c r="I815" s="455">
        <f t="shared" ca="1" si="81"/>
        <v>10232851.023157896</v>
      </c>
      <c r="J815" s="455">
        <f t="array" ref="J815">IFERROR(INDEX('Retirement Calculator'!K:K,MATCH('Lorri 401b'!N815,'Retirement Calculator'!A:A,0),0),0)</f>
        <v>16520.094745597391</v>
      </c>
      <c r="K815" s="455">
        <f t="shared" ca="1" si="79"/>
        <v>42568.045535051249</v>
      </c>
      <c r="L815" s="455">
        <f t="shared" ca="1" si="80"/>
        <v>10258898.97394735</v>
      </c>
      <c r="M815" s="471">
        <f t="shared" si="82"/>
        <v>0.05</v>
      </c>
      <c r="N815" s="475">
        <f t="shared" si="83"/>
        <v>75850</v>
      </c>
    </row>
    <row r="816" spans="7:14" ht="11.25" customHeight="1" x14ac:dyDescent="0.3">
      <c r="G816" s="470">
        <f t="shared" si="87"/>
        <v>68</v>
      </c>
      <c r="H816" s="470">
        <v>809</v>
      </c>
      <c r="I816" s="455">
        <f t="shared" ca="1" si="81"/>
        <v>10258898.97394735</v>
      </c>
      <c r="J816" s="455">
        <f t="array" ref="J816">IFERROR(INDEX('Retirement Calculator'!K:K,MATCH('Lorri 401b'!N816,'Retirement Calculator'!A:A,0),0),0)</f>
        <v>16520.094745597391</v>
      </c>
      <c r="K816" s="455">
        <f t="shared" ca="1" si="79"/>
        <v>42676.578663340639</v>
      </c>
      <c r="L816" s="455">
        <f t="shared" ca="1" si="80"/>
        <v>10285055.457865093</v>
      </c>
      <c r="M816" s="471">
        <f t="shared" si="82"/>
        <v>0.05</v>
      </c>
      <c r="N816" s="475">
        <f t="shared" si="83"/>
        <v>75880</v>
      </c>
    </row>
    <row r="817" spans="7:14" ht="11.25" customHeight="1" x14ac:dyDescent="0.3">
      <c r="G817" s="470">
        <f t="shared" si="87"/>
        <v>68</v>
      </c>
      <c r="H817" s="470">
        <v>810</v>
      </c>
      <c r="I817" s="455">
        <f t="shared" ca="1" si="81"/>
        <v>10285055.457865093</v>
      </c>
      <c r="J817" s="455">
        <f t="array" ref="J817">IFERROR(INDEX('Retirement Calculator'!K:K,MATCH('Lorri 401b'!N817,'Retirement Calculator'!A:A,0),0),0)</f>
        <v>16520.094745597391</v>
      </c>
      <c r="K817" s="455">
        <f t="shared" ca="1" si="79"/>
        <v>42785.5640129979</v>
      </c>
      <c r="L817" s="455">
        <f t="shared" ca="1" si="80"/>
        <v>10311320.927132495</v>
      </c>
      <c r="M817" s="471">
        <f t="shared" si="82"/>
        <v>0.05</v>
      </c>
      <c r="N817" s="475">
        <f t="shared" si="83"/>
        <v>75911</v>
      </c>
    </row>
    <row r="818" spans="7:14" ht="11.25" customHeight="1" x14ac:dyDescent="0.3">
      <c r="G818" s="470">
        <f t="shared" si="87"/>
        <v>68</v>
      </c>
      <c r="H818" s="470">
        <v>811</v>
      </c>
      <c r="I818" s="455">
        <f t="shared" ca="1" si="81"/>
        <v>10311320.927132495</v>
      </c>
      <c r="J818" s="455">
        <f t="array" ref="J818">IFERROR(INDEX('Retirement Calculator'!K:K,MATCH('Lorri 401b'!N818,'Retirement Calculator'!A:A,0),0),0)</f>
        <v>16520.094745597391</v>
      </c>
      <c r="K818" s="455">
        <f t="shared" ca="1" si="79"/>
        <v>42895.003468278737</v>
      </c>
      <c r="L818" s="455">
        <f t="shared" ca="1" si="80"/>
        <v>10337695.835855177</v>
      </c>
      <c r="M818" s="471">
        <f t="shared" si="82"/>
        <v>0.05</v>
      </c>
      <c r="N818" s="475">
        <f t="shared" si="83"/>
        <v>75941</v>
      </c>
    </row>
    <row r="819" spans="7:14" ht="11.25" customHeight="1" x14ac:dyDescent="0.3">
      <c r="G819" s="470">
        <f t="shared" si="87"/>
        <v>68</v>
      </c>
      <c r="H819" s="470">
        <v>812</v>
      </c>
      <c r="I819" s="455">
        <f t="shared" ca="1" si="81"/>
        <v>10337695.835855177</v>
      </c>
      <c r="J819" s="455">
        <f t="array" ref="J819">IFERROR(INDEX('Retirement Calculator'!K:K,MATCH('Lorri 401b'!N819,'Retirement Calculator'!A:A,0),0),0)</f>
        <v>16520.094745597391</v>
      </c>
      <c r="K819" s="455">
        <f t="shared" ca="1" si="79"/>
        <v>43004.898921289918</v>
      </c>
      <c r="L819" s="455">
        <f t="shared" ca="1" si="80"/>
        <v>10364180.64003087</v>
      </c>
      <c r="M819" s="471">
        <f t="shared" si="82"/>
        <v>0.05</v>
      </c>
      <c r="N819" s="475">
        <f t="shared" si="83"/>
        <v>75972</v>
      </c>
    </row>
    <row r="820" spans="7:14" ht="11.25" customHeight="1" x14ac:dyDescent="0.3">
      <c r="G820" s="470">
        <f t="shared" si="87"/>
        <v>68</v>
      </c>
      <c r="H820" s="470">
        <v>813</v>
      </c>
      <c r="I820" s="455">
        <f t="shared" ca="1" si="81"/>
        <v>10364180.64003087</v>
      </c>
      <c r="J820" s="455">
        <f t="array" ref="J820">IFERROR(INDEX('Retirement Calculator'!K:K,MATCH('Lorri 401b'!N820,'Retirement Calculator'!A:A,0),0),0)</f>
        <v>16520.094745597391</v>
      </c>
      <c r="K820" s="455">
        <f t="shared" ca="1" si="79"/>
        <v>43115.252272021971</v>
      </c>
      <c r="L820" s="455">
        <f t="shared" ca="1" si="80"/>
        <v>10390775.797557296</v>
      </c>
      <c r="M820" s="471">
        <f t="shared" si="82"/>
        <v>0.05</v>
      </c>
      <c r="N820" s="475">
        <f t="shared" si="83"/>
        <v>76003</v>
      </c>
    </row>
    <row r="821" spans="7:14" ht="11.25" customHeight="1" x14ac:dyDescent="0.3">
      <c r="G821" s="470">
        <f t="shared" si="87"/>
        <v>68</v>
      </c>
      <c r="H821" s="470">
        <v>814</v>
      </c>
      <c r="I821" s="455">
        <f t="shared" ca="1" si="81"/>
        <v>10390775.797557296</v>
      </c>
      <c r="J821" s="455">
        <f t="array" ref="J821">IFERROR(INDEX('Retirement Calculator'!K:K,MATCH('Lorri 401b'!N821,'Retirement Calculator'!A:A,0),0),0)</f>
        <v>16520.094745597391</v>
      </c>
      <c r="K821" s="455">
        <f t="shared" ca="1" si="79"/>
        <v>43226.065428382077</v>
      </c>
      <c r="L821" s="455">
        <f t="shared" ca="1" si="80"/>
        <v>10417481.768240081</v>
      </c>
      <c r="M821" s="471">
        <f t="shared" si="82"/>
        <v>0.05</v>
      </c>
      <c r="N821" s="475">
        <f t="shared" si="83"/>
        <v>76032</v>
      </c>
    </row>
    <row r="822" spans="7:14" ht="11.25" customHeight="1" x14ac:dyDescent="0.3">
      <c r="G822" s="470">
        <f t="shared" si="87"/>
        <v>68</v>
      </c>
      <c r="H822" s="470">
        <v>815</v>
      </c>
      <c r="I822" s="455">
        <f t="shared" ca="1" si="81"/>
        <v>10417481.768240081</v>
      </c>
      <c r="J822" s="455">
        <f t="array" ref="J822">IFERROR(INDEX('Retirement Calculator'!K:K,MATCH('Lorri 401b'!N822,'Retirement Calculator'!A:A,0),0),0)</f>
        <v>16520.094745597391</v>
      </c>
      <c r="K822" s="455">
        <f t="shared" ca="1" si="79"/>
        <v>43337.340306227015</v>
      </c>
      <c r="L822" s="455">
        <f t="shared" ca="1" si="80"/>
        <v>10444299.01380071</v>
      </c>
      <c r="M822" s="471">
        <f t="shared" si="82"/>
        <v>0.05</v>
      </c>
      <c r="N822" s="475">
        <f t="shared" si="83"/>
        <v>76063</v>
      </c>
    </row>
    <row r="823" spans="7:14" ht="11.25" customHeight="1" x14ac:dyDescent="0.3">
      <c r="G823" s="470">
        <f t="shared" si="87"/>
        <v>68</v>
      </c>
      <c r="H823" s="470">
        <v>816</v>
      </c>
      <c r="I823" s="455">
        <f t="shared" ca="1" si="81"/>
        <v>10444299.01380071</v>
      </c>
      <c r="J823" s="455">
        <f t="array" ref="J823">IFERROR(INDEX('Retirement Calculator'!K:K,MATCH('Lorri 401b'!N823,'Retirement Calculator'!A:A,0),0),0)</f>
        <v>16520.094745597391</v>
      </c>
      <c r="K823" s="455">
        <f t="shared" ca="1" si="79"/>
        <v>43449.078829396305</v>
      </c>
      <c r="L823" s="455">
        <f t="shared" ca="1" si="80"/>
        <v>10471227.99788451</v>
      </c>
      <c r="M823" s="471">
        <f t="shared" si="82"/>
        <v>0.05</v>
      </c>
      <c r="N823" s="475">
        <f t="shared" si="83"/>
        <v>76093</v>
      </c>
    </row>
    <row r="824" spans="7:14" ht="11.25" customHeight="1" x14ac:dyDescent="0.3">
      <c r="G824" s="470">
        <f>G823+1</f>
        <v>69</v>
      </c>
      <c r="H824" s="470">
        <v>817</v>
      </c>
      <c r="I824" s="455">
        <f t="shared" ca="1" si="81"/>
        <v>10471227.99788451</v>
      </c>
      <c r="J824" s="455">
        <f t="array" ref="J824">IFERROR(INDEX('Retirement Calculator'!K:K,MATCH('Lorri 401b'!N824,'Retirement Calculator'!A:A,0),0),0)</f>
        <v>16520.094745597391</v>
      </c>
      <c r="K824" s="455">
        <f t="shared" ca="1" si="79"/>
        <v>43561.282929745474</v>
      </c>
      <c r="L824" s="455">
        <f t="shared" ca="1" si="80"/>
        <v>10498269.186068658</v>
      </c>
      <c r="M824" s="471">
        <f t="shared" si="82"/>
        <v>0.05</v>
      </c>
      <c r="N824" s="475">
        <f t="shared" si="83"/>
        <v>76124</v>
      </c>
    </row>
    <row r="825" spans="7:14" ht="11.25" customHeight="1" x14ac:dyDescent="0.3">
      <c r="G825" s="470">
        <f t="shared" ref="G825:G835" si="88">G824</f>
        <v>69</v>
      </c>
      <c r="H825" s="470">
        <v>818</v>
      </c>
      <c r="I825" s="455">
        <f t="shared" ca="1" si="81"/>
        <v>10498269.186068658</v>
      </c>
      <c r="J825" s="455">
        <f t="array" ref="J825">IFERROR(INDEX('Retirement Calculator'!K:K,MATCH('Lorri 401b'!N825,'Retirement Calculator'!A:A,0),0),0)</f>
        <v>16520.094745597391</v>
      </c>
      <c r="K825" s="455">
        <f t="shared" ca="1" si="79"/>
        <v>43673.954547179419</v>
      </c>
      <c r="L825" s="455">
        <f t="shared" ca="1" si="80"/>
        <v>10525423.045870241</v>
      </c>
      <c r="M825" s="471">
        <f t="shared" si="82"/>
        <v>0.05</v>
      </c>
      <c r="N825" s="475">
        <f t="shared" si="83"/>
        <v>76154</v>
      </c>
    </row>
    <row r="826" spans="7:14" ht="11.25" customHeight="1" x14ac:dyDescent="0.3">
      <c r="G826" s="470">
        <f t="shared" si="88"/>
        <v>69</v>
      </c>
      <c r="H826" s="470">
        <v>819</v>
      </c>
      <c r="I826" s="455">
        <f t="shared" ca="1" si="81"/>
        <v>10525423.045870241</v>
      </c>
      <c r="J826" s="455">
        <f t="array" ref="J826">IFERROR(INDEX('Retirement Calculator'!K:K,MATCH('Lorri 401b'!N826,'Retirement Calculator'!A:A,0),0),0)</f>
        <v>16520.094745597391</v>
      </c>
      <c r="K826" s="455">
        <f t="shared" ca="1" si="79"/>
        <v>43787.095629686017</v>
      </c>
      <c r="L826" s="455">
        <f t="shared" ca="1" si="80"/>
        <v>10552690.04675433</v>
      </c>
      <c r="M826" s="471">
        <f t="shared" si="82"/>
        <v>0.05</v>
      </c>
      <c r="N826" s="475">
        <f t="shared" si="83"/>
        <v>76185</v>
      </c>
    </row>
    <row r="827" spans="7:14" ht="11.25" customHeight="1" x14ac:dyDescent="0.3">
      <c r="G827" s="470">
        <f t="shared" si="88"/>
        <v>69</v>
      </c>
      <c r="H827" s="470">
        <v>820</v>
      </c>
      <c r="I827" s="455">
        <f t="shared" ca="1" si="81"/>
        <v>10552690.04675433</v>
      </c>
      <c r="J827" s="455">
        <f t="array" ref="J827">IFERROR(INDEX('Retirement Calculator'!K:K,MATCH('Lorri 401b'!N827,'Retirement Calculator'!A:A,0),0),0)</f>
        <v>16520.094745597391</v>
      </c>
      <c r="K827" s="455">
        <f t="shared" ca="1" si="79"/>
        <v>43900.708133369721</v>
      </c>
      <c r="L827" s="455">
        <f t="shared" ca="1" si="80"/>
        <v>10580070.660142103</v>
      </c>
      <c r="M827" s="471">
        <f t="shared" si="82"/>
        <v>0.05</v>
      </c>
      <c r="N827" s="475">
        <f t="shared" si="83"/>
        <v>76216</v>
      </c>
    </row>
    <row r="828" spans="7:14" ht="11.25" customHeight="1" x14ac:dyDescent="0.3">
      <c r="G828" s="470">
        <f t="shared" si="88"/>
        <v>69</v>
      </c>
      <c r="H828" s="470">
        <v>821</v>
      </c>
      <c r="I828" s="455">
        <f t="shared" ca="1" si="81"/>
        <v>10580070.660142103</v>
      </c>
      <c r="J828" s="455">
        <f t="array" ref="J828">IFERROR(INDEX('Retirement Calculator'!K:K,MATCH('Lorri 401b'!N828,'Retirement Calculator'!A:A,0),0),0)</f>
        <v>16520.094745597391</v>
      </c>
      <c r="K828" s="455">
        <f t="shared" ca="1" si="79"/>
        <v>44014.794022485439</v>
      </c>
      <c r="L828" s="455">
        <f t="shared" ca="1" si="80"/>
        <v>10607565.359418992</v>
      </c>
      <c r="M828" s="471">
        <f t="shared" si="82"/>
        <v>0.05</v>
      </c>
      <c r="N828" s="475">
        <f t="shared" si="83"/>
        <v>76246</v>
      </c>
    </row>
    <row r="829" spans="7:14" ht="11.25" customHeight="1" x14ac:dyDescent="0.3">
      <c r="G829" s="470">
        <f t="shared" si="88"/>
        <v>69</v>
      </c>
      <c r="H829" s="470">
        <v>822</v>
      </c>
      <c r="I829" s="455">
        <f t="shared" ca="1" si="81"/>
        <v>10607565.359418992</v>
      </c>
      <c r="J829" s="455">
        <f t="array" ref="J829">IFERROR(INDEX('Retirement Calculator'!K:K,MATCH('Lorri 401b'!N829,'Retirement Calculator'!A:A,0),0),0)</f>
        <v>16520.094745597391</v>
      </c>
      <c r="K829" s="455">
        <f t="shared" ca="1" si="79"/>
        <v>44129.355269472479</v>
      </c>
      <c r="L829" s="455">
        <f t="shared" ca="1" si="80"/>
        <v>10635174.619942868</v>
      </c>
      <c r="M829" s="471">
        <f t="shared" si="82"/>
        <v>0.05</v>
      </c>
      <c r="N829" s="475">
        <f t="shared" si="83"/>
        <v>76277</v>
      </c>
    </row>
    <row r="830" spans="7:14" ht="11.25" customHeight="1" x14ac:dyDescent="0.3">
      <c r="G830" s="470">
        <f t="shared" si="88"/>
        <v>69</v>
      </c>
      <c r="H830" s="470">
        <v>823</v>
      </c>
      <c r="I830" s="455">
        <f t="shared" ca="1" si="81"/>
        <v>10635174.619942868</v>
      </c>
      <c r="J830" s="455">
        <f t="array" ref="J830">IFERROR(INDEX('Retirement Calculator'!K:K,MATCH('Lorri 401b'!N830,'Retirement Calculator'!A:A,0),0),0)</f>
        <v>16520.094745597391</v>
      </c>
      <c r="K830" s="455">
        <f t="shared" ca="1" si="79"/>
        <v>44244.39385498863</v>
      </c>
      <c r="L830" s="455">
        <f t="shared" ca="1" si="80"/>
        <v>10662898.91905226</v>
      </c>
      <c r="M830" s="471">
        <f t="shared" si="82"/>
        <v>0.05</v>
      </c>
      <c r="N830" s="475">
        <f t="shared" si="83"/>
        <v>76307</v>
      </c>
    </row>
    <row r="831" spans="7:14" ht="11.25" customHeight="1" x14ac:dyDescent="0.3">
      <c r="G831" s="470">
        <f t="shared" si="88"/>
        <v>69</v>
      </c>
      <c r="H831" s="470">
        <v>824</v>
      </c>
      <c r="I831" s="455">
        <f t="shared" ca="1" si="81"/>
        <v>10662898.91905226</v>
      </c>
      <c r="J831" s="455">
        <f t="array" ref="J831">IFERROR(INDEX('Retirement Calculator'!K:K,MATCH('Lorri 401b'!N831,'Retirement Calculator'!A:A,0),0),0)</f>
        <v>16520.094745597391</v>
      </c>
      <c r="K831" s="455">
        <f t="shared" ca="1" si="79"/>
        <v>44359.911767944432</v>
      </c>
      <c r="L831" s="455">
        <f t="shared" ca="1" si="80"/>
        <v>10690738.736074608</v>
      </c>
      <c r="M831" s="471">
        <f t="shared" si="82"/>
        <v>0.05</v>
      </c>
      <c r="N831" s="475">
        <f t="shared" si="83"/>
        <v>76338</v>
      </c>
    </row>
    <row r="832" spans="7:14" ht="11.25" customHeight="1" x14ac:dyDescent="0.3">
      <c r="G832" s="470">
        <f t="shared" si="88"/>
        <v>69</v>
      </c>
      <c r="H832" s="470">
        <v>825</v>
      </c>
      <c r="I832" s="455">
        <f t="shared" ca="1" si="81"/>
        <v>10690738.736074608</v>
      </c>
      <c r="J832" s="455">
        <f t="array" ref="J832">IFERROR(INDEX('Retirement Calculator'!K:K,MATCH('Lorri 401b'!N832,'Retirement Calculator'!A:A,0),0),0)</f>
        <v>16520.094745597391</v>
      </c>
      <c r="K832" s="455">
        <f t="shared" ca="1" si="79"/>
        <v>44475.911005537542</v>
      </c>
      <c r="L832" s="455">
        <f t="shared" ca="1" si="80"/>
        <v>10718694.552334549</v>
      </c>
      <c r="M832" s="471">
        <f t="shared" si="82"/>
        <v>0.05</v>
      </c>
      <c r="N832" s="475">
        <f t="shared" si="83"/>
        <v>76369</v>
      </c>
    </row>
    <row r="833" spans="7:14" ht="11.25" customHeight="1" x14ac:dyDescent="0.3">
      <c r="G833" s="470">
        <f t="shared" si="88"/>
        <v>69</v>
      </c>
      <c r="H833" s="470">
        <v>826</v>
      </c>
      <c r="I833" s="455">
        <f t="shared" ca="1" si="81"/>
        <v>10718694.552334549</v>
      </c>
      <c r="J833" s="455">
        <f t="array" ref="J833">IFERROR(INDEX('Retirement Calculator'!K:K,MATCH('Lorri 401b'!N833,'Retirement Calculator'!A:A,0),0),0)</f>
        <v>16520.094745597391</v>
      </c>
      <c r="K833" s="455">
        <f t="shared" ca="1" si="79"/>
        <v>44592.3935732873</v>
      </c>
      <c r="L833" s="455">
        <f t="shared" ca="1" si="80"/>
        <v>10746766.85116224</v>
      </c>
      <c r="M833" s="471">
        <f t="shared" si="82"/>
        <v>0.05</v>
      </c>
      <c r="N833" s="475">
        <f t="shared" si="83"/>
        <v>76397</v>
      </c>
    </row>
    <row r="834" spans="7:14" ht="11.25" customHeight="1" x14ac:dyDescent="0.3">
      <c r="G834" s="470">
        <f t="shared" si="88"/>
        <v>69</v>
      </c>
      <c r="H834" s="470">
        <v>827</v>
      </c>
      <c r="I834" s="455">
        <f t="shared" ca="1" si="81"/>
        <v>10746766.85116224</v>
      </c>
      <c r="J834" s="455">
        <f t="array" ref="J834">IFERROR(INDEX('Retirement Calculator'!K:K,MATCH('Lorri 401b'!N834,'Retirement Calculator'!A:A,0),0),0)</f>
        <v>16520.094745597391</v>
      </c>
      <c r="K834" s="455">
        <f t="shared" ca="1" si="79"/>
        <v>44709.361485069348</v>
      </c>
      <c r="L834" s="455">
        <f t="shared" ca="1" si="80"/>
        <v>10774956.117901713</v>
      </c>
      <c r="M834" s="471">
        <f t="shared" si="82"/>
        <v>0.05</v>
      </c>
      <c r="N834" s="475">
        <f t="shared" si="83"/>
        <v>76428</v>
      </c>
    </row>
    <row r="835" spans="7:14" ht="11.25" customHeight="1" x14ac:dyDescent="0.3">
      <c r="G835" s="470">
        <f t="shared" si="88"/>
        <v>69</v>
      </c>
      <c r="H835" s="470">
        <v>828</v>
      </c>
      <c r="I835" s="455">
        <f t="shared" ca="1" si="81"/>
        <v>10774956.117901713</v>
      </c>
      <c r="J835" s="455">
        <f t="array" ref="J835">IFERROR(INDEX('Retirement Calculator'!K:K,MATCH('Lorri 401b'!N835,'Retirement Calculator'!A:A,0),0),0)</f>
        <v>16520.094745597391</v>
      </c>
      <c r="K835" s="455">
        <f t="shared" ca="1" si="79"/>
        <v>44826.816763150484</v>
      </c>
      <c r="L835" s="455">
        <f t="shared" ca="1" si="80"/>
        <v>10803262.839919265</v>
      </c>
      <c r="M835" s="471">
        <f t="shared" si="82"/>
        <v>0.05</v>
      </c>
      <c r="N835" s="475">
        <f t="shared" si="83"/>
        <v>76458</v>
      </c>
    </row>
    <row r="836" spans="7:14" ht="11.25" customHeight="1" x14ac:dyDescent="0.3">
      <c r="G836" s="470">
        <f>G835+1</f>
        <v>70</v>
      </c>
      <c r="H836" s="470">
        <v>829</v>
      </c>
      <c r="I836" s="455">
        <f t="shared" ca="1" si="81"/>
        <v>10803262.839919265</v>
      </c>
      <c r="J836" s="455">
        <f t="array" ref="J836">IFERROR(INDEX('Retirement Calculator'!K:K,MATCH('Lorri 401b'!N836,'Retirement Calculator'!A:A,0),0),0)</f>
        <v>16520.094745597391</v>
      </c>
      <c r="K836" s="455">
        <f t="shared" ca="1" si="79"/>
        <v>44944.761438223621</v>
      </c>
      <c r="L836" s="455">
        <f t="shared" ca="1" si="80"/>
        <v>10831687.506611893</v>
      </c>
      <c r="M836" s="471">
        <f t="shared" si="82"/>
        <v>0.05</v>
      </c>
      <c r="N836" s="475">
        <f t="shared" si="83"/>
        <v>76489</v>
      </c>
    </row>
    <row r="837" spans="7:14" ht="11.25" customHeight="1" x14ac:dyDescent="0.3">
      <c r="G837" s="470">
        <f t="shared" ref="G837:G847" si="89">G836</f>
        <v>70</v>
      </c>
      <c r="H837" s="470">
        <v>830</v>
      </c>
      <c r="I837" s="455">
        <f t="shared" ca="1" si="81"/>
        <v>10831687.506611893</v>
      </c>
      <c r="J837" s="455">
        <f t="array" ref="J837">IFERROR(INDEX('Retirement Calculator'!K:K,MATCH('Lorri 401b'!N837,'Retirement Calculator'!A:A,0),0),0)</f>
        <v>16520.094745597391</v>
      </c>
      <c r="K837" s="455">
        <f t="shared" ca="1" si="79"/>
        <v>45063.197549442899</v>
      </c>
      <c r="L837" s="455">
        <f t="shared" ca="1" si="80"/>
        <v>10860230.60941574</v>
      </c>
      <c r="M837" s="471">
        <f t="shared" si="82"/>
        <v>0.05</v>
      </c>
      <c r="N837" s="475">
        <f t="shared" si="83"/>
        <v>76519</v>
      </c>
    </row>
    <row r="838" spans="7:14" ht="11.25" customHeight="1" x14ac:dyDescent="0.3">
      <c r="G838" s="470">
        <f t="shared" si="89"/>
        <v>70</v>
      </c>
      <c r="H838" s="470">
        <v>831</v>
      </c>
      <c r="I838" s="455">
        <f t="shared" ca="1" si="81"/>
        <v>10860230.60941574</v>
      </c>
      <c r="J838" s="455">
        <f t="array" ref="J838">IFERROR(INDEX('Retirement Calculator'!K:K,MATCH('Lorri 401b'!N838,'Retirement Calculator'!A:A,0),0),0)</f>
        <v>16520.094745597391</v>
      </c>
      <c r="K838" s="455">
        <f t="shared" ca="1" si="79"/>
        <v>45182.127144458929</v>
      </c>
      <c r="L838" s="455">
        <f t="shared" ca="1" si="80"/>
        <v>10888892.641814603</v>
      </c>
      <c r="M838" s="471">
        <f t="shared" si="82"/>
        <v>0.05</v>
      </c>
      <c r="N838" s="475">
        <f t="shared" si="83"/>
        <v>76550</v>
      </c>
    </row>
    <row r="839" spans="7:14" ht="11.25" customHeight="1" x14ac:dyDescent="0.3">
      <c r="G839" s="470">
        <f t="shared" si="89"/>
        <v>70</v>
      </c>
      <c r="H839" s="470">
        <v>832</v>
      </c>
      <c r="I839" s="455">
        <f t="shared" ca="1" si="81"/>
        <v>10888892.641814603</v>
      </c>
      <c r="J839" s="455">
        <f t="array" ref="J839">IFERROR(INDEX('Retirement Calculator'!K:K,MATCH('Lorri 401b'!N839,'Retirement Calculator'!A:A,0),0),0)</f>
        <v>16520.094745597391</v>
      </c>
      <c r="K839" s="455">
        <f t="shared" ca="1" si="79"/>
        <v>45301.55227945419</v>
      </c>
      <c r="L839" s="455">
        <f t="shared" ca="1" si="80"/>
        <v>10917674.099348459</v>
      </c>
      <c r="M839" s="471">
        <f t="shared" si="82"/>
        <v>0.05</v>
      </c>
      <c r="N839" s="475">
        <f t="shared" si="83"/>
        <v>76581</v>
      </c>
    </row>
    <row r="840" spans="7:14" ht="11.25" customHeight="1" x14ac:dyDescent="0.3">
      <c r="G840" s="470">
        <f t="shared" si="89"/>
        <v>70</v>
      </c>
      <c r="H840" s="470">
        <v>833</v>
      </c>
      <c r="I840" s="455">
        <f t="shared" ca="1" si="81"/>
        <v>10917674.099348459</v>
      </c>
      <c r="J840" s="455">
        <f t="array" ref="J840">IFERROR(INDEX('Retirement Calculator'!K:K,MATCH('Lorri 401b'!N840,'Retirement Calculator'!A:A,0),0),0)</f>
        <v>16520.094745597391</v>
      </c>
      <c r="K840" s="455">
        <f t="shared" ca="1" si="79"/>
        <v>45421.475019178593</v>
      </c>
      <c r="L840" s="455">
        <f t="shared" ca="1" si="80"/>
        <v>10946575.479622042</v>
      </c>
      <c r="M840" s="471">
        <f t="shared" si="82"/>
        <v>0.05</v>
      </c>
      <c r="N840" s="475">
        <f t="shared" si="83"/>
        <v>76611</v>
      </c>
    </row>
    <row r="841" spans="7:14" ht="11.25" customHeight="1" x14ac:dyDescent="0.3">
      <c r="G841" s="470">
        <f t="shared" si="89"/>
        <v>70</v>
      </c>
      <c r="H841" s="470">
        <v>834</v>
      </c>
      <c r="I841" s="455">
        <f t="shared" ca="1" si="81"/>
        <v>10946575.479622042</v>
      </c>
      <c r="J841" s="455">
        <f t="array" ref="J841">IFERROR(INDEX('Retirement Calculator'!K:K,MATCH('Lorri 401b'!N841,'Retirement Calculator'!A:A,0),0),0)</f>
        <v>16520.094745597391</v>
      </c>
      <c r="K841" s="455">
        <f t="shared" ca="1" si="79"/>
        <v>45541.897436985186</v>
      </c>
      <c r="L841" s="455">
        <f t="shared" ca="1" si="80"/>
        <v>10975597.282313431</v>
      </c>
      <c r="M841" s="471">
        <f t="shared" si="82"/>
        <v>0.05</v>
      </c>
      <c r="N841" s="475">
        <f t="shared" si="83"/>
        <v>76642</v>
      </c>
    </row>
    <row r="842" spans="7:14" ht="11.25" customHeight="1" x14ac:dyDescent="0.3">
      <c r="G842" s="470">
        <f t="shared" si="89"/>
        <v>70</v>
      </c>
      <c r="H842" s="470">
        <v>835</v>
      </c>
      <c r="I842" s="455">
        <f t="shared" ca="1" si="81"/>
        <v>10975597.282313431</v>
      </c>
      <c r="J842" s="455">
        <f t="array" ref="J842">IFERROR(INDEX('Retirement Calculator'!K:K,MATCH('Lorri 401b'!N842,'Retirement Calculator'!A:A,0),0),0)</f>
        <v>16520.094745597391</v>
      </c>
      <c r="K842" s="455">
        <f t="shared" ca="1" si="79"/>
        <v>45662.82161486597</v>
      </c>
      <c r="L842" s="455">
        <f t="shared" ca="1" si="80"/>
        <v>11004740.009182699</v>
      </c>
      <c r="M842" s="471">
        <f t="shared" si="82"/>
        <v>0.05</v>
      </c>
      <c r="N842" s="475">
        <f t="shared" si="83"/>
        <v>76672</v>
      </c>
    </row>
    <row r="843" spans="7:14" ht="11.25" customHeight="1" x14ac:dyDescent="0.3">
      <c r="G843" s="470">
        <f t="shared" si="89"/>
        <v>70</v>
      </c>
      <c r="H843" s="470">
        <v>836</v>
      </c>
      <c r="I843" s="455">
        <f t="shared" ca="1" si="81"/>
        <v>11004740.009182699</v>
      </c>
      <c r="J843" s="455">
        <f t="array" ref="J843">IFERROR(INDEX('Retirement Calculator'!K:K,MATCH('Lorri 401b'!N843,'Retirement Calculator'!A:A,0),0),0)</f>
        <v>16520.094745597391</v>
      </c>
      <c r="K843" s="455">
        <f t="shared" ca="1" si="79"/>
        <v>45784.249643487929</v>
      </c>
      <c r="L843" s="455">
        <f t="shared" ca="1" si="80"/>
        <v>11034004.16408059</v>
      </c>
      <c r="M843" s="471">
        <f t="shared" si="82"/>
        <v>0.05</v>
      </c>
      <c r="N843" s="475">
        <f t="shared" si="83"/>
        <v>76703</v>
      </c>
    </row>
    <row r="844" spans="7:14" ht="11.25" customHeight="1" x14ac:dyDescent="0.3">
      <c r="G844" s="470">
        <f t="shared" si="89"/>
        <v>70</v>
      </c>
      <c r="H844" s="470">
        <v>837</v>
      </c>
      <c r="I844" s="455">
        <f t="shared" ca="1" si="81"/>
        <v>11034004.16408059</v>
      </c>
      <c r="J844" s="455">
        <f t="array" ref="J844">IFERROR(INDEX('Retirement Calculator'!K:K,MATCH('Lorri 401b'!N844,'Retirement Calculator'!A:A,0),0),0)</f>
        <v>16520.094745597391</v>
      </c>
      <c r="K844" s="455">
        <f t="shared" ca="1" si="79"/>
        <v>45906.183622229139</v>
      </c>
      <c r="L844" s="455">
        <f t="shared" ca="1" si="80"/>
        <v>11063390.252957223</v>
      </c>
      <c r="M844" s="471">
        <f t="shared" si="82"/>
        <v>0.05</v>
      </c>
      <c r="N844" s="475">
        <f t="shared" si="83"/>
        <v>76734</v>
      </c>
    </row>
    <row r="845" spans="7:14" ht="11.25" customHeight="1" x14ac:dyDescent="0.3">
      <c r="G845" s="470">
        <f t="shared" si="89"/>
        <v>70</v>
      </c>
      <c r="H845" s="470">
        <v>838</v>
      </c>
      <c r="I845" s="455">
        <f t="shared" ca="1" si="81"/>
        <v>11063390.252957223</v>
      </c>
      <c r="J845" s="455">
        <f t="array" ref="J845">IFERROR(INDEX('Retirement Calculator'!K:K,MATCH('Lorri 401b'!N845,'Retirement Calculator'!A:A,0),0),0)</f>
        <v>16520.094745597391</v>
      </c>
      <c r="K845" s="455">
        <f t="shared" ca="1" si="79"/>
        <v>46028.625659215111</v>
      </c>
      <c r="L845" s="455">
        <f t="shared" ca="1" si="80"/>
        <v>11092898.78387084</v>
      </c>
      <c r="M845" s="471">
        <f t="shared" si="82"/>
        <v>0.05</v>
      </c>
      <c r="N845" s="475">
        <f t="shared" si="83"/>
        <v>76762</v>
      </c>
    </row>
    <row r="846" spans="7:14" ht="11.25" customHeight="1" x14ac:dyDescent="0.3">
      <c r="G846" s="470">
        <f t="shared" si="89"/>
        <v>70</v>
      </c>
      <c r="H846" s="470">
        <v>839</v>
      </c>
      <c r="I846" s="455">
        <f t="shared" ca="1" si="81"/>
        <v>11092898.78387084</v>
      </c>
      <c r="J846" s="455">
        <f t="array" ref="J846">IFERROR(INDEX('Retirement Calculator'!K:K,MATCH('Lorri 401b'!N846,'Retirement Calculator'!A:A,0),0),0)</f>
        <v>16520.094745597391</v>
      </c>
      <c r="K846" s="455">
        <f t="shared" ca="1" si="79"/>
        <v>46151.577871355184</v>
      </c>
      <c r="L846" s="455">
        <f t="shared" ca="1" si="80"/>
        <v>11122530.266996598</v>
      </c>
      <c r="M846" s="471">
        <f t="shared" si="82"/>
        <v>0.05</v>
      </c>
      <c r="N846" s="475">
        <f t="shared" si="83"/>
        <v>76793</v>
      </c>
    </row>
    <row r="847" spans="7:14" ht="11.25" customHeight="1" x14ac:dyDescent="0.3">
      <c r="G847" s="470">
        <f t="shared" si="89"/>
        <v>70</v>
      </c>
      <c r="H847" s="470">
        <v>840</v>
      </c>
      <c r="I847" s="455">
        <f t="shared" ca="1" si="81"/>
        <v>11122530.266996598</v>
      </c>
      <c r="J847" s="455">
        <f t="array" ref="J847">IFERROR(INDEX('Retirement Calculator'!K:K,MATCH('Lorri 401b'!N847,'Retirement Calculator'!A:A,0),0),0)</f>
        <v>16520.094745597391</v>
      </c>
      <c r="K847" s="455">
        <f t="shared" ca="1" si="79"/>
        <v>46275.042384379172</v>
      </c>
      <c r="L847" s="455">
        <f t="shared" ca="1" si="80"/>
        <v>11152285.21463538</v>
      </c>
      <c r="M847" s="471">
        <f t="shared" si="82"/>
        <v>0.05</v>
      </c>
      <c r="N847" s="475">
        <f t="shared" si="83"/>
        <v>76823</v>
      </c>
    </row>
    <row r="848" spans="7:14" ht="11.25" customHeight="1" x14ac:dyDescent="0.3">
      <c r="G848" s="470">
        <f>G847+1</f>
        <v>71</v>
      </c>
      <c r="H848" s="470">
        <v>841</v>
      </c>
      <c r="I848" s="455">
        <f t="shared" ca="1" si="81"/>
        <v>11152285.21463538</v>
      </c>
      <c r="J848" s="455">
        <f t="array" ref="J848">IFERROR(INDEX('Retirement Calculator'!K:K,MATCH('Lorri 401b'!N848,'Retirement Calculator'!A:A,0),0),0)</f>
        <v>16520.094745597391</v>
      </c>
      <c r="K848" s="455">
        <f t="shared" ca="1" si="79"/>
        <v>46399.021332874094</v>
      </c>
      <c r="L848" s="455">
        <f t="shared" ca="1" si="80"/>
        <v>11182164.141222658</v>
      </c>
      <c r="M848" s="471">
        <f t="shared" si="82"/>
        <v>0.05</v>
      </c>
      <c r="N848" s="475">
        <f t="shared" si="83"/>
        <v>76854</v>
      </c>
    </row>
    <row r="849" spans="7:14" ht="11.25" customHeight="1" x14ac:dyDescent="0.3">
      <c r="G849" s="470">
        <f t="shared" ref="G849:G859" si="90">G848</f>
        <v>71</v>
      </c>
      <c r="H849" s="470">
        <v>842</v>
      </c>
      <c r="I849" s="455">
        <f t="shared" ca="1" si="81"/>
        <v>11182164.141222658</v>
      </c>
      <c r="J849" s="455">
        <f t="array" ref="J849">IFERROR(INDEX('Retirement Calculator'!K:K,MATCH('Lorri 401b'!N849,'Retirement Calculator'!A:A,0),0),0)</f>
        <v>16520.094745597391</v>
      </c>
      <c r="K849" s="455">
        <f t="shared" ca="1" si="79"/>
        <v>46523.516860321084</v>
      </c>
      <c r="L849" s="455">
        <f t="shared" ca="1" si="80"/>
        <v>11212167.563337382</v>
      </c>
      <c r="M849" s="471">
        <f t="shared" si="82"/>
        <v>0.05</v>
      </c>
      <c r="N849" s="475">
        <f t="shared" si="83"/>
        <v>76884</v>
      </c>
    </row>
    <row r="850" spans="7:14" ht="11.25" customHeight="1" x14ac:dyDescent="0.3">
      <c r="G850" s="470">
        <f t="shared" si="90"/>
        <v>71</v>
      </c>
      <c r="H850" s="470">
        <v>843</v>
      </c>
      <c r="I850" s="455">
        <f t="shared" ca="1" si="81"/>
        <v>11212167.563337382</v>
      </c>
      <c r="J850" s="455">
        <f t="array" ref="J850">IFERROR(INDEX('Retirement Calculator'!K:K,MATCH('Lorri 401b'!N850,'Retirement Calculator'!A:A,0),0),0)</f>
        <v>16520.094745597391</v>
      </c>
      <c r="K850" s="455">
        <f t="shared" ca="1" si="79"/>
        <v>46648.531119132436</v>
      </c>
      <c r="L850" s="455">
        <f t="shared" ca="1" si="80"/>
        <v>11242295.999710917</v>
      </c>
      <c r="M850" s="471">
        <f t="shared" si="82"/>
        <v>0.05</v>
      </c>
      <c r="N850" s="475">
        <f t="shared" si="83"/>
        <v>76915</v>
      </c>
    </row>
    <row r="851" spans="7:14" ht="11.25" customHeight="1" x14ac:dyDescent="0.3">
      <c r="G851" s="470">
        <f t="shared" si="90"/>
        <v>71</v>
      </c>
      <c r="H851" s="470">
        <v>844</v>
      </c>
      <c r="I851" s="455">
        <f t="shared" ca="1" si="81"/>
        <v>11242295.999710917</v>
      </c>
      <c r="J851" s="455">
        <f t="array" ref="J851">IFERROR(INDEX('Retirement Calculator'!K:K,MATCH('Lorri 401b'!N851,'Retirement Calculator'!A:A,0),0),0)</f>
        <v>16520.094745597391</v>
      </c>
      <c r="K851" s="455">
        <f t="shared" ca="1" si="79"/>
        <v>46774.066270688832</v>
      </c>
      <c r="L851" s="455">
        <f t="shared" ca="1" si="80"/>
        <v>11272549.971236009</v>
      </c>
      <c r="M851" s="471">
        <f t="shared" si="82"/>
        <v>0.05</v>
      </c>
      <c r="N851" s="475">
        <f t="shared" si="83"/>
        <v>76946</v>
      </c>
    </row>
    <row r="852" spans="7:14" ht="11.25" customHeight="1" x14ac:dyDescent="0.3">
      <c r="G852" s="470">
        <f t="shared" si="90"/>
        <v>71</v>
      </c>
      <c r="H852" s="470">
        <v>845</v>
      </c>
      <c r="I852" s="455">
        <f t="shared" ca="1" si="81"/>
        <v>11272549.971236009</v>
      </c>
      <c r="J852" s="455">
        <f t="array" ref="J852">IFERROR(INDEX('Retirement Calculator'!K:K,MATCH('Lorri 401b'!N852,'Retirement Calculator'!A:A,0),0),0)</f>
        <v>16520.094745597391</v>
      </c>
      <c r="K852" s="455">
        <f t="shared" ca="1" si="79"/>
        <v>46900.12448537672</v>
      </c>
      <c r="L852" s="455">
        <f t="shared" ca="1" si="80"/>
        <v>11302930.00097579</v>
      </c>
      <c r="M852" s="471">
        <f t="shared" si="82"/>
        <v>0.05</v>
      </c>
      <c r="N852" s="475">
        <f t="shared" si="83"/>
        <v>76976</v>
      </c>
    </row>
    <row r="853" spans="7:14" ht="11.25" customHeight="1" x14ac:dyDescent="0.3">
      <c r="G853" s="470">
        <f t="shared" si="90"/>
        <v>71</v>
      </c>
      <c r="H853" s="470">
        <v>846</v>
      </c>
      <c r="I853" s="455">
        <f t="shared" ca="1" si="81"/>
        <v>11302930.00097579</v>
      </c>
      <c r="J853" s="455">
        <f t="array" ref="J853">IFERROR(INDEX('Retirement Calculator'!K:K,MATCH('Lorri 401b'!N853,'Retirement Calculator'!A:A,0),0),0)</f>
        <v>16520.094745597391</v>
      </c>
      <c r="K853" s="455">
        <f t="shared" ca="1" si="79"/>
        <v>47026.707942625799</v>
      </c>
      <c r="L853" s="455">
        <f t="shared" ca="1" si="80"/>
        <v>11333436.614172818</v>
      </c>
      <c r="M853" s="471">
        <f t="shared" si="82"/>
        <v>0.05</v>
      </c>
      <c r="N853" s="475">
        <f t="shared" si="83"/>
        <v>77007</v>
      </c>
    </row>
    <row r="854" spans="7:14" ht="11.25" customHeight="1" x14ac:dyDescent="0.3">
      <c r="G854" s="470">
        <f t="shared" si="90"/>
        <v>71</v>
      </c>
      <c r="H854" s="470">
        <v>847</v>
      </c>
      <c r="I854" s="455">
        <f t="shared" ca="1" si="81"/>
        <v>11333436.614172818</v>
      </c>
      <c r="J854" s="455">
        <f t="array" ref="J854">IFERROR(INDEX('Retirement Calculator'!K:K,MATCH('Lorri 401b'!N854,'Retirement Calculator'!A:A,0),0),0)</f>
        <v>16520.094745597391</v>
      </c>
      <c r="K854" s="455">
        <f t="shared" ca="1" si="79"/>
        <v>47153.818830946751</v>
      </c>
      <c r="L854" s="455">
        <f t="shared" ca="1" si="80"/>
        <v>11364070.338258168</v>
      </c>
      <c r="M854" s="471">
        <f t="shared" si="82"/>
        <v>0.05</v>
      </c>
      <c r="N854" s="475">
        <f t="shared" si="83"/>
        <v>77037</v>
      </c>
    </row>
    <row r="855" spans="7:14" ht="11.25" customHeight="1" x14ac:dyDescent="0.3">
      <c r="G855" s="470">
        <f t="shared" si="90"/>
        <v>71</v>
      </c>
      <c r="H855" s="470">
        <v>848</v>
      </c>
      <c r="I855" s="455">
        <f t="shared" ca="1" si="81"/>
        <v>11364070.338258168</v>
      </c>
      <c r="J855" s="455">
        <f t="array" ref="J855">IFERROR(INDEX('Retirement Calculator'!K:K,MATCH('Lorri 401b'!N855,'Retirement Calculator'!A:A,0),0),0)</f>
        <v>16520.094745597391</v>
      </c>
      <c r="K855" s="455">
        <f t="shared" ca="1" si="79"/>
        <v>47281.459347969045</v>
      </c>
      <c r="L855" s="455">
        <f t="shared" ca="1" si="80"/>
        <v>11394831.70286054</v>
      </c>
      <c r="M855" s="471">
        <f t="shared" si="82"/>
        <v>0.05</v>
      </c>
      <c r="N855" s="475">
        <f t="shared" si="83"/>
        <v>77068</v>
      </c>
    </row>
    <row r="856" spans="7:14" ht="11.25" customHeight="1" x14ac:dyDescent="0.3">
      <c r="G856" s="470">
        <f t="shared" si="90"/>
        <v>71</v>
      </c>
      <c r="H856" s="470">
        <v>849</v>
      </c>
      <c r="I856" s="455">
        <f t="shared" ca="1" si="81"/>
        <v>11394831.70286054</v>
      </c>
      <c r="J856" s="455">
        <f t="array" ref="J856">IFERROR(INDEX('Retirement Calculator'!K:K,MATCH('Lorri 401b'!N856,'Retirement Calculator'!A:A,0),0),0)</f>
        <v>16520.094745597391</v>
      </c>
      <c r="K856" s="455">
        <f t="shared" ca="1" si="79"/>
        <v>47409.631700478931</v>
      </c>
      <c r="L856" s="455">
        <f t="shared" ca="1" si="80"/>
        <v>11425721.239815421</v>
      </c>
      <c r="M856" s="471">
        <f t="shared" si="82"/>
        <v>0.05</v>
      </c>
      <c r="N856" s="475">
        <f t="shared" si="83"/>
        <v>77099</v>
      </c>
    </row>
    <row r="857" spans="7:14" ht="11.25" customHeight="1" x14ac:dyDescent="0.3">
      <c r="G857" s="470">
        <f t="shared" si="90"/>
        <v>71</v>
      </c>
      <c r="H857" s="470">
        <v>850</v>
      </c>
      <c r="I857" s="455">
        <f t="shared" ca="1" si="81"/>
        <v>11425721.239815421</v>
      </c>
      <c r="J857" s="455">
        <f t="array" ref="J857">IFERROR(INDEX('Retirement Calculator'!K:K,MATCH('Lorri 401b'!N857,'Retirement Calculator'!A:A,0),0),0)</f>
        <v>16520.094745597391</v>
      </c>
      <c r="K857" s="455">
        <f t="shared" ca="1" si="79"/>
        <v>47538.338104457602</v>
      </c>
      <c r="L857" s="455">
        <f t="shared" ca="1" si="80"/>
        <v>11456739.483174283</v>
      </c>
      <c r="M857" s="471">
        <f t="shared" si="82"/>
        <v>0.05</v>
      </c>
      <c r="N857" s="475">
        <f t="shared" si="83"/>
        <v>77127</v>
      </c>
    </row>
    <row r="858" spans="7:14" ht="11.25" customHeight="1" x14ac:dyDescent="0.3">
      <c r="G858" s="470">
        <f t="shared" si="90"/>
        <v>71</v>
      </c>
      <c r="H858" s="470">
        <v>851</v>
      </c>
      <c r="I858" s="455">
        <f t="shared" ca="1" si="81"/>
        <v>11456739.483174283</v>
      </c>
      <c r="J858" s="455">
        <f t="array" ref="J858">IFERROR(INDEX('Retirement Calculator'!K:K,MATCH('Lorri 401b'!N858,'Retirement Calculator'!A:A,0),0),0)</f>
        <v>16520.094745597391</v>
      </c>
      <c r="K858" s="455">
        <f t="shared" ca="1" si="79"/>
        <v>47667.580785119528</v>
      </c>
      <c r="L858" s="455">
        <f t="shared" ca="1" si="80"/>
        <v>11487886.969213806</v>
      </c>
      <c r="M858" s="471">
        <f t="shared" si="82"/>
        <v>0.05</v>
      </c>
      <c r="N858" s="475">
        <f t="shared" si="83"/>
        <v>77158</v>
      </c>
    </row>
    <row r="859" spans="7:14" ht="11.25" customHeight="1" x14ac:dyDescent="0.3">
      <c r="G859" s="470">
        <f t="shared" si="90"/>
        <v>71</v>
      </c>
      <c r="H859" s="470">
        <v>852</v>
      </c>
      <c r="I859" s="455">
        <f t="shared" ca="1" si="81"/>
        <v>11487886.969213806</v>
      </c>
      <c r="J859" s="455">
        <f t="array" ref="J859">IFERROR(INDEX('Retirement Calculator'!K:K,MATCH('Lorri 401b'!N859,'Retirement Calculator'!A:A,0),0),0)</f>
        <v>16520.094745597391</v>
      </c>
      <c r="K859" s="455">
        <f t="shared" ca="1" si="79"/>
        <v>47797.361976950873</v>
      </c>
      <c r="L859" s="455">
        <f t="shared" ca="1" si="80"/>
        <v>11519164.236445161</v>
      </c>
      <c r="M859" s="471">
        <f t="shared" si="82"/>
        <v>0.05</v>
      </c>
      <c r="N859" s="475">
        <f t="shared" si="83"/>
        <v>77188</v>
      </c>
    </row>
    <row r="860" spans="7:14" ht="11.25" customHeight="1" x14ac:dyDescent="0.3">
      <c r="G860" s="470">
        <f>G859+1</f>
        <v>72</v>
      </c>
      <c r="H860" s="470">
        <v>853</v>
      </c>
      <c r="I860" s="455">
        <f t="shared" ca="1" si="81"/>
        <v>11519164.236445161</v>
      </c>
      <c r="J860" s="455">
        <f t="array" ref="J860">IFERROR(INDEX('Retirement Calculator'!K:K,MATCH('Lorri 401b'!N860,'Retirement Calculator'!A:A,0),0),0)</f>
        <v>16520.094745597391</v>
      </c>
      <c r="K860" s="455">
        <f t="shared" ca="1" si="79"/>
        <v>47927.683923748184</v>
      </c>
      <c r="L860" s="455">
        <f t="shared" ca="1" si="80"/>
        <v>11550571.825623311</v>
      </c>
      <c r="M860" s="471">
        <f t="shared" si="82"/>
        <v>0.05</v>
      </c>
      <c r="N860" s="475">
        <f t="shared" si="83"/>
        <v>77219</v>
      </c>
    </row>
    <row r="861" spans="7:14" ht="11.25" customHeight="1" x14ac:dyDescent="0.3">
      <c r="G861" s="470">
        <f t="shared" ref="G861:G871" si="91">G860</f>
        <v>72</v>
      </c>
      <c r="H861" s="470">
        <v>854</v>
      </c>
      <c r="I861" s="455">
        <f t="shared" ca="1" si="81"/>
        <v>11550571.825623311</v>
      </c>
      <c r="J861" s="455">
        <f t="array" ref="J861">IFERROR(INDEX('Retirement Calculator'!K:K,MATCH('Lorri 401b'!N861,'Retirement Calculator'!A:A,0),0),0)</f>
        <v>16520.094745597391</v>
      </c>
      <c r="K861" s="455">
        <f t="shared" ca="1" si="79"/>
        <v>48058.548878657144</v>
      </c>
      <c r="L861" s="455">
        <f t="shared" ca="1" si="80"/>
        <v>11582110.279756371</v>
      </c>
      <c r="M861" s="471">
        <f t="shared" si="82"/>
        <v>0.05</v>
      </c>
      <c r="N861" s="475">
        <f t="shared" si="83"/>
        <v>77249</v>
      </c>
    </row>
    <row r="862" spans="7:14" ht="11.25" customHeight="1" x14ac:dyDescent="0.3">
      <c r="G862" s="470">
        <f t="shared" si="91"/>
        <v>72</v>
      </c>
      <c r="H862" s="470">
        <v>855</v>
      </c>
      <c r="I862" s="455">
        <f t="shared" ca="1" si="81"/>
        <v>11582110.279756371</v>
      </c>
      <c r="J862" s="455">
        <f t="array" ref="J862">IFERROR(INDEX('Retirement Calculator'!K:K,MATCH('Lorri 401b'!N862,'Retirement Calculator'!A:A,0),0),0)</f>
        <v>16520.094745597391</v>
      </c>
      <c r="K862" s="455">
        <f t="shared" ca="1" si="79"/>
        <v>48189.959104211557</v>
      </c>
      <c r="L862" s="455">
        <f t="shared" ca="1" si="80"/>
        <v>11613780.144114986</v>
      </c>
      <c r="M862" s="471">
        <f t="shared" si="82"/>
        <v>0.05</v>
      </c>
      <c r="N862" s="475">
        <f t="shared" si="83"/>
        <v>77280</v>
      </c>
    </row>
    <row r="863" spans="7:14" ht="11.25" customHeight="1" x14ac:dyDescent="0.3">
      <c r="G863" s="470">
        <f t="shared" si="91"/>
        <v>72</v>
      </c>
      <c r="H863" s="470">
        <v>856</v>
      </c>
      <c r="I863" s="455">
        <f t="shared" ca="1" si="81"/>
        <v>11613780.144114986</v>
      </c>
      <c r="J863" s="455">
        <f t="array" ref="J863">IFERROR(INDEX('Retirement Calculator'!K:K,MATCH('Lorri 401b'!N863,'Retirement Calculator'!A:A,0),0),0)</f>
        <v>16520.094745597391</v>
      </c>
      <c r="K863" s="455">
        <f t="shared" ca="1" si="79"/>
        <v>48321.916872372458</v>
      </c>
      <c r="L863" s="455">
        <f t="shared" ca="1" si="80"/>
        <v>11645581.966241762</v>
      </c>
      <c r="M863" s="471">
        <f t="shared" si="82"/>
        <v>0.05</v>
      </c>
      <c r="N863" s="475">
        <f t="shared" si="83"/>
        <v>77311</v>
      </c>
    </row>
    <row r="864" spans="7:14" ht="11.25" customHeight="1" x14ac:dyDescent="0.3">
      <c r="G864" s="470">
        <f t="shared" si="91"/>
        <v>72</v>
      </c>
      <c r="H864" s="470">
        <v>857</v>
      </c>
      <c r="I864" s="455">
        <f t="shared" ca="1" si="81"/>
        <v>11645581.966241762</v>
      </c>
      <c r="J864" s="455">
        <f t="array" ref="J864">IFERROR(INDEX('Retirement Calculator'!K:K,MATCH('Lorri 401b'!N864,'Retirement Calculator'!A:A,0),0),0)</f>
        <v>16520.094745597391</v>
      </c>
      <c r="K864" s="455">
        <f t="shared" ca="1" si="79"/>
        <v>48454.424464567353</v>
      </c>
      <c r="L864" s="455">
        <f t="shared" ca="1" si="80"/>
        <v>11677516.295960732</v>
      </c>
      <c r="M864" s="471">
        <f t="shared" si="82"/>
        <v>0.05</v>
      </c>
      <c r="N864" s="475">
        <f t="shared" si="83"/>
        <v>77341</v>
      </c>
    </row>
    <row r="865" spans="7:14" ht="11.25" customHeight="1" x14ac:dyDescent="0.3">
      <c r="G865" s="470">
        <f t="shared" si="91"/>
        <v>72</v>
      </c>
      <c r="H865" s="470">
        <v>858</v>
      </c>
      <c r="I865" s="455">
        <f t="shared" ca="1" si="81"/>
        <v>11677516.295960732</v>
      </c>
      <c r="J865" s="455">
        <f t="array" ref="J865">IFERROR(INDEX('Retirement Calculator'!K:K,MATCH('Lorri 401b'!N865,'Retirement Calculator'!A:A,0),0),0)</f>
        <v>16520.094745597391</v>
      </c>
      <c r="K865" s="455">
        <f t="shared" ca="1" si="79"/>
        <v>48587.484171729731</v>
      </c>
      <c r="L865" s="455">
        <f t="shared" ca="1" si="80"/>
        <v>11709583.685386864</v>
      </c>
      <c r="M865" s="471">
        <f t="shared" si="82"/>
        <v>0.05</v>
      </c>
      <c r="N865" s="475">
        <f t="shared" si="83"/>
        <v>77372</v>
      </c>
    </row>
    <row r="866" spans="7:14" ht="11.25" customHeight="1" x14ac:dyDescent="0.3">
      <c r="G866" s="470">
        <f t="shared" si="91"/>
        <v>72</v>
      </c>
      <c r="H866" s="470">
        <v>859</v>
      </c>
      <c r="I866" s="455">
        <f t="shared" ca="1" si="81"/>
        <v>11709583.685386864</v>
      </c>
      <c r="J866" s="455">
        <f t="array" ref="J866">IFERROR(INDEX('Retirement Calculator'!K:K,MATCH('Lorri 401b'!N866,'Retirement Calculator'!A:A,0),0),0)</f>
        <v>16520.094745597391</v>
      </c>
      <c r="K866" s="455">
        <f t="shared" ca="1" si="79"/>
        <v>48721.098294338612</v>
      </c>
      <c r="L866" s="455">
        <f t="shared" ca="1" si="80"/>
        <v>11741784.688935606</v>
      </c>
      <c r="M866" s="471">
        <f t="shared" si="82"/>
        <v>0.05</v>
      </c>
      <c r="N866" s="475">
        <f t="shared" si="83"/>
        <v>77402</v>
      </c>
    </row>
    <row r="867" spans="7:14" ht="11.25" customHeight="1" x14ac:dyDescent="0.3">
      <c r="G867" s="470">
        <f t="shared" si="91"/>
        <v>72</v>
      </c>
      <c r="H867" s="470">
        <v>860</v>
      </c>
      <c r="I867" s="455">
        <f t="shared" ca="1" si="81"/>
        <v>11741784.688935606</v>
      </c>
      <c r="J867" s="455">
        <f t="array" ref="J867">IFERROR(INDEX('Retirement Calculator'!K:K,MATCH('Lorri 401b'!N867,'Retirement Calculator'!A:A,0),0),0)</f>
        <v>16520.094745597391</v>
      </c>
      <c r="K867" s="455">
        <f t="shared" ca="1" si="79"/>
        <v>48855.269142458368</v>
      </c>
      <c r="L867" s="455">
        <f t="shared" ca="1" si="80"/>
        <v>11774119.863332467</v>
      </c>
      <c r="M867" s="471">
        <f t="shared" si="82"/>
        <v>0.05</v>
      </c>
      <c r="N867" s="475">
        <f t="shared" si="83"/>
        <v>77433</v>
      </c>
    </row>
    <row r="868" spans="7:14" ht="11.25" customHeight="1" x14ac:dyDescent="0.3">
      <c r="G868" s="470">
        <f t="shared" si="91"/>
        <v>72</v>
      </c>
      <c r="H868" s="470">
        <v>861</v>
      </c>
      <c r="I868" s="455">
        <f t="shared" ca="1" si="81"/>
        <v>11774119.863332467</v>
      </c>
      <c r="J868" s="455">
        <f t="array" ref="J868">IFERROR(INDEX('Retirement Calculator'!K:K,MATCH('Lorri 401b'!N868,'Retirement Calculator'!A:A,0),0),0)</f>
        <v>16520.094745597391</v>
      </c>
      <c r="K868" s="455">
        <f t="shared" ca="1" si="79"/>
        <v>48989.999035778623</v>
      </c>
      <c r="L868" s="455">
        <f t="shared" ca="1" si="80"/>
        <v>11806589.76762265</v>
      </c>
      <c r="M868" s="471">
        <f t="shared" si="82"/>
        <v>0.05</v>
      </c>
      <c r="N868" s="475">
        <f t="shared" si="83"/>
        <v>77464</v>
      </c>
    </row>
    <row r="869" spans="7:14" ht="11.25" customHeight="1" x14ac:dyDescent="0.3">
      <c r="G869" s="470">
        <f t="shared" si="91"/>
        <v>72</v>
      </c>
      <c r="H869" s="470">
        <v>862</v>
      </c>
      <c r="I869" s="455">
        <f t="shared" ca="1" si="81"/>
        <v>11806589.76762265</v>
      </c>
      <c r="J869" s="455">
        <f t="array" ref="J869">IFERROR(INDEX('Retirement Calculator'!K:K,MATCH('Lorri 401b'!N869,'Retirement Calculator'!A:A,0),0),0)</f>
        <v>16520.094745597391</v>
      </c>
      <c r="K869" s="455">
        <f t="shared" ca="1" si="79"/>
        <v>49125.290303654387</v>
      </c>
      <c r="L869" s="455">
        <f t="shared" ca="1" si="80"/>
        <v>11839194.963180708</v>
      </c>
      <c r="M869" s="471">
        <f t="shared" si="82"/>
        <v>0.05</v>
      </c>
      <c r="N869" s="475">
        <f t="shared" si="83"/>
        <v>77493</v>
      </c>
    </row>
    <row r="870" spans="7:14" ht="11.25" customHeight="1" x14ac:dyDescent="0.3">
      <c r="G870" s="470">
        <f t="shared" si="91"/>
        <v>72</v>
      </c>
      <c r="H870" s="470">
        <v>863</v>
      </c>
      <c r="I870" s="455">
        <f t="shared" ca="1" si="81"/>
        <v>11839194.963180708</v>
      </c>
      <c r="J870" s="455">
        <f t="array" ref="J870">IFERROR(INDEX('Retirement Calculator'!K:K,MATCH('Lorri 401b'!N870,'Retirement Calculator'!A:A,0),0),0)</f>
        <v>16520.094745597391</v>
      </c>
      <c r="K870" s="455">
        <f t="shared" ca="1" si="79"/>
        <v>49261.145285146296</v>
      </c>
      <c r="L870" s="455">
        <f t="shared" ca="1" si="80"/>
        <v>11871936.013720257</v>
      </c>
      <c r="M870" s="471">
        <f t="shared" si="82"/>
        <v>0.05</v>
      </c>
      <c r="N870" s="475">
        <f t="shared" si="83"/>
        <v>77524</v>
      </c>
    </row>
    <row r="871" spans="7:14" ht="11.25" customHeight="1" x14ac:dyDescent="0.3">
      <c r="G871" s="470">
        <f t="shared" si="91"/>
        <v>72</v>
      </c>
      <c r="H871" s="470">
        <v>864</v>
      </c>
      <c r="I871" s="455">
        <f t="shared" ca="1" si="81"/>
        <v>11871936.013720257</v>
      </c>
      <c r="J871" s="455">
        <f t="array" ref="J871">IFERROR(INDEX('Retirement Calculator'!K:K,MATCH('Lorri 401b'!N871,'Retirement Calculator'!A:A,0),0),0)</f>
        <v>16520.094745597391</v>
      </c>
      <c r="K871" s="455">
        <f t="shared" ca="1" si="79"/>
        <v>49397.566329061083</v>
      </c>
      <c r="L871" s="455">
        <f t="shared" ca="1" si="80"/>
        <v>11904813.485303722</v>
      </c>
      <c r="M871" s="471">
        <f t="shared" si="82"/>
        <v>0.05</v>
      </c>
      <c r="N871" s="475">
        <f t="shared" si="83"/>
        <v>77554</v>
      </c>
    </row>
    <row r="872" spans="7:14" ht="11.25" customHeight="1" x14ac:dyDescent="0.3">
      <c r="G872" s="470">
        <f>G871+1</f>
        <v>73</v>
      </c>
      <c r="H872" s="470">
        <v>865</v>
      </c>
      <c r="I872" s="455">
        <f t="shared" ca="1" si="81"/>
        <v>11904813.485303722</v>
      </c>
      <c r="J872" s="455">
        <f t="array" ref="J872">IFERROR(INDEX('Retirement Calculator'!K:K,MATCH('Lorri 401b'!N872,'Retirement Calculator'!A:A,0),0),0)</f>
        <v>16520.094745597391</v>
      </c>
      <c r="K872" s="455">
        <f t="shared" ca="1" si="79"/>
        <v>49534.555793992185</v>
      </c>
      <c r="L872" s="455">
        <f t="shared" ca="1" si="80"/>
        <v>11937827.946352117</v>
      </c>
      <c r="M872" s="471">
        <f t="shared" si="82"/>
        <v>0.05</v>
      </c>
      <c r="N872" s="475">
        <f t="shared" si="83"/>
        <v>77585</v>
      </c>
    </row>
    <row r="873" spans="7:14" ht="11.25" customHeight="1" x14ac:dyDescent="0.3">
      <c r="G873" s="470">
        <f t="shared" ref="G873:G883" si="92">G872</f>
        <v>73</v>
      </c>
      <c r="H873" s="470">
        <v>866</v>
      </c>
      <c r="I873" s="455">
        <f t="shared" ca="1" si="81"/>
        <v>11937827.946352117</v>
      </c>
      <c r="J873" s="455">
        <f t="array" ref="J873">IFERROR(INDEX('Retirement Calculator'!K:K,MATCH('Lorri 401b'!N873,'Retirement Calculator'!A:A,0),0),0)</f>
        <v>16520.094745597391</v>
      </c>
      <c r="K873" s="455">
        <f t="shared" ca="1" si="79"/>
        <v>49672.116048360498</v>
      </c>
      <c r="L873" s="455">
        <f t="shared" ca="1" si="80"/>
        <v>11970979.96765488</v>
      </c>
      <c r="M873" s="471">
        <f t="shared" si="82"/>
        <v>0.05</v>
      </c>
      <c r="N873" s="475">
        <f t="shared" si="83"/>
        <v>77615</v>
      </c>
    </row>
    <row r="874" spans="7:14" ht="11.25" customHeight="1" x14ac:dyDescent="0.3">
      <c r="G874" s="470">
        <f t="shared" si="92"/>
        <v>73</v>
      </c>
      <c r="H874" s="470">
        <v>867</v>
      </c>
      <c r="I874" s="455">
        <f t="shared" ca="1" si="81"/>
        <v>11970979.96765488</v>
      </c>
      <c r="J874" s="455">
        <f t="array" ref="J874">IFERROR(INDEX('Retirement Calculator'!K:K,MATCH('Lorri 401b'!N874,'Retirement Calculator'!A:A,0),0),0)</f>
        <v>16520.094745597391</v>
      </c>
      <c r="K874" s="455">
        <f t="shared" ca="1" si="79"/>
        <v>49810.249470455346</v>
      </c>
      <c r="L874" s="455">
        <f t="shared" ca="1" si="80"/>
        <v>12004270.122379739</v>
      </c>
      <c r="M874" s="471">
        <f t="shared" si="82"/>
        <v>0.05</v>
      </c>
      <c r="N874" s="475">
        <f t="shared" si="83"/>
        <v>77646</v>
      </c>
    </row>
    <row r="875" spans="7:14" ht="11.25" customHeight="1" x14ac:dyDescent="0.3">
      <c r="G875" s="470">
        <f t="shared" si="92"/>
        <v>73</v>
      </c>
      <c r="H875" s="470">
        <v>868</v>
      </c>
      <c r="I875" s="455">
        <f t="shared" ca="1" si="81"/>
        <v>12004270.122379739</v>
      </c>
      <c r="J875" s="455">
        <f t="array" ref="J875">IFERROR(INDEX('Retirement Calculator'!K:K,MATCH('Lorri 401b'!N875,'Retirement Calculator'!A:A,0),0),0)</f>
        <v>16520.094745597391</v>
      </c>
      <c r="K875" s="455">
        <f t="shared" ca="1" si="79"/>
        <v>49948.958448475591</v>
      </c>
      <c r="L875" s="455">
        <f t="shared" ca="1" si="80"/>
        <v>12037698.986082617</v>
      </c>
      <c r="M875" s="471">
        <f t="shared" si="82"/>
        <v>0.05</v>
      </c>
      <c r="N875" s="475">
        <f t="shared" si="83"/>
        <v>77677</v>
      </c>
    </row>
    <row r="876" spans="7:14" ht="11.25" customHeight="1" x14ac:dyDescent="0.3">
      <c r="G876" s="470">
        <f t="shared" si="92"/>
        <v>73</v>
      </c>
      <c r="H876" s="470">
        <v>869</v>
      </c>
      <c r="I876" s="455">
        <f t="shared" ca="1" si="81"/>
        <v>12037698.986082617</v>
      </c>
      <c r="J876" s="455">
        <f t="array" ref="J876">IFERROR(INDEX('Retirement Calculator'!K:K,MATCH('Lorri 401b'!N876,'Retirement Calculator'!A:A,0),0),0)</f>
        <v>16520.094745597391</v>
      </c>
      <c r="K876" s="455">
        <f t="shared" ca="1" si="79"/>
        <v>50088.245380570916</v>
      </c>
      <c r="L876" s="455">
        <f t="shared" ca="1" si="80"/>
        <v>12071267.136717591</v>
      </c>
      <c r="M876" s="471">
        <f t="shared" si="82"/>
        <v>0.05</v>
      </c>
      <c r="N876" s="475">
        <f t="shared" si="83"/>
        <v>77707</v>
      </c>
    </row>
    <row r="877" spans="7:14" ht="11.25" customHeight="1" x14ac:dyDescent="0.3">
      <c r="G877" s="470">
        <f t="shared" si="92"/>
        <v>73</v>
      </c>
      <c r="H877" s="470">
        <v>870</v>
      </c>
      <c r="I877" s="455">
        <f t="shared" ca="1" si="81"/>
        <v>12071267.136717591</v>
      </c>
      <c r="J877" s="455">
        <f t="array" ref="J877">IFERROR(INDEX('Retirement Calculator'!K:K,MATCH('Lorri 401b'!N877,'Retirement Calculator'!A:A,0),0),0)</f>
        <v>16520.094745597391</v>
      </c>
      <c r="K877" s="455">
        <f t="shared" ca="1" si="79"/>
        <v>50228.112674883312</v>
      </c>
      <c r="L877" s="455">
        <f t="shared" ca="1" si="80"/>
        <v>12104975.154646877</v>
      </c>
      <c r="M877" s="471">
        <f t="shared" si="82"/>
        <v>0.05</v>
      </c>
      <c r="N877" s="475">
        <f t="shared" si="83"/>
        <v>77738</v>
      </c>
    </row>
    <row r="878" spans="7:14" ht="11.25" customHeight="1" x14ac:dyDescent="0.3">
      <c r="G878" s="470">
        <f t="shared" si="92"/>
        <v>73</v>
      </c>
      <c r="H878" s="470">
        <v>871</v>
      </c>
      <c r="I878" s="455">
        <f t="shared" ca="1" si="81"/>
        <v>12104975.154646877</v>
      </c>
      <c r="J878" s="455">
        <f t="array" ref="J878">IFERROR(INDEX('Retirement Calculator'!K:K,MATCH('Lorri 401b'!N878,'Retirement Calculator'!A:A,0),0),0)</f>
        <v>16520.094745597391</v>
      </c>
      <c r="K878" s="455">
        <f t="shared" ca="1" si="79"/>
        <v>50368.562749588666</v>
      </c>
      <c r="L878" s="455">
        <f t="shared" ca="1" si="80"/>
        <v>12138823.622650869</v>
      </c>
      <c r="M878" s="471">
        <f t="shared" si="82"/>
        <v>0.05</v>
      </c>
      <c r="N878" s="475">
        <f t="shared" si="83"/>
        <v>77768</v>
      </c>
    </row>
    <row r="879" spans="7:14" ht="11.25" customHeight="1" x14ac:dyDescent="0.3">
      <c r="G879" s="470">
        <f t="shared" si="92"/>
        <v>73</v>
      </c>
      <c r="H879" s="470">
        <v>872</v>
      </c>
      <c r="I879" s="455">
        <f t="shared" ca="1" si="81"/>
        <v>12138823.622650869</v>
      </c>
      <c r="J879" s="455">
        <f t="array" ref="J879">IFERROR(INDEX('Retirement Calculator'!K:K,MATCH('Lorri 401b'!N879,'Retirement Calculator'!A:A,0),0),0)</f>
        <v>16520.094745597391</v>
      </c>
      <c r="K879" s="455">
        <f t="shared" ca="1" si="79"/>
        <v>50509.598032938637</v>
      </c>
      <c r="L879" s="455">
        <f t="shared" ca="1" si="80"/>
        <v>12172813.125938211</v>
      </c>
      <c r="M879" s="471">
        <f t="shared" si="82"/>
        <v>0.05</v>
      </c>
      <c r="N879" s="475">
        <f t="shared" si="83"/>
        <v>77799</v>
      </c>
    </row>
    <row r="880" spans="7:14" ht="11.25" customHeight="1" x14ac:dyDescent="0.3">
      <c r="G880" s="470">
        <f t="shared" si="92"/>
        <v>73</v>
      </c>
      <c r="H880" s="470">
        <v>873</v>
      </c>
      <c r="I880" s="455">
        <f t="shared" ca="1" si="81"/>
        <v>12172813.125938211</v>
      </c>
      <c r="J880" s="455">
        <f t="array" ref="J880">IFERROR(INDEX('Retirement Calculator'!K:K,MATCH('Lorri 401b'!N880,'Retirement Calculator'!A:A,0),0),0)</f>
        <v>16520.094745597391</v>
      </c>
      <c r="K880" s="455">
        <f t="shared" ca="1" si="79"/>
        <v>50651.220963302556</v>
      </c>
      <c r="L880" s="455">
        <f t="shared" ca="1" si="80"/>
        <v>12206944.252155917</v>
      </c>
      <c r="M880" s="471">
        <f t="shared" si="82"/>
        <v>0.05</v>
      </c>
      <c r="N880" s="475">
        <f t="shared" si="83"/>
        <v>77830</v>
      </c>
    </row>
    <row r="881" spans="7:14" ht="11.25" customHeight="1" x14ac:dyDescent="0.3">
      <c r="G881" s="470">
        <f t="shared" si="92"/>
        <v>73</v>
      </c>
      <c r="H881" s="470">
        <v>874</v>
      </c>
      <c r="I881" s="455">
        <f t="shared" ca="1" si="81"/>
        <v>12206944.252155917</v>
      </c>
      <c r="J881" s="455">
        <f t="array" ref="J881">IFERROR(INDEX('Retirement Calculator'!K:K,MATCH('Lorri 401b'!N881,'Retirement Calculator'!A:A,0),0),0)</f>
        <v>16520.094745597391</v>
      </c>
      <c r="K881" s="455">
        <f t="shared" ca="1" si="79"/>
        <v>50793.433989209669</v>
      </c>
      <c r="L881" s="455">
        <f t="shared" ca="1" si="80"/>
        <v>12241217.59139953</v>
      </c>
      <c r="M881" s="471">
        <f t="shared" si="82"/>
        <v>0.05</v>
      </c>
      <c r="N881" s="475">
        <f t="shared" si="83"/>
        <v>77858</v>
      </c>
    </row>
    <row r="882" spans="7:14" ht="11.25" customHeight="1" x14ac:dyDescent="0.3">
      <c r="G882" s="470">
        <f t="shared" si="92"/>
        <v>73</v>
      </c>
      <c r="H882" s="470">
        <v>875</v>
      </c>
      <c r="I882" s="455">
        <f t="shared" ca="1" si="81"/>
        <v>12241217.59139953</v>
      </c>
      <c r="J882" s="455">
        <f t="array" ref="J882">IFERROR(INDEX('Retirement Calculator'!K:K,MATCH('Lorri 401b'!N882,'Retirement Calculator'!A:A,0),0),0)</f>
        <v>16520.094745597391</v>
      </c>
      <c r="K882" s="455">
        <f t="shared" ca="1" si="79"/>
        <v>50936.239569391386</v>
      </c>
      <c r="L882" s="455">
        <f t="shared" ca="1" si="80"/>
        <v>12275633.736223325</v>
      </c>
      <c r="M882" s="471">
        <f t="shared" si="82"/>
        <v>0.05</v>
      </c>
      <c r="N882" s="475">
        <f t="shared" si="83"/>
        <v>77889</v>
      </c>
    </row>
    <row r="883" spans="7:14" ht="11.25" customHeight="1" x14ac:dyDescent="0.3">
      <c r="G883" s="470">
        <f t="shared" si="92"/>
        <v>73</v>
      </c>
      <c r="H883" s="470">
        <v>876</v>
      </c>
      <c r="I883" s="455">
        <f t="shared" ca="1" si="81"/>
        <v>12275633.736223325</v>
      </c>
      <c r="J883" s="455">
        <f t="array" ref="J883">IFERROR(INDEX('Retirement Calculator'!K:K,MATCH('Lorri 401b'!N883,'Retirement Calculator'!A:A,0),0),0)</f>
        <v>16520.094745597391</v>
      </c>
      <c r="K883" s="455">
        <f t="shared" ca="1" si="79"/>
        <v>51079.640172823871</v>
      </c>
      <c r="L883" s="455">
        <f t="shared" ca="1" si="80"/>
        <v>12310193.281650553</v>
      </c>
      <c r="M883" s="471">
        <f t="shared" si="82"/>
        <v>0.05</v>
      </c>
      <c r="N883" s="475">
        <f t="shared" si="83"/>
        <v>77919</v>
      </c>
    </row>
    <row r="884" spans="7:14" ht="11.25" customHeight="1" x14ac:dyDescent="0.3">
      <c r="G884" s="470">
        <f>G883+1</f>
        <v>74</v>
      </c>
      <c r="H884" s="470">
        <v>877</v>
      </c>
      <c r="I884" s="455">
        <f t="shared" ca="1" si="81"/>
        <v>12310193.281650553</v>
      </c>
      <c r="J884" s="455">
        <f t="array" ref="J884">IFERROR(INDEX('Retirement Calculator'!K:K,MATCH('Lorri 401b'!N884,'Retirement Calculator'!A:A,0),0),0)</f>
        <v>16520.094745597391</v>
      </c>
      <c r="K884" s="455">
        <f t="shared" ca="1" si="79"/>
        <v>51223.638278770646</v>
      </c>
      <c r="L884" s="455">
        <f t="shared" ca="1" si="80"/>
        <v>12344896.825183727</v>
      </c>
      <c r="M884" s="471">
        <f t="shared" si="82"/>
        <v>0.05</v>
      </c>
      <c r="N884" s="475">
        <f t="shared" si="83"/>
        <v>77950</v>
      </c>
    </row>
    <row r="885" spans="7:14" ht="11.25" customHeight="1" x14ac:dyDescent="0.3">
      <c r="G885" s="470">
        <f t="shared" ref="G885:G895" si="93">G884</f>
        <v>74</v>
      </c>
      <c r="H885" s="470">
        <v>878</v>
      </c>
      <c r="I885" s="455">
        <f t="shared" ca="1" si="81"/>
        <v>12344896.825183727</v>
      </c>
      <c r="J885" s="455">
        <f t="array" ref="J885">IFERROR(INDEX('Retirement Calculator'!K:K,MATCH('Lorri 401b'!N885,'Retirement Calculator'!A:A,0),0),0)</f>
        <v>16520.094745597391</v>
      </c>
      <c r="K885" s="455">
        <f t="shared" ca="1" si="79"/>
        <v>51368.236376825538</v>
      </c>
      <c r="L885" s="455">
        <f t="shared" ca="1" si="80"/>
        <v>12379744.966814956</v>
      </c>
      <c r="M885" s="471">
        <f t="shared" si="82"/>
        <v>0.05</v>
      </c>
      <c r="N885" s="475">
        <f t="shared" si="83"/>
        <v>77980</v>
      </c>
    </row>
    <row r="886" spans="7:14" ht="11.25" customHeight="1" x14ac:dyDescent="0.3">
      <c r="G886" s="470">
        <f t="shared" si="93"/>
        <v>74</v>
      </c>
      <c r="H886" s="470">
        <v>879</v>
      </c>
      <c r="I886" s="455">
        <f t="shared" ca="1" si="81"/>
        <v>12379744.966814956</v>
      </c>
      <c r="J886" s="455">
        <f t="array" ref="J886">IFERROR(INDEX('Retirement Calculator'!K:K,MATCH('Lorri 401b'!N886,'Retirement Calculator'!A:A,0),0),0)</f>
        <v>16520.094745597391</v>
      </c>
      <c r="K886" s="455">
        <f t="shared" ca="1" si="79"/>
        <v>51513.436966955662</v>
      </c>
      <c r="L886" s="455">
        <f t="shared" ca="1" si="80"/>
        <v>12414738.309036314</v>
      </c>
      <c r="M886" s="471">
        <f t="shared" si="82"/>
        <v>0.05</v>
      </c>
      <c r="N886" s="475">
        <f t="shared" si="83"/>
        <v>78011</v>
      </c>
    </row>
    <row r="887" spans="7:14" ht="11.25" customHeight="1" x14ac:dyDescent="0.3">
      <c r="G887" s="470">
        <f t="shared" si="93"/>
        <v>74</v>
      </c>
      <c r="H887" s="470">
        <v>880</v>
      </c>
      <c r="I887" s="455">
        <f t="shared" ca="1" si="81"/>
        <v>12414738.309036314</v>
      </c>
      <c r="J887" s="455">
        <f t="array" ref="J887">IFERROR(INDEX('Retirement Calculator'!K:K,MATCH('Lorri 401b'!N887,'Retirement Calculator'!A:A,0),0),0)</f>
        <v>16520.094745597391</v>
      </c>
      <c r="K887" s="455">
        <f t="shared" ca="1" si="79"/>
        <v>51659.242559544655</v>
      </c>
      <c r="L887" s="455">
        <f t="shared" ca="1" si="80"/>
        <v>12449877.456850262</v>
      </c>
      <c r="M887" s="471">
        <f t="shared" si="82"/>
        <v>0.05</v>
      </c>
      <c r="N887" s="475">
        <f t="shared" si="83"/>
        <v>78042</v>
      </c>
    </row>
    <row r="888" spans="7:14" ht="11.25" customHeight="1" x14ac:dyDescent="0.3">
      <c r="G888" s="470">
        <f t="shared" si="93"/>
        <v>74</v>
      </c>
      <c r="H888" s="470">
        <v>881</v>
      </c>
      <c r="I888" s="455">
        <f t="shared" ca="1" si="81"/>
        <v>12449877.456850262</v>
      </c>
      <c r="J888" s="455">
        <f t="array" ref="J888">IFERROR(INDEX('Retirement Calculator'!K:K,MATCH('Lorri 401b'!N888,'Retirement Calculator'!A:A,0),0),0)</f>
        <v>16520.094745597391</v>
      </c>
      <c r="K888" s="455">
        <f t="shared" ca="1" si="79"/>
        <v>51805.655675436108</v>
      </c>
      <c r="L888" s="455">
        <f t="shared" ca="1" si="80"/>
        <v>12485163.017780101</v>
      </c>
      <c r="M888" s="471">
        <f t="shared" si="82"/>
        <v>0.05</v>
      </c>
      <c r="N888" s="475">
        <f t="shared" si="83"/>
        <v>78072</v>
      </c>
    </row>
    <row r="889" spans="7:14" ht="11.25" customHeight="1" x14ac:dyDescent="0.3">
      <c r="G889" s="470">
        <f t="shared" si="93"/>
        <v>74</v>
      </c>
      <c r="H889" s="470">
        <v>882</v>
      </c>
      <c r="I889" s="455">
        <f t="shared" ca="1" si="81"/>
        <v>12485163.017780101</v>
      </c>
      <c r="J889" s="455">
        <f t="array" ref="J889">IFERROR(INDEX('Retirement Calculator'!K:K,MATCH('Lorri 401b'!N889,'Retirement Calculator'!A:A,0),0),0)</f>
        <v>16520.094745597391</v>
      </c>
      <c r="K889" s="455">
        <f t="shared" ca="1" si="79"/>
        <v>51952.678845977098</v>
      </c>
      <c r="L889" s="455">
        <f t="shared" ca="1" si="80"/>
        <v>12520595.601880481</v>
      </c>
      <c r="M889" s="471">
        <f t="shared" si="82"/>
        <v>0.05</v>
      </c>
      <c r="N889" s="475">
        <f t="shared" si="83"/>
        <v>78103</v>
      </c>
    </row>
    <row r="890" spans="7:14" ht="11.25" customHeight="1" x14ac:dyDescent="0.3">
      <c r="G890" s="470">
        <f t="shared" si="93"/>
        <v>74</v>
      </c>
      <c r="H890" s="470">
        <v>883</v>
      </c>
      <c r="I890" s="455">
        <f t="shared" ca="1" si="81"/>
        <v>12520595.601880481</v>
      </c>
      <c r="J890" s="455">
        <f t="array" ref="J890">IFERROR(INDEX('Retirement Calculator'!K:K,MATCH('Lorri 401b'!N890,'Retirement Calculator'!A:A,0),0),0)</f>
        <v>16520.094745597391</v>
      </c>
      <c r="K890" s="455">
        <f t="shared" ca="1" si="79"/>
        <v>52100.314613062015</v>
      </c>
      <c r="L890" s="455">
        <f t="shared" ca="1" si="80"/>
        <v>12556175.821747947</v>
      </c>
      <c r="M890" s="471">
        <f t="shared" si="82"/>
        <v>0.05</v>
      </c>
      <c r="N890" s="475">
        <f t="shared" si="83"/>
        <v>78133</v>
      </c>
    </row>
    <row r="891" spans="7:14" ht="11.25" customHeight="1" x14ac:dyDescent="0.3">
      <c r="G891" s="470">
        <f t="shared" si="93"/>
        <v>74</v>
      </c>
      <c r="H891" s="470">
        <v>884</v>
      </c>
      <c r="I891" s="455">
        <f t="shared" ca="1" si="81"/>
        <v>12556175.821747947</v>
      </c>
      <c r="J891" s="455">
        <f t="array" ref="J891">IFERROR(INDEX('Retirement Calculator'!K:K,MATCH('Lorri 401b'!N891,'Retirement Calculator'!A:A,0),0),0)</f>
        <v>16520.094745597391</v>
      </c>
      <c r="K891" s="455">
        <f t="shared" ca="1" si="79"/>
        <v>52248.565529176463</v>
      </c>
      <c r="L891" s="455">
        <f t="shared" ca="1" si="80"/>
        <v>12591904.292531528</v>
      </c>
      <c r="M891" s="471">
        <f t="shared" si="82"/>
        <v>0.05</v>
      </c>
      <c r="N891" s="475">
        <f t="shared" si="83"/>
        <v>78164</v>
      </c>
    </row>
    <row r="892" spans="7:14" ht="11.25" customHeight="1" x14ac:dyDescent="0.3">
      <c r="G892" s="470">
        <f t="shared" si="93"/>
        <v>74</v>
      </c>
      <c r="H892" s="470">
        <v>885</v>
      </c>
      <c r="I892" s="455">
        <f t="shared" ca="1" si="81"/>
        <v>12591904.292531528</v>
      </c>
      <c r="J892" s="455">
        <f t="array" ref="J892">IFERROR(INDEX('Retirement Calculator'!K:K,MATCH('Lorri 401b'!N892,'Retirement Calculator'!A:A,0),0),0)</f>
        <v>16520.094745597391</v>
      </c>
      <c r="K892" s="455">
        <f t="shared" ca="1" si="79"/>
        <v>52397.434157441377</v>
      </c>
      <c r="L892" s="455">
        <f t="shared" ca="1" si="80"/>
        <v>12627781.631943373</v>
      </c>
      <c r="M892" s="471">
        <f t="shared" si="82"/>
        <v>0.05</v>
      </c>
      <c r="N892" s="475">
        <f t="shared" si="83"/>
        <v>78195</v>
      </c>
    </row>
    <row r="893" spans="7:14" ht="11.25" customHeight="1" x14ac:dyDescent="0.3">
      <c r="G893" s="470">
        <f t="shared" si="93"/>
        <v>74</v>
      </c>
      <c r="H893" s="470">
        <v>886</v>
      </c>
      <c r="I893" s="455">
        <f t="shared" ca="1" si="81"/>
        <v>12627781.631943373</v>
      </c>
      <c r="J893" s="455">
        <f t="array" ref="J893">IFERROR(INDEX('Retirement Calculator'!K:K,MATCH('Lorri 401b'!N893,'Retirement Calculator'!A:A,0),0),0)</f>
        <v>16520.094745597391</v>
      </c>
      <c r="K893" s="455">
        <f t="shared" ca="1" si="79"/>
        <v>52546.923071657402</v>
      </c>
      <c r="L893" s="455">
        <f t="shared" ca="1" si="80"/>
        <v>12663808.460269434</v>
      </c>
      <c r="M893" s="471">
        <f t="shared" si="82"/>
        <v>0.05</v>
      </c>
      <c r="N893" s="475">
        <f t="shared" si="83"/>
        <v>78223</v>
      </c>
    </row>
    <row r="894" spans="7:14" ht="11.25" customHeight="1" x14ac:dyDescent="0.3">
      <c r="G894" s="470">
        <f t="shared" si="93"/>
        <v>74</v>
      </c>
      <c r="H894" s="470">
        <v>887</v>
      </c>
      <c r="I894" s="455">
        <f t="shared" ca="1" si="81"/>
        <v>12663808.460269434</v>
      </c>
      <c r="J894" s="455">
        <f t="array" ref="J894">IFERROR(INDEX('Retirement Calculator'!K:K,MATCH('Lorri 401b'!N894,'Retirement Calculator'!A:A,0),0),0)</f>
        <v>16520.094745597391</v>
      </c>
      <c r="K894" s="455">
        <f t="shared" ca="1" si="79"/>
        <v>52697.034856349324</v>
      </c>
      <c r="L894" s="455">
        <f t="shared" ca="1" si="80"/>
        <v>12699985.400380187</v>
      </c>
      <c r="M894" s="471">
        <f t="shared" si="82"/>
        <v>0.05</v>
      </c>
      <c r="N894" s="475">
        <f t="shared" si="83"/>
        <v>78254</v>
      </c>
    </row>
    <row r="895" spans="7:14" ht="11.25" customHeight="1" x14ac:dyDescent="0.3">
      <c r="G895" s="470">
        <f t="shared" si="93"/>
        <v>74</v>
      </c>
      <c r="H895" s="470">
        <v>888</v>
      </c>
      <c r="I895" s="455">
        <f t="shared" ca="1" si="81"/>
        <v>12699985.400380187</v>
      </c>
      <c r="J895" s="455">
        <f t="array" ref="J895">IFERROR(INDEX('Retirement Calculator'!K:K,MATCH('Lorri 401b'!N895,'Retirement Calculator'!A:A,0),0),0)</f>
        <v>16520.094745597391</v>
      </c>
      <c r="K895" s="455">
        <f t="shared" ca="1" si="79"/>
        <v>52847.772106810793</v>
      </c>
      <c r="L895" s="455">
        <f t="shared" ca="1" si="80"/>
        <v>12736313.077741401</v>
      </c>
      <c r="M895" s="471">
        <f t="shared" si="82"/>
        <v>0.05</v>
      </c>
      <c r="N895" s="475">
        <f t="shared" si="83"/>
        <v>78284</v>
      </c>
    </row>
    <row r="896" spans="7:14" ht="11.25" customHeight="1" x14ac:dyDescent="0.3">
      <c r="G896" s="470">
        <f>G895+1</f>
        <v>75</v>
      </c>
      <c r="H896" s="470">
        <v>889</v>
      </c>
      <c r="I896" s="455">
        <f t="shared" ca="1" si="81"/>
        <v>12736313.077741401</v>
      </c>
      <c r="J896" s="455">
        <f t="array" ref="J896">IFERROR(INDEX('Retirement Calculator'!K:K,MATCH('Lorri 401b'!N896,'Retirement Calculator'!A:A,0),0),0)</f>
        <v>16520.094745597391</v>
      </c>
      <c r="K896" s="455">
        <f t="shared" ca="1" si="79"/>
        <v>52999.137429149181</v>
      </c>
      <c r="L896" s="455">
        <f t="shared" ca="1" si="80"/>
        <v>12772792.120424954</v>
      </c>
      <c r="M896" s="471">
        <f t="shared" si="82"/>
        <v>0.05</v>
      </c>
      <c r="N896" s="475">
        <f t="shared" si="83"/>
        <v>78315</v>
      </c>
    </row>
    <row r="897" spans="7:14" ht="11.25" customHeight="1" x14ac:dyDescent="0.3">
      <c r="G897" s="470">
        <f t="shared" ref="G897:G907" si="94">G896</f>
        <v>75</v>
      </c>
      <c r="H897" s="470">
        <v>890</v>
      </c>
      <c r="I897" s="455">
        <f t="shared" ca="1" si="81"/>
        <v>12772792.120424954</v>
      </c>
      <c r="J897" s="455">
        <f t="array" ref="J897">IFERROR(INDEX('Retirement Calculator'!K:K,MATCH('Lorri 401b'!N897,'Retirement Calculator'!A:A,0),0),0)</f>
        <v>16520.094745597391</v>
      </c>
      <c r="K897" s="455">
        <f t="shared" ca="1" si="79"/>
        <v>53151.133440330654</v>
      </c>
      <c r="L897" s="455">
        <f t="shared" ca="1" si="80"/>
        <v>12809423.159119688</v>
      </c>
      <c r="M897" s="471">
        <f t="shared" si="82"/>
        <v>0.05</v>
      </c>
      <c r="N897" s="475">
        <f t="shared" si="83"/>
        <v>78345</v>
      </c>
    </row>
    <row r="898" spans="7:14" ht="11.25" customHeight="1" x14ac:dyDescent="0.3">
      <c r="G898" s="470">
        <f t="shared" si="94"/>
        <v>75</v>
      </c>
      <c r="H898" s="470">
        <v>891</v>
      </c>
      <c r="I898" s="455">
        <f t="shared" ca="1" si="81"/>
        <v>12809423.159119688</v>
      </c>
      <c r="J898" s="455">
        <f t="array" ref="J898">IFERROR(INDEX('Retirement Calculator'!K:K,MATCH('Lorri 401b'!N898,'Retirement Calculator'!A:A,0),0),0)</f>
        <v>16520.094745597391</v>
      </c>
      <c r="K898" s="455">
        <f t="shared" ca="1" si="79"/>
        <v>53303.762768225381</v>
      </c>
      <c r="L898" s="455">
        <f t="shared" ca="1" si="80"/>
        <v>12846206.827142317</v>
      </c>
      <c r="M898" s="471">
        <f t="shared" si="82"/>
        <v>0.05</v>
      </c>
      <c r="N898" s="475">
        <f t="shared" si="83"/>
        <v>78376</v>
      </c>
    </row>
    <row r="899" spans="7:14" ht="11.25" customHeight="1" x14ac:dyDescent="0.3">
      <c r="G899" s="470">
        <f t="shared" si="94"/>
        <v>75</v>
      </c>
      <c r="H899" s="470">
        <v>892</v>
      </c>
      <c r="I899" s="455">
        <f t="shared" ca="1" si="81"/>
        <v>12846206.827142317</v>
      </c>
      <c r="J899" s="455">
        <f t="array" ref="J899">IFERROR(INDEX('Retirement Calculator'!K:K,MATCH('Lorri 401b'!N899,'Retirement Calculator'!A:A,0),0),0)</f>
        <v>16520.094745597391</v>
      </c>
      <c r="K899" s="455">
        <f t="shared" ca="1" si="79"/>
        <v>53457.028051652997</v>
      </c>
      <c r="L899" s="455">
        <f t="shared" ca="1" si="80"/>
        <v>12883143.760448374</v>
      </c>
      <c r="M899" s="471">
        <f t="shared" si="82"/>
        <v>0.05</v>
      </c>
      <c r="N899" s="475">
        <f t="shared" si="83"/>
        <v>78407</v>
      </c>
    </row>
    <row r="900" spans="7:14" ht="11.25" customHeight="1" x14ac:dyDescent="0.3">
      <c r="G900" s="470">
        <f t="shared" si="94"/>
        <v>75</v>
      </c>
      <c r="H900" s="470">
        <v>893</v>
      </c>
      <c r="I900" s="455">
        <f t="shared" ca="1" si="81"/>
        <v>12883143.760448374</v>
      </c>
      <c r="J900" s="455">
        <f t="array" ref="J900">IFERROR(INDEX('Retirement Calculator'!K:K,MATCH('Lorri 401b'!N900,'Retirement Calculator'!A:A,0),0),0)</f>
        <v>16520.094745597391</v>
      </c>
      <c r="K900" s="455">
        <f t="shared" ca="1" si="79"/>
        <v>53610.931940428236</v>
      </c>
      <c r="L900" s="455">
        <f t="shared" ca="1" si="80"/>
        <v>12920234.597643206</v>
      </c>
      <c r="M900" s="471">
        <f t="shared" si="82"/>
        <v>0.05</v>
      </c>
      <c r="N900" s="475">
        <f t="shared" si="83"/>
        <v>78437</v>
      </c>
    </row>
    <row r="901" spans="7:14" ht="11.25" customHeight="1" x14ac:dyDescent="0.3">
      <c r="G901" s="470">
        <f t="shared" si="94"/>
        <v>75</v>
      </c>
      <c r="H901" s="470">
        <v>894</v>
      </c>
      <c r="I901" s="455">
        <f t="shared" ca="1" si="81"/>
        <v>12920234.597643206</v>
      </c>
      <c r="J901" s="455">
        <f t="array" ref="J901">IFERROR(INDEX('Retirement Calculator'!K:K,MATCH('Lorri 401b'!N901,'Retirement Calculator'!A:A,0),0),0)</f>
        <v>16520.094745597391</v>
      </c>
      <c r="K901" s="455">
        <f t="shared" ca="1" si="79"/>
        <v>53765.477095406706</v>
      </c>
      <c r="L901" s="455">
        <f t="shared" ca="1" si="80"/>
        <v>12957479.979993016</v>
      </c>
      <c r="M901" s="471">
        <f t="shared" si="82"/>
        <v>0.05</v>
      </c>
      <c r="N901" s="475">
        <f t="shared" si="83"/>
        <v>78468</v>
      </c>
    </row>
    <row r="902" spans="7:14" ht="11.25" customHeight="1" x14ac:dyDescent="0.3">
      <c r="G902" s="470">
        <f t="shared" si="94"/>
        <v>75</v>
      </c>
      <c r="H902" s="470">
        <v>895</v>
      </c>
      <c r="I902" s="455">
        <f t="shared" ca="1" si="81"/>
        <v>12957479.979993016</v>
      </c>
      <c r="J902" s="455">
        <f t="array" ref="J902">IFERROR(INDEX('Retirement Calculator'!K:K,MATCH('Lorri 401b'!N902,'Retirement Calculator'!A:A,0),0),0)</f>
        <v>16520.094745597391</v>
      </c>
      <c r="K902" s="455">
        <f t="shared" ca="1" si="79"/>
        <v>53920.666188530908</v>
      </c>
      <c r="L902" s="455">
        <f t="shared" ca="1" si="80"/>
        <v>12994880.551435949</v>
      </c>
      <c r="M902" s="471">
        <f t="shared" si="82"/>
        <v>0.05</v>
      </c>
      <c r="N902" s="475">
        <f t="shared" si="83"/>
        <v>78498</v>
      </c>
    </row>
    <row r="903" spans="7:14" ht="11.25" customHeight="1" x14ac:dyDescent="0.3">
      <c r="G903" s="470">
        <f t="shared" si="94"/>
        <v>75</v>
      </c>
      <c r="H903" s="470">
        <v>896</v>
      </c>
      <c r="I903" s="455">
        <f t="shared" ca="1" si="81"/>
        <v>12994880.551435949</v>
      </c>
      <c r="J903" s="455">
        <f t="array" ref="J903">IFERROR(INDEX('Retirement Calculator'!K:K,MATCH('Lorri 401b'!N903,'Retirement Calculator'!A:A,0),0),0)</f>
        <v>16520.094745597391</v>
      </c>
      <c r="K903" s="455">
        <f t="shared" ca="1" si="79"/>
        <v>54076.501902876465</v>
      </c>
      <c r="L903" s="455">
        <f t="shared" ca="1" si="80"/>
        <v>13032436.958593229</v>
      </c>
      <c r="M903" s="471">
        <f t="shared" si="82"/>
        <v>0.05</v>
      </c>
      <c r="N903" s="475">
        <f t="shared" si="83"/>
        <v>78529</v>
      </c>
    </row>
    <row r="904" spans="7:14" ht="11.25" customHeight="1" x14ac:dyDescent="0.3">
      <c r="G904" s="470">
        <f t="shared" si="94"/>
        <v>75</v>
      </c>
      <c r="H904" s="470">
        <v>897</v>
      </c>
      <c r="I904" s="455">
        <f t="shared" ca="1" si="81"/>
        <v>13032436.958593229</v>
      </c>
      <c r="J904" s="455">
        <f t="array" ref="J904">IFERROR(INDEX('Retirement Calculator'!K:K,MATCH('Lorri 401b'!N904,'Retirement Calculator'!A:A,0),0),0)</f>
        <v>16520.094745597391</v>
      </c>
      <c r="K904" s="455">
        <f t="shared" ca="1" si="79"/>
        <v>54232.986932698463</v>
      </c>
      <c r="L904" s="455">
        <f t="shared" ca="1" si="80"/>
        <v>13070149.850780331</v>
      </c>
      <c r="M904" s="471">
        <f t="shared" si="82"/>
        <v>0.05</v>
      </c>
      <c r="N904" s="475">
        <f t="shared" si="83"/>
        <v>78560</v>
      </c>
    </row>
    <row r="905" spans="7:14" ht="11.25" customHeight="1" x14ac:dyDescent="0.3">
      <c r="G905" s="470">
        <f t="shared" si="94"/>
        <v>75</v>
      </c>
      <c r="H905" s="470">
        <v>898</v>
      </c>
      <c r="I905" s="455">
        <f t="shared" ca="1" si="81"/>
        <v>13070149.850780331</v>
      </c>
      <c r="J905" s="455">
        <f t="array" ref="J905">IFERROR(INDEX('Retirement Calculator'!K:K,MATCH('Lorri 401b'!N905,'Retirement Calculator'!A:A,0),0),0)</f>
        <v>16520.094745597391</v>
      </c>
      <c r="K905" s="455">
        <f t="shared" ca="1" si="79"/>
        <v>54390.123983478057</v>
      </c>
      <c r="L905" s="455">
        <f t="shared" ca="1" si="80"/>
        <v>13108019.880018212</v>
      </c>
      <c r="M905" s="471">
        <f t="shared" si="82"/>
        <v>0.05</v>
      </c>
      <c r="N905" s="475">
        <f t="shared" si="83"/>
        <v>78588</v>
      </c>
    </row>
    <row r="906" spans="7:14" ht="11.25" customHeight="1" x14ac:dyDescent="0.3">
      <c r="G906" s="470">
        <f t="shared" si="94"/>
        <v>75</v>
      </c>
      <c r="H906" s="470">
        <v>899</v>
      </c>
      <c r="I906" s="455">
        <f t="shared" ca="1" si="81"/>
        <v>13108019.880018212</v>
      </c>
      <c r="J906" s="455">
        <f t="array" ref="J906">IFERROR(INDEX('Retirement Calculator'!K:K,MATCH('Lorri 401b'!N906,'Retirement Calculator'!A:A,0),0),0)</f>
        <v>16520.094745597391</v>
      </c>
      <c r="K906" s="455">
        <f t="shared" ca="1" si="79"/>
        <v>54547.91577196923</v>
      </c>
      <c r="L906" s="455">
        <f t="shared" ca="1" si="80"/>
        <v>13146047.701044584</v>
      </c>
      <c r="M906" s="471">
        <f t="shared" si="82"/>
        <v>0.05</v>
      </c>
      <c r="N906" s="475">
        <f t="shared" si="83"/>
        <v>78619</v>
      </c>
    </row>
    <row r="907" spans="7:14" ht="11.25" customHeight="1" x14ac:dyDescent="0.3">
      <c r="G907" s="470">
        <f t="shared" si="94"/>
        <v>75</v>
      </c>
      <c r="H907" s="470">
        <v>900</v>
      </c>
      <c r="I907" s="455">
        <f t="shared" ca="1" si="81"/>
        <v>13146047.701044584</v>
      </c>
      <c r="J907" s="455">
        <f t="array" ref="J907">IFERROR(INDEX('Retirement Calculator'!K:K,MATCH('Lorri 401b'!N907,'Retirement Calculator'!A:A,0),0),0)</f>
        <v>16520.094745597391</v>
      </c>
      <c r="K907" s="455">
        <f t="shared" ca="1" si="79"/>
        <v>54706.365026245767</v>
      </c>
      <c r="L907" s="455">
        <f t="shared" ca="1" si="80"/>
        <v>13184233.971325232</v>
      </c>
      <c r="M907" s="471">
        <f t="shared" si="82"/>
        <v>0.05</v>
      </c>
      <c r="N907" s="475">
        <f t="shared" si="83"/>
        <v>78649</v>
      </c>
    </row>
    <row r="908" spans="7:14" ht="11.25" customHeight="1" x14ac:dyDescent="0.3">
      <c r="G908" s="470">
        <f>G907+1</f>
        <v>76</v>
      </c>
      <c r="H908" s="470">
        <v>901</v>
      </c>
      <c r="I908" s="455">
        <f t="shared" ca="1" si="81"/>
        <v>13184233.971325232</v>
      </c>
      <c r="J908" s="455">
        <f t="array" ref="J908">IFERROR(INDEX('Retirement Calculator'!K:K,MATCH('Lorri 401b'!N908,'Retirement Calculator'!A:A,0),0),0)</f>
        <v>16520.094745597391</v>
      </c>
      <c r="K908" s="455">
        <f t="shared" ca="1" si="79"/>
        <v>54865.474485748484</v>
      </c>
      <c r="L908" s="455">
        <f t="shared" ca="1" si="80"/>
        <v>13222579.351065384</v>
      </c>
      <c r="M908" s="471">
        <f t="shared" si="82"/>
        <v>0.05</v>
      </c>
      <c r="N908" s="475">
        <f t="shared" si="83"/>
        <v>78680</v>
      </c>
    </row>
    <row r="909" spans="7:14" ht="11.25" customHeight="1" x14ac:dyDescent="0.3">
      <c r="G909" s="470">
        <f t="shared" ref="G909:G919" si="95">G908</f>
        <v>76</v>
      </c>
      <c r="H909" s="470">
        <v>902</v>
      </c>
      <c r="I909" s="455">
        <f t="shared" ca="1" si="81"/>
        <v>13222579.351065384</v>
      </c>
      <c r="J909" s="455">
        <f t="array" ref="J909">IFERROR(INDEX('Retirement Calculator'!K:K,MATCH('Lorri 401b'!N909,'Retirement Calculator'!A:A,0),0),0)</f>
        <v>16520.094745597391</v>
      </c>
      <c r="K909" s="455">
        <f t="shared" ca="1" si="79"/>
        <v>55025.246901332444</v>
      </c>
      <c r="L909" s="455">
        <f t="shared" ca="1" si="80"/>
        <v>13261084.503221121</v>
      </c>
      <c r="M909" s="471">
        <f t="shared" si="82"/>
        <v>0.05</v>
      </c>
      <c r="N909" s="475">
        <f t="shared" si="83"/>
        <v>78710</v>
      </c>
    </row>
    <row r="910" spans="7:14" ht="11.25" customHeight="1" x14ac:dyDescent="0.3">
      <c r="G910" s="470">
        <f t="shared" si="95"/>
        <v>76</v>
      </c>
      <c r="H910" s="470">
        <v>903</v>
      </c>
      <c r="I910" s="455">
        <f t="shared" ca="1" si="81"/>
        <v>13261084.503221121</v>
      </c>
      <c r="J910" s="455">
        <f t="array" ref="J910">IFERROR(INDEX('Retirement Calculator'!K:K,MATCH('Lorri 401b'!N910,'Retirement Calculator'!A:A,0),0),0)</f>
        <v>16520.094745597391</v>
      </c>
      <c r="K910" s="455">
        <f t="shared" ca="1" si="79"/>
        <v>55185.68503531468</v>
      </c>
      <c r="L910" s="455">
        <f t="shared" ca="1" si="80"/>
        <v>13299750.093510838</v>
      </c>
      <c r="M910" s="471">
        <f t="shared" si="82"/>
        <v>0.05</v>
      </c>
      <c r="N910" s="475">
        <f t="shared" si="83"/>
        <v>78741</v>
      </c>
    </row>
    <row r="911" spans="7:14" ht="11.25" customHeight="1" x14ac:dyDescent="0.3">
      <c r="G911" s="470">
        <f t="shared" si="95"/>
        <v>76</v>
      </c>
      <c r="H911" s="470">
        <v>904</v>
      </c>
      <c r="I911" s="455">
        <f t="shared" ca="1" si="81"/>
        <v>13299750.093510838</v>
      </c>
      <c r="J911" s="455">
        <f t="array" ref="J911">IFERROR(INDEX('Retirement Calculator'!K:K,MATCH('Lorri 401b'!N911,'Retirement Calculator'!A:A,0),0),0)</f>
        <v>16520.094745597391</v>
      </c>
      <c r="K911" s="455">
        <f t="shared" ca="1" si="79"/>
        <v>55346.791661521835</v>
      </c>
      <c r="L911" s="455">
        <f t="shared" ca="1" si="80"/>
        <v>13338576.790426763</v>
      </c>
      <c r="M911" s="471">
        <f t="shared" si="82"/>
        <v>0.05</v>
      </c>
      <c r="N911" s="475">
        <f t="shared" si="83"/>
        <v>78772</v>
      </c>
    </row>
    <row r="912" spans="7:14" ht="11.25" customHeight="1" x14ac:dyDescent="0.3">
      <c r="G912" s="470">
        <f t="shared" si="95"/>
        <v>76</v>
      </c>
      <c r="H912" s="470">
        <v>905</v>
      </c>
      <c r="I912" s="455">
        <f t="shared" ca="1" si="81"/>
        <v>13338576.790426763</v>
      </c>
      <c r="J912" s="455">
        <f t="array" ref="J912">IFERROR(INDEX('Retirement Calculator'!K:K,MATCH('Lorri 401b'!N912,'Retirement Calculator'!A:A,0),0),0)</f>
        <v>16520.094745597391</v>
      </c>
      <c r="K912" s="455">
        <f t="shared" ca="1" si="79"/>
        <v>55508.569565338199</v>
      </c>
      <c r="L912" s="455">
        <f t="shared" ca="1" si="80"/>
        <v>13377565.265246505</v>
      </c>
      <c r="M912" s="471">
        <f t="shared" si="82"/>
        <v>0.05</v>
      </c>
      <c r="N912" s="475">
        <f t="shared" si="83"/>
        <v>78802</v>
      </c>
    </row>
    <row r="913" spans="7:14" ht="11.25" customHeight="1" x14ac:dyDescent="0.3">
      <c r="G913" s="470">
        <f t="shared" si="95"/>
        <v>76</v>
      </c>
      <c r="H913" s="470">
        <v>906</v>
      </c>
      <c r="I913" s="455">
        <f t="shared" ca="1" si="81"/>
        <v>13377565.265246505</v>
      </c>
      <c r="J913" s="455">
        <f t="array" ref="J913">IFERROR(INDEX('Retirement Calculator'!K:K,MATCH('Lorri 401b'!N913,'Retirement Calculator'!A:A,0),0),0)</f>
        <v>16520.094745597391</v>
      </c>
      <c r="K913" s="455">
        <f t="shared" ca="1" si="79"/>
        <v>55671.021543753792</v>
      </c>
      <c r="L913" s="455">
        <f t="shared" ca="1" si="80"/>
        <v>13416716.192044662</v>
      </c>
      <c r="M913" s="471">
        <f t="shared" si="82"/>
        <v>0.05</v>
      </c>
      <c r="N913" s="475">
        <f t="shared" si="83"/>
        <v>78833</v>
      </c>
    </row>
    <row r="914" spans="7:14" ht="11.25" customHeight="1" x14ac:dyDescent="0.3">
      <c r="G914" s="470">
        <f t="shared" si="95"/>
        <v>76</v>
      </c>
      <c r="H914" s="470">
        <v>907</v>
      </c>
      <c r="I914" s="455">
        <f t="shared" ca="1" si="81"/>
        <v>13416716.192044662</v>
      </c>
      <c r="J914" s="455">
        <f t="array" ref="J914">IFERROR(INDEX('Retirement Calculator'!K:K,MATCH('Lorri 401b'!N914,'Retirement Calculator'!A:A,0),0),0)</f>
        <v>16520.094745597391</v>
      </c>
      <c r="K914" s="455">
        <f t="shared" ca="1" si="79"/>
        <v>55834.150405412765</v>
      </c>
      <c r="L914" s="455">
        <f t="shared" ca="1" si="80"/>
        <v>13456030.247704478</v>
      </c>
      <c r="M914" s="471">
        <f t="shared" si="82"/>
        <v>0.05</v>
      </c>
      <c r="N914" s="475">
        <f t="shared" si="83"/>
        <v>78863</v>
      </c>
    </row>
    <row r="915" spans="7:14" ht="11.25" customHeight="1" x14ac:dyDescent="0.3">
      <c r="G915" s="470">
        <f t="shared" si="95"/>
        <v>76</v>
      </c>
      <c r="H915" s="470">
        <v>908</v>
      </c>
      <c r="I915" s="455">
        <f t="shared" ca="1" si="81"/>
        <v>13456030.247704478</v>
      </c>
      <c r="J915" s="455">
        <f t="array" ref="J915">IFERROR(INDEX('Retirement Calculator'!K:K,MATCH('Lorri 401b'!N915,'Retirement Calculator'!A:A,0),0),0)</f>
        <v>16520.094745597391</v>
      </c>
      <c r="K915" s="455">
        <f t="shared" ca="1" si="79"/>
        <v>55997.95897066201</v>
      </c>
      <c r="L915" s="455">
        <f t="shared" ca="1" si="80"/>
        <v>13495508.111929543</v>
      </c>
      <c r="M915" s="471">
        <f t="shared" si="82"/>
        <v>0.05</v>
      </c>
      <c r="N915" s="475">
        <f t="shared" si="83"/>
        <v>78894</v>
      </c>
    </row>
    <row r="916" spans="7:14" ht="11.25" customHeight="1" x14ac:dyDescent="0.3">
      <c r="G916" s="470">
        <f t="shared" si="95"/>
        <v>76</v>
      </c>
      <c r="H916" s="470">
        <v>909</v>
      </c>
      <c r="I916" s="455">
        <f t="shared" ca="1" si="81"/>
        <v>13495508.111929543</v>
      </c>
      <c r="J916" s="455">
        <f t="array" ref="J916">IFERROR(INDEX('Retirement Calculator'!K:K,MATCH('Lorri 401b'!N916,'Retirement Calculator'!A:A,0),0),0)</f>
        <v>16520.094745597391</v>
      </c>
      <c r="K916" s="455">
        <f t="shared" ca="1" si="79"/>
        <v>56162.450071599778</v>
      </c>
      <c r="L916" s="455">
        <f t="shared" ca="1" si="80"/>
        <v>13535150.467255546</v>
      </c>
      <c r="M916" s="471">
        <f t="shared" si="82"/>
        <v>0.05</v>
      </c>
      <c r="N916" s="475">
        <f t="shared" si="83"/>
        <v>78925</v>
      </c>
    </row>
    <row r="917" spans="7:14" ht="11.25" customHeight="1" x14ac:dyDescent="0.3">
      <c r="G917" s="470">
        <f t="shared" si="95"/>
        <v>76</v>
      </c>
      <c r="H917" s="470">
        <v>910</v>
      </c>
      <c r="I917" s="455">
        <f t="shared" ca="1" si="81"/>
        <v>13535150.467255546</v>
      </c>
      <c r="J917" s="455">
        <f t="array" ref="J917">IFERROR(INDEX('Retirement Calculator'!K:K,MATCH('Lorri 401b'!N917,'Retirement Calculator'!A:A,0),0),0)</f>
        <v>16520.094745597391</v>
      </c>
      <c r="K917" s="455">
        <f t="shared" ca="1" si="79"/>
        <v>56327.626552124784</v>
      </c>
      <c r="L917" s="455">
        <f t="shared" ca="1" si="80"/>
        <v>13574957.999062074</v>
      </c>
      <c r="M917" s="471">
        <f t="shared" si="82"/>
        <v>0.05</v>
      </c>
      <c r="N917" s="475">
        <f t="shared" si="83"/>
        <v>78954</v>
      </c>
    </row>
    <row r="918" spans="7:14" ht="11.25" customHeight="1" x14ac:dyDescent="0.3">
      <c r="G918" s="470">
        <f t="shared" si="95"/>
        <v>76</v>
      </c>
      <c r="H918" s="470">
        <v>911</v>
      </c>
      <c r="I918" s="455">
        <f t="shared" ca="1" si="81"/>
        <v>13574957.999062074</v>
      </c>
      <c r="J918" s="455">
        <f t="array" ref="J918">IFERROR(INDEX('Retirement Calculator'!K:K,MATCH('Lorri 401b'!N918,'Retirement Calculator'!A:A,0),0),0)</f>
        <v>16520.094745597391</v>
      </c>
      <c r="K918" s="455">
        <f t="shared" ca="1" si="79"/>
        <v>56493.491267985322</v>
      </c>
      <c r="L918" s="455">
        <f t="shared" ca="1" si="80"/>
        <v>13614931.395584462</v>
      </c>
      <c r="M918" s="471">
        <f t="shared" si="82"/>
        <v>0.05</v>
      </c>
      <c r="N918" s="475">
        <f t="shared" si="83"/>
        <v>78985</v>
      </c>
    </row>
    <row r="919" spans="7:14" ht="11.25" customHeight="1" x14ac:dyDescent="0.3">
      <c r="G919" s="470">
        <f t="shared" si="95"/>
        <v>76</v>
      </c>
      <c r="H919" s="470">
        <v>912</v>
      </c>
      <c r="I919" s="455">
        <f t="shared" ca="1" si="81"/>
        <v>13614931.395584462</v>
      </c>
      <c r="J919" s="455">
        <f t="array" ref="J919">IFERROR(INDEX('Retirement Calculator'!K:K,MATCH('Lorri 401b'!N919,'Retirement Calculator'!A:A,0),0),0)</f>
        <v>16520.094745597391</v>
      </c>
      <c r="K919" s="455">
        <f t="shared" ca="1" si="79"/>
        <v>56660.047086828607</v>
      </c>
      <c r="L919" s="455">
        <f t="shared" ca="1" si="80"/>
        <v>13655071.347925695</v>
      </c>
      <c r="M919" s="471">
        <f t="shared" si="82"/>
        <v>0.05</v>
      </c>
      <c r="N919" s="475">
        <f t="shared" si="83"/>
        <v>79015</v>
      </c>
    </row>
    <row r="920" spans="7:14" ht="11.25" customHeight="1" x14ac:dyDescent="0.3">
      <c r="G920" s="470">
        <f>G919+1</f>
        <v>77</v>
      </c>
      <c r="H920" s="470">
        <v>913</v>
      </c>
      <c r="I920" s="455">
        <f t="shared" ca="1" si="81"/>
        <v>13655071.347925695</v>
      </c>
      <c r="J920" s="455">
        <f t="array" ref="J920">IFERROR(INDEX('Retirement Calculator'!K:K,MATCH('Lorri 401b'!N920,'Retirement Calculator'!A:A,0),0),0)</f>
        <v>16520.094745597391</v>
      </c>
      <c r="K920" s="455">
        <f t="shared" ca="1" si="79"/>
        <v>56827.296888250406</v>
      </c>
      <c r="L920" s="455">
        <f t="shared" ca="1" si="80"/>
        <v>13695378.550068349</v>
      </c>
      <c r="M920" s="471">
        <f t="shared" si="82"/>
        <v>0.05</v>
      </c>
      <c r="N920" s="475">
        <f t="shared" si="83"/>
        <v>79046</v>
      </c>
    </row>
    <row r="921" spans="7:14" ht="11.25" customHeight="1" x14ac:dyDescent="0.3">
      <c r="G921" s="470">
        <f t="shared" ref="G921:G931" si="96">G920</f>
        <v>77</v>
      </c>
      <c r="H921" s="470">
        <v>914</v>
      </c>
      <c r="I921" s="455">
        <f t="shared" ca="1" si="81"/>
        <v>13695378.550068349</v>
      </c>
      <c r="J921" s="455">
        <f t="array" ref="J921">IFERROR(INDEX('Retirement Calculator'!K:K,MATCH('Lorri 401b'!N921,'Retirement Calculator'!A:A,0),0),0)</f>
        <v>16520.094745597391</v>
      </c>
      <c r="K921" s="455">
        <f t="shared" ca="1" si="79"/>
        <v>56995.243563844808</v>
      </c>
      <c r="L921" s="455">
        <f t="shared" ca="1" si="80"/>
        <v>13735853.698886596</v>
      </c>
      <c r="M921" s="471">
        <f t="shared" si="82"/>
        <v>0.05</v>
      </c>
      <c r="N921" s="475">
        <f t="shared" si="83"/>
        <v>79076</v>
      </c>
    </row>
    <row r="922" spans="7:14" ht="11.25" customHeight="1" x14ac:dyDescent="0.3">
      <c r="G922" s="470">
        <f t="shared" si="96"/>
        <v>77</v>
      </c>
      <c r="H922" s="470">
        <v>915</v>
      </c>
      <c r="I922" s="455">
        <f t="shared" ca="1" si="81"/>
        <v>13735853.698886596</v>
      </c>
      <c r="J922" s="455">
        <f t="array" ref="J922">IFERROR(INDEX('Retirement Calculator'!K:K,MATCH('Lorri 401b'!N922,'Retirement Calculator'!A:A,0),0),0)</f>
        <v>16520.094745597391</v>
      </c>
      <c r="K922" s="455">
        <f t="shared" ca="1" si="79"/>
        <v>57163.890017254154</v>
      </c>
      <c r="L922" s="455">
        <f t="shared" ca="1" si="80"/>
        <v>13776497.494158253</v>
      </c>
      <c r="M922" s="471">
        <f t="shared" si="82"/>
        <v>0.05</v>
      </c>
      <c r="N922" s="475">
        <f t="shared" si="83"/>
        <v>79107</v>
      </c>
    </row>
    <row r="923" spans="7:14" ht="11.25" customHeight="1" x14ac:dyDescent="0.3">
      <c r="G923" s="470">
        <f t="shared" si="96"/>
        <v>77</v>
      </c>
      <c r="H923" s="470">
        <v>916</v>
      </c>
      <c r="I923" s="455">
        <f t="shared" ca="1" si="81"/>
        <v>13776497.494158253</v>
      </c>
      <c r="J923" s="455">
        <f t="array" ref="J923">IFERROR(INDEX('Retirement Calculator'!K:K,MATCH('Lorri 401b'!N923,'Retirement Calculator'!A:A,0),0),0)</f>
        <v>16520.094745597391</v>
      </c>
      <c r="K923" s="455">
        <f t="shared" ca="1" si="79"/>
        <v>57333.239164219398</v>
      </c>
      <c r="L923" s="455">
        <f t="shared" ca="1" si="80"/>
        <v>13817310.638576876</v>
      </c>
      <c r="M923" s="471">
        <f t="shared" si="82"/>
        <v>0.05</v>
      </c>
      <c r="N923" s="475">
        <f t="shared" si="83"/>
        <v>79138</v>
      </c>
    </row>
    <row r="924" spans="7:14" ht="11.25" customHeight="1" x14ac:dyDescent="0.3">
      <c r="G924" s="470">
        <f t="shared" si="96"/>
        <v>77</v>
      </c>
      <c r="H924" s="470">
        <v>917</v>
      </c>
      <c r="I924" s="455">
        <f t="shared" ca="1" si="81"/>
        <v>13817310.638576876</v>
      </c>
      <c r="J924" s="455">
        <f t="array" ref="J924">IFERROR(INDEX('Retirement Calculator'!K:K,MATCH('Lorri 401b'!N924,'Retirement Calculator'!A:A,0),0),0)</f>
        <v>16520.094745597391</v>
      </c>
      <c r="K924" s="455">
        <f t="shared" ca="1" si="79"/>
        <v>57503.293932630339</v>
      </c>
      <c r="L924" s="455">
        <f t="shared" ca="1" si="80"/>
        <v>13858293.837763909</v>
      </c>
      <c r="M924" s="471">
        <f t="shared" si="82"/>
        <v>0.05</v>
      </c>
      <c r="N924" s="475">
        <f t="shared" si="83"/>
        <v>79168</v>
      </c>
    </row>
    <row r="925" spans="7:14" ht="11.25" customHeight="1" x14ac:dyDescent="0.3">
      <c r="G925" s="470">
        <f t="shared" si="96"/>
        <v>77</v>
      </c>
      <c r="H925" s="470">
        <v>918</v>
      </c>
      <c r="I925" s="455">
        <f t="shared" ca="1" si="81"/>
        <v>13858293.837763909</v>
      </c>
      <c r="J925" s="455">
        <f t="array" ref="J925">IFERROR(INDEX('Retirement Calculator'!K:K,MATCH('Lorri 401b'!N925,'Retirement Calculator'!A:A,0),0),0)</f>
        <v>16520.094745597391</v>
      </c>
      <c r="K925" s="455">
        <f t="shared" ca="1" si="79"/>
        <v>57674.057262576302</v>
      </c>
      <c r="L925" s="455">
        <f t="shared" ca="1" si="80"/>
        <v>13899447.800280889</v>
      </c>
      <c r="M925" s="471">
        <f t="shared" si="82"/>
        <v>0.05</v>
      </c>
      <c r="N925" s="475">
        <f t="shared" si="83"/>
        <v>79199</v>
      </c>
    </row>
    <row r="926" spans="7:14" ht="11.25" customHeight="1" x14ac:dyDescent="0.3">
      <c r="G926" s="470">
        <f t="shared" si="96"/>
        <v>77</v>
      </c>
      <c r="H926" s="470">
        <v>919</v>
      </c>
      <c r="I926" s="455">
        <f t="shared" ca="1" si="81"/>
        <v>13899447.800280889</v>
      </c>
      <c r="J926" s="455">
        <f t="array" ref="J926">IFERROR(INDEX('Retirement Calculator'!K:K,MATCH('Lorri 401b'!N926,'Retirement Calculator'!A:A,0),0),0)</f>
        <v>16520.094745597391</v>
      </c>
      <c r="K926" s="455">
        <f t="shared" ca="1" si="79"/>
        <v>57845.532106397055</v>
      </c>
      <c r="L926" s="455">
        <f t="shared" ca="1" si="80"/>
        <v>13940773.23764169</v>
      </c>
      <c r="M926" s="471">
        <f t="shared" si="82"/>
        <v>0.05</v>
      </c>
      <c r="N926" s="475">
        <f t="shared" si="83"/>
        <v>79229</v>
      </c>
    </row>
    <row r="927" spans="7:14" ht="11.25" customHeight="1" x14ac:dyDescent="0.3">
      <c r="G927" s="470">
        <f t="shared" si="96"/>
        <v>77</v>
      </c>
      <c r="H927" s="470">
        <v>920</v>
      </c>
      <c r="I927" s="455">
        <f t="shared" ca="1" si="81"/>
        <v>13940773.23764169</v>
      </c>
      <c r="J927" s="455">
        <f t="array" ref="J927">IFERROR(INDEX('Retirement Calculator'!K:K,MATCH('Lorri 401b'!N927,'Retirement Calculator'!A:A,0),0),0)</f>
        <v>16520.094745597391</v>
      </c>
      <c r="K927" s="455">
        <f t="shared" ca="1" si="79"/>
        <v>58017.721428733712</v>
      </c>
      <c r="L927" s="455">
        <f t="shared" ca="1" si="80"/>
        <v>13982270.864324827</v>
      </c>
      <c r="M927" s="471">
        <f t="shared" si="82"/>
        <v>0.05</v>
      </c>
      <c r="N927" s="475">
        <f t="shared" si="83"/>
        <v>79260</v>
      </c>
    </row>
    <row r="928" spans="7:14" ht="11.25" customHeight="1" x14ac:dyDescent="0.3">
      <c r="G928" s="470">
        <f t="shared" si="96"/>
        <v>77</v>
      </c>
      <c r="H928" s="470">
        <v>921</v>
      </c>
      <c r="I928" s="455">
        <f t="shared" ca="1" si="81"/>
        <v>13982270.864324827</v>
      </c>
      <c r="J928" s="455">
        <f t="array" ref="J928">IFERROR(INDEX('Retirement Calculator'!K:K,MATCH('Lorri 401b'!N928,'Retirement Calculator'!A:A,0),0),0)</f>
        <v>16520.094745597391</v>
      </c>
      <c r="K928" s="455">
        <f t="shared" ca="1" si="79"/>
        <v>58190.628206580121</v>
      </c>
      <c r="L928" s="455">
        <f t="shared" ca="1" si="80"/>
        <v>14023941.397785811</v>
      </c>
      <c r="M928" s="471">
        <f t="shared" si="82"/>
        <v>0.05</v>
      </c>
      <c r="N928" s="475">
        <f t="shared" si="83"/>
        <v>79291</v>
      </c>
    </row>
    <row r="929" spans="7:14" ht="11.25" customHeight="1" x14ac:dyDescent="0.3">
      <c r="G929" s="470">
        <f t="shared" si="96"/>
        <v>77</v>
      </c>
      <c r="H929" s="470">
        <v>922</v>
      </c>
      <c r="I929" s="455">
        <f t="shared" ca="1" si="81"/>
        <v>14023941.397785811</v>
      </c>
      <c r="J929" s="455">
        <f t="array" ref="J929">IFERROR(INDEX('Retirement Calculator'!K:K,MATCH('Lorri 401b'!N929,'Retirement Calculator'!A:A,0),0),0)</f>
        <v>16520.094745597391</v>
      </c>
      <c r="K929" s="455">
        <f t="shared" ca="1" si="79"/>
        <v>58364.255429334233</v>
      </c>
      <c r="L929" s="455">
        <f t="shared" ca="1" si="80"/>
        <v>14065785.558469549</v>
      </c>
      <c r="M929" s="471">
        <f t="shared" si="82"/>
        <v>0.05</v>
      </c>
      <c r="N929" s="475">
        <f t="shared" si="83"/>
        <v>79319</v>
      </c>
    </row>
    <row r="930" spans="7:14" ht="11.25" customHeight="1" x14ac:dyDescent="0.3">
      <c r="G930" s="470">
        <f t="shared" si="96"/>
        <v>77</v>
      </c>
      <c r="H930" s="470">
        <v>923</v>
      </c>
      <c r="I930" s="455">
        <f t="shared" ca="1" si="81"/>
        <v>14065785.558469549</v>
      </c>
      <c r="J930" s="455">
        <f t="array" ref="J930">IFERROR(INDEX('Retirement Calculator'!K:K,MATCH('Lorri 401b'!N930,'Retirement Calculator'!A:A,0),0),0)</f>
        <v>16520.094745597391</v>
      </c>
      <c r="K930" s="455">
        <f t="shared" ca="1" si="79"/>
        <v>58538.606098849799</v>
      </c>
      <c r="L930" s="455">
        <f t="shared" ca="1" si="80"/>
        <v>14107804.069822801</v>
      </c>
      <c r="M930" s="471">
        <f t="shared" si="82"/>
        <v>0.05</v>
      </c>
      <c r="N930" s="475">
        <f t="shared" si="83"/>
        <v>79350</v>
      </c>
    </row>
    <row r="931" spans="7:14" ht="11.25" customHeight="1" x14ac:dyDescent="0.3">
      <c r="G931" s="470">
        <f t="shared" si="96"/>
        <v>77</v>
      </c>
      <c r="H931" s="470">
        <v>924</v>
      </c>
      <c r="I931" s="455">
        <f t="shared" ca="1" si="81"/>
        <v>14107804.069822801</v>
      </c>
      <c r="J931" s="455">
        <f t="array" ref="J931">IFERROR(INDEX('Retirement Calculator'!K:K,MATCH('Lorri 401b'!N931,'Retirement Calculator'!A:A,0),0),0)</f>
        <v>16520.094745597391</v>
      </c>
      <c r="K931" s="455">
        <f t="shared" ca="1" si="79"/>
        <v>58713.68322948835</v>
      </c>
      <c r="L931" s="455">
        <f t="shared" ca="1" si="80"/>
        <v>14149997.658306694</v>
      </c>
      <c r="M931" s="471">
        <f t="shared" si="82"/>
        <v>0.05</v>
      </c>
      <c r="N931" s="475">
        <f t="shared" si="83"/>
        <v>79380</v>
      </c>
    </row>
    <row r="932" spans="7:14" ht="11.25" customHeight="1" x14ac:dyDescent="0.3">
      <c r="G932" s="470">
        <f>G931+1</f>
        <v>78</v>
      </c>
      <c r="H932" s="470">
        <v>925</v>
      </c>
      <c r="I932" s="455">
        <f t="shared" ca="1" si="81"/>
        <v>14149997.658306694</v>
      </c>
      <c r="J932" s="455">
        <f t="array" ref="J932">IFERROR(INDEX('Retirement Calculator'!K:K,MATCH('Lorri 401b'!N932,'Retirement Calculator'!A:A,0),0),0)</f>
        <v>16520.094745597391</v>
      </c>
      <c r="K932" s="455">
        <f t="shared" ca="1" si="79"/>
        <v>58889.489848171237</v>
      </c>
      <c r="L932" s="455">
        <f t="shared" ca="1" si="80"/>
        <v>14192367.053409267</v>
      </c>
      <c r="M932" s="471">
        <f t="shared" si="82"/>
        <v>0.05</v>
      </c>
      <c r="N932" s="475">
        <f t="shared" si="83"/>
        <v>79411</v>
      </c>
    </row>
    <row r="933" spans="7:14" ht="11.25" customHeight="1" x14ac:dyDescent="0.3">
      <c r="G933" s="470">
        <f t="shared" ref="G933:G943" si="97">G932</f>
        <v>78</v>
      </c>
      <c r="H933" s="470">
        <v>926</v>
      </c>
      <c r="I933" s="455">
        <f t="shared" ca="1" si="81"/>
        <v>14192367.053409267</v>
      </c>
      <c r="J933" s="455">
        <f t="array" ref="J933">IFERROR(INDEX('Retirement Calculator'!K:K,MATCH('Lorri 401b'!N933,'Retirement Calculator'!A:A,0),0),0)</f>
        <v>16520.094745597391</v>
      </c>
      <c r="K933" s="455">
        <f t="shared" ca="1" si="79"/>
        <v>59066.028994431959</v>
      </c>
      <c r="L933" s="455">
        <f t="shared" ca="1" si="80"/>
        <v>14234912.987658102</v>
      </c>
      <c r="M933" s="471">
        <f t="shared" si="82"/>
        <v>0.05</v>
      </c>
      <c r="N933" s="475">
        <f t="shared" si="83"/>
        <v>79441</v>
      </c>
    </row>
    <row r="934" spans="7:14" ht="11.25" customHeight="1" x14ac:dyDescent="0.3">
      <c r="G934" s="470">
        <f t="shared" si="97"/>
        <v>78</v>
      </c>
      <c r="H934" s="470">
        <v>927</v>
      </c>
      <c r="I934" s="455">
        <f t="shared" ca="1" si="81"/>
        <v>14234912.987658102</v>
      </c>
      <c r="J934" s="455">
        <f t="array" ref="J934">IFERROR(INDEX('Retirement Calculator'!K:K,MATCH('Lorri 401b'!N934,'Retirement Calculator'!A:A,0),0),0)</f>
        <v>16520.094745597391</v>
      </c>
      <c r="K934" s="455">
        <f t="shared" ca="1" si="79"/>
        <v>59243.303720468772</v>
      </c>
      <c r="L934" s="455">
        <f t="shared" ca="1" si="80"/>
        <v>14277636.196632974</v>
      </c>
      <c r="M934" s="471">
        <f t="shared" si="82"/>
        <v>0.05</v>
      </c>
      <c r="N934" s="475">
        <f t="shared" si="83"/>
        <v>79472</v>
      </c>
    </row>
    <row r="935" spans="7:14" ht="11.25" customHeight="1" x14ac:dyDescent="0.3">
      <c r="G935" s="470">
        <f t="shared" si="97"/>
        <v>78</v>
      </c>
      <c r="H935" s="470">
        <v>928</v>
      </c>
      <c r="I935" s="455">
        <f t="shared" ca="1" si="81"/>
        <v>14277636.196632974</v>
      </c>
      <c r="J935" s="455">
        <f t="array" ref="J935">IFERROR(INDEX('Retirement Calculator'!K:K,MATCH('Lorri 401b'!N935,'Retirement Calculator'!A:A,0),0),0)</f>
        <v>16520.094745597391</v>
      </c>
      <c r="K935" s="455">
        <f t="shared" ca="1" si="79"/>
        <v>59421.317091197401</v>
      </c>
      <c r="L935" s="455">
        <f t="shared" ca="1" si="80"/>
        <v>14320537.418978574</v>
      </c>
      <c r="M935" s="471">
        <f t="shared" si="82"/>
        <v>0.05</v>
      </c>
      <c r="N935" s="475">
        <f t="shared" si="83"/>
        <v>79503</v>
      </c>
    </row>
    <row r="936" spans="7:14" ht="11.25" customHeight="1" x14ac:dyDescent="0.3">
      <c r="G936" s="470">
        <f t="shared" si="97"/>
        <v>78</v>
      </c>
      <c r="H936" s="470">
        <v>929</v>
      </c>
      <c r="I936" s="455">
        <f t="shared" ca="1" si="81"/>
        <v>14320537.418978574</v>
      </c>
      <c r="J936" s="455">
        <f t="array" ref="J936">IFERROR(INDEX('Retirement Calculator'!K:K,MATCH('Lorri 401b'!N936,'Retirement Calculator'!A:A,0),0),0)</f>
        <v>16520.094745597391</v>
      </c>
      <c r="K936" s="455">
        <f t="shared" ca="1" si="79"/>
        <v>59600.072184304066</v>
      </c>
      <c r="L936" s="455">
        <f t="shared" ca="1" si="80"/>
        <v>14363617.396417281</v>
      </c>
      <c r="M936" s="471">
        <f t="shared" si="82"/>
        <v>0.05</v>
      </c>
      <c r="N936" s="475">
        <f t="shared" si="83"/>
        <v>79533</v>
      </c>
    </row>
    <row r="937" spans="7:14" ht="11.25" customHeight="1" x14ac:dyDescent="0.3">
      <c r="G937" s="470">
        <f t="shared" si="97"/>
        <v>78</v>
      </c>
      <c r="H937" s="470">
        <v>930</v>
      </c>
      <c r="I937" s="455">
        <f t="shared" ca="1" si="81"/>
        <v>14363617.396417281</v>
      </c>
      <c r="J937" s="455">
        <f t="array" ref="J937">IFERROR(INDEX('Retirement Calculator'!K:K,MATCH('Lorri 401b'!N937,'Retirement Calculator'!A:A,0),0),0)</f>
        <v>16520.094745597391</v>
      </c>
      <c r="K937" s="455">
        <f t="shared" ca="1" si="79"/>
        <v>59779.57209029868</v>
      </c>
      <c r="L937" s="455">
        <f t="shared" ca="1" si="80"/>
        <v>14406876.873761982</v>
      </c>
      <c r="M937" s="471">
        <f t="shared" si="82"/>
        <v>0.05</v>
      </c>
      <c r="N937" s="475">
        <f t="shared" si="83"/>
        <v>79564</v>
      </c>
    </row>
    <row r="938" spans="7:14" ht="11.25" customHeight="1" x14ac:dyDescent="0.3">
      <c r="G938" s="470">
        <f t="shared" si="97"/>
        <v>78</v>
      </c>
      <c r="H938" s="470">
        <v>931</v>
      </c>
      <c r="I938" s="455">
        <f t="shared" ca="1" si="81"/>
        <v>14406876.873761982</v>
      </c>
      <c r="J938" s="455">
        <f t="array" ref="J938">IFERROR(INDEX('Retirement Calculator'!K:K,MATCH('Lorri 401b'!N938,'Retirement Calculator'!A:A,0),0),0)</f>
        <v>16520.094745597391</v>
      </c>
      <c r="K938" s="455">
        <f t="shared" ca="1" si="79"/>
        <v>59959.819912568266</v>
      </c>
      <c r="L938" s="455">
        <f t="shared" ca="1" si="80"/>
        <v>14450316.598928953</v>
      </c>
      <c r="M938" s="471">
        <f t="shared" si="82"/>
        <v>0.05</v>
      </c>
      <c r="N938" s="475">
        <f t="shared" si="83"/>
        <v>79594</v>
      </c>
    </row>
    <row r="939" spans="7:14" ht="11.25" customHeight="1" x14ac:dyDescent="0.3">
      <c r="G939" s="470">
        <f t="shared" si="97"/>
        <v>78</v>
      </c>
      <c r="H939" s="470">
        <v>932</v>
      </c>
      <c r="I939" s="455">
        <f t="shared" ca="1" si="81"/>
        <v>14450316.598928953</v>
      </c>
      <c r="J939" s="455">
        <f t="array" ref="J939">IFERROR(INDEX('Retirement Calculator'!K:K,MATCH('Lorri 401b'!N939,'Retirement Calculator'!A:A,0),0),0)</f>
        <v>16520.094745597391</v>
      </c>
      <c r="K939" s="455">
        <f t="shared" ca="1" si="79"/>
        <v>60140.818767430639</v>
      </c>
      <c r="L939" s="455">
        <f t="shared" ca="1" si="80"/>
        <v>14493937.322950786</v>
      </c>
      <c r="M939" s="471">
        <f t="shared" si="82"/>
        <v>0.05</v>
      </c>
      <c r="N939" s="475">
        <f t="shared" si="83"/>
        <v>79625</v>
      </c>
    </row>
    <row r="940" spans="7:14" ht="11.25" customHeight="1" x14ac:dyDescent="0.3">
      <c r="G940" s="470">
        <f t="shared" si="97"/>
        <v>78</v>
      </c>
      <c r="H940" s="470">
        <v>933</v>
      </c>
      <c r="I940" s="455">
        <f t="shared" ca="1" si="81"/>
        <v>14493937.322950786</v>
      </c>
      <c r="J940" s="455">
        <f t="array" ref="J940">IFERROR(INDEX('Retirement Calculator'!K:K,MATCH('Lorri 401b'!N940,'Retirement Calculator'!A:A,0),0),0)</f>
        <v>16520.094745597391</v>
      </c>
      <c r="K940" s="455">
        <f t="shared" ca="1" si="79"/>
        <v>60322.57178418828</v>
      </c>
      <c r="L940" s="455">
        <f t="shared" ca="1" si="80"/>
        <v>14537739.799989378</v>
      </c>
      <c r="M940" s="471">
        <f t="shared" si="82"/>
        <v>0.05</v>
      </c>
      <c r="N940" s="475">
        <f t="shared" si="83"/>
        <v>79656</v>
      </c>
    </row>
    <row r="941" spans="7:14" ht="11.25" customHeight="1" x14ac:dyDescent="0.3">
      <c r="G941" s="470">
        <f t="shared" si="97"/>
        <v>78</v>
      </c>
      <c r="H941" s="470">
        <v>934</v>
      </c>
      <c r="I941" s="455">
        <f t="shared" ca="1" si="81"/>
        <v>14537739.799989378</v>
      </c>
      <c r="J941" s="455">
        <f t="array" ref="J941">IFERROR(INDEX('Retirement Calculator'!K:K,MATCH('Lorri 401b'!N941,'Retirement Calculator'!A:A,0),0),0)</f>
        <v>16520.094745597391</v>
      </c>
      <c r="K941" s="455">
        <f t="shared" ca="1" si="79"/>
        <v>60505.082105182424</v>
      </c>
      <c r="L941" s="455">
        <f t="shared" ca="1" si="80"/>
        <v>14581724.787348963</v>
      </c>
      <c r="M941" s="471">
        <f t="shared" si="82"/>
        <v>0.05</v>
      </c>
      <c r="N941" s="475">
        <f t="shared" si="83"/>
        <v>79684</v>
      </c>
    </row>
    <row r="942" spans="7:14" ht="11.25" customHeight="1" x14ac:dyDescent="0.3">
      <c r="G942" s="470">
        <f t="shared" si="97"/>
        <v>78</v>
      </c>
      <c r="H942" s="470">
        <v>935</v>
      </c>
      <c r="I942" s="455">
        <f t="shared" ca="1" si="81"/>
        <v>14581724.787348963</v>
      </c>
      <c r="J942" s="455">
        <f t="array" ref="J942">IFERROR(INDEX('Retirement Calculator'!K:K,MATCH('Lorri 401b'!N942,'Retirement Calculator'!A:A,0),0),0)</f>
        <v>16520.094745597391</v>
      </c>
      <c r="K942" s="455">
        <f t="shared" ca="1" si="79"/>
        <v>60688.352885847358</v>
      </c>
      <c r="L942" s="455">
        <f t="shared" ca="1" si="80"/>
        <v>14625893.045489214</v>
      </c>
      <c r="M942" s="471">
        <f t="shared" si="82"/>
        <v>0.05</v>
      </c>
      <c r="N942" s="475">
        <f t="shared" si="83"/>
        <v>79715</v>
      </c>
    </row>
    <row r="943" spans="7:14" ht="11.25" customHeight="1" x14ac:dyDescent="0.3">
      <c r="G943" s="470">
        <f t="shared" si="97"/>
        <v>78</v>
      </c>
      <c r="H943" s="470">
        <v>936</v>
      </c>
      <c r="I943" s="455">
        <f t="shared" ca="1" si="81"/>
        <v>14625893.045489214</v>
      </c>
      <c r="J943" s="455">
        <f t="array" ref="J943">IFERROR(INDEX('Retirement Calculator'!K:K,MATCH('Lorri 401b'!N943,'Retirement Calculator'!A:A,0),0),0)</f>
        <v>16520.094745597391</v>
      </c>
      <c r="K943" s="455">
        <f t="shared" ca="1" si="79"/>
        <v>60872.387294765074</v>
      </c>
      <c r="L943" s="455">
        <f t="shared" ca="1" si="80"/>
        <v>14670245.338038383</v>
      </c>
      <c r="M943" s="471">
        <f t="shared" si="82"/>
        <v>0.05</v>
      </c>
      <c r="N943" s="475">
        <f t="shared" si="83"/>
        <v>79745</v>
      </c>
    </row>
    <row r="944" spans="7:14" ht="11.25" customHeight="1" x14ac:dyDescent="0.3">
      <c r="G944" s="470">
        <f>G943+1</f>
        <v>79</v>
      </c>
      <c r="H944" s="470">
        <v>937</v>
      </c>
      <c r="I944" s="455">
        <f t="shared" ca="1" si="81"/>
        <v>14670245.338038383</v>
      </c>
      <c r="J944" s="455">
        <f t="array" ref="J944">IFERROR(INDEX('Retirement Calculator'!K:K,MATCH('Lorri 401b'!N944,'Retirement Calculator'!A:A,0),0),0)</f>
        <v>16520.094745597391</v>
      </c>
      <c r="K944" s="455">
        <f t="shared" ca="1" si="79"/>
        <v>61057.188513719935</v>
      </c>
      <c r="L944" s="455">
        <f t="shared" ca="1" si="80"/>
        <v>14714782.431806507</v>
      </c>
      <c r="M944" s="471">
        <f t="shared" si="82"/>
        <v>0.05</v>
      </c>
      <c r="N944" s="475">
        <f t="shared" si="83"/>
        <v>79776</v>
      </c>
    </row>
    <row r="945" spans="7:14" ht="11.25" customHeight="1" x14ac:dyDescent="0.3">
      <c r="G945" s="470">
        <f t="shared" ref="G945:G955" si="98">G944</f>
        <v>79</v>
      </c>
      <c r="H945" s="470">
        <v>938</v>
      </c>
      <c r="I945" s="455">
        <f t="shared" ca="1" si="81"/>
        <v>14714782.431806507</v>
      </c>
      <c r="J945" s="455">
        <f t="array" ref="J945">IFERROR(INDEX('Retirement Calculator'!K:K,MATCH('Lorri 401b'!N945,'Retirement Calculator'!A:A,0),0),0)</f>
        <v>16520.094745597391</v>
      </c>
      <c r="K945" s="455">
        <f t="shared" ca="1" si="79"/>
        <v>61242.75973775379</v>
      </c>
      <c r="L945" s="455">
        <f t="shared" ca="1" si="80"/>
        <v>14759505.096798664</v>
      </c>
      <c r="M945" s="471">
        <f t="shared" si="82"/>
        <v>0.05</v>
      </c>
      <c r="N945" s="475">
        <f t="shared" si="83"/>
        <v>79806</v>
      </c>
    </row>
    <row r="946" spans="7:14" ht="11.25" customHeight="1" x14ac:dyDescent="0.3">
      <c r="G946" s="470">
        <f t="shared" si="98"/>
        <v>79</v>
      </c>
      <c r="H946" s="470">
        <v>939</v>
      </c>
      <c r="I946" s="455">
        <f t="shared" ca="1" si="81"/>
        <v>14759505.096798664</v>
      </c>
      <c r="J946" s="455">
        <f t="array" ref="J946">IFERROR(INDEX('Retirement Calculator'!K:K,MATCH('Lorri 401b'!N946,'Retirement Calculator'!A:A,0),0),0)</f>
        <v>16520.094745597391</v>
      </c>
      <c r="K946" s="455">
        <f t="shared" ca="1" si="79"/>
        <v>61429.104175221109</v>
      </c>
      <c r="L946" s="455">
        <f t="shared" ca="1" si="80"/>
        <v>14804414.106228288</v>
      </c>
      <c r="M946" s="471">
        <f t="shared" si="82"/>
        <v>0.05</v>
      </c>
      <c r="N946" s="475">
        <f t="shared" si="83"/>
        <v>79837</v>
      </c>
    </row>
    <row r="947" spans="7:14" ht="11.25" customHeight="1" x14ac:dyDescent="0.3">
      <c r="G947" s="470">
        <f t="shared" si="98"/>
        <v>79</v>
      </c>
      <c r="H947" s="470">
        <v>940</v>
      </c>
      <c r="I947" s="455">
        <f t="shared" ca="1" si="81"/>
        <v>14804414.106228288</v>
      </c>
      <c r="J947" s="455">
        <f t="array" ref="J947">IFERROR(INDEX('Retirement Calculator'!K:K,MATCH('Lorri 401b'!N947,'Retirement Calculator'!A:A,0),0),0)</f>
        <v>16520.094745597391</v>
      </c>
      <c r="K947" s="455">
        <f t="shared" ca="1" si="79"/>
        <v>61616.225047844549</v>
      </c>
      <c r="L947" s="455">
        <f t="shared" ca="1" si="80"/>
        <v>14849510.236530537</v>
      </c>
      <c r="M947" s="471">
        <f t="shared" si="82"/>
        <v>0.05</v>
      </c>
      <c r="N947" s="475">
        <f t="shared" si="83"/>
        <v>79868</v>
      </c>
    </row>
    <row r="948" spans="7:14" ht="11.25" customHeight="1" x14ac:dyDescent="0.3">
      <c r="G948" s="470">
        <f t="shared" si="98"/>
        <v>79</v>
      </c>
      <c r="H948" s="470">
        <v>941</v>
      </c>
      <c r="I948" s="455">
        <f t="shared" ca="1" si="81"/>
        <v>14849510.236530537</v>
      </c>
      <c r="J948" s="455">
        <f t="array" ref="J948">IFERROR(INDEX('Retirement Calculator'!K:K,MATCH('Lorri 401b'!N948,'Retirement Calculator'!A:A,0),0),0)</f>
        <v>16520.094745597391</v>
      </c>
      <c r="K948" s="455">
        <f t="shared" ca="1" si="79"/>
        <v>61804.125590770593</v>
      </c>
      <c r="L948" s="455">
        <f t="shared" ca="1" si="80"/>
        <v>14894794.267375711</v>
      </c>
      <c r="M948" s="471">
        <f t="shared" si="82"/>
        <v>0.05</v>
      </c>
      <c r="N948" s="475">
        <f t="shared" si="83"/>
        <v>79898</v>
      </c>
    </row>
    <row r="949" spans="7:14" ht="11.25" customHeight="1" x14ac:dyDescent="0.3">
      <c r="G949" s="470">
        <f t="shared" si="98"/>
        <v>79</v>
      </c>
      <c r="H949" s="470">
        <v>942</v>
      </c>
      <c r="I949" s="455">
        <f t="shared" ca="1" si="81"/>
        <v>14894794.267375711</v>
      </c>
      <c r="J949" s="455">
        <f t="array" ref="J949">IFERROR(INDEX('Retirement Calculator'!K:K,MATCH('Lorri 401b'!N949,'Retirement Calculator'!A:A,0),0),0)</f>
        <v>16520.094745597391</v>
      </c>
      <c r="K949" s="455">
        <f t="shared" ca="1" si="79"/>
        <v>61992.809052625475</v>
      </c>
      <c r="L949" s="455">
        <f t="shared" ca="1" si="80"/>
        <v>14940266.98168274</v>
      </c>
      <c r="M949" s="471">
        <f t="shared" si="82"/>
        <v>0.05</v>
      </c>
      <c r="N949" s="475">
        <f t="shared" si="83"/>
        <v>79929</v>
      </c>
    </row>
    <row r="950" spans="7:14" ht="11.25" customHeight="1" x14ac:dyDescent="0.3">
      <c r="G950" s="470">
        <f t="shared" si="98"/>
        <v>79</v>
      </c>
      <c r="H950" s="470">
        <v>943</v>
      </c>
      <c r="I950" s="455">
        <f t="shared" ca="1" si="81"/>
        <v>14940266.98168274</v>
      </c>
      <c r="J950" s="455">
        <f t="array" ref="J950">IFERROR(INDEX('Retirement Calculator'!K:K,MATCH('Lorri 401b'!N950,'Retirement Calculator'!A:A,0),0),0)</f>
        <v>16520.094745597391</v>
      </c>
      <c r="K950" s="455">
        <f t="shared" ca="1" si="79"/>
        <v>62182.278695571418</v>
      </c>
      <c r="L950" s="455">
        <f t="shared" ca="1" si="80"/>
        <v>14985929.165632715</v>
      </c>
      <c r="M950" s="471">
        <f t="shared" si="82"/>
        <v>0.05</v>
      </c>
      <c r="N950" s="475">
        <f t="shared" si="83"/>
        <v>79959</v>
      </c>
    </row>
    <row r="951" spans="7:14" ht="11.25" customHeight="1" x14ac:dyDescent="0.3">
      <c r="G951" s="470">
        <f t="shared" si="98"/>
        <v>79</v>
      </c>
      <c r="H951" s="470">
        <v>944</v>
      </c>
      <c r="I951" s="455">
        <f t="shared" ca="1" si="81"/>
        <v>14985929.165632715</v>
      </c>
      <c r="J951" s="455">
        <f t="array" ref="J951">IFERROR(INDEX('Retirement Calculator'!K:K,MATCH('Lorri 401b'!N951,'Retirement Calculator'!A:A,0),0),0)</f>
        <v>16520.094745597391</v>
      </c>
      <c r="K951" s="455">
        <f t="shared" ca="1" si="79"/>
        <v>62372.537795362994</v>
      </c>
      <c r="L951" s="455">
        <f t="shared" ca="1" si="80"/>
        <v>15031781.608682482</v>
      </c>
      <c r="M951" s="471">
        <f t="shared" si="82"/>
        <v>0.05</v>
      </c>
      <c r="N951" s="475">
        <f t="shared" si="83"/>
        <v>79990</v>
      </c>
    </row>
    <row r="952" spans="7:14" ht="11.25" customHeight="1" x14ac:dyDescent="0.3">
      <c r="G952" s="470">
        <f t="shared" si="98"/>
        <v>79</v>
      </c>
      <c r="H952" s="470">
        <v>945</v>
      </c>
      <c r="I952" s="455">
        <f t="shared" ca="1" si="81"/>
        <v>15031781.608682482</v>
      </c>
      <c r="J952" s="455">
        <f t="array" ref="J952">IFERROR(INDEX('Retirement Calculator'!K:K,MATCH('Lorri 401b'!N952,'Retirement Calculator'!A:A,0),0),0)</f>
        <v>16520.094745597391</v>
      </c>
      <c r="K952" s="455">
        <f t="shared" ca="1" si="79"/>
        <v>62563.589641403683</v>
      </c>
      <c r="L952" s="455">
        <f t="shared" ca="1" si="80"/>
        <v>15077825.103578288</v>
      </c>
      <c r="M952" s="471">
        <f t="shared" si="82"/>
        <v>0.05</v>
      </c>
      <c r="N952" s="475">
        <f t="shared" si="83"/>
        <v>80021</v>
      </c>
    </row>
    <row r="953" spans="7:14" ht="11.25" customHeight="1" x14ac:dyDescent="0.3">
      <c r="G953" s="470">
        <f t="shared" si="98"/>
        <v>79</v>
      </c>
      <c r="H953" s="470">
        <v>946</v>
      </c>
      <c r="I953" s="455">
        <f t="shared" ca="1" si="81"/>
        <v>15077825.103578288</v>
      </c>
      <c r="J953" s="455">
        <f t="array" ref="J953">IFERROR(INDEX('Retirement Calculator'!K:K,MATCH('Lorri 401b'!N953,'Retirement Calculator'!A:A,0),0),0)</f>
        <v>16520.094745597391</v>
      </c>
      <c r="K953" s="455">
        <f t="shared" ca="1" si="79"/>
        <v>62755.437536802885</v>
      </c>
      <c r="L953" s="455">
        <f t="shared" ca="1" si="80"/>
        <v>15124060.446369493</v>
      </c>
      <c r="M953" s="471">
        <f t="shared" si="82"/>
        <v>0.05</v>
      </c>
      <c r="N953" s="475">
        <f t="shared" si="83"/>
        <v>80049</v>
      </c>
    </row>
    <row r="954" spans="7:14" ht="11.25" customHeight="1" x14ac:dyDescent="0.3">
      <c r="G954" s="470">
        <f t="shared" si="98"/>
        <v>79</v>
      </c>
      <c r="H954" s="470">
        <v>947</v>
      </c>
      <c r="I954" s="455">
        <f t="shared" ca="1" si="81"/>
        <v>15124060.446369493</v>
      </c>
      <c r="J954" s="455">
        <f t="array" ref="J954">IFERROR(INDEX('Retirement Calculator'!K:K,MATCH('Lorri 401b'!N954,'Retirement Calculator'!A:A,0),0),0)</f>
        <v>16520.094745597391</v>
      </c>
      <c r="K954" s="455">
        <f t="shared" ca="1" si="79"/>
        <v>62948.084798432908</v>
      </c>
      <c r="L954" s="455">
        <f t="shared" ca="1" si="80"/>
        <v>15170488.436422329</v>
      </c>
      <c r="M954" s="471">
        <f t="shared" si="82"/>
        <v>0.05</v>
      </c>
      <c r="N954" s="475">
        <f t="shared" si="83"/>
        <v>80080</v>
      </c>
    </row>
    <row r="955" spans="7:14" ht="11.25" customHeight="1" x14ac:dyDescent="0.3">
      <c r="G955" s="470">
        <f t="shared" si="98"/>
        <v>79</v>
      </c>
      <c r="H955" s="470">
        <v>948</v>
      </c>
      <c r="I955" s="455">
        <f t="shared" ca="1" si="81"/>
        <v>15170488.436422329</v>
      </c>
      <c r="J955" s="455">
        <f t="array" ref="J955">IFERROR(INDEX('Retirement Calculator'!K:K,MATCH('Lorri 401b'!N955,'Retirement Calculator'!A:A,0),0),0)</f>
        <v>16520.094745597391</v>
      </c>
      <c r="K955" s="455">
        <f t="shared" ca="1" si="79"/>
        <v>63141.534756986388</v>
      </c>
      <c r="L955" s="455">
        <f t="shared" ca="1" si="80"/>
        <v>15217109.876433719</v>
      </c>
      <c r="M955" s="471">
        <f t="shared" si="82"/>
        <v>0.05</v>
      </c>
      <c r="N955" s="475">
        <f t="shared" si="83"/>
        <v>80110</v>
      </c>
    </row>
    <row r="956" spans="7:14" ht="11.25" customHeight="1" x14ac:dyDescent="0.3">
      <c r="G956" s="470">
        <f>G955+1</f>
        <v>80</v>
      </c>
      <c r="H956" s="470">
        <v>949</v>
      </c>
      <c r="I956" s="455">
        <f t="shared" ca="1" si="81"/>
        <v>15217109.876433719</v>
      </c>
      <c r="J956" s="455">
        <f t="array" ref="J956">IFERROR(INDEX('Retirement Calculator'!K:K,MATCH('Lorri 401b'!N956,'Retirement Calculator'!A:A,0),0),0)</f>
        <v>16520.094745597391</v>
      </c>
      <c r="K956" s="455">
        <f t="shared" ca="1" si="79"/>
        <v>63335.790757033843</v>
      </c>
      <c r="L956" s="455">
        <f t="shared" ca="1" si="80"/>
        <v>15263925.572445156</v>
      </c>
      <c r="M956" s="471">
        <f t="shared" si="82"/>
        <v>0.05</v>
      </c>
      <c r="N956" s="475">
        <f t="shared" si="83"/>
        <v>80141</v>
      </c>
    </row>
    <row r="957" spans="7:14" ht="11.25" customHeight="1" x14ac:dyDescent="0.3">
      <c r="G957" s="470">
        <f t="shared" ref="G957:G967" si="99">G956</f>
        <v>80</v>
      </c>
      <c r="H957" s="470">
        <v>950</v>
      </c>
      <c r="I957" s="455">
        <f t="shared" ca="1" si="81"/>
        <v>15263925.572445156</v>
      </c>
      <c r="J957" s="455">
        <f t="array" ref="J957">IFERROR(INDEX('Retirement Calculator'!K:K,MATCH('Lorri 401b'!N957,'Retirement Calculator'!A:A,0),0),0)</f>
        <v>16520.094745597391</v>
      </c>
      <c r="K957" s="455">
        <f t="shared" ca="1" si="79"/>
        <v>63530.856157081493</v>
      </c>
      <c r="L957" s="455">
        <f t="shared" ca="1" si="80"/>
        <v>15310936.33385664</v>
      </c>
      <c r="M957" s="471">
        <f t="shared" si="82"/>
        <v>0.05</v>
      </c>
      <c r="N957" s="475">
        <f t="shared" si="83"/>
        <v>80171</v>
      </c>
    </row>
    <row r="958" spans="7:14" ht="11.25" customHeight="1" x14ac:dyDescent="0.3">
      <c r="G958" s="470">
        <f t="shared" si="99"/>
        <v>80</v>
      </c>
      <c r="H958" s="470">
        <v>951</v>
      </c>
      <c r="I958" s="455">
        <f t="shared" ca="1" si="81"/>
        <v>15310936.33385664</v>
      </c>
      <c r="J958" s="455">
        <f t="array" ref="J958">IFERROR(INDEX('Retirement Calculator'!K:K,MATCH('Lorri 401b'!N958,'Retirement Calculator'!A:A,0),0),0)</f>
        <v>16520.094745597391</v>
      </c>
      <c r="K958" s="455">
        <f t="shared" ca="1" si="79"/>
        <v>63726.734329629355</v>
      </c>
      <c r="L958" s="455">
        <f t="shared" ca="1" si="80"/>
        <v>15358142.973440673</v>
      </c>
      <c r="M958" s="471">
        <f t="shared" si="82"/>
        <v>0.05</v>
      </c>
      <c r="N958" s="475">
        <f t="shared" si="83"/>
        <v>80202</v>
      </c>
    </row>
    <row r="959" spans="7:14" ht="11.25" customHeight="1" x14ac:dyDescent="0.3">
      <c r="G959" s="470">
        <f t="shared" si="99"/>
        <v>80</v>
      </c>
      <c r="H959" s="470">
        <v>952</v>
      </c>
      <c r="I959" s="455">
        <f t="shared" ca="1" si="81"/>
        <v>15358142.973440673</v>
      </c>
      <c r="J959" s="455">
        <f t="array" ref="J959">IFERROR(INDEX('Retirement Calculator'!K:K,MATCH('Lorri 401b'!N959,'Retirement Calculator'!A:A,0),0),0)</f>
        <v>16520.094745597391</v>
      </c>
      <c r="K959" s="455">
        <f t="shared" ca="1" si="79"/>
        <v>63923.428661229482</v>
      </c>
      <c r="L959" s="455">
        <f t="shared" ca="1" si="80"/>
        <v>15405546.307356305</v>
      </c>
      <c r="M959" s="471">
        <f t="shared" si="82"/>
        <v>0.05</v>
      </c>
      <c r="N959" s="475">
        <f t="shared" si="83"/>
        <v>80233</v>
      </c>
    </row>
    <row r="960" spans="7:14" ht="11.25" customHeight="1" x14ac:dyDescent="0.3">
      <c r="G960" s="470">
        <f t="shared" si="99"/>
        <v>80</v>
      </c>
      <c r="H960" s="470">
        <v>953</v>
      </c>
      <c r="I960" s="455">
        <f t="shared" ca="1" si="81"/>
        <v>15405546.307356305</v>
      </c>
      <c r="J960" s="455">
        <f t="array" ref="J960">IFERROR(INDEX('Retirement Calculator'!K:K,MATCH('Lorri 401b'!N960,'Retirement Calculator'!A:A,0),0),0)</f>
        <v>16520.094745597391</v>
      </c>
      <c r="K960" s="455">
        <f t="shared" ca="1" si="79"/>
        <v>64120.94255254462</v>
      </c>
      <c r="L960" s="455">
        <f t="shared" ca="1" si="80"/>
        <v>15453147.155163253</v>
      </c>
      <c r="M960" s="471">
        <f t="shared" si="82"/>
        <v>0.05</v>
      </c>
      <c r="N960" s="475">
        <f t="shared" si="83"/>
        <v>80263</v>
      </c>
    </row>
    <row r="961" spans="7:14" ht="11.25" customHeight="1" x14ac:dyDescent="0.3">
      <c r="G961" s="470">
        <f t="shared" si="99"/>
        <v>80</v>
      </c>
      <c r="H961" s="470">
        <v>954</v>
      </c>
      <c r="I961" s="455">
        <f t="shared" ca="1" si="81"/>
        <v>15453147.155163253</v>
      </c>
      <c r="J961" s="455">
        <f t="array" ref="J961">IFERROR(INDEX('Retirement Calculator'!K:K,MATCH('Lorri 401b'!N961,'Retirement Calculator'!A:A,0),0),0)</f>
        <v>16520.094745597391</v>
      </c>
      <c r="K961" s="455">
        <f t="shared" ca="1" si="79"/>
        <v>64319.279418406899</v>
      </c>
      <c r="L961" s="455">
        <f t="shared" ca="1" si="80"/>
        <v>15500946.339836063</v>
      </c>
      <c r="M961" s="471">
        <f t="shared" si="82"/>
        <v>0.05</v>
      </c>
      <c r="N961" s="475">
        <f t="shared" si="83"/>
        <v>80294</v>
      </c>
    </row>
    <row r="962" spans="7:14" ht="11.25" customHeight="1" x14ac:dyDescent="0.3">
      <c r="G962" s="470">
        <f t="shared" si="99"/>
        <v>80</v>
      </c>
      <c r="H962" s="470">
        <v>955</v>
      </c>
      <c r="I962" s="455">
        <f t="shared" ca="1" si="81"/>
        <v>15500946.339836063</v>
      </c>
      <c r="J962" s="455">
        <f t="array" ref="J962">IFERROR(INDEX('Retirement Calculator'!K:K,MATCH('Lorri 401b'!N962,'Retirement Calculator'!A:A,0),0),0)</f>
        <v>16520.094745597391</v>
      </c>
      <c r="K962" s="455">
        <f t="shared" ca="1" si="79"/>
        <v>64518.44268787693</v>
      </c>
      <c r="L962" s="455">
        <f t="shared" ca="1" si="80"/>
        <v>15548944.687778343</v>
      </c>
      <c r="M962" s="471">
        <f t="shared" si="82"/>
        <v>0.05</v>
      </c>
      <c r="N962" s="475">
        <f t="shared" si="83"/>
        <v>80324</v>
      </c>
    </row>
    <row r="963" spans="7:14" ht="11.25" customHeight="1" x14ac:dyDescent="0.3">
      <c r="G963" s="470">
        <f t="shared" si="99"/>
        <v>80</v>
      </c>
      <c r="H963" s="470">
        <v>956</v>
      </c>
      <c r="I963" s="455">
        <f t="shared" ca="1" si="81"/>
        <v>15548944.687778343</v>
      </c>
      <c r="J963" s="455">
        <f t="array" ref="J963">IFERROR(INDEX('Retirement Calculator'!K:K,MATCH('Lorri 401b'!N963,'Retirement Calculator'!A:A,0),0),0)</f>
        <v>16520.094745597391</v>
      </c>
      <c r="K963" s="455">
        <f t="shared" ca="1" si="79"/>
        <v>64718.435804303095</v>
      </c>
      <c r="L963" s="455">
        <f t="shared" ca="1" si="80"/>
        <v>15597143.028837049</v>
      </c>
      <c r="M963" s="471">
        <f t="shared" si="82"/>
        <v>0.05</v>
      </c>
      <c r="N963" s="475">
        <f t="shared" si="83"/>
        <v>80355</v>
      </c>
    </row>
    <row r="964" spans="7:14" ht="11.25" customHeight="1" x14ac:dyDescent="0.3">
      <c r="G964" s="470">
        <f t="shared" si="99"/>
        <v>80</v>
      </c>
      <c r="H964" s="470">
        <v>957</v>
      </c>
      <c r="I964" s="455">
        <f t="shared" ca="1" si="81"/>
        <v>15597143.028837049</v>
      </c>
      <c r="J964" s="455">
        <f t="array" ref="J964">IFERROR(INDEX('Retirement Calculator'!K:K,MATCH('Lorri 401b'!N964,'Retirement Calculator'!A:A,0),0),0)</f>
        <v>16520.094745597391</v>
      </c>
      <c r="K964" s="455">
        <f t="shared" ca="1" si="79"/>
        <v>64919.262225381048</v>
      </c>
      <c r="L964" s="455">
        <f t="shared" ca="1" si="80"/>
        <v>15645542.196316833</v>
      </c>
      <c r="M964" s="471">
        <f t="shared" si="82"/>
        <v>0.05</v>
      </c>
      <c r="N964" s="475">
        <f t="shared" si="83"/>
        <v>80386</v>
      </c>
    </row>
    <row r="965" spans="7:14" ht="11.25" customHeight="1" x14ac:dyDescent="0.3">
      <c r="G965" s="470">
        <f t="shared" si="99"/>
        <v>80</v>
      </c>
      <c r="H965" s="470">
        <v>958</v>
      </c>
      <c r="I965" s="455">
        <f t="shared" ca="1" si="81"/>
        <v>15645542.196316833</v>
      </c>
      <c r="J965" s="455">
        <f t="array" ref="J965">IFERROR(INDEX('Retirement Calculator'!K:K,MATCH('Lorri 401b'!N965,'Retirement Calculator'!A:A,0),0),0)</f>
        <v>16520.094745597391</v>
      </c>
      <c r="K965" s="455">
        <f t="shared" ca="1" si="79"/>
        <v>65120.925423213484</v>
      </c>
      <c r="L965" s="455">
        <f t="shared" ca="1" si="80"/>
        <v>15694143.02699445</v>
      </c>
      <c r="M965" s="471">
        <f t="shared" si="82"/>
        <v>0.05</v>
      </c>
      <c r="N965" s="475">
        <f t="shared" si="83"/>
        <v>80415</v>
      </c>
    </row>
    <row r="966" spans="7:14" ht="11.25" customHeight="1" x14ac:dyDescent="0.3">
      <c r="G966" s="470">
        <f t="shared" si="99"/>
        <v>80</v>
      </c>
      <c r="H966" s="470">
        <v>959</v>
      </c>
      <c r="I966" s="455">
        <f t="shared" ca="1" si="81"/>
        <v>15694143.02699445</v>
      </c>
      <c r="J966" s="455">
        <f t="array" ref="J966">IFERROR(INDEX('Retirement Calculator'!K:K,MATCH('Lorri 401b'!N966,'Retirement Calculator'!A:A,0),0),0)</f>
        <v>16520.094745597391</v>
      </c>
      <c r="K966" s="455">
        <f t="shared" ca="1" si="79"/>
        <v>65323.428884370216</v>
      </c>
      <c r="L966" s="455">
        <f t="shared" ca="1" si="80"/>
        <v>15742946.361133223</v>
      </c>
      <c r="M966" s="471">
        <f t="shared" si="82"/>
        <v>0.05</v>
      </c>
      <c r="N966" s="475">
        <f t="shared" si="83"/>
        <v>80446</v>
      </c>
    </row>
    <row r="967" spans="7:14" ht="11.25" customHeight="1" x14ac:dyDescent="0.3">
      <c r="G967" s="470">
        <f t="shared" si="99"/>
        <v>80</v>
      </c>
      <c r="H967" s="470">
        <v>960</v>
      </c>
      <c r="I967" s="455">
        <f t="shared" ca="1" si="81"/>
        <v>15742946.361133223</v>
      </c>
      <c r="J967" s="455">
        <f t="array" ref="J967">IFERROR(INDEX('Retirement Calculator'!K:K,MATCH('Lorri 401b'!N967,'Retirement Calculator'!A:A,0),0),0)</f>
        <v>16520.094745597391</v>
      </c>
      <c r="K967" s="455">
        <f t="shared" ca="1" si="79"/>
        <v>65526.776109948441</v>
      </c>
      <c r="L967" s="455">
        <f t="shared" ca="1" si="80"/>
        <v>15791953.042497575</v>
      </c>
      <c r="M967" s="471">
        <f t="shared" si="82"/>
        <v>0.05</v>
      </c>
      <c r="N967" s="475">
        <f t="shared" si="83"/>
        <v>80476</v>
      </c>
    </row>
    <row r="968" spans="7:14" ht="11.25" customHeight="1" x14ac:dyDescent="0.3">
      <c r="G968" s="470">
        <f>G967+1</f>
        <v>81</v>
      </c>
      <c r="H968" s="470">
        <v>961</v>
      </c>
      <c r="I968" s="455">
        <f t="shared" ca="1" si="81"/>
        <v>15791953.042497575</v>
      </c>
      <c r="J968" s="455">
        <f t="array" ref="J968">IFERROR(INDEX('Retirement Calculator'!K:K,MATCH('Lorri 401b'!N968,'Retirement Calculator'!A:A,0),0),0)</f>
        <v>16520.094745597391</v>
      </c>
      <c r="K968" s="455">
        <f t="shared" ca="1" si="79"/>
        <v>65730.97061563324</v>
      </c>
      <c r="L968" s="455">
        <f t="shared" ca="1" si="80"/>
        <v>15841163.918367611</v>
      </c>
      <c r="M968" s="471">
        <f t="shared" si="82"/>
        <v>0.05</v>
      </c>
      <c r="N968" s="475">
        <f t="shared" si="83"/>
        <v>80507</v>
      </c>
    </row>
    <row r="969" spans="7:14" ht="11.25" customHeight="1" x14ac:dyDescent="0.3">
      <c r="G969" s="470">
        <f t="shared" ref="G969:G979" si="100">G968</f>
        <v>81</v>
      </c>
      <c r="H969" s="470">
        <v>962</v>
      </c>
      <c r="I969" s="455">
        <f t="shared" ca="1" si="81"/>
        <v>15841163.918367611</v>
      </c>
      <c r="J969" s="455">
        <f t="array" ref="J969">IFERROR(INDEX('Retirement Calculator'!K:K,MATCH('Lorri 401b'!N969,'Retirement Calculator'!A:A,0),0),0)</f>
        <v>16520.094745597391</v>
      </c>
      <c r="K969" s="455">
        <f t="shared" ca="1" si="79"/>
        <v>65936.015931758404</v>
      </c>
      <c r="L969" s="455">
        <f t="shared" ca="1" si="80"/>
        <v>15890579.839553773</v>
      </c>
      <c r="M969" s="471">
        <f t="shared" si="82"/>
        <v>0.05</v>
      </c>
      <c r="N969" s="475">
        <f t="shared" si="83"/>
        <v>80537</v>
      </c>
    </row>
    <row r="970" spans="7:14" ht="11.25" customHeight="1" x14ac:dyDescent="0.3">
      <c r="G970" s="470">
        <f t="shared" si="100"/>
        <v>81</v>
      </c>
      <c r="H970" s="470">
        <v>963</v>
      </c>
      <c r="I970" s="455">
        <f t="shared" ca="1" si="81"/>
        <v>15890579.839553773</v>
      </c>
      <c r="J970" s="455">
        <f t="array" ref="J970">IFERROR(INDEX('Retirement Calculator'!K:K,MATCH('Lorri 401b'!N970,'Retirement Calculator'!A:A,0),0),0)</f>
        <v>16520.094745597391</v>
      </c>
      <c r="K970" s="455">
        <f t="shared" ca="1" si="79"/>
        <v>66141.915603367408</v>
      </c>
      <c r="L970" s="455">
        <f t="shared" ca="1" si="80"/>
        <v>15940201.660411544</v>
      </c>
      <c r="M970" s="471">
        <f t="shared" si="82"/>
        <v>0.05</v>
      </c>
      <c r="N970" s="475">
        <f t="shared" si="83"/>
        <v>80568</v>
      </c>
    </row>
    <row r="971" spans="7:14" ht="11.25" customHeight="1" x14ac:dyDescent="0.3">
      <c r="G971" s="470">
        <f t="shared" si="100"/>
        <v>81</v>
      </c>
      <c r="H971" s="470">
        <v>964</v>
      </c>
      <c r="I971" s="455">
        <f t="shared" ca="1" si="81"/>
        <v>15940201.660411544</v>
      </c>
      <c r="J971" s="455">
        <f t="array" ref="J971">IFERROR(INDEX('Retirement Calculator'!K:K,MATCH('Lorri 401b'!N971,'Retirement Calculator'!A:A,0),0),0)</f>
        <v>16520.094745597391</v>
      </c>
      <c r="K971" s="455">
        <f t="shared" ca="1" si="79"/>
        <v>66348.673190274785</v>
      </c>
      <c r="L971" s="455">
        <f t="shared" ca="1" si="80"/>
        <v>15990030.238856222</v>
      </c>
      <c r="M971" s="471">
        <f t="shared" si="82"/>
        <v>0.05</v>
      </c>
      <c r="N971" s="475">
        <f t="shared" si="83"/>
        <v>80599</v>
      </c>
    </row>
    <row r="972" spans="7:14" ht="11.25" customHeight="1" x14ac:dyDescent="0.3">
      <c r="G972" s="470">
        <f t="shared" si="100"/>
        <v>81</v>
      </c>
      <c r="H972" s="470">
        <v>965</v>
      </c>
      <c r="I972" s="455">
        <f t="shared" ca="1" si="81"/>
        <v>15990030.238856222</v>
      </c>
      <c r="J972" s="455">
        <f t="array" ref="J972">IFERROR(INDEX('Retirement Calculator'!K:K,MATCH('Lorri 401b'!N972,'Retirement Calculator'!A:A,0),0),0)</f>
        <v>16520.094745597391</v>
      </c>
      <c r="K972" s="455">
        <f t="shared" ca="1" si="79"/>
        <v>66556.292267127603</v>
      </c>
      <c r="L972" s="455">
        <f t="shared" ca="1" si="80"/>
        <v>16040066.436377753</v>
      </c>
      <c r="M972" s="471">
        <f t="shared" si="82"/>
        <v>0.05</v>
      </c>
      <c r="N972" s="475">
        <f t="shared" si="83"/>
        <v>80629</v>
      </c>
    </row>
    <row r="973" spans="7:14" ht="11.25" customHeight="1" x14ac:dyDescent="0.3">
      <c r="G973" s="470">
        <f t="shared" si="100"/>
        <v>81</v>
      </c>
      <c r="H973" s="470">
        <v>966</v>
      </c>
      <c r="I973" s="455">
        <f t="shared" ca="1" si="81"/>
        <v>16040066.436377753</v>
      </c>
      <c r="J973" s="455">
        <f t="array" ref="J973">IFERROR(INDEX('Retirement Calculator'!K:K,MATCH('Lorri 401b'!N973,'Retirement Calculator'!A:A,0),0),0)</f>
        <v>16520.094745597391</v>
      </c>
      <c r="K973" s="455">
        <f t="shared" ca="1" si="79"/>
        <v>66764.776423467323</v>
      </c>
      <c r="L973" s="455">
        <f t="shared" ca="1" si="80"/>
        <v>16090311.118055623</v>
      </c>
      <c r="M973" s="471">
        <f t="shared" si="82"/>
        <v>0.05</v>
      </c>
      <c r="N973" s="475">
        <f t="shared" si="83"/>
        <v>80660</v>
      </c>
    </row>
    <row r="974" spans="7:14" ht="11.25" customHeight="1" x14ac:dyDescent="0.3">
      <c r="G974" s="470">
        <f t="shared" si="100"/>
        <v>81</v>
      </c>
      <c r="H974" s="470">
        <v>967</v>
      </c>
      <c r="I974" s="455">
        <f t="shared" ca="1" si="81"/>
        <v>16090311.118055623</v>
      </c>
      <c r="J974" s="455">
        <f t="array" ref="J974">IFERROR(INDEX('Retirement Calculator'!K:K,MATCH('Lorri 401b'!N974,'Retirement Calculator'!A:A,0),0),0)</f>
        <v>16520.094745597391</v>
      </c>
      <c r="K974" s="455">
        <f t="shared" ca="1" si="79"/>
        <v>66974.129263791765</v>
      </c>
      <c r="L974" s="455">
        <f t="shared" ca="1" si="80"/>
        <v>16140765.152573818</v>
      </c>
      <c r="M974" s="471">
        <f t="shared" si="82"/>
        <v>0.05</v>
      </c>
      <c r="N974" s="475">
        <f t="shared" si="83"/>
        <v>80690</v>
      </c>
    </row>
    <row r="975" spans="7:14" ht="11.25" customHeight="1" x14ac:dyDescent="0.3">
      <c r="G975" s="470">
        <f t="shared" si="100"/>
        <v>81</v>
      </c>
      <c r="H975" s="470">
        <v>968</v>
      </c>
      <c r="I975" s="455">
        <f t="shared" ca="1" si="81"/>
        <v>16140765.152573818</v>
      </c>
      <c r="J975" s="455">
        <f t="array" ref="J975">IFERROR(INDEX('Retirement Calculator'!K:K,MATCH('Lorri 401b'!N975,'Retirement Calculator'!A:A,0),0),0)</f>
        <v>16520.094745597391</v>
      </c>
      <c r="K975" s="455">
        <f t="shared" ca="1" si="79"/>
        <v>67184.354407617589</v>
      </c>
      <c r="L975" s="455">
        <f t="shared" ca="1" si="80"/>
        <v>16191429.412235839</v>
      </c>
      <c r="M975" s="471">
        <f t="shared" si="82"/>
        <v>0.05</v>
      </c>
      <c r="N975" s="475">
        <f t="shared" si="83"/>
        <v>80721</v>
      </c>
    </row>
    <row r="976" spans="7:14" ht="11.25" customHeight="1" x14ac:dyDescent="0.3">
      <c r="G976" s="470">
        <f t="shared" si="100"/>
        <v>81</v>
      </c>
      <c r="H976" s="470">
        <v>969</v>
      </c>
      <c r="I976" s="455">
        <f t="shared" ca="1" si="81"/>
        <v>16191429.412235839</v>
      </c>
      <c r="J976" s="455">
        <f t="array" ref="J976">IFERROR(INDEX('Retirement Calculator'!K:K,MATCH('Lorri 401b'!N976,'Retirement Calculator'!A:A,0),0),0)</f>
        <v>16520.094745597391</v>
      </c>
      <c r="K976" s="455">
        <f t="shared" ca="1" si="79"/>
        <v>67395.45548954267</v>
      </c>
      <c r="L976" s="455">
        <f t="shared" ca="1" si="80"/>
        <v>16242304.772979785</v>
      </c>
      <c r="M976" s="471">
        <f t="shared" si="82"/>
        <v>0.05</v>
      </c>
      <c r="N976" s="475">
        <f t="shared" si="83"/>
        <v>80752</v>
      </c>
    </row>
    <row r="977" spans="7:14" ht="11.25" customHeight="1" x14ac:dyDescent="0.3">
      <c r="G977" s="470">
        <f t="shared" si="100"/>
        <v>81</v>
      </c>
      <c r="H977" s="470">
        <v>970</v>
      </c>
      <c r="I977" s="455">
        <f t="shared" ca="1" si="81"/>
        <v>16242304.772979785</v>
      </c>
      <c r="J977" s="455">
        <f t="array" ref="J977">IFERROR(INDEX('Retirement Calculator'!K:K,MATCH('Lorri 401b'!N977,'Retirement Calculator'!A:A,0),0),0)</f>
        <v>16520.094745597391</v>
      </c>
      <c r="K977" s="455">
        <f t="shared" ca="1" si="79"/>
        <v>67607.436159309116</v>
      </c>
      <c r="L977" s="455">
        <f t="shared" ca="1" si="80"/>
        <v>16293392.114393497</v>
      </c>
      <c r="M977" s="471">
        <f t="shared" si="82"/>
        <v>0.05</v>
      </c>
      <c r="N977" s="475">
        <f t="shared" si="83"/>
        <v>80780</v>
      </c>
    </row>
    <row r="978" spans="7:14" ht="11.25" customHeight="1" x14ac:dyDescent="0.3">
      <c r="G978" s="470">
        <f t="shared" si="100"/>
        <v>81</v>
      </c>
      <c r="H978" s="470">
        <v>971</v>
      </c>
      <c r="I978" s="455">
        <f t="shared" ca="1" si="81"/>
        <v>16293392.114393497</v>
      </c>
      <c r="J978" s="455">
        <f t="array" ref="J978">IFERROR(INDEX('Retirement Calculator'!K:K,MATCH('Lorri 401b'!N978,'Retirement Calculator'!A:A,0),0),0)</f>
        <v>16520.094745597391</v>
      </c>
      <c r="K978" s="455">
        <f t="shared" ca="1" si="79"/>
        <v>67820.300081866255</v>
      </c>
      <c r="L978" s="455">
        <f t="shared" ca="1" si="80"/>
        <v>16344692.319729766</v>
      </c>
      <c r="M978" s="471">
        <f t="shared" si="82"/>
        <v>0.05</v>
      </c>
      <c r="N978" s="475">
        <f t="shared" si="83"/>
        <v>80811</v>
      </c>
    </row>
    <row r="979" spans="7:14" ht="11.25" customHeight="1" x14ac:dyDescent="0.3">
      <c r="G979" s="470">
        <f t="shared" si="100"/>
        <v>81</v>
      </c>
      <c r="H979" s="470">
        <v>972</v>
      </c>
      <c r="I979" s="455">
        <f t="shared" ca="1" si="81"/>
        <v>16344692.319729766</v>
      </c>
      <c r="J979" s="455">
        <f t="array" ref="J979">IFERROR(INDEX('Retirement Calculator'!K:K,MATCH('Lorri 401b'!N979,'Retirement Calculator'!A:A,0),0),0)</f>
        <v>16520.094745597391</v>
      </c>
      <c r="K979" s="455">
        <f t="shared" ca="1" si="79"/>
        <v>68034.050937434033</v>
      </c>
      <c r="L979" s="455">
        <f t="shared" ca="1" si="80"/>
        <v>16396206.275921604</v>
      </c>
      <c r="M979" s="471">
        <f t="shared" si="82"/>
        <v>0.05</v>
      </c>
      <c r="N979" s="475">
        <f t="shared" si="83"/>
        <v>80841</v>
      </c>
    </row>
    <row r="980" spans="7:14" ht="11.25" customHeight="1" x14ac:dyDescent="0.3">
      <c r="G980" s="470">
        <f>G979+1</f>
        <v>82</v>
      </c>
      <c r="H980" s="470">
        <v>973</v>
      </c>
      <c r="I980" s="455">
        <f t="shared" ca="1" si="81"/>
        <v>16396206.275921604</v>
      </c>
      <c r="J980" s="455">
        <f t="array" ref="J980">IFERROR(INDEX('Retirement Calculator'!K:K,MATCH('Lorri 401b'!N980,'Retirement Calculator'!A:A,0),0),0)</f>
        <v>16520.094745597391</v>
      </c>
      <c r="K980" s="455">
        <f t="shared" ca="1" si="79"/>
        <v>68248.692421566695</v>
      </c>
      <c r="L980" s="455">
        <f t="shared" ca="1" si="80"/>
        <v>16447934.873597573</v>
      </c>
      <c r="M980" s="471">
        <f t="shared" si="82"/>
        <v>0.05</v>
      </c>
      <c r="N980" s="475">
        <f t="shared" si="83"/>
        <v>80872</v>
      </c>
    </row>
    <row r="981" spans="7:14" ht="11.25" customHeight="1" x14ac:dyDescent="0.3">
      <c r="G981" s="470">
        <f t="shared" ref="G981:G991" si="101">G980</f>
        <v>82</v>
      </c>
      <c r="H981" s="470">
        <v>974</v>
      </c>
      <c r="I981" s="455">
        <f t="shared" ca="1" si="81"/>
        <v>16447934.873597573</v>
      </c>
      <c r="J981" s="455">
        <f t="array" ref="J981">IFERROR(INDEX('Retirement Calculator'!K:K,MATCH('Lorri 401b'!N981,'Retirement Calculator'!A:A,0),0),0)</f>
        <v>16520.094745597391</v>
      </c>
      <c r="K981" s="455">
        <f t="shared" ca="1" si="79"/>
        <v>68464.228245216567</v>
      </c>
      <c r="L981" s="455">
        <f t="shared" ca="1" si="80"/>
        <v>16499879.007097194</v>
      </c>
      <c r="M981" s="471">
        <f t="shared" si="82"/>
        <v>0.05</v>
      </c>
      <c r="N981" s="475">
        <f t="shared" si="83"/>
        <v>80902</v>
      </c>
    </row>
    <row r="982" spans="7:14" ht="11.25" customHeight="1" x14ac:dyDescent="0.3">
      <c r="G982" s="470">
        <f t="shared" si="101"/>
        <v>82</v>
      </c>
      <c r="H982" s="470">
        <v>975</v>
      </c>
      <c r="I982" s="455">
        <f t="shared" ca="1" si="81"/>
        <v>16499879.007097194</v>
      </c>
      <c r="J982" s="455">
        <f t="array" ref="J982">IFERROR(INDEX('Retirement Calculator'!K:K,MATCH('Lorri 401b'!N982,'Retirement Calculator'!A:A,0),0),0)</f>
        <v>16520.094745597391</v>
      </c>
      <c r="K982" s="455">
        <f t="shared" ca="1" si="79"/>
        <v>68680.662134798331</v>
      </c>
      <c r="L982" s="455">
        <f t="shared" ca="1" si="80"/>
        <v>16552039.574486395</v>
      </c>
      <c r="M982" s="471">
        <f t="shared" si="82"/>
        <v>0.05</v>
      </c>
      <c r="N982" s="475">
        <f t="shared" si="83"/>
        <v>80933</v>
      </c>
    </row>
    <row r="983" spans="7:14" ht="11.25" customHeight="1" x14ac:dyDescent="0.3">
      <c r="G983" s="470">
        <f t="shared" si="101"/>
        <v>82</v>
      </c>
      <c r="H983" s="470">
        <v>976</v>
      </c>
      <c r="I983" s="455">
        <f t="shared" ca="1" si="81"/>
        <v>16552039.574486395</v>
      </c>
      <c r="J983" s="455">
        <f t="array" ref="J983">IFERROR(INDEX('Retirement Calculator'!K:K,MATCH('Lorri 401b'!N983,'Retirement Calculator'!A:A,0),0),0)</f>
        <v>16520.094745597391</v>
      </c>
      <c r="K983" s="455">
        <f t="shared" ca="1" si="79"/>
        <v>68897.997832253313</v>
      </c>
      <c r="L983" s="455">
        <f t="shared" ca="1" si="80"/>
        <v>16604417.477573052</v>
      </c>
      <c r="M983" s="471">
        <f t="shared" si="82"/>
        <v>0.05</v>
      </c>
      <c r="N983" s="475">
        <f t="shared" si="83"/>
        <v>80964</v>
      </c>
    </row>
    <row r="984" spans="7:14" ht="11.25" customHeight="1" x14ac:dyDescent="0.3">
      <c r="G984" s="470">
        <f t="shared" si="101"/>
        <v>82</v>
      </c>
      <c r="H984" s="470">
        <v>977</v>
      </c>
      <c r="I984" s="455">
        <f t="shared" ca="1" si="81"/>
        <v>16604417.477573052</v>
      </c>
      <c r="J984" s="455">
        <f t="array" ref="J984">IFERROR(INDEX('Retirement Calculator'!K:K,MATCH('Lorri 401b'!N984,'Retirement Calculator'!A:A,0),0),0)</f>
        <v>16520.094745597391</v>
      </c>
      <c r="K984" s="455">
        <f t="shared" ca="1" si="79"/>
        <v>69116.239095114404</v>
      </c>
      <c r="L984" s="455">
        <f t="shared" ca="1" si="80"/>
        <v>16657013.621922569</v>
      </c>
      <c r="M984" s="471">
        <f t="shared" si="82"/>
        <v>0.05</v>
      </c>
      <c r="N984" s="475">
        <f t="shared" si="83"/>
        <v>80994</v>
      </c>
    </row>
    <row r="985" spans="7:14" ht="11.25" customHeight="1" x14ac:dyDescent="0.3">
      <c r="G985" s="470">
        <f t="shared" si="101"/>
        <v>82</v>
      </c>
      <c r="H985" s="470">
        <v>978</v>
      </c>
      <c r="I985" s="455">
        <f t="shared" ca="1" si="81"/>
        <v>16657013.621922569</v>
      </c>
      <c r="J985" s="455">
        <f t="array" ref="J985">IFERROR(INDEX('Retirement Calculator'!K:K,MATCH('Lorri 401b'!N985,'Retirement Calculator'!A:A,0),0),0)</f>
        <v>16520.094745597391</v>
      </c>
      <c r="K985" s="455">
        <f t="shared" ca="1" si="79"/>
        <v>69335.38969657071</v>
      </c>
      <c r="L985" s="455">
        <f t="shared" ca="1" si="80"/>
        <v>16709828.916873543</v>
      </c>
      <c r="M985" s="471">
        <f t="shared" si="82"/>
        <v>0.05</v>
      </c>
      <c r="N985" s="475">
        <f t="shared" si="83"/>
        <v>81025</v>
      </c>
    </row>
    <row r="986" spans="7:14" ht="11.25" customHeight="1" x14ac:dyDescent="0.3">
      <c r="G986" s="470">
        <f t="shared" si="101"/>
        <v>82</v>
      </c>
      <c r="H986" s="470">
        <v>979</v>
      </c>
      <c r="I986" s="455">
        <f t="shared" ca="1" si="81"/>
        <v>16709828.916873543</v>
      </c>
      <c r="J986" s="455">
        <f t="array" ref="J986">IFERROR(INDEX('Retirement Calculator'!K:K,MATCH('Lorri 401b'!N986,'Retirement Calculator'!A:A,0),0),0)</f>
        <v>16520.094745597391</v>
      </c>
      <c r="K986" s="455">
        <f t="shared" ca="1" si="79"/>
        <v>69555.453425533109</v>
      </c>
      <c r="L986" s="455">
        <f t="shared" ca="1" si="80"/>
        <v>16762864.275553478</v>
      </c>
      <c r="M986" s="471">
        <f t="shared" si="82"/>
        <v>0.05</v>
      </c>
      <c r="N986" s="475">
        <f t="shared" si="83"/>
        <v>81055</v>
      </c>
    </row>
    <row r="987" spans="7:14" ht="11.25" customHeight="1" x14ac:dyDescent="0.3">
      <c r="G987" s="470">
        <f t="shared" si="101"/>
        <v>82</v>
      </c>
      <c r="H987" s="470">
        <v>980</v>
      </c>
      <c r="I987" s="455">
        <f t="shared" ca="1" si="81"/>
        <v>16762864.275553478</v>
      </c>
      <c r="J987" s="455">
        <f t="array" ref="J987">IFERROR(INDEX('Retirement Calculator'!K:K,MATCH('Lorri 401b'!N987,'Retirement Calculator'!A:A,0),0),0)</f>
        <v>16520.094745597391</v>
      </c>
      <c r="K987" s="455">
        <f t="shared" ca="1" si="79"/>
        <v>69776.434086699504</v>
      </c>
      <c r="L987" s="455">
        <f t="shared" ca="1" si="80"/>
        <v>16816120.61489458</v>
      </c>
      <c r="M987" s="471">
        <f t="shared" si="82"/>
        <v>0.05</v>
      </c>
      <c r="N987" s="475">
        <f t="shared" si="83"/>
        <v>81086</v>
      </c>
    </row>
    <row r="988" spans="7:14" ht="11.25" customHeight="1" x14ac:dyDescent="0.3">
      <c r="G988" s="470">
        <f t="shared" si="101"/>
        <v>82</v>
      </c>
      <c r="H988" s="470">
        <v>981</v>
      </c>
      <c r="I988" s="455">
        <f t="shared" ca="1" si="81"/>
        <v>16816120.61489458</v>
      </c>
      <c r="J988" s="455">
        <f t="array" ref="J988">IFERROR(INDEX('Retirement Calculator'!K:K,MATCH('Lorri 401b'!N988,'Retirement Calculator'!A:A,0),0),0)</f>
        <v>16520.094745597391</v>
      </c>
      <c r="K988" s="455">
        <f t="shared" ca="1" si="79"/>
        <v>69998.335500620757</v>
      </c>
      <c r="L988" s="455">
        <f t="shared" ca="1" si="80"/>
        <v>16869598.855649602</v>
      </c>
      <c r="M988" s="471">
        <f t="shared" si="82"/>
        <v>0.05</v>
      </c>
      <c r="N988" s="475">
        <f t="shared" si="83"/>
        <v>81117</v>
      </c>
    </row>
    <row r="989" spans="7:14" ht="11.25" customHeight="1" x14ac:dyDescent="0.3">
      <c r="G989" s="470">
        <f t="shared" si="101"/>
        <v>82</v>
      </c>
      <c r="H989" s="470">
        <v>982</v>
      </c>
      <c r="I989" s="455">
        <f t="shared" ca="1" si="81"/>
        <v>16869598.855649602</v>
      </c>
      <c r="J989" s="455">
        <f t="array" ref="J989">IFERROR(INDEX('Retirement Calculator'!K:K,MATCH('Lorri 401b'!N989,'Retirement Calculator'!A:A,0),0),0)</f>
        <v>16520.094745597391</v>
      </c>
      <c r="K989" s="455">
        <f t="shared" ca="1" si="79"/>
        <v>70221.161503766678</v>
      </c>
      <c r="L989" s="455">
        <f t="shared" ca="1" si="80"/>
        <v>16923299.922407769</v>
      </c>
      <c r="M989" s="471">
        <f t="shared" si="82"/>
        <v>0.05</v>
      </c>
      <c r="N989" s="475">
        <f t="shared" si="83"/>
        <v>81145</v>
      </c>
    </row>
    <row r="990" spans="7:14" ht="11.25" customHeight="1" x14ac:dyDescent="0.3">
      <c r="G990" s="470">
        <f t="shared" si="101"/>
        <v>82</v>
      </c>
      <c r="H990" s="470">
        <v>983</v>
      </c>
      <c r="I990" s="455">
        <f t="shared" ca="1" si="81"/>
        <v>16923299.922407769</v>
      </c>
      <c r="J990" s="455">
        <f t="array" ref="J990">IFERROR(INDEX('Retirement Calculator'!K:K,MATCH('Lorri 401b'!N990,'Retirement Calculator'!A:A,0),0),0)</f>
        <v>16520.094745597391</v>
      </c>
      <c r="K990" s="455">
        <f t="shared" ca="1" si="79"/>
        <v>70444.915948592374</v>
      </c>
      <c r="L990" s="455">
        <f t="shared" ca="1" si="80"/>
        <v>16977224.743610762</v>
      </c>
      <c r="M990" s="471">
        <f t="shared" si="82"/>
        <v>0.05</v>
      </c>
      <c r="N990" s="475">
        <f t="shared" si="83"/>
        <v>81176</v>
      </c>
    </row>
    <row r="991" spans="7:14" ht="11.25" customHeight="1" x14ac:dyDescent="0.3">
      <c r="G991" s="470">
        <f t="shared" si="101"/>
        <v>82</v>
      </c>
      <c r="H991" s="470">
        <v>984</v>
      </c>
      <c r="I991" s="455">
        <f t="shared" ca="1" si="81"/>
        <v>16977224.743610762</v>
      </c>
      <c r="J991" s="455">
        <f t="array" ref="J991">IFERROR(INDEX('Retirement Calculator'!K:K,MATCH('Lorri 401b'!N991,'Retirement Calculator'!A:A,0),0),0)</f>
        <v>16520.094745597391</v>
      </c>
      <c r="K991" s="455">
        <f t="shared" ca="1" si="79"/>
        <v>70669.602703604847</v>
      </c>
      <c r="L991" s="455">
        <f t="shared" ca="1" si="80"/>
        <v>17031374.251568768</v>
      </c>
      <c r="M991" s="471">
        <f t="shared" si="82"/>
        <v>0.05</v>
      </c>
      <c r="N991" s="475">
        <f t="shared" si="83"/>
        <v>81206</v>
      </c>
    </row>
    <row r="992" spans="7:14" ht="11.25" customHeight="1" x14ac:dyDescent="0.3">
      <c r="G992" s="470">
        <f>G991+1</f>
        <v>83</v>
      </c>
      <c r="H992" s="470">
        <v>985</v>
      </c>
      <c r="I992" s="455">
        <f t="shared" ca="1" si="81"/>
        <v>17031374.251568768</v>
      </c>
      <c r="J992" s="455">
        <f t="array" ref="J992">IFERROR(INDEX('Retirement Calculator'!K:K,MATCH('Lorri 401b'!N992,'Retirement Calculator'!A:A,0),0),0)</f>
        <v>16520.094745597391</v>
      </c>
      <c r="K992" s="455">
        <f t="shared" ca="1" si="79"/>
        <v>70895.225653429865</v>
      </c>
      <c r="L992" s="455">
        <f t="shared" ca="1" si="80"/>
        <v>17085749.382476598</v>
      </c>
      <c r="M992" s="471">
        <f t="shared" si="82"/>
        <v>0.05</v>
      </c>
      <c r="N992" s="475">
        <f t="shared" si="83"/>
        <v>81237</v>
      </c>
    </row>
    <row r="993" spans="7:14" ht="11.25" customHeight="1" x14ac:dyDescent="0.3">
      <c r="G993" s="470">
        <f t="shared" ref="G993:G1003" si="102">G992</f>
        <v>83</v>
      </c>
      <c r="H993" s="470">
        <v>986</v>
      </c>
      <c r="I993" s="455">
        <f t="shared" ca="1" si="81"/>
        <v>17085749.382476598</v>
      </c>
      <c r="J993" s="455">
        <f t="array" ref="J993">IFERROR(INDEX('Retirement Calculator'!K:K,MATCH('Lorri 401b'!N993,'Retirement Calculator'!A:A,0),0),0)</f>
        <v>16520.094745597391</v>
      </c>
      <c r="K993" s="455">
        <f t="shared" ca="1" si="79"/>
        <v>71121.788698879158</v>
      </c>
      <c r="L993" s="455">
        <f t="shared" ca="1" si="80"/>
        <v>17140351.076429877</v>
      </c>
      <c r="M993" s="471">
        <f t="shared" si="82"/>
        <v>0.05</v>
      </c>
      <c r="N993" s="475">
        <f t="shared" si="83"/>
        <v>81267</v>
      </c>
    </row>
    <row r="994" spans="7:14" ht="11.25" customHeight="1" x14ac:dyDescent="0.3">
      <c r="G994" s="470">
        <f t="shared" si="102"/>
        <v>83</v>
      </c>
      <c r="H994" s="470">
        <v>987</v>
      </c>
      <c r="I994" s="455">
        <f t="shared" ca="1" si="81"/>
        <v>17140351.076429877</v>
      </c>
      <c r="J994" s="455">
        <f t="array" ref="J994">IFERROR(INDEX('Retirement Calculator'!K:K,MATCH('Lorri 401b'!N994,'Retirement Calculator'!A:A,0),0),0)</f>
        <v>16520.094745597391</v>
      </c>
      <c r="K994" s="455">
        <f t="shared" ca="1" si="79"/>
        <v>71349.295757017826</v>
      </c>
      <c r="L994" s="455">
        <f t="shared" ca="1" si="80"/>
        <v>17195180.277441297</v>
      </c>
      <c r="M994" s="471">
        <f t="shared" si="82"/>
        <v>0.05</v>
      </c>
      <c r="N994" s="475">
        <f t="shared" si="83"/>
        <v>81298</v>
      </c>
    </row>
    <row r="995" spans="7:14" ht="11.25" customHeight="1" x14ac:dyDescent="0.3">
      <c r="G995" s="470">
        <f t="shared" si="102"/>
        <v>83</v>
      </c>
      <c r="H995" s="470">
        <v>988</v>
      </c>
      <c r="I995" s="455">
        <f t="shared" ca="1" si="81"/>
        <v>17195180.277441297</v>
      </c>
      <c r="J995" s="455">
        <f t="array" ref="J995">IFERROR(INDEX('Retirement Calculator'!K:K,MATCH('Lorri 401b'!N995,'Retirement Calculator'!A:A,0),0),0)</f>
        <v>16520.094745597391</v>
      </c>
      <c r="K995" s="455">
        <f t="shared" ca="1" si="79"/>
        <v>71577.750761232077</v>
      </c>
      <c r="L995" s="455">
        <f t="shared" ca="1" si="80"/>
        <v>17250237.933456931</v>
      </c>
      <c r="M995" s="471">
        <f t="shared" si="82"/>
        <v>0.05</v>
      </c>
      <c r="N995" s="475">
        <f t="shared" si="83"/>
        <v>81329</v>
      </c>
    </row>
    <row r="996" spans="7:14" ht="11.25" customHeight="1" x14ac:dyDescent="0.3">
      <c r="G996" s="470">
        <f t="shared" si="102"/>
        <v>83</v>
      </c>
      <c r="H996" s="470">
        <v>989</v>
      </c>
      <c r="I996" s="455">
        <f t="shared" ca="1" si="81"/>
        <v>17250237.933456931</v>
      </c>
      <c r="J996" s="455">
        <f t="array" ref="J996">IFERROR(INDEX('Retirement Calculator'!K:K,MATCH('Lorri 401b'!N996,'Retirement Calculator'!A:A,0),0),0)</f>
        <v>16520.094745597391</v>
      </c>
      <c r="K996" s="455">
        <f t="shared" ca="1" si="79"/>
        <v>71807.157661297213</v>
      </c>
      <c r="L996" s="455">
        <f t="shared" ca="1" si="80"/>
        <v>17305524.996372629</v>
      </c>
      <c r="M996" s="471">
        <f t="shared" si="82"/>
        <v>0.05</v>
      </c>
      <c r="N996" s="475">
        <f t="shared" si="83"/>
        <v>81359</v>
      </c>
    </row>
    <row r="997" spans="7:14" ht="11.25" customHeight="1" x14ac:dyDescent="0.3">
      <c r="G997" s="470">
        <f t="shared" si="102"/>
        <v>83</v>
      </c>
      <c r="H997" s="470">
        <v>990</v>
      </c>
      <c r="I997" s="455">
        <f t="shared" ca="1" si="81"/>
        <v>17305524.996372629</v>
      </c>
      <c r="J997" s="455">
        <f t="array" ref="J997">IFERROR(INDEX('Retirement Calculator'!K:K,MATCH('Lorri 401b'!N997,'Retirement Calculator'!A:A,0),0),0)</f>
        <v>16520.094745597391</v>
      </c>
      <c r="K997" s="455">
        <f t="shared" ca="1" si="79"/>
        <v>72037.520423445952</v>
      </c>
      <c r="L997" s="455">
        <f t="shared" ca="1" si="80"/>
        <v>17361042.422050476</v>
      </c>
      <c r="M997" s="471">
        <f t="shared" si="82"/>
        <v>0.05</v>
      </c>
      <c r="N997" s="475">
        <f t="shared" si="83"/>
        <v>81390</v>
      </c>
    </row>
    <row r="998" spans="7:14" ht="11.25" customHeight="1" x14ac:dyDescent="0.3">
      <c r="G998" s="470">
        <f t="shared" si="102"/>
        <v>83</v>
      </c>
      <c r="H998" s="470">
        <v>991</v>
      </c>
      <c r="I998" s="455">
        <f t="shared" ca="1" si="81"/>
        <v>17361042.422050476</v>
      </c>
      <c r="J998" s="455">
        <f t="array" ref="J998">IFERROR(INDEX('Retirement Calculator'!K:K,MATCH('Lorri 401b'!N998,'Retirement Calculator'!A:A,0),0),0)</f>
        <v>16520.094745597391</v>
      </c>
      <c r="K998" s="455">
        <f t="shared" ca="1" si="79"/>
        <v>72268.843030436983</v>
      </c>
      <c r="L998" s="455">
        <f t="shared" ca="1" si="80"/>
        <v>17416791.170335315</v>
      </c>
      <c r="M998" s="471">
        <f t="shared" si="82"/>
        <v>0.05</v>
      </c>
      <c r="N998" s="475">
        <f t="shared" si="83"/>
        <v>81420</v>
      </c>
    </row>
    <row r="999" spans="7:14" ht="11.25" customHeight="1" x14ac:dyDescent="0.3">
      <c r="G999" s="470">
        <f t="shared" si="102"/>
        <v>83</v>
      </c>
      <c r="H999" s="470">
        <v>992</v>
      </c>
      <c r="I999" s="455">
        <f t="shared" ca="1" si="81"/>
        <v>17416791.170335315</v>
      </c>
      <c r="J999" s="455">
        <f t="array" ref="J999">IFERROR(INDEX('Retirement Calculator'!K:K,MATCH('Lorri 401b'!N999,'Retirement Calculator'!A:A,0),0),0)</f>
        <v>16520.094745597391</v>
      </c>
      <c r="K999" s="455">
        <f t="shared" ca="1" si="79"/>
        <v>72501.129481623822</v>
      </c>
      <c r="L999" s="455">
        <f t="shared" ca="1" si="80"/>
        <v>17472772.205071341</v>
      </c>
      <c r="M999" s="471">
        <f t="shared" si="82"/>
        <v>0.05</v>
      </c>
      <c r="N999" s="475">
        <f t="shared" si="83"/>
        <v>81451</v>
      </c>
    </row>
    <row r="1000" spans="7:14" ht="11.25" customHeight="1" x14ac:dyDescent="0.3">
      <c r="G1000" s="470">
        <f t="shared" si="102"/>
        <v>83</v>
      </c>
      <c r="H1000" s="470">
        <v>993</v>
      </c>
      <c r="I1000" s="455">
        <f t="shared" ca="1" si="81"/>
        <v>17472772.205071341</v>
      </c>
      <c r="J1000" s="455">
        <f t="array" ref="J1000">IFERROR(INDEX('Retirement Calculator'!K:K,MATCH('Lorri 401b'!N1000,'Retirement Calculator'!A:A,0),0),0)</f>
        <v>16520.094745597391</v>
      </c>
      <c r="K1000" s="455">
        <f t="shared" ca="1" si="79"/>
        <v>72734.383793023924</v>
      </c>
      <c r="L1000" s="455">
        <f t="shared" ca="1" si="80"/>
        <v>17528986.494118765</v>
      </c>
      <c r="M1000" s="471">
        <f t="shared" si="82"/>
        <v>0.05</v>
      </c>
      <c r="N1000" s="475">
        <f t="shared" si="83"/>
        <v>81482</v>
      </c>
    </row>
    <row r="1001" spans="7:14" ht="11.25" customHeight="1" x14ac:dyDescent="0.3">
      <c r="G1001" s="470">
        <f t="shared" si="102"/>
        <v>83</v>
      </c>
      <c r="H1001" s="470">
        <v>994</v>
      </c>
      <c r="I1001" s="455">
        <f t="shared" ca="1" si="81"/>
        <v>17528986.494118765</v>
      </c>
      <c r="J1001" s="455">
        <f t="array" ref="J1001">IFERROR(INDEX('Retirement Calculator'!K:K,MATCH('Lorri 401b'!N1001,'Retirement Calculator'!A:A,0),0),0)</f>
        <v>16520.094745597391</v>
      </c>
      <c r="K1001" s="455">
        <f t="shared" ca="1" si="79"/>
        <v>72968.609997388194</v>
      </c>
      <c r="L1001" s="455">
        <f t="shared" ca="1" si="80"/>
        <v>17585435.009370554</v>
      </c>
      <c r="M1001" s="471">
        <f t="shared" si="82"/>
        <v>0.05</v>
      </c>
      <c r="N1001" s="475">
        <f t="shared" si="83"/>
        <v>81510</v>
      </c>
    </row>
    <row r="1002" spans="7:14" ht="11.25" customHeight="1" x14ac:dyDescent="0.3">
      <c r="G1002" s="470">
        <f t="shared" si="102"/>
        <v>83</v>
      </c>
      <c r="H1002" s="470">
        <v>995</v>
      </c>
      <c r="I1002" s="455">
        <f t="shared" ca="1" si="81"/>
        <v>17585435.009370554</v>
      </c>
      <c r="J1002" s="455">
        <f t="array" ref="J1002">IFERROR(INDEX('Retirement Calculator'!K:K,MATCH('Lorri 401b'!N1002,'Retirement Calculator'!A:A,0),0),0)</f>
        <v>16520.094745597391</v>
      </c>
      <c r="K1002" s="455">
        <f t="shared" ca="1" si="79"/>
        <v>73203.812144270647</v>
      </c>
      <c r="L1002" s="455">
        <f t="shared" ca="1" si="80"/>
        <v>17642118.726769228</v>
      </c>
      <c r="M1002" s="471">
        <f t="shared" si="82"/>
        <v>0.05</v>
      </c>
      <c r="N1002" s="475">
        <f t="shared" si="83"/>
        <v>81541</v>
      </c>
    </row>
    <row r="1003" spans="7:14" ht="11.25" customHeight="1" x14ac:dyDescent="0.3">
      <c r="G1003" s="470">
        <f t="shared" si="102"/>
        <v>83</v>
      </c>
      <c r="H1003" s="470">
        <v>996</v>
      </c>
      <c r="I1003" s="455">
        <f t="shared" ca="1" si="81"/>
        <v>17642118.726769228</v>
      </c>
      <c r="J1003" s="455">
        <f t="array" ref="J1003">IFERROR(INDEX('Retirement Calculator'!K:K,MATCH('Lorri 401b'!N1003,'Retirement Calculator'!A:A,0),0),0)</f>
        <v>16520.094745597391</v>
      </c>
      <c r="K1003" s="455">
        <f t="shared" ca="1" si="79"/>
        <v>73439.994300098449</v>
      </c>
      <c r="L1003" s="455">
        <f t="shared" ca="1" si="80"/>
        <v>17699038.626323726</v>
      </c>
      <c r="M1003" s="471">
        <f t="shared" si="82"/>
        <v>0.05</v>
      </c>
      <c r="N1003" s="475">
        <f t="shared" si="83"/>
        <v>81571</v>
      </c>
    </row>
    <row r="1004" spans="7:14" ht="11.25" customHeight="1" x14ac:dyDescent="0.3">
      <c r="G1004" s="470"/>
      <c r="H1004" s="470">
        <v>997</v>
      </c>
      <c r="I1004" s="455">
        <f t="shared" ca="1" si="81"/>
        <v>17699038.626323726</v>
      </c>
      <c r="J1004" s="455">
        <f t="array" ref="J1004">IFERROR(INDEX('Retirement Calculator'!K:K,MATCH('Lorri 401b'!N1004,'Retirement Calculator'!A:A,0),0),0)</f>
        <v>16520.094745597391</v>
      </c>
      <c r="K1004" s="455">
        <f t="shared" ca="1" si="79"/>
        <v>73677.160548242202</v>
      </c>
      <c r="L1004" s="455">
        <f t="shared" ca="1" si="80"/>
        <v>17756195.692126371</v>
      </c>
      <c r="M1004" s="471">
        <f t="shared" si="82"/>
        <v>0.05</v>
      </c>
      <c r="N1004" s="475">
        <f t="shared" si="83"/>
        <v>81602</v>
      </c>
    </row>
    <row r="1005" spans="7:14" ht="11.25" customHeight="1" x14ac:dyDescent="0.3">
      <c r="G1005" s="470"/>
      <c r="H1005" s="470">
        <v>998</v>
      </c>
      <c r="I1005" s="455">
        <f t="shared" ca="1" si="81"/>
        <v>17756195.692126371</v>
      </c>
      <c r="J1005" s="455">
        <f t="array" ref="J1005">IFERROR(INDEX('Retirement Calculator'!K:K,MATCH('Lorri 401b'!N1005,'Retirement Calculator'!A:A,0),0),0)</f>
        <v>16520.094745597391</v>
      </c>
      <c r="K1005" s="455">
        <f t="shared" ca="1" si="79"/>
        <v>73915.314989086546</v>
      </c>
      <c r="L1005" s="455">
        <f t="shared" ca="1" si="80"/>
        <v>17813590.912369858</v>
      </c>
      <c r="M1005" s="471">
        <f t="shared" si="82"/>
        <v>0.05</v>
      </c>
      <c r="N1005" s="475">
        <f t="shared" si="83"/>
        <v>81632</v>
      </c>
    </row>
    <row r="1006" spans="7:14" ht="11.25" customHeight="1" x14ac:dyDescent="0.3">
      <c r="G1006" s="470"/>
      <c r="H1006" s="470">
        <v>999</v>
      </c>
      <c r="I1006" s="455">
        <f t="shared" ca="1" si="81"/>
        <v>17813590.912369858</v>
      </c>
      <c r="J1006" s="455">
        <f t="array" ref="J1006">IFERROR(INDEX('Retirement Calculator'!K:K,MATCH('Lorri 401b'!N1006,'Retirement Calculator'!A:A,0),0),0)</f>
        <v>16520.094745597391</v>
      </c>
      <c r="K1006" s="455">
        <f t="shared" ca="1" si="79"/>
        <v>74154.461740101076</v>
      </c>
      <c r="L1006" s="455">
        <f t="shared" ca="1" si="80"/>
        <v>17871225.279364362</v>
      </c>
      <c r="M1006" s="471">
        <f t="shared" si="82"/>
        <v>0.05</v>
      </c>
      <c r="N1006" s="475">
        <f t="shared" si="83"/>
        <v>81663</v>
      </c>
    </row>
    <row r="1007" spans="7:14" ht="11.25" customHeight="1" x14ac:dyDescent="0.3">
      <c r="G1007" s="470"/>
      <c r="H1007" s="470">
        <v>1000</v>
      </c>
      <c r="I1007" s="455">
        <f t="shared" ca="1" si="81"/>
        <v>17871225.279364362</v>
      </c>
      <c r="J1007" s="455">
        <f t="array" ref="J1007">IFERROR(INDEX('Retirement Calculator'!K:K,MATCH('Lorri 401b'!N1007,'Retirement Calculator'!A:A,0),0),0)</f>
        <v>16520.094745597391</v>
      </c>
      <c r="K1007" s="455">
        <f t="shared" ca="1" si="79"/>
        <v>74394.604935911513</v>
      </c>
      <c r="L1007" s="455">
        <f t="shared" ca="1" si="80"/>
        <v>17929099.789554674</v>
      </c>
      <c r="M1007" s="471">
        <f t="shared" si="82"/>
        <v>0.05</v>
      </c>
      <c r="N1007" s="475">
        <f t="shared" si="83"/>
        <v>81694</v>
      </c>
    </row>
    <row r="1008" spans="7:14" ht="11.25" customHeight="1" x14ac:dyDescent="0.3">
      <c r="G1008" s="470"/>
      <c r="H1008" s="470">
        <v>1001</v>
      </c>
      <c r="I1008" s="455">
        <f t="shared" ca="1" si="81"/>
        <v>17929099.789554674</v>
      </c>
      <c r="J1008" s="455">
        <f t="array" ref="J1008">IFERROR(INDEX('Retirement Calculator'!K:K,MATCH('Lorri 401b'!N1008,'Retirement Calculator'!A:A,0),0),0)</f>
        <v>16520.094745597391</v>
      </c>
      <c r="K1008" s="455">
        <f t="shared" ca="1" si="79"/>
        <v>74635.748728371153</v>
      </c>
      <c r="L1008" s="455">
        <f t="shared" ca="1" si="80"/>
        <v>17987215.443537448</v>
      </c>
      <c r="M1008" s="471">
        <f t="shared" si="82"/>
        <v>0.05</v>
      </c>
      <c r="N1008" s="475">
        <f t="shared" si="83"/>
        <v>81724</v>
      </c>
    </row>
    <row r="1009" spans="7:14" ht="11.25" customHeight="1" x14ac:dyDescent="0.3">
      <c r="G1009" s="470"/>
      <c r="H1009" s="470">
        <v>1002</v>
      </c>
      <c r="I1009" s="455">
        <f t="shared" ca="1" si="81"/>
        <v>17987215.443537448</v>
      </c>
      <c r="J1009" s="455">
        <f t="array" ref="J1009">IFERROR(INDEX('Retirement Calculator'!K:K,MATCH('Lorri 401b'!N1009,'Retirement Calculator'!A:A,0),0),0)</f>
        <v>16520.094745597391</v>
      </c>
      <c r="K1009" s="455">
        <f t="shared" ca="1" si="79"/>
        <v>74877.897286632709</v>
      </c>
      <c r="L1009" s="455">
        <f t="shared" ca="1" si="80"/>
        <v>18045573.24607848</v>
      </c>
      <c r="M1009" s="471">
        <f t="shared" si="82"/>
        <v>0.05</v>
      </c>
      <c r="N1009" s="475">
        <f t="shared" si="83"/>
        <v>81755</v>
      </c>
    </row>
    <row r="1010" spans="7:14" ht="11.25" customHeight="1" x14ac:dyDescent="0.3">
      <c r="G1010" s="470"/>
      <c r="H1010" s="470">
        <v>1003</v>
      </c>
      <c r="I1010" s="455">
        <f t="shared" ca="1" si="81"/>
        <v>18045573.24607848</v>
      </c>
      <c r="J1010" s="455">
        <f t="array" ref="J1010">IFERROR(INDEX('Retirement Calculator'!K:K,MATCH('Lorri 401b'!N1010,'Retirement Calculator'!A:A,0),0),0)</f>
        <v>16520.094745597391</v>
      </c>
      <c r="K1010" s="455">
        <f t="shared" ca="1" si="79"/>
        <v>75121.054797220335</v>
      </c>
      <c r="L1010" s="455">
        <f t="shared" ca="1" si="80"/>
        <v>18104174.206130102</v>
      </c>
      <c r="M1010" s="471">
        <f t="shared" si="82"/>
        <v>0.05</v>
      </c>
      <c r="N1010" s="475">
        <f t="shared" si="83"/>
        <v>81785</v>
      </c>
    </row>
    <row r="1011" spans="7:14" ht="11.25" customHeight="1" x14ac:dyDescent="0.3">
      <c r="G1011" s="470"/>
      <c r="H1011" s="470">
        <v>1004</v>
      </c>
      <c r="I1011" s="455">
        <f t="shared" ca="1" si="81"/>
        <v>18104174.206130102</v>
      </c>
      <c r="J1011" s="455">
        <f t="array" ref="J1011">IFERROR(INDEX('Retirement Calculator'!K:K,MATCH('Lorri 401b'!N1011,'Retirement Calculator'!A:A,0),0),0)</f>
        <v>16520.094745597391</v>
      </c>
      <c r="K1011" s="455">
        <f t="shared" ca="1" si="79"/>
        <v>75365.225464102099</v>
      </c>
      <c r="L1011" s="455">
        <f t="shared" ca="1" si="80"/>
        <v>18163019.336848605</v>
      </c>
      <c r="M1011" s="471">
        <f t="shared" si="82"/>
        <v>0.05</v>
      </c>
      <c r="N1011" s="475">
        <f t="shared" si="83"/>
        <v>81816</v>
      </c>
    </row>
    <row r="1012" spans="7:14" ht="11.25" customHeight="1" x14ac:dyDescent="0.3">
      <c r="G1012" s="470"/>
      <c r="H1012" s="470">
        <v>1005</v>
      </c>
      <c r="I1012" s="455">
        <f t="shared" ca="1" si="81"/>
        <v>18163019.336848605</v>
      </c>
      <c r="J1012" s="455">
        <f t="array" ref="J1012">IFERROR(INDEX('Retirement Calculator'!K:K,MATCH('Lorri 401b'!N1012,'Retirement Calculator'!A:A,0),0),0)</f>
        <v>16520.094745597391</v>
      </c>
      <c r="K1012" s="455">
        <f t="shared" ca="1" si="79"/>
        <v>75610.413508762533</v>
      </c>
      <c r="L1012" s="455">
        <f t="shared" ca="1" si="80"/>
        <v>18222109.655611768</v>
      </c>
      <c r="M1012" s="471">
        <f t="shared" si="82"/>
        <v>0.05</v>
      </c>
      <c r="N1012" s="475">
        <f t="shared" si="83"/>
        <v>81847</v>
      </c>
    </row>
    <row r="1013" spans="7:14" ht="11.25" customHeight="1" x14ac:dyDescent="0.3">
      <c r="G1013" s="470"/>
      <c r="H1013" s="470">
        <v>1006</v>
      </c>
      <c r="I1013" s="455">
        <f t="shared" ca="1" si="81"/>
        <v>18222109.655611768</v>
      </c>
      <c r="J1013" s="455">
        <f t="array" ref="J1013">IFERROR(INDEX('Retirement Calculator'!K:K,MATCH('Lorri 401b'!N1013,'Retirement Calculator'!A:A,0),0),0)</f>
        <v>16520.094745597391</v>
      </c>
      <c r="K1013" s="455">
        <f t="shared" ca="1" si="79"/>
        <v>75856.623170275707</v>
      </c>
      <c r="L1013" s="455">
        <f t="shared" ca="1" si="80"/>
        <v>18281446.184036445</v>
      </c>
      <c r="M1013" s="471">
        <f t="shared" si="82"/>
        <v>0.05</v>
      </c>
      <c r="N1013" s="475">
        <f t="shared" si="83"/>
        <v>81876</v>
      </c>
    </row>
    <row r="1014" spans="7:14" ht="11.25" customHeight="1" x14ac:dyDescent="0.3">
      <c r="G1014" s="470"/>
      <c r="H1014" s="470">
        <v>1007</v>
      </c>
      <c r="I1014" s="455">
        <f t="shared" ca="1" si="81"/>
        <v>18281446.184036445</v>
      </c>
      <c r="J1014" s="455">
        <f t="array" ref="J1014">IFERROR(INDEX('Retirement Calculator'!K:K,MATCH('Lorri 401b'!N1014,'Retirement Calculator'!A:A,0),0),0)</f>
        <v>16520.094745597391</v>
      </c>
      <c r="K1014" s="455">
        <f t="shared" ca="1" si="79"/>
        <v>76103.85870537853</v>
      </c>
      <c r="L1014" s="455">
        <f t="shared" ca="1" si="80"/>
        <v>18341029.947996225</v>
      </c>
      <c r="M1014" s="471">
        <f t="shared" si="82"/>
        <v>0.05</v>
      </c>
      <c r="N1014" s="475">
        <f t="shared" si="83"/>
        <v>81907</v>
      </c>
    </row>
    <row r="1015" spans="7:14" ht="11.25" customHeight="1" x14ac:dyDescent="0.3">
      <c r="G1015" s="470"/>
      <c r="H1015" s="470">
        <v>1008</v>
      </c>
      <c r="I1015" s="455">
        <f t="shared" ca="1" si="81"/>
        <v>18341029.947996225</v>
      </c>
      <c r="J1015" s="455">
        <f t="array" ref="J1015">IFERROR(INDEX('Retirement Calculator'!K:K,MATCH('Lorri 401b'!N1015,'Retirement Calculator'!A:A,0),0),0)</f>
        <v>16520.094745597391</v>
      </c>
      <c r="K1015" s="455">
        <f t="shared" ca="1" si="79"/>
        <v>76352.124388544282</v>
      </c>
      <c r="L1015" s="455">
        <f t="shared" ca="1" si="80"/>
        <v>18400861.977639172</v>
      </c>
      <c r="M1015" s="471">
        <f t="shared" si="82"/>
        <v>0.05</v>
      </c>
      <c r="N1015" s="475">
        <f t="shared" si="83"/>
        <v>81937</v>
      </c>
    </row>
    <row r="1016" spans="7:14" ht="11.25" customHeight="1" x14ac:dyDescent="0.3">
      <c r="G1016" s="470"/>
      <c r="H1016" s="470">
        <v>1009</v>
      </c>
      <c r="I1016" s="455">
        <f t="shared" ca="1" si="81"/>
        <v>18400861.977639172</v>
      </c>
      <c r="J1016" s="455">
        <f t="array" ref="J1016">IFERROR(INDEX('Retirement Calculator'!K:K,MATCH('Lorri 401b'!N1016,'Retirement Calculator'!A:A,0),0),0)</f>
        <v>16520.094745597391</v>
      </c>
      <c r="K1016" s="455">
        <f t="shared" ca="1" si="79"/>
        <v>76601.424512056561</v>
      </c>
      <c r="L1016" s="455">
        <f t="shared" ca="1" si="80"/>
        <v>18460943.307405628</v>
      </c>
      <c r="M1016" s="471">
        <f t="shared" si="82"/>
        <v>0.05</v>
      </c>
      <c r="N1016" s="475">
        <f t="shared" si="83"/>
        <v>81968</v>
      </c>
    </row>
    <row r="1017" spans="7:14" ht="11.25" customHeight="1" x14ac:dyDescent="0.3">
      <c r="G1017" s="470"/>
      <c r="H1017" s="470">
        <v>1010</v>
      </c>
      <c r="I1017" s="455">
        <f t="shared" ca="1" si="81"/>
        <v>18460943.307405628</v>
      </c>
      <c r="J1017" s="455">
        <f t="array" ref="J1017">IFERROR(INDEX('Retirement Calculator'!K:K,MATCH('Lorri 401b'!N1017,'Retirement Calculator'!A:A,0),0),0)</f>
        <v>16520.094745597391</v>
      </c>
      <c r="K1017" s="455">
        <f t="shared" ca="1" si="79"/>
        <v>76851.763386083461</v>
      </c>
      <c r="L1017" s="455">
        <f t="shared" ca="1" si="80"/>
        <v>18521274.976046111</v>
      </c>
      <c r="M1017" s="471">
        <f t="shared" si="82"/>
        <v>0.05</v>
      </c>
      <c r="N1017" s="475">
        <f t="shared" si="83"/>
        <v>81998</v>
      </c>
    </row>
    <row r="1018" spans="7:14" ht="11.25" customHeight="1" x14ac:dyDescent="0.3">
      <c r="G1018" s="470"/>
      <c r="H1018" s="470">
        <v>1011</v>
      </c>
      <c r="I1018" s="455">
        <f t="shared" ca="1" si="81"/>
        <v>18521274.976046111</v>
      </c>
      <c r="J1018" s="455">
        <f t="array" ref="J1018">IFERROR(INDEX('Retirement Calculator'!K:K,MATCH('Lorri 401b'!N1018,'Retirement Calculator'!A:A,0),0),0)</f>
        <v>16520.094745597391</v>
      </c>
      <c r="K1018" s="455">
        <f t="shared" ca="1" si="79"/>
        <v>77103.145338752132</v>
      </c>
      <c r="L1018" s="455">
        <f t="shared" ca="1" si="80"/>
        <v>18581858.026639264</v>
      </c>
      <c r="M1018" s="471">
        <f t="shared" si="82"/>
        <v>0.05</v>
      </c>
      <c r="N1018" s="475">
        <f t="shared" si="83"/>
        <v>82029</v>
      </c>
    </row>
    <row r="1019" spans="7:14" ht="11.25" customHeight="1" x14ac:dyDescent="0.3">
      <c r="G1019" s="470"/>
      <c r="H1019" s="470">
        <v>1012</v>
      </c>
      <c r="I1019" s="455">
        <f t="shared" ca="1" si="81"/>
        <v>18581858.026639264</v>
      </c>
      <c r="J1019" s="455">
        <f t="array" ref="J1019">IFERROR(INDEX('Retirement Calculator'!K:K,MATCH('Lorri 401b'!N1019,'Retirement Calculator'!A:A,0),0),0)</f>
        <v>16520.094745597391</v>
      </c>
      <c r="K1019" s="455">
        <f t="shared" ca="1" si="79"/>
        <v>77355.574716223608</v>
      </c>
      <c r="L1019" s="455">
        <f t="shared" ca="1" si="80"/>
        <v>18642693.506609891</v>
      </c>
      <c r="M1019" s="471">
        <f t="shared" si="82"/>
        <v>0.05</v>
      </c>
      <c r="N1019" s="475">
        <f t="shared" si="83"/>
        <v>82060</v>
      </c>
    </row>
    <row r="1020" spans="7:14" ht="11.25" customHeight="1" x14ac:dyDescent="0.3">
      <c r="G1020" s="470"/>
      <c r="H1020" s="470">
        <v>1013</v>
      </c>
      <c r="I1020" s="455">
        <f t="shared" ca="1" si="81"/>
        <v>18642693.506609891</v>
      </c>
      <c r="J1020" s="455">
        <f t="array" ref="J1020">IFERROR(INDEX('Retirement Calculator'!K:K,MATCH('Lorri 401b'!N1020,'Retirement Calculator'!A:A,0),0),0)</f>
        <v>16520.094745597391</v>
      </c>
      <c r="K1020" s="455">
        <f t="shared" ca="1" si="79"/>
        <v>77609.055882767876</v>
      </c>
      <c r="L1020" s="455">
        <f t="shared" ca="1" si="80"/>
        <v>18703782.467747059</v>
      </c>
      <c r="M1020" s="471">
        <f t="shared" si="82"/>
        <v>0.05</v>
      </c>
      <c r="N1020" s="475">
        <f t="shared" si="83"/>
        <v>82090</v>
      </c>
    </row>
    <row r="1021" spans="7:14" ht="11.25" customHeight="1" x14ac:dyDescent="0.3">
      <c r="G1021" s="470"/>
      <c r="H1021" s="470">
        <v>1014</v>
      </c>
      <c r="I1021" s="455">
        <f t="shared" ca="1" si="81"/>
        <v>18703782.467747059</v>
      </c>
      <c r="J1021" s="455">
        <f t="array" ref="J1021">IFERROR(INDEX('Retirement Calculator'!K:K,MATCH('Lorri 401b'!N1021,'Retirement Calculator'!A:A,0),0),0)</f>
        <v>16520.094745597391</v>
      </c>
      <c r="K1021" s="455">
        <f t="shared" ca="1" si="79"/>
        <v>77863.593220839422</v>
      </c>
      <c r="L1021" s="455">
        <f t="shared" ca="1" si="80"/>
        <v>18765125.966222301</v>
      </c>
      <c r="M1021" s="471">
        <f t="shared" si="82"/>
        <v>0.05</v>
      </c>
      <c r="N1021" s="475">
        <f t="shared" si="83"/>
        <v>82121</v>
      </c>
    </row>
    <row r="1022" spans="7:14" ht="11.25" customHeight="1" x14ac:dyDescent="0.3">
      <c r="G1022" s="470"/>
      <c r="H1022" s="470">
        <v>1015</v>
      </c>
      <c r="I1022" s="455">
        <f t="shared" ca="1" si="81"/>
        <v>18765125.966222301</v>
      </c>
      <c r="J1022" s="455">
        <f t="array" ref="J1022">IFERROR(INDEX('Retirement Calculator'!K:K,MATCH('Lorri 401b'!N1022,'Retirement Calculator'!A:A,0),0),0)</f>
        <v>16520.094745597391</v>
      </c>
      <c r="K1022" s="455">
        <f t="shared" ca="1" si="79"/>
        <v>78119.191131152926</v>
      </c>
      <c r="L1022" s="455">
        <f t="shared" ca="1" si="80"/>
        <v>18826725.062607855</v>
      </c>
      <c r="M1022" s="471">
        <f t="shared" si="82"/>
        <v>0.05</v>
      </c>
      <c r="N1022" s="475">
        <f t="shared" si="83"/>
        <v>82151</v>
      </c>
    </row>
    <row r="1023" spans="7:14" ht="11.25" customHeight="1" x14ac:dyDescent="0.3">
      <c r="G1023" s="470"/>
      <c r="H1023" s="470">
        <v>1016</v>
      </c>
      <c r="I1023" s="455">
        <f t="shared" ca="1" si="81"/>
        <v>18826725.062607855</v>
      </c>
      <c r="J1023" s="455">
        <f t="array" ref="J1023">IFERROR(INDEX('Retirement Calculator'!K:K,MATCH('Lorri 401b'!N1023,'Retirement Calculator'!A:A,0),0),0)</f>
        <v>16520.094745597391</v>
      </c>
      <c r="K1023" s="455">
        <f t="shared" ca="1" si="79"/>
        <v>78375.854032759395</v>
      </c>
      <c r="L1023" s="455">
        <f t="shared" ca="1" si="80"/>
        <v>18888580.821895014</v>
      </c>
      <c r="M1023" s="471">
        <f t="shared" si="82"/>
        <v>0.05</v>
      </c>
      <c r="N1023" s="475">
        <f t="shared" si="83"/>
        <v>82182</v>
      </c>
    </row>
    <row r="1024" spans="7:14" ht="11.25" customHeight="1" x14ac:dyDescent="0.3">
      <c r="G1024" s="470"/>
      <c r="H1024" s="470">
        <v>1017</v>
      </c>
      <c r="I1024" s="455">
        <f t="shared" ca="1" si="81"/>
        <v>18888580.821895014</v>
      </c>
      <c r="J1024" s="455">
        <f t="array" ref="J1024">IFERROR(INDEX('Retirement Calculator'!K:K,MATCH('Lorri 401b'!N1024,'Retirement Calculator'!A:A,0),0),0)</f>
        <v>16520.094745597391</v>
      </c>
      <c r="K1024" s="455">
        <f t="shared" ca="1" si="79"/>
        <v>78633.586363122566</v>
      </c>
      <c r="L1024" s="455">
        <f t="shared" ca="1" si="80"/>
        <v>18950694.313512538</v>
      </c>
      <c r="M1024" s="471">
        <f t="shared" si="82"/>
        <v>0.05</v>
      </c>
      <c r="N1024" s="475">
        <f t="shared" si="83"/>
        <v>82213</v>
      </c>
    </row>
    <row r="1025" spans="7:14" ht="11.25" customHeight="1" x14ac:dyDescent="0.3">
      <c r="G1025" s="470"/>
      <c r="H1025" s="470">
        <v>1018</v>
      </c>
      <c r="I1025" s="455">
        <f t="shared" ca="1" si="81"/>
        <v>18950694.313512538</v>
      </c>
      <c r="J1025" s="455">
        <f t="array" ref="J1025">IFERROR(INDEX('Retirement Calculator'!K:K,MATCH('Lorri 401b'!N1025,'Retirement Calculator'!A:A,0),0),0)</f>
        <v>16520.094745597391</v>
      </c>
      <c r="K1025" s="455">
        <f t="shared" ca="1" si="79"/>
        <v>78892.392578195577</v>
      </c>
      <c r="L1025" s="455">
        <f t="shared" ca="1" si="80"/>
        <v>19013066.611345135</v>
      </c>
      <c r="M1025" s="471">
        <f t="shared" si="82"/>
        <v>0.05</v>
      </c>
      <c r="N1025" s="475">
        <f t="shared" si="83"/>
        <v>82241</v>
      </c>
    </row>
    <row r="1026" spans="7:14" ht="11.25" customHeight="1" x14ac:dyDescent="0.3">
      <c r="G1026" s="470"/>
      <c r="H1026" s="470">
        <v>1019</v>
      </c>
      <c r="I1026" s="455">
        <f t="shared" ca="1" si="81"/>
        <v>19013066.611345135</v>
      </c>
      <c r="J1026" s="455">
        <f t="array" ref="J1026">IFERROR(INDEX('Retirement Calculator'!K:K,MATCH('Lorri 401b'!N1026,'Retirement Calculator'!A:A,0),0),0)</f>
        <v>16520.094745597391</v>
      </c>
      <c r="K1026" s="455">
        <f t="shared" ca="1" si="79"/>
        <v>79152.277152498064</v>
      </c>
      <c r="L1026" s="455">
        <f t="shared" ca="1" si="80"/>
        <v>19075698.793752033</v>
      </c>
      <c r="M1026" s="471">
        <f t="shared" si="82"/>
        <v>0.05</v>
      </c>
      <c r="N1026" s="475">
        <f t="shared" si="83"/>
        <v>82272</v>
      </c>
    </row>
    <row r="1027" spans="7:14" ht="11.25" customHeight="1" x14ac:dyDescent="0.3">
      <c r="G1027" s="470"/>
      <c r="H1027" s="470">
        <v>1020</v>
      </c>
      <c r="I1027" s="455">
        <f t="shared" ca="1" si="81"/>
        <v>19075698.793752033</v>
      </c>
      <c r="J1027" s="455">
        <f t="array" ref="J1027">IFERROR(INDEX('Retirement Calculator'!K:K,MATCH('Lorri 401b'!N1027,'Retirement Calculator'!A:A,0),0),0)</f>
        <v>16520.094745597391</v>
      </c>
      <c r="K1027" s="455">
        <f t="shared" ca="1" si="79"/>
        <v>79413.244579193473</v>
      </c>
      <c r="L1027" s="455">
        <f t="shared" ca="1" si="80"/>
        <v>19138591.943585627</v>
      </c>
      <c r="M1027" s="471">
        <f t="shared" si="82"/>
        <v>0.05</v>
      </c>
      <c r="N1027" s="475">
        <f t="shared" si="83"/>
        <v>82302</v>
      </c>
    </row>
    <row r="1028" spans="7:14" ht="11.25" customHeight="1" x14ac:dyDescent="0.3">
      <c r="G1028" s="470"/>
      <c r="H1028" s="470">
        <v>1021</v>
      </c>
      <c r="I1028" s="455">
        <f t="shared" ca="1" si="81"/>
        <v>19138591.943585627</v>
      </c>
      <c r="J1028" s="455">
        <f t="array" ref="J1028">IFERROR(INDEX('Retirement Calculator'!K:K,MATCH('Lorri 401b'!N1028,'Retirement Calculator'!A:A,0),0),0)</f>
        <v>16520.094745597391</v>
      </c>
      <c r="K1028" s="455">
        <f t="shared" ref="K1028:K1282" ca="1" si="103">IPMT(M1028/12,1,12,-I1028+J1028,,0)</f>
        <v>79675.299370166787</v>
      </c>
      <c r="L1028" s="455">
        <f t="shared" ref="L1028:L1282" ca="1" si="104">I1028-J1028+K1028</f>
        <v>19201747.148210194</v>
      </c>
      <c r="M1028" s="471">
        <f t="shared" si="82"/>
        <v>0.05</v>
      </c>
      <c r="N1028" s="475">
        <f t="shared" si="83"/>
        <v>82333</v>
      </c>
    </row>
    <row r="1029" spans="7:14" ht="11.25" customHeight="1" x14ac:dyDescent="0.3">
      <c r="G1029" s="470"/>
      <c r="H1029" s="470">
        <v>1022</v>
      </c>
      <c r="I1029" s="455">
        <f t="shared" ref="I1029:I1283" ca="1" si="105">L1028</f>
        <v>19201747.148210194</v>
      </c>
      <c r="J1029" s="455">
        <f t="array" ref="J1029">IFERROR(INDEX('Retirement Calculator'!K:K,MATCH('Lorri 401b'!N1029,'Retirement Calculator'!A:A,0),0),0)</f>
        <v>16520.094745597391</v>
      </c>
      <c r="K1029" s="455">
        <f t="shared" ca="1" si="103"/>
        <v>79938.446056102475</v>
      </c>
      <c r="L1029" s="455">
        <f t="shared" ca="1" si="104"/>
        <v>19265165.499520697</v>
      </c>
      <c r="M1029" s="471">
        <f t="shared" ref="M1029:M1283" si="106">M1028</f>
        <v>0.05</v>
      </c>
      <c r="N1029" s="475">
        <f t="shared" ref="N1029:N1283" si="107">EDATE(N1028,1)</f>
        <v>82363</v>
      </c>
    </row>
    <row r="1030" spans="7:14" ht="11.25" customHeight="1" x14ac:dyDescent="0.3">
      <c r="G1030" s="470"/>
      <c r="H1030" s="470">
        <v>1023</v>
      </c>
      <c r="I1030" s="455">
        <f t="shared" ca="1" si="105"/>
        <v>19265165.499520697</v>
      </c>
      <c r="J1030" s="455">
        <f t="array" ref="J1030">IFERROR(INDEX('Retirement Calculator'!K:K,MATCH('Lorri 401b'!N1030,'Retirement Calculator'!A:A,0),0),0)</f>
        <v>16520.094745597391</v>
      </c>
      <c r="K1030" s="455">
        <f t="shared" ca="1" si="103"/>
        <v>80202.6891865629</v>
      </c>
      <c r="L1030" s="455">
        <f t="shared" ca="1" si="104"/>
        <v>19328848.09396166</v>
      </c>
      <c r="M1030" s="471">
        <f t="shared" si="106"/>
        <v>0.05</v>
      </c>
      <c r="N1030" s="475">
        <f t="shared" si="107"/>
        <v>82394</v>
      </c>
    </row>
    <row r="1031" spans="7:14" ht="11.25" customHeight="1" x14ac:dyDescent="0.3">
      <c r="G1031" s="470"/>
      <c r="H1031" s="470">
        <v>1024</v>
      </c>
      <c r="I1031" s="455">
        <f t="shared" ca="1" si="105"/>
        <v>19328848.09396166</v>
      </c>
      <c r="J1031" s="455">
        <f t="array" ref="J1031">IFERROR(INDEX('Retirement Calculator'!K:K,MATCH('Lorri 401b'!N1031,'Retirement Calculator'!A:A,0),0),0)</f>
        <v>16520.094745597391</v>
      </c>
      <c r="K1031" s="455">
        <f t="shared" ca="1" si="103"/>
        <v>80468.033330066915</v>
      </c>
      <c r="L1031" s="455">
        <f t="shared" ca="1" si="104"/>
        <v>19392796.032546129</v>
      </c>
      <c r="M1031" s="471">
        <f t="shared" si="106"/>
        <v>0.05</v>
      </c>
      <c r="N1031" s="475">
        <f t="shared" si="107"/>
        <v>82425</v>
      </c>
    </row>
    <row r="1032" spans="7:14" ht="11.25" customHeight="1" x14ac:dyDescent="0.3">
      <c r="G1032" s="470"/>
      <c r="H1032" s="470">
        <v>1025</v>
      </c>
      <c r="I1032" s="455">
        <f t="shared" ca="1" si="105"/>
        <v>19392796.032546129</v>
      </c>
      <c r="J1032" s="455">
        <f t="array" ref="J1032">IFERROR(INDEX('Retirement Calculator'!K:K,MATCH('Lorri 401b'!N1032,'Retirement Calculator'!A:A,0),0),0)</f>
        <v>16520.094745597391</v>
      </c>
      <c r="K1032" s="455">
        <f t="shared" ca="1" si="103"/>
        <v>80734.483074168878</v>
      </c>
      <c r="L1032" s="455">
        <f t="shared" ca="1" si="104"/>
        <v>19457010.4208747</v>
      </c>
      <c r="M1032" s="471">
        <f t="shared" si="106"/>
        <v>0.05</v>
      </c>
      <c r="N1032" s="475">
        <f t="shared" si="107"/>
        <v>82455</v>
      </c>
    </row>
    <row r="1033" spans="7:14" ht="11.25" customHeight="1" x14ac:dyDescent="0.3">
      <c r="G1033" s="470"/>
      <c r="H1033" s="470">
        <v>1026</v>
      </c>
      <c r="I1033" s="455">
        <f t="shared" ca="1" si="105"/>
        <v>19457010.4208747</v>
      </c>
      <c r="J1033" s="455">
        <f t="array" ref="J1033">IFERROR(INDEX('Retirement Calculator'!K:K,MATCH('Lorri 401b'!N1033,'Retirement Calculator'!A:A,0),0),0)</f>
        <v>16520.094745597391</v>
      </c>
      <c r="K1033" s="455">
        <f t="shared" ca="1" si="103"/>
        <v>81002.043025537918</v>
      </c>
      <c r="L1033" s="455">
        <f t="shared" ca="1" si="104"/>
        <v>19521492.36915464</v>
      </c>
      <c r="M1033" s="471">
        <f t="shared" si="106"/>
        <v>0.05</v>
      </c>
      <c r="N1033" s="475">
        <f t="shared" si="107"/>
        <v>82486</v>
      </c>
    </row>
    <row r="1034" spans="7:14" ht="11.25" customHeight="1" x14ac:dyDescent="0.3">
      <c r="G1034" s="470"/>
      <c r="H1034" s="470">
        <v>1027</v>
      </c>
      <c r="I1034" s="455">
        <f t="shared" ca="1" si="105"/>
        <v>19521492.36915464</v>
      </c>
      <c r="J1034" s="455">
        <f t="array" ref="J1034">IFERROR(INDEX('Retirement Calculator'!K:K,MATCH('Lorri 401b'!N1034,'Retirement Calculator'!A:A,0),0),0)</f>
        <v>16520.094745597391</v>
      </c>
      <c r="K1034" s="455">
        <f t="shared" ca="1" si="103"/>
        <v>81270.717810037662</v>
      </c>
      <c r="L1034" s="455">
        <f t="shared" ca="1" si="104"/>
        <v>19586242.992219079</v>
      </c>
      <c r="M1034" s="471">
        <f t="shared" si="106"/>
        <v>0.05</v>
      </c>
      <c r="N1034" s="475">
        <f t="shared" si="107"/>
        <v>82516</v>
      </c>
    </row>
    <row r="1035" spans="7:14" ht="11.25" customHeight="1" x14ac:dyDescent="0.3">
      <c r="G1035" s="470"/>
      <c r="H1035" s="470">
        <v>1028</v>
      </c>
      <c r="I1035" s="455">
        <f t="shared" ca="1" si="105"/>
        <v>19586242.992219079</v>
      </c>
      <c r="J1035" s="455">
        <f t="array" ref="J1035">IFERROR(INDEX('Retirement Calculator'!K:K,MATCH('Lorri 401b'!N1035,'Retirement Calculator'!A:A,0),0),0)</f>
        <v>16520.094745597391</v>
      </c>
      <c r="K1035" s="455">
        <f t="shared" ca="1" si="103"/>
        <v>81540.512072806174</v>
      </c>
      <c r="L1035" s="455">
        <f t="shared" ca="1" si="104"/>
        <v>19651263.409546286</v>
      </c>
      <c r="M1035" s="471">
        <f t="shared" si="106"/>
        <v>0.05</v>
      </c>
      <c r="N1035" s="475">
        <f t="shared" si="107"/>
        <v>82547</v>
      </c>
    </row>
    <row r="1036" spans="7:14" ht="11.25" customHeight="1" x14ac:dyDescent="0.3">
      <c r="G1036" s="470"/>
      <c r="H1036" s="470">
        <v>1029</v>
      </c>
      <c r="I1036" s="455">
        <f t="shared" ca="1" si="105"/>
        <v>19651263.409546286</v>
      </c>
      <c r="J1036" s="455">
        <f t="array" ref="J1036">IFERROR(INDEX('Retirement Calculator'!K:K,MATCH('Lorri 401b'!N1036,'Retirement Calculator'!A:A,0),0),0)</f>
        <v>16520.094745597391</v>
      </c>
      <c r="K1036" s="455">
        <f t="shared" ca="1" si="103"/>
        <v>81811.430478336202</v>
      </c>
      <c r="L1036" s="455">
        <f t="shared" ca="1" si="104"/>
        <v>19716554.745279022</v>
      </c>
      <c r="M1036" s="471">
        <f t="shared" si="106"/>
        <v>0.05</v>
      </c>
      <c r="N1036" s="475">
        <f t="shared" si="107"/>
        <v>82578</v>
      </c>
    </row>
    <row r="1037" spans="7:14" ht="11.25" customHeight="1" x14ac:dyDescent="0.3">
      <c r="G1037" s="470"/>
      <c r="H1037" s="470">
        <v>1030</v>
      </c>
      <c r="I1037" s="455">
        <f t="shared" ca="1" si="105"/>
        <v>19716554.745279022</v>
      </c>
      <c r="J1037" s="455">
        <f t="array" ref="J1037">IFERROR(INDEX('Retirement Calculator'!K:K,MATCH('Lorri 401b'!N1037,'Retirement Calculator'!A:A,0),0),0)</f>
        <v>16520.094745597391</v>
      </c>
      <c r="K1037" s="455">
        <f t="shared" ca="1" si="103"/>
        <v>82083.477710555933</v>
      </c>
      <c r="L1037" s="455">
        <f t="shared" ca="1" si="104"/>
        <v>19782118.128243979</v>
      </c>
      <c r="M1037" s="471">
        <f t="shared" si="106"/>
        <v>0.05</v>
      </c>
      <c r="N1037" s="475">
        <f t="shared" si="107"/>
        <v>82606</v>
      </c>
    </row>
    <row r="1038" spans="7:14" ht="11.25" customHeight="1" x14ac:dyDescent="0.3">
      <c r="G1038" s="470"/>
      <c r="H1038" s="470">
        <v>1031</v>
      </c>
      <c r="I1038" s="455">
        <f t="shared" ca="1" si="105"/>
        <v>19782118.128243979</v>
      </c>
      <c r="J1038" s="455">
        <f t="array" ref="J1038">IFERROR(INDEX('Retirement Calculator'!K:K,MATCH('Lorri 401b'!N1038,'Retirement Calculator'!A:A,0),0),0)</f>
        <v>16520.094745597391</v>
      </c>
      <c r="K1038" s="455">
        <f t="shared" ca="1" si="103"/>
        <v>82356.658472909912</v>
      </c>
      <c r="L1038" s="455">
        <f t="shared" ca="1" si="104"/>
        <v>19847954.691971291</v>
      </c>
      <c r="M1038" s="471">
        <f t="shared" si="106"/>
        <v>0.05</v>
      </c>
      <c r="N1038" s="475">
        <f t="shared" si="107"/>
        <v>82637</v>
      </c>
    </row>
    <row r="1039" spans="7:14" ht="11.25" customHeight="1" x14ac:dyDescent="0.3">
      <c r="G1039" s="470"/>
      <c r="H1039" s="470">
        <v>1032</v>
      </c>
      <c r="I1039" s="455">
        <f t="shared" ca="1" si="105"/>
        <v>19847954.691971291</v>
      </c>
      <c r="J1039" s="455">
        <f t="array" ref="J1039">IFERROR(INDEX('Retirement Calculator'!K:K,MATCH('Lorri 401b'!N1039,'Retirement Calculator'!A:A,0),0),0)</f>
        <v>16520.094745597391</v>
      </c>
      <c r="K1039" s="455">
        <f t="shared" ca="1" si="103"/>
        <v>82630.977488440389</v>
      </c>
      <c r="L1039" s="455">
        <f t="shared" ca="1" si="104"/>
        <v>19914065.574714132</v>
      </c>
      <c r="M1039" s="471">
        <f t="shared" si="106"/>
        <v>0.05</v>
      </c>
      <c r="N1039" s="475">
        <f t="shared" si="107"/>
        <v>82667</v>
      </c>
    </row>
    <row r="1040" spans="7:14" ht="11.25" customHeight="1" x14ac:dyDescent="0.3">
      <c r="G1040" s="470"/>
      <c r="H1040" s="470">
        <v>1033</v>
      </c>
      <c r="I1040" s="455">
        <f t="shared" ca="1" si="105"/>
        <v>19914065.574714132</v>
      </c>
      <c r="J1040" s="455">
        <f t="array" ref="J1040">IFERROR(INDEX('Retirement Calculator'!K:K,MATCH('Lorri 401b'!N1040,'Retirement Calculator'!A:A,0),0),0)</f>
        <v>16520.094745597391</v>
      </c>
      <c r="K1040" s="455">
        <f t="shared" ca="1" si="103"/>
        <v>82906.43949986888</v>
      </c>
      <c r="L1040" s="455">
        <f t="shared" ca="1" si="104"/>
        <v>19980451.919468403</v>
      </c>
      <c r="M1040" s="471">
        <f t="shared" si="106"/>
        <v>0.05</v>
      </c>
      <c r="N1040" s="475">
        <f t="shared" si="107"/>
        <v>82698</v>
      </c>
    </row>
    <row r="1041" spans="7:14" ht="11.25" customHeight="1" x14ac:dyDescent="0.3">
      <c r="G1041" s="470"/>
      <c r="H1041" s="470">
        <v>1034</v>
      </c>
      <c r="I1041" s="455">
        <f t="shared" ca="1" si="105"/>
        <v>19980451.919468403</v>
      </c>
      <c r="J1041" s="455">
        <f t="array" ref="J1041">IFERROR(INDEX('Retirement Calculator'!K:K,MATCH('Lorri 401b'!N1041,'Retirement Calculator'!A:A,0),0),0)</f>
        <v>16520.094745597391</v>
      </c>
      <c r="K1041" s="455">
        <f t="shared" ca="1" si="103"/>
        <v>83183.049269678348</v>
      </c>
      <c r="L1041" s="455">
        <f t="shared" ca="1" si="104"/>
        <v>20047114.873992484</v>
      </c>
      <c r="M1041" s="471">
        <f t="shared" si="106"/>
        <v>0.05</v>
      </c>
      <c r="N1041" s="475">
        <f t="shared" si="107"/>
        <v>82728</v>
      </c>
    </row>
    <row r="1042" spans="7:14" ht="11.25" customHeight="1" x14ac:dyDescent="0.3">
      <c r="G1042" s="470"/>
      <c r="H1042" s="470">
        <v>1035</v>
      </c>
      <c r="I1042" s="455">
        <f t="shared" ca="1" si="105"/>
        <v>20047114.873992484</v>
      </c>
      <c r="J1042" s="455">
        <f t="array" ref="J1042">IFERROR(INDEX('Retirement Calculator'!K:K,MATCH('Lorri 401b'!N1042,'Retirement Calculator'!A:A,0),0),0)</f>
        <v>16520.094745597391</v>
      </c>
      <c r="K1042" s="455">
        <f t="shared" ca="1" si="103"/>
        <v>83460.811580195354</v>
      </c>
      <c r="L1042" s="455">
        <f t="shared" ca="1" si="104"/>
        <v>20114055.590827081</v>
      </c>
      <c r="M1042" s="471">
        <f t="shared" si="106"/>
        <v>0.05</v>
      </c>
      <c r="N1042" s="475">
        <f t="shared" si="107"/>
        <v>82759</v>
      </c>
    </row>
    <row r="1043" spans="7:14" ht="11.25" customHeight="1" x14ac:dyDescent="0.3">
      <c r="G1043" s="470"/>
      <c r="H1043" s="470">
        <v>1036</v>
      </c>
      <c r="I1043" s="455">
        <f t="shared" ca="1" si="105"/>
        <v>20114055.590827081</v>
      </c>
      <c r="J1043" s="455">
        <f t="array" ref="J1043">IFERROR(INDEX('Retirement Calculator'!K:K,MATCH('Lorri 401b'!N1043,'Retirement Calculator'!A:A,0),0),0)</f>
        <v>16520.094745597391</v>
      </c>
      <c r="K1043" s="455">
        <f t="shared" ca="1" si="103"/>
        <v>83739.73123367285</v>
      </c>
      <c r="L1043" s="455">
        <f t="shared" ca="1" si="104"/>
        <v>20181275.227315154</v>
      </c>
      <c r="M1043" s="471">
        <f t="shared" si="106"/>
        <v>0.05</v>
      </c>
      <c r="N1043" s="475">
        <f t="shared" si="107"/>
        <v>82790</v>
      </c>
    </row>
    <row r="1044" spans="7:14" ht="11.25" customHeight="1" x14ac:dyDescent="0.3">
      <c r="G1044" s="470"/>
      <c r="H1044" s="470">
        <v>1037</v>
      </c>
      <c r="I1044" s="455">
        <f t="shared" ca="1" si="105"/>
        <v>20181275.227315154</v>
      </c>
      <c r="J1044" s="455">
        <f t="array" ref="J1044">IFERROR(INDEX('Retirement Calculator'!K:K,MATCH('Lorri 401b'!N1044,'Retirement Calculator'!A:A,0),0),0)</f>
        <v>16520.094745597391</v>
      </c>
      <c r="K1044" s="455">
        <f t="shared" ca="1" si="103"/>
        <v>84019.813052373152</v>
      </c>
      <c r="L1044" s="455">
        <f t="shared" ca="1" si="104"/>
        <v>20248774.94562193</v>
      </c>
      <c r="M1044" s="471">
        <f t="shared" si="106"/>
        <v>0.05</v>
      </c>
      <c r="N1044" s="475">
        <f t="shared" si="107"/>
        <v>82820</v>
      </c>
    </row>
    <row r="1045" spans="7:14" ht="11.25" customHeight="1" x14ac:dyDescent="0.3">
      <c r="G1045" s="470"/>
      <c r="H1045" s="470">
        <v>1038</v>
      </c>
      <c r="I1045" s="455">
        <f t="shared" ca="1" si="105"/>
        <v>20248774.94562193</v>
      </c>
      <c r="J1045" s="455">
        <f t="array" ref="J1045">IFERROR(INDEX('Retirement Calculator'!K:K,MATCH('Lorri 401b'!N1045,'Retirement Calculator'!A:A,0),0),0)</f>
        <v>16520.094745597391</v>
      </c>
      <c r="K1045" s="455">
        <f t="shared" ca="1" si="103"/>
        <v>84301.061878651381</v>
      </c>
      <c r="L1045" s="455">
        <f t="shared" ca="1" si="104"/>
        <v>20316555.912754983</v>
      </c>
      <c r="M1045" s="471">
        <f t="shared" si="106"/>
        <v>0.05</v>
      </c>
      <c r="N1045" s="475">
        <f t="shared" si="107"/>
        <v>82851</v>
      </c>
    </row>
    <row r="1046" spans="7:14" ht="11.25" customHeight="1" x14ac:dyDescent="0.3">
      <c r="G1046" s="470"/>
      <c r="H1046" s="470">
        <v>1039</v>
      </c>
      <c r="I1046" s="455">
        <f t="shared" ca="1" si="105"/>
        <v>20316555.912754983</v>
      </c>
      <c r="J1046" s="455">
        <f t="array" ref="J1046">IFERROR(INDEX('Retirement Calculator'!K:K,MATCH('Lorri 401b'!N1046,'Retirement Calculator'!A:A,0),0),0)</f>
        <v>16520.094745597391</v>
      </c>
      <c r="K1046" s="455">
        <f t="shared" ca="1" si="103"/>
        <v>84583.482575039103</v>
      </c>
      <c r="L1046" s="455">
        <f t="shared" ca="1" si="104"/>
        <v>20384619.300584424</v>
      </c>
      <c r="M1046" s="471">
        <f t="shared" si="106"/>
        <v>0.05</v>
      </c>
      <c r="N1046" s="475">
        <f t="shared" si="107"/>
        <v>82881</v>
      </c>
    </row>
    <row r="1047" spans="7:14" ht="11.25" customHeight="1" x14ac:dyDescent="0.3">
      <c r="G1047" s="470"/>
      <c r="H1047" s="470">
        <v>1040</v>
      </c>
      <c r="I1047" s="455">
        <f t="shared" ca="1" si="105"/>
        <v>20384619.300584424</v>
      </c>
      <c r="J1047" s="455">
        <f t="array" ref="J1047">IFERROR(INDEX('Retirement Calculator'!K:K,MATCH('Lorri 401b'!N1047,'Retirement Calculator'!A:A,0),0),0)</f>
        <v>16520.094745597391</v>
      </c>
      <c r="K1047" s="455">
        <f t="shared" ca="1" si="103"/>
        <v>84867.080024328432</v>
      </c>
      <c r="L1047" s="455">
        <f t="shared" ca="1" si="104"/>
        <v>20452966.285863154</v>
      </c>
      <c r="M1047" s="471">
        <f t="shared" si="106"/>
        <v>0.05</v>
      </c>
      <c r="N1047" s="475">
        <f t="shared" si="107"/>
        <v>82912</v>
      </c>
    </row>
    <row r="1048" spans="7:14" ht="11.25" customHeight="1" x14ac:dyDescent="0.3">
      <c r="G1048" s="470"/>
      <c r="H1048" s="470">
        <v>1041</v>
      </c>
      <c r="I1048" s="455">
        <f t="shared" ca="1" si="105"/>
        <v>20452966.285863154</v>
      </c>
      <c r="J1048" s="455">
        <f t="array" ref="J1048">IFERROR(INDEX('Retirement Calculator'!K:K,MATCH('Lorri 401b'!N1048,'Retirement Calculator'!A:A,0),0),0)</f>
        <v>16520.094745597391</v>
      </c>
      <c r="K1048" s="455">
        <f t="shared" ca="1" si="103"/>
        <v>85151.859129656485</v>
      </c>
      <c r="L1048" s="455">
        <f t="shared" ca="1" si="104"/>
        <v>20521598.050247211</v>
      </c>
      <c r="M1048" s="471">
        <f t="shared" si="106"/>
        <v>0.05</v>
      </c>
      <c r="N1048" s="475">
        <f t="shared" si="107"/>
        <v>82943</v>
      </c>
    </row>
    <row r="1049" spans="7:14" ht="11.25" customHeight="1" x14ac:dyDescent="0.3">
      <c r="G1049" s="470"/>
      <c r="H1049" s="470">
        <v>1042</v>
      </c>
      <c r="I1049" s="455">
        <f t="shared" ca="1" si="105"/>
        <v>20521598.050247211</v>
      </c>
      <c r="J1049" s="455">
        <f t="array" ref="J1049">IFERROR(INDEX('Retirement Calculator'!K:K,MATCH('Lorri 401b'!N1049,'Retirement Calculator'!A:A,0),0),0)</f>
        <v>16520.094745597391</v>
      </c>
      <c r="K1049" s="455">
        <f t="shared" ca="1" si="103"/>
        <v>85437.824814590043</v>
      </c>
      <c r="L1049" s="455">
        <f t="shared" ca="1" si="104"/>
        <v>20590515.780316204</v>
      </c>
      <c r="M1049" s="471">
        <f t="shared" si="106"/>
        <v>0.05</v>
      </c>
      <c r="N1049" s="475">
        <f t="shared" si="107"/>
        <v>82971</v>
      </c>
    </row>
    <row r="1050" spans="7:14" ht="11.25" customHeight="1" x14ac:dyDescent="0.3">
      <c r="G1050" s="470"/>
      <c r="H1050" s="470">
        <v>1043</v>
      </c>
      <c r="I1050" s="455">
        <f t="shared" ca="1" si="105"/>
        <v>20590515.780316204</v>
      </c>
      <c r="J1050" s="455">
        <f t="array" ref="J1050">IFERROR(INDEX('Retirement Calculator'!K:K,MATCH('Lorri 401b'!N1050,'Retirement Calculator'!A:A,0),0),0)</f>
        <v>16520.094745597391</v>
      </c>
      <c r="K1050" s="455">
        <f t="shared" ca="1" si="103"/>
        <v>85724.982023210847</v>
      </c>
      <c r="L1050" s="455">
        <f t="shared" ca="1" si="104"/>
        <v>20659720.667593814</v>
      </c>
      <c r="M1050" s="471">
        <f t="shared" si="106"/>
        <v>0.05</v>
      </c>
      <c r="N1050" s="475">
        <f t="shared" si="107"/>
        <v>83002</v>
      </c>
    </row>
    <row r="1051" spans="7:14" ht="11.25" customHeight="1" x14ac:dyDescent="0.3">
      <c r="G1051" s="470"/>
      <c r="H1051" s="470">
        <v>1044</v>
      </c>
      <c r="I1051" s="455">
        <f t="shared" ca="1" si="105"/>
        <v>20659720.667593814</v>
      </c>
      <c r="J1051" s="455">
        <f t="array" ref="J1051">IFERROR(INDEX('Retirement Calculator'!K:K,MATCH('Lorri 401b'!N1051,'Retirement Calculator'!A:A,0),0),0)</f>
        <v>16520.094745597391</v>
      </c>
      <c r="K1051" s="455">
        <f t="shared" ca="1" si="103"/>
        <v>86013.335720200892</v>
      </c>
      <c r="L1051" s="455">
        <f t="shared" ca="1" si="104"/>
        <v>20729213.908568416</v>
      </c>
      <c r="M1051" s="471">
        <f t="shared" si="106"/>
        <v>0.05</v>
      </c>
      <c r="N1051" s="475">
        <f t="shared" si="107"/>
        <v>83032</v>
      </c>
    </row>
    <row r="1052" spans="7:14" ht="11.25" customHeight="1" x14ac:dyDescent="0.3">
      <c r="G1052" s="470"/>
      <c r="H1052" s="470">
        <v>1045</v>
      </c>
      <c r="I1052" s="455">
        <f t="shared" ca="1" si="105"/>
        <v>20729213.908568416</v>
      </c>
      <c r="J1052" s="455">
        <f t="array" ref="J1052">IFERROR(INDEX('Retirement Calculator'!K:K,MATCH('Lorri 401b'!N1052,'Retirement Calculator'!A:A,0),0),0)</f>
        <v>16520.094745597391</v>
      </c>
      <c r="K1052" s="455">
        <f t="shared" ca="1" si="103"/>
        <v>86302.890890928407</v>
      </c>
      <c r="L1052" s="455">
        <f t="shared" ca="1" si="104"/>
        <v>20798996.704713747</v>
      </c>
      <c r="M1052" s="471">
        <f t="shared" si="106"/>
        <v>0.05</v>
      </c>
      <c r="N1052" s="475">
        <f t="shared" si="107"/>
        <v>83063</v>
      </c>
    </row>
    <row r="1053" spans="7:14" ht="11.25" customHeight="1" x14ac:dyDescent="0.3">
      <c r="G1053" s="470"/>
      <c r="H1053" s="470">
        <v>1046</v>
      </c>
      <c r="I1053" s="455">
        <f t="shared" ca="1" si="105"/>
        <v>20798996.704713747</v>
      </c>
      <c r="J1053" s="455">
        <f t="array" ref="J1053">IFERROR(INDEX('Retirement Calculator'!K:K,MATCH('Lorri 401b'!N1053,'Retirement Calculator'!A:A,0),0),0)</f>
        <v>16520.094745597391</v>
      </c>
      <c r="K1053" s="455">
        <f t="shared" ca="1" si="103"/>
        <v>86593.652541533957</v>
      </c>
      <c r="L1053" s="455">
        <f t="shared" ca="1" si="104"/>
        <v>20869070.262509681</v>
      </c>
      <c r="M1053" s="471">
        <f t="shared" si="106"/>
        <v>0.05</v>
      </c>
      <c r="N1053" s="475">
        <f t="shared" si="107"/>
        <v>83093</v>
      </c>
    </row>
    <row r="1054" spans="7:14" ht="11.25" customHeight="1" x14ac:dyDescent="0.3">
      <c r="G1054" s="470"/>
      <c r="H1054" s="470">
        <v>1047</v>
      </c>
      <c r="I1054" s="455">
        <f t="shared" ca="1" si="105"/>
        <v>20869070.262509681</v>
      </c>
      <c r="J1054" s="455">
        <f t="array" ref="J1054">IFERROR(INDEX('Retirement Calculator'!K:K,MATCH('Lorri 401b'!N1054,'Retirement Calculator'!A:A,0),0),0)</f>
        <v>16520.094745597391</v>
      </c>
      <c r="K1054" s="455">
        <f t="shared" ca="1" si="103"/>
        <v>86885.625699017008</v>
      </c>
      <c r="L1054" s="455">
        <f t="shared" ca="1" si="104"/>
        <v>20939435.7934631</v>
      </c>
      <c r="M1054" s="471">
        <f t="shared" si="106"/>
        <v>0.05</v>
      </c>
      <c r="N1054" s="475">
        <f t="shared" si="107"/>
        <v>83124</v>
      </c>
    </row>
    <row r="1055" spans="7:14" ht="11.25" customHeight="1" x14ac:dyDescent="0.3">
      <c r="G1055" s="470"/>
      <c r="H1055" s="470">
        <v>1048</v>
      </c>
      <c r="I1055" s="455">
        <f t="shared" ca="1" si="105"/>
        <v>20939435.7934631</v>
      </c>
      <c r="J1055" s="455">
        <f t="array" ref="J1055">IFERROR(INDEX('Retirement Calculator'!K:K,MATCH('Lorri 401b'!N1055,'Retirement Calculator'!A:A,0),0),0)</f>
        <v>16520.094745597391</v>
      </c>
      <c r="K1055" s="455">
        <f t="shared" ca="1" si="103"/>
        <v>87178.815411322925</v>
      </c>
      <c r="L1055" s="455">
        <f t="shared" ca="1" si="104"/>
        <v>21010094.514128823</v>
      </c>
      <c r="M1055" s="471">
        <f t="shared" si="106"/>
        <v>0.05</v>
      </c>
      <c r="N1055" s="475">
        <f t="shared" si="107"/>
        <v>83155</v>
      </c>
    </row>
    <row r="1056" spans="7:14" ht="11.25" customHeight="1" x14ac:dyDescent="0.3">
      <c r="G1056" s="470"/>
      <c r="H1056" s="470">
        <v>1049</v>
      </c>
      <c r="I1056" s="455">
        <f t="shared" ca="1" si="105"/>
        <v>21010094.514128823</v>
      </c>
      <c r="J1056" s="455">
        <f t="array" ref="J1056">IFERROR(INDEX('Retirement Calculator'!K:K,MATCH('Lorri 401b'!N1056,'Retirement Calculator'!A:A,0),0),0)</f>
        <v>16520.094745597391</v>
      </c>
      <c r="K1056" s="455">
        <f t="shared" ca="1" si="103"/>
        <v>87473.226747430104</v>
      </c>
      <c r="L1056" s="455">
        <f t="shared" ca="1" si="104"/>
        <v>21081047.646130655</v>
      </c>
      <c r="M1056" s="471">
        <f t="shared" si="106"/>
        <v>0.05</v>
      </c>
      <c r="N1056" s="475">
        <f t="shared" si="107"/>
        <v>83185</v>
      </c>
    </row>
    <row r="1057" spans="7:14" ht="11.25" customHeight="1" x14ac:dyDescent="0.3">
      <c r="G1057" s="470"/>
      <c r="H1057" s="470">
        <v>1050</v>
      </c>
      <c r="I1057" s="455">
        <f t="shared" ca="1" si="105"/>
        <v>21081047.646130655</v>
      </c>
      <c r="J1057" s="455">
        <f t="array" ref="J1057">IFERROR(INDEX('Retirement Calculator'!K:K,MATCH('Lorri 401b'!N1057,'Retirement Calculator'!A:A,0),0),0)</f>
        <v>16520.094745597391</v>
      </c>
      <c r="K1057" s="455">
        <f t="shared" ca="1" si="103"/>
        <v>87768.864797437738</v>
      </c>
      <c r="L1057" s="455">
        <f t="shared" ca="1" si="104"/>
        <v>21152296.416182496</v>
      </c>
      <c r="M1057" s="471">
        <f t="shared" si="106"/>
        <v>0.05</v>
      </c>
      <c r="N1057" s="475">
        <f t="shared" si="107"/>
        <v>83216</v>
      </c>
    </row>
    <row r="1058" spans="7:14" ht="11.25" customHeight="1" x14ac:dyDescent="0.3">
      <c r="G1058" s="470"/>
      <c r="H1058" s="470">
        <v>1051</v>
      </c>
      <c r="I1058" s="455">
        <f t="shared" ca="1" si="105"/>
        <v>21152296.416182496</v>
      </c>
      <c r="J1058" s="455">
        <f t="array" ref="J1058">IFERROR(INDEX('Retirement Calculator'!K:K,MATCH('Lorri 401b'!N1058,'Retirement Calculator'!A:A,0),0),0)</f>
        <v>16520.094745597391</v>
      </c>
      <c r="K1058" s="455">
        <f t="shared" ca="1" si="103"/>
        <v>88065.734672653736</v>
      </c>
      <c r="L1058" s="455">
        <f t="shared" ca="1" si="104"/>
        <v>21223842.056109551</v>
      </c>
      <c r="M1058" s="471">
        <f t="shared" si="106"/>
        <v>0.05</v>
      </c>
      <c r="N1058" s="475">
        <f t="shared" si="107"/>
        <v>83246</v>
      </c>
    </row>
    <row r="1059" spans="7:14" ht="11.25" customHeight="1" x14ac:dyDescent="0.3">
      <c r="G1059" s="470"/>
      <c r="H1059" s="470">
        <v>1052</v>
      </c>
      <c r="I1059" s="455">
        <f t="shared" ca="1" si="105"/>
        <v>21223842.056109551</v>
      </c>
      <c r="J1059" s="455">
        <f t="array" ref="J1059">IFERROR(INDEX('Retirement Calculator'!K:K,MATCH('Lorri 401b'!N1059,'Retirement Calculator'!A:A,0),0),0)</f>
        <v>16520.094745597391</v>
      </c>
      <c r="K1059" s="455">
        <f t="shared" ca="1" si="103"/>
        <v>88363.841505683129</v>
      </c>
      <c r="L1059" s="455">
        <f t="shared" ca="1" si="104"/>
        <v>21295685.802869637</v>
      </c>
      <c r="M1059" s="471">
        <f t="shared" si="106"/>
        <v>0.05</v>
      </c>
      <c r="N1059" s="475">
        <f t="shared" si="107"/>
        <v>83277</v>
      </c>
    </row>
    <row r="1060" spans="7:14" ht="11.25" customHeight="1" x14ac:dyDescent="0.3">
      <c r="G1060" s="470"/>
      <c r="H1060" s="470">
        <v>1053</v>
      </c>
      <c r="I1060" s="455">
        <f t="shared" ca="1" si="105"/>
        <v>21295685.802869637</v>
      </c>
      <c r="J1060" s="455">
        <f t="array" ref="J1060">IFERROR(INDEX('Retirement Calculator'!K:K,MATCH('Lorri 401b'!N1060,'Retirement Calculator'!A:A,0),0),0)</f>
        <v>16520.094745597391</v>
      </c>
      <c r="K1060" s="455">
        <f t="shared" ca="1" si="103"/>
        <v>88663.19045051682</v>
      </c>
      <c r="L1060" s="455">
        <f t="shared" ca="1" si="104"/>
        <v>21367828.898574553</v>
      </c>
      <c r="M1060" s="471">
        <f t="shared" si="106"/>
        <v>0.05</v>
      </c>
      <c r="N1060" s="475">
        <f t="shared" si="107"/>
        <v>83308</v>
      </c>
    </row>
    <row r="1061" spans="7:14" ht="11.25" customHeight="1" x14ac:dyDescent="0.3">
      <c r="G1061" s="470"/>
      <c r="H1061" s="470">
        <v>1054</v>
      </c>
      <c r="I1061" s="455">
        <f t="shared" ca="1" si="105"/>
        <v>21367828.898574553</v>
      </c>
      <c r="J1061" s="455">
        <f t="array" ref="J1061">IFERROR(INDEX('Retirement Calculator'!K:K,MATCH('Lorri 401b'!N1061,'Retirement Calculator'!A:A,0),0),0)</f>
        <v>16520.094745597391</v>
      </c>
      <c r="K1061" s="455">
        <f t="shared" ca="1" si="103"/>
        <v>88963.786682620645</v>
      </c>
      <c r="L1061" s="455">
        <f t="shared" ca="1" si="104"/>
        <v>21440272.590511575</v>
      </c>
      <c r="M1061" s="471">
        <f t="shared" si="106"/>
        <v>0.05</v>
      </c>
      <c r="N1061" s="475">
        <f t="shared" si="107"/>
        <v>83337</v>
      </c>
    </row>
    <row r="1062" spans="7:14" ht="11.25" customHeight="1" x14ac:dyDescent="0.3">
      <c r="G1062" s="470"/>
      <c r="H1062" s="470">
        <v>1055</v>
      </c>
      <c r="I1062" s="455">
        <f t="shared" ca="1" si="105"/>
        <v>21440272.590511575</v>
      </c>
      <c r="J1062" s="455">
        <f t="array" ref="J1062">IFERROR(INDEX('Retirement Calculator'!K:K,MATCH('Lorri 401b'!N1062,'Retirement Calculator'!A:A,0),0),0)</f>
        <v>16520.094745597391</v>
      </c>
      <c r="K1062" s="455">
        <f t="shared" ca="1" si="103"/>
        <v>89265.635399024904</v>
      </c>
      <c r="L1062" s="455">
        <f t="shared" ca="1" si="104"/>
        <v>21513018.131165002</v>
      </c>
      <c r="M1062" s="471">
        <f t="shared" si="106"/>
        <v>0.05</v>
      </c>
      <c r="N1062" s="475">
        <f t="shared" si="107"/>
        <v>83368</v>
      </c>
    </row>
    <row r="1063" spans="7:14" ht="11.25" customHeight="1" x14ac:dyDescent="0.3">
      <c r="G1063" s="470"/>
      <c r="H1063" s="470">
        <v>1056</v>
      </c>
      <c r="I1063" s="455">
        <f t="shared" ca="1" si="105"/>
        <v>21513018.131165002</v>
      </c>
      <c r="J1063" s="455">
        <f t="array" ref="J1063">IFERROR(INDEX('Retirement Calculator'!K:K,MATCH('Lorri 401b'!N1063,'Retirement Calculator'!A:A,0),0),0)</f>
        <v>16520.094745597391</v>
      </c>
      <c r="K1063" s="455">
        <f t="shared" ca="1" si="103"/>
        <v>89568.741818414172</v>
      </c>
      <c r="L1063" s="455">
        <f t="shared" ca="1" si="104"/>
        <v>21586066.778237816</v>
      </c>
      <c r="M1063" s="471">
        <f t="shared" si="106"/>
        <v>0.05</v>
      </c>
      <c r="N1063" s="475">
        <f t="shared" si="107"/>
        <v>83398</v>
      </c>
    </row>
    <row r="1064" spans="7:14" ht="11.25" customHeight="1" x14ac:dyDescent="0.3">
      <c r="G1064" s="470"/>
      <c r="H1064" s="470">
        <v>1057</v>
      </c>
      <c r="I1064" s="455">
        <f t="shared" ca="1" si="105"/>
        <v>21586066.778237816</v>
      </c>
      <c r="J1064" s="455">
        <f t="array" ref="J1064">IFERROR(INDEX('Retirement Calculator'!K:K,MATCH('Lorri 401b'!N1064,'Retirement Calculator'!A:A,0),0),0)</f>
        <v>16520.094745597391</v>
      </c>
      <c r="K1064" s="455">
        <f t="shared" ca="1" si="103"/>
        <v>89873.111181217566</v>
      </c>
      <c r="L1064" s="455">
        <f t="shared" ca="1" si="104"/>
        <v>21659419.794673435</v>
      </c>
      <c r="M1064" s="471">
        <f t="shared" si="106"/>
        <v>0.05</v>
      </c>
      <c r="N1064" s="475">
        <f t="shared" si="107"/>
        <v>83429</v>
      </c>
    </row>
    <row r="1065" spans="7:14" ht="11.25" customHeight="1" x14ac:dyDescent="0.3">
      <c r="G1065" s="470"/>
      <c r="H1065" s="470">
        <v>1058</v>
      </c>
      <c r="I1065" s="455">
        <f t="shared" ca="1" si="105"/>
        <v>21659419.794673435</v>
      </c>
      <c r="J1065" s="455">
        <f t="array" ref="J1065">IFERROR(INDEX('Retirement Calculator'!K:K,MATCH('Lorri 401b'!N1065,'Retirement Calculator'!A:A,0),0),0)</f>
        <v>16520.094745597391</v>
      </c>
      <c r="K1065" s="455">
        <f t="shared" ca="1" si="103"/>
        <v>90178.748749699313</v>
      </c>
      <c r="L1065" s="455">
        <f t="shared" ca="1" si="104"/>
        <v>21733078.448677536</v>
      </c>
      <c r="M1065" s="471">
        <f t="shared" si="106"/>
        <v>0.05</v>
      </c>
      <c r="N1065" s="475">
        <f t="shared" si="107"/>
        <v>83459</v>
      </c>
    </row>
    <row r="1066" spans="7:14" ht="11.25" customHeight="1" x14ac:dyDescent="0.3">
      <c r="G1066" s="470"/>
      <c r="H1066" s="470">
        <v>1059</v>
      </c>
      <c r="I1066" s="455">
        <f t="shared" ca="1" si="105"/>
        <v>21733078.448677536</v>
      </c>
      <c r="J1066" s="455">
        <f t="array" ref="J1066">IFERROR(INDEX('Retirement Calculator'!K:K,MATCH('Lorri 401b'!N1066,'Retirement Calculator'!A:A,0),0),0)</f>
        <v>16520.094745597391</v>
      </c>
      <c r="K1066" s="455">
        <f t="shared" ca="1" si="103"/>
        <v>90485.659808049735</v>
      </c>
      <c r="L1066" s="455">
        <f t="shared" ca="1" si="104"/>
        <v>21807044.013739988</v>
      </c>
      <c r="M1066" s="471">
        <f t="shared" si="106"/>
        <v>0.05</v>
      </c>
      <c r="N1066" s="475">
        <f t="shared" si="107"/>
        <v>83490</v>
      </c>
    </row>
    <row r="1067" spans="7:14" ht="11.25" customHeight="1" x14ac:dyDescent="0.3">
      <c r="G1067" s="470"/>
      <c r="H1067" s="470">
        <v>1060</v>
      </c>
      <c r="I1067" s="455">
        <f t="shared" ca="1" si="105"/>
        <v>21807044.013739988</v>
      </c>
      <c r="J1067" s="455">
        <f t="array" ref="J1067">IFERROR(INDEX('Retirement Calculator'!K:K,MATCH('Lorri 401b'!N1067,'Retirement Calculator'!A:A,0),0),0)</f>
        <v>16520.094745597391</v>
      </c>
      <c r="K1067" s="455">
        <f t="shared" ca="1" si="103"/>
        <v>90793.849662476627</v>
      </c>
      <c r="L1067" s="455">
        <f t="shared" ca="1" si="104"/>
        <v>21881317.768656865</v>
      </c>
      <c r="M1067" s="471">
        <f t="shared" si="106"/>
        <v>0.05</v>
      </c>
      <c r="N1067" s="475">
        <f t="shared" si="107"/>
        <v>83521</v>
      </c>
    </row>
    <row r="1068" spans="7:14" ht="11.25" customHeight="1" x14ac:dyDescent="0.3">
      <c r="G1068" s="470"/>
      <c r="H1068" s="470">
        <v>1061</v>
      </c>
      <c r="I1068" s="455">
        <f t="shared" ca="1" si="105"/>
        <v>21881317.768656865</v>
      </c>
      <c r="J1068" s="455">
        <f t="array" ref="J1068">IFERROR(INDEX('Retirement Calculator'!K:K,MATCH('Lorri 401b'!N1068,'Retirement Calculator'!A:A,0),0),0)</f>
        <v>16520.094745597391</v>
      </c>
      <c r="K1068" s="455">
        <f t="shared" ca="1" si="103"/>
        <v>91103.323641296942</v>
      </c>
      <c r="L1068" s="455">
        <f t="shared" ca="1" si="104"/>
        <v>21955900.997552563</v>
      </c>
      <c r="M1068" s="471">
        <f t="shared" si="106"/>
        <v>0.05</v>
      </c>
      <c r="N1068" s="475">
        <f t="shared" si="107"/>
        <v>83551</v>
      </c>
    </row>
    <row r="1069" spans="7:14" ht="11.25" customHeight="1" x14ac:dyDescent="0.3">
      <c r="G1069" s="470"/>
      <c r="H1069" s="470">
        <v>1062</v>
      </c>
      <c r="I1069" s="455">
        <f t="shared" ca="1" si="105"/>
        <v>21955900.997552563</v>
      </c>
      <c r="J1069" s="455">
        <f t="array" ref="J1069">IFERROR(INDEX('Retirement Calculator'!K:K,MATCH('Lorri 401b'!N1069,'Retirement Calculator'!A:A,0),0),0)</f>
        <v>16520.094745597391</v>
      </c>
      <c r="K1069" s="455">
        <f t="shared" ca="1" si="103"/>
        <v>91414.087095029012</v>
      </c>
      <c r="L1069" s="455">
        <f t="shared" ca="1" si="104"/>
        <v>22030794.989901993</v>
      </c>
      <c r="M1069" s="471">
        <f t="shared" si="106"/>
        <v>0.05</v>
      </c>
      <c r="N1069" s="475">
        <f t="shared" si="107"/>
        <v>83582</v>
      </c>
    </row>
    <row r="1070" spans="7:14" ht="11.25" customHeight="1" x14ac:dyDescent="0.3">
      <c r="G1070" s="470"/>
      <c r="H1070" s="470">
        <v>1063</v>
      </c>
      <c r="I1070" s="455">
        <f t="shared" ca="1" si="105"/>
        <v>22030794.989901993</v>
      </c>
      <c r="J1070" s="455">
        <f t="array" ref="J1070">IFERROR(INDEX('Retirement Calculator'!K:K,MATCH('Lorri 401b'!N1070,'Retirement Calculator'!A:A,0),0),0)</f>
        <v>16520.094745597391</v>
      </c>
      <c r="K1070" s="455">
        <f t="shared" ca="1" si="103"/>
        <v>91726.145396484979</v>
      </c>
      <c r="L1070" s="455">
        <f t="shared" ca="1" si="104"/>
        <v>22106001.040552881</v>
      </c>
      <c r="M1070" s="471">
        <f t="shared" si="106"/>
        <v>0.05</v>
      </c>
      <c r="N1070" s="475">
        <f t="shared" si="107"/>
        <v>83612</v>
      </c>
    </row>
    <row r="1071" spans="7:14" ht="11.25" customHeight="1" x14ac:dyDescent="0.3">
      <c r="G1071" s="470"/>
      <c r="H1071" s="470">
        <v>1064</v>
      </c>
      <c r="I1071" s="455">
        <f t="shared" ca="1" si="105"/>
        <v>22106001.040552881</v>
      </c>
      <c r="J1071" s="455">
        <f t="array" ref="J1071">IFERROR(INDEX('Retirement Calculator'!K:K,MATCH('Lorri 401b'!N1071,'Retirement Calculator'!A:A,0),0),0)</f>
        <v>16520.094745597391</v>
      </c>
      <c r="K1071" s="455">
        <f t="shared" ca="1" si="103"/>
        <v>92039.50394086368</v>
      </c>
      <c r="L1071" s="455">
        <f t="shared" ca="1" si="104"/>
        <v>22181520.449748147</v>
      </c>
      <c r="M1071" s="471">
        <f t="shared" si="106"/>
        <v>0.05</v>
      </c>
      <c r="N1071" s="475">
        <f t="shared" si="107"/>
        <v>83643</v>
      </c>
    </row>
    <row r="1072" spans="7:14" ht="11.25" customHeight="1" x14ac:dyDescent="0.3">
      <c r="G1072" s="470"/>
      <c r="H1072" s="470">
        <v>1065</v>
      </c>
      <c r="I1072" s="455">
        <f t="shared" ca="1" si="105"/>
        <v>22181520.449748147</v>
      </c>
      <c r="J1072" s="455">
        <f t="array" ref="J1072">IFERROR(INDEX('Retirement Calculator'!K:K,MATCH('Lorri 401b'!N1072,'Retirement Calculator'!A:A,0),0),0)</f>
        <v>16520.094745597391</v>
      </c>
      <c r="K1072" s="455">
        <f t="shared" ca="1" si="103"/>
        <v>92354.168145843956</v>
      </c>
      <c r="L1072" s="455">
        <f t="shared" ca="1" si="104"/>
        <v>22257354.523148391</v>
      </c>
      <c r="M1072" s="471">
        <f t="shared" si="106"/>
        <v>0.05</v>
      </c>
      <c r="N1072" s="475">
        <f t="shared" si="107"/>
        <v>83674</v>
      </c>
    </row>
    <row r="1073" spans="7:14" ht="11.25" customHeight="1" x14ac:dyDescent="0.3">
      <c r="G1073" s="470"/>
      <c r="H1073" s="470">
        <v>1066</v>
      </c>
      <c r="I1073" s="455">
        <f t="shared" ca="1" si="105"/>
        <v>22257354.523148391</v>
      </c>
      <c r="J1073" s="455">
        <f t="array" ref="J1073">IFERROR(INDEX('Retirement Calculator'!K:K,MATCH('Lorri 401b'!N1073,'Retirement Calculator'!A:A,0),0),0)</f>
        <v>16520.094745597391</v>
      </c>
      <c r="K1073" s="455">
        <f t="shared" ca="1" si="103"/>
        <v>92670.143451678305</v>
      </c>
      <c r="L1073" s="455">
        <f t="shared" ca="1" si="104"/>
        <v>22333504.571854472</v>
      </c>
      <c r="M1073" s="471">
        <f t="shared" si="106"/>
        <v>0.05</v>
      </c>
      <c r="N1073" s="475">
        <f t="shared" si="107"/>
        <v>83702</v>
      </c>
    </row>
    <row r="1074" spans="7:14" ht="11.25" customHeight="1" x14ac:dyDescent="0.3">
      <c r="G1074" s="470"/>
      <c r="H1074" s="470">
        <v>1067</v>
      </c>
      <c r="I1074" s="455">
        <f t="shared" ca="1" si="105"/>
        <v>22333504.571854472</v>
      </c>
      <c r="J1074" s="455">
        <f t="array" ref="J1074">IFERROR(INDEX('Retirement Calculator'!K:K,MATCH('Lorri 401b'!N1074,'Retirement Calculator'!A:A,0),0),0)</f>
        <v>16520.094745597391</v>
      </c>
      <c r="K1074" s="455">
        <f t="shared" ca="1" si="103"/>
        <v>92987.435321286976</v>
      </c>
      <c r="L1074" s="455">
        <f t="shared" ca="1" si="104"/>
        <v>22409971.91243016</v>
      </c>
      <c r="M1074" s="471">
        <f t="shared" si="106"/>
        <v>0.05</v>
      </c>
      <c r="N1074" s="475">
        <f t="shared" si="107"/>
        <v>83733</v>
      </c>
    </row>
    <row r="1075" spans="7:14" ht="11.25" customHeight="1" x14ac:dyDescent="0.3">
      <c r="G1075" s="470"/>
      <c r="H1075" s="470">
        <v>1068</v>
      </c>
      <c r="I1075" s="455">
        <f t="shared" ca="1" si="105"/>
        <v>22409971.91243016</v>
      </c>
      <c r="J1075" s="455">
        <f t="array" ref="J1075">IFERROR(INDEX('Retirement Calculator'!K:K,MATCH('Lorri 401b'!N1075,'Retirement Calculator'!A:A,0),0),0)</f>
        <v>16520.094745597391</v>
      </c>
      <c r="K1075" s="455">
        <f t="shared" ca="1" si="103"/>
        <v>93306.049240352339</v>
      </c>
      <c r="L1075" s="455">
        <f t="shared" ca="1" si="104"/>
        <v>22486757.866924912</v>
      </c>
      <c r="M1075" s="471">
        <f t="shared" si="106"/>
        <v>0.05</v>
      </c>
      <c r="N1075" s="475">
        <f t="shared" si="107"/>
        <v>83763</v>
      </c>
    </row>
    <row r="1076" spans="7:14" ht="11.25" customHeight="1" x14ac:dyDescent="0.3">
      <c r="G1076" s="470"/>
      <c r="H1076" s="470">
        <v>1069</v>
      </c>
      <c r="I1076" s="455">
        <f t="shared" ca="1" si="105"/>
        <v>22486757.866924912</v>
      </c>
      <c r="J1076" s="455">
        <f t="array" ref="J1076">IFERROR(INDEX('Retirement Calculator'!K:K,MATCH('Lorri 401b'!N1076,'Retirement Calculator'!A:A,0),0),0)</f>
        <v>16520.094745597391</v>
      </c>
      <c r="K1076" s="455">
        <f t="shared" ca="1" si="103"/>
        <v>93625.990717413806</v>
      </c>
      <c r="L1076" s="455">
        <f t="shared" ca="1" si="104"/>
        <v>22563863.762896728</v>
      </c>
      <c r="M1076" s="471">
        <f t="shared" si="106"/>
        <v>0.05</v>
      </c>
      <c r="N1076" s="475">
        <f t="shared" si="107"/>
        <v>83794</v>
      </c>
    </row>
    <row r="1077" spans="7:14" ht="11.25" customHeight="1" x14ac:dyDescent="0.3">
      <c r="G1077" s="470"/>
      <c r="H1077" s="470">
        <v>1070</v>
      </c>
      <c r="I1077" s="455">
        <f t="shared" ca="1" si="105"/>
        <v>22563863.762896728</v>
      </c>
      <c r="J1077" s="455">
        <f t="array" ref="J1077">IFERROR(INDEX('Retirement Calculator'!K:K,MATCH('Lorri 401b'!N1077,'Retirement Calculator'!A:A,0),0),0)</f>
        <v>16520.094745597391</v>
      </c>
      <c r="K1077" s="455">
        <f t="shared" ca="1" si="103"/>
        <v>93947.265283963032</v>
      </c>
      <c r="L1077" s="455">
        <f t="shared" ca="1" si="104"/>
        <v>22641290.933435094</v>
      </c>
      <c r="M1077" s="471">
        <f t="shared" si="106"/>
        <v>0.05</v>
      </c>
      <c r="N1077" s="475">
        <f t="shared" si="107"/>
        <v>83824</v>
      </c>
    </row>
    <row r="1078" spans="7:14" ht="11.25" customHeight="1" x14ac:dyDescent="0.3">
      <c r="G1078" s="470"/>
      <c r="H1078" s="470">
        <v>1071</v>
      </c>
      <c r="I1078" s="455">
        <f t="shared" ca="1" si="105"/>
        <v>22641290.933435094</v>
      </c>
      <c r="J1078" s="455">
        <f t="array" ref="J1078">IFERROR(INDEX('Retirement Calculator'!K:K,MATCH('Lorri 401b'!N1078,'Retirement Calculator'!A:A,0),0),0)</f>
        <v>16520.094745597391</v>
      </c>
      <c r="K1078" s="455">
        <f t="shared" ca="1" si="103"/>
        <v>94269.87849453956</v>
      </c>
      <c r="L1078" s="455">
        <f t="shared" ca="1" si="104"/>
        <v>22719040.717184033</v>
      </c>
      <c r="M1078" s="471">
        <f t="shared" si="106"/>
        <v>0.05</v>
      </c>
      <c r="N1078" s="475">
        <f t="shared" si="107"/>
        <v>83855</v>
      </c>
    </row>
    <row r="1079" spans="7:14" ht="11.25" customHeight="1" x14ac:dyDescent="0.3">
      <c r="G1079" s="470"/>
      <c r="H1079" s="470">
        <v>1072</v>
      </c>
      <c r="I1079" s="455">
        <f t="shared" ca="1" si="105"/>
        <v>22719040.717184033</v>
      </c>
      <c r="J1079" s="455">
        <f t="array" ref="J1079">IFERROR(INDEX('Retirement Calculator'!K:K,MATCH('Lorri 401b'!N1079,'Retirement Calculator'!A:A,0),0),0)</f>
        <v>16520.094745597391</v>
      </c>
      <c r="K1079" s="455">
        <f t="shared" ca="1" si="103"/>
        <v>94593.83592682681</v>
      </c>
      <c r="L1079" s="455">
        <f t="shared" ca="1" si="104"/>
        <v>22797114.458365262</v>
      </c>
      <c r="M1079" s="471">
        <f t="shared" si="106"/>
        <v>0.05</v>
      </c>
      <c r="N1079" s="475">
        <f t="shared" si="107"/>
        <v>83886</v>
      </c>
    </row>
    <row r="1080" spans="7:14" ht="11.25" customHeight="1" x14ac:dyDescent="0.3">
      <c r="G1080" s="470"/>
      <c r="H1080" s="470">
        <v>1073</v>
      </c>
      <c r="I1080" s="455">
        <f t="shared" ca="1" si="105"/>
        <v>22797114.458365262</v>
      </c>
      <c r="J1080" s="455">
        <f t="array" ref="J1080">IFERROR(INDEX('Retirement Calculator'!K:K,MATCH('Lorri 401b'!N1080,'Retirement Calculator'!A:A,0),0),0)</f>
        <v>16520.094745597391</v>
      </c>
      <c r="K1080" s="455">
        <f t="shared" ca="1" si="103"/>
        <v>94919.143181748601</v>
      </c>
      <c r="L1080" s="455">
        <f t="shared" ca="1" si="104"/>
        <v>22875513.506801412</v>
      </c>
      <c r="M1080" s="471">
        <f t="shared" si="106"/>
        <v>0.05</v>
      </c>
      <c r="N1080" s="475">
        <f t="shared" si="107"/>
        <v>83916</v>
      </c>
    </row>
    <row r="1081" spans="7:14" ht="11.25" customHeight="1" x14ac:dyDescent="0.3">
      <c r="G1081" s="470"/>
      <c r="H1081" s="470">
        <v>1074</v>
      </c>
      <c r="I1081" s="455">
        <f t="shared" ca="1" si="105"/>
        <v>22875513.506801412</v>
      </c>
      <c r="J1081" s="455">
        <f t="array" ref="J1081">IFERROR(INDEX('Retirement Calculator'!K:K,MATCH('Lorri 401b'!N1081,'Retirement Calculator'!A:A,0),0),0)</f>
        <v>16520.094745597391</v>
      </c>
      <c r="K1081" s="455">
        <f t="shared" ca="1" si="103"/>
        <v>95245.805883565889</v>
      </c>
      <c r="L1081" s="455">
        <f t="shared" ca="1" si="104"/>
        <v>22954239.217939377</v>
      </c>
      <c r="M1081" s="471">
        <f t="shared" si="106"/>
        <v>0.05</v>
      </c>
      <c r="N1081" s="475">
        <f t="shared" si="107"/>
        <v>83947</v>
      </c>
    </row>
    <row r="1082" spans="7:14" ht="11.25" customHeight="1" x14ac:dyDescent="0.3">
      <c r="G1082" s="470"/>
      <c r="H1082" s="470">
        <v>1075</v>
      </c>
      <c r="I1082" s="455">
        <f t="shared" ca="1" si="105"/>
        <v>22954239.217939377</v>
      </c>
      <c r="J1082" s="455">
        <f t="array" ref="J1082">IFERROR(INDEX('Retirement Calculator'!K:K,MATCH('Lorri 401b'!N1082,'Retirement Calculator'!A:A,0),0),0)</f>
        <v>16520.094745597391</v>
      </c>
      <c r="K1082" s="455">
        <f t="shared" ca="1" si="103"/>
        <v>95573.829679974078</v>
      </c>
      <c r="L1082" s="455">
        <f t="shared" ca="1" si="104"/>
        <v>23033292.952873752</v>
      </c>
      <c r="M1082" s="471">
        <f t="shared" si="106"/>
        <v>0.05</v>
      </c>
      <c r="N1082" s="475">
        <f t="shared" si="107"/>
        <v>83977</v>
      </c>
    </row>
    <row r="1083" spans="7:14" ht="11.25" customHeight="1" x14ac:dyDescent="0.3">
      <c r="G1083" s="470"/>
      <c r="H1083" s="470">
        <v>1076</v>
      </c>
      <c r="I1083" s="455">
        <f t="shared" ca="1" si="105"/>
        <v>23033292.952873752</v>
      </c>
      <c r="J1083" s="455">
        <f t="array" ref="J1083">IFERROR(INDEX('Retirement Calculator'!K:K,MATCH('Lorri 401b'!N1083,'Retirement Calculator'!A:A,0),0),0)</f>
        <v>16520.094745597391</v>
      </c>
      <c r="K1083" s="455">
        <f t="shared" ca="1" si="103"/>
        <v>95903.220242200638</v>
      </c>
      <c r="L1083" s="455">
        <f t="shared" ca="1" si="104"/>
        <v>23112676.078370355</v>
      </c>
      <c r="M1083" s="471">
        <f t="shared" si="106"/>
        <v>0.05</v>
      </c>
      <c r="N1083" s="475">
        <f t="shared" si="107"/>
        <v>84008</v>
      </c>
    </row>
    <row r="1084" spans="7:14" ht="11.25" customHeight="1" x14ac:dyDescent="0.3">
      <c r="G1084" s="470"/>
      <c r="H1084" s="470">
        <v>1077</v>
      </c>
      <c r="I1084" s="455">
        <f t="shared" ca="1" si="105"/>
        <v>23112676.078370355</v>
      </c>
      <c r="J1084" s="455">
        <f t="array" ref="J1084">IFERROR(INDEX('Retirement Calculator'!K:K,MATCH('Lorri 401b'!N1084,'Retirement Calculator'!A:A,0),0),0)</f>
        <v>16520.094745597391</v>
      </c>
      <c r="K1084" s="455">
        <f t="shared" ca="1" si="103"/>
        <v>96233.983265103147</v>
      </c>
      <c r="L1084" s="455">
        <f t="shared" ca="1" si="104"/>
        <v>23192389.966889858</v>
      </c>
      <c r="M1084" s="471">
        <f t="shared" si="106"/>
        <v>0.05</v>
      </c>
      <c r="N1084" s="475">
        <f t="shared" si="107"/>
        <v>84039</v>
      </c>
    </row>
    <row r="1085" spans="7:14" ht="11.25" customHeight="1" x14ac:dyDescent="0.3">
      <c r="G1085" s="470"/>
      <c r="H1085" s="470">
        <v>1078</v>
      </c>
      <c r="I1085" s="455">
        <f t="shared" ca="1" si="105"/>
        <v>23192389.966889858</v>
      </c>
      <c r="J1085" s="455">
        <f t="array" ref="J1085">IFERROR(INDEX('Retirement Calculator'!K:K,MATCH('Lorri 401b'!N1085,'Retirement Calculator'!A:A,0),0),0)</f>
        <v>16520.094745597391</v>
      </c>
      <c r="K1085" s="455">
        <f t="shared" ca="1" si="103"/>
        <v>96566.124467267742</v>
      </c>
      <c r="L1085" s="455">
        <f t="shared" ca="1" si="104"/>
        <v>23272435.996611528</v>
      </c>
      <c r="M1085" s="471">
        <f t="shared" si="106"/>
        <v>0.05</v>
      </c>
      <c r="N1085" s="475">
        <f t="shared" si="107"/>
        <v>84067</v>
      </c>
    </row>
    <row r="1086" spans="7:14" ht="11.25" customHeight="1" x14ac:dyDescent="0.3">
      <c r="G1086" s="470"/>
      <c r="H1086" s="470">
        <v>1079</v>
      </c>
      <c r="I1086" s="455">
        <f t="shared" ca="1" si="105"/>
        <v>23272435.996611528</v>
      </c>
      <c r="J1086" s="455">
        <f t="array" ref="J1086">IFERROR(INDEX('Retirement Calculator'!K:K,MATCH('Lorri 401b'!N1086,'Retirement Calculator'!A:A,0),0),0)</f>
        <v>16520.094745597391</v>
      </c>
      <c r="K1086" s="455">
        <f t="shared" ca="1" si="103"/>
        <v>96899.649591108042</v>
      </c>
      <c r="L1086" s="455">
        <f t="shared" ca="1" si="104"/>
        <v>23352815.551457036</v>
      </c>
      <c r="M1086" s="471">
        <f t="shared" si="106"/>
        <v>0.05</v>
      </c>
      <c r="N1086" s="475">
        <f t="shared" si="107"/>
        <v>84098</v>
      </c>
    </row>
    <row r="1087" spans="7:14" ht="11.25" customHeight="1" x14ac:dyDescent="0.3">
      <c r="G1087" s="470"/>
      <c r="H1087" s="470">
        <v>1080</v>
      </c>
      <c r="I1087" s="455">
        <f t="shared" ca="1" si="105"/>
        <v>23352815.551457036</v>
      </c>
      <c r="J1087" s="455">
        <f t="array" ref="J1087">IFERROR(INDEX('Retirement Calculator'!K:K,MATCH('Lorri 401b'!N1087,'Retirement Calculator'!A:A,0),0),0)</f>
        <v>16520.094745597391</v>
      </c>
      <c r="K1087" s="455">
        <f t="shared" ca="1" si="103"/>
        <v>97234.564402964315</v>
      </c>
      <c r="L1087" s="455">
        <f t="shared" ca="1" si="104"/>
        <v>23433530.021114402</v>
      </c>
      <c r="M1087" s="471">
        <f t="shared" si="106"/>
        <v>0.05</v>
      </c>
      <c r="N1087" s="475">
        <f t="shared" si="107"/>
        <v>84128</v>
      </c>
    </row>
    <row r="1088" spans="7:14" ht="11.25" customHeight="1" x14ac:dyDescent="0.3">
      <c r="G1088" s="470"/>
      <c r="H1088" s="470">
        <v>1081</v>
      </c>
      <c r="I1088" s="455">
        <f t="shared" ca="1" si="105"/>
        <v>23433530.021114402</v>
      </c>
      <c r="J1088" s="455">
        <f t="array" ref="J1088">IFERROR(INDEX('Retirement Calculator'!K:K,MATCH('Lorri 401b'!N1088,'Retirement Calculator'!A:A,0),0),0)</f>
        <v>16520.094745597391</v>
      </c>
      <c r="K1088" s="455">
        <f t="shared" ca="1" si="103"/>
        <v>97570.874693203339</v>
      </c>
      <c r="L1088" s="455">
        <f t="shared" ca="1" si="104"/>
        <v>23514580.801062007</v>
      </c>
      <c r="M1088" s="471">
        <f t="shared" si="106"/>
        <v>0.05</v>
      </c>
      <c r="N1088" s="475">
        <f t="shared" si="107"/>
        <v>84159</v>
      </c>
    </row>
    <row r="1089" spans="7:14" ht="11.25" customHeight="1" x14ac:dyDescent="0.3">
      <c r="G1089" s="470"/>
      <c r="H1089" s="470">
        <v>1082</v>
      </c>
      <c r="I1089" s="455">
        <f t="shared" ca="1" si="105"/>
        <v>23514580.801062007</v>
      </c>
      <c r="J1089" s="455">
        <f t="array" ref="J1089">IFERROR(INDEX('Retirement Calculator'!K:K,MATCH('Lorri 401b'!N1089,'Retirement Calculator'!A:A,0),0),0)</f>
        <v>16520.094745597391</v>
      </c>
      <c r="K1089" s="455">
        <f t="shared" ca="1" si="103"/>
        <v>97908.586276318369</v>
      </c>
      <c r="L1089" s="455">
        <f t="shared" ca="1" si="104"/>
        <v>23595969.292592727</v>
      </c>
      <c r="M1089" s="471">
        <f t="shared" si="106"/>
        <v>0.05</v>
      </c>
      <c r="N1089" s="475">
        <f t="shared" si="107"/>
        <v>84189</v>
      </c>
    </row>
    <row r="1090" spans="7:14" ht="11.25" customHeight="1" x14ac:dyDescent="0.3">
      <c r="G1090" s="470"/>
      <c r="H1090" s="470">
        <v>1083</v>
      </c>
      <c r="I1090" s="455">
        <f t="shared" ca="1" si="105"/>
        <v>23595969.292592727</v>
      </c>
      <c r="J1090" s="455">
        <f t="array" ref="J1090">IFERROR(INDEX('Retirement Calculator'!K:K,MATCH('Lorri 401b'!N1090,'Retirement Calculator'!A:A,0),0),0)</f>
        <v>16520.094745597391</v>
      </c>
      <c r="K1090" s="455">
        <f t="shared" ca="1" si="103"/>
        <v>98247.704991029692</v>
      </c>
      <c r="L1090" s="455">
        <f t="shared" ca="1" si="104"/>
        <v>23677696.902838159</v>
      </c>
      <c r="M1090" s="471">
        <f t="shared" si="106"/>
        <v>0.05</v>
      </c>
      <c r="N1090" s="475">
        <f t="shared" si="107"/>
        <v>84220</v>
      </c>
    </row>
    <row r="1091" spans="7:14" ht="11.25" customHeight="1" x14ac:dyDescent="0.3">
      <c r="G1091" s="470"/>
      <c r="H1091" s="470">
        <v>1084</v>
      </c>
      <c r="I1091" s="455">
        <f t="shared" ca="1" si="105"/>
        <v>23677696.902838159</v>
      </c>
      <c r="J1091" s="455">
        <f t="array" ref="J1091">IFERROR(INDEX('Retirement Calculator'!K:K,MATCH('Lorri 401b'!N1091,'Retirement Calculator'!A:A,0),0),0)</f>
        <v>16520.094745597391</v>
      </c>
      <c r="K1091" s="455">
        <f t="shared" ca="1" si="103"/>
        <v>98588.236700385663</v>
      </c>
      <c r="L1091" s="455">
        <f t="shared" ca="1" si="104"/>
        <v>23759765.044792946</v>
      </c>
      <c r="M1091" s="471">
        <f t="shared" si="106"/>
        <v>0.05</v>
      </c>
      <c r="N1091" s="475">
        <f t="shared" si="107"/>
        <v>84251</v>
      </c>
    </row>
    <row r="1092" spans="7:14" ht="11.25" customHeight="1" x14ac:dyDescent="0.3">
      <c r="G1092" s="470"/>
      <c r="H1092" s="470">
        <v>1085</v>
      </c>
      <c r="I1092" s="455">
        <f t="shared" ca="1" si="105"/>
        <v>23759765.044792946</v>
      </c>
      <c r="J1092" s="455">
        <f t="array" ref="J1092">IFERROR(INDEX('Retirement Calculator'!K:K,MATCH('Lorri 401b'!N1092,'Retirement Calculator'!A:A,0),0),0)</f>
        <v>16520.094745597391</v>
      </c>
      <c r="K1092" s="455">
        <f t="shared" ca="1" si="103"/>
        <v>98930.187291863942</v>
      </c>
      <c r="L1092" s="455">
        <f t="shared" ca="1" si="104"/>
        <v>23842175.137339212</v>
      </c>
      <c r="M1092" s="471">
        <f t="shared" si="106"/>
        <v>0.05</v>
      </c>
      <c r="N1092" s="475">
        <f t="shared" si="107"/>
        <v>84281</v>
      </c>
    </row>
    <row r="1093" spans="7:14" ht="11.25" customHeight="1" x14ac:dyDescent="0.3">
      <c r="G1093" s="470"/>
      <c r="H1093" s="470">
        <v>1086</v>
      </c>
      <c r="I1093" s="455">
        <f t="shared" ca="1" si="105"/>
        <v>23842175.137339212</v>
      </c>
      <c r="J1093" s="455">
        <f t="array" ref="J1093">IFERROR(INDEX('Retirement Calculator'!K:K,MATCH('Lorri 401b'!N1093,'Retirement Calculator'!A:A,0),0),0)</f>
        <v>16520.094745597391</v>
      </c>
      <c r="K1093" s="455">
        <f t="shared" ca="1" si="103"/>
        <v>99273.562677473383</v>
      </c>
      <c r="L1093" s="455">
        <f t="shared" ca="1" si="104"/>
        <v>23924928.605271086</v>
      </c>
      <c r="M1093" s="471">
        <f t="shared" si="106"/>
        <v>0.05</v>
      </c>
      <c r="N1093" s="475">
        <f t="shared" si="107"/>
        <v>84312</v>
      </c>
    </row>
    <row r="1094" spans="7:14" ht="11.25" customHeight="1" x14ac:dyDescent="0.3">
      <c r="G1094" s="470"/>
      <c r="H1094" s="470">
        <v>1087</v>
      </c>
      <c r="I1094" s="455">
        <f t="shared" ca="1" si="105"/>
        <v>23924928.605271086</v>
      </c>
      <c r="J1094" s="455">
        <f t="array" ref="J1094">IFERROR(INDEX('Retirement Calculator'!K:K,MATCH('Lorri 401b'!N1094,'Retirement Calculator'!A:A,0),0),0)</f>
        <v>16520.094745597391</v>
      </c>
      <c r="K1094" s="455">
        <f t="shared" ca="1" si="103"/>
        <v>99618.368793856192</v>
      </c>
      <c r="L1094" s="455">
        <f t="shared" ca="1" si="104"/>
        <v>24008026.879319344</v>
      </c>
      <c r="M1094" s="471">
        <f t="shared" si="106"/>
        <v>0.05</v>
      </c>
      <c r="N1094" s="475">
        <f t="shared" si="107"/>
        <v>84342</v>
      </c>
    </row>
    <row r="1095" spans="7:14" ht="11.25" customHeight="1" x14ac:dyDescent="0.3">
      <c r="G1095" s="470"/>
      <c r="H1095" s="470">
        <v>1088</v>
      </c>
      <c r="I1095" s="455">
        <f t="shared" ca="1" si="105"/>
        <v>24008026.879319344</v>
      </c>
      <c r="J1095" s="455">
        <f t="array" ref="J1095">IFERROR(INDEX('Retirement Calculator'!K:K,MATCH('Lorri 401b'!N1095,'Retirement Calculator'!A:A,0),0),0)</f>
        <v>16520.094745597391</v>
      </c>
      <c r="K1095" s="455">
        <f t="shared" ca="1" si="103"/>
        <v>99964.611602390607</v>
      </c>
      <c r="L1095" s="455">
        <f t="shared" ca="1" si="104"/>
        <v>24091471.396176137</v>
      </c>
      <c r="M1095" s="471">
        <f t="shared" si="106"/>
        <v>0.05</v>
      </c>
      <c r="N1095" s="475">
        <f t="shared" si="107"/>
        <v>84373</v>
      </c>
    </row>
    <row r="1096" spans="7:14" ht="11.25" customHeight="1" x14ac:dyDescent="0.3">
      <c r="G1096" s="470"/>
      <c r="H1096" s="470">
        <v>1089</v>
      </c>
      <c r="I1096" s="455">
        <f t="shared" ca="1" si="105"/>
        <v>24091471.396176137</v>
      </c>
      <c r="J1096" s="455">
        <f t="array" ref="J1096">IFERROR(INDEX('Retirement Calculator'!K:K,MATCH('Lorri 401b'!N1096,'Retirement Calculator'!A:A,0),0),0)</f>
        <v>16520.094745597391</v>
      </c>
      <c r="K1096" s="455">
        <f t="shared" ca="1" si="103"/>
        <v>100312.2970892939</v>
      </c>
      <c r="L1096" s="455">
        <f t="shared" ca="1" si="104"/>
        <v>24175263.598519832</v>
      </c>
      <c r="M1096" s="471">
        <f t="shared" si="106"/>
        <v>0.05</v>
      </c>
      <c r="N1096" s="475">
        <f t="shared" si="107"/>
        <v>84404</v>
      </c>
    </row>
    <row r="1097" spans="7:14" ht="11.25" customHeight="1" x14ac:dyDescent="0.3">
      <c r="G1097" s="470"/>
      <c r="H1097" s="470">
        <v>1090</v>
      </c>
      <c r="I1097" s="455">
        <f t="shared" ca="1" si="105"/>
        <v>24175263.598519832</v>
      </c>
      <c r="J1097" s="455">
        <f t="array" ref="J1097">IFERROR(INDEX('Retirement Calculator'!K:K,MATCH('Lorri 401b'!N1097,'Retirement Calculator'!A:A,0),0),0)</f>
        <v>16520.094745597391</v>
      </c>
      <c r="K1097" s="455">
        <f t="shared" ca="1" si="103"/>
        <v>100661.43126572597</v>
      </c>
      <c r="L1097" s="455">
        <f t="shared" ca="1" si="104"/>
        <v>24259404.93503996</v>
      </c>
      <c r="M1097" s="471">
        <f t="shared" si="106"/>
        <v>0.05</v>
      </c>
      <c r="N1097" s="475">
        <f t="shared" si="107"/>
        <v>84432</v>
      </c>
    </row>
    <row r="1098" spans="7:14" ht="11.25" customHeight="1" x14ac:dyDescent="0.3">
      <c r="G1098" s="470"/>
      <c r="H1098" s="470">
        <v>1091</v>
      </c>
      <c r="I1098" s="455">
        <f t="shared" ca="1" si="105"/>
        <v>24259404.93503996</v>
      </c>
      <c r="J1098" s="455">
        <f t="array" ref="J1098">IFERROR(INDEX('Retirement Calculator'!K:K,MATCH('Lorri 401b'!N1098,'Retirement Calculator'!A:A,0),0),0)</f>
        <v>16520.094745597391</v>
      </c>
      <c r="K1098" s="455">
        <f t="shared" ca="1" si="103"/>
        <v>101012.02016789318</v>
      </c>
      <c r="L1098" s="455">
        <f t="shared" ca="1" si="104"/>
        <v>24343896.860462256</v>
      </c>
      <c r="M1098" s="471">
        <f t="shared" si="106"/>
        <v>0.05</v>
      </c>
      <c r="N1098" s="475">
        <f t="shared" si="107"/>
        <v>84463</v>
      </c>
    </row>
    <row r="1099" spans="7:14" ht="11.25" customHeight="1" x14ac:dyDescent="0.3">
      <c r="G1099" s="470"/>
      <c r="H1099" s="470">
        <v>1092</v>
      </c>
      <c r="I1099" s="455">
        <f t="shared" ca="1" si="105"/>
        <v>24343896.860462256</v>
      </c>
      <c r="J1099" s="455">
        <f t="array" ref="J1099">IFERROR(INDEX('Retirement Calculator'!K:K,MATCH('Lorri 401b'!N1099,'Retirement Calculator'!A:A,0),0),0)</f>
        <v>16520.094745597391</v>
      </c>
      <c r="K1099" s="455">
        <f t="shared" ca="1" si="103"/>
        <v>101364.06985715273</v>
      </c>
      <c r="L1099" s="455">
        <f t="shared" ca="1" si="104"/>
        <v>24428740.835573811</v>
      </c>
      <c r="M1099" s="471">
        <f t="shared" si="106"/>
        <v>0.05</v>
      </c>
      <c r="N1099" s="475">
        <f t="shared" si="107"/>
        <v>84493</v>
      </c>
    </row>
    <row r="1100" spans="7:14" ht="11.25" customHeight="1" x14ac:dyDescent="0.3">
      <c r="G1100" s="470"/>
      <c r="H1100" s="470">
        <v>1093</v>
      </c>
      <c r="I1100" s="455">
        <f t="shared" ca="1" si="105"/>
        <v>24428740.835573811</v>
      </c>
      <c r="J1100" s="455">
        <f t="array" ref="J1100">IFERROR(INDEX('Retirement Calculator'!K:K,MATCH('Lorri 401b'!N1100,'Retirement Calculator'!A:A,0),0),0)</f>
        <v>16520.094745597391</v>
      </c>
      <c r="K1100" s="455">
        <f t="shared" ca="1" si="103"/>
        <v>101717.58642011756</v>
      </c>
      <c r="L1100" s="455">
        <f t="shared" ca="1" si="104"/>
        <v>24513938.327248331</v>
      </c>
      <c r="M1100" s="471">
        <f t="shared" si="106"/>
        <v>0.05</v>
      </c>
      <c r="N1100" s="475">
        <f t="shared" si="107"/>
        <v>84524</v>
      </c>
    </row>
    <row r="1101" spans="7:14" ht="11.25" customHeight="1" x14ac:dyDescent="0.3">
      <c r="G1101" s="470"/>
      <c r="H1101" s="470">
        <v>1094</v>
      </c>
      <c r="I1101" s="455">
        <f t="shared" ca="1" si="105"/>
        <v>24513938.327248331</v>
      </c>
      <c r="J1101" s="455">
        <f t="array" ref="J1101">IFERROR(INDEX('Retirement Calculator'!K:K,MATCH('Lorri 401b'!N1101,'Retirement Calculator'!A:A,0),0),0)</f>
        <v>16520.094745597391</v>
      </c>
      <c r="K1101" s="455">
        <f t="shared" ca="1" si="103"/>
        <v>102072.57596876139</v>
      </c>
      <c r="L1101" s="455">
        <f t="shared" ca="1" si="104"/>
        <v>24599490.808471493</v>
      </c>
      <c r="M1101" s="471">
        <f t="shared" si="106"/>
        <v>0.05</v>
      </c>
      <c r="N1101" s="475">
        <f t="shared" si="107"/>
        <v>84554</v>
      </c>
    </row>
    <row r="1102" spans="7:14" ht="11.25" customHeight="1" x14ac:dyDescent="0.3">
      <c r="G1102" s="470"/>
      <c r="H1102" s="470">
        <v>1095</v>
      </c>
      <c r="I1102" s="455">
        <f t="shared" ca="1" si="105"/>
        <v>24599490.808471493</v>
      </c>
      <c r="J1102" s="455">
        <f t="array" ref="J1102">IFERROR(INDEX('Retirement Calculator'!K:K,MATCH('Lorri 401b'!N1102,'Retirement Calculator'!A:A,0),0),0)</f>
        <v>16520.094745597391</v>
      </c>
      <c r="K1102" s="455">
        <f t="shared" ca="1" si="103"/>
        <v>102429.04464052456</v>
      </c>
      <c r="L1102" s="455">
        <f t="shared" ca="1" si="104"/>
        <v>24685399.758366421</v>
      </c>
      <c r="M1102" s="471">
        <f t="shared" si="106"/>
        <v>0.05</v>
      </c>
      <c r="N1102" s="475">
        <f t="shared" si="107"/>
        <v>84585</v>
      </c>
    </row>
    <row r="1103" spans="7:14" ht="11.25" customHeight="1" x14ac:dyDescent="0.3">
      <c r="G1103" s="470"/>
      <c r="H1103" s="470">
        <v>1096</v>
      </c>
      <c r="I1103" s="455">
        <f t="shared" ca="1" si="105"/>
        <v>24685399.758366421</v>
      </c>
      <c r="J1103" s="455">
        <f t="array" ref="J1103">IFERROR(INDEX('Retirement Calculator'!K:K,MATCH('Lorri 401b'!N1103,'Retirement Calculator'!A:A,0),0),0)</f>
        <v>16520.094745597391</v>
      </c>
      <c r="K1103" s="455">
        <f t="shared" ca="1" si="103"/>
        <v>102786.99859842009</v>
      </c>
      <c r="L1103" s="455">
        <f t="shared" ca="1" si="104"/>
        <v>24771666.662219241</v>
      </c>
      <c r="M1103" s="471">
        <f t="shared" si="106"/>
        <v>0.05</v>
      </c>
      <c r="N1103" s="475">
        <f t="shared" si="107"/>
        <v>84616</v>
      </c>
    </row>
    <row r="1104" spans="7:14" ht="11.25" customHeight="1" x14ac:dyDescent="0.3">
      <c r="G1104" s="470"/>
      <c r="H1104" s="470">
        <v>1097</v>
      </c>
      <c r="I1104" s="455">
        <f t="shared" ca="1" si="105"/>
        <v>24771666.662219241</v>
      </c>
      <c r="J1104" s="455">
        <f t="array" ref="J1104">IFERROR(INDEX('Retirement Calculator'!K:K,MATCH('Lorri 401b'!N1104,'Retirement Calculator'!A:A,0),0),0)</f>
        <v>16520.094745597391</v>
      </c>
      <c r="K1104" s="455">
        <f t="shared" ca="1" si="103"/>
        <v>103146.44403114017</v>
      </c>
      <c r="L1104" s="455">
        <f t="shared" ca="1" si="104"/>
        <v>24858293.011504784</v>
      </c>
      <c r="M1104" s="471">
        <f t="shared" si="106"/>
        <v>0.05</v>
      </c>
      <c r="N1104" s="475">
        <f t="shared" si="107"/>
        <v>84646</v>
      </c>
    </row>
    <row r="1105" spans="7:14" ht="11.25" customHeight="1" x14ac:dyDescent="0.3">
      <c r="G1105" s="470"/>
      <c r="H1105" s="470">
        <v>1098</v>
      </c>
      <c r="I1105" s="455">
        <f t="shared" ca="1" si="105"/>
        <v>24858293.011504784</v>
      </c>
      <c r="J1105" s="455">
        <f t="array" ref="J1105">IFERROR(INDEX('Retirement Calculator'!K:K,MATCH('Lorri 401b'!N1105,'Retirement Calculator'!A:A,0),0),0)</f>
        <v>16520.094745597391</v>
      </c>
      <c r="K1105" s="455">
        <f t="shared" ca="1" si="103"/>
        <v>103507.38715316328</v>
      </c>
      <c r="L1105" s="455">
        <f t="shared" ca="1" si="104"/>
        <v>24945280.303912349</v>
      </c>
      <c r="M1105" s="471">
        <f t="shared" si="106"/>
        <v>0.05</v>
      </c>
      <c r="N1105" s="475">
        <f t="shared" si="107"/>
        <v>84677</v>
      </c>
    </row>
    <row r="1106" spans="7:14" ht="11.25" customHeight="1" x14ac:dyDescent="0.3">
      <c r="G1106" s="470"/>
      <c r="H1106" s="470">
        <v>1099</v>
      </c>
      <c r="I1106" s="455">
        <f t="shared" ca="1" si="105"/>
        <v>24945280.303912349</v>
      </c>
      <c r="J1106" s="455">
        <f t="array" ref="J1106">IFERROR(INDEX('Retirement Calculator'!K:K,MATCH('Lorri 401b'!N1106,'Retirement Calculator'!A:A,0),0),0)</f>
        <v>16520.094745597391</v>
      </c>
      <c r="K1106" s="455">
        <f t="shared" ca="1" si="103"/>
        <v>103869.83420486146</v>
      </c>
      <c r="L1106" s="455">
        <f t="shared" ca="1" si="104"/>
        <v>25032630.04337161</v>
      </c>
      <c r="M1106" s="471">
        <f t="shared" si="106"/>
        <v>0.05</v>
      </c>
      <c r="N1106" s="475">
        <f t="shared" si="107"/>
        <v>84707</v>
      </c>
    </row>
    <row r="1107" spans="7:14" ht="11.25" customHeight="1" x14ac:dyDescent="0.3">
      <c r="G1107" s="470"/>
      <c r="H1107" s="470">
        <v>1100</v>
      </c>
      <c r="I1107" s="455">
        <f t="shared" ca="1" si="105"/>
        <v>25032630.04337161</v>
      </c>
      <c r="J1107" s="455">
        <f t="array" ref="J1107">IFERROR(INDEX('Retirement Calculator'!K:K,MATCH('Lorri 401b'!N1107,'Retirement Calculator'!A:A,0),0),0)</f>
        <v>16520.094745597391</v>
      </c>
      <c r="K1107" s="455">
        <f t="shared" ca="1" si="103"/>
        <v>104233.79145260838</v>
      </c>
      <c r="L1107" s="455">
        <f t="shared" ca="1" si="104"/>
        <v>25120343.740078621</v>
      </c>
      <c r="M1107" s="471">
        <f t="shared" si="106"/>
        <v>0.05</v>
      </c>
      <c r="N1107" s="475">
        <f t="shared" si="107"/>
        <v>84738</v>
      </c>
    </row>
    <row r="1108" spans="7:14" ht="11.25" customHeight="1" x14ac:dyDescent="0.3">
      <c r="G1108" s="470"/>
      <c r="H1108" s="470">
        <v>1101</v>
      </c>
      <c r="I1108" s="455">
        <f t="shared" ca="1" si="105"/>
        <v>25120343.740078621</v>
      </c>
      <c r="J1108" s="455">
        <f t="array" ref="J1108">IFERROR(INDEX('Retirement Calculator'!K:K,MATCH('Lorri 401b'!N1108,'Retirement Calculator'!A:A,0),0),0)</f>
        <v>16520.094745597391</v>
      </c>
      <c r="K1108" s="455">
        <f t="shared" ca="1" si="103"/>
        <v>104599.26518888758</v>
      </c>
      <c r="L1108" s="455">
        <f t="shared" ca="1" si="104"/>
        <v>25208422.91052191</v>
      </c>
      <c r="M1108" s="471">
        <f t="shared" si="106"/>
        <v>0.05</v>
      </c>
      <c r="N1108" s="475">
        <f t="shared" si="107"/>
        <v>84769</v>
      </c>
    </row>
    <row r="1109" spans="7:14" ht="11.25" customHeight="1" x14ac:dyDescent="0.3">
      <c r="G1109" s="470"/>
      <c r="H1109" s="470">
        <v>1102</v>
      </c>
      <c r="I1109" s="455">
        <f t="shared" ca="1" si="105"/>
        <v>25208422.91052191</v>
      </c>
      <c r="J1109" s="455">
        <f t="array" ref="J1109">IFERROR(INDEX('Retirement Calculator'!K:K,MATCH('Lorri 401b'!N1109,'Retirement Calculator'!A:A,0),0),0)</f>
        <v>16520.094745597391</v>
      </c>
      <c r="K1109" s="455">
        <f t="shared" ca="1" si="103"/>
        <v>104966.2617324013</v>
      </c>
      <c r="L1109" s="455">
        <f t="shared" ca="1" si="104"/>
        <v>25296869.07750871</v>
      </c>
      <c r="M1109" s="471">
        <f t="shared" si="106"/>
        <v>0.05</v>
      </c>
      <c r="N1109" s="475">
        <f t="shared" si="107"/>
        <v>84798</v>
      </c>
    </row>
    <row r="1110" spans="7:14" ht="11.25" customHeight="1" x14ac:dyDescent="0.3">
      <c r="G1110" s="470"/>
      <c r="H1110" s="470">
        <v>1103</v>
      </c>
      <c r="I1110" s="455">
        <f t="shared" ca="1" si="105"/>
        <v>25296869.07750871</v>
      </c>
      <c r="J1110" s="455">
        <f t="array" ref="J1110">IFERROR(INDEX('Retirement Calculator'!K:K,MATCH('Lorri 401b'!N1110,'Retirement Calculator'!A:A,0),0),0)</f>
        <v>16520.094745597391</v>
      </c>
      <c r="K1110" s="455">
        <f t="shared" ca="1" si="103"/>
        <v>105334.78742817962</v>
      </c>
      <c r="L1110" s="455">
        <f t="shared" ca="1" si="104"/>
        <v>25385683.770191289</v>
      </c>
      <c r="M1110" s="471">
        <f t="shared" si="106"/>
        <v>0.05</v>
      </c>
      <c r="N1110" s="475">
        <f t="shared" si="107"/>
        <v>84829</v>
      </c>
    </row>
    <row r="1111" spans="7:14" ht="11.25" customHeight="1" x14ac:dyDescent="0.3">
      <c r="G1111" s="470"/>
      <c r="H1111" s="470">
        <v>1104</v>
      </c>
      <c r="I1111" s="455">
        <f t="shared" ca="1" si="105"/>
        <v>25385683.770191289</v>
      </c>
      <c r="J1111" s="455">
        <f t="array" ref="J1111">IFERROR(INDEX('Retirement Calculator'!K:K,MATCH('Lorri 401b'!N1111,'Retirement Calculator'!A:A,0),0),0)</f>
        <v>16520.094745597391</v>
      </c>
      <c r="K1111" s="455">
        <f t="shared" ca="1" si="103"/>
        <v>105704.84864769038</v>
      </c>
      <c r="L1111" s="455">
        <f t="shared" ca="1" si="104"/>
        <v>25474868.524093382</v>
      </c>
      <c r="M1111" s="471">
        <f t="shared" si="106"/>
        <v>0.05</v>
      </c>
      <c r="N1111" s="475">
        <f t="shared" si="107"/>
        <v>84859</v>
      </c>
    </row>
    <row r="1112" spans="7:14" ht="11.25" customHeight="1" x14ac:dyDescent="0.3">
      <c r="G1112" s="470"/>
      <c r="H1112" s="470">
        <v>1105</v>
      </c>
      <c r="I1112" s="455">
        <f t="shared" ca="1" si="105"/>
        <v>25474868.524093382</v>
      </c>
      <c r="J1112" s="455">
        <f t="array" ref="J1112">IFERROR(INDEX('Retirement Calculator'!K:K,MATCH('Lorri 401b'!N1112,'Retirement Calculator'!A:A,0),0),0)</f>
        <v>16520.094745597391</v>
      </c>
      <c r="K1112" s="455">
        <f t="shared" ca="1" si="103"/>
        <v>106076.4517889491</v>
      </c>
      <c r="L1112" s="455">
        <f t="shared" ca="1" si="104"/>
        <v>25564424.881136734</v>
      </c>
      <c r="M1112" s="471">
        <f t="shared" si="106"/>
        <v>0.05</v>
      </c>
      <c r="N1112" s="475">
        <f t="shared" si="107"/>
        <v>84890</v>
      </c>
    </row>
    <row r="1113" spans="7:14" ht="11.25" customHeight="1" x14ac:dyDescent="0.3">
      <c r="G1113" s="470"/>
      <c r="H1113" s="470">
        <v>1106</v>
      </c>
      <c r="I1113" s="455">
        <f t="shared" ca="1" si="105"/>
        <v>25564424.881136734</v>
      </c>
      <c r="J1113" s="455">
        <f t="array" ref="J1113">IFERROR(INDEX('Retirement Calculator'!K:K,MATCH('Lorri 401b'!N1113,'Retirement Calculator'!A:A,0),0),0)</f>
        <v>16520.094745597391</v>
      </c>
      <c r="K1113" s="455">
        <f t="shared" ca="1" si="103"/>
        <v>106449.60327662973</v>
      </c>
      <c r="L1113" s="455">
        <f t="shared" ca="1" si="104"/>
        <v>25654354.389667764</v>
      </c>
      <c r="M1113" s="471">
        <f t="shared" si="106"/>
        <v>0.05</v>
      </c>
      <c r="N1113" s="475">
        <f t="shared" si="107"/>
        <v>84920</v>
      </c>
    </row>
    <row r="1114" spans="7:14" ht="11.25" customHeight="1" x14ac:dyDescent="0.3">
      <c r="G1114" s="470"/>
      <c r="H1114" s="470">
        <v>1107</v>
      </c>
      <c r="I1114" s="455">
        <f t="shared" ca="1" si="105"/>
        <v>25654354.389667764</v>
      </c>
      <c r="J1114" s="455">
        <f t="array" ref="J1114">IFERROR(INDEX('Retirement Calculator'!K:K,MATCH('Lorri 401b'!N1114,'Retirement Calculator'!A:A,0),0),0)</f>
        <v>16520.094745597391</v>
      </c>
      <c r="K1114" s="455">
        <f t="shared" ca="1" si="103"/>
        <v>106824.30956217569</v>
      </c>
      <c r="L1114" s="455">
        <f t="shared" ca="1" si="104"/>
        <v>25744658.604484342</v>
      </c>
      <c r="M1114" s="471">
        <f t="shared" si="106"/>
        <v>0.05</v>
      </c>
      <c r="N1114" s="475">
        <f t="shared" si="107"/>
        <v>84951</v>
      </c>
    </row>
    <row r="1115" spans="7:14" ht="11.25" customHeight="1" x14ac:dyDescent="0.3">
      <c r="G1115" s="470"/>
      <c r="H1115" s="470">
        <v>1108</v>
      </c>
      <c r="I1115" s="455">
        <f t="shared" ca="1" si="105"/>
        <v>25744658.604484342</v>
      </c>
      <c r="J1115" s="455">
        <f t="array" ref="J1115">IFERROR(INDEX('Retirement Calculator'!K:K,MATCH('Lorri 401b'!N1115,'Retirement Calculator'!A:A,0),0),0)</f>
        <v>16520.094745597391</v>
      </c>
      <c r="K1115" s="455">
        <f t="shared" ca="1" si="103"/>
        <v>107200.57712391143</v>
      </c>
      <c r="L1115" s="455">
        <f t="shared" ca="1" si="104"/>
        <v>25835339.086862653</v>
      </c>
      <c r="M1115" s="471">
        <f t="shared" si="106"/>
        <v>0.05</v>
      </c>
      <c r="N1115" s="475">
        <f t="shared" si="107"/>
        <v>84982</v>
      </c>
    </row>
    <row r="1116" spans="7:14" ht="11.25" customHeight="1" x14ac:dyDescent="0.3">
      <c r="G1116" s="470"/>
      <c r="H1116" s="470">
        <v>1109</v>
      </c>
      <c r="I1116" s="455">
        <f t="shared" ca="1" si="105"/>
        <v>25835339.086862653</v>
      </c>
      <c r="J1116" s="455">
        <f t="array" ref="J1116">IFERROR(INDEX('Retirement Calculator'!K:K,MATCH('Lorri 401b'!N1116,'Retirement Calculator'!A:A,0),0),0)</f>
        <v>16520.094745597391</v>
      </c>
      <c r="K1116" s="455">
        <f t="shared" ca="1" si="103"/>
        <v>107578.4124671544</v>
      </c>
      <c r="L1116" s="455">
        <f t="shared" ca="1" si="104"/>
        <v>25926397.40458421</v>
      </c>
      <c r="M1116" s="471">
        <f t="shared" si="106"/>
        <v>0.05</v>
      </c>
      <c r="N1116" s="475">
        <f t="shared" si="107"/>
        <v>85012</v>
      </c>
    </row>
    <row r="1117" spans="7:14" ht="11.25" customHeight="1" x14ac:dyDescent="0.3">
      <c r="G1117" s="470"/>
      <c r="H1117" s="470">
        <v>1110</v>
      </c>
      <c r="I1117" s="455">
        <f t="shared" ca="1" si="105"/>
        <v>25926397.40458421</v>
      </c>
      <c r="J1117" s="455">
        <f t="array" ref="J1117">IFERROR(INDEX('Retirement Calculator'!K:K,MATCH('Lorri 401b'!N1117,'Retirement Calculator'!A:A,0),0),0)</f>
        <v>16520.094745597391</v>
      </c>
      <c r="K1117" s="455">
        <f t="shared" ca="1" si="103"/>
        <v>107957.82212432755</v>
      </c>
      <c r="L1117" s="455">
        <f t="shared" ca="1" si="104"/>
        <v>26017835.13196294</v>
      </c>
      <c r="M1117" s="471">
        <f t="shared" si="106"/>
        <v>0.05</v>
      </c>
      <c r="N1117" s="475">
        <f t="shared" si="107"/>
        <v>85043</v>
      </c>
    </row>
    <row r="1118" spans="7:14" ht="11.25" customHeight="1" x14ac:dyDescent="0.3">
      <c r="G1118" s="470"/>
      <c r="H1118" s="470">
        <v>1111</v>
      </c>
      <c r="I1118" s="455">
        <f t="shared" ca="1" si="105"/>
        <v>26017835.13196294</v>
      </c>
      <c r="J1118" s="455">
        <f t="array" ref="J1118">IFERROR(INDEX('Retirement Calculator'!K:K,MATCH('Lorri 401b'!N1118,'Retirement Calculator'!A:A,0),0),0)</f>
        <v>16520.094745597391</v>
      </c>
      <c r="K1118" s="455">
        <f t="shared" ca="1" si="103"/>
        <v>108338.81265507225</v>
      </c>
      <c r="L1118" s="455">
        <f t="shared" ca="1" si="104"/>
        <v>26109653.849872414</v>
      </c>
      <c r="M1118" s="471">
        <f t="shared" si="106"/>
        <v>0.05</v>
      </c>
      <c r="N1118" s="475">
        <f t="shared" si="107"/>
        <v>85073</v>
      </c>
    </row>
    <row r="1119" spans="7:14" ht="11.25" customHeight="1" x14ac:dyDescent="0.3">
      <c r="G1119" s="470"/>
      <c r="H1119" s="470">
        <v>1112</v>
      </c>
      <c r="I1119" s="455">
        <f t="shared" ca="1" si="105"/>
        <v>26109653.849872414</v>
      </c>
      <c r="J1119" s="455">
        <f t="array" ref="J1119">IFERROR(INDEX('Retirement Calculator'!K:K,MATCH('Lorri 401b'!N1119,'Retirement Calculator'!A:A,0),0),0)</f>
        <v>16520.094745597391</v>
      </c>
      <c r="K1119" s="455">
        <f t="shared" ca="1" si="103"/>
        <v>108721.39064636173</v>
      </c>
      <c r="L1119" s="455">
        <f t="shared" ca="1" si="104"/>
        <v>26201855.145773176</v>
      </c>
      <c r="M1119" s="471">
        <f t="shared" si="106"/>
        <v>0.05</v>
      </c>
      <c r="N1119" s="475">
        <f t="shared" si="107"/>
        <v>85104</v>
      </c>
    </row>
    <row r="1120" spans="7:14" ht="11.25" customHeight="1" x14ac:dyDescent="0.3">
      <c r="G1120" s="470"/>
      <c r="H1120" s="470">
        <v>1113</v>
      </c>
      <c r="I1120" s="455">
        <f t="shared" ca="1" si="105"/>
        <v>26201855.145773176</v>
      </c>
      <c r="J1120" s="455">
        <f t="array" ref="J1120">IFERROR(INDEX('Retirement Calculator'!K:K,MATCH('Lorri 401b'!N1120,'Retirement Calculator'!A:A,0),0),0)</f>
        <v>16520.094745597391</v>
      </c>
      <c r="K1120" s="455">
        <f t="shared" ca="1" si="103"/>
        <v>109105.56271261489</v>
      </c>
      <c r="L1120" s="455">
        <f t="shared" ca="1" si="104"/>
        <v>26294440.613740191</v>
      </c>
      <c r="M1120" s="471">
        <f t="shared" si="106"/>
        <v>0.05</v>
      </c>
      <c r="N1120" s="475">
        <f t="shared" si="107"/>
        <v>85135</v>
      </c>
    </row>
    <row r="1121" spans="7:14" ht="11.25" customHeight="1" x14ac:dyDescent="0.3">
      <c r="G1121" s="470"/>
      <c r="H1121" s="470">
        <v>1114</v>
      </c>
      <c r="I1121" s="455">
        <f t="shared" ca="1" si="105"/>
        <v>26294440.613740191</v>
      </c>
      <c r="J1121" s="455">
        <f t="array" ref="J1121">IFERROR(INDEX('Retirement Calculator'!K:K,MATCH('Lorri 401b'!N1121,'Retirement Calculator'!A:A,0),0),0)</f>
        <v>16520.094745597391</v>
      </c>
      <c r="K1121" s="455">
        <f t="shared" ca="1" si="103"/>
        <v>109491.3354958108</v>
      </c>
      <c r="L1121" s="455">
        <f t="shared" ca="1" si="104"/>
        <v>26387411.854490403</v>
      </c>
      <c r="M1121" s="471">
        <f t="shared" si="106"/>
        <v>0.05</v>
      </c>
      <c r="N1121" s="475">
        <f t="shared" si="107"/>
        <v>85163</v>
      </c>
    </row>
    <row r="1122" spans="7:14" ht="11.25" customHeight="1" x14ac:dyDescent="0.3">
      <c r="G1122" s="470"/>
      <c r="H1122" s="470">
        <v>1115</v>
      </c>
      <c r="I1122" s="455">
        <f t="shared" ca="1" si="105"/>
        <v>26387411.854490403</v>
      </c>
      <c r="J1122" s="455">
        <f t="array" ref="J1122">IFERROR(INDEX('Retirement Calculator'!K:K,MATCH('Lorri 401b'!N1122,'Retirement Calculator'!A:A,0),0),0)</f>
        <v>16520.094745597391</v>
      </c>
      <c r="K1122" s="455">
        <f t="shared" ca="1" si="103"/>
        <v>109878.71566560336</v>
      </c>
      <c r="L1122" s="455">
        <f t="shared" ca="1" si="104"/>
        <v>26480770.475410409</v>
      </c>
      <c r="M1122" s="471">
        <f t="shared" si="106"/>
        <v>0.05</v>
      </c>
      <c r="N1122" s="475">
        <f t="shared" si="107"/>
        <v>85194</v>
      </c>
    </row>
    <row r="1123" spans="7:14" ht="11.25" customHeight="1" x14ac:dyDescent="0.3">
      <c r="G1123" s="470"/>
      <c r="H1123" s="470">
        <v>1116</v>
      </c>
      <c r="I1123" s="455">
        <f t="shared" ca="1" si="105"/>
        <v>26480770.475410409</v>
      </c>
      <c r="J1123" s="455">
        <f t="array" ref="J1123">IFERROR(INDEX('Retirement Calculator'!K:K,MATCH('Lorri 401b'!N1123,'Retirement Calculator'!A:A,0),0),0)</f>
        <v>16520.094745597391</v>
      </c>
      <c r="K1123" s="455">
        <f t="shared" ca="1" si="103"/>
        <v>110267.7099194367</v>
      </c>
      <c r="L1123" s="455">
        <f t="shared" ca="1" si="104"/>
        <v>26574518.090584248</v>
      </c>
      <c r="M1123" s="471">
        <f t="shared" si="106"/>
        <v>0.05</v>
      </c>
      <c r="N1123" s="475">
        <f t="shared" si="107"/>
        <v>85224</v>
      </c>
    </row>
    <row r="1124" spans="7:14" ht="11.25" customHeight="1" x14ac:dyDescent="0.3">
      <c r="G1124" s="470"/>
      <c r="H1124" s="470">
        <v>1117</v>
      </c>
      <c r="I1124" s="455">
        <f t="shared" ca="1" si="105"/>
        <v>26574518.090584248</v>
      </c>
      <c r="J1124" s="455">
        <f t="array" ref="J1124">IFERROR(INDEX('Retirement Calculator'!K:K,MATCH('Lorri 401b'!N1124,'Retirement Calculator'!A:A,0),0),0)</f>
        <v>16520.094745597391</v>
      </c>
      <c r="K1124" s="455">
        <f t="shared" ca="1" si="103"/>
        <v>110658.32498266104</v>
      </c>
      <c r="L1124" s="455">
        <f t="shared" ca="1" si="104"/>
        <v>26668656.320821311</v>
      </c>
      <c r="M1124" s="471">
        <f t="shared" si="106"/>
        <v>0.05</v>
      </c>
      <c r="N1124" s="475">
        <f t="shared" si="107"/>
        <v>85255</v>
      </c>
    </row>
    <row r="1125" spans="7:14" ht="11.25" customHeight="1" x14ac:dyDescent="0.3">
      <c r="G1125" s="470"/>
      <c r="H1125" s="470">
        <v>1118</v>
      </c>
      <c r="I1125" s="455">
        <f t="shared" ca="1" si="105"/>
        <v>26668656.320821311</v>
      </c>
      <c r="J1125" s="455">
        <f t="array" ref="J1125">IFERROR(INDEX('Retirement Calculator'!K:K,MATCH('Lorri 401b'!N1125,'Retirement Calculator'!A:A,0),0),0)</f>
        <v>16520.094745597391</v>
      </c>
      <c r="K1125" s="455">
        <f t="shared" ca="1" si="103"/>
        <v>111050.56760864881</v>
      </c>
      <c r="L1125" s="455">
        <f t="shared" ca="1" si="104"/>
        <v>26763186.79368436</v>
      </c>
      <c r="M1125" s="471">
        <f t="shared" si="106"/>
        <v>0.05</v>
      </c>
      <c r="N1125" s="475">
        <f t="shared" si="107"/>
        <v>85285</v>
      </c>
    </row>
    <row r="1126" spans="7:14" ht="11.25" customHeight="1" x14ac:dyDescent="0.3">
      <c r="G1126" s="470"/>
      <c r="H1126" s="470">
        <v>1119</v>
      </c>
      <c r="I1126" s="455">
        <f t="shared" ca="1" si="105"/>
        <v>26763186.79368436</v>
      </c>
      <c r="J1126" s="455">
        <f t="array" ref="J1126">IFERROR(INDEX('Retirement Calculator'!K:K,MATCH('Lorri 401b'!N1126,'Retirement Calculator'!A:A,0),0),0)</f>
        <v>16520.094745597391</v>
      </c>
      <c r="K1126" s="455">
        <f t="shared" ca="1" si="103"/>
        <v>111444.4445789115</v>
      </c>
      <c r="L1126" s="455">
        <f t="shared" ca="1" si="104"/>
        <v>26858111.143517673</v>
      </c>
      <c r="M1126" s="471">
        <f t="shared" si="106"/>
        <v>0.05</v>
      </c>
      <c r="N1126" s="475">
        <f t="shared" si="107"/>
        <v>85316</v>
      </c>
    </row>
    <row r="1127" spans="7:14" ht="11.25" customHeight="1" x14ac:dyDescent="0.3">
      <c r="G1127" s="470"/>
      <c r="H1127" s="470">
        <v>1120</v>
      </c>
      <c r="I1127" s="455">
        <f t="shared" ca="1" si="105"/>
        <v>26858111.143517673</v>
      </c>
      <c r="J1127" s="455">
        <f t="array" ref="J1127">IFERROR(INDEX('Retirement Calculator'!K:K,MATCH('Lorri 401b'!N1127,'Retirement Calculator'!A:A,0),0),0)</f>
        <v>16520.094745597391</v>
      </c>
      <c r="K1127" s="455">
        <f t="shared" ca="1" si="103"/>
        <v>111839.96270321695</v>
      </c>
      <c r="L1127" s="455">
        <f t="shared" ca="1" si="104"/>
        <v>26953431.011475291</v>
      </c>
      <c r="M1127" s="471">
        <f t="shared" si="106"/>
        <v>0.05</v>
      </c>
      <c r="N1127" s="475">
        <f t="shared" si="107"/>
        <v>85347</v>
      </c>
    </row>
    <row r="1128" spans="7:14" ht="11.25" customHeight="1" x14ac:dyDescent="0.3">
      <c r="G1128" s="470"/>
      <c r="H1128" s="470">
        <v>1121</v>
      </c>
      <c r="I1128" s="455">
        <f t="shared" ca="1" si="105"/>
        <v>26953431.011475291</v>
      </c>
      <c r="J1128" s="455">
        <f t="array" ref="J1128">IFERROR(INDEX('Retirement Calculator'!K:K,MATCH('Lorri 401b'!N1128,'Retirement Calculator'!A:A,0),0),0)</f>
        <v>16520.094745597391</v>
      </c>
      <c r="K1128" s="455">
        <f t="shared" ca="1" si="103"/>
        <v>112237.12881970705</v>
      </c>
      <c r="L1128" s="455">
        <f t="shared" ca="1" si="104"/>
        <v>27049148.0455494</v>
      </c>
      <c r="M1128" s="471">
        <f t="shared" si="106"/>
        <v>0.05</v>
      </c>
      <c r="N1128" s="475">
        <f t="shared" si="107"/>
        <v>85377</v>
      </c>
    </row>
    <row r="1129" spans="7:14" ht="11.25" customHeight="1" x14ac:dyDescent="0.3">
      <c r="G1129" s="470"/>
      <c r="H1129" s="470">
        <v>1122</v>
      </c>
      <c r="I1129" s="455">
        <f t="shared" ca="1" si="105"/>
        <v>27049148.0455494</v>
      </c>
      <c r="J1129" s="455">
        <f t="array" ref="J1129">IFERROR(INDEX('Retirement Calculator'!K:K,MATCH('Lorri 401b'!N1129,'Retirement Calculator'!A:A,0),0),0)</f>
        <v>16520.094745597391</v>
      </c>
      <c r="K1129" s="455">
        <f t="shared" ca="1" si="103"/>
        <v>112635.94979501585</v>
      </c>
      <c r="L1129" s="455">
        <f t="shared" ca="1" si="104"/>
        <v>27145263.900598817</v>
      </c>
      <c r="M1129" s="471">
        <f t="shared" si="106"/>
        <v>0.05</v>
      </c>
      <c r="N1129" s="475">
        <f t="shared" si="107"/>
        <v>85408</v>
      </c>
    </row>
    <row r="1130" spans="7:14" ht="11.25" customHeight="1" x14ac:dyDescent="0.3">
      <c r="G1130" s="470"/>
      <c r="H1130" s="470">
        <v>1123</v>
      </c>
      <c r="I1130" s="455">
        <f t="shared" ca="1" si="105"/>
        <v>27145263.900598817</v>
      </c>
      <c r="J1130" s="455">
        <f t="array" ref="J1130">IFERROR(INDEX('Retirement Calculator'!K:K,MATCH('Lorri 401b'!N1130,'Retirement Calculator'!A:A,0),0),0)</f>
        <v>16520.094745597391</v>
      </c>
      <c r="K1130" s="455">
        <f t="shared" ca="1" si="103"/>
        <v>113036.43252438839</v>
      </c>
      <c r="L1130" s="455">
        <f t="shared" ca="1" si="104"/>
        <v>27241780.238377605</v>
      </c>
      <c r="M1130" s="471">
        <f t="shared" si="106"/>
        <v>0.05</v>
      </c>
      <c r="N1130" s="475">
        <f t="shared" si="107"/>
        <v>85438</v>
      </c>
    </row>
    <row r="1131" spans="7:14" ht="11.25" customHeight="1" x14ac:dyDescent="0.3">
      <c r="G1131" s="470"/>
      <c r="H1131" s="470">
        <v>1124</v>
      </c>
      <c r="I1131" s="455">
        <f t="shared" ca="1" si="105"/>
        <v>27241780.238377605</v>
      </c>
      <c r="J1131" s="455">
        <f t="array" ref="J1131">IFERROR(INDEX('Retirement Calculator'!K:K,MATCH('Lorri 401b'!N1131,'Retirement Calculator'!A:A,0),0),0)</f>
        <v>16520.094745597391</v>
      </c>
      <c r="K1131" s="455">
        <f t="shared" ca="1" si="103"/>
        <v>113438.58393180002</v>
      </c>
      <c r="L1131" s="455">
        <f t="shared" ca="1" si="104"/>
        <v>27338698.727563806</v>
      </c>
      <c r="M1131" s="471">
        <f t="shared" si="106"/>
        <v>0.05</v>
      </c>
      <c r="N1131" s="475">
        <f t="shared" si="107"/>
        <v>85469</v>
      </c>
    </row>
    <row r="1132" spans="7:14" ht="11.25" customHeight="1" x14ac:dyDescent="0.3">
      <c r="G1132" s="470"/>
      <c r="H1132" s="470">
        <v>1125</v>
      </c>
      <c r="I1132" s="455">
        <f t="shared" ca="1" si="105"/>
        <v>27338698.727563806</v>
      </c>
      <c r="J1132" s="455">
        <f t="array" ref="J1132">IFERROR(INDEX('Retirement Calculator'!K:K,MATCH('Lorri 401b'!N1132,'Retirement Calculator'!A:A,0),0),0)</f>
        <v>16520.094745597391</v>
      </c>
      <c r="K1132" s="455">
        <f t="shared" ca="1" si="103"/>
        <v>113842.41097007586</v>
      </c>
      <c r="L1132" s="455">
        <f t="shared" ca="1" si="104"/>
        <v>27436021.043788284</v>
      </c>
      <c r="M1132" s="471">
        <f t="shared" si="106"/>
        <v>0.05</v>
      </c>
      <c r="N1132" s="475">
        <f t="shared" si="107"/>
        <v>85500</v>
      </c>
    </row>
    <row r="1133" spans="7:14" ht="11.25" customHeight="1" x14ac:dyDescent="0.3">
      <c r="G1133" s="470"/>
      <c r="H1133" s="470">
        <v>1126</v>
      </c>
      <c r="I1133" s="455">
        <f t="shared" ca="1" si="105"/>
        <v>27436021.043788284</v>
      </c>
      <c r="J1133" s="455">
        <f t="array" ref="J1133">IFERROR(INDEX('Retirement Calculator'!K:K,MATCH('Lorri 401b'!N1133,'Retirement Calculator'!A:A,0),0),0)</f>
        <v>16520.094745597391</v>
      </c>
      <c r="K1133" s="455">
        <f t="shared" ca="1" si="103"/>
        <v>114247.92062101119</v>
      </c>
      <c r="L1133" s="455">
        <f t="shared" ca="1" si="104"/>
        <v>27533748.869663697</v>
      </c>
      <c r="M1133" s="471">
        <f t="shared" si="106"/>
        <v>0.05</v>
      </c>
      <c r="N1133" s="475">
        <f t="shared" si="107"/>
        <v>85528</v>
      </c>
    </row>
    <row r="1134" spans="7:14" ht="11.25" customHeight="1" x14ac:dyDescent="0.3">
      <c r="G1134" s="470"/>
      <c r="H1134" s="470">
        <v>1127</v>
      </c>
      <c r="I1134" s="455">
        <f t="shared" ca="1" si="105"/>
        <v>27533748.869663697</v>
      </c>
      <c r="J1134" s="455">
        <f t="array" ref="J1134">IFERROR(INDEX('Retirement Calculator'!K:K,MATCH('Lorri 401b'!N1134,'Retirement Calculator'!A:A,0),0),0)</f>
        <v>16520.094745597391</v>
      </c>
      <c r="K1134" s="455">
        <f t="shared" ca="1" si="103"/>
        <v>114655.11989549207</v>
      </c>
      <c r="L1134" s="455">
        <f t="shared" ca="1" si="104"/>
        <v>27631883.89481359</v>
      </c>
      <c r="M1134" s="471">
        <f t="shared" si="106"/>
        <v>0.05</v>
      </c>
      <c r="N1134" s="475">
        <f t="shared" si="107"/>
        <v>85559</v>
      </c>
    </row>
    <row r="1135" spans="7:14" ht="11.25" customHeight="1" x14ac:dyDescent="0.3">
      <c r="G1135" s="470"/>
      <c r="H1135" s="470">
        <v>1128</v>
      </c>
      <c r="I1135" s="455">
        <f t="shared" ca="1" si="105"/>
        <v>27631883.89481359</v>
      </c>
      <c r="J1135" s="455">
        <f t="array" ref="J1135">IFERROR(INDEX('Retirement Calculator'!K:K,MATCH('Lorri 401b'!N1135,'Retirement Calculator'!A:A,0),0),0)</f>
        <v>16520.094745597391</v>
      </c>
      <c r="K1135" s="455">
        <f t="shared" ca="1" si="103"/>
        <v>115064.01583361662</v>
      </c>
      <c r="L1135" s="455">
        <f t="shared" ca="1" si="104"/>
        <v>27730427.815901607</v>
      </c>
      <c r="M1135" s="471">
        <f t="shared" si="106"/>
        <v>0.05</v>
      </c>
      <c r="N1135" s="475">
        <f t="shared" si="107"/>
        <v>85589</v>
      </c>
    </row>
    <row r="1136" spans="7:14" ht="11.25" customHeight="1" x14ac:dyDescent="0.3">
      <c r="G1136" s="470"/>
      <c r="H1136" s="470">
        <v>1129</v>
      </c>
      <c r="I1136" s="455">
        <f t="shared" ca="1" si="105"/>
        <v>27730427.815901607</v>
      </c>
      <c r="J1136" s="455">
        <f t="array" ref="J1136">IFERROR(INDEX('Retirement Calculator'!K:K,MATCH('Lorri 401b'!N1136,'Retirement Calculator'!A:A,0),0),0)</f>
        <v>16520.094745597391</v>
      </c>
      <c r="K1136" s="455">
        <f t="shared" ca="1" si="103"/>
        <v>115474.61550481671</v>
      </c>
      <c r="L1136" s="455">
        <f t="shared" ca="1" si="104"/>
        <v>27829382.336660825</v>
      </c>
      <c r="M1136" s="471">
        <f t="shared" si="106"/>
        <v>0.05</v>
      </c>
      <c r="N1136" s="475">
        <f t="shared" si="107"/>
        <v>85620</v>
      </c>
    </row>
    <row r="1137" spans="7:14" ht="11.25" customHeight="1" x14ac:dyDescent="0.3">
      <c r="G1137" s="470"/>
      <c r="H1137" s="470">
        <v>1130</v>
      </c>
      <c r="I1137" s="455">
        <f t="shared" ca="1" si="105"/>
        <v>27829382.336660825</v>
      </c>
      <c r="J1137" s="455">
        <f t="array" ref="J1137">IFERROR(INDEX('Retirement Calculator'!K:K,MATCH('Lorri 401b'!N1137,'Retirement Calculator'!A:A,0),0),0)</f>
        <v>16520.094745597391</v>
      </c>
      <c r="K1137" s="455">
        <f t="shared" ca="1" si="103"/>
        <v>115886.9260079801</v>
      </c>
      <c r="L1137" s="455">
        <f t="shared" ca="1" si="104"/>
        <v>27928749.167923205</v>
      </c>
      <c r="M1137" s="471">
        <f t="shared" si="106"/>
        <v>0.05</v>
      </c>
      <c r="N1137" s="475">
        <f t="shared" si="107"/>
        <v>85650</v>
      </c>
    </row>
    <row r="1138" spans="7:14" ht="11.25" customHeight="1" x14ac:dyDescent="0.3">
      <c r="G1138" s="470"/>
      <c r="H1138" s="470">
        <v>1131</v>
      </c>
      <c r="I1138" s="455">
        <f t="shared" ca="1" si="105"/>
        <v>27928749.167923205</v>
      </c>
      <c r="J1138" s="455">
        <f t="array" ref="J1138">IFERROR(INDEX('Retirement Calculator'!K:K,MATCH('Lorri 401b'!N1138,'Retirement Calculator'!A:A,0),0),0)</f>
        <v>16520.094745597391</v>
      </c>
      <c r="K1138" s="455">
        <f t="shared" ca="1" si="103"/>
        <v>116300.95447157335</v>
      </c>
      <c r="L1138" s="455">
        <f t="shared" ca="1" si="104"/>
        <v>28028530.027649179</v>
      </c>
      <c r="M1138" s="471">
        <f t="shared" si="106"/>
        <v>0.05</v>
      </c>
      <c r="N1138" s="475">
        <f t="shared" si="107"/>
        <v>85681</v>
      </c>
    </row>
    <row r="1139" spans="7:14" ht="11.25" customHeight="1" x14ac:dyDescent="0.3">
      <c r="G1139" s="470"/>
      <c r="H1139" s="470">
        <v>1132</v>
      </c>
      <c r="I1139" s="455">
        <f t="shared" ca="1" si="105"/>
        <v>28028530.027649179</v>
      </c>
      <c r="J1139" s="455">
        <f t="array" ref="J1139">IFERROR(INDEX('Retirement Calculator'!K:K,MATCH('Lorri 401b'!N1139,'Retirement Calculator'!A:A,0),0),0)</f>
        <v>16520.094745597391</v>
      </c>
      <c r="K1139" s="455">
        <f t="shared" ca="1" si="103"/>
        <v>116716.7080537649</v>
      </c>
      <c r="L1139" s="455">
        <f t="shared" ca="1" si="104"/>
        <v>28128726.640957344</v>
      </c>
      <c r="M1139" s="471">
        <f t="shared" si="106"/>
        <v>0.05</v>
      </c>
      <c r="N1139" s="475">
        <f t="shared" si="107"/>
        <v>85712</v>
      </c>
    </row>
    <row r="1140" spans="7:14" ht="11.25" customHeight="1" x14ac:dyDescent="0.3">
      <c r="G1140" s="470"/>
      <c r="H1140" s="470">
        <v>1133</v>
      </c>
      <c r="I1140" s="455">
        <f t="shared" ca="1" si="105"/>
        <v>28128726.640957344</v>
      </c>
      <c r="J1140" s="455">
        <f t="array" ref="J1140">IFERROR(INDEX('Retirement Calculator'!K:K,MATCH('Lorri 401b'!N1140,'Retirement Calculator'!A:A,0),0),0)</f>
        <v>16520.094745597391</v>
      </c>
      <c r="K1140" s="455">
        <f t="shared" ca="1" si="103"/>
        <v>117134.19394254895</v>
      </c>
      <c r="L1140" s="455">
        <f t="shared" ca="1" si="104"/>
        <v>28229340.740154296</v>
      </c>
      <c r="M1140" s="471">
        <f t="shared" si="106"/>
        <v>0.05</v>
      </c>
      <c r="N1140" s="475">
        <f t="shared" si="107"/>
        <v>85742</v>
      </c>
    </row>
    <row r="1141" spans="7:14" ht="11.25" customHeight="1" x14ac:dyDescent="0.3">
      <c r="G1141" s="470"/>
      <c r="H1141" s="470">
        <v>1134</v>
      </c>
      <c r="I1141" s="455">
        <f t="shared" ca="1" si="105"/>
        <v>28229340.740154296</v>
      </c>
      <c r="J1141" s="455">
        <f t="array" ref="J1141">IFERROR(INDEX('Retirement Calculator'!K:K,MATCH('Lorri 401b'!N1141,'Retirement Calculator'!A:A,0),0),0)</f>
        <v>16520.094745597391</v>
      </c>
      <c r="K1141" s="455">
        <f t="shared" ca="1" si="103"/>
        <v>117553.41935586958</v>
      </c>
      <c r="L1141" s="455">
        <f t="shared" ca="1" si="104"/>
        <v>28330374.064764567</v>
      </c>
      <c r="M1141" s="471">
        <f t="shared" si="106"/>
        <v>0.05</v>
      </c>
      <c r="N1141" s="475">
        <f t="shared" si="107"/>
        <v>85773</v>
      </c>
    </row>
    <row r="1142" spans="7:14" ht="11.25" customHeight="1" x14ac:dyDescent="0.3">
      <c r="G1142" s="470"/>
      <c r="H1142" s="470">
        <v>1135</v>
      </c>
      <c r="I1142" s="455">
        <f t="shared" ca="1" si="105"/>
        <v>28330374.064764567</v>
      </c>
      <c r="J1142" s="455">
        <f t="array" ref="J1142">IFERROR(INDEX('Retirement Calculator'!K:K,MATCH('Lorri 401b'!N1142,'Retirement Calculator'!A:A,0),0),0)</f>
        <v>16520.094745597391</v>
      </c>
      <c r="K1142" s="455">
        <f t="shared" ca="1" si="103"/>
        <v>117974.3915417457</v>
      </c>
      <c r="L1142" s="455">
        <f t="shared" ca="1" si="104"/>
        <v>28431828.361560713</v>
      </c>
      <c r="M1142" s="471">
        <f t="shared" si="106"/>
        <v>0.05</v>
      </c>
      <c r="N1142" s="475">
        <f t="shared" si="107"/>
        <v>85803</v>
      </c>
    </row>
    <row r="1143" spans="7:14" ht="11.25" customHeight="1" x14ac:dyDescent="0.3">
      <c r="G1143" s="470"/>
      <c r="H1143" s="470">
        <v>1136</v>
      </c>
      <c r="I1143" s="455">
        <f t="shared" ca="1" si="105"/>
        <v>28431828.361560713</v>
      </c>
      <c r="J1143" s="455">
        <f t="array" ref="J1143">IFERROR(INDEX('Retirement Calculator'!K:K,MATCH('Lorri 401b'!N1143,'Retirement Calculator'!A:A,0),0),0)</f>
        <v>16520.094745597391</v>
      </c>
      <c r="K1143" s="455">
        <f t="shared" ca="1" si="103"/>
        <v>118397.11777839629</v>
      </c>
      <c r="L1143" s="455">
        <f t="shared" ca="1" si="104"/>
        <v>28533705.384593513</v>
      </c>
      <c r="M1143" s="471">
        <f t="shared" si="106"/>
        <v>0.05</v>
      </c>
      <c r="N1143" s="475">
        <f t="shared" si="107"/>
        <v>85834</v>
      </c>
    </row>
    <row r="1144" spans="7:14" ht="11.25" customHeight="1" x14ac:dyDescent="0.3">
      <c r="G1144" s="470"/>
      <c r="H1144" s="470">
        <v>1137</v>
      </c>
      <c r="I1144" s="455">
        <f t="shared" ca="1" si="105"/>
        <v>28533705.384593513</v>
      </c>
      <c r="J1144" s="455">
        <f t="array" ref="J1144">IFERROR(INDEX('Retirement Calculator'!K:K,MATCH('Lorri 401b'!N1144,'Retirement Calculator'!A:A,0),0),0)</f>
        <v>16520.094745597391</v>
      </c>
      <c r="K1144" s="455">
        <f t="shared" ca="1" si="103"/>
        <v>118821.60537436631</v>
      </c>
      <c r="L1144" s="455">
        <f t="shared" ca="1" si="104"/>
        <v>28636006.89522228</v>
      </c>
      <c r="M1144" s="471">
        <f t="shared" si="106"/>
        <v>0.05</v>
      </c>
      <c r="N1144" s="475">
        <f t="shared" si="107"/>
        <v>85865</v>
      </c>
    </row>
    <row r="1145" spans="7:14" ht="11.25" customHeight="1" x14ac:dyDescent="0.3">
      <c r="G1145" s="470"/>
      <c r="H1145" s="470">
        <v>1138</v>
      </c>
      <c r="I1145" s="455">
        <f t="shared" ca="1" si="105"/>
        <v>28636006.89522228</v>
      </c>
      <c r="J1145" s="455">
        <f t="array" ref="J1145">IFERROR(INDEX('Retirement Calculator'!K:K,MATCH('Lorri 401b'!N1145,'Retirement Calculator'!A:A,0),0),0)</f>
        <v>16520.094745597391</v>
      </c>
      <c r="K1145" s="455">
        <f t="shared" ca="1" si="103"/>
        <v>119247.86166865284</v>
      </c>
      <c r="L1145" s="455">
        <f t="shared" ca="1" si="104"/>
        <v>28738734.662145335</v>
      </c>
      <c r="M1145" s="471">
        <f t="shared" si="106"/>
        <v>0.05</v>
      </c>
      <c r="N1145" s="475">
        <f t="shared" si="107"/>
        <v>85893</v>
      </c>
    </row>
    <row r="1146" spans="7:14" ht="11.25" customHeight="1" x14ac:dyDescent="0.3">
      <c r="G1146" s="470"/>
      <c r="H1146" s="470">
        <v>1139</v>
      </c>
      <c r="I1146" s="455">
        <f t="shared" ca="1" si="105"/>
        <v>28738734.662145335</v>
      </c>
      <c r="J1146" s="455">
        <f t="array" ref="J1146">IFERROR(INDEX('Retirement Calculator'!K:K,MATCH('Lorri 401b'!N1146,'Retirement Calculator'!A:A,0),0),0)</f>
        <v>16520.094745597391</v>
      </c>
      <c r="K1146" s="455">
        <f t="shared" ca="1" si="103"/>
        <v>119675.89403083223</v>
      </c>
      <c r="L1146" s="455">
        <f t="shared" ca="1" si="104"/>
        <v>28841890.461430568</v>
      </c>
      <c r="M1146" s="471">
        <f t="shared" si="106"/>
        <v>0.05</v>
      </c>
      <c r="N1146" s="475">
        <f t="shared" si="107"/>
        <v>85924</v>
      </c>
    </row>
    <row r="1147" spans="7:14" ht="11.25" customHeight="1" x14ac:dyDescent="0.3">
      <c r="G1147" s="470"/>
      <c r="H1147" s="470">
        <v>1140</v>
      </c>
      <c r="I1147" s="455">
        <f t="shared" ca="1" si="105"/>
        <v>28841890.461430568</v>
      </c>
      <c r="J1147" s="455">
        <f t="array" ref="J1147">IFERROR(INDEX('Retirement Calculator'!K:K,MATCH('Lorri 401b'!N1147,'Retirement Calculator'!A:A,0),0),0)</f>
        <v>16520.094745597391</v>
      </c>
      <c r="K1147" s="455">
        <f t="shared" ca="1" si="103"/>
        <v>120105.70986118735</v>
      </c>
      <c r="L1147" s="455">
        <f t="shared" ca="1" si="104"/>
        <v>28945476.076546159</v>
      </c>
      <c r="M1147" s="471">
        <f t="shared" si="106"/>
        <v>0.05</v>
      </c>
      <c r="N1147" s="475">
        <f t="shared" si="107"/>
        <v>85954</v>
      </c>
    </row>
    <row r="1148" spans="7:14" ht="11.25" customHeight="1" x14ac:dyDescent="0.3">
      <c r="G1148" s="470"/>
      <c r="H1148" s="470">
        <v>1141</v>
      </c>
      <c r="I1148" s="455">
        <f t="shared" ca="1" si="105"/>
        <v>28945476.076546159</v>
      </c>
      <c r="J1148" s="455">
        <f t="array" ref="J1148">IFERROR(INDEX('Retirement Calculator'!K:K,MATCH('Lorri 401b'!N1148,'Retirement Calculator'!A:A,0),0),0)</f>
        <v>16520.094745597391</v>
      </c>
      <c r="K1148" s="455">
        <f t="shared" ca="1" si="103"/>
        <v>120537.31659083566</v>
      </c>
      <c r="L1148" s="455">
        <f t="shared" ca="1" si="104"/>
        <v>29049493.298391394</v>
      </c>
      <c r="M1148" s="471">
        <f t="shared" si="106"/>
        <v>0.05</v>
      </c>
      <c r="N1148" s="475">
        <f t="shared" si="107"/>
        <v>85985</v>
      </c>
    </row>
    <row r="1149" spans="7:14" ht="11.25" customHeight="1" x14ac:dyDescent="0.3">
      <c r="G1149" s="470"/>
      <c r="H1149" s="470">
        <v>1142</v>
      </c>
      <c r="I1149" s="455">
        <f t="shared" ca="1" si="105"/>
        <v>29049493.298391394</v>
      </c>
      <c r="J1149" s="455">
        <f t="array" ref="J1149">IFERROR(INDEX('Retirement Calculator'!K:K,MATCH('Lorri 401b'!N1149,'Retirement Calculator'!A:A,0),0),0)</f>
        <v>16520.094745597391</v>
      </c>
      <c r="K1149" s="455">
        <f t="shared" ca="1" si="103"/>
        <v>120970.72168185748</v>
      </c>
      <c r="L1149" s="455">
        <f t="shared" ca="1" si="104"/>
        <v>29153943.925327651</v>
      </c>
      <c r="M1149" s="471">
        <f t="shared" si="106"/>
        <v>0.05</v>
      </c>
      <c r="N1149" s="475">
        <f t="shared" si="107"/>
        <v>86015</v>
      </c>
    </row>
    <row r="1150" spans="7:14" ht="11.25" customHeight="1" x14ac:dyDescent="0.3">
      <c r="G1150" s="470"/>
      <c r="H1150" s="470">
        <v>1143</v>
      </c>
      <c r="I1150" s="455">
        <f t="shared" ca="1" si="105"/>
        <v>29153943.925327651</v>
      </c>
      <c r="J1150" s="455">
        <f t="array" ref="J1150">IFERROR(INDEX('Retirement Calculator'!K:K,MATCH('Lorri 401b'!N1150,'Retirement Calculator'!A:A,0),0),0)</f>
        <v>16520.094745597391</v>
      </c>
      <c r="K1150" s="455">
        <f t="shared" ca="1" si="103"/>
        <v>121405.93262742522</v>
      </c>
      <c r="L1150" s="455">
        <f t="shared" ca="1" si="104"/>
        <v>29258829.763209477</v>
      </c>
      <c r="M1150" s="471">
        <f t="shared" si="106"/>
        <v>0.05</v>
      </c>
      <c r="N1150" s="475">
        <f t="shared" si="107"/>
        <v>86046</v>
      </c>
    </row>
    <row r="1151" spans="7:14" ht="11.25" customHeight="1" x14ac:dyDescent="0.3">
      <c r="G1151" s="470"/>
      <c r="H1151" s="470">
        <v>1144</v>
      </c>
      <c r="I1151" s="455">
        <f t="shared" ca="1" si="105"/>
        <v>29258829.763209477</v>
      </c>
      <c r="J1151" s="455">
        <f t="array" ref="J1151">IFERROR(INDEX('Retirement Calculator'!K:K,MATCH('Lorri 401b'!N1151,'Retirement Calculator'!A:A,0),0),0)</f>
        <v>16520.094745597391</v>
      </c>
      <c r="K1151" s="455">
        <f t="shared" ca="1" si="103"/>
        <v>121842.95695193282</v>
      </c>
      <c r="L1151" s="455">
        <f t="shared" ca="1" si="104"/>
        <v>29364152.625415809</v>
      </c>
      <c r="M1151" s="471">
        <f t="shared" si="106"/>
        <v>0.05</v>
      </c>
      <c r="N1151" s="475">
        <f t="shared" si="107"/>
        <v>86077</v>
      </c>
    </row>
    <row r="1152" spans="7:14" ht="11.25" customHeight="1" x14ac:dyDescent="0.3">
      <c r="G1152" s="470"/>
      <c r="H1152" s="470">
        <v>1145</v>
      </c>
      <c r="I1152" s="455">
        <f t="shared" ca="1" si="105"/>
        <v>29364152.625415809</v>
      </c>
      <c r="J1152" s="455">
        <f t="array" ref="J1152">IFERROR(INDEX('Retirement Calculator'!K:K,MATCH('Lorri 401b'!N1152,'Retirement Calculator'!A:A,0),0),0)</f>
        <v>16520.094745597391</v>
      </c>
      <c r="K1152" s="455">
        <f t="shared" ca="1" si="103"/>
        <v>122281.80221112588</v>
      </c>
      <c r="L1152" s="455">
        <f t="shared" ca="1" si="104"/>
        <v>29469914.332881335</v>
      </c>
      <c r="M1152" s="471">
        <f t="shared" si="106"/>
        <v>0.05</v>
      </c>
      <c r="N1152" s="475">
        <f t="shared" si="107"/>
        <v>86107</v>
      </c>
    </row>
    <row r="1153" spans="7:14" ht="11.25" customHeight="1" x14ac:dyDescent="0.3">
      <c r="G1153" s="470"/>
      <c r="H1153" s="470">
        <v>1146</v>
      </c>
      <c r="I1153" s="455">
        <f t="shared" ca="1" si="105"/>
        <v>29469914.332881335</v>
      </c>
      <c r="J1153" s="455">
        <f t="array" ref="J1153">IFERROR(INDEX('Retirement Calculator'!K:K,MATCH('Lorri 401b'!N1153,'Retirement Calculator'!A:A,0),0),0)</f>
        <v>16520.094745597391</v>
      </c>
      <c r="K1153" s="455">
        <f t="shared" ca="1" si="103"/>
        <v>122722.47599223221</v>
      </c>
      <c r="L1153" s="455">
        <f t="shared" ca="1" si="104"/>
        <v>29576116.714127969</v>
      </c>
      <c r="M1153" s="471">
        <f t="shared" si="106"/>
        <v>0.05</v>
      </c>
      <c r="N1153" s="475">
        <f t="shared" si="107"/>
        <v>86138</v>
      </c>
    </row>
    <row r="1154" spans="7:14" ht="11.25" customHeight="1" x14ac:dyDescent="0.3">
      <c r="G1154" s="470"/>
      <c r="H1154" s="470">
        <v>1147</v>
      </c>
      <c r="I1154" s="455">
        <f t="shared" ca="1" si="105"/>
        <v>29576116.714127969</v>
      </c>
      <c r="J1154" s="455">
        <f t="array" ref="J1154">IFERROR(INDEX('Retirement Calculator'!K:K,MATCH('Lorri 401b'!N1154,'Retirement Calculator'!A:A,0),0),0)</f>
        <v>16520.094745597391</v>
      </c>
      <c r="K1154" s="455">
        <f t="shared" ca="1" si="103"/>
        <v>123164.98591409321</v>
      </c>
      <c r="L1154" s="455">
        <f t="shared" ca="1" si="104"/>
        <v>29682761.605296463</v>
      </c>
      <c r="M1154" s="471">
        <f t="shared" si="106"/>
        <v>0.05</v>
      </c>
      <c r="N1154" s="475">
        <f t="shared" si="107"/>
        <v>86168</v>
      </c>
    </row>
    <row r="1155" spans="7:14" ht="11.25" customHeight="1" x14ac:dyDescent="0.3">
      <c r="G1155" s="470"/>
      <c r="H1155" s="470">
        <v>1148</v>
      </c>
      <c r="I1155" s="455">
        <f t="shared" ca="1" si="105"/>
        <v>29682761.605296463</v>
      </c>
      <c r="J1155" s="455">
        <f t="array" ref="J1155">IFERROR(INDEX('Retirement Calculator'!K:K,MATCH('Lorri 401b'!N1155,'Retirement Calculator'!A:A,0),0),0)</f>
        <v>16520.094745597391</v>
      </c>
      <c r="K1155" s="455">
        <f t="shared" ca="1" si="103"/>
        <v>123609.33962729527</v>
      </c>
      <c r="L1155" s="455">
        <f t="shared" ca="1" si="104"/>
        <v>29789850.85017816</v>
      </c>
      <c r="M1155" s="471">
        <f t="shared" si="106"/>
        <v>0.05</v>
      </c>
      <c r="N1155" s="475">
        <f t="shared" si="107"/>
        <v>86199</v>
      </c>
    </row>
    <row r="1156" spans="7:14" ht="11.25" customHeight="1" x14ac:dyDescent="0.3">
      <c r="G1156" s="470"/>
      <c r="H1156" s="470">
        <v>1149</v>
      </c>
      <c r="I1156" s="455">
        <f t="shared" ca="1" si="105"/>
        <v>29789850.85017816</v>
      </c>
      <c r="J1156" s="455">
        <f t="array" ref="J1156">IFERROR(INDEX('Retirement Calculator'!K:K,MATCH('Lorri 401b'!N1156,'Retirement Calculator'!A:A,0),0),0)</f>
        <v>16520.094745597391</v>
      </c>
      <c r="K1156" s="455">
        <f t="shared" ca="1" si="103"/>
        <v>124055.54481430234</v>
      </c>
      <c r="L1156" s="455">
        <f t="shared" ca="1" si="104"/>
        <v>29897386.300246865</v>
      </c>
      <c r="M1156" s="471">
        <f t="shared" si="106"/>
        <v>0.05</v>
      </c>
      <c r="N1156" s="475">
        <f t="shared" si="107"/>
        <v>86230</v>
      </c>
    </row>
    <row r="1157" spans="7:14" ht="11.25" customHeight="1" x14ac:dyDescent="0.3">
      <c r="G1157" s="470"/>
      <c r="H1157" s="470">
        <v>1150</v>
      </c>
      <c r="I1157" s="455">
        <f t="shared" ca="1" si="105"/>
        <v>29897386.300246865</v>
      </c>
      <c r="J1157" s="455">
        <f t="array" ref="J1157">IFERROR(INDEX('Retirement Calculator'!K:K,MATCH('Lorri 401b'!N1157,'Retirement Calculator'!A:A,0),0),0)</f>
        <v>16520.094745597391</v>
      </c>
      <c r="K1157" s="455">
        <f t="shared" ca="1" si="103"/>
        <v>124503.60918958861</v>
      </c>
      <c r="L1157" s="455">
        <f t="shared" ca="1" si="104"/>
        <v>30005369.814690854</v>
      </c>
      <c r="M1157" s="471">
        <f t="shared" si="106"/>
        <v>0.05</v>
      </c>
      <c r="N1157" s="475">
        <f t="shared" si="107"/>
        <v>86259</v>
      </c>
    </row>
    <row r="1158" spans="7:14" ht="11.25" customHeight="1" x14ac:dyDescent="0.3">
      <c r="G1158" s="470"/>
      <c r="H1158" s="470">
        <v>1151</v>
      </c>
      <c r="I1158" s="455">
        <f t="shared" ca="1" si="105"/>
        <v>30005369.814690854</v>
      </c>
      <c r="J1158" s="455">
        <f t="array" ref="J1158">IFERROR(INDEX('Retirement Calculator'!K:K,MATCH('Lorri 401b'!N1158,'Retirement Calculator'!A:A,0),0),0)</f>
        <v>16520.094745597391</v>
      </c>
      <c r="K1158" s="455">
        <f t="shared" ca="1" si="103"/>
        <v>124953.5404997719</v>
      </c>
      <c r="L1158" s="455">
        <f t="shared" ca="1" si="104"/>
        <v>30113803.260445029</v>
      </c>
      <c r="M1158" s="471">
        <f t="shared" si="106"/>
        <v>0.05</v>
      </c>
      <c r="N1158" s="475">
        <f t="shared" si="107"/>
        <v>86290</v>
      </c>
    </row>
    <row r="1159" spans="7:14" ht="11.25" customHeight="1" x14ac:dyDescent="0.3">
      <c r="G1159" s="470"/>
      <c r="H1159" s="470">
        <v>1152</v>
      </c>
      <c r="I1159" s="455">
        <f t="shared" ca="1" si="105"/>
        <v>30113803.260445029</v>
      </c>
      <c r="J1159" s="455">
        <f t="array" ref="J1159">IFERROR(INDEX('Retirement Calculator'!K:K,MATCH('Lorri 401b'!N1159,'Retirement Calculator'!A:A,0),0),0)</f>
        <v>16520.094745597391</v>
      </c>
      <c r="K1159" s="455">
        <f t="shared" ca="1" si="103"/>
        <v>125405.34652374763</v>
      </c>
      <c r="L1159" s="455">
        <f t="shared" ca="1" si="104"/>
        <v>30222688.512223177</v>
      </c>
      <c r="M1159" s="471">
        <f t="shared" si="106"/>
        <v>0.05</v>
      </c>
      <c r="N1159" s="475">
        <f t="shared" si="107"/>
        <v>86320</v>
      </c>
    </row>
    <row r="1160" spans="7:14" ht="11.25" customHeight="1" x14ac:dyDescent="0.3">
      <c r="G1160" s="470"/>
      <c r="H1160" s="470">
        <v>1153</v>
      </c>
      <c r="I1160" s="455">
        <f t="shared" ca="1" si="105"/>
        <v>30222688.512223177</v>
      </c>
      <c r="J1160" s="455">
        <f t="array" ref="J1160">IFERROR(INDEX('Retirement Calculator'!K:K,MATCH('Lorri 401b'!N1160,'Retirement Calculator'!A:A,0),0),0)</f>
        <v>16520.094745597391</v>
      </c>
      <c r="K1160" s="455">
        <f t="shared" ca="1" si="103"/>
        <v>125859.03507282324</v>
      </c>
      <c r="L1160" s="455">
        <f t="shared" ca="1" si="104"/>
        <v>30332027.4525504</v>
      </c>
      <c r="M1160" s="471">
        <f t="shared" si="106"/>
        <v>0.05</v>
      </c>
      <c r="N1160" s="475">
        <f t="shared" si="107"/>
        <v>86351</v>
      </c>
    </row>
    <row r="1161" spans="7:14" ht="11.25" customHeight="1" x14ac:dyDescent="0.3">
      <c r="G1161" s="470"/>
      <c r="H1161" s="470">
        <v>1154</v>
      </c>
      <c r="I1161" s="455">
        <f t="shared" ca="1" si="105"/>
        <v>30332027.4525504</v>
      </c>
      <c r="J1161" s="455">
        <f t="array" ref="J1161">IFERROR(INDEX('Retirement Calculator'!K:K,MATCH('Lorri 401b'!N1161,'Retirement Calculator'!A:A,0),0),0)</f>
        <v>16520.094745597391</v>
      </c>
      <c r="K1161" s="455">
        <f t="shared" ca="1" si="103"/>
        <v>126314.61399085332</v>
      </c>
      <c r="L1161" s="455">
        <f t="shared" ca="1" si="104"/>
        <v>30441821.971795656</v>
      </c>
      <c r="M1161" s="471">
        <f t="shared" si="106"/>
        <v>0.05</v>
      </c>
      <c r="N1161" s="475">
        <f t="shared" si="107"/>
        <v>86381</v>
      </c>
    </row>
    <row r="1162" spans="7:14" ht="11.25" customHeight="1" x14ac:dyDescent="0.3">
      <c r="G1162" s="470"/>
      <c r="H1162" s="470">
        <v>1155</v>
      </c>
      <c r="I1162" s="455">
        <f t="shared" ca="1" si="105"/>
        <v>30441821.971795656</v>
      </c>
      <c r="J1162" s="455">
        <f t="array" ref="J1162">IFERROR(INDEX('Retirement Calculator'!K:K,MATCH('Lorri 401b'!N1162,'Retirement Calculator'!A:A,0),0),0)</f>
        <v>16520.094745597391</v>
      </c>
      <c r="K1162" s="455">
        <f t="shared" ca="1" si="103"/>
        <v>126772.09115437523</v>
      </c>
      <c r="L1162" s="455">
        <f t="shared" ca="1" si="104"/>
        <v>30552073.968204431</v>
      </c>
      <c r="M1162" s="471">
        <f t="shared" si="106"/>
        <v>0.05</v>
      </c>
      <c r="N1162" s="475">
        <f t="shared" si="107"/>
        <v>86412</v>
      </c>
    </row>
    <row r="1163" spans="7:14" ht="11.25" customHeight="1" x14ac:dyDescent="0.3">
      <c r="G1163" s="470"/>
      <c r="H1163" s="470">
        <v>1156</v>
      </c>
      <c r="I1163" s="455">
        <f t="shared" ca="1" si="105"/>
        <v>30552073.968204431</v>
      </c>
      <c r="J1163" s="455">
        <f t="array" ref="J1163">IFERROR(INDEX('Retirement Calculator'!K:K,MATCH('Lorri 401b'!N1163,'Retirement Calculator'!A:A,0),0),0)</f>
        <v>16520.094745597391</v>
      </c>
      <c r="K1163" s="455">
        <f t="shared" ca="1" si="103"/>
        <v>127231.47447274513</v>
      </c>
      <c r="L1163" s="455">
        <f t="shared" ca="1" si="104"/>
        <v>30662785.347931579</v>
      </c>
      <c r="M1163" s="471">
        <f t="shared" si="106"/>
        <v>0.05</v>
      </c>
      <c r="N1163" s="475">
        <f t="shared" si="107"/>
        <v>86443</v>
      </c>
    </row>
    <row r="1164" spans="7:14" ht="11.25" customHeight="1" x14ac:dyDescent="0.3">
      <c r="G1164" s="470"/>
      <c r="H1164" s="470">
        <v>1157</v>
      </c>
      <c r="I1164" s="455">
        <f t="shared" ca="1" si="105"/>
        <v>30662785.347931579</v>
      </c>
      <c r="J1164" s="455">
        <f t="array" ref="J1164">IFERROR(INDEX('Retirement Calculator'!K:K,MATCH('Lorri 401b'!N1164,'Retirement Calculator'!A:A,0),0),0)</f>
        <v>16520.094745597391</v>
      </c>
      <c r="K1164" s="455">
        <f t="shared" ca="1" si="103"/>
        <v>127692.77188827492</v>
      </c>
      <c r="L1164" s="455">
        <f t="shared" ca="1" si="104"/>
        <v>30773958.025074255</v>
      </c>
      <c r="M1164" s="471">
        <f t="shared" si="106"/>
        <v>0.05</v>
      </c>
      <c r="N1164" s="475">
        <f t="shared" si="107"/>
        <v>86473</v>
      </c>
    </row>
    <row r="1165" spans="7:14" ht="11.25" customHeight="1" x14ac:dyDescent="0.3">
      <c r="G1165" s="470"/>
      <c r="H1165" s="470">
        <v>1158</v>
      </c>
      <c r="I1165" s="455">
        <f t="shared" ca="1" si="105"/>
        <v>30773958.025074255</v>
      </c>
      <c r="J1165" s="455">
        <f t="array" ref="J1165">IFERROR(INDEX('Retirement Calculator'!K:K,MATCH('Lorri 401b'!N1165,'Retirement Calculator'!A:A,0),0),0)</f>
        <v>16520.094745597391</v>
      </c>
      <c r="K1165" s="455">
        <f t="shared" ca="1" si="103"/>
        <v>128155.99137636939</v>
      </c>
      <c r="L1165" s="455">
        <f t="shared" ca="1" si="104"/>
        <v>30885593.921705026</v>
      </c>
      <c r="M1165" s="471">
        <f t="shared" si="106"/>
        <v>0.05</v>
      </c>
      <c r="N1165" s="475">
        <f t="shared" si="107"/>
        <v>86504</v>
      </c>
    </row>
    <row r="1166" spans="7:14" ht="11.25" customHeight="1" x14ac:dyDescent="0.3">
      <c r="G1166" s="470"/>
      <c r="H1166" s="470">
        <v>1159</v>
      </c>
      <c r="I1166" s="455">
        <f t="shared" ca="1" si="105"/>
        <v>30885593.921705026</v>
      </c>
      <c r="J1166" s="455">
        <f t="array" ref="J1166">IFERROR(INDEX('Retirement Calculator'!K:K,MATCH('Lorri 401b'!N1166,'Retirement Calculator'!A:A,0),0),0)</f>
        <v>16520.094745597391</v>
      </c>
      <c r="K1166" s="455">
        <f t="shared" ca="1" si="103"/>
        <v>128621.14094566427</v>
      </c>
      <c r="L1166" s="455">
        <f t="shared" ca="1" si="104"/>
        <v>30997694.967905093</v>
      </c>
      <c r="M1166" s="471">
        <f t="shared" si="106"/>
        <v>0.05</v>
      </c>
      <c r="N1166" s="475">
        <f t="shared" si="107"/>
        <v>86534</v>
      </c>
    </row>
    <row r="1167" spans="7:14" ht="11.25" customHeight="1" x14ac:dyDescent="0.3">
      <c r="G1167" s="470"/>
      <c r="H1167" s="470">
        <v>1160</v>
      </c>
      <c r="I1167" s="455">
        <f t="shared" ca="1" si="105"/>
        <v>30997694.967905093</v>
      </c>
      <c r="J1167" s="455">
        <f t="array" ref="J1167">IFERROR(INDEX('Retirement Calculator'!K:K,MATCH('Lorri 401b'!N1167,'Retirement Calculator'!A:A,0),0),0)</f>
        <v>16520.094745597391</v>
      </c>
      <c r="K1167" s="455">
        <f t="shared" ca="1" si="103"/>
        <v>129088.22863816454</v>
      </c>
      <c r="L1167" s="455">
        <f t="shared" ca="1" si="104"/>
        <v>31110263.101797659</v>
      </c>
      <c r="M1167" s="471">
        <f t="shared" si="106"/>
        <v>0.05</v>
      </c>
      <c r="N1167" s="475">
        <f t="shared" si="107"/>
        <v>86565</v>
      </c>
    </row>
    <row r="1168" spans="7:14" ht="11.25" customHeight="1" x14ac:dyDescent="0.3">
      <c r="G1168" s="470"/>
      <c r="H1168" s="470">
        <v>1161</v>
      </c>
      <c r="I1168" s="455">
        <f t="shared" ca="1" si="105"/>
        <v>31110263.101797659</v>
      </c>
      <c r="J1168" s="455">
        <f t="array" ref="J1168">IFERROR(INDEX('Retirement Calculator'!K:K,MATCH('Lorri 401b'!N1168,'Retirement Calculator'!A:A,0),0),0)</f>
        <v>16520.094745597391</v>
      </c>
      <c r="K1168" s="455">
        <f t="shared" ca="1" si="103"/>
        <v>129557.26252938357</v>
      </c>
      <c r="L1168" s="455">
        <f t="shared" ca="1" si="104"/>
        <v>31223300.269581445</v>
      </c>
      <c r="M1168" s="471">
        <f t="shared" si="106"/>
        <v>0.05</v>
      </c>
      <c r="N1168" s="475">
        <f t="shared" si="107"/>
        <v>86596</v>
      </c>
    </row>
    <row r="1169" spans="7:14" ht="11.25" customHeight="1" x14ac:dyDescent="0.3">
      <c r="G1169" s="470"/>
      <c r="H1169" s="470">
        <v>1162</v>
      </c>
      <c r="I1169" s="455">
        <f t="shared" ca="1" si="105"/>
        <v>31223300.269581445</v>
      </c>
      <c r="J1169" s="455">
        <f t="array" ref="J1169">IFERROR(INDEX('Retirement Calculator'!K:K,MATCH('Lorri 401b'!N1169,'Retirement Calculator'!A:A,0),0),0)</f>
        <v>0</v>
      </c>
      <c r="K1169" s="455">
        <f t="shared" ca="1" si="103"/>
        <v>130097.08445658936</v>
      </c>
      <c r="L1169" s="455">
        <f t="shared" ca="1" si="104"/>
        <v>31353397.354038034</v>
      </c>
      <c r="M1169" s="471">
        <f t="shared" si="106"/>
        <v>0.05</v>
      </c>
      <c r="N1169" s="475">
        <f t="shared" si="107"/>
        <v>86624</v>
      </c>
    </row>
    <row r="1170" spans="7:14" ht="11.25" customHeight="1" x14ac:dyDescent="0.3">
      <c r="G1170" s="470"/>
      <c r="H1170" s="470">
        <v>1163</v>
      </c>
      <c r="I1170" s="455">
        <f t="shared" ca="1" si="105"/>
        <v>31353397.354038034</v>
      </c>
      <c r="J1170" s="455">
        <f t="array" ref="J1170">IFERROR(INDEX('Retirement Calculator'!K:K,MATCH('Lorri 401b'!N1170,'Retirement Calculator'!A:A,0),0),0)</f>
        <v>0</v>
      </c>
      <c r="K1170" s="455">
        <f t="shared" ca="1" si="103"/>
        <v>130639.15564182513</v>
      </c>
      <c r="L1170" s="455">
        <f t="shared" ca="1" si="104"/>
        <v>31484036.509679858</v>
      </c>
      <c r="M1170" s="471">
        <f t="shared" si="106"/>
        <v>0.05</v>
      </c>
      <c r="N1170" s="475">
        <f t="shared" si="107"/>
        <v>86655</v>
      </c>
    </row>
    <row r="1171" spans="7:14" ht="11.25" customHeight="1" x14ac:dyDescent="0.3">
      <c r="G1171" s="470"/>
      <c r="H1171" s="470">
        <v>1164</v>
      </c>
      <c r="I1171" s="455">
        <f t="shared" ca="1" si="105"/>
        <v>31484036.509679858</v>
      </c>
      <c r="J1171" s="455">
        <f t="array" ref="J1171">IFERROR(INDEX('Retirement Calculator'!K:K,MATCH('Lorri 401b'!N1171,'Retirement Calculator'!A:A,0),0),0)</f>
        <v>0</v>
      </c>
      <c r="K1171" s="455">
        <f t="shared" ca="1" si="103"/>
        <v>131183.48545699939</v>
      </c>
      <c r="L1171" s="455">
        <f t="shared" ca="1" si="104"/>
        <v>31615219.995136857</v>
      </c>
      <c r="M1171" s="471">
        <f t="shared" si="106"/>
        <v>0.05</v>
      </c>
      <c r="N1171" s="475">
        <f t="shared" si="107"/>
        <v>86685</v>
      </c>
    </row>
    <row r="1172" spans="7:14" ht="11.25" customHeight="1" x14ac:dyDescent="0.3">
      <c r="G1172" s="470"/>
      <c r="H1172" s="470">
        <v>1165</v>
      </c>
      <c r="I1172" s="455">
        <f t="shared" ca="1" si="105"/>
        <v>31615219.995136857</v>
      </c>
      <c r="J1172" s="455">
        <f t="array" ref="J1172">IFERROR(INDEX('Retirement Calculator'!K:K,MATCH('Lorri 401b'!N1172,'Retirement Calculator'!A:A,0),0),0)</f>
        <v>0</v>
      </c>
      <c r="K1172" s="455">
        <f t="shared" ca="1" si="103"/>
        <v>131730.08331307021</v>
      </c>
      <c r="L1172" s="455">
        <f t="shared" ca="1" si="104"/>
        <v>31746950.078449927</v>
      </c>
      <c r="M1172" s="471">
        <f t="shared" si="106"/>
        <v>0.05</v>
      </c>
      <c r="N1172" s="475">
        <f t="shared" si="107"/>
        <v>86716</v>
      </c>
    </row>
    <row r="1173" spans="7:14" ht="11.25" customHeight="1" x14ac:dyDescent="0.3">
      <c r="G1173" s="470"/>
      <c r="H1173" s="470">
        <v>1166</v>
      </c>
      <c r="I1173" s="455">
        <f t="shared" ca="1" si="105"/>
        <v>31746950.078449927</v>
      </c>
      <c r="J1173" s="455">
        <f t="array" ref="J1173">IFERROR(INDEX('Retirement Calculator'!K:K,MATCH('Lorri 401b'!N1173,'Retirement Calculator'!A:A,0),0),0)</f>
        <v>0</v>
      </c>
      <c r="K1173" s="455">
        <f t="shared" ca="1" si="103"/>
        <v>132278.95866020804</v>
      </c>
      <c r="L1173" s="455">
        <f t="shared" ca="1" si="104"/>
        <v>31879229.037110135</v>
      </c>
      <c r="M1173" s="471">
        <f t="shared" si="106"/>
        <v>0.05</v>
      </c>
      <c r="N1173" s="475">
        <f t="shared" si="107"/>
        <v>86746</v>
      </c>
    </row>
    <row r="1174" spans="7:14" ht="11.25" customHeight="1" x14ac:dyDescent="0.3">
      <c r="G1174" s="470"/>
      <c r="H1174" s="470">
        <v>1167</v>
      </c>
      <c r="I1174" s="455">
        <f t="shared" ca="1" si="105"/>
        <v>31879229.037110135</v>
      </c>
      <c r="J1174" s="455">
        <f t="array" ref="J1174">IFERROR(INDEX('Retirement Calculator'!K:K,MATCH('Lorri 401b'!N1174,'Retirement Calculator'!A:A,0),0),0)</f>
        <v>0</v>
      </c>
      <c r="K1174" s="455">
        <f t="shared" ca="1" si="103"/>
        <v>132830.12098795889</v>
      </c>
      <c r="L1174" s="455">
        <f t="shared" ca="1" si="104"/>
        <v>32012059.158098094</v>
      </c>
      <c r="M1174" s="471">
        <f t="shared" si="106"/>
        <v>0.05</v>
      </c>
      <c r="N1174" s="475">
        <f t="shared" si="107"/>
        <v>86777</v>
      </c>
    </row>
    <row r="1175" spans="7:14" ht="11.25" customHeight="1" x14ac:dyDescent="0.3">
      <c r="G1175" s="470"/>
      <c r="H1175" s="470">
        <v>1168</v>
      </c>
      <c r="I1175" s="455">
        <f t="shared" ca="1" si="105"/>
        <v>32012059.158098094</v>
      </c>
      <c r="J1175" s="455">
        <f t="array" ref="J1175">IFERROR(INDEX('Retirement Calculator'!K:K,MATCH('Lorri 401b'!N1175,'Retirement Calculator'!A:A,0),0),0)</f>
        <v>0</v>
      </c>
      <c r="K1175" s="455">
        <f t="shared" ca="1" si="103"/>
        <v>133383.57982540873</v>
      </c>
      <c r="L1175" s="455">
        <f t="shared" ca="1" si="104"/>
        <v>32145442.737923503</v>
      </c>
      <c r="M1175" s="471">
        <f t="shared" si="106"/>
        <v>0.05</v>
      </c>
      <c r="N1175" s="475">
        <f t="shared" si="107"/>
        <v>86808</v>
      </c>
    </row>
    <row r="1176" spans="7:14" ht="11.25" customHeight="1" x14ac:dyDescent="0.3">
      <c r="G1176" s="470"/>
      <c r="H1176" s="470">
        <v>1169</v>
      </c>
      <c r="I1176" s="455">
        <f t="shared" ca="1" si="105"/>
        <v>32145442.737923503</v>
      </c>
      <c r="J1176" s="455">
        <f t="array" ref="J1176">IFERROR(INDEX('Retirement Calculator'!K:K,MATCH('Lorri 401b'!N1176,'Retirement Calculator'!A:A,0),0),0)</f>
        <v>0</v>
      </c>
      <c r="K1176" s="455">
        <f t="shared" ca="1" si="103"/>
        <v>133939.34474134794</v>
      </c>
      <c r="L1176" s="455">
        <f t="shared" ca="1" si="104"/>
        <v>32279382.082664851</v>
      </c>
      <c r="M1176" s="471">
        <f t="shared" si="106"/>
        <v>0.05</v>
      </c>
      <c r="N1176" s="475">
        <f t="shared" si="107"/>
        <v>86838</v>
      </c>
    </row>
    <row r="1177" spans="7:14" ht="11.25" customHeight="1" x14ac:dyDescent="0.3">
      <c r="G1177" s="470"/>
      <c r="H1177" s="470">
        <v>1170</v>
      </c>
      <c r="I1177" s="455">
        <f t="shared" ca="1" si="105"/>
        <v>32279382.082664851</v>
      </c>
      <c r="J1177" s="455">
        <f t="array" ref="J1177">IFERROR(INDEX('Retirement Calculator'!K:K,MATCH('Lorri 401b'!N1177,'Retirement Calculator'!A:A,0),0),0)</f>
        <v>0</v>
      </c>
      <c r="K1177" s="455">
        <f t="shared" ca="1" si="103"/>
        <v>134497.4253444369</v>
      </c>
      <c r="L1177" s="455">
        <f t="shared" ca="1" si="104"/>
        <v>32413879.508009288</v>
      </c>
      <c r="M1177" s="471">
        <f t="shared" si="106"/>
        <v>0.05</v>
      </c>
      <c r="N1177" s="475">
        <f t="shared" si="107"/>
        <v>86869</v>
      </c>
    </row>
    <row r="1178" spans="7:14" ht="11.25" customHeight="1" x14ac:dyDescent="0.3">
      <c r="G1178" s="470"/>
      <c r="H1178" s="470">
        <v>1171</v>
      </c>
      <c r="I1178" s="455">
        <f t="shared" ca="1" si="105"/>
        <v>32413879.508009288</v>
      </c>
      <c r="J1178" s="455">
        <f t="array" ref="J1178">IFERROR(INDEX('Retirement Calculator'!K:K,MATCH('Lorri 401b'!N1178,'Retirement Calculator'!A:A,0),0),0)</f>
        <v>0</v>
      </c>
      <c r="K1178" s="455">
        <f t="shared" ca="1" si="103"/>
        <v>135057.83128337204</v>
      </c>
      <c r="L1178" s="455">
        <f t="shared" ca="1" si="104"/>
        <v>32548937.33929266</v>
      </c>
      <c r="M1178" s="471">
        <f t="shared" si="106"/>
        <v>0.05</v>
      </c>
      <c r="N1178" s="475">
        <f t="shared" si="107"/>
        <v>86899</v>
      </c>
    </row>
    <row r="1179" spans="7:14" ht="11.25" customHeight="1" x14ac:dyDescent="0.3">
      <c r="G1179" s="470"/>
      <c r="H1179" s="470">
        <v>1172</v>
      </c>
      <c r="I1179" s="455">
        <f t="shared" ca="1" si="105"/>
        <v>32548937.33929266</v>
      </c>
      <c r="J1179" s="455">
        <f t="array" ref="J1179">IFERROR(INDEX('Retirement Calculator'!K:K,MATCH('Lorri 401b'!N1179,'Retirement Calculator'!A:A,0),0),0)</f>
        <v>0</v>
      </c>
      <c r="K1179" s="455">
        <f t="shared" ca="1" si="103"/>
        <v>135620.57224705274</v>
      </c>
      <c r="L1179" s="455">
        <f t="shared" ca="1" si="104"/>
        <v>32684557.911539715</v>
      </c>
      <c r="M1179" s="471">
        <f t="shared" si="106"/>
        <v>0.05</v>
      </c>
      <c r="N1179" s="475">
        <f t="shared" si="107"/>
        <v>86930</v>
      </c>
    </row>
    <row r="1180" spans="7:14" ht="11.25" customHeight="1" x14ac:dyDescent="0.3">
      <c r="G1180" s="470"/>
      <c r="H1180" s="470">
        <v>1173</v>
      </c>
      <c r="I1180" s="455">
        <f t="shared" ca="1" si="105"/>
        <v>32684557.911539715</v>
      </c>
      <c r="J1180" s="455">
        <f t="array" ref="J1180">IFERROR(INDEX('Retirement Calculator'!K:K,MATCH('Lorri 401b'!N1180,'Retirement Calculator'!A:A,0),0),0)</f>
        <v>0</v>
      </c>
      <c r="K1180" s="455">
        <f t="shared" ca="1" si="103"/>
        <v>136185.6579647488</v>
      </c>
      <c r="L1180" s="455">
        <f t="shared" ca="1" si="104"/>
        <v>32820743.569504462</v>
      </c>
      <c r="M1180" s="471">
        <f t="shared" si="106"/>
        <v>0.05</v>
      </c>
      <c r="N1180" s="475">
        <f t="shared" si="107"/>
        <v>86961</v>
      </c>
    </row>
    <row r="1181" spans="7:14" ht="11.25" customHeight="1" x14ac:dyDescent="0.3">
      <c r="G1181" s="470"/>
      <c r="H1181" s="470">
        <v>1174</v>
      </c>
      <c r="I1181" s="455">
        <f t="shared" ca="1" si="105"/>
        <v>32820743.569504462</v>
      </c>
      <c r="J1181" s="455">
        <f t="array" ref="J1181">IFERROR(INDEX('Retirement Calculator'!K:K,MATCH('Lorri 401b'!N1181,'Retirement Calculator'!A:A,0),0),0)</f>
        <v>0</v>
      </c>
      <c r="K1181" s="455">
        <f t="shared" ca="1" si="103"/>
        <v>136753.09820626859</v>
      </c>
      <c r="L1181" s="455">
        <f t="shared" ca="1" si="104"/>
        <v>32957496.667710729</v>
      </c>
      <c r="M1181" s="471">
        <f t="shared" si="106"/>
        <v>0.05</v>
      </c>
      <c r="N1181" s="475">
        <f t="shared" si="107"/>
        <v>86989</v>
      </c>
    </row>
    <row r="1182" spans="7:14" ht="11.25" customHeight="1" x14ac:dyDescent="0.3">
      <c r="G1182" s="470"/>
      <c r="H1182" s="470">
        <v>1175</v>
      </c>
      <c r="I1182" s="455">
        <f t="shared" ca="1" si="105"/>
        <v>32957496.667710729</v>
      </c>
      <c r="J1182" s="455">
        <f t="array" ref="J1182">IFERROR(INDEX('Retirement Calculator'!K:K,MATCH('Lorri 401b'!N1182,'Retirement Calculator'!A:A,0),0),0)</f>
        <v>0</v>
      </c>
      <c r="K1182" s="455">
        <f t="shared" ca="1" si="103"/>
        <v>137322.90278212805</v>
      </c>
      <c r="L1182" s="455">
        <f t="shared" ca="1" si="104"/>
        <v>33094819.570492856</v>
      </c>
      <c r="M1182" s="471">
        <f t="shared" si="106"/>
        <v>0.05</v>
      </c>
      <c r="N1182" s="475">
        <f t="shared" si="107"/>
        <v>87020</v>
      </c>
    </row>
    <row r="1183" spans="7:14" ht="11.25" customHeight="1" x14ac:dyDescent="0.3">
      <c r="G1183" s="470"/>
      <c r="H1183" s="470">
        <v>1176</v>
      </c>
      <c r="I1183" s="455">
        <f t="shared" ca="1" si="105"/>
        <v>33094819.570492856</v>
      </c>
      <c r="J1183" s="455">
        <f t="array" ref="J1183">IFERROR(INDEX('Retirement Calculator'!K:K,MATCH('Lorri 401b'!N1183,'Retirement Calculator'!A:A,0),0),0)</f>
        <v>0</v>
      </c>
      <c r="K1183" s="455">
        <f t="shared" ca="1" si="103"/>
        <v>137895.08154372024</v>
      </c>
      <c r="L1183" s="455">
        <f t="shared" ca="1" si="104"/>
        <v>33232714.652036577</v>
      </c>
      <c r="M1183" s="471">
        <f t="shared" si="106"/>
        <v>0.05</v>
      </c>
      <c r="N1183" s="475">
        <f t="shared" si="107"/>
        <v>87050</v>
      </c>
    </row>
    <row r="1184" spans="7:14" ht="11.25" customHeight="1" x14ac:dyDescent="0.3">
      <c r="G1184" s="470"/>
      <c r="H1184" s="470">
        <v>1177</v>
      </c>
      <c r="I1184" s="455">
        <f t="shared" ca="1" si="105"/>
        <v>33232714.652036577</v>
      </c>
      <c r="J1184" s="455">
        <f t="array" ref="J1184">IFERROR(INDEX('Retirement Calculator'!K:K,MATCH('Lorri 401b'!N1184,'Retirement Calculator'!A:A,0),0),0)</f>
        <v>0</v>
      </c>
      <c r="K1184" s="455">
        <f t="shared" ca="1" si="103"/>
        <v>138469.64438348575</v>
      </c>
      <c r="L1184" s="455">
        <f t="shared" ca="1" si="104"/>
        <v>33371184.296420064</v>
      </c>
      <c r="M1184" s="471">
        <f t="shared" si="106"/>
        <v>0.05</v>
      </c>
      <c r="N1184" s="475">
        <f t="shared" si="107"/>
        <v>87081</v>
      </c>
    </row>
    <row r="1185" spans="7:14" ht="11.25" customHeight="1" x14ac:dyDescent="0.3">
      <c r="G1185" s="470"/>
      <c r="H1185" s="470">
        <v>1178</v>
      </c>
      <c r="I1185" s="455">
        <f t="shared" ca="1" si="105"/>
        <v>33371184.296420064</v>
      </c>
      <c r="J1185" s="455">
        <f t="array" ref="J1185">IFERROR(INDEX('Retirement Calculator'!K:K,MATCH('Lorri 401b'!N1185,'Retirement Calculator'!A:A,0),0),0)</f>
        <v>0</v>
      </c>
      <c r="K1185" s="455">
        <f t="shared" ca="1" si="103"/>
        <v>139046.6012350836</v>
      </c>
      <c r="L1185" s="455">
        <f t="shared" ca="1" si="104"/>
        <v>33510230.897655148</v>
      </c>
      <c r="M1185" s="471">
        <f t="shared" si="106"/>
        <v>0.05</v>
      </c>
      <c r="N1185" s="475">
        <f t="shared" si="107"/>
        <v>87111</v>
      </c>
    </row>
    <row r="1186" spans="7:14" ht="11.25" customHeight="1" x14ac:dyDescent="0.3">
      <c r="G1186" s="470"/>
      <c r="H1186" s="470">
        <v>1179</v>
      </c>
      <c r="I1186" s="455">
        <f t="shared" ca="1" si="105"/>
        <v>33510230.897655148</v>
      </c>
      <c r="J1186" s="455">
        <f t="array" ref="J1186">IFERROR(INDEX('Retirement Calculator'!K:K,MATCH('Lorri 401b'!N1186,'Retirement Calculator'!A:A,0),0),0)</f>
        <v>0</v>
      </c>
      <c r="K1186" s="455">
        <f t="shared" ca="1" si="103"/>
        <v>139625.9620735631</v>
      </c>
      <c r="L1186" s="455">
        <f t="shared" ca="1" si="104"/>
        <v>33649856.859728709</v>
      </c>
      <c r="M1186" s="471">
        <f t="shared" si="106"/>
        <v>0.05</v>
      </c>
      <c r="N1186" s="475">
        <f t="shared" si="107"/>
        <v>87142</v>
      </c>
    </row>
    <row r="1187" spans="7:14" ht="11.25" customHeight="1" x14ac:dyDescent="0.3">
      <c r="G1187" s="470"/>
      <c r="H1187" s="470">
        <v>1180</v>
      </c>
      <c r="I1187" s="455">
        <f t="shared" ca="1" si="105"/>
        <v>33649856.859728709</v>
      </c>
      <c r="J1187" s="455">
        <f t="array" ref="J1187">IFERROR(INDEX('Retirement Calculator'!K:K,MATCH('Lorri 401b'!N1187,'Retirement Calculator'!A:A,0),0),0)</f>
        <v>0</v>
      </c>
      <c r="K1187" s="455">
        <f t="shared" ca="1" si="103"/>
        <v>140207.73691553628</v>
      </c>
      <c r="L1187" s="455">
        <f t="shared" ca="1" si="104"/>
        <v>33790064.596644245</v>
      </c>
      <c r="M1187" s="471">
        <f t="shared" si="106"/>
        <v>0.05</v>
      </c>
      <c r="N1187" s="475">
        <f t="shared" si="107"/>
        <v>87173</v>
      </c>
    </row>
    <row r="1188" spans="7:14" ht="11.25" customHeight="1" x14ac:dyDescent="0.3">
      <c r="G1188" s="470"/>
      <c r="H1188" s="470">
        <v>1181</v>
      </c>
      <c r="I1188" s="455">
        <f t="shared" ca="1" si="105"/>
        <v>33790064.596644245</v>
      </c>
      <c r="J1188" s="455">
        <f t="array" ref="J1188">IFERROR(INDEX('Retirement Calculator'!K:K,MATCH('Lorri 401b'!N1188,'Retirement Calculator'!A:A,0),0),0)</f>
        <v>0</v>
      </c>
      <c r="K1188" s="455">
        <f t="shared" ca="1" si="103"/>
        <v>140791.93581935103</v>
      </c>
      <c r="L1188" s="455">
        <f t="shared" ca="1" si="104"/>
        <v>33930856.532463595</v>
      </c>
      <c r="M1188" s="471">
        <f t="shared" si="106"/>
        <v>0.05</v>
      </c>
      <c r="N1188" s="475">
        <f t="shared" si="107"/>
        <v>87203</v>
      </c>
    </row>
    <row r="1189" spans="7:14" ht="11.25" customHeight="1" x14ac:dyDescent="0.3">
      <c r="G1189" s="470"/>
      <c r="H1189" s="470">
        <v>1182</v>
      </c>
      <c r="I1189" s="455">
        <f t="shared" ca="1" si="105"/>
        <v>33930856.532463595</v>
      </c>
      <c r="J1189" s="455">
        <f t="array" ref="J1189">IFERROR(INDEX('Retirement Calculator'!K:K,MATCH('Lorri 401b'!N1189,'Retirement Calculator'!A:A,0),0),0)</f>
        <v>0</v>
      </c>
      <c r="K1189" s="455">
        <f t="shared" ca="1" si="103"/>
        <v>141378.56888526498</v>
      </c>
      <c r="L1189" s="455">
        <f t="shared" ca="1" si="104"/>
        <v>34072235.101348862</v>
      </c>
      <c r="M1189" s="471">
        <f t="shared" si="106"/>
        <v>0.05</v>
      </c>
      <c r="N1189" s="475">
        <f t="shared" si="107"/>
        <v>87234</v>
      </c>
    </row>
    <row r="1190" spans="7:14" ht="11.25" customHeight="1" x14ac:dyDescent="0.3">
      <c r="G1190" s="470"/>
      <c r="H1190" s="470">
        <v>1183</v>
      </c>
      <c r="I1190" s="455">
        <f t="shared" ca="1" si="105"/>
        <v>34072235.101348862</v>
      </c>
      <c r="J1190" s="455">
        <f t="array" ref="J1190">IFERROR(INDEX('Retirement Calculator'!K:K,MATCH('Lorri 401b'!N1190,'Retirement Calculator'!A:A,0),0),0)</f>
        <v>0</v>
      </c>
      <c r="K1190" s="455">
        <f t="shared" ca="1" si="103"/>
        <v>141967.64625562026</v>
      </c>
      <c r="L1190" s="455">
        <f t="shared" ca="1" si="104"/>
        <v>34214202.747604482</v>
      </c>
      <c r="M1190" s="471">
        <f t="shared" si="106"/>
        <v>0.05</v>
      </c>
      <c r="N1190" s="475">
        <f t="shared" si="107"/>
        <v>87264</v>
      </c>
    </row>
    <row r="1191" spans="7:14" ht="11.25" customHeight="1" x14ac:dyDescent="0.3">
      <c r="G1191" s="470"/>
      <c r="H1191" s="470">
        <v>1184</v>
      </c>
      <c r="I1191" s="455">
        <f t="shared" ca="1" si="105"/>
        <v>34214202.747604482</v>
      </c>
      <c r="J1191" s="455">
        <f t="array" ref="J1191">IFERROR(INDEX('Retirement Calculator'!K:K,MATCH('Lorri 401b'!N1191,'Retirement Calculator'!A:A,0),0),0)</f>
        <v>0</v>
      </c>
      <c r="K1191" s="455">
        <f t="shared" ca="1" si="103"/>
        <v>142559.17811501867</v>
      </c>
      <c r="L1191" s="455">
        <f t="shared" ca="1" si="104"/>
        <v>34356761.9257195</v>
      </c>
      <c r="M1191" s="471">
        <f t="shared" si="106"/>
        <v>0.05</v>
      </c>
      <c r="N1191" s="475">
        <f t="shared" si="107"/>
        <v>87295</v>
      </c>
    </row>
    <row r="1192" spans="7:14" ht="11.25" customHeight="1" x14ac:dyDescent="0.3">
      <c r="G1192" s="470"/>
      <c r="H1192" s="470">
        <v>1185</v>
      </c>
      <c r="I1192" s="455">
        <f t="shared" ca="1" si="105"/>
        <v>34356761.9257195</v>
      </c>
      <c r="J1192" s="455">
        <f t="array" ref="J1192">IFERROR(INDEX('Retirement Calculator'!K:K,MATCH('Lorri 401b'!N1192,'Retirement Calculator'!A:A,0),0),0)</f>
        <v>0</v>
      </c>
      <c r="K1192" s="455">
        <f t="shared" ca="1" si="103"/>
        <v>143153.17469049792</v>
      </c>
      <c r="L1192" s="455">
        <f t="shared" ca="1" si="104"/>
        <v>34499915.100409999</v>
      </c>
      <c r="M1192" s="471">
        <f t="shared" si="106"/>
        <v>0.05</v>
      </c>
      <c r="N1192" s="475">
        <f t="shared" si="107"/>
        <v>87326</v>
      </c>
    </row>
    <row r="1193" spans="7:14" ht="11.25" customHeight="1" x14ac:dyDescent="0.3">
      <c r="G1193" s="470"/>
      <c r="H1193" s="470">
        <v>1186</v>
      </c>
      <c r="I1193" s="455">
        <f t="shared" ca="1" si="105"/>
        <v>34499915.100409999</v>
      </c>
      <c r="J1193" s="455">
        <f t="array" ref="J1193">IFERROR(INDEX('Retirement Calculator'!K:K,MATCH('Lorri 401b'!N1193,'Retirement Calculator'!A:A,0),0),0)</f>
        <v>0</v>
      </c>
      <c r="K1193" s="455">
        <f t="shared" ca="1" si="103"/>
        <v>143749.64625170833</v>
      </c>
      <c r="L1193" s="455">
        <f t="shared" ca="1" si="104"/>
        <v>34643664.746661708</v>
      </c>
      <c r="M1193" s="471">
        <f t="shared" si="106"/>
        <v>0.05</v>
      </c>
      <c r="N1193" s="475">
        <f t="shared" si="107"/>
        <v>87354</v>
      </c>
    </row>
    <row r="1194" spans="7:14" ht="11.25" customHeight="1" x14ac:dyDescent="0.3">
      <c r="G1194" s="470"/>
      <c r="H1194" s="470">
        <v>1187</v>
      </c>
      <c r="I1194" s="455">
        <f t="shared" ca="1" si="105"/>
        <v>34643664.746661708</v>
      </c>
      <c r="J1194" s="455">
        <f t="array" ref="J1194">IFERROR(INDEX('Retirement Calculator'!K:K,MATCH('Lorri 401b'!N1194,'Retirement Calculator'!A:A,0),0),0)</f>
        <v>0</v>
      </c>
      <c r="K1194" s="455">
        <f t="shared" ca="1" si="103"/>
        <v>144348.60311109046</v>
      </c>
      <c r="L1194" s="455">
        <f t="shared" ca="1" si="104"/>
        <v>34788013.349772796</v>
      </c>
      <c r="M1194" s="471">
        <f t="shared" si="106"/>
        <v>0.05</v>
      </c>
      <c r="N1194" s="475">
        <f t="shared" si="107"/>
        <v>87385</v>
      </c>
    </row>
    <row r="1195" spans="7:14" ht="11.25" customHeight="1" x14ac:dyDescent="0.3">
      <c r="G1195" s="470"/>
      <c r="H1195" s="470">
        <v>1188</v>
      </c>
      <c r="I1195" s="455">
        <f t="shared" ca="1" si="105"/>
        <v>34788013.349772796</v>
      </c>
      <c r="J1195" s="455">
        <f t="array" ref="J1195">IFERROR(INDEX('Retirement Calculator'!K:K,MATCH('Lorri 401b'!N1195,'Retirement Calculator'!A:A,0),0),0)</f>
        <v>0</v>
      </c>
      <c r="K1195" s="455">
        <f t="shared" ca="1" si="103"/>
        <v>144950.05562405332</v>
      </c>
      <c r="L1195" s="455">
        <f t="shared" ca="1" si="104"/>
        <v>34932963.405396849</v>
      </c>
      <c r="M1195" s="471">
        <f t="shared" si="106"/>
        <v>0.05</v>
      </c>
      <c r="N1195" s="475">
        <f t="shared" si="107"/>
        <v>87415</v>
      </c>
    </row>
    <row r="1196" spans="7:14" ht="11.25" customHeight="1" x14ac:dyDescent="0.3">
      <c r="G1196" s="470"/>
      <c r="H1196" s="470">
        <v>1189</v>
      </c>
      <c r="I1196" s="455">
        <f t="shared" ca="1" si="105"/>
        <v>34932963.405396849</v>
      </c>
      <c r="J1196" s="455">
        <f t="array" ref="J1196">IFERROR(INDEX('Retirement Calculator'!K:K,MATCH('Lorri 401b'!N1196,'Retirement Calculator'!A:A,0),0),0)</f>
        <v>0</v>
      </c>
      <c r="K1196" s="455">
        <f t="shared" ca="1" si="103"/>
        <v>145554.01418915353</v>
      </c>
      <c r="L1196" s="455">
        <f t="shared" ca="1" si="104"/>
        <v>35078517.419586003</v>
      </c>
      <c r="M1196" s="471">
        <f t="shared" si="106"/>
        <v>0.05</v>
      </c>
      <c r="N1196" s="475">
        <f t="shared" si="107"/>
        <v>87446</v>
      </c>
    </row>
    <row r="1197" spans="7:14" ht="11.25" customHeight="1" x14ac:dyDescent="0.3">
      <c r="G1197" s="470"/>
      <c r="H1197" s="470">
        <v>1190</v>
      </c>
      <c r="I1197" s="455">
        <f t="shared" ca="1" si="105"/>
        <v>35078517.419586003</v>
      </c>
      <c r="J1197" s="455">
        <f t="array" ref="J1197">IFERROR(INDEX('Retirement Calculator'!K:K,MATCH('Lorri 401b'!N1197,'Retirement Calculator'!A:A,0),0),0)</f>
        <v>0</v>
      </c>
      <c r="K1197" s="455">
        <f t="shared" ca="1" si="103"/>
        <v>146160.489248275</v>
      </c>
      <c r="L1197" s="455">
        <f t="shared" ca="1" si="104"/>
        <v>35224677.908834279</v>
      </c>
      <c r="M1197" s="471">
        <f t="shared" si="106"/>
        <v>0.05</v>
      </c>
      <c r="N1197" s="475">
        <f t="shared" si="107"/>
        <v>87476</v>
      </c>
    </row>
    <row r="1198" spans="7:14" ht="11.25" customHeight="1" x14ac:dyDescent="0.3">
      <c r="G1198" s="470"/>
      <c r="H1198" s="470">
        <v>1191</v>
      </c>
      <c r="I1198" s="455">
        <f t="shared" ca="1" si="105"/>
        <v>35224677.908834279</v>
      </c>
      <c r="J1198" s="455">
        <f t="array" ref="J1198">IFERROR(INDEX('Retirement Calculator'!K:K,MATCH('Lorri 401b'!N1198,'Retirement Calculator'!A:A,0),0),0)</f>
        <v>0</v>
      </c>
      <c r="K1198" s="455">
        <f t="shared" ca="1" si="103"/>
        <v>146769.4912868095</v>
      </c>
      <c r="L1198" s="455">
        <f t="shared" ca="1" si="104"/>
        <v>35371447.400121085</v>
      </c>
      <c r="M1198" s="471">
        <f t="shared" si="106"/>
        <v>0.05</v>
      </c>
      <c r="N1198" s="475">
        <f t="shared" si="107"/>
        <v>87507</v>
      </c>
    </row>
    <row r="1199" spans="7:14" ht="11.25" customHeight="1" x14ac:dyDescent="0.3">
      <c r="G1199" s="470"/>
      <c r="H1199" s="470">
        <v>1192</v>
      </c>
      <c r="I1199" s="455">
        <f t="shared" ca="1" si="105"/>
        <v>35371447.400121085</v>
      </c>
      <c r="J1199" s="455">
        <f t="array" ref="J1199">IFERROR(INDEX('Retirement Calculator'!K:K,MATCH('Lorri 401b'!N1199,'Retirement Calculator'!A:A,0),0),0)</f>
        <v>0</v>
      </c>
      <c r="K1199" s="455">
        <f t="shared" ca="1" si="103"/>
        <v>147381.03083383787</v>
      </c>
      <c r="L1199" s="455">
        <f t="shared" ca="1" si="104"/>
        <v>35518828.430954926</v>
      </c>
      <c r="M1199" s="471">
        <f t="shared" si="106"/>
        <v>0.05</v>
      </c>
      <c r="N1199" s="475">
        <f t="shared" si="107"/>
        <v>87538</v>
      </c>
    </row>
    <row r="1200" spans="7:14" ht="11.25" customHeight="1" x14ac:dyDescent="0.3">
      <c r="G1200" s="470"/>
      <c r="H1200" s="470">
        <v>1193</v>
      </c>
      <c r="I1200" s="455">
        <f t="shared" ca="1" si="105"/>
        <v>35518828.430954926</v>
      </c>
      <c r="J1200" s="455">
        <f t="array" ref="J1200">IFERROR(INDEX('Retirement Calculator'!K:K,MATCH('Lorri 401b'!N1200,'Retirement Calculator'!A:A,0),0),0)</f>
        <v>0</v>
      </c>
      <c r="K1200" s="455">
        <f t="shared" ca="1" si="103"/>
        <v>147995.11846231218</v>
      </c>
      <c r="L1200" s="455">
        <f t="shared" ca="1" si="104"/>
        <v>35666823.549417235</v>
      </c>
      <c r="M1200" s="471">
        <f t="shared" si="106"/>
        <v>0.05</v>
      </c>
      <c r="N1200" s="475">
        <f t="shared" si="107"/>
        <v>87568</v>
      </c>
    </row>
    <row r="1201" spans="7:14" ht="11.25" customHeight="1" x14ac:dyDescent="0.3">
      <c r="G1201" s="470"/>
      <c r="H1201" s="470">
        <v>1194</v>
      </c>
      <c r="I1201" s="455">
        <f t="shared" ca="1" si="105"/>
        <v>35666823.549417235</v>
      </c>
      <c r="J1201" s="455">
        <f t="array" ref="J1201">IFERROR(INDEX('Retirement Calculator'!K:K,MATCH('Lorri 401b'!N1201,'Retirement Calculator'!A:A,0),0),0)</f>
        <v>0</v>
      </c>
      <c r="K1201" s="455">
        <f t="shared" ca="1" si="103"/>
        <v>148611.76478923848</v>
      </c>
      <c r="L1201" s="455">
        <f t="shared" ca="1" si="104"/>
        <v>35815435.314206474</v>
      </c>
      <c r="M1201" s="471">
        <f t="shared" si="106"/>
        <v>0.05</v>
      </c>
      <c r="N1201" s="475">
        <f t="shared" si="107"/>
        <v>87599</v>
      </c>
    </row>
    <row r="1202" spans="7:14" ht="11.25" customHeight="1" x14ac:dyDescent="0.3">
      <c r="G1202" s="470"/>
      <c r="H1202" s="470">
        <v>1195</v>
      </c>
      <c r="I1202" s="455">
        <f t="shared" ca="1" si="105"/>
        <v>35815435.314206474</v>
      </c>
      <c r="J1202" s="455">
        <f t="array" ref="J1202">IFERROR(INDEX('Retirement Calculator'!K:K,MATCH('Lorri 401b'!N1202,'Retirement Calculator'!A:A,0),0),0)</f>
        <v>0</v>
      </c>
      <c r="K1202" s="455">
        <f t="shared" ca="1" si="103"/>
        <v>149230.9804758603</v>
      </c>
      <c r="L1202" s="455">
        <f t="shared" ca="1" si="104"/>
        <v>35964666.294682331</v>
      </c>
      <c r="M1202" s="471">
        <f t="shared" si="106"/>
        <v>0.05</v>
      </c>
      <c r="N1202" s="475">
        <f t="shared" si="107"/>
        <v>87629</v>
      </c>
    </row>
    <row r="1203" spans="7:14" ht="11.25" customHeight="1" x14ac:dyDescent="0.3">
      <c r="G1203" s="470"/>
      <c r="H1203" s="470">
        <v>1196</v>
      </c>
      <c r="I1203" s="455">
        <f t="shared" ca="1" si="105"/>
        <v>35964666.294682331</v>
      </c>
      <c r="J1203" s="455">
        <f t="array" ref="J1203">IFERROR(INDEX('Retirement Calculator'!K:K,MATCH('Lorri 401b'!N1203,'Retirement Calculator'!A:A,0),0),0)</f>
        <v>0</v>
      </c>
      <c r="K1203" s="455">
        <f t="shared" ca="1" si="103"/>
        <v>149852.77622784305</v>
      </c>
      <c r="L1203" s="455">
        <f t="shared" ca="1" si="104"/>
        <v>36114519.070910178</v>
      </c>
      <c r="M1203" s="471">
        <f t="shared" si="106"/>
        <v>0.05</v>
      </c>
      <c r="N1203" s="475">
        <f t="shared" si="107"/>
        <v>87660</v>
      </c>
    </row>
    <row r="1204" spans="7:14" ht="11.25" customHeight="1" x14ac:dyDescent="0.3">
      <c r="G1204" s="470"/>
      <c r="H1204" s="470">
        <v>1197</v>
      </c>
      <c r="I1204" s="455">
        <f t="shared" ca="1" si="105"/>
        <v>36114519.070910178</v>
      </c>
      <c r="J1204" s="455">
        <f t="array" ref="J1204">IFERROR(INDEX('Retirement Calculator'!K:K,MATCH('Lorri 401b'!N1204,'Retirement Calculator'!A:A,0),0),0)</f>
        <v>0</v>
      </c>
      <c r="K1204" s="455">
        <f t="shared" ca="1" si="103"/>
        <v>150477.16279545907</v>
      </c>
      <c r="L1204" s="455">
        <f t="shared" ca="1" si="104"/>
        <v>36264996.23370564</v>
      </c>
      <c r="M1204" s="471">
        <f t="shared" si="106"/>
        <v>0.05</v>
      </c>
      <c r="N1204" s="475">
        <f t="shared" si="107"/>
        <v>87691</v>
      </c>
    </row>
    <row r="1205" spans="7:14" ht="11.25" customHeight="1" x14ac:dyDescent="0.3">
      <c r="G1205" s="470"/>
      <c r="H1205" s="470">
        <v>1198</v>
      </c>
      <c r="I1205" s="455">
        <f t="shared" ca="1" si="105"/>
        <v>36264996.23370564</v>
      </c>
      <c r="J1205" s="455">
        <f t="array" ref="J1205">IFERROR(INDEX('Retirement Calculator'!K:K,MATCH('Lorri 401b'!N1205,'Retirement Calculator'!A:A,0),0),0)</f>
        <v>0</v>
      </c>
      <c r="K1205" s="455">
        <f t="shared" ca="1" si="103"/>
        <v>151104.1509737735</v>
      </c>
      <c r="L1205" s="455">
        <f t="shared" ca="1" si="104"/>
        <v>36416100.384679414</v>
      </c>
      <c r="M1205" s="471">
        <f t="shared" si="106"/>
        <v>0.05</v>
      </c>
      <c r="N1205" s="475">
        <f t="shared" si="107"/>
        <v>87720</v>
      </c>
    </row>
    <row r="1206" spans="7:14" ht="11.25" customHeight="1" x14ac:dyDescent="0.3">
      <c r="G1206" s="470"/>
      <c r="H1206" s="470">
        <v>1199</v>
      </c>
      <c r="I1206" s="455">
        <f t="shared" ca="1" si="105"/>
        <v>36416100.384679414</v>
      </c>
      <c r="J1206" s="455">
        <f t="array" ref="J1206">IFERROR(INDEX('Retirement Calculator'!K:K,MATCH('Lorri 401b'!N1206,'Retirement Calculator'!A:A,0),0),0)</f>
        <v>0</v>
      </c>
      <c r="K1206" s="455">
        <f t="shared" ca="1" si="103"/>
        <v>151733.75160283089</v>
      </c>
      <c r="L1206" s="455">
        <f t="shared" ca="1" si="104"/>
        <v>36567834.136282243</v>
      </c>
      <c r="M1206" s="471">
        <f t="shared" si="106"/>
        <v>0.05</v>
      </c>
      <c r="N1206" s="475">
        <f t="shared" si="107"/>
        <v>87751</v>
      </c>
    </row>
    <row r="1207" spans="7:14" ht="11.25" customHeight="1" x14ac:dyDescent="0.3">
      <c r="G1207" s="470"/>
      <c r="H1207" s="470">
        <v>1200</v>
      </c>
      <c r="I1207" s="455">
        <f t="shared" ca="1" si="105"/>
        <v>36567834.136282243</v>
      </c>
      <c r="J1207" s="455">
        <f t="array" ref="J1207">IFERROR(INDEX('Retirement Calculator'!K:K,MATCH('Lorri 401b'!N1207,'Retirement Calculator'!A:A,0),0),0)</f>
        <v>0</v>
      </c>
      <c r="K1207" s="455">
        <f t="shared" ca="1" si="103"/>
        <v>152365.97556784269</v>
      </c>
      <c r="L1207" s="455">
        <f t="shared" ca="1" si="104"/>
        <v>36720200.111850083</v>
      </c>
      <c r="M1207" s="471">
        <f t="shared" si="106"/>
        <v>0.05</v>
      </c>
      <c r="N1207" s="475">
        <f t="shared" si="107"/>
        <v>87781</v>
      </c>
    </row>
    <row r="1208" spans="7:14" ht="11.25" customHeight="1" x14ac:dyDescent="0.3">
      <c r="G1208" s="470"/>
      <c r="H1208" s="470">
        <v>1201</v>
      </c>
      <c r="I1208" s="455">
        <f t="shared" ca="1" si="105"/>
        <v>36720200.111850083</v>
      </c>
      <c r="J1208" s="455">
        <f t="array" ref="J1208">IFERROR(INDEX('Retirement Calculator'!K:K,MATCH('Lorri 401b'!N1208,'Retirement Calculator'!A:A,0),0),0)</f>
        <v>0</v>
      </c>
      <c r="K1208" s="455">
        <f t="shared" ca="1" si="103"/>
        <v>153000.83379937534</v>
      </c>
      <c r="L1208" s="455">
        <f t="shared" ca="1" si="104"/>
        <v>36873200.94564946</v>
      </c>
      <c r="M1208" s="471">
        <f t="shared" si="106"/>
        <v>0.05</v>
      </c>
      <c r="N1208" s="475">
        <f t="shared" si="107"/>
        <v>87812</v>
      </c>
    </row>
    <row r="1209" spans="7:14" ht="11.25" customHeight="1" x14ac:dyDescent="0.3">
      <c r="G1209" s="470"/>
      <c r="H1209" s="470">
        <v>1202</v>
      </c>
      <c r="I1209" s="455">
        <f t="shared" ca="1" si="105"/>
        <v>36873200.94564946</v>
      </c>
      <c r="J1209" s="455">
        <f t="array" ref="J1209">IFERROR(INDEX('Retirement Calculator'!K:K,MATCH('Lorri 401b'!N1209,'Retirement Calculator'!A:A,0),0),0)</f>
        <v>0</v>
      </c>
      <c r="K1209" s="455">
        <f t="shared" ca="1" si="103"/>
        <v>153638.33727353942</v>
      </c>
      <c r="L1209" s="455">
        <f t="shared" ca="1" si="104"/>
        <v>37026839.282922998</v>
      </c>
      <c r="M1209" s="471">
        <f t="shared" si="106"/>
        <v>0.05</v>
      </c>
      <c r="N1209" s="475">
        <f t="shared" si="107"/>
        <v>87842</v>
      </c>
    </row>
    <row r="1210" spans="7:14" ht="11.25" customHeight="1" x14ac:dyDescent="0.3">
      <c r="G1210" s="470"/>
      <c r="H1210" s="470">
        <v>1203</v>
      </c>
      <c r="I1210" s="455">
        <f t="shared" ca="1" si="105"/>
        <v>37026839.282922998</v>
      </c>
      <c r="J1210" s="455">
        <f t="array" ref="J1210">IFERROR(INDEX('Retirement Calculator'!K:K,MATCH('Lorri 401b'!N1210,'Retirement Calculator'!A:A,0),0),0)</f>
        <v>0</v>
      </c>
      <c r="K1210" s="455">
        <f t="shared" ca="1" si="103"/>
        <v>154278.49701217917</v>
      </c>
      <c r="L1210" s="455">
        <f t="shared" ca="1" si="104"/>
        <v>37181117.779935174</v>
      </c>
      <c r="M1210" s="471">
        <f t="shared" si="106"/>
        <v>0.05</v>
      </c>
      <c r="N1210" s="475">
        <f t="shared" si="107"/>
        <v>87873</v>
      </c>
    </row>
    <row r="1211" spans="7:14" ht="11.25" customHeight="1" x14ac:dyDescent="0.3">
      <c r="G1211" s="470"/>
      <c r="H1211" s="470">
        <v>1204</v>
      </c>
      <c r="I1211" s="455">
        <f t="shared" ca="1" si="105"/>
        <v>37181117.779935174</v>
      </c>
      <c r="J1211" s="455">
        <f t="array" ref="J1211">IFERROR(INDEX('Retirement Calculator'!K:K,MATCH('Lorri 401b'!N1211,'Retirement Calculator'!A:A,0),0),0)</f>
        <v>0</v>
      </c>
      <c r="K1211" s="455">
        <f t="shared" ca="1" si="103"/>
        <v>154921.32408306323</v>
      </c>
      <c r="L1211" s="455">
        <f t="shared" ca="1" si="104"/>
        <v>37336039.104018234</v>
      </c>
      <c r="M1211" s="471">
        <f t="shared" si="106"/>
        <v>0.05</v>
      </c>
      <c r="N1211" s="475">
        <f t="shared" si="107"/>
        <v>87904</v>
      </c>
    </row>
    <row r="1212" spans="7:14" ht="11.25" customHeight="1" x14ac:dyDescent="0.3">
      <c r="G1212" s="470"/>
      <c r="H1212" s="470">
        <v>1205</v>
      </c>
      <c r="I1212" s="455">
        <f t="shared" ca="1" si="105"/>
        <v>37336039.104018234</v>
      </c>
      <c r="J1212" s="455">
        <f t="array" ref="J1212">IFERROR(INDEX('Retirement Calculator'!K:K,MATCH('Lorri 401b'!N1212,'Retirement Calculator'!A:A,0),0),0)</f>
        <v>0</v>
      </c>
      <c r="K1212" s="455">
        <f t="shared" ca="1" si="103"/>
        <v>155566.82960007596</v>
      </c>
      <c r="L1212" s="455">
        <f t="shared" ca="1" si="104"/>
        <v>37491605.933618307</v>
      </c>
      <c r="M1212" s="471">
        <f t="shared" si="106"/>
        <v>0.05</v>
      </c>
      <c r="N1212" s="475">
        <f t="shared" si="107"/>
        <v>87934</v>
      </c>
    </row>
    <row r="1213" spans="7:14" ht="11.25" customHeight="1" x14ac:dyDescent="0.3">
      <c r="G1213" s="470"/>
      <c r="H1213" s="470">
        <v>1206</v>
      </c>
      <c r="I1213" s="455">
        <f t="shared" ca="1" si="105"/>
        <v>37491605.933618307</v>
      </c>
      <c r="J1213" s="455">
        <f t="array" ref="J1213">IFERROR(INDEX('Retirement Calculator'!K:K,MATCH('Lorri 401b'!N1213,'Retirement Calculator'!A:A,0),0),0)</f>
        <v>0</v>
      </c>
      <c r="K1213" s="455">
        <f t="shared" ca="1" si="103"/>
        <v>156215.02472340962</v>
      </c>
      <c r="L1213" s="455">
        <f t="shared" ca="1" si="104"/>
        <v>37647820.958341718</v>
      </c>
      <c r="M1213" s="471">
        <f t="shared" si="106"/>
        <v>0.05</v>
      </c>
      <c r="N1213" s="475">
        <f t="shared" si="107"/>
        <v>87965</v>
      </c>
    </row>
    <row r="1214" spans="7:14" ht="11.25" customHeight="1" x14ac:dyDescent="0.3">
      <c r="G1214" s="470"/>
      <c r="H1214" s="470">
        <v>1207</v>
      </c>
      <c r="I1214" s="455">
        <f t="shared" ca="1" si="105"/>
        <v>37647820.958341718</v>
      </c>
      <c r="J1214" s="455">
        <f t="array" ref="J1214">IFERROR(INDEX('Retirement Calculator'!K:K,MATCH('Lorri 401b'!N1214,'Retirement Calculator'!A:A,0),0),0)</f>
        <v>0</v>
      </c>
      <c r="K1214" s="455">
        <f t="shared" ca="1" si="103"/>
        <v>156865.92065975716</v>
      </c>
      <c r="L1214" s="455">
        <f t="shared" ca="1" si="104"/>
        <v>37804686.879001476</v>
      </c>
      <c r="M1214" s="471">
        <f t="shared" si="106"/>
        <v>0.05</v>
      </c>
      <c r="N1214" s="475">
        <f t="shared" si="107"/>
        <v>87995</v>
      </c>
    </row>
    <row r="1215" spans="7:14" ht="11.25" customHeight="1" x14ac:dyDescent="0.3">
      <c r="G1215" s="470"/>
      <c r="H1215" s="470">
        <v>1208</v>
      </c>
      <c r="I1215" s="455">
        <f t="shared" ca="1" si="105"/>
        <v>37804686.879001476</v>
      </c>
      <c r="J1215" s="455">
        <f t="array" ref="J1215">IFERROR(INDEX('Retirement Calculator'!K:K,MATCH('Lorri 401b'!N1215,'Retirement Calculator'!A:A,0),0),0)</f>
        <v>0</v>
      </c>
      <c r="K1215" s="455">
        <f t="shared" ca="1" si="103"/>
        <v>157519.52866250614</v>
      </c>
      <c r="L1215" s="455">
        <f t="shared" ca="1" si="104"/>
        <v>37962206.407663979</v>
      </c>
      <c r="M1215" s="471">
        <f t="shared" si="106"/>
        <v>0.05</v>
      </c>
      <c r="N1215" s="475">
        <f t="shared" si="107"/>
        <v>88026</v>
      </c>
    </row>
    <row r="1216" spans="7:14" ht="11.25" customHeight="1" x14ac:dyDescent="0.3">
      <c r="G1216" s="470"/>
      <c r="H1216" s="470">
        <v>1209</v>
      </c>
      <c r="I1216" s="455">
        <f t="shared" ca="1" si="105"/>
        <v>37962206.407663979</v>
      </c>
      <c r="J1216" s="455">
        <f t="array" ref="J1216">IFERROR(INDEX('Retirement Calculator'!K:K,MATCH('Lorri 401b'!N1216,'Retirement Calculator'!A:A,0),0),0)</f>
        <v>0</v>
      </c>
      <c r="K1216" s="455">
        <f t="shared" ca="1" si="103"/>
        <v>158175.86003193323</v>
      </c>
      <c r="L1216" s="455">
        <f t="shared" ca="1" si="104"/>
        <v>38120382.267695911</v>
      </c>
      <c r="M1216" s="471">
        <f t="shared" si="106"/>
        <v>0.05</v>
      </c>
      <c r="N1216" s="475">
        <f t="shared" si="107"/>
        <v>88057</v>
      </c>
    </row>
    <row r="1217" spans="7:14" ht="11.25" customHeight="1" x14ac:dyDescent="0.3">
      <c r="G1217" s="470"/>
      <c r="H1217" s="470">
        <v>1210</v>
      </c>
      <c r="I1217" s="455">
        <f t="shared" ca="1" si="105"/>
        <v>38120382.267695911</v>
      </c>
      <c r="J1217" s="455">
        <f t="array" ref="J1217">IFERROR(INDEX('Retirement Calculator'!K:K,MATCH('Lorri 401b'!N1217,'Retirement Calculator'!A:A,0),0),0)</f>
        <v>0</v>
      </c>
      <c r="K1217" s="455">
        <f t="shared" ca="1" si="103"/>
        <v>158834.92611539963</v>
      </c>
      <c r="L1217" s="455">
        <f t="shared" ca="1" si="104"/>
        <v>38279217.193811312</v>
      </c>
      <c r="M1217" s="471">
        <f t="shared" si="106"/>
        <v>0.05</v>
      </c>
      <c r="N1217" s="475">
        <f t="shared" si="107"/>
        <v>88085</v>
      </c>
    </row>
    <row r="1218" spans="7:14" ht="11.25" customHeight="1" x14ac:dyDescent="0.3">
      <c r="G1218" s="470"/>
      <c r="H1218" s="470">
        <v>1211</v>
      </c>
      <c r="I1218" s="455">
        <f t="shared" ca="1" si="105"/>
        <v>38279217.193811312</v>
      </c>
      <c r="J1218" s="455">
        <f t="array" ref="J1218">IFERROR(INDEX('Retirement Calculator'!K:K,MATCH('Lorri 401b'!N1218,'Retirement Calculator'!A:A,0),0),0)</f>
        <v>0</v>
      </c>
      <c r="K1218" s="455">
        <f t="shared" ca="1" si="103"/>
        <v>159496.73830754714</v>
      </c>
      <c r="L1218" s="455">
        <f t="shared" ca="1" si="104"/>
        <v>38438713.932118863</v>
      </c>
      <c r="M1218" s="471">
        <f t="shared" si="106"/>
        <v>0.05</v>
      </c>
      <c r="N1218" s="475">
        <f t="shared" si="107"/>
        <v>88116</v>
      </c>
    </row>
    <row r="1219" spans="7:14" ht="11.25" customHeight="1" x14ac:dyDescent="0.3">
      <c r="G1219" s="470"/>
      <c r="H1219" s="470">
        <v>1212</v>
      </c>
      <c r="I1219" s="455">
        <f t="shared" ca="1" si="105"/>
        <v>38438713.932118863</v>
      </c>
      <c r="J1219" s="455">
        <f t="array" ref="J1219">IFERROR(INDEX('Retirement Calculator'!K:K,MATCH('Lorri 401b'!N1219,'Retirement Calculator'!A:A,0),0),0)</f>
        <v>0</v>
      </c>
      <c r="K1219" s="455">
        <f t="shared" ca="1" si="103"/>
        <v>160161.30805049525</v>
      </c>
      <c r="L1219" s="455">
        <f t="shared" ca="1" si="104"/>
        <v>38598875.240169361</v>
      </c>
      <c r="M1219" s="471">
        <f t="shared" si="106"/>
        <v>0.05</v>
      </c>
      <c r="N1219" s="475">
        <f t="shared" si="107"/>
        <v>88146</v>
      </c>
    </row>
    <row r="1220" spans="7:14" ht="11.25" customHeight="1" x14ac:dyDescent="0.3">
      <c r="G1220" s="470"/>
      <c r="H1220" s="470">
        <v>1213</v>
      </c>
      <c r="I1220" s="455">
        <f t="shared" ca="1" si="105"/>
        <v>38598875.240169361</v>
      </c>
      <c r="J1220" s="455">
        <f t="array" ref="J1220">IFERROR(INDEX('Retirement Calculator'!K:K,MATCH('Lorri 401b'!N1220,'Retirement Calculator'!A:A,0),0),0)</f>
        <v>0</v>
      </c>
      <c r="K1220" s="455">
        <f t="shared" ca="1" si="103"/>
        <v>160828.64683403901</v>
      </c>
      <c r="L1220" s="455">
        <f t="shared" ca="1" si="104"/>
        <v>38759703.887003399</v>
      </c>
      <c r="M1220" s="471">
        <f t="shared" si="106"/>
        <v>0.05</v>
      </c>
      <c r="N1220" s="475">
        <f t="shared" si="107"/>
        <v>88177</v>
      </c>
    </row>
    <row r="1221" spans="7:14" ht="11.25" customHeight="1" x14ac:dyDescent="0.3">
      <c r="G1221" s="470"/>
      <c r="H1221" s="470">
        <v>1214</v>
      </c>
      <c r="I1221" s="455">
        <f t="shared" ca="1" si="105"/>
        <v>38759703.887003399</v>
      </c>
      <c r="J1221" s="455">
        <f t="array" ref="J1221">IFERROR(INDEX('Retirement Calculator'!K:K,MATCH('Lorri 401b'!N1221,'Retirement Calculator'!A:A,0),0),0)</f>
        <v>0</v>
      </c>
      <c r="K1221" s="455">
        <f t="shared" ca="1" si="103"/>
        <v>161498.76619584751</v>
      </c>
      <c r="L1221" s="455">
        <f t="shared" ca="1" si="104"/>
        <v>38921202.653199248</v>
      </c>
      <c r="M1221" s="471">
        <f t="shared" si="106"/>
        <v>0.05</v>
      </c>
      <c r="N1221" s="475">
        <f t="shared" si="107"/>
        <v>88207</v>
      </c>
    </row>
    <row r="1222" spans="7:14" ht="11.25" customHeight="1" x14ac:dyDescent="0.3">
      <c r="G1222" s="470"/>
      <c r="H1222" s="470">
        <v>1215</v>
      </c>
      <c r="I1222" s="455">
        <f t="shared" ca="1" si="105"/>
        <v>38921202.653199248</v>
      </c>
      <c r="J1222" s="455">
        <f t="array" ref="J1222">IFERROR(INDEX('Retirement Calculator'!K:K,MATCH('Lorri 401b'!N1222,'Retirement Calculator'!A:A,0),0),0)</f>
        <v>0</v>
      </c>
      <c r="K1222" s="455">
        <f t="shared" ca="1" si="103"/>
        <v>162171.67772166352</v>
      </c>
      <c r="L1222" s="455">
        <f t="shared" ca="1" si="104"/>
        <v>39083374.330920912</v>
      </c>
      <c r="M1222" s="471">
        <f t="shared" si="106"/>
        <v>0.05</v>
      </c>
      <c r="N1222" s="475">
        <f t="shared" si="107"/>
        <v>88238</v>
      </c>
    </row>
    <row r="1223" spans="7:14" ht="11.25" customHeight="1" x14ac:dyDescent="0.3">
      <c r="G1223" s="470"/>
      <c r="H1223" s="470">
        <v>1216</v>
      </c>
      <c r="I1223" s="455">
        <f t="shared" ca="1" si="105"/>
        <v>39083374.330920912</v>
      </c>
      <c r="J1223" s="455">
        <f t="array" ref="J1223">IFERROR(INDEX('Retirement Calculator'!K:K,MATCH('Lorri 401b'!N1223,'Retirement Calculator'!A:A,0),0),0)</f>
        <v>0</v>
      </c>
      <c r="K1223" s="455">
        <f t="shared" ca="1" si="103"/>
        <v>162847.39304550379</v>
      </c>
      <c r="L1223" s="455">
        <f t="shared" ca="1" si="104"/>
        <v>39246221.72396642</v>
      </c>
      <c r="M1223" s="471">
        <f t="shared" si="106"/>
        <v>0.05</v>
      </c>
      <c r="N1223" s="475">
        <f t="shared" si="107"/>
        <v>88269</v>
      </c>
    </row>
    <row r="1224" spans="7:14" ht="11.25" customHeight="1" x14ac:dyDescent="0.3">
      <c r="G1224" s="470"/>
      <c r="H1224" s="470">
        <v>1217</v>
      </c>
      <c r="I1224" s="455">
        <f t="shared" ca="1" si="105"/>
        <v>39246221.72396642</v>
      </c>
      <c r="J1224" s="455">
        <f t="array" ref="J1224">IFERROR(INDEX('Retirement Calculator'!K:K,MATCH('Lorri 401b'!N1224,'Retirement Calculator'!A:A,0),0),0)</f>
        <v>0</v>
      </c>
      <c r="K1224" s="455">
        <f t="shared" ca="1" si="103"/>
        <v>163525.92384986009</v>
      </c>
      <c r="L1224" s="455">
        <f t="shared" ca="1" si="104"/>
        <v>39409747.647816278</v>
      </c>
      <c r="M1224" s="471">
        <f t="shared" si="106"/>
        <v>0.05</v>
      </c>
      <c r="N1224" s="475">
        <f t="shared" si="107"/>
        <v>88299</v>
      </c>
    </row>
    <row r="1225" spans="7:14" ht="11.25" customHeight="1" x14ac:dyDescent="0.3">
      <c r="G1225" s="470"/>
      <c r="H1225" s="470">
        <v>1218</v>
      </c>
      <c r="I1225" s="455">
        <f t="shared" ca="1" si="105"/>
        <v>39409747.647816278</v>
      </c>
      <c r="J1225" s="455">
        <f t="array" ref="J1225">IFERROR(INDEX('Retirement Calculator'!K:K,MATCH('Lorri 401b'!N1225,'Retirement Calculator'!A:A,0),0),0)</f>
        <v>0</v>
      </c>
      <c r="K1225" s="455">
        <f t="shared" ca="1" si="103"/>
        <v>164207.28186590117</v>
      </c>
      <c r="L1225" s="455">
        <f t="shared" ca="1" si="104"/>
        <v>39573954.92968218</v>
      </c>
      <c r="M1225" s="471">
        <f t="shared" si="106"/>
        <v>0.05</v>
      </c>
      <c r="N1225" s="475">
        <f t="shared" si="107"/>
        <v>88330</v>
      </c>
    </row>
    <row r="1226" spans="7:14" ht="11.25" customHeight="1" x14ac:dyDescent="0.3">
      <c r="G1226" s="470"/>
      <c r="H1226" s="470">
        <v>1219</v>
      </c>
      <c r="I1226" s="455">
        <f t="shared" ca="1" si="105"/>
        <v>39573954.92968218</v>
      </c>
      <c r="J1226" s="455">
        <f t="array" ref="J1226">IFERROR(INDEX('Retirement Calculator'!K:K,MATCH('Lorri 401b'!N1226,'Retirement Calculator'!A:A,0),0),0)</f>
        <v>0</v>
      </c>
      <c r="K1226" s="455">
        <f t="shared" ca="1" si="103"/>
        <v>164891.47887367575</v>
      </c>
      <c r="L1226" s="455">
        <f t="shared" ca="1" si="104"/>
        <v>39738846.408555858</v>
      </c>
      <c r="M1226" s="471">
        <f t="shared" si="106"/>
        <v>0.05</v>
      </c>
      <c r="N1226" s="475">
        <f t="shared" si="107"/>
        <v>88360</v>
      </c>
    </row>
    <row r="1227" spans="7:14" ht="11.25" customHeight="1" x14ac:dyDescent="0.3">
      <c r="G1227" s="470"/>
      <c r="H1227" s="470">
        <v>1220</v>
      </c>
      <c r="I1227" s="455">
        <f t="shared" ca="1" si="105"/>
        <v>39738846.408555858</v>
      </c>
      <c r="J1227" s="455">
        <f t="array" ref="J1227">IFERROR(INDEX('Retirement Calculator'!K:K,MATCH('Lorri 401b'!N1227,'Retirement Calculator'!A:A,0),0),0)</f>
        <v>0</v>
      </c>
      <c r="K1227" s="455">
        <f t="shared" ca="1" si="103"/>
        <v>165578.52670231607</v>
      </c>
      <c r="L1227" s="455">
        <f t="shared" ca="1" si="104"/>
        <v>39904424.935258172</v>
      </c>
      <c r="M1227" s="471">
        <f t="shared" si="106"/>
        <v>0.05</v>
      </c>
      <c r="N1227" s="475">
        <f t="shared" si="107"/>
        <v>88391</v>
      </c>
    </row>
    <row r="1228" spans="7:14" ht="11.25" customHeight="1" x14ac:dyDescent="0.3">
      <c r="G1228" s="470"/>
      <c r="H1228" s="470">
        <v>1221</v>
      </c>
      <c r="I1228" s="455">
        <f t="shared" ca="1" si="105"/>
        <v>39904424.935258172</v>
      </c>
      <c r="J1228" s="455">
        <f t="array" ref="J1228">IFERROR(INDEX('Retirement Calculator'!K:K,MATCH('Lorri 401b'!N1228,'Retirement Calculator'!A:A,0),0),0)</f>
        <v>0</v>
      </c>
      <c r="K1228" s="455">
        <f t="shared" ca="1" si="103"/>
        <v>166268.43723024239</v>
      </c>
      <c r="L1228" s="455">
        <f t="shared" ca="1" si="104"/>
        <v>40070693.372488417</v>
      </c>
      <c r="M1228" s="471">
        <f t="shared" si="106"/>
        <v>0.05</v>
      </c>
      <c r="N1228" s="475">
        <f t="shared" si="107"/>
        <v>88422</v>
      </c>
    </row>
    <row r="1229" spans="7:14" ht="11.25" customHeight="1" x14ac:dyDescent="0.3">
      <c r="G1229" s="470"/>
      <c r="H1229" s="470">
        <v>1222</v>
      </c>
      <c r="I1229" s="455">
        <f t="shared" ca="1" si="105"/>
        <v>40070693.372488417</v>
      </c>
      <c r="J1229" s="455">
        <f t="array" ref="J1229">IFERROR(INDEX('Retirement Calculator'!K:K,MATCH('Lorri 401b'!N1229,'Retirement Calculator'!A:A,0),0),0)</f>
        <v>0</v>
      </c>
      <c r="K1229" s="455">
        <f t="shared" ca="1" si="103"/>
        <v>166961.2223853684</v>
      </c>
      <c r="L1229" s="455">
        <f t="shared" ca="1" si="104"/>
        <v>40237654.594873786</v>
      </c>
      <c r="M1229" s="471">
        <f t="shared" si="106"/>
        <v>0.05</v>
      </c>
      <c r="N1229" s="475">
        <f t="shared" si="107"/>
        <v>88450</v>
      </c>
    </row>
    <row r="1230" spans="7:14" ht="11.25" customHeight="1" x14ac:dyDescent="0.3">
      <c r="G1230" s="470"/>
      <c r="H1230" s="470">
        <v>1223</v>
      </c>
      <c r="I1230" s="455">
        <f t="shared" ca="1" si="105"/>
        <v>40237654.594873786</v>
      </c>
      <c r="J1230" s="455">
        <f t="array" ref="J1230">IFERROR(INDEX('Retirement Calculator'!K:K,MATCH('Lorri 401b'!N1230,'Retirement Calculator'!A:A,0),0),0)</f>
        <v>0</v>
      </c>
      <c r="K1230" s="455">
        <f t="shared" ca="1" si="103"/>
        <v>167656.89414530745</v>
      </c>
      <c r="L1230" s="455">
        <f t="shared" ca="1" si="104"/>
        <v>40405311.489019096</v>
      </c>
      <c r="M1230" s="471">
        <f t="shared" si="106"/>
        <v>0.05</v>
      </c>
      <c r="N1230" s="475">
        <f t="shared" si="107"/>
        <v>88481</v>
      </c>
    </row>
    <row r="1231" spans="7:14" ht="11.25" customHeight="1" x14ac:dyDescent="0.3">
      <c r="G1231" s="470"/>
      <c r="H1231" s="470">
        <v>1224</v>
      </c>
      <c r="I1231" s="455">
        <f t="shared" ca="1" si="105"/>
        <v>40405311.489019096</v>
      </c>
      <c r="J1231" s="455">
        <f t="array" ref="J1231">IFERROR(INDEX('Retirement Calculator'!K:K,MATCH('Lorri 401b'!N1231,'Retirement Calculator'!A:A,0),0),0)</f>
        <v>0</v>
      </c>
      <c r="K1231" s="455">
        <f t="shared" ca="1" si="103"/>
        <v>168355.46453757957</v>
      </c>
      <c r="L1231" s="455">
        <f t="shared" ca="1" si="104"/>
        <v>40573666.953556672</v>
      </c>
      <c r="M1231" s="471">
        <f t="shared" si="106"/>
        <v>0.05</v>
      </c>
      <c r="N1231" s="475">
        <f t="shared" si="107"/>
        <v>88511</v>
      </c>
    </row>
    <row r="1232" spans="7:14" ht="11.25" customHeight="1" x14ac:dyDescent="0.3">
      <c r="G1232" s="470"/>
      <c r="H1232" s="470">
        <v>1225</v>
      </c>
      <c r="I1232" s="455">
        <f t="shared" ca="1" si="105"/>
        <v>40573666.953556672</v>
      </c>
      <c r="J1232" s="455">
        <f t="array" ref="J1232">IFERROR(INDEX('Retirement Calculator'!K:K,MATCH('Lorri 401b'!N1232,'Retirement Calculator'!A:A,0),0),0)</f>
        <v>0</v>
      </c>
      <c r="K1232" s="455">
        <f t="shared" ca="1" si="103"/>
        <v>169056.94563981946</v>
      </c>
      <c r="L1232" s="455">
        <f t="shared" ca="1" si="104"/>
        <v>40742723.899196491</v>
      </c>
      <c r="M1232" s="471">
        <f t="shared" si="106"/>
        <v>0.05</v>
      </c>
      <c r="N1232" s="475">
        <f t="shared" si="107"/>
        <v>88542</v>
      </c>
    </row>
    <row r="1233" spans="7:14" ht="11.25" customHeight="1" x14ac:dyDescent="0.3">
      <c r="G1233" s="470"/>
      <c r="H1233" s="470">
        <v>1226</v>
      </c>
      <c r="I1233" s="455">
        <f t="shared" ca="1" si="105"/>
        <v>40742723.899196491</v>
      </c>
      <c r="J1233" s="455">
        <f t="array" ref="J1233">IFERROR(INDEX('Retirement Calculator'!K:K,MATCH('Lorri 401b'!N1233,'Retirement Calculator'!A:A,0),0),0)</f>
        <v>0</v>
      </c>
      <c r="K1233" s="455">
        <f t="shared" ca="1" si="103"/>
        <v>169761.34957998537</v>
      </c>
      <c r="L1233" s="455">
        <f t="shared" ca="1" si="104"/>
        <v>40912485.248776473</v>
      </c>
      <c r="M1233" s="471">
        <f t="shared" si="106"/>
        <v>0.05</v>
      </c>
      <c r="N1233" s="475">
        <f t="shared" si="107"/>
        <v>88572</v>
      </c>
    </row>
    <row r="1234" spans="7:14" ht="11.25" customHeight="1" x14ac:dyDescent="0.3">
      <c r="G1234" s="470"/>
      <c r="H1234" s="470">
        <v>1227</v>
      </c>
      <c r="I1234" s="455">
        <f t="shared" ca="1" si="105"/>
        <v>40912485.248776473</v>
      </c>
      <c r="J1234" s="455">
        <f t="array" ref="J1234">IFERROR(INDEX('Retirement Calculator'!K:K,MATCH('Lorri 401b'!N1234,'Retirement Calculator'!A:A,0),0),0)</f>
        <v>0</v>
      </c>
      <c r="K1234" s="455">
        <f t="shared" ca="1" si="103"/>
        <v>170468.68853656863</v>
      </c>
      <c r="L1234" s="455">
        <f t="shared" ca="1" si="104"/>
        <v>41082953.937313043</v>
      </c>
      <c r="M1234" s="471">
        <f t="shared" si="106"/>
        <v>0.05</v>
      </c>
      <c r="N1234" s="475">
        <f t="shared" si="107"/>
        <v>88603</v>
      </c>
    </row>
    <row r="1235" spans="7:14" ht="11.25" customHeight="1" x14ac:dyDescent="0.3">
      <c r="G1235" s="470"/>
      <c r="H1235" s="470">
        <v>1228</v>
      </c>
      <c r="I1235" s="455">
        <f t="shared" ca="1" si="105"/>
        <v>41082953.937313043</v>
      </c>
      <c r="J1235" s="455">
        <f t="array" ref="J1235">IFERROR(INDEX('Retirement Calculator'!K:K,MATCH('Lorri 401b'!N1235,'Retirement Calculator'!A:A,0),0),0)</f>
        <v>0</v>
      </c>
      <c r="K1235" s="455">
        <f t="shared" ca="1" si="103"/>
        <v>171178.97473880433</v>
      </c>
      <c r="L1235" s="455">
        <f t="shared" ca="1" si="104"/>
        <v>41254132.912051849</v>
      </c>
      <c r="M1235" s="471">
        <f t="shared" si="106"/>
        <v>0.05</v>
      </c>
      <c r="N1235" s="475">
        <f t="shared" si="107"/>
        <v>88634</v>
      </c>
    </row>
    <row r="1236" spans="7:14" ht="11.25" customHeight="1" x14ac:dyDescent="0.3">
      <c r="G1236" s="470"/>
      <c r="H1236" s="470">
        <v>1229</v>
      </c>
      <c r="I1236" s="455">
        <f t="shared" ca="1" si="105"/>
        <v>41254132.912051849</v>
      </c>
      <c r="J1236" s="455">
        <f t="array" ref="J1236">IFERROR(INDEX('Retirement Calculator'!K:K,MATCH('Lorri 401b'!N1236,'Retirement Calculator'!A:A,0),0),0)</f>
        <v>0</v>
      </c>
      <c r="K1236" s="455">
        <f t="shared" ca="1" si="103"/>
        <v>171892.22046688269</v>
      </c>
      <c r="L1236" s="455">
        <f t="shared" ca="1" si="104"/>
        <v>41426025.132518731</v>
      </c>
      <c r="M1236" s="471">
        <f t="shared" si="106"/>
        <v>0.05</v>
      </c>
      <c r="N1236" s="475">
        <f t="shared" si="107"/>
        <v>88664</v>
      </c>
    </row>
    <row r="1237" spans="7:14" ht="11.25" customHeight="1" x14ac:dyDescent="0.3">
      <c r="G1237" s="470"/>
      <c r="H1237" s="470">
        <v>1230</v>
      </c>
      <c r="I1237" s="455">
        <f t="shared" ca="1" si="105"/>
        <v>41426025.132518731</v>
      </c>
      <c r="J1237" s="455">
        <f t="array" ref="J1237">IFERROR(INDEX('Retirement Calculator'!K:K,MATCH('Lorri 401b'!N1237,'Retirement Calculator'!A:A,0),0),0)</f>
        <v>0</v>
      </c>
      <c r="K1237" s="455">
        <f t="shared" ca="1" si="103"/>
        <v>172608.43805216136</v>
      </c>
      <c r="L1237" s="455">
        <f t="shared" ca="1" si="104"/>
        <v>41598633.570570894</v>
      </c>
      <c r="M1237" s="471">
        <f t="shared" si="106"/>
        <v>0.05</v>
      </c>
      <c r="N1237" s="475">
        <f t="shared" si="107"/>
        <v>88695</v>
      </c>
    </row>
    <row r="1238" spans="7:14" ht="11.25" customHeight="1" x14ac:dyDescent="0.3">
      <c r="G1238" s="470"/>
      <c r="H1238" s="470">
        <v>1231</v>
      </c>
      <c r="I1238" s="455">
        <f t="shared" ca="1" si="105"/>
        <v>41598633.570570894</v>
      </c>
      <c r="J1238" s="455">
        <f t="array" ref="J1238">IFERROR(INDEX('Retirement Calculator'!K:K,MATCH('Lorri 401b'!N1238,'Retirement Calculator'!A:A,0),0),0)</f>
        <v>0</v>
      </c>
      <c r="K1238" s="455">
        <f t="shared" ca="1" si="103"/>
        <v>173327.63987737871</v>
      </c>
      <c r="L1238" s="455">
        <f t="shared" ca="1" si="104"/>
        <v>41771961.210448273</v>
      </c>
      <c r="M1238" s="471">
        <f t="shared" si="106"/>
        <v>0.05</v>
      </c>
      <c r="N1238" s="475">
        <f t="shared" si="107"/>
        <v>88725</v>
      </c>
    </row>
    <row r="1239" spans="7:14" ht="11.25" customHeight="1" x14ac:dyDescent="0.3">
      <c r="G1239" s="470"/>
      <c r="H1239" s="470">
        <v>1232</v>
      </c>
      <c r="I1239" s="455">
        <f t="shared" ca="1" si="105"/>
        <v>41771961.210448273</v>
      </c>
      <c r="J1239" s="455">
        <f t="array" ref="J1239">IFERROR(INDEX('Retirement Calculator'!K:K,MATCH('Lorri 401b'!N1239,'Retirement Calculator'!A:A,0),0),0)</f>
        <v>0</v>
      </c>
      <c r="K1239" s="455">
        <f t="shared" ca="1" si="103"/>
        <v>174049.83837686779</v>
      </c>
      <c r="L1239" s="455">
        <f t="shared" ca="1" si="104"/>
        <v>41946011.048825137</v>
      </c>
      <c r="M1239" s="471">
        <f t="shared" si="106"/>
        <v>0.05</v>
      </c>
      <c r="N1239" s="475">
        <f t="shared" si="107"/>
        <v>88756</v>
      </c>
    </row>
    <row r="1240" spans="7:14" ht="11.25" customHeight="1" x14ac:dyDescent="0.3">
      <c r="G1240" s="470"/>
      <c r="H1240" s="470">
        <v>1233</v>
      </c>
      <c r="I1240" s="455">
        <f t="shared" ca="1" si="105"/>
        <v>41946011.048825137</v>
      </c>
      <c r="J1240" s="455">
        <f t="array" ref="J1240">IFERROR(INDEX('Retirement Calculator'!K:K,MATCH('Lorri 401b'!N1240,'Retirement Calculator'!A:A,0),0),0)</f>
        <v>0</v>
      </c>
      <c r="K1240" s="455">
        <f t="shared" ca="1" si="103"/>
        <v>174775.04603677141</v>
      </c>
      <c r="L1240" s="455">
        <f t="shared" ca="1" si="104"/>
        <v>42120786.09486191</v>
      </c>
      <c r="M1240" s="471">
        <f t="shared" si="106"/>
        <v>0.05</v>
      </c>
      <c r="N1240" s="475">
        <f t="shared" si="107"/>
        <v>88787</v>
      </c>
    </row>
    <row r="1241" spans="7:14" ht="11.25" customHeight="1" x14ac:dyDescent="0.3">
      <c r="G1241" s="470"/>
      <c r="H1241" s="470">
        <v>1234</v>
      </c>
      <c r="I1241" s="455">
        <f t="shared" ca="1" si="105"/>
        <v>42120786.09486191</v>
      </c>
      <c r="J1241" s="455">
        <f t="array" ref="J1241">IFERROR(INDEX('Retirement Calculator'!K:K,MATCH('Lorri 401b'!N1241,'Retirement Calculator'!A:A,0),0),0)</f>
        <v>0</v>
      </c>
      <c r="K1241" s="455">
        <f t="shared" ca="1" si="103"/>
        <v>175503.27539525795</v>
      </c>
      <c r="L1241" s="455">
        <f t="shared" ca="1" si="104"/>
        <v>42296289.370257169</v>
      </c>
      <c r="M1241" s="471">
        <f t="shared" si="106"/>
        <v>0.05</v>
      </c>
      <c r="N1241" s="475">
        <f t="shared" si="107"/>
        <v>88815</v>
      </c>
    </row>
    <row r="1242" spans="7:14" ht="11.25" customHeight="1" x14ac:dyDescent="0.3">
      <c r="G1242" s="470"/>
      <c r="H1242" s="470">
        <v>1235</v>
      </c>
      <c r="I1242" s="455">
        <f t="shared" ca="1" si="105"/>
        <v>42296289.370257169</v>
      </c>
      <c r="J1242" s="455">
        <f t="array" ref="J1242">IFERROR(INDEX('Retirement Calculator'!K:K,MATCH('Lorri 401b'!N1242,'Retirement Calculator'!A:A,0),0),0)</f>
        <v>0</v>
      </c>
      <c r="K1242" s="455">
        <f t="shared" ca="1" si="103"/>
        <v>176234.53904273821</v>
      </c>
      <c r="L1242" s="455">
        <f t="shared" ca="1" si="104"/>
        <v>42472523.90929991</v>
      </c>
      <c r="M1242" s="471">
        <f t="shared" si="106"/>
        <v>0.05</v>
      </c>
      <c r="N1242" s="475">
        <f t="shared" si="107"/>
        <v>88846</v>
      </c>
    </row>
    <row r="1243" spans="7:14" ht="11.25" customHeight="1" x14ac:dyDescent="0.3">
      <c r="G1243" s="470"/>
      <c r="H1243" s="470">
        <v>1236</v>
      </c>
      <c r="I1243" s="455">
        <f t="shared" ca="1" si="105"/>
        <v>42472523.90929991</v>
      </c>
      <c r="J1243" s="455">
        <f t="array" ref="J1243">IFERROR(INDEX('Retirement Calculator'!K:K,MATCH('Lorri 401b'!N1243,'Retirement Calculator'!A:A,0),0),0)</f>
        <v>0</v>
      </c>
      <c r="K1243" s="455">
        <f t="shared" ca="1" si="103"/>
        <v>176968.84962208295</v>
      </c>
      <c r="L1243" s="455">
        <f t="shared" ca="1" si="104"/>
        <v>42649492.758921996</v>
      </c>
      <c r="M1243" s="471">
        <f t="shared" si="106"/>
        <v>0.05</v>
      </c>
      <c r="N1243" s="475">
        <f t="shared" si="107"/>
        <v>88876</v>
      </c>
    </row>
    <row r="1244" spans="7:14" ht="11.25" customHeight="1" x14ac:dyDescent="0.3">
      <c r="G1244" s="470"/>
      <c r="H1244" s="470">
        <v>1237</v>
      </c>
      <c r="I1244" s="455">
        <f t="shared" ca="1" si="105"/>
        <v>42649492.758921996</v>
      </c>
      <c r="J1244" s="455">
        <f t="array" ref="J1244">IFERROR(INDEX('Retirement Calculator'!K:K,MATCH('Lorri 401b'!N1244,'Retirement Calculator'!A:A,0),0),0)</f>
        <v>0</v>
      </c>
      <c r="K1244" s="455">
        <f t="shared" ca="1" si="103"/>
        <v>177706.21982884165</v>
      </c>
      <c r="L1244" s="455">
        <f t="shared" ca="1" si="104"/>
        <v>42827198.97875084</v>
      </c>
      <c r="M1244" s="471">
        <f t="shared" si="106"/>
        <v>0.05</v>
      </c>
      <c r="N1244" s="475">
        <f t="shared" si="107"/>
        <v>88907</v>
      </c>
    </row>
    <row r="1245" spans="7:14" ht="11.25" customHeight="1" x14ac:dyDescent="0.3">
      <c r="G1245" s="470"/>
      <c r="H1245" s="470">
        <v>1238</v>
      </c>
      <c r="I1245" s="455">
        <f t="shared" ca="1" si="105"/>
        <v>42827198.97875084</v>
      </c>
      <c r="J1245" s="455">
        <f t="array" ref="J1245">IFERROR(INDEX('Retirement Calculator'!K:K,MATCH('Lorri 401b'!N1245,'Retirement Calculator'!A:A,0),0),0)</f>
        <v>0</v>
      </c>
      <c r="K1245" s="455">
        <f t="shared" ca="1" si="103"/>
        <v>178446.66241146182</v>
      </c>
      <c r="L1245" s="455">
        <f t="shared" ca="1" si="104"/>
        <v>43005645.641162299</v>
      </c>
      <c r="M1245" s="471">
        <f t="shared" si="106"/>
        <v>0.05</v>
      </c>
      <c r="N1245" s="475">
        <f t="shared" si="107"/>
        <v>88937</v>
      </c>
    </row>
    <row r="1246" spans="7:14" ht="11.25" customHeight="1" x14ac:dyDescent="0.3">
      <c r="G1246" s="470"/>
      <c r="H1246" s="470">
        <v>1239</v>
      </c>
      <c r="I1246" s="455">
        <f t="shared" ca="1" si="105"/>
        <v>43005645.641162299</v>
      </c>
      <c r="J1246" s="455">
        <f t="array" ref="J1246">IFERROR(INDEX('Retirement Calculator'!K:K,MATCH('Lorri 401b'!N1246,'Retirement Calculator'!A:A,0),0),0)</f>
        <v>0</v>
      </c>
      <c r="K1246" s="455">
        <f t="shared" ca="1" si="103"/>
        <v>179190.19017150957</v>
      </c>
      <c r="L1246" s="455">
        <f t="shared" ca="1" si="104"/>
        <v>43184835.831333809</v>
      </c>
      <c r="M1246" s="471">
        <f t="shared" si="106"/>
        <v>0.05</v>
      </c>
      <c r="N1246" s="475">
        <f t="shared" si="107"/>
        <v>88968</v>
      </c>
    </row>
    <row r="1247" spans="7:14" ht="11.25" customHeight="1" x14ac:dyDescent="0.3">
      <c r="G1247" s="470"/>
      <c r="H1247" s="470">
        <v>1240</v>
      </c>
      <c r="I1247" s="455">
        <f t="shared" ca="1" si="105"/>
        <v>43184835.831333809</v>
      </c>
      <c r="J1247" s="455">
        <f t="array" ref="J1247">IFERROR(INDEX('Retirement Calculator'!K:K,MATCH('Lorri 401b'!N1247,'Retirement Calculator'!A:A,0),0),0)</f>
        <v>0</v>
      </c>
      <c r="K1247" s="455">
        <f t="shared" ca="1" si="103"/>
        <v>179936.81596389087</v>
      </c>
      <c r="L1247" s="455">
        <f t="shared" ca="1" si="104"/>
        <v>43364772.647297703</v>
      </c>
      <c r="M1247" s="471">
        <f t="shared" si="106"/>
        <v>0.05</v>
      </c>
      <c r="N1247" s="475">
        <f t="shared" si="107"/>
        <v>88999</v>
      </c>
    </row>
    <row r="1248" spans="7:14" ht="11.25" customHeight="1" x14ac:dyDescent="0.3">
      <c r="G1248" s="470"/>
      <c r="H1248" s="470">
        <v>1241</v>
      </c>
      <c r="I1248" s="455">
        <f t="shared" ca="1" si="105"/>
        <v>43364772.647297703</v>
      </c>
      <c r="J1248" s="455">
        <f t="array" ref="J1248">IFERROR(INDEX('Retirement Calculator'!K:K,MATCH('Lorri 401b'!N1248,'Retirement Calculator'!A:A,0),0),0)</f>
        <v>0</v>
      </c>
      <c r="K1248" s="455">
        <f t="shared" ca="1" si="103"/>
        <v>180686.55269707376</v>
      </c>
      <c r="L1248" s="455">
        <f t="shared" ca="1" si="104"/>
        <v>43545459.19999478</v>
      </c>
      <c r="M1248" s="471">
        <f t="shared" si="106"/>
        <v>0.05</v>
      </c>
      <c r="N1248" s="475">
        <f t="shared" si="107"/>
        <v>89029</v>
      </c>
    </row>
    <row r="1249" spans="7:14" ht="11.25" customHeight="1" x14ac:dyDescent="0.3">
      <c r="G1249" s="470"/>
      <c r="H1249" s="470">
        <v>1242</v>
      </c>
      <c r="I1249" s="455">
        <f t="shared" ca="1" si="105"/>
        <v>43545459.19999478</v>
      </c>
      <c r="J1249" s="455">
        <f t="array" ref="J1249">IFERROR(INDEX('Retirement Calculator'!K:K,MATCH('Lorri 401b'!N1249,'Retirement Calculator'!A:A,0),0),0)</f>
        <v>0</v>
      </c>
      <c r="K1249" s="455">
        <f t="shared" ca="1" si="103"/>
        <v>181439.41333331159</v>
      </c>
      <c r="L1249" s="455">
        <f t="shared" ca="1" si="104"/>
        <v>43726898.613328092</v>
      </c>
      <c r="M1249" s="471">
        <f t="shared" si="106"/>
        <v>0.05</v>
      </c>
      <c r="N1249" s="475">
        <f t="shared" si="107"/>
        <v>89060</v>
      </c>
    </row>
    <row r="1250" spans="7:14" ht="11.25" customHeight="1" x14ac:dyDescent="0.3">
      <c r="G1250" s="470"/>
      <c r="H1250" s="470">
        <v>1243</v>
      </c>
      <c r="I1250" s="455">
        <f t="shared" ca="1" si="105"/>
        <v>43726898.613328092</v>
      </c>
      <c r="J1250" s="455">
        <f t="array" ref="J1250">IFERROR(INDEX('Retirement Calculator'!K:K,MATCH('Lorri 401b'!N1250,'Retirement Calculator'!A:A,0),0),0)</f>
        <v>0</v>
      </c>
      <c r="K1250" s="455">
        <f t="shared" ca="1" si="103"/>
        <v>182195.41088886705</v>
      </c>
      <c r="L1250" s="455">
        <f t="shared" ca="1" si="104"/>
        <v>43909094.024216957</v>
      </c>
      <c r="M1250" s="471">
        <f t="shared" si="106"/>
        <v>0.05</v>
      </c>
      <c r="N1250" s="475">
        <f t="shared" si="107"/>
        <v>89090</v>
      </c>
    </row>
    <row r="1251" spans="7:14" ht="11.25" customHeight="1" x14ac:dyDescent="0.3">
      <c r="G1251" s="470"/>
      <c r="H1251" s="470">
        <v>1244</v>
      </c>
      <c r="I1251" s="455">
        <f t="shared" ca="1" si="105"/>
        <v>43909094.024216957</v>
      </c>
      <c r="J1251" s="455">
        <f t="array" ref="J1251">IFERROR(INDEX('Retirement Calculator'!K:K,MATCH('Lorri 401b'!N1251,'Retirement Calculator'!A:A,0),0),0)</f>
        <v>0</v>
      </c>
      <c r="K1251" s="455">
        <f t="shared" ca="1" si="103"/>
        <v>182954.55843423732</v>
      </c>
      <c r="L1251" s="455">
        <f t="shared" ca="1" si="104"/>
        <v>44092048.582651198</v>
      </c>
      <c r="M1251" s="471">
        <f t="shared" si="106"/>
        <v>0.05</v>
      </c>
      <c r="N1251" s="475">
        <f t="shared" si="107"/>
        <v>89121</v>
      </c>
    </row>
    <row r="1252" spans="7:14" ht="11.25" customHeight="1" x14ac:dyDescent="0.3">
      <c r="G1252" s="470"/>
      <c r="H1252" s="470">
        <v>1245</v>
      </c>
      <c r="I1252" s="455">
        <f t="shared" ca="1" si="105"/>
        <v>44092048.582651198</v>
      </c>
      <c r="J1252" s="455">
        <f t="array" ref="J1252">IFERROR(INDEX('Retirement Calculator'!K:K,MATCH('Lorri 401b'!N1252,'Retirement Calculator'!A:A,0),0),0)</f>
        <v>0</v>
      </c>
      <c r="K1252" s="455">
        <f t="shared" ca="1" si="103"/>
        <v>183716.86909438</v>
      </c>
      <c r="L1252" s="455">
        <f t="shared" ca="1" si="104"/>
        <v>44275765.451745577</v>
      </c>
      <c r="M1252" s="471">
        <f t="shared" si="106"/>
        <v>0.05</v>
      </c>
      <c r="N1252" s="475">
        <f t="shared" si="107"/>
        <v>89152</v>
      </c>
    </row>
    <row r="1253" spans="7:14" ht="11.25" customHeight="1" x14ac:dyDescent="0.3">
      <c r="G1253" s="470"/>
      <c r="H1253" s="470">
        <v>1246</v>
      </c>
      <c r="I1253" s="455">
        <f t="shared" ca="1" si="105"/>
        <v>44275765.451745577</v>
      </c>
      <c r="J1253" s="455">
        <f t="array" ref="J1253">IFERROR(INDEX('Retirement Calculator'!K:K,MATCH('Lorri 401b'!N1253,'Retirement Calculator'!A:A,0),0),0)</f>
        <v>0</v>
      </c>
      <c r="K1253" s="455">
        <f t="shared" ca="1" si="103"/>
        <v>184482.3560489399</v>
      </c>
      <c r="L1253" s="455">
        <f t="shared" ca="1" si="104"/>
        <v>44460247.807794519</v>
      </c>
      <c r="M1253" s="471">
        <f t="shared" si="106"/>
        <v>0.05</v>
      </c>
      <c r="N1253" s="475">
        <f t="shared" si="107"/>
        <v>89181</v>
      </c>
    </row>
    <row r="1254" spans="7:14" ht="11.25" customHeight="1" x14ac:dyDescent="0.3">
      <c r="G1254" s="470"/>
      <c r="H1254" s="470">
        <v>1247</v>
      </c>
      <c r="I1254" s="455">
        <f t="shared" ca="1" si="105"/>
        <v>44460247.807794519</v>
      </c>
      <c r="J1254" s="455">
        <f t="array" ref="J1254">IFERROR(INDEX('Retirement Calculator'!K:K,MATCH('Lorri 401b'!N1254,'Retirement Calculator'!A:A,0),0),0)</f>
        <v>0</v>
      </c>
      <c r="K1254" s="455">
        <f t="shared" ca="1" si="103"/>
        <v>185251.03253247717</v>
      </c>
      <c r="L1254" s="455">
        <f t="shared" ca="1" si="104"/>
        <v>44645498.840326995</v>
      </c>
      <c r="M1254" s="471">
        <f t="shared" si="106"/>
        <v>0.05</v>
      </c>
      <c r="N1254" s="475">
        <f t="shared" si="107"/>
        <v>89212</v>
      </c>
    </row>
    <row r="1255" spans="7:14" ht="11.25" customHeight="1" x14ac:dyDescent="0.3">
      <c r="G1255" s="470"/>
      <c r="H1255" s="470">
        <v>1248</v>
      </c>
      <c r="I1255" s="455">
        <f t="shared" ca="1" si="105"/>
        <v>44645498.840326995</v>
      </c>
      <c r="J1255" s="455">
        <f t="array" ref="J1255">IFERROR(INDEX('Retirement Calculator'!K:K,MATCH('Lorri 401b'!N1255,'Retirement Calculator'!A:A,0),0),0)</f>
        <v>0</v>
      </c>
      <c r="K1255" s="455">
        <f t="shared" ca="1" si="103"/>
        <v>186022.91183469581</v>
      </c>
      <c r="L1255" s="455">
        <f t="shared" ca="1" si="104"/>
        <v>44831521.752161689</v>
      </c>
      <c r="M1255" s="471">
        <f t="shared" si="106"/>
        <v>0.05</v>
      </c>
      <c r="N1255" s="475">
        <f t="shared" si="107"/>
        <v>89242</v>
      </c>
    </row>
    <row r="1256" spans="7:14" ht="11.25" customHeight="1" x14ac:dyDescent="0.3">
      <c r="G1256" s="470"/>
      <c r="H1256" s="470">
        <v>1249</v>
      </c>
      <c r="I1256" s="455">
        <f t="shared" ca="1" si="105"/>
        <v>44831521.752161689</v>
      </c>
      <c r="J1256" s="455">
        <f t="array" ref="J1256">IFERROR(INDEX('Retirement Calculator'!K:K,MATCH('Lorri 401b'!N1256,'Retirement Calculator'!A:A,0),0),0)</f>
        <v>0</v>
      </c>
      <c r="K1256" s="455">
        <f t="shared" ca="1" si="103"/>
        <v>186798.00730067369</v>
      </c>
      <c r="L1256" s="455">
        <f t="shared" ca="1" si="104"/>
        <v>45018319.759462364</v>
      </c>
      <c r="M1256" s="471">
        <f t="shared" si="106"/>
        <v>0.05</v>
      </c>
      <c r="N1256" s="475">
        <f t="shared" si="107"/>
        <v>89273</v>
      </c>
    </row>
    <row r="1257" spans="7:14" ht="11.25" customHeight="1" x14ac:dyDescent="0.3">
      <c r="G1257" s="470"/>
      <c r="H1257" s="470">
        <v>1250</v>
      </c>
      <c r="I1257" s="455">
        <f t="shared" ca="1" si="105"/>
        <v>45018319.759462364</v>
      </c>
      <c r="J1257" s="455">
        <f t="array" ref="J1257">IFERROR(INDEX('Retirement Calculator'!K:K,MATCH('Lorri 401b'!N1257,'Retirement Calculator'!A:A,0),0),0)</f>
        <v>0</v>
      </c>
      <c r="K1257" s="455">
        <f t="shared" ca="1" si="103"/>
        <v>187576.33233109317</v>
      </c>
      <c r="L1257" s="455">
        <f t="shared" ca="1" si="104"/>
        <v>45205896.091793455</v>
      </c>
      <c r="M1257" s="471">
        <f t="shared" si="106"/>
        <v>0.05</v>
      </c>
      <c r="N1257" s="475">
        <f t="shared" si="107"/>
        <v>89303</v>
      </c>
    </row>
    <row r="1258" spans="7:14" ht="11.25" customHeight="1" x14ac:dyDescent="0.3">
      <c r="G1258" s="470"/>
      <c r="H1258" s="470">
        <v>1251</v>
      </c>
      <c r="I1258" s="455">
        <f t="shared" ca="1" si="105"/>
        <v>45205896.091793455</v>
      </c>
      <c r="J1258" s="455">
        <f t="array" ref="J1258">IFERROR(INDEX('Retirement Calculator'!K:K,MATCH('Lorri 401b'!N1258,'Retirement Calculator'!A:A,0),0),0)</f>
        <v>0</v>
      </c>
      <c r="K1258" s="455">
        <f t="shared" ca="1" si="103"/>
        <v>188357.90038247273</v>
      </c>
      <c r="L1258" s="455">
        <f t="shared" ca="1" si="104"/>
        <v>45394253.992175929</v>
      </c>
      <c r="M1258" s="471">
        <f t="shared" si="106"/>
        <v>0.05</v>
      </c>
      <c r="N1258" s="475">
        <f t="shared" si="107"/>
        <v>89334</v>
      </c>
    </row>
    <row r="1259" spans="7:14" ht="11.25" customHeight="1" x14ac:dyDescent="0.3">
      <c r="G1259" s="470"/>
      <c r="H1259" s="470">
        <v>1252</v>
      </c>
      <c r="I1259" s="455">
        <f t="shared" ca="1" si="105"/>
        <v>45394253.992175929</v>
      </c>
      <c r="J1259" s="455">
        <f t="array" ref="J1259">IFERROR(INDEX('Retirement Calculator'!K:K,MATCH('Lorri 401b'!N1259,'Retirement Calculator'!A:A,0),0),0)</f>
        <v>0</v>
      </c>
      <c r="K1259" s="455">
        <f t="shared" ca="1" si="103"/>
        <v>189142.7249673997</v>
      </c>
      <c r="L1259" s="455">
        <f t="shared" ca="1" si="104"/>
        <v>45583396.717143327</v>
      </c>
      <c r="M1259" s="471">
        <f t="shared" si="106"/>
        <v>0.05</v>
      </c>
      <c r="N1259" s="475">
        <f t="shared" si="107"/>
        <v>89365</v>
      </c>
    </row>
    <row r="1260" spans="7:14" ht="11.25" customHeight="1" x14ac:dyDescent="0.3">
      <c r="G1260" s="470"/>
      <c r="H1260" s="470">
        <v>1253</v>
      </c>
      <c r="I1260" s="455">
        <f t="shared" ca="1" si="105"/>
        <v>45583396.717143327</v>
      </c>
      <c r="J1260" s="455">
        <f t="array" ref="J1260">IFERROR(INDEX('Retirement Calculator'!K:K,MATCH('Lorri 401b'!N1260,'Retirement Calculator'!A:A,0),0),0)</f>
        <v>0</v>
      </c>
      <c r="K1260" s="455">
        <f t="shared" ca="1" si="103"/>
        <v>189930.81965476385</v>
      </c>
      <c r="L1260" s="455">
        <f t="shared" ca="1" si="104"/>
        <v>45773327.53679809</v>
      </c>
      <c r="M1260" s="471">
        <f t="shared" si="106"/>
        <v>0.05</v>
      </c>
      <c r="N1260" s="475">
        <f t="shared" si="107"/>
        <v>89395</v>
      </c>
    </row>
    <row r="1261" spans="7:14" ht="11.25" customHeight="1" x14ac:dyDescent="0.3">
      <c r="G1261" s="470"/>
      <c r="H1261" s="470">
        <v>1254</v>
      </c>
      <c r="I1261" s="455">
        <f t="shared" ca="1" si="105"/>
        <v>45773327.53679809</v>
      </c>
      <c r="J1261" s="455">
        <f t="array" ref="J1261">IFERROR(INDEX('Retirement Calculator'!K:K,MATCH('Lorri 401b'!N1261,'Retirement Calculator'!A:A,0),0),0)</f>
        <v>0</v>
      </c>
      <c r="K1261" s="455">
        <f t="shared" ca="1" si="103"/>
        <v>190722.19806999204</v>
      </c>
      <c r="L1261" s="455">
        <f t="shared" ca="1" si="104"/>
        <v>45964049.734868079</v>
      </c>
      <c r="M1261" s="471">
        <f t="shared" si="106"/>
        <v>0.05</v>
      </c>
      <c r="N1261" s="475">
        <f t="shared" si="107"/>
        <v>89426</v>
      </c>
    </row>
    <row r="1262" spans="7:14" ht="11.25" customHeight="1" x14ac:dyDescent="0.3">
      <c r="G1262" s="470"/>
      <c r="H1262" s="470">
        <v>1255</v>
      </c>
      <c r="I1262" s="455">
        <f t="shared" ca="1" si="105"/>
        <v>45964049.734868079</v>
      </c>
      <c r="J1262" s="455">
        <f t="array" ref="J1262">IFERROR(INDEX('Retirement Calculator'!K:K,MATCH('Lorri 401b'!N1262,'Retirement Calculator'!A:A,0),0),0)</f>
        <v>0</v>
      </c>
      <c r="K1262" s="455">
        <f t="shared" ca="1" si="103"/>
        <v>191516.87389528367</v>
      </c>
      <c r="L1262" s="455">
        <f t="shared" ca="1" si="104"/>
        <v>46155566.608763359</v>
      </c>
      <c r="M1262" s="471">
        <f t="shared" si="106"/>
        <v>0.05</v>
      </c>
      <c r="N1262" s="475">
        <f t="shared" si="107"/>
        <v>89456</v>
      </c>
    </row>
    <row r="1263" spans="7:14" ht="11.25" customHeight="1" x14ac:dyDescent="0.3">
      <c r="G1263" s="470"/>
      <c r="H1263" s="470">
        <v>1256</v>
      </c>
      <c r="I1263" s="455">
        <f t="shared" ca="1" si="105"/>
        <v>46155566.608763359</v>
      </c>
      <c r="J1263" s="455">
        <f t="array" ref="J1263">IFERROR(INDEX('Retirement Calculator'!K:K,MATCH('Lorri 401b'!N1263,'Retirement Calculator'!A:A,0),0),0)</f>
        <v>0</v>
      </c>
      <c r="K1263" s="455">
        <f t="shared" ca="1" si="103"/>
        <v>192314.86086984733</v>
      </c>
      <c r="L1263" s="455">
        <f t="shared" ca="1" si="104"/>
        <v>46347881.469633207</v>
      </c>
      <c r="M1263" s="471">
        <f t="shared" si="106"/>
        <v>0.05</v>
      </c>
      <c r="N1263" s="475">
        <f t="shared" si="107"/>
        <v>89487</v>
      </c>
    </row>
    <row r="1264" spans="7:14" ht="11.25" customHeight="1" x14ac:dyDescent="0.3">
      <c r="G1264" s="470"/>
      <c r="H1264" s="470">
        <v>1257</v>
      </c>
      <c r="I1264" s="455">
        <f t="shared" ca="1" si="105"/>
        <v>46347881.469633207</v>
      </c>
      <c r="J1264" s="455">
        <f t="array" ref="J1264">IFERROR(INDEX('Retirement Calculator'!K:K,MATCH('Lorri 401b'!N1264,'Retirement Calculator'!A:A,0),0),0)</f>
        <v>0</v>
      </c>
      <c r="K1264" s="455">
        <f t="shared" ca="1" si="103"/>
        <v>193116.17279013837</v>
      </c>
      <c r="L1264" s="455">
        <f t="shared" ca="1" si="104"/>
        <v>46540997.642423347</v>
      </c>
      <c r="M1264" s="471">
        <f t="shared" si="106"/>
        <v>0.05</v>
      </c>
      <c r="N1264" s="475">
        <f t="shared" si="107"/>
        <v>89518</v>
      </c>
    </row>
    <row r="1265" spans="7:14" ht="11.25" customHeight="1" x14ac:dyDescent="0.3">
      <c r="G1265" s="470"/>
      <c r="H1265" s="470">
        <v>1258</v>
      </c>
      <c r="I1265" s="455">
        <f t="shared" ca="1" si="105"/>
        <v>46540997.642423347</v>
      </c>
      <c r="J1265" s="455">
        <f t="array" ref="J1265">IFERROR(INDEX('Retirement Calculator'!K:K,MATCH('Lorri 401b'!N1265,'Retirement Calculator'!A:A,0),0),0)</f>
        <v>0</v>
      </c>
      <c r="K1265" s="455">
        <f t="shared" ca="1" si="103"/>
        <v>193920.82351009728</v>
      </c>
      <c r="L1265" s="455">
        <f t="shared" ca="1" si="104"/>
        <v>46734918.465933442</v>
      </c>
      <c r="M1265" s="471">
        <f t="shared" si="106"/>
        <v>0.05</v>
      </c>
      <c r="N1265" s="475">
        <f t="shared" si="107"/>
        <v>89546</v>
      </c>
    </row>
    <row r="1266" spans="7:14" ht="11.25" customHeight="1" x14ac:dyDescent="0.3">
      <c r="G1266" s="470"/>
      <c r="H1266" s="470">
        <v>1259</v>
      </c>
      <c r="I1266" s="455">
        <f t="shared" ca="1" si="105"/>
        <v>46734918.465933442</v>
      </c>
      <c r="J1266" s="455">
        <f t="array" ref="J1266">IFERROR(INDEX('Retirement Calculator'!K:K,MATCH('Lorri 401b'!N1266,'Retirement Calculator'!A:A,0),0),0)</f>
        <v>0</v>
      </c>
      <c r="K1266" s="455">
        <f t="shared" ca="1" si="103"/>
        <v>194728.82694138933</v>
      </c>
      <c r="L1266" s="455">
        <f t="shared" ca="1" si="104"/>
        <v>46929647.292874828</v>
      </c>
      <c r="M1266" s="471">
        <f t="shared" si="106"/>
        <v>0.05</v>
      </c>
      <c r="N1266" s="475">
        <f t="shared" si="107"/>
        <v>89577</v>
      </c>
    </row>
    <row r="1267" spans="7:14" ht="11.25" customHeight="1" x14ac:dyDescent="0.3">
      <c r="G1267" s="470"/>
      <c r="H1267" s="470">
        <v>1260</v>
      </c>
      <c r="I1267" s="455">
        <f t="shared" ca="1" si="105"/>
        <v>46929647.292874828</v>
      </c>
      <c r="J1267" s="455">
        <f t="array" ref="J1267">IFERROR(INDEX('Retirement Calculator'!K:K,MATCH('Lorri 401b'!N1267,'Retirement Calculator'!A:A,0),0),0)</f>
        <v>0</v>
      </c>
      <c r="K1267" s="455">
        <f t="shared" ca="1" si="103"/>
        <v>195540.19705364513</v>
      </c>
      <c r="L1267" s="455">
        <f t="shared" ca="1" si="104"/>
        <v>47125187.489928477</v>
      </c>
      <c r="M1267" s="471">
        <f t="shared" si="106"/>
        <v>0.05</v>
      </c>
      <c r="N1267" s="475">
        <f t="shared" si="107"/>
        <v>89607</v>
      </c>
    </row>
    <row r="1268" spans="7:14" ht="11.25" customHeight="1" x14ac:dyDescent="0.3">
      <c r="G1268" s="470"/>
      <c r="H1268" s="470">
        <v>1261</v>
      </c>
      <c r="I1268" s="455">
        <f t="shared" ca="1" si="105"/>
        <v>47125187.489928477</v>
      </c>
      <c r="J1268" s="455">
        <f t="array" ref="J1268">IFERROR(INDEX('Retirement Calculator'!K:K,MATCH('Lorri 401b'!N1268,'Retirement Calculator'!A:A,0),0),0)</f>
        <v>0</v>
      </c>
      <c r="K1268" s="455">
        <f t="shared" ca="1" si="103"/>
        <v>196354.94787470199</v>
      </c>
      <c r="L1268" s="455">
        <f t="shared" ca="1" si="104"/>
        <v>47321542.437803179</v>
      </c>
      <c r="M1268" s="471">
        <f t="shared" si="106"/>
        <v>0.05</v>
      </c>
      <c r="N1268" s="475">
        <f t="shared" si="107"/>
        <v>89638</v>
      </c>
    </row>
    <row r="1269" spans="7:14" ht="11.25" customHeight="1" x14ac:dyDescent="0.3">
      <c r="G1269" s="470"/>
      <c r="H1269" s="470">
        <v>1262</v>
      </c>
      <c r="I1269" s="455">
        <f t="shared" ca="1" si="105"/>
        <v>47321542.437803179</v>
      </c>
      <c r="J1269" s="455">
        <f t="array" ref="J1269">IFERROR(INDEX('Retirement Calculator'!K:K,MATCH('Lorri 401b'!N1269,'Retirement Calculator'!A:A,0),0),0)</f>
        <v>0</v>
      </c>
      <c r="K1269" s="455">
        <f t="shared" ca="1" si="103"/>
        <v>197173.09349084657</v>
      </c>
      <c r="L1269" s="455">
        <f t="shared" ca="1" si="104"/>
        <v>47518715.531294025</v>
      </c>
      <c r="M1269" s="471">
        <f t="shared" si="106"/>
        <v>0.05</v>
      </c>
      <c r="N1269" s="475">
        <f t="shared" si="107"/>
        <v>89668</v>
      </c>
    </row>
    <row r="1270" spans="7:14" ht="11.25" customHeight="1" x14ac:dyDescent="0.3">
      <c r="G1270" s="470"/>
      <c r="H1270" s="470">
        <v>1263</v>
      </c>
      <c r="I1270" s="455">
        <f t="shared" ca="1" si="105"/>
        <v>47518715.531294025</v>
      </c>
      <c r="J1270" s="455">
        <f t="array" ref="J1270">IFERROR(INDEX('Retirement Calculator'!K:K,MATCH('Lorri 401b'!N1270,'Retirement Calculator'!A:A,0),0),0)</f>
        <v>0</v>
      </c>
      <c r="K1270" s="455">
        <f t="shared" ca="1" si="103"/>
        <v>197994.64804705844</v>
      </c>
      <c r="L1270" s="455">
        <f t="shared" ca="1" si="104"/>
        <v>47716710.179341085</v>
      </c>
      <c r="M1270" s="471">
        <f t="shared" si="106"/>
        <v>0.05</v>
      </c>
      <c r="N1270" s="475">
        <f t="shared" si="107"/>
        <v>89699</v>
      </c>
    </row>
    <row r="1271" spans="7:14" ht="11.25" customHeight="1" x14ac:dyDescent="0.3">
      <c r="G1271" s="470"/>
      <c r="H1271" s="470">
        <v>1264</v>
      </c>
      <c r="I1271" s="455">
        <f t="shared" ca="1" si="105"/>
        <v>47716710.179341085</v>
      </c>
      <c r="J1271" s="455">
        <f t="array" ref="J1271">IFERROR(INDEX('Retirement Calculator'!K:K,MATCH('Lorri 401b'!N1271,'Retirement Calculator'!A:A,0),0),0)</f>
        <v>0</v>
      </c>
      <c r="K1271" s="455">
        <f t="shared" ca="1" si="103"/>
        <v>198819.62574725453</v>
      </c>
      <c r="L1271" s="455">
        <f t="shared" ca="1" si="104"/>
        <v>47915529.805088341</v>
      </c>
      <c r="M1271" s="471">
        <f t="shared" si="106"/>
        <v>0.05</v>
      </c>
      <c r="N1271" s="475">
        <f t="shared" si="107"/>
        <v>89730</v>
      </c>
    </row>
    <row r="1272" spans="7:14" ht="11.25" customHeight="1" x14ac:dyDescent="0.3">
      <c r="G1272" s="470"/>
      <c r="H1272" s="470">
        <v>1265</v>
      </c>
      <c r="I1272" s="455">
        <f t="shared" ca="1" si="105"/>
        <v>47915529.805088341</v>
      </c>
      <c r="J1272" s="455">
        <f t="array" ref="J1272">IFERROR(INDEX('Retirement Calculator'!K:K,MATCH('Lorri 401b'!N1272,'Retirement Calculator'!A:A,0),0),0)</f>
        <v>0</v>
      </c>
      <c r="K1272" s="455">
        <f t="shared" ca="1" si="103"/>
        <v>199648.04085453475</v>
      </c>
      <c r="L1272" s="455">
        <f t="shared" ca="1" si="104"/>
        <v>48115177.845942877</v>
      </c>
      <c r="M1272" s="471">
        <f t="shared" si="106"/>
        <v>0.05</v>
      </c>
      <c r="N1272" s="475">
        <f t="shared" si="107"/>
        <v>89760</v>
      </c>
    </row>
    <row r="1273" spans="7:14" ht="11.25" customHeight="1" x14ac:dyDescent="0.3">
      <c r="G1273" s="470"/>
      <c r="H1273" s="470">
        <v>1266</v>
      </c>
      <c r="I1273" s="455">
        <f t="shared" ca="1" si="105"/>
        <v>48115177.845942877</v>
      </c>
      <c r="J1273" s="455">
        <f t="array" ref="J1273">IFERROR(INDEX('Retirement Calculator'!K:K,MATCH('Lorri 401b'!N1273,'Retirement Calculator'!A:A,0),0),0)</f>
        <v>0</v>
      </c>
      <c r="K1273" s="455">
        <f t="shared" ca="1" si="103"/>
        <v>200479.90769142864</v>
      </c>
      <c r="L1273" s="455">
        <f t="shared" ca="1" si="104"/>
        <v>48315657.753634304</v>
      </c>
      <c r="M1273" s="471">
        <f t="shared" si="106"/>
        <v>0.05</v>
      </c>
      <c r="N1273" s="475">
        <f t="shared" si="107"/>
        <v>89791</v>
      </c>
    </row>
    <row r="1274" spans="7:14" ht="11.25" customHeight="1" x14ac:dyDescent="0.3">
      <c r="G1274" s="470"/>
      <c r="H1274" s="470">
        <v>1267</v>
      </c>
      <c r="I1274" s="455">
        <f t="shared" ca="1" si="105"/>
        <v>48315657.753634304</v>
      </c>
      <c r="J1274" s="455">
        <f t="array" ref="J1274">IFERROR(INDEX('Retirement Calculator'!K:K,MATCH('Lorri 401b'!N1274,'Retirement Calculator'!A:A,0),0),0)</f>
        <v>0</v>
      </c>
      <c r="K1274" s="455">
        <f t="shared" ca="1" si="103"/>
        <v>201315.24064014293</v>
      </c>
      <c r="L1274" s="455">
        <f t="shared" ca="1" si="104"/>
        <v>48516972.994274445</v>
      </c>
      <c r="M1274" s="471">
        <f t="shared" si="106"/>
        <v>0.05</v>
      </c>
      <c r="N1274" s="475">
        <f t="shared" si="107"/>
        <v>89821</v>
      </c>
    </row>
    <row r="1275" spans="7:14" ht="11.25" customHeight="1" x14ac:dyDescent="0.3">
      <c r="G1275" s="470"/>
      <c r="H1275" s="470">
        <v>1268</v>
      </c>
      <c r="I1275" s="455">
        <f t="shared" ca="1" si="105"/>
        <v>48516972.994274445</v>
      </c>
      <c r="J1275" s="455">
        <f t="array" ref="J1275">IFERROR(INDEX('Retirement Calculator'!K:K,MATCH('Lorri 401b'!N1275,'Retirement Calculator'!A:A,0),0),0)</f>
        <v>0</v>
      </c>
      <c r="K1275" s="455">
        <f t="shared" ca="1" si="103"/>
        <v>202154.05414281017</v>
      </c>
      <c r="L1275" s="455">
        <f t="shared" ca="1" si="104"/>
        <v>48719127.048417255</v>
      </c>
      <c r="M1275" s="471">
        <f t="shared" si="106"/>
        <v>0.05</v>
      </c>
      <c r="N1275" s="475">
        <f t="shared" si="107"/>
        <v>89852</v>
      </c>
    </row>
    <row r="1276" spans="7:14" ht="11.25" customHeight="1" x14ac:dyDescent="0.3">
      <c r="G1276" s="470"/>
      <c r="H1276" s="470">
        <v>1269</v>
      </c>
      <c r="I1276" s="455">
        <f t="shared" ca="1" si="105"/>
        <v>48719127.048417255</v>
      </c>
      <c r="J1276" s="455">
        <f t="array" ref="J1276">IFERROR(INDEX('Retirement Calculator'!K:K,MATCH('Lorri 401b'!N1276,'Retirement Calculator'!A:A,0),0),0)</f>
        <v>0</v>
      </c>
      <c r="K1276" s="455">
        <f t="shared" ca="1" si="103"/>
        <v>202996.36270173857</v>
      </c>
      <c r="L1276" s="455">
        <f t="shared" ca="1" si="104"/>
        <v>48922123.411118992</v>
      </c>
      <c r="M1276" s="471">
        <f t="shared" si="106"/>
        <v>0.05</v>
      </c>
      <c r="N1276" s="475">
        <f t="shared" si="107"/>
        <v>89883</v>
      </c>
    </row>
    <row r="1277" spans="7:14" ht="11.25" customHeight="1" x14ac:dyDescent="0.3">
      <c r="G1277" s="470"/>
      <c r="H1277" s="470">
        <v>1270</v>
      </c>
      <c r="I1277" s="455">
        <f t="shared" ca="1" si="105"/>
        <v>48922123.411118992</v>
      </c>
      <c r="J1277" s="455">
        <f t="array" ref="J1277">IFERROR(INDEX('Retirement Calculator'!K:K,MATCH('Lorri 401b'!N1277,'Retirement Calculator'!A:A,0),0),0)</f>
        <v>0</v>
      </c>
      <c r="K1277" s="455">
        <f t="shared" ca="1" si="103"/>
        <v>203842.18087966245</v>
      </c>
      <c r="L1277" s="455">
        <f t="shared" ca="1" si="104"/>
        <v>49125965.591998652</v>
      </c>
      <c r="M1277" s="471">
        <f t="shared" si="106"/>
        <v>0.05</v>
      </c>
      <c r="N1277" s="475">
        <f t="shared" si="107"/>
        <v>89911</v>
      </c>
    </row>
    <row r="1278" spans="7:14" ht="11.25" customHeight="1" x14ac:dyDescent="0.3">
      <c r="G1278" s="470"/>
      <c r="H1278" s="470">
        <v>1271</v>
      </c>
      <c r="I1278" s="455">
        <f t="shared" ca="1" si="105"/>
        <v>49125965.591998652</v>
      </c>
      <c r="J1278" s="455">
        <f t="array" ref="J1278">IFERROR(INDEX('Retirement Calculator'!K:K,MATCH('Lorri 401b'!N1278,'Retirement Calculator'!A:A,0),0),0)</f>
        <v>0</v>
      </c>
      <c r="K1278" s="455">
        <f t="shared" ca="1" si="103"/>
        <v>204691.52329999438</v>
      </c>
      <c r="L1278" s="455">
        <f t="shared" ca="1" si="104"/>
        <v>49330657.115298644</v>
      </c>
      <c r="M1278" s="471">
        <f t="shared" si="106"/>
        <v>0.05</v>
      </c>
      <c r="N1278" s="475">
        <f t="shared" si="107"/>
        <v>89942</v>
      </c>
    </row>
    <row r="1279" spans="7:14" ht="11.25" customHeight="1" x14ac:dyDescent="0.3">
      <c r="G1279" s="470"/>
      <c r="H1279" s="470">
        <v>1272</v>
      </c>
      <c r="I1279" s="455">
        <f t="shared" ca="1" si="105"/>
        <v>49330657.115298644</v>
      </c>
      <c r="J1279" s="455">
        <f t="array" ref="J1279">IFERROR(INDEX('Retirement Calculator'!K:K,MATCH('Lorri 401b'!N1279,'Retirement Calculator'!A:A,0),0),0)</f>
        <v>0</v>
      </c>
      <c r="K1279" s="455">
        <f t="shared" ca="1" si="103"/>
        <v>205544.40464707767</v>
      </c>
      <c r="L1279" s="455">
        <f t="shared" ca="1" si="104"/>
        <v>49536201.519945718</v>
      </c>
      <c r="M1279" s="471">
        <f t="shared" si="106"/>
        <v>0.05</v>
      </c>
      <c r="N1279" s="475">
        <f t="shared" si="107"/>
        <v>89972</v>
      </c>
    </row>
    <row r="1280" spans="7:14" ht="11.25" customHeight="1" x14ac:dyDescent="0.3">
      <c r="G1280" s="470"/>
      <c r="H1280" s="470">
        <v>1273</v>
      </c>
      <c r="I1280" s="455">
        <f t="shared" ca="1" si="105"/>
        <v>49536201.519945718</v>
      </c>
      <c r="J1280" s="455">
        <f t="array" ref="J1280">IFERROR(INDEX('Retirement Calculator'!K:K,MATCH('Lorri 401b'!N1280,'Retirement Calculator'!A:A,0),0),0)</f>
        <v>0</v>
      </c>
      <c r="K1280" s="455">
        <f t="shared" ca="1" si="103"/>
        <v>206400.8396664405</v>
      </c>
      <c r="L1280" s="455">
        <f t="shared" ca="1" si="104"/>
        <v>49742602.359612159</v>
      </c>
      <c r="M1280" s="471">
        <f t="shared" si="106"/>
        <v>0.05</v>
      </c>
      <c r="N1280" s="475">
        <f t="shared" si="107"/>
        <v>90003</v>
      </c>
    </row>
    <row r="1281" spans="7:14" ht="11.25" customHeight="1" x14ac:dyDescent="0.3">
      <c r="G1281" s="470"/>
      <c r="H1281" s="470">
        <v>1274</v>
      </c>
      <c r="I1281" s="455">
        <f t="shared" ca="1" si="105"/>
        <v>49742602.359612159</v>
      </c>
      <c r="J1281" s="455">
        <f t="array" ref="J1281">IFERROR(INDEX('Retirement Calculator'!K:K,MATCH('Lorri 401b'!N1281,'Retirement Calculator'!A:A,0),0),0)</f>
        <v>0</v>
      </c>
      <c r="K1281" s="455">
        <f t="shared" ca="1" si="103"/>
        <v>207260.84316505067</v>
      </c>
      <c r="L1281" s="455">
        <f t="shared" ca="1" si="104"/>
        <v>49949863.202777207</v>
      </c>
      <c r="M1281" s="471">
        <f t="shared" si="106"/>
        <v>0.05</v>
      </c>
      <c r="N1281" s="475">
        <f t="shared" si="107"/>
        <v>90033</v>
      </c>
    </row>
    <row r="1282" spans="7:14" ht="11.25" customHeight="1" x14ac:dyDescent="0.3">
      <c r="G1282" s="470"/>
      <c r="H1282" s="470">
        <v>1275</v>
      </c>
      <c r="I1282" s="455">
        <f t="shared" ca="1" si="105"/>
        <v>49949863.202777207</v>
      </c>
      <c r="J1282" s="455">
        <f t="array" ref="J1282">IFERROR(INDEX('Retirement Calculator'!K:K,MATCH('Lorri 401b'!N1282,'Retirement Calculator'!A:A,0),0),0)</f>
        <v>0</v>
      </c>
      <c r="K1282" s="455">
        <f t="shared" ca="1" si="103"/>
        <v>208124.43001157171</v>
      </c>
      <c r="L1282" s="455">
        <f t="shared" ca="1" si="104"/>
        <v>50157987.632788777</v>
      </c>
      <c r="M1282" s="471">
        <f t="shared" si="106"/>
        <v>0.05</v>
      </c>
      <c r="N1282" s="475">
        <f t="shared" si="107"/>
        <v>90064</v>
      </c>
    </row>
    <row r="1283" spans="7:14" ht="11.25" customHeight="1" x14ac:dyDescent="0.3">
      <c r="G1283" s="470"/>
      <c r="H1283" s="470">
        <v>1276</v>
      </c>
      <c r="I1283" s="455">
        <f t="shared" ca="1" si="105"/>
        <v>50157987.632788777</v>
      </c>
      <c r="J1283" s="455">
        <f t="array" ref="J1283">IFERROR(INDEX('Retirement Calculator'!K:K,MATCH('Lorri 401b'!N1283,'Retirement Calculator'!A:A,0),0),0)</f>
        <v>0</v>
      </c>
      <c r="K1283" s="455">
        <f t="shared" ref="K1283:K1537" ca="1" si="108">IPMT(M1283/12,1,12,-I1283+J1283,,0)</f>
        <v>208991.61513661989</v>
      </c>
      <c r="L1283" s="455">
        <f t="shared" ref="L1283:L1537" ca="1" si="109">I1283-J1283+K1283</f>
        <v>50366979.247925401</v>
      </c>
      <c r="M1283" s="471">
        <f t="shared" si="106"/>
        <v>0.05</v>
      </c>
      <c r="N1283" s="475">
        <f t="shared" si="107"/>
        <v>90095</v>
      </c>
    </row>
    <row r="1284" spans="7:14" ht="11.25" customHeight="1" x14ac:dyDescent="0.3">
      <c r="G1284" s="470"/>
      <c r="H1284" s="470">
        <v>1277</v>
      </c>
      <c r="I1284" s="455">
        <f t="shared" ref="I1284:I1538" ca="1" si="110">L1283</f>
        <v>50366979.247925401</v>
      </c>
      <c r="J1284" s="455">
        <f t="array" ref="J1284">IFERROR(INDEX('Retirement Calculator'!K:K,MATCH('Lorri 401b'!N1284,'Retirement Calculator'!A:A,0),0),0)</f>
        <v>0</v>
      </c>
      <c r="K1284" s="455">
        <f t="shared" ca="1" si="108"/>
        <v>209862.41353302251</v>
      </c>
      <c r="L1284" s="455">
        <f t="shared" ca="1" si="109"/>
        <v>50576841.661458425</v>
      </c>
      <c r="M1284" s="471">
        <f t="shared" ref="M1284:M1538" si="111">M1283</f>
        <v>0.05</v>
      </c>
      <c r="N1284" s="475">
        <f t="shared" ref="N1284:N1538" si="112">EDATE(N1283,1)</f>
        <v>90125</v>
      </c>
    </row>
    <row r="1285" spans="7:14" ht="11.25" customHeight="1" x14ac:dyDescent="0.3">
      <c r="G1285" s="470"/>
      <c r="H1285" s="470">
        <v>1278</v>
      </c>
      <c r="I1285" s="455">
        <f t="shared" ca="1" si="110"/>
        <v>50576841.661458425</v>
      </c>
      <c r="J1285" s="455">
        <f t="array" ref="J1285">IFERROR(INDEX('Retirement Calculator'!K:K,MATCH('Lorri 401b'!N1285,'Retirement Calculator'!A:A,0),0),0)</f>
        <v>0</v>
      </c>
      <c r="K1285" s="455">
        <f t="shared" ca="1" si="108"/>
        <v>210736.84025607677</v>
      </c>
      <c r="L1285" s="455">
        <f t="shared" ca="1" si="109"/>
        <v>50787578.501714505</v>
      </c>
      <c r="M1285" s="471">
        <f t="shared" si="111"/>
        <v>0.05</v>
      </c>
      <c r="N1285" s="475">
        <f t="shared" si="112"/>
        <v>90156</v>
      </c>
    </row>
    <row r="1286" spans="7:14" ht="11.25" customHeight="1" x14ac:dyDescent="0.3">
      <c r="G1286" s="470"/>
      <c r="H1286" s="470">
        <v>1279</v>
      </c>
      <c r="I1286" s="455">
        <f t="shared" ca="1" si="110"/>
        <v>50787578.501714505</v>
      </c>
      <c r="J1286" s="455">
        <f t="array" ref="J1286">IFERROR(INDEX('Retirement Calculator'!K:K,MATCH('Lorri 401b'!N1286,'Retirement Calculator'!A:A,0),0),0)</f>
        <v>0</v>
      </c>
      <c r="K1286" s="455">
        <f t="shared" ca="1" si="108"/>
        <v>211614.91042381045</v>
      </c>
      <c r="L1286" s="455">
        <f t="shared" ca="1" si="109"/>
        <v>50999193.412138313</v>
      </c>
      <c r="M1286" s="471">
        <f t="shared" si="111"/>
        <v>0.05</v>
      </c>
      <c r="N1286" s="475">
        <f t="shared" si="112"/>
        <v>90186</v>
      </c>
    </row>
    <row r="1287" spans="7:14" ht="11.25" customHeight="1" x14ac:dyDescent="0.3">
      <c r="G1287" s="470"/>
      <c r="H1287" s="470">
        <v>1280</v>
      </c>
      <c r="I1287" s="455">
        <f t="shared" ca="1" si="110"/>
        <v>50999193.412138313</v>
      </c>
      <c r="J1287" s="455">
        <f t="array" ref="J1287">IFERROR(INDEX('Retirement Calculator'!K:K,MATCH('Lorri 401b'!N1287,'Retirement Calculator'!A:A,0),0),0)</f>
        <v>0</v>
      </c>
      <c r="K1287" s="455">
        <f t="shared" ca="1" si="108"/>
        <v>212496.63921724298</v>
      </c>
      <c r="L1287" s="455">
        <f t="shared" ca="1" si="109"/>
        <v>51211690.051355556</v>
      </c>
      <c r="M1287" s="471">
        <f t="shared" si="111"/>
        <v>0.05</v>
      </c>
      <c r="N1287" s="475">
        <f t="shared" si="112"/>
        <v>90217</v>
      </c>
    </row>
    <row r="1288" spans="7:14" ht="11.25" customHeight="1" x14ac:dyDescent="0.3">
      <c r="G1288" s="470"/>
      <c r="H1288" s="470">
        <v>1281</v>
      </c>
      <c r="I1288" s="455">
        <f t="shared" ca="1" si="110"/>
        <v>51211690.051355556</v>
      </c>
      <c r="J1288" s="455">
        <f t="array" ref="J1288">IFERROR(INDEX('Retirement Calculator'!K:K,MATCH('Lorri 401b'!N1288,'Retirement Calculator'!A:A,0),0),0)</f>
        <v>0</v>
      </c>
      <c r="K1288" s="455">
        <f t="shared" ca="1" si="108"/>
        <v>213382.04188064815</v>
      </c>
      <c r="L1288" s="455">
        <f t="shared" ca="1" si="109"/>
        <v>51425072.093236201</v>
      </c>
      <c r="M1288" s="471">
        <f t="shared" si="111"/>
        <v>0.05</v>
      </c>
      <c r="N1288" s="475">
        <f t="shared" si="112"/>
        <v>90248</v>
      </c>
    </row>
    <row r="1289" spans="7:14" ht="11.25" customHeight="1" x14ac:dyDescent="0.3">
      <c r="G1289" s="470"/>
      <c r="H1289" s="470">
        <v>1282</v>
      </c>
      <c r="I1289" s="455">
        <f t="shared" ca="1" si="110"/>
        <v>51425072.093236201</v>
      </c>
      <c r="J1289" s="455">
        <f t="array" ref="J1289">IFERROR(INDEX('Retirement Calculator'!K:K,MATCH('Lorri 401b'!N1289,'Retirement Calculator'!A:A,0),0),0)</f>
        <v>0</v>
      </c>
      <c r="K1289" s="455">
        <f t="shared" ca="1" si="108"/>
        <v>214271.13372181749</v>
      </c>
      <c r="L1289" s="455">
        <f t="shared" ca="1" si="109"/>
        <v>51639343.226958022</v>
      </c>
      <c r="M1289" s="471">
        <f t="shared" si="111"/>
        <v>0.05</v>
      </c>
      <c r="N1289" s="475">
        <f t="shared" si="112"/>
        <v>90276</v>
      </c>
    </row>
    <row r="1290" spans="7:14" ht="11.25" customHeight="1" x14ac:dyDescent="0.3">
      <c r="G1290" s="470"/>
      <c r="H1290" s="470">
        <v>1283</v>
      </c>
      <c r="I1290" s="455">
        <f t="shared" ca="1" si="110"/>
        <v>51639343.226958022</v>
      </c>
      <c r="J1290" s="455">
        <f t="array" ref="J1290">IFERROR(INDEX('Retirement Calculator'!K:K,MATCH('Lorri 401b'!N1290,'Retirement Calculator'!A:A,0),0),0)</f>
        <v>0</v>
      </c>
      <c r="K1290" s="455">
        <f t="shared" ca="1" si="108"/>
        <v>215163.93011232509</v>
      </c>
      <c r="L1290" s="455">
        <f t="shared" ca="1" si="109"/>
        <v>51854507.157070346</v>
      </c>
      <c r="M1290" s="471">
        <f t="shared" si="111"/>
        <v>0.05</v>
      </c>
      <c r="N1290" s="475">
        <f t="shared" si="112"/>
        <v>90307</v>
      </c>
    </row>
    <row r="1291" spans="7:14" ht="11.25" customHeight="1" x14ac:dyDescent="0.3">
      <c r="G1291" s="470"/>
      <c r="H1291" s="470">
        <v>1284</v>
      </c>
      <c r="I1291" s="455">
        <f t="shared" ca="1" si="110"/>
        <v>51854507.157070346</v>
      </c>
      <c r="J1291" s="455">
        <f t="array" ref="J1291">IFERROR(INDEX('Retirement Calculator'!K:K,MATCH('Lorri 401b'!N1291,'Retirement Calculator'!A:A,0),0),0)</f>
        <v>0</v>
      </c>
      <c r="K1291" s="455">
        <f t="shared" ca="1" si="108"/>
        <v>216060.44648779312</v>
      </c>
      <c r="L1291" s="455">
        <f t="shared" ca="1" si="109"/>
        <v>52070567.603558138</v>
      </c>
      <c r="M1291" s="471">
        <f t="shared" si="111"/>
        <v>0.05</v>
      </c>
      <c r="N1291" s="475">
        <f t="shared" si="112"/>
        <v>90337</v>
      </c>
    </row>
    <row r="1292" spans="7:14" ht="11.25" customHeight="1" x14ac:dyDescent="0.3">
      <c r="G1292" s="470"/>
      <c r="H1292" s="470">
        <v>1285</v>
      </c>
      <c r="I1292" s="455">
        <f t="shared" ca="1" si="110"/>
        <v>52070567.603558138</v>
      </c>
      <c r="J1292" s="455">
        <f t="array" ref="J1292">IFERROR(INDEX('Retirement Calculator'!K:K,MATCH('Lorri 401b'!N1292,'Retirement Calculator'!A:A,0),0),0)</f>
        <v>0</v>
      </c>
      <c r="K1292" s="455">
        <f t="shared" ca="1" si="108"/>
        <v>216960.69834815891</v>
      </c>
      <c r="L1292" s="455">
        <f t="shared" ca="1" si="109"/>
        <v>52287528.301906295</v>
      </c>
      <c r="M1292" s="471">
        <f t="shared" si="111"/>
        <v>0.05</v>
      </c>
      <c r="N1292" s="475">
        <f t="shared" si="112"/>
        <v>90368</v>
      </c>
    </row>
    <row r="1293" spans="7:14" ht="11.25" customHeight="1" x14ac:dyDescent="0.3">
      <c r="G1293" s="470"/>
      <c r="H1293" s="470">
        <v>1286</v>
      </c>
      <c r="I1293" s="455">
        <f t="shared" ca="1" si="110"/>
        <v>52287528.301906295</v>
      </c>
      <c r="J1293" s="455">
        <f t="array" ref="J1293">IFERROR(INDEX('Retirement Calculator'!K:K,MATCH('Lorri 401b'!N1293,'Retirement Calculator'!A:A,0),0),0)</f>
        <v>0</v>
      </c>
      <c r="K1293" s="455">
        <f t="shared" ca="1" si="108"/>
        <v>217864.70125794286</v>
      </c>
      <c r="L1293" s="455">
        <f t="shared" ca="1" si="109"/>
        <v>52505393.003164239</v>
      </c>
      <c r="M1293" s="471">
        <f t="shared" si="111"/>
        <v>0.05</v>
      </c>
      <c r="N1293" s="475">
        <f t="shared" si="112"/>
        <v>90398</v>
      </c>
    </row>
    <row r="1294" spans="7:14" ht="11.25" customHeight="1" x14ac:dyDescent="0.3">
      <c r="G1294" s="470"/>
      <c r="H1294" s="470">
        <v>1287</v>
      </c>
      <c r="I1294" s="455">
        <f t="shared" ca="1" si="110"/>
        <v>52505393.003164239</v>
      </c>
      <c r="J1294" s="455">
        <f t="array" ref="J1294">IFERROR(INDEX('Retirement Calculator'!K:K,MATCH('Lorri 401b'!N1294,'Retirement Calculator'!A:A,0),0),0)</f>
        <v>0</v>
      </c>
      <c r="K1294" s="455">
        <f t="shared" ca="1" si="108"/>
        <v>218772.47084651762</v>
      </c>
      <c r="L1294" s="455">
        <f t="shared" ca="1" si="109"/>
        <v>52724165.474010758</v>
      </c>
      <c r="M1294" s="471">
        <f t="shared" si="111"/>
        <v>0.05</v>
      </c>
      <c r="N1294" s="475">
        <f t="shared" si="112"/>
        <v>90429</v>
      </c>
    </row>
    <row r="1295" spans="7:14" ht="11.25" customHeight="1" x14ac:dyDescent="0.3">
      <c r="G1295" s="470"/>
      <c r="H1295" s="470">
        <v>1288</v>
      </c>
      <c r="I1295" s="455">
        <f t="shared" ca="1" si="110"/>
        <v>52724165.474010758</v>
      </c>
      <c r="J1295" s="455">
        <f t="array" ref="J1295">IFERROR(INDEX('Retirement Calculator'!K:K,MATCH('Lorri 401b'!N1295,'Retirement Calculator'!A:A,0),0),0)</f>
        <v>0</v>
      </c>
      <c r="K1295" s="455">
        <f t="shared" ca="1" si="108"/>
        <v>219684.02280837815</v>
      </c>
      <c r="L1295" s="455">
        <f t="shared" ca="1" si="109"/>
        <v>52943849.496819139</v>
      </c>
      <c r="M1295" s="471">
        <f t="shared" si="111"/>
        <v>0.05</v>
      </c>
      <c r="N1295" s="475">
        <f t="shared" si="112"/>
        <v>90460</v>
      </c>
    </row>
    <row r="1296" spans="7:14" ht="11.25" customHeight="1" x14ac:dyDescent="0.3">
      <c r="G1296" s="470"/>
      <c r="H1296" s="470">
        <v>1289</v>
      </c>
      <c r="I1296" s="455">
        <f t="shared" ca="1" si="110"/>
        <v>52943849.496819139</v>
      </c>
      <c r="J1296" s="455">
        <f t="array" ref="J1296">IFERROR(INDEX('Retirement Calculator'!K:K,MATCH('Lorri 401b'!N1296,'Retirement Calculator'!A:A,0),0),0)</f>
        <v>0</v>
      </c>
      <c r="K1296" s="455">
        <f t="shared" ca="1" si="108"/>
        <v>220599.37290341308</v>
      </c>
      <c r="L1296" s="455">
        <f t="shared" ca="1" si="109"/>
        <v>53164448.869722553</v>
      </c>
      <c r="M1296" s="471">
        <f t="shared" si="111"/>
        <v>0.05</v>
      </c>
      <c r="N1296" s="475">
        <f t="shared" si="112"/>
        <v>90490</v>
      </c>
    </row>
    <row r="1297" spans="7:14" ht="11.25" customHeight="1" x14ac:dyDescent="0.3">
      <c r="G1297" s="470"/>
      <c r="H1297" s="470">
        <v>1290</v>
      </c>
      <c r="I1297" s="455">
        <f t="shared" ca="1" si="110"/>
        <v>53164448.869722553</v>
      </c>
      <c r="J1297" s="455">
        <f t="array" ref="J1297">IFERROR(INDEX('Retirement Calculator'!K:K,MATCH('Lorri 401b'!N1297,'Retirement Calculator'!A:A,0),0),0)</f>
        <v>0</v>
      </c>
      <c r="K1297" s="455">
        <f t="shared" ca="1" si="108"/>
        <v>221518.53695717728</v>
      </c>
      <c r="L1297" s="455">
        <f t="shared" ca="1" si="109"/>
        <v>53385967.406679727</v>
      </c>
      <c r="M1297" s="471">
        <f t="shared" si="111"/>
        <v>0.05</v>
      </c>
      <c r="N1297" s="475">
        <f t="shared" si="112"/>
        <v>90521</v>
      </c>
    </row>
    <row r="1298" spans="7:14" ht="11.25" customHeight="1" x14ac:dyDescent="0.3">
      <c r="G1298" s="470"/>
      <c r="H1298" s="470">
        <v>1291</v>
      </c>
      <c r="I1298" s="455">
        <f t="shared" ca="1" si="110"/>
        <v>53385967.406679727</v>
      </c>
      <c r="J1298" s="455">
        <f t="array" ref="J1298">IFERROR(INDEX('Retirement Calculator'!K:K,MATCH('Lorri 401b'!N1298,'Retirement Calculator'!A:A,0),0),0)</f>
        <v>0</v>
      </c>
      <c r="K1298" s="455">
        <f t="shared" ca="1" si="108"/>
        <v>222441.53086116552</v>
      </c>
      <c r="L1298" s="455">
        <f t="shared" ca="1" si="109"/>
        <v>53608408.937540896</v>
      </c>
      <c r="M1298" s="471">
        <f t="shared" si="111"/>
        <v>0.05</v>
      </c>
      <c r="N1298" s="475">
        <f t="shared" si="112"/>
        <v>90551</v>
      </c>
    </row>
    <row r="1299" spans="7:14" ht="11.25" customHeight="1" x14ac:dyDescent="0.3">
      <c r="G1299" s="470"/>
      <c r="H1299" s="470">
        <v>1292</v>
      </c>
      <c r="I1299" s="455">
        <f t="shared" ca="1" si="110"/>
        <v>53608408.937540896</v>
      </c>
      <c r="J1299" s="455">
        <f t="array" ref="J1299">IFERROR(INDEX('Retirement Calculator'!K:K,MATCH('Lorri 401b'!N1299,'Retirement Calculator'!A:A,0),0),0)</f>
        <v>0</v>
      </c>
      <c r="K1299" s="455">
        <f t="shared" ca="1" si="108"/>
        <v>223368.37057308704</v>
      </c>
      <c r="L1299" s="455">
        <f t="shared" ca="1" si="109"/>
        <v>53831777.308113985</v>
      </c>
      <c r="M1299" s="471">
        <f t="shared" si="111"/>
        <v>0.05</v>
      </c>
      <c r="N1299" s="475">
        <f t="shared" si="112"/>
        <v>90582</v>
      </c>
    </row>
    <row r="1300" spans="7:14" ht="11.25" customHeight="1" x14ac:dyDescent="0.3">
      <c r="G1300" s="470"/>
      <c r="H1300" s="470">
        <v>1293</v>
      </c>
      <c r="I1300" s="455">
        <f t="shared" ca="1" si="110"/>
        <v>53831777.308113985</v>
      </c>
      <c r="J1300" s="455">
        <f t="array" ref="J1300">IFERROR(INDEX('Retirement Calculator'!K:K,MATCH('Lorri 401b'!N1300,'Retirement Calculator'!A:A,0),0),0)</f>
        <v>0</v>
      </c>
      <c r="K1300" s="455">
        <f t="shared" ca="1" si="108"/>
        <v>224299.07211714156</v>
      </c>
      <c r="L1300" s="455">
        <f t="shared" ca="1" si="109"/>
        <v>54056076.380231127</v>
      </c>
      <c r="M1300" s="471">
        <f t="shared" si="111"/>
        <v>0.05</v>
      </c>
      <c r="N1300" s="475">
        <f t="shared" si="112"/>
        <v>90613</v>
      </c>
    </row>
    <row r="1301" spans="7:14" ht="11.25" customHeight="1" x14ac:dyDescent="0.3">
      <c r="G1301" s="470"/>
      <c r="H1301" s="470">
        <v>1294</v>
      </c>
      <c r="I1301" s="455">
        <f t="shared" ca="1" si="110"/>
        <v>54056076.380231127</v>
      </c>
      <c r="J1301" s="455">
        <f t="array" ref="J1301">IFERROR(INDEX('Retirement Calculator'!K:K,MATCH('Lorri 401b'!N1301,'Retirement Calculator'!A:A,0),0),0)</f>
        <v>0</v>
      </c>
      <c r="K1301" s="455">
        <f t="shared" ca="1" si="108"/>
        <v>225233.65158429637</v>
      </c>
      <c r="L1301" s="455">
        <f t="shared" ca="1" si="109"/>
        <v>54281310.031815425</v>
      </c>
      <c r="M1301" s="471">
        <f t="shared" si="111"/>
        <v>0.05</v>
      </c>
      <c r="N1301" s="475">
        <f t="shared" si="112"/>
        <v>90642</v>
      </c>
    </row>
    <row r="1302" spans="7:14" ht="11.25" customHeight="1" x14ac:dyDescent="0.3">
      <c r="G1302" s="470"/>
      <c r="H1302" s="470">
        <v>1295</v>
      </c>
      <c r="I1302" s="455">
        <f t="shared" ca="1" si="110"/>
        <v>54281310.031815425</v>
      </c>
      <c r="J1302" s="455">
        <f t="array" ref="J1302">IFERROR(INDEX('Retirement Calculator'!K:K,MATCH('Lorri 401b'!N1302,'Retirement Calculator'!A:A,0),0),0)</f>
        <v>0</v>
      </c>
      <c r="K1302" s="455">
        <f t="shared" ca="1" si="108"/>
        <v>226172.12513256425</v>
      </c>
      <c r="L1302" s="455">
        <f t="shared" ca="1" si="109"/>
        <v>54507482.156947985</v>
      </c>
      <c r="M1302" s="471">
        <f t="shared" si="111"/>
        <v>0.05</v>
      </c>
      <c r="N1302" s="475">
        <f t="shared" si="112"/>
        <v>90673</v>
      </c>
    </row>
    <row r="1303" spans="7:14" ht="11.25" customHeight="1" x14ac:dyDescent="0.3">
      <c r="G1303" s="470"/>
      <c r="H1303" s="470">
        <v>1296</v>
      </c>
      <c r="I1303" s="455">
        <f t="shared" ca="1" si="110"/>
        <v>54507482.156947985</v>
      </c>
      <c r="J1303" s="455">
        <f t="array" ref="J1303">IFERROR(INDEX('Retirement Calculator'!K:K,MATCH('Lorri 401b'!N1303,'Retirement Calculator'!A:A,0),0),0)</f>
        <v>0</v>
      </c>
      <c r="K1303" s="455">
        <f t="shared" ca="1" si="108"/>
        <v>227114.50898728325</v>
      </c>
      <c r="L1303" s="455">
        <f t="shared" ca="1" si="109"/>
        <v>54734596.66593527</v>
      </c>
      <c r="M1303" s="471">
        <f t="shared" si="111"/>
        <v>0.05</v>
      </c>
      <c r="N1303" s="475">
        <f t="shared" si="112"/>
        <v>90703</v>
      </c>
    </row>
    <row r="1304" spans="7:14" ht="11.25" customHeight="1" x14ac:dyDescent="0.3">
      <c r="G1304" s="470"/>
      <c r="H1304" s="470">
        <v>1297</v>
      </c>
      <c r="I1304" s="455">
        <f t="shared" ca="1" si="110"/>
        <v>54734596.66593527</v>
      </c>
      <c r="J1304" s="455">
        <f t="array" ref="J1304">IFERROR(INDEX('Retirement Calculator'!K:K,MATCH('Lorri 401b'!N1304,'Retirement Calculator'!A:A,0),0),0)</f>
        <v>0</v>
      </c>
      <c r="K1304" s="455">
        <f t="shared" ca="1" si="108"/>
        <v>228060.81944139695</v>
      </c>
      <c r="L1304" s="455">
        <f t="shared" ca="1" si="109"/>
        <v>54962657.485376671</v>
      </c>
      <c r="M1304" s="471">
        <f t="shared" si="111"/>
        <v>0.05</v>
      </c>
      <c r="N1304" s="475">
        <f t="shared" si="112"/>
        <v>90734</v>
      </c>
    </row>
    <row r="1305" spans="7:14" ht="11.25" customHeight="1" x14ac:dyDescent="0.3">
      <c r="G1305" s="470"/>
      <c r="H1305" s="470">
        <v>1298</v>
      </c>
      <c r="I1305" s="455">
        <f t="shared" ca="1" si="110"/>
        <v>54962657.485376671</v>
      </c>
      <c r="J1305" s="455">
        <f t="array" ref="J1305">IFERROR(INDEX('Retirement Calculator'!K:K,MATCH('Lorri 401b'!N1305,'Retirement Calculator'!A:A,0),0),0)</f>
        <v>0</v>
      </c>
      <c r="K1305" s="455">
        <f t="shared" ca="1" si="108"/>
        <v>229011.07285573613</v>
      </c>
      <c r="L1305" s="455">
        <f t="shared" ca="1" si="109"/>
        <v>55191668.558232404</v>
      </c>
      <c r="M1305" s="471">
        <f t="shared" si="111"/>
        <v>0.05</v>
      </c>
      <c r="N1305" s="475">
        <f t="shared" si="112"/>
        <v>90764</v>
      </c>
    </row>
    <row r="1306" spans="7:14" ht="11.25" customHeight="1" x14ac:dyDescent="0.3">
      <c r="G1306" s="470"/>
      <c r="H1306" s="470">
        <v>1299</v>
      </c>
      <c r="I1306" s="455">
        <f t="shared" ca="1" si="110"/>
        <v>55191668.558232404</v>
      </c>
      <c r="J1306" s="455">
        <f t="array" ref="J1306">IFERROR(INDEX('Retirement Calculator'!K:K,MATCH('Lorri 401b'!N1306,'Retirement Calculator'!A:A,0),0),0)</f>
        <v>0</v>
      </c>
      <c r="K1306" s="455">
        <f t="shared" ca="1" si="108"/>
        <v>229965.28565930165</v>
      </c>
      <c r="L1306" s="455">
        <f t="shared" ca="1" si="109"/>
        <v>55421633.843891703</v>
      </c>
      <c r="M1306" s="471">
        <f t="shared" si="111"/>
        <v>0.05</v>
      </c>
      <c r="N1306" s="475">
        <f t="shared" si="112"/>
        <v>90795</v>
      </c>
    </row>
    <row r="1307" spans="7:14" ht="11.25" customHeight="1" x14ac:dyDescent="0.3">
      <c r="G1307" s="470"/>
      <c r="H1307" s="470">
        <v>1300</v>
      </c>
      <c r="I1307" s="455">
        <f t="shared" ca="1" si="110"/>
        <v>55421633.843891703</v>
      </c>
      <c r="J1307" s="455">
        <f t="array" ref="J1307">IFERROR(INDEX('Retirement Calculator'!K:K,MATCH('Lorri 401b'!N1307,'Retirement Calculator'!A:A,0),0),0)</f>
        <v>0</v>
      </c>
      <c r="K1307" s="455">
        <f t="shared" ca="1" si="108"/>
        <v>230923.47434954872</v>
      </c>
      <c r="L1307" s="455">
        <f t="shared" ca="1" si="109"/>
        <v>55652557.318241253</v>
      </c>
      <c r="M1307" s="471">
        <f t="shared" si="111"/>
        <v>0.05</v>
      </c>
      <c r="N1307" s="475">
        <f t="shared" si="112"/>
        <v>90826</v>
      </c>
    </row>
    <row r="1308" spans="7:14" ht="11.25" customHeight="1" x14ac:dyDescent="0.3">
      <c r="G1308" s="470"/>
      <c r="H1308" s="470">
        <v>1301</v>
      </c>
      <c r="I1308" s="455">
        <f t="shared" ca="1" si="110"/>
        <v>55652557.318241253</v>
      </c>
      <c r="J1308" s="455">
        <f t="array" ref="J1308">IFERROR(INDEX('Retirement Calculator'!K:K,MATCH('Lorri 401b'!N1308,'Retirement Calculator'!A:A,0),0),0)</f>
        <v>0</v>
      </c>
      <c r="K1308" s="455">
        <f t="shared" ca="1" si="108"/>
        <v>231885.65549267191</v>
      </c>
      <c r="L1308" s="455">
        <f t="shared" ca="1" si="109"/>
        <v>55884442.973733924</v>
      </c>
      <c r="M1308" s="471">
        <f t="shared" si="111"/>
        <v>0.05</v>
      </c>
      <c r="N1308" s="475">
        <f t="shared" si="112"/>
        <v>90856</v>
      </c>
    </row>
    <row r="1309" spans="7:14" ht="11.25" customHeight="1" x14ac:dyDescent="0.3">
      <c r="G1309" s="470"/>
      <c r="H1309" s="470">
        <v>1302</v>
      </c>
      <c r="I1309" s="455">
        <f t="shared" ca="1" si="110"/>
        <v>55884442.973733924</v>
      </c>
      <c r="J1309" s="455">
        <f t="array" ref="J1309">IFERROR(INDEX('Retirement Calculator'!K:K,MATCH('Lorri 401b'!N1309,'Retirement Calculator'!A:A,0),0),0)</f>
        <v>0</v>
      </c>
      <c r="K1309" s="455">
        <f t="shared" ca="1" si="108"/>
        <v>232851.84572389137</v>
      </c>
      <c r="L1309" s="455">
        <f t="shared" ca="1" si="109"/>
        <v>56117294.819457814</v>
      </c>
      <c r="M1309" s="471">
        <f t="shared" si="111"/>
        <v>0.05</v>
      </c>
      <c r="N1309" s="475">
        <f t="shared" si="112"/>
        <v>90887</v>
      </c>
    </row>
    <row r="1310" spans="7:14" ht="11.25" customHeight="1" x14ac:dyDescent="0.3">
      <c r="G1310" s="470"/>
      <c r="H1310" s="470">
        <v>1303</v>
      </c>
      <c r="I1310" s="455">
        <f t="shared" ca="1" si="110"/>
        <v>56117294.819457814</v>
      </c>
      <c r="J1310" s="455">
        <f t="array" ref="J1310">IFERROR(INDEX('Retirement Calculator'!K:K,MATCH('Lorri 401b'!N1310,'Retirement Calculator'!A:A,0),0),0)</f>
        <v>0</v>
      </c>
      <c r="K1310" s="455">
        <f t="shared" ca="1" si="108"/>
        <v>233822.06174774087</v>
      </c>
      <c r="L1310" s="455">
        <f t="shared" ca="1" si="109"/>
        <v>56351116.881205551</v>
      </c>
      <c r="M1310" s="471">
        <f t="shared" si="111"/>
        <v>0.05</v>
      </c>
      <c r="N1310" s="475">
        <f t="shared" si="112"/>
        <v>90917</v>
      </c>
    </row>
    <row r="1311" spans="7:14" ht="11.25" customHeight="1" x14ac:dyDescent="0.3">
      <c r="G1311" s="470"/>
      <c r="H1311" s="470">
        <v>1304</v>
      </c>
      <c r="I1311" s="455">
        <f t="shared" ca="1" si="110"/>
        <v>56351116.881205551</v>
      </c>
      <c r="J1311" s="455">
        <f t="array" ref="J1311">IFERROR(INDEX('Retirement Calculator'!K:K,MATCH('Lorri 401b'!N1311,'Retirement Calculator'!A:A,0),0),0)</f>
        <v>0</v>
      </c>
      <c r="K1311" s="455">
        <f t="shared" ca="1" si="108"/>
        <v>234796.32033835645</v>
      </c>
      <c r="L1311" s="455">
        <f t="shared" ca="1" si="109"/>
        <v>56585913.201543905</v>
      </c>
      <c r="M1311" s="471">
        <f t="shared" si="111"/>
        <v>0.05</v>
      </c>
      <c r="N1311" s="475">
        <f t="shared" si="112"/>
        <v>90948</v>
      </c>
    </row>
    <row r="1312" spans="7:14" ht="11.25" customHeight="1" x14ac:dyDescent="0.3">
      <c r="G1312" s="470"/>
      <c r="H1312" s="470">
        <v>1305</v>
      </c>
      <c r="I1312" s="455">
        <f t="shared" ca="1" si="110"/>
        <v>56585913.201543905</v>
      </c>
      <c r="J1312" s="455">
        <f t="array" ref="J1312">IFERROR(INDEX('Retirement Calculator'!K:K,MATCH('Lorri 401b'!N1312,'Retirement Calculator'!A:A,0),0),0)</f>
        <v>0</v>
      </c>
      <c r="K1312" s="455">
        <f t="shared" ca="1" si="108"/>
        <v>235774.63833976627</v>
      </c>
      <c r="L1312" s="455">
        <f t="shared" ca="1" si="109"/>
        <v>56821687.83988367</v>
      </c>
      <c r="M1312" s="471">
        <f t="shared" si="111"/>
        <v>0.05</v>
      </c>
      <c r="N1312" s="475">
        <f t="shared" si="112"/>
        <v>90979</v>
      </c>
    </row>
    <row r="1313" spans="7:14" ht="11.25" customHeight="1" x14ac:dyDescent="0.3">
      <c r="G1313" s="470"/>
      <c r="H1313" s="470">
        <v>1306</v>
      </c>
      <c r="I1313" s="455">
        <f t="shared" ca="1" si="110"/>
        <v>56821687.83988367</v>
      </c>
      <c r="J1313" s="455">
        <f t="array" ref="J1313">IFERROR(INDEX('Retirement Calculator'!K:K,MATCH('Lorri 401b'!N1313,'Retirement Calculator'!A:A,0),0),0)</f>
        <v>0</v>
      </c>
      <c r="K1313" s="455">
        <f t="shared" ca="1" si="108"/>
        <v>236757.03266618194</v>
      </c>
      <c r="L1313" s="455">
        <f t="shared" ca="1" si="109"/>
        <v>57058444.872549854</v>
      </c>
      <c r="M1313" s="471">
        <f t="shared" si="111"/>
        <v>0.05</v>
      </c>
      <c r="N1313" s="475">
        <f t="shared" si="112"/>
        <v>91007</v>
      </c>
    </row>
    <row r="1314" spans="7:14" ht="11.25" customHeight="1" x14ac:dyDescent="0.3">
      <c r="G1314" s="470"/>
      <c r="H1314" s="470">
        <v>1307</v>
      </c>
      <c r="I1314" s="455">
        <f t="shared" ca="1" si="110"/>
        <v>57058444.872549854</v>
      </c>
      <c r="J1314" s="455">
        <f t="array" ref="J1314">IFERROR(INDEX('Retirement Calculator'!K:K,MATCH('Lorri 401b'!N1314,'Retirement Calculator'!A:A,0),0),0)</f>
        <v>0</v>
      </c>
      <c r="K1314" s="455">
        <f t="shared" ca="1" si="108"/>
        <v>237743.52030229109</v>
      </c>
      <c r="L1314" s="455">
        <f t="shared" ca="1" si="109"/>
        <v>57296188.392852142</v>
      </c>
      <c r="M1314" s="471">
        <f t="shared" si="111"/>
        <v>0.05</v>
      </c>
      <c r="N1314" s="475">
        <f t="shared" si="112"/>
        <v>91038</v>
      </c>
    </row>
    <row r="1315" spans="7:14" ht="11.25" customHeight="1" x14ac:dyDescent="0.3">
      <c r="G1315" s="470"/>
      <c r="H1315" s="470">
        <v>1308</v>
      </c>
      <c r="I1315" s="455">
        <f t="shared" ca="1" si="110"/>
        <v>57296188.392852142</v>
      </c>
      <c r="J1315" s="455">
        <f t="array" ref="J1315">IFERROR(INDEX('Retirement Calculator'!K:K,MATCH('Lorri 401b'!N1315,'Retirement Calculator'!A:A,0),0),0)</f>
        <v>0</v>
      </c>
      <c r="K1315" s="455">
        <f t="shared" ca="1" si="108"/>
        <v>238734.11830355058</v>
      </c>
      <c r="L1315" s="455">
        <f t="shared" ca="1" si="109"/>
        <v>57534922.511155695</v>
      </c>
      <c r="M1315" s="471">
        <f t="shared" si="111"/>
        <v>0.05</v>
      </c>
      <c r="N1315" s="475">
        <f t="shared" si="112"/>
        <v>91068</v>
      </c>
    </row>
    <row r="1316" spans="7:14" ht="11.25" customHeight="1" x14ac:dyDescent="0.3">
      <c r="G1316" s="470"/>
      <c r="H1316" s="470">
        <v>1309</v>
      </c>
      <c r="I1316" s="455">
        <f t="shared" ca="1" si="110"/>
        <v>57534922.511155695</v>
      </c>
      <c r="J1316" s="455">
        <f t="array" ref="J1316">IFERROR(INDEX('Retirement Calculator'!K:K,MATCH('Lorri 401b'!N1316,'Retirement Calculator'!A:A,0),0),0)</f>
        <v>0</v>
      </c>
      <c r="K1316" s="455">
        <f t="shared" ca="1" si="108"/>
        <v>239728.84379648202</v>
      </c>
      <c r="L1316" s="455">
        <f t="shared" ca="1" si="109"/>
        <v>57774651.354952179</v>
      </c>
      <c r="M1316" s="471">
        <f t="shared" si="111"/>
        <v>0.05</v>
      </c>
      <c r="N1316" s="475">
        <f t="shared" si="112"/>
        <v>91099</v>
      </c>
    </row>
    <row r="1317" spans="7:14" ht="11.25" customHeight="1" x14ac:dyDescent="0.3">
      <c r="G1317" s="470"/>
      <c r="H1317" s="470">
        <v>1310</v>
      </c>
      <c r="I1317" s="455">
        <f t="shared" ca="1" si="110"/>
        <v>57774651.354952179</v>
      </c>
      <c r="J1317" s="455">
        <f t="array" ref="J1317">IFERROR(INDEX('Retirement Calculator'!K:K,MATCH('Lorri 401b'!N1317,'Retirement Calculator'!A:A,0),0),0)</f>
        <v>0</v>
      </c>
      <c r="K1317" s="455">
        <f t="shared" ca="1" si="108"/>
        <v>240727.7139789674</v>
      </c>
      <c r="L1317" s="455">
        <f t="shared" ca="1" si="109"/>
        <v>58015379.068931147</v>
      </c>
      <c r="M1317" s="471">
        <f t="shared" si="111"/>
        <v>0.05</v>
      </c>
      <c r="N1317" s="475">
        <f t="shared" si="112"/>
        <v>91129</v>
      </c>
    </row>
    <row r="1318" spans="7:14" ht="11.25" customHeight="1" x14ac:dyDescent="0.3">
      <c r="G1318" s="470"/>
      <c r="H1318" s="470">
        <v>1311</v>
      </c>
      <c r="I1318" s="455">
        <f t="shared" ca="1" si="110"/>
        <v>58015379.068931147</v>
      </c>
      <c r="J1318" s="455">
        <f t="array" ref="J1318">IFERROR(INDEX('Retirement Calculator'!K:K,MATCH('Lorri 401b'!N1318,'Retirement Calculator'!A:A,0),0),0)</f>
        <v>0</v>
      </c>
      <c r="K1318" s="455">
        <f t="shared" ca="1" si="108"/>
        <v>241730.74612054645</v>
      </c>
      <c r="L1318" s="455">
        <f t="shared" ca="1" si="109"/>
        <v>58257109.815051697</v>
      </c>
      <c r="M1318" s="471">
        <f t="shared" si="111"/>
        <v>0.05</v>
      </c>
      <c r="N1318" s="475">
        <f t="shared" si="112"/>
        <v>91160</v>
      </c>
    </row>
    <row r="1319" spans="7:14" ht="11.25" customHeight="1" x14ac:dyDescent="0.3">
      <c r="G1319" s="470"/>
      <c r="H1319" s="470">
        <v>1312</v>
      </c>
      <c r="I1319" s="455">
        <f t="shared" ca="1" si="110"/>
        <v>58257109.815051697</v>
      </c>
      <c r="J1319" s="455">
        <f t="array" ref="J1319">IFERROR(INDEX('Retirement Calculator'!K:K,MATCH('Lorri 401b'!N1319,'Retirement Calculator'!A:A,0),0),0)</f>
        <v>0</v>
      </c>
      <c r="K1319" s="455">
        <f t="shared" ca="1" si="108"/>
        <v>242737.9575627154</v>
      </c>
      <c r="L1319" s="455">
        <f t="shared" ca="1" si="109"/>
        <v>58499847.772614412</v>
      </c>
      <c r="M1319" s="471">
        <f t="shared" si="111"/>
        <v>0.05</v>
      </c>
      <c r="N1319" s="475">
        <f t="shared" si="112"/>
        <v>91191</v>
      </c>
    </row>
    <row r="1320" spans="7:14" ht="11.25" customHeight="1" x14ac:dyDescent="0.3">
      <c r="G1320" s="470"/>
      <c r="H1320" s="470">
        <v>1313</v>
      </c>
      <c r="I1320" s="455">
        <f t="shared" ca="1" si="110"/>
        <v>58499847.772614412</v>
      </c>
      <c r="J1320" s="455">
        <f t="array" ref="J1320">IFERROR(INDEX('Retirement Calculator'!K:K,MATCH('Lorri 401b'!N1320,'Retirement Calculator'!A:A,0),0),0)</f>
        <v>0</v>
      </c>
      <c r="K1320" s="455">
        <f t="shared" ca="1" si="108"/>
        <v>243749.36571922671</v>
      </c>
      <c r="L1320" s="455">
        <f t="shared" ca="1" si="109"/>
        <v>58743597.138333641</v>
      </c>
      <c r="M1320" s="471">
        <f t="shared" si="111"/>
        <v>0.05</v>
      </c>
      <c r="N1320" s="475">
        <f t="shared" si="112"/>
        <v>91221</v>
      </c>
    </row>
    <row r="1321" spans="7:14" ht="11.25" customHeight="1" x14ac:dyDescent="0.3">
      <c r="G1321" s="470"/>
      <c r="H1321" s="470">
        <v>1314</v>
      </c>
      <c r="I1321" s="455">
        <f t="shared" ca="1" si="110"/>
        <v>58743597.138333641</v>
      </c>
      <c r="J1321" s="455">
        <f t="array" ref="J1321">IFERROR(INDEX('Retirement Calculator'!K:K,MATCH('Lorri 401b'!N1321,'Retirement Calculator'!A:A,0),0),0)</f>
        <v>0</v>
      </c>
      <c r="K1321" s="455">
        <f t="shared" ca="1" si="108"/>
        <v>244764.98807639017</v>
      </c>
      <c r="L1321" s="455">
        <f t="shared" ca="1" si="109"/>
        <v>58988362.12641003</v>
      </c>
      <c r="M1321" s="471">
        <f t="shared" si="111"/>
        <v>0.05</v>
      </c>
      <c r="N1321" s="475">
        <f t="shared" si="112"/>
        <v>91252</v>
      </c>
    </row>
    <row r="1322" spans="7:14" ht="11.25" customHeight="1" x14ac:dyDescent="0.3">
      <c r="G1322" s="470"/>
      <c r="H1322" s="470">
        <v>1315</v>
      </c>
      <c r="I1322" s="455">
        <f t="shared" ca="1" si="110"/>
        <v>58988362.12641003</v>
      </c>
      <c r="J1322" s="455">
        <f t="array" ref="J1322">IFERROR(INDEX('Retirement Calculator'!K:K,MATCH('Lorri 401b'!N1322,'Retirement Calculator'!A:A,0),0),0)</f>
        <v>0</v>
      </c>
      <c r="K1322" s="455">
        <f t="shared" ca="1" si="108"/>
        <v>245784.84219337514</v>
      </c>
      <c r="L1322" s="455">
        <f t="shared" ca="1" si="109"/>
        <v>59234146.968603402</v>
      </c>
      <c r="M1322" s="471">
        <f t="shared" si="111"/>
        <v>0.05</v>
      </c>
      <c r="N1322" s="475">
        <f t="shared" si="112"/>
        <v>91282</v>
      </c>
    </row>
    <row r="1323" spans="7:14" ht="11.25" customHeight="1" x14ac:dyDescent="0.3">
      <c r="G1323" s="470"/>
      <c r="H1323" s="470">
        <v>1316</v>
      </c>
      <c r="I1323" s="455">
        <f t="shared" ca="1" si="110"/>
        <v>59234146.968603402</v>
      </c>
      <c r="J1323" s="455">
        <f t="array" ref="J1323">IFERROR(INDEX('Retirement Calculator'!K:K,MATCH('Lorri 401b'!N1323,'Retirement Calculator'!A:A,0),0),0)</f>
        <v>0</v>
      </c>
      <c r="K1323" s="455">
        <f t="shared" ca="1" si="108"/>
        <v>246808.94570251417</v>
      </c>
      <c r="L1323" s="455">
        <f t="shared" ca="1" si="109"/>
        <v>59480955.914305918</v>
      </c>
      <c r="M1323" s="471">
        <f t="shared" si="111"/>
        <v>0.05</v>
      </c>
      <c r="N1323" s="475">
        <f t="shared" si="112"/>
        <v>91313</v>
      </c>
    </row>
    <row r="1324" spans="7:14" ht="11.25" customHeight="1" x14ac:dyDescent="0.3">
      <c r="G1324" s="470"/>
      <c r="H1324" s="470">
        <v>1317</v>
      </c>
      <c r="I1324" s="455">
        <f t="shared" ca="1" si="110"/>
        <v>59480955.914305918</v>
      </c>
      <c r="J1324" s="455">
        <f t="array" ref="J1324">IFERROR(INDEX('Retirement Calculator'!K:K,MATCH('Lorri 401b'!N1324,'Retirement Calculator'!A:A,0),0),0)</f>
        <v>0</v>
      </c>
      <c r="K1324" s="455">
        <f t="shared" ca="1" si="108"/>
        <v>247837.31630960802</v>
      </c>
      <c r="L1324" s="455">
        <f t="shared" ca="1" si="109"/>
        <v>59728793.230615526</v>
      </c>
      <c r="M1324" s="471">
        <f t="shared" si="111"/>
        <v>0.05</v>
      </c>
      <c r="N1324" s="475">
        <f t="shared" si="112"/>
        <v>91344</v>
      </c>
    </row>
    <row r="1325" spans="7:14" ht="11.25" customHeight="1" x14ac:dyDescent="0.3">
      <c r="G1325" s="470"/>
      <c r="H1325" s="470">
        <v>1318</v>
      </c>
      <c r="I1325" s="455">
        <f t="shared" ca="1" si="110"/>
        <v>59728793.230615526</v>
      </c>
      <c r="J1325" s="455">
        <f t="array" ref="J1325">IFERROR(INDEX('Retirement Calculator'!K:K,MATCH('Lorri 401b'!N1325,'Retirement Calculator'!A:A,0),0),0)</f>
        <v>0</v>
      </c>
      <c r="K1325" s="455">
        <f t="shared" ca="1" si="108"/>
        <v>248869.97179423136</v>
      </c>
      <c r="L1325" s="455">
        <f t="shared" ca="1" si="109"/>
        <v>59977663.202409759</v>
      </c>
      <c r="M1325" s="471">
        <f t="shared" si="111"/>
        <v>0.05</v>
      </c>
      <c r="N1325" s="475">
        <f t="shared" si="112"/>
        <v>91372</v>
      </c>
    </row>
    <row r="1326" spans="7:14" ht="11.25" customHeight="1" x14ac:dyDescent="0.3">
      <c r="G1326" s="470"/>
      <c r="H1326" s="470">
        <v>1319</v>
      </c>
      <c r="I1326" s="455">
        <f t="shared" ca="1" si="110"/>
        <v>59977663.202409759</v>
      </c>
      <c r="J1326" s="455">
        <f t="array" ref="J1326">IFERROR(INDEX('Retirement Calculator'!K:K,MATCH('Lorri 401b'!N1326,'Retirement Calculator'!A:A,0),0),0)</f>
        <v>0</v>
      </c>
      <c r="K1326" s="455">
        <f t="shared" ca="1" si="108"/>
        <v>249906.93001004067</v>
      </c>
      <c r="L1326" s="455">
        <f t="shared" ca="1" si="109"/>
        <v>60227570.132419802</v>
      </c>
      <c r="M1326" s="471">
        <f t="shared" si="111"/>
        <v>0.05</v>
      </c>
      <c r="N1326" s="475">
        <f t="shared" si="112"/>
        <v>91403</v>
      </c>
    </row>
    <row r="1327" spans="7:14" ht="11.25" customHeight="1" x14ac:dyDescent="0.3">
      <c r="G1327" s="470"/>
      <c r="H1327" s="470">
        <v>1320</v>
      </c>
      <c r="I1327" s="455">
        <f t="shared" ca="1" si="110"/>
        <v>60227570.132419802</v>
      </c>
      <c r="J1327" s="455">
        <f t="array" ref="J1327">IFERROR(INDEX('Retirement Calculator'!K:K,MATCH('Lorri 401b'!N1327,'Retirement Calculator'!A:A,0),0),0)</f>
        <v>0</v>
      </c>
      <c r="K1327" s="455">
        <f t="shared" ca="1" si="108"/>
        <v>250948.20888508251</v>
      </c>
      <c r="L1327" s="455">
        <f t="shared" ca="1" si="109"/>
        <v>60478518.341304883</v>
      </c>
      <c r="M1327" s="471">
        <f t="shared" si="111"/>
        <v>0.05</v>
      </c>
      <c r="N1327" s="475">
        <f t="shared" si="112"/>
        <v>91433</v>
      </c>
    </row>
    <row r="1328" spans="7:14" ht="11.25" customHeight="1" x14ac:dyDescent="0.3">
      <c r="G1328" s="470"/>
      <c r="H1328" s="470">
        <v>1321</v>
      </c>
      <c r="I1328" s="455">
        <f t="shared" ca="1" si="110"/>
        <v>60478518.341304883</v>
      </c>
      <c r="J1328" s="455">
        <f t="array" ref="J1328">IFERROR(INDEX('Retirement Calculator'!K:K,MATCH('Lorri 401b'!N1328,'Retirement Calculator'!A:A,0),0),0)</f>
        <v>0</v>
      </c>
      <c r="K1328" s="455">
        <f t="shared" ca="1" si="108"/>
        <v>251993.82642210371</v>
      </c>
      <c r="L1328" s="455">
        <f t="shared" ca="1" si="109"/>
        <v>60730512.167726986</v>
      </c>
      <c r="M1328" s="471">
        <f t="shared" si="111"/>
        <v>0.05</v>
      </c>
      <c r="N1328" s="475">
        <f t="shared" si="112"/>
        <v>91464</v>
      </c>
    </row>
    <row r="1329" spans="7:14" ht="11.25" customHeight="1" x14ac:dyDescent="0.3">
      <c r="G1329" s="470"/>
      <c r="H1329" s="470">
        <v>1322</v>
      </c>
      <c r="I1329" s="455">
        <f t="shared" ca="1" si="110"/>
        <v>60730512.167726986</v>
      </c>
      <c r="J1329" s="455">
        <f t="array" ref="J1329">IFERROR(INDEX('Retirement Calculator'!K:K,MATCH('Lorri 401b'!N1329,'Retirement Calculator'!A:A,0),0),0)</f>
        <v>0</v>
      </c>
      <c r="K1329" s="455">
        <f t="shared" ca="1" si="108"/>
        <v>253043.80069886244</v>
      </c>
      <c r="L1329" s="455">
        <f t="shared" ca="1" si="109"/>
        <v>60983555.968425848</v>
      </c>
      <c r="M1329" s="471">
        <f t="shared" si="111"/>
        <v>0.05</v>
      </c>
      <c r="N1329" s="475">
        <f t="shared" si="112"/>
        <v>91494</v>
      </c>
    </row>
    <row r="1330" spans="7:14" ht="11.25" customHeight="1" x14ac:dyDescent="0.3">
      <c r="G1330" s="470"/>
      <c r="H1330" s="470">
        <v>1323</v>
      </c>
      <c r="I1330" s="455">
        <f t="shared" ca="1" si="110"/>
        <v>60983555.968425848</v>
      </c>
      <c r="J1330" s="455">
        <f t="array" ref="J1330">IFERROR(INDEX('Retirement Calculator'!K:K,MATCH('Lorri 401b'!N1330,'Retirement Calculator'!A:A,0),0),0)</f>
        <v>0</v>
      </c>
      <c r="K1330" s="455">
        <f t="shared" ca="1" si="108"/>
        <v>254098.14986844102</v>
      </c>
      <c r="L1330" s="455">
        <f t="shared" ca="1" si="109"/>
        <v>61237654.118294291</v>
      </c>
      <c r="M1330" s="471">
        <f t="shared" si="111"/>
        <v>0.05</v>
      </c>
      <c r="N1330" s="475">
        <f t="shared" si="112"/>
        <v>91525</v>
      </c>
    </row>
    <row r="1331" spans="7:14" ht="11.25" customHeight="1" x14ac:dyDescent="0.3">
      <c r="G1331" s="470"/>
      <c r="H1331" s="470">
        <v>1324</v>
      </c>
      <c r="I1331" s="455">
        <f t="shared" ca="1" si="110"/>
        <v>61237654.118294291</v>
      </c>
      <c r="J1331" s="455">
        <f t="array" ref="J1331">IFERROR(INDEX('Retirement Calculator'!K:K,MATCH('Lorri 401b'!N1331,'Retirement Calculator'!A:A,0),0),0)</f>
        <v>0</v>
      </c>
      <c r="K1331" s="455">
        <f t="shared" ca="1" si="108"/>
        <v>255156.89215955956</v>
      </c>
      <c r="L1331" s="455">
        <f t="shared" ca="1" si="109"/>
        <v>61492811.01045385</v>
      </c>
      <c r="M1331" s="471">
        <f t="shared" si="111"/>
        <v>0.05</v>
      </c>
      <c r="N1331" s="475">
        <f t="shared" si="112"/>
        <v>91556</v>
      </c>
    </row>
    <row r="1332" spans="7:14" ht="11.25" customHeight="1" x14ac:dyDescent="0.3">
      <c r="G1332" s="470"/>
      <c r="H1332" s="470">
        <v>1325</v>
      </c>
      <c r="I1332" s="455">
        <f t="shared" ca="1" si="110"/>
        <v>61492811.01045385</v>
      </c>
      <c r="J1332" s="455">
        <f t="array" ref="J1332">IFERROR(INDEX('Retirement Calculator'!K:K,MATCH('Lorri 401b'!N1332,'Retirement Calculator'!A:A,0),0),0)</f>
        <v>0</v>
      </c>
      <c r="K1332" s="455">
        <f t="shared" ca="1" si="108"/>
        <v>256220.04587689103</v>
      </c>
      <c r="L1332" s="455">
        <f t="shared" ca="1" si="109"/>
        <v>61749031.05633074</v>
      </c>
      <c r="M1332" s="471">
        <f t="shared" si="111"/>
        <v>0.05</v>
      </c>
      <c r="N1332" s="475">
        <f t="shared" si="112"/>
        <v>91586</v>
      </c>
    </row>
    <row r="1333" spans="7:14" ht="11.25" customHeight="1" x14ac:dyDescent="0.3">
      <c r="G1333" s="470"/>
      <c r="H1333" s="470">
        <v>1326</v>
      </c>
      <c r="I1333" s="455">
        <f t="shared" ca="1" si="110"/>
        <v>61749031.05633074</v>
      </c>
      <c r="J1333" s="455">
        <f t="array" ref="J1333">IFERROR(INDEX('Retirement Calculator'!K:K,MATCH('Lorri 401b'!N1333,'Retirement Calculator'!A:A,0),0),0)</f>
        <v>0</v>
      </c>
      <c r="K1333" s="455">
        <f t="shared" ca="1" si="108"/>
        <v>257287.62940137807</v>
      </c>
      <c r="L1333" s="455">
        <f t="shared" ca="1" si="109"/>
        <v>62006318.685732119</v>
      </c>
      <c r="M1333" s="471">
        <f t="shared" si="111"/>
        <v>0.05</v>
      </c>
      <c r="N1333" s="475">
        <f t="shared" si="112"/>
        <v>91617</v>
      </c>
    </row>
    <row r="1334" spans="7:14" ht="11.25" customHeight="1" x14ac:dyDescent="0.3">
      <c r="G1334" s="470"/>
      <c r="H1334" s="470">
        <v>1327</v>
      </c>
      <c r="I1334" s="455">
        <f t="shared" ca="1" si="110"/>
        <v>62006318.685732119</v>
      </c>
      <c r="J1334" s="455">
        <f t="array" ref="J1334">IFERROR(INDEX('Retirement Calculator'!K:K,MATCH('Lorri 401b'!N1334,'Retirement Calculator'!A:A,0),0),0)</f>
        <v>0</v>
      </c>
      <c r="K1334" s="455">
        <f t="shared" ca="1" si="108"/>
        <v>258359.66119055048</v>
      </c>
      <c r="L1334" s="455">
        <f t="shared" ca="1" si="109"/>
        <v>62264678.346922666</v>
      </c>
      <c r="M1334" s="471">
        <f t="shared" si="111"/>
        <v>0.05</v>
      </c>
      <c r="N1334" s="475">
        <f t="shared" si="112"/>
        <v>91647</v>
      </c>
    </row>
    <row r="1335" spans="7:14" ht="11.25" customHeight="1" x14ac:dyDescent="0.3">
      <c r="G1335" s="470"/>
      <c r="H1335" s="470">
        <v>1328</v>
      </c>
      <c r="I1335" s="455">
        <f t="shared" ca="1" si="110"/>
        <v>62264678.346922666</v>
      </c>
      <c r="J1335" s="455">
        <f t="array" ref="J1335">IFERROR(INDEX('Retirement Calculator'!K:K,MATCH('Lorri 401b'!N1335,'Retirement Calculator'!A:A,0),0),0)</f>
        <v>0</v>
      </c>
      <c r="K1335" s="455">
        <f t="shared" ca="1" si="108"/>
        <v>259436.15977884442</v>
      </c>
      <c r="L1335" s="455">
        <f t="shared" ca="1" si="109"/>
        <v>62524114.506701507</v>
      </c>
      <c r="M1335" s="471">
        <f t="shared" si="111"/>
        <v>0.05</v>
      </c>
      <c r="N1335" s="475">
        <f t="shared" si="112"/>
        <v>91678</v>
      </c>
    </row>
    <row r="1336" spans="7:14" ht="11.25" customHeight="1" x14ac:dyDescent="0.3">
      <c r="G1336" s="470"/>
      <c r="H1336" s="470">
        <v>1329</v>
      </c>
      <c r="I1336" s="455">
        <f t="shared" ca="1" si="110"/>
        <v>62524114.506701507</v>
      </c>
      <c r="J1336" s="455">
        <f t="array" ref="J1336">IFERROR(INDEX('Retirement Calculator'!K:K,MATCH('Lorri 401b'!N1336,'Retirement Calculator'!A:A,0),0),0)</f>
        <v>0</v>
      </c>
      <c r="K1336" s="455">
        <f t="shared" ca="1" si="108"/>
        <v>260517.1437779229</v>
      </c>
      <c r="L1336" s="455">
        <f t="shared" ca="1" si="109"/>
        <v>62784631.650479428</v>
      </c>
      <c r="M1336" s="471">
        <f t="shared" si="111"/>
        <v>0.05</v>
      </c>
      <c r="N1336" s="475">
        <f t="shared" si="112"/>
        <v>91709</v>
      </c>
    </row>
    <row r="1337" spans="7:14" ht="11.25" customHeight="1" x14ac:dyDescent="0.3">
      <c r="G1337" s="470"/>
      <c r="H1337" s="470">
        <v>1330</v>
      </c>
      <c r="I1337" s="455">
        <f t="shared" ca="1" si="110"/>
        <v>62784631.650479428</v>
      </c>
      <c r="J1337" s="455">
        <f t="array" ref="J1337">IFERROR(INDEX('Retirement Calculator'!K:K,MATCH('Lorri 401b'!N1337,'Retirement Calculator'!A:A,0),0),0)</f>
        <v>0</v>
      </c>
      <c r="K1337" s="455">
        <f t="shared" ca="1" si="108"/>
        <v>261602.63187699762</v>
      </c>
      <c r="L1337" s="455">
        <f t="shared" ca="1" si="109"/>
        <v>63046234.282356426</v>
      </c>
      <c r="M1337" s="471">
        <f t="shared" si="111"/>
        <v>0.05</v>
      </c>
      <c r="N1337" s="475">
        <f t="shared" si="112"/>
        <v>91737</v>
      </c>
    </row>
    <row r="1338" spans="7:14" ht="11.25" customHeight="1" x14ac:dyDescent="0.3">
      <c r="G1338" s="470"/>
      <c r="H1338" s="470">
        <v>1331</v>
      </c>
      <c r="I1338" s="455">
        <f t="shared" ca="1" si="110"/>
        <v>63046234.282356426</v>
      </c>
      <c r="J1338" s="455">
        <f t="array" ref="J1338">IFERROR(INDEX('Retirement Calculator'!K:K,MATCH('Lorri 401b'!N1338,'Retirement Calculator'!A:A,0),0),0)</f>
        <v>0</v>
      </c>
      <c r="K1338" s="455">
        <f t="shared" ca="1" si="108"/>
        <v>262692.64284315176</v>
      </c>
      <c r="L1338" s="455">
        <f t="shared" ca="1" si="109"/>
        <v>63308926.925199576</v>
      </c>
      <c r="M1338" s="471">
        <f t="shared" si="111"/>
        <v>0.05</v>
      </c>
      <c r="N1338" s="475">
        <f t="shared" si="112"/>
        <v>91768</v>
      </c>
    </row>
    <row r="1339" spans="7:14" ht="11.25" customHeight="1" x14ac:dyDescent="0.3">
      <c r="G1339" s="470"/>
      <c r="H1339" s="470">
        <v>1332</v>
      </c>
      <c r="I1339" s="455">
        <f t="shared" ca="1" si="110"/>
        <v>63308926.925199576</v>
      </c>
      <c r="J1339" s="455">
        <f t="array" ref="J1339">IFERROR(INDEX('Retirement Calculator'!K:K,MATCH('Lorri 401b'!N1339,'Retirement Calculator'!A:A,0),0),0)</f>
        <v>0</v>
      </c>
      <c r="K1339" s="455">
        <f t="shared" ca="1" si="108"/>
        <v>263787.19552166492</v>
      </c>
      <c r="L1339" s="455">
        <f t="shared" ca="1" si="109"/>
        <v>63572714.120721243</v>
      </c>
      <c r="M1339" s="471">
        <f t="shared" si="111"/>
        <v>0.05</v>
      </c>
      <c r="N1339" s="475">
        <f t="shared" si="112"/>
        <v>91798</v>
      </c>
    </row>
    <row r="1340" spans="7:14" ht="11.25" customHeight="1" x14ac:dyDescent="0.3">
      <c r="G1340" s="470"/>
      <c r="H1340" s="470">
        <v>1333</v>
      </c>
      <c r="I1340" s="455">
        <f t="shared" ca="1" si="110"/>
        <v>63572714.120721243</v>
      </c>
      <c r="J1340" s="455">
        <f t="array" ref="J1340">IFERROR(INDEX('Retirement Calculator'!K:K,MATCH('Lorri 401b'!N1340,'Retirement Calculator'!A:A,0),0),0)</f>
        <v>0</v>
      </c>
      <c r="K1340" s="455">
        <f t="shared" ca="1" si="108"/>
        <v>264886.30883633852</v>
      </c>
      <c r="L1340" s="455">
        <f t="shared" ca="1" si="109"/>
        <v>63837600.429557584</v>
      </c>
      <c r="M1340" s="471">
        <f t="shared" si="111"/>
        <v>0.05</v>
      </c>
      <c r="N1340" s="475">
        <f t="shared" si="112"/>
        <v>91829</v>
      </c>
    </row>
    <row r="1341" spans="7:14" ht="11.25" customHeight="1" x14ac:dyDescent="0.3">
      <c r="G1341" s="470"/>
      <c r="H1341" s="470">
        <v>1334</v>
      </c>
      <c r="I1341" s="455">
        <f t="shared" ca="1" si="110"/>
        <v>63837600.429557584</v>
      </c>
      <c r="J1341" s="455">
        <f t="array" ref="J1341">IFERROR(INDEX('Retirement Calculator'!K:K,MATCH('Lorri 401b'!N1341,'Retirement Calculator'!A:A,0),0),0)</f>
        <v>0</v>
      </c>
      <c r="K1341" s="455">
        <f t="shared" ca="1" si="108"/>
        <v>265990.00178982323</v>
      </c>
      <c r="L1341" s="455">
        <f t="shared" ca="1" si="109"/>
        <v>64103590.431347407</v>
      </c>
      <c r="M1341" s="471">
        <f t="shared" si="111"/>
        <v>0.05</v>
      </c>
      <c r="N1341" s="475">
        <f t="shared" si="112"/>
        <v>91859</v>
      </c>
    </row>
    <row r="1342" spans="7:14" ht="11.25" customHeight="1" x14ac:dyDescent="0.3">
      <c r="G1342" s="470"/>
      <c r="H1342" s="470">
        <v>1335</v>
      </c>
      <c r="I1342" s="455">
        <f t="shared" ca="1" si="110"/>
        <v>64103590.431347407</v>
      </c>
      <c r="J1342" s="455">
        <f t="array" ref="J1342">IFERROR(INDEX('Retirement Calculator'!K:K,MATCH('Lorri 401b'!N1342,'Retirement Calculator'!A:A,0),0),0)</f>
        <v>0</v>
      </c>
      <c r="K1342" s="455">
        <f t="shared" ca="1" si="108"/>
        <v>267098.29346394754</v>
      </c>
      <c r="L1342" s="455">
        <f t="shared" ca="1" si="109"/>
        <v>64370688.724811353</v>
      </c>
      <c r="M1342" s="471">
        <f t="shared" si="111"/>
        <v>0.05</v>
      </c>
      <c r="N1342" s="475">
        <f t="shared" si="112"/>
        <v>91890</v>
      </c>
    </row>
    <row r="1343" spans="7:14" ht="11.25" customHeight="1" x14ac:dyDescent="0.3">
      <c r="G1343" s="470"/>
      <c r="H1343" s="470">
        <v>1336</v>
      </c>
      <c r="I1343" s="455">
        <f t="shared" ca="1" si="110"/>
        <v>64370688.724811353</v>
      </c>
      <c r="J1343" s="455">
        <f t="array" ref="J1343">IFERROR(INDEX('Retirement Calculator'!K:K,MATCH('Lorri 401b'!N1343,'Retirement Calculator'!A:A,0),0),0)</f>
        <v>0</v>
      </c>
      <c r="K1343" s="455">
        <f t="shared" ca="1" si="108"/>
        <v>268211.20302004728</v>
      </c>
      <c r="L1343" s="455">
        <f t="shared" ca="1" si="109"/>
        <v>64638899.927831396</v>
      </c>
      <c r="M1343" s="471">
        <f t="shared" si="111"/>
        <v>0.05</v>
      </c>
      <c r="N1343" s="475">
        <f t="shared" si="112"/>
        <v>91921</v>
      </c>
    </row>
    <row r="1344" spans="7:14" ht="11.25" customHeight="1" x14ac:dyDescent="0.3">
      <c r="G1344" s="470"/>
      <c r="H1344" s="470">
        <v>1337</v>
      </c>
      <c r="I1344" s="455">
        <f t="shared" ca="1" si="110"/>
        <v>64638899.927831396</v>
      </c>
      <c r="J1344" s="455">
        <f t="array" ref="J1344">IFERROR(INDEX('Retirement Calculator'!K:K,MATCH('Lorri 401b'!N1344,'Retirement Calculator'!A:A,0),0),0)</f>
        <v>0</v>
      </c>
      <c r="K1344" s="455">
        <f t="shared" ca="1" si="108"/>
        <v>269328.74969929748</v>
      </c>
      <c r="L1344" s="455">
        <f t="shared" ca="1" si="109"/>
        <v>64908228.677530691</v>
      </c>
      <c r="M1344" s="471">
        <f t="shared" si="111"/>
        <v>0.05</v>
      </c>
      <c r="N1344" s="475">
        <f t="shared" si="112"/>
        <v>91951</v>
      </c>
    </row>
    <row r="1345" spans="7:14" ht="11.25" customHeight="1" x14ac:dyDescent="0.3">
      <c r="G1345" s="470"/>
      <c r="H1345" s="470">
        <v>1338</v>
      </c>
      <c r="I1345" s="455">
        <f t="shared" ca="1" si="110"/>
        <v>64908228.677530691</v>
      </c>
      <c r="J1345" s="455">
        <f t="array" ref="J1345">IFERROR(INDEX('Retirement Calculator'!K:K,MATCH('Lorri 401b'!N1345,'Retirement Calculator'!A:A,0),0),0)</f>
        <v>0</v>
      </c>
      <c r="K1345" s="455">
        <f t="shared" ca="1" si="108"/>
        <v>270450.95282304456</v>
      </c>
      <c r="L1345" s="455">
        <f t="shared" ca="1" si="109"/>
        <v>65178679.630353734</v>
      </c>
      <c r="M1345" s="471">
        <f t="shared" si="111"/>
        <v>0.05</v>
      </c>
      <c r="N1345" s="475">
        <f t="shared" si="112"/>
        <v>91982</v>
      </c>
    </row>
    <row r="1346" spans="7:14" ht="11.25" customHeight="1" x14ac:dyDescent="0.3">
      <c r="G1346" s="470"/>
      <c r="H1346" s="470">
        <v>1339</v>
      </c>
      <c r="I1346" s="455">
        <f t="shared" ca="1" si="110"/>
        <v>65178679.630353734</v>
      </c>
      <c r="J1346" s="455">
        <f t="array" ref="J1346">IFERROR(INDEX('Retirement Calculator'!K:K,MATCH('Lorri 401b'!N1346,'Retirement Calculator'!A:A,0),0),0)</f>
        <v>0</v>
      </c>
      <c r="K1346" s="455">
        <f t="shared" ca="1" si="108"/>
        <v>271577.83179314056</v>
      </c>
      <c r="L1346" s="455">
        <f t="shared" ca="1" si="109"/>
        <v>65450257.462146871</v>
      </c>
      <c r="M1346" s="471">
        <f t="shared" si="111"/>
        <v>0.05</v>
      </c>
      <c r="N1346" s="475">
        <f t="shared" si="112"/>
        <v>92012</v>
      </c>
    </row>
    <row r="1347" spans="7:14" ht="11.25" customHeight="1" x14ac:dyDescent="0.3">
      <c r="G1347" s="470"/>
      <c r="H1347" s="470">
        <v>1340</v>
      </c>
      <c r="I1347" s="455">
        <f t="shared" ca="1" si="110"/>
        <v>65450257.462146871</v>
      </c>
      <c r="J1347" s="455">
        <f t="array" ref="J1347">IFERROR(INDEX('Retirement Calculator'!K:K,MATCH('Lorri 401b'!N1347,'Retirement Calculator'!A:A,0),0),0)</f>
        <v>0</v>
      </c>
      <c r="K1347" s="455">
        <f t="shared" ca="1" si="108"/>
        <v>272709.40609227866</v>
      </c>
      <c r="L1347" s="455">
        <f t="shared" ca="1" si="109"/>
        <v>65722966.868239149</v>
      </c>
      <c r="M1347" s="471">
        <f t="shared" si="111"/>
        <v>0.05</v>
      </c>
      <c r="N1347" s="475">
        <f t="shared" si="112"/>
        <v>92043</v>
      </c>
    </row>
    <row r="1348" spans="7:14" ht="11.25" customHeight="1" x14ac:dyDescent="0.3">
      <c r="G1348" s="470"/>
      <c r="H1348" s="470">
        <v>1341</v>
      </c>
      <c r="I1348" s="455">
        <f t="shared" ca="1" si="110"/>
        <v>65722966.868239149</v>
      </c>
      <c r="J1348" s="455">
        <f t="array" ref="J1348">IFERROR(INDEX('Retirement Calculator'!K:K,MATCH('Lorri 401b'!N1348,'Retirement Calculator'!A:A,0),0),0)</f>
        <v>0</v>
      </c>
      <c r="K1348" s="455">
        <f t="shared" ca="1" si="108"/>
        <v>273845.69528432976</v>
      </c>
      <c r="L1348" s="455">
        <f t="shared" ca="1" si="109"/>
        <v>65996812.563523479</v>
      </c>
      <c r="M1348" s="471">
        <f t="shared" si="111"/>
        <v>0.05</v>
      </c>
      <c r="N1348" s="475">
        <f t="shared" si="112"/>
        <v>92074</v>
      </c>
    </row>
    <row r="1349" spans="7:14" ht="11.25" customHeight="1" x14ac:dyDescent="0.3">
      <c r="G1349" s="470"/>
      <c r="H1349" s="470">
        <v>1342</v>
      </c>
      <c r="I1349" s="455">
        <f t="shared" ca="1" si="110"/>
        <v>65996812.563523479</v>
      </c>
      <c r="J1349" s="455">
        <f t="array" ref="J1349">IFERROR(INDEX('Retirement Calculator'!K:K,MATCH('Lorri 401b'!N1349,'Retirement Calculator'!A:A,0),0),0)</f>
        <v>0</v>
      </c>
      <c r="K1349" s="455">
        <f t="shared" ca="1" si="108"/>
        <v>274986.71901468118</v>
      </c>
      <c r="L1349" s="455">
        <f t="shared" ca="1" si="109"/>
        <v>66271799.282538161</v>
      </c>
      <c r="M1349" s="471">
        <f t="shared" si="111"/>
        <v>0.05</v>
      </c>
      <c r="N1349" s="475">
        <f t="shared" si="112"/>
        <v>92103</v>
      </c>
    </row>
    <row r="1350" spans="7:14" ht="11.25" customHeight="1" x14ac:dyDescent="0.3">
      <c r="G1350" s="470"/>
      <c r="H1350" s="470">
        <v>1343</v>
      </c>
      <c r="I1350" s="455">
        <f t="shared" ca="1" si="110"/>
        <v>66271799.282538161</v>
      </c>
      <c r="J1350" s="455">
        <f t="array" ref="J1350">IFERROR(INDEX('Retirement Calculator'!K:K,MATCH('Lorri 401b'!N1350,'Retirement Calculator'!A:A,0),0),0)</f>
        <v>0</v>
      </c>
      <c r="K1350" s="455">
        <f t="shared" ca="1" si="108"/>
        <v>276132.49701057561</v>
      </c>
      <c r="L1350" s="455">
        <f t="shared" ca="1" si="109"/>
        <v>66547931.779548734</v>
      </c>
      <c r="M1350" s="471">
        <f t="shared" si="111"/>
        <v>0.05</v>
      </c>
      <c r="N1350" s="475">
        <f t="shared" si="112"/>
        <v>92134</v>
      </c>
    </row>
    <row r="1351" spans="7:14" ht="11.25" customHeight="1" x14ac:dyDescent="0.3">
      <c r="G1351" s="470"/>
      <c r="H1351" s="470">
        <v>1344</v>
      </c>
      <c r="I1351" s="455">
        <f t="shared" ca="1" si="110"/>
        <v>66547931.779548734</v>
      </c>
      <c r="J1351" s="455">
        <f t="array" ref="J1351">IFERROR(INDEX('Retirement Calculator'!K:K,MATCH('Lorri 401b'!N1351,'Retirement Calculator'!A:A,0),0),0)</f>
        <v>0</v>
      </c>
      <c r="K1351" s="455">
        <f t="shared" ca="1" si="108"/>
        <v>277283.04908145306</v>
      </c>
      <c r="L1351" s="455">
        <f t="shared" ca="1" si="109"/>
        <v>66825214.828630187</v>
      </c>
      <c r="M1351" s="471">
        <f t="shared" si="111"/>
        <v>0.05</v>
      </c>
      <c r="N1351" s="475">
        <f t="shared" si="112"/>
        <v>92164</v>
      </c>
    </row>
    <row r="1352" spans="7:14" ht="11.25" customHeight="1" x14ac:dyDescent="0.3">
      <c r="G1352" s="470"/>
      <c r="H1352" s="470">
        <v>1345</v>
      </c>
      <c r="I1352" s="455">
        <f t="shared" ca="1" si="110"/>
        <v>66825214.828630187</v>
      </c>
      <c r="J1352" s="455">
        <f t="array" ref="J1352">IFERROR(INDEX('Retirement Calculator'!K:K,MATCH('Lorri 401b'!N1352,'Retirement Calculator'!A:A,0),0),0)</f>
        <v>0</v>
      </c>
      <c r="K1352" s="455">
        <f t="shared" ca="1" si="108"/>
        <v>278438.39511929243</v>
      </c>
      <c r="L1352" s="455">
        <f t="shared" ca="1" si="109"/>
        <v>67103653.223749481</v>
      </c>
      <c r="M1352" s="471">
        <f t="shared" si="111"/>
        <v>0.05</v>
      </c>
      <c r="N1352" s="475">
        <f t="shared" si="112"/>
        <v>92195</v>
      </c>
    </row>
    <row r="1353" spans="7:14" ht="11.25" customHeight="1" x14ac:dyDescent="0.3">
      <c r="G1353" s="470"/>
      <c r="H1353" s="470">
        <v>1346</v>
      </c>
      <c r="I1353" s="455">
        <f t="shared" ca="1" si="110"/>
        <v>67103653.223749481</v>
      </c>
      <c r="J1353" s="455">
        <f t="array" ref="J1353">IFERROR(INDEX('Retirement Calculator'!K:K,MATCH('Lorri 401b'!N1353,'Retirement Calculator'!A:A,0),0),0)</f>
        <v>0</v>
      </c>
      <c r="K1353" s="455">
        <f t="shared" ca="1" si="108"/>
        <v>279598.55509895622</v>
      </c>
      <c r="L1353" s="455">
        <f t="shared" ca="1" si="109"/>
        <v>67383251.778848439</v>
      </c>
      <c r="M1353" s="471">
        <f t="shared" si="111"/>
        <v>0.05</v>
      </c>
      <c r="N1353" s="475">
        <f t="shared" si="112"/>
        <v>92225</v>
      </c>
    </row>
    <row r="1354" spans="7:14" ht="11.25" customHeight="1" x14ac:dyDescent="0.3">
      <c r="G1354" s="470"/>
      <c r="H1354" s="470">
        <v>1347</v>
      </c>
      <c r="I1354" s="455">
        <f t="shared" ca="1" si="110"/>
        <v>67383251.778848439</v>
      </c>
      <c r="J1354" s="455">
        <f t="array" ref="J1354">IFERROR(INDEX('Retirement Calculator'!K:K,MATCH('Lorri 401b'!N1354,'Retirement Calculator'!A:A,0),0),0)</f>
        <v>0</v>
      </c>
      <c r="K1354" s="455">
        <f t="shared" ca="1" si="108"/>
        <v>280763.54907853517</v>
      </c>
      <c r="L1354" s="455">
        <f t="shared" ca="1" si="109"/>
        <v>67664015.327926978</v>
      </c>
      <c r="M1354" s="471">
        <f t="shared" si="111"/>
        <v>0.05</v>
      </c>
      <c r="N1354" s="475">
        <f t="shared" si="112"/>
        <v>92256</v>
      </c>
    </row>
    <row r="1355" spans="7:14" ht="11.25" customHeight="1" x14ac:dyDescent="0.3">
      <c r="G1355" s="470"/>
      <c r="H1355" s="470">
        <v>1348</v>
      </c>
      <c r="I1355" s="455">
        <f t="shared" ca="1" si="110"/>
        <v>67664015.327926978</v>
      </c>
      <c r="J1355" s="455">
        <f t="array" ref="J1355">IFERROR(INDEX('Retirement Calculator'!K:K,MATCH('Lorri 401b'!N1355,'Retirement Calculator'!A:A,0),0),0)</f>
        <v>0</v>
      </c>
      <c r="K1355" s="455">
        <f t="shared" ca="1" si="108"/>
        <v>281933.39719969576</v>
      </c>
      <c r="L1355" s="455">
        <f t="shared" ca="1" si="109"/>
        <v>67945948.725126669</v>
      </c>
      <c r="M1355" s="471">
        <f t="shared" si="111"/>
        <v>0.05</v>
      </c>
      <c r="N1355" s="475">
        <f t="shared" si="112"/>
        <v>92287</v>
      </c>
    </row>
    <row r="1356" spans="7:14" ht="11.25" customHeight="1" x14ac:dyDescent="0.3">
      <c r="G1356" s="470"/>
      <c r="H1356" s="470">
        <v>1349</v>
      </c>
      <c r="I1356" s="455">
        <f t="shared" ca="1" si="110"/>
        <v>67945948.725126669</v>
      </c>
      <c r="J1356" s="455">
        <f t="array" ref="J1356">IFERROR(INDEX('Retirement Calculator'!K:K,MATCH('Lorri 401b'!N1356,'Retirement Calculator'!A:A,0),0),0)</f>
        <v>0</v>
      </c>
      <c r="K1356" s="455">
        <f t="shared" ca="1" si="108"/>
        <v>283108.11968802777</v>
      </c>
      <c r="L1356" s="455">
        <f t="shared" ca="1" si="109"/>
        <v>68229056.844814703</v>
      </c>
      <c r="M1356" s="471">
        <f t="shared" si="111"/>
        <v>0.05</v>
      </c>
      <c r="N1356" s="475">
        <f t="shared" si="112"/>
        <v>92317</v>
      </c>
    </row>
    <row r="1357" spans="7:14" ht="11.25" customHeight="1" x14ac:dyDescent="0.3">
      <c r="G1357" s="470"/>
      <c r="H1357" s="470">
        <v>1350</v>
      </c>
      <c r="I1357" s="455">
        <f t="shared" ca="1" si="110"/>
        <v>68229056.844814703</v>
      </c>
      <c r="J1357" s="455">
        <f t="array" ref="J1357">IFERROR(INDEX('Retirement Calculator'!K:K,MATCH('Lorri 401b'!N1357,'Retirement Calculator'!A:A,0),0),0)</f>
        <v>0</v>
      </c>
      <c r="K1357" s="455">
        <f t="shared" ca="1" si="108"/>
        <v>284287.7368533946</v>
      </c>
      <c r="L1357" s="455">
        <f t="shared" ca="1" si="109"/>
        <v>68513344.581668094</v>
      </c>
      <c r="M1357" s="471">
        <f t="shared" si="111"/>
        <v>0.05</v>
      </c>
      <c r="N1357" s="475">
        <f t="shared" si="112"/>
        <v>92348</v>
      </c>
    </row>
    <row r="1358" spans="7:14" ht="11.25" customHeight="1" x14ac:dyDescent="0.3">
      <c r="G1358" s="470"/>
      <c r="H1358" s="470">
        <v>1351</v>
      </c>
      <c r="I1358" s="455">
        <f t="shared" ca="1" si="110"/>
        <v>68513344.581668094</v>
      </c>
      <c r="J1358" s="455">
        <f t="array" ref="J1358">IFERROR(INDEX('Retirement Calculator'!K:K,MATCH('Lorri 401b'!N1358,'Retirement Calculator'!A:A,0),0),0)</f>
        <v>0</v>
      </c>
      <c r="K1358" s="455">
        <f t="shared" ca="1" si="108"/>
        <v>285472.26909028372</v>
      </c>
      <c r="L1358" s="455">
        <f t="shared" ca="1" si="109"/>
        <v>68798816.850758374</v>
      </c>
      <c r="M1358" s="471">
        <f t="shared" si="111"/>
        <v>0.05</v>
      </c>
      <c r="N1358" s="475">
        <f t="shared" si="112"/>
        <v>92378</v>
      </c>
    </row>
    <row r="1359" spans="7:14" ht="11.25" customHeight="1" x14ac:dyDescent="0.3">
      <c r="G1359" s="470"/>
      <c r="H1359" s="470">
        <v>1352</v>
      </c>
      <c r="I1359" s="455">
        <f t="shared" ca="1" si="110"/>
        <v>68798816.850758374</v>
      </c>
      <c r="J1359" s="455">
        <f t="array" ref="J1359">IFERROR(INDEX('Retirement Calculator'!K:K,MATCH('Lorri 401b'!N1359,'Retirement Calculator'!A:A,0),0),0)</f>
        <v>0</v>
      </c>
      <c r="K1359" s="455">
        <f t="shared" ca="1" si="108"/>
        <v>286661.73687815986</v>
      </c>
      <c r="L1359" s="455">
        <f t="shared" ca="1" si="109"/>
        <v>69085478.58763653</v>
      </c>
      <c r="M1359" s="471">
        <f t="shared" si="111"/>
        <v>0.05</v>
      </c>
      <c r="N1359" s="475">
        <f t="shared" si="112"/>
        <v>92409</v>
      </c>
    </row>
    <row r="1360" spans="7:14" ht="11.25" customHeight="1" x14ac:dyDescent="0.3">
      <c r="G1360" s="470"/>
      <c r="H1360" s="470">
        <v>1353</v>
      </c>
      <c r="I1360" s="455">
        <f t="shared" ca="1" si="110"/>
        <v>69085478.58763653</v>
      </c>
      <c r="J1360" s="455">
        <f t="array" ref="J1360">IFERROR(INDEX('Retirement Calculator'!K:K,MATCH('Lorri 401b'!N1360,'Retirement Calculator'!A:A,0),0),0)</f>
        <v>0</v>
      </c>
      <c r="K1360" s="455">
        <f t="shared" ca="1" si="108"/>
        <v>287856.16078181885</v>
      </c>
      <c r="L1360" s="455">
        <f t="shared" ca="1" si="109"/>
        <v>69373334.748418346</v>
      </c>
      <c r="M1360" s="471">
        <f t="shared" si="111"/>
        <v>0.05</v>
      </c>
      <c r="N1360" s="475">
        <f t="shared" si="112"/>
        <v>92440</v>
      </c>
    </row>
    <row r="1361" spans="7:14" ht="11.25" customHeight="1" x14ac:dyDescent="0.3">
      <c r="G1361" s="470"/>
      <c r="H1361" s="470">
        <v>1354</v>
      </c>
      <c r="I1361" s="455">
        <f t="shared" ca="1" si="110"/>
        <v>69373334.748418346</v>
      </c>
      <c r="J1361" s="455">
        <f t="array" ref="J1361">IFERROR(INDEX('Retirement Calculator'!K:K,MATCH('Lorri 401b'!N1361,'Retirement Calculator'!A:A,0),0),0)</f>
        <v>0</v>
      </c>
      <c r="K1361" s="455">
        <f t="shared" ca="1" si="108"/>
        <v>289055.56145174312</v>
      </c>
      <c r="L1361" s="455">
        <f t="shared" ca="1" si="109"/>
        <v>69662390.309870094</v>
      </c>
      <c r="M1361" s="471">
        <f t="shared" si="111"/>
        <v>0.05</v>
      </c>
      <c r="N1361" s="475">
        <f t="shared" si="112"/>
        <v>92468</v>
      </c>
    </row>
    <row r="1362" spans="7:14" ht="11.25" customHeight="1" x14ac:dyDescent="0.3">
      <c r="G1362" s="470"/>
      <c r="H1362" s="470">
        <v>1355</v>
      </c>
      <c r="I1362" s="455">
        <f t="shared" ca="1" si="110"/>
        <v>69662390.309870094</v>
      </c>
      <c r="J1362" s="455">
        <f t="array" ref="J1362">IFERROR(INDEX('Retirement Calculator'!K:K,MATCH('Lorri 401b'!N1362,'Retirement Calculator'!A:A,0),0),0)</f>
        <v>0</v>
      </c>
      <c r="K1362" s="455">
        <f t="shared" ca="1" si="108"/>
        <v>290259.95962445874</v>
      </c>
      <c r="L1362" s="455">
        <f t="shared" ca="1" si="109"/>
        <v>69952650.269494548</v>
      </c>
      <c r="M1362" s="471">
        <f t="shared" si="111"/>
        <v>0.05</v>
      </c>
      <c r="N1362" s="475">
        <f t="shared" si="112"/>
        <v>92499</v>
      </c>
    </row>
    <row r="1363" spans="7:14" ht="11.25" customHeight="1" x14ac:dyDescent="0.3">
      <c r="G1363" s="470"/>
      <c r="H1363" s="470">
        <v>1356</v>
      </c>
      <c r="I1363" s="455">
        <f t="shared" ca="1" si="110"/>
        <v>69952650.269494548</v>
      </c>
      <c r="J1363" s="455">
        <f t="array" ref="J1363">IFERROR(INDEX('Retirement Calculator'!K:K,MATCH('Lorri 401b'!N1363,'Retirement Calculator'!A:A,0),0),0)</f>
        <v>0</v>
      </c>
      <c r="K1363" s="455">
        <f t="shared" ca="1" si="108"/>
        <v>291469.37612289394</v>
      </c>
      <c r="L1363" s="455">
        <f t="shared" ca="1" si="109"/>
        <v>70244119.64561744</v>
      </c>
      <c r="M1363" s="471">
        <f t="shared" si="111"/>
        <v>0.05</v>
      </c>
      <c r="N1363" s="475">
        <f t="shared" si="112"/>
        <v>92529</v>
      </c>
    </row>
    <row r="1364" spans="7:14" ht="11.25" customHeight="1" x14ac:dyDescent="0.3">
      <c r="G1364" s="470"/>
      <c r="H1364" s="470">
        <v>1357</v>
      </c>
      <c r="I1364" s="455">
        <f t="shared" ca="1" si="110"/>
        <v>70244119.64561744</v>
      </c>
      <c r="J1364" s="455">
        <f t="array" ref="J1364">IFERROR(INDEX('Retirement Calculator'!K:K,MATCH('Lorri 401b'!N1364,'Retirement Calculator'!A:A,0),0),0)</f>
        <v>0</v>
      </c>
      <c r="K1364" s="455">
        <f t="shared" ca="1" si="108"/>
        <v>292683.83185673936</v>
      </c>
      <c r="L1364" s="455">
        <f t="shared" ca="1" si="109"/>
        <v>70536803.477474183</v>
      </c>
      <c r="M1364" s="471">
        <f t="shared" si="111"/>
        <v>0.05</v>
      </c>
      <c r="N1364" s="475">
        <f t="shared" si="112"/>
        <v>92560</v>
      </c>
    </row>
    <row r="1365" spans="7:14" ht="11.25" customHeight="1" x14ac:dyDescent="0.3">
      <c r="G1365" s="470"/>
      <c r="H1365" s="470">
        <v>1358</v>
      </c>
      <c r="I1365" s="455">
        <f t="shared" ca="1" si="110"/>
        <v>70536803.477474183</v>
      </c>
      <c r="J1365" s="455">
        <f t="array" ref="J1365">IFERROR(INDEX('Retirement Calculator'!K:K,MATCH('Lorri 401b'!N1365,'Retirement Calculator'!A:A,0),0),0)</f>
        <v>0</v>
      </c>
      <c r="K1365" s="455">
        <f t="shared" ca="1" si="108"/>
        <v>293903.34782280907</v>
      </c>
      <c r="L1365" s="455">
        <f t="shared" ca="1" si="109"/>
        <v>70830706.825296998</v>
      </c>
      <c r="M1365" s="471">
        <f t="shared" si="111"/>
        <v>0.05</v>
      </c>
      <c r="N1365" s="475">
        <f t="shared" si="112"/>
        <v>92590</v>
      </c>
    </row>
    <row r="1366" spans="7:14" ht="11.25" customHeight="1" x14ac:dyDescent="0.3">
      <c r="G1366" s="470"/>
      <c r="H1366" s="470">
        <v>1359</v>
      </c>
      <c r="I1366" s="455">
        <f t="shared" ca="1" si="110"/>
        <v>70830706.825296998</v>
      </c>
      <c r="J1366" s="455">
        <f t="array" ref="J1366">IFERROR(INDEX('Retirement Calculator'!K:K,MATCH('Lorri 401b'!N1366,'Retirement Calculator'!A:A,0),0),0)</f>
        <v>0</v>
      </c>
      <c r="K1366" s="455">
        <f t="shared" ca="1" si="108"/>
        <v>295127.94510540413</v>
      </c>
      <c r="L1366" s="455">
        <f t="shared" ca="1" si="109"/>
        <v>71125834.770402402</v>
      </c>
      <c r="M1366" s="471">
        <f t="shared" si="111"/>
        <v>0.05</v>
      </c>
      <c r="N1366" s="475">
        <f t="shared" si="112"/>
        <v>92621</v>
      </c>
    </row>
    <row r="1367" spans="7:14" ht="11.25" customHeight="1" x14ac:dyDescent="0.3">
      <c r="G1367" s="470"/>
      <c r="H1367" s="470">
        <v>1360</v>
      </c>
      <c r="I1367" s="455">
        <f t="shared" ca="1" si="110"/>
        <v>71125834.770402402</v>
      </c>
      <c r="J1367" s="455">
        <f t="array" ref="J1367">IFERROR(INDEX('Retirement Calculator'!K:K,MATCH('Lorri 401b'!N1367,'Retirement Calculator'!A:A,0),0),0)</f>
        <v>0</v>
      </c>
      <c r="K1367" s="455">
        <f t="shared" ca="1" si="108"/>
        <v>296357.64487667667</v>
      </c>
      <c r="L1367" s="455">
        <f t="shared" ca="1" si="109"/>
        <v>71422192.415279076</v>
      </c>
      <c r="M1367" s="471">
        <f t="shared" si="111"/>
        <v>0.05</v>
      </c>
      <c r="N1367" s="475">
        <f t="shared" si="112"/>
        <v>92652</v>
      </c>
    </row>
    <row r="1368" spans="7:14" ht="11.25" customHeight="1" x14ac:dyDescent="0.3">
      <c r="G1368" s="470"/>
      <c r="H1368" s="470">
        <v>1361</v>
      </c>
      <c r="I1368" s="455">
        <f t="shared" ca="1" si="110"/>
        <v>71422192.415279076</v>
      </c>
      <c r="J1368" s="455">
        <f t="array" ref="J1368">IFERROR(INDEX('Retirement Calculator'!K:K,MATCH('Lorri 401b'!N1368,'Retirement Calculator'!A:A,0),0),0)</f>
        <v>0</v>
      </c>
      <c r="K1368" s="455">
        <f t="shared" ca="1" si="108"/>
        <v>297592.46839699615</v>
      </c>
      <c r="L1368" s="455">
        <f t="shared" ca="1" si="109"/>
        <v>71719784.883676067</v>
      </c>
      <c r="M1368" s="471">
        <f t="shared" si="111"/>
        <v>0.05</v>
      </c>
      <c r="N1368" s="475">
        <f t="shared" si="112"/>
        <v>92682</v>
      </c>
    </row>
    <row r="1369" spans="7:14" ht="11.25" customHeight="1" x14ac:dyDescent="0.3">
      <c r="G1369" s="470"/>
      <c r="H1369" s="470">
        <v>1362</v>
      </c>
      <c r="I1369" s="455">
        <f t="shared" ca="1" si="110"/>
        <v>71719784.883676067</v>
      </c>
      <c r="J1369" s="455">
        <f t="array" ref="J1369">IFERROR(INDEX('Retirement Calculator'!K:K,MATCH('Lorri 401b'!N1369,'Retirement Calculator'!A:A,0),0),0)</f>
        <v>0</v>
      </c>
      <c r="K1369" s="455">
        <f t="shared" ca="1" si="108"/>
        <v>298832.43701531691</v>
      </c>
      <c r="L1369" s="455">
        <f t="shared" ca="1" si="109"/>
        <v>72018617.320691377</v>
      </c>
      <c r="M1369" s="471">
        <f t="shared" si="111"/>
        <v>0.05</v>
      </c>
      <c r="N1369" s="475">
        <f t="shared" si="112"/>
        <v>92713</v>
      </c>
    </row>
    <row r="1370" spans="7:14" ht="11.25" customHeight="1" x14ac:dyDescent="0.3">
      <c r="G1370" s="470"/>
      <c r="H1370" s="470">
        <v>1363</v>
      </c>
      <c r="I1370" s="455">
        <f t="shared" ca="1" si="110"/>
        <v>72018617.320691377</v>
      </c>
      <c r="J1370" s="455">
        <f t="array" ref="J1370">IFERROR(INDEX('Retirement Calculator'!K:K,MATCH('Lorri 401b'!N1370,'Retirement Calculator'!A:A,0),0),0)</f>
        <v>0</v>
      </c>
      <c r="K1370" s="455">
        <f t="shared" ca="1" si="108"/>
        <v>300077.57216954738</v>
      </c>
      <c r="L1370" s="455">
        <f t="shared" ca="1" si="109"/>
        <v>72318694.892860919</v>
      </c>
      <c r="M1370" s="471">
        <f t="shared" si="111"/>
        <v>0.05</v>
      </c>
      <c r="N1370" s="475">
        <f t="shared" si="112"/>
        <v>92743</v>
      </c>
    </row>
    <row r="1371" spans="7:14" ht="11.25" customHeight="1" x14ac:dyDescent="0.3">
      <c r="G1371" s="470"/>
      <c r="H1371" s="470">
        <v>1364</v>
      </c>
      <c r="I1371" s="455">
        <f t="shared" ca="1" si="110"/>
        <v>72318694.892860919</v>
      </c>
      <c r="J1371" s="455">
        <f t="array" ref="J1371">IFERROR(INDEX('Retirement Calculator'!K:K,MATCH('Lorri 401b'!N1371,'Retirement Calculator'!A:A,0),0),0)</f>
        <v>0</v>
      </c>
      <c r="K1371" s="455">
        <f t="shared" ca="1" si="108"/>
        <v>301327.89538692049</v>
      </c>
      <c r="L1371" s="455">
        <f t="shared" ca="1" si="109"/>
        <v>72620022.788247839</v>
      </c>
      <c r="M1371" s="471">
        <f t="shared" si="111"/>
        <v>0.05</v>
      </c>
      <c r="N1371" s="475">
        <f t="shared" si="112"/>
        <v>92774</v>
      </c>
    </row>
    <row r="1372" spans="7:14" ht="11.25" customHeight="1" x14ac:dyDescent="0.3">
      <c r="G1372" s="470"/>
      <c r="H1372" s="470">
        <v>1365</v>
      </c>
      <c r="I1372" s="455">
        <f t="shared" ca="1" si="110"/>
        <v>72620022.788247839</v>
      </c>
      <c r="J1372" s="455">
        <f t="array" ref="J1372">IFERROR(INDEX('Retirement Calculator'!K:K,MATCH('Lorri 401b'!N1372,'Retirement Calculator'!A:A,0),0),0)</f>
        <v>0</v>
      </c>
      <c r="K1372" s="455">
        <f t="shared" ca="1" si="108"/>
        <v>302583.42828436597</v>
      </c>
      <c r="L1372" s="455">
        <f t="shared" ca="1" si="109"/>
        <v>72922606.216532201</v>
      </c>
      <c r="M1372" s="471">
        <f t="shared" si="111"/>
        <v>0.05</v>
      </c>
      <c r="N1372" s="475">
        <f t="shared" si="112"/>
        <v>92805</v>
      </c>
    </row>
    <row r="1373" spans="7:14" ht="11.25" customHeight="1" x14ac:dyDescent="0.3">
      <c r="G1373" s="470"/>
      <c r="H1373" s="470">
        <v>1366</v>
      </c>
      <c r="I1373" s="455">
        <f t="shared" ca="1" si="110"/>
        <v>72922606.216532201</v>
      </c>
      <c r="J1373" s="455">
        <f t="array" ref="J1373">IFERROR(INDEX('Retirement Calculator'!K:K,MATCH('Lorri 401b'!N1373,'Retirement Calculator'!A:A,0),0),0)</f>
        <v>0</v>
      </c>
      <c r="K1373" s="455">
        <f t="shared" ca="1" si="108"/>
        <v>303844.19256888417</v>
      </c>
      <c r="L1373" s="455">
        <f t="shared" ca="1" si="109"/>
        <v>73226450.409101084</v>
      </c>
      <c r="M1373" s="471">
        <f t="shared" si="111"/>
        <v>0.05</v>
      </c>
      <c r="N1373" s="475">
        <f t="shared" si="112"/>
        <v>92833</v>
      </c>
    </row>
    <row r="1374" spans="7:14" ht="11.25" customHeight="1" x14ac:dyDescent="0.3">
      <c r="G1374" s="470"/>
      <c r="H1374" s="470">
        <v>1367</v>
      </c>
      <c r="I1374" s="455">
        <f t="shared" ca="1" si="110"/>
        <v>73226450.409101084</v>
      </c>
      <c r="J1374" s="455">
        <f t="array" ref="J1374">IFERROR(INDEX('Retirement Calculator'!K:K,MATCH('Lorri 401b'!N1374,'Retirement Calculator'!A:A,0),0),0)</f>
        <v>0</v>
      </c>
      <c r="K1374" s="455">
        <f t="shared" ca="1" si="108"/>
        <v>305110.21003792121</v>
      </c>
      <c r="L1374" s="455">
        <f t="shared" ca="1" si="109"/>
        <v>73531560.619139001</v>
      </c>
      <c r="M1374" s="471">
        <f t="shared" si="111"/>
        <v>0.05</v>
      </c>
      <c r="N1374" s="475">
        <f t="shared" si="112"/>
        <v>92864</v>
      </c>
    </row>
    <row r="1375" spans="7:14" ht="11.25" customHeight="1" x14ac:dyDescent="0.3">
      <c r="G1375" s="470"/>
      <c r="H1375" s="470">
        <v>1368</v>
      </c>
      <c r="I1375" s="455">
        <f t="shared" ca="1" si="110"/>
        <v>73531560.619139001</v>
      </c>
      <c r="J1375" s="455">
        <f t="array" ref="J1375">IFERROR(INDEX('Retirement Calculator'!K:K,MATCH('Lorri 401b'!N1375,'Retirement Calculator'!A:A,0),0),0)</f>
        <v>0</v>
      </c>
      <c r="K1375" s="455">
        <f t="shared" ca="1" si="108"/>
        <v>306381.50257974584</v>
      </c>
      <c r="L1375" s="455">
        <f t="shared" ca="1" si="109"/>
        <v>73837942.121718749</v>
      </c>
      <c r="M1375" s="471">
        <f t="shared" si="111"/>
        <v>0.05</v>
      </c>
      <c r="N1375" s="475">
        <f t="shared" si="112"/>
        <v>92894</v>
      </c>
    </row>
    <row r="1376" spans="7:14" ht="11.25" customHeight="1" x14ac:dyDescent="0.3">
      <c r="G1376" s="470"/>
      <c r="H1376" s="470">
        <v>1369</v>
      </c>
      <c r="I1376" s="455">
        <f t="shared" ca="1" si="110"/>
        <v>73837942.121718749</v>
      </c>
      <c r="J1376" s="455">
        <f t="array" ref="J1376">IFERROR(INDEX('Retirement Calculator'!K:K,MATCH('Lorri 401b'!N1376,'Retirement Calculator'!A:A,0),0),0)</f>
        <v>0</v>
      </c>
      <c r="K1376" s="455">
        <f t="shared" ca="1" si="108"/>
        <v>307658.0921738281</v>
      </c>
      <c r="L1376" s="455">
        <f t="shared" ca="1" si="109"/>
        <v>74145600.213892579</v>
      </c>
      <c r="M1376" s="471">
        <f t="shared" si="111"/>
        <v>0.05</v>
      </c>
      <c r="N1376" s="475">
        <f t="shared" si="112"/>
        <v>92925</v>
      </c>
    </row>
    <row r="1377" spans="7:14" ht="11.25" customHeight="1" x14ac:dyDescent="0.3">
      <c r="G1377" s="470"/>
      <c r="H1377" s="470">
        <v>1370</v>
      </c>
      <c r="I1377" s="455">
        <f t="shared" ca="1" si="110"/>
        <v>74145600.213892579</v>
      </c>
      <c r="J1377" s="455">
        <f t="array" ref="J1377">IFERROR(INDEX('Retirement Calculator'!K:K,MATCH('Lorri 401b'!N1377,'Retirement Calculator'!A:A,0),0),0)</f>
        <v>0</v>
      </c>
      <c r="K1377" s="455">
        <f t="shared" ca="1" si="108"/>
        <v>308940.00089121907</v>
      </c>
      <c r="L1377" s="455">
        <f t="shared" ca="1" si="109"/>
        <v>74454540.214783803</v>
      </c>
      <c r="M1377" s="471">
        <f t="shared" si="111"/>
        <v>0.05</v>
      </c>
      <c r="N1377" s="475">
        <f t="shared" si="112"/>
        <v>92955</v>
      </c>
    </row>
    <row r="1378" spans="7:14" ht="11.25" customHeight="1" x14ac:dyDescent="0.3">
      <c r="G1378" s="470"/>
      <c r="H1378" s="470">
        <v>1371</v>
      </c>
      <c r="I1378" s="455">
        <f t="shared" ca="1" si="110"/>
        <v>74454540.214783803</v>
      </c>
      <c r="J1378" s="455">
        <f t="array" ref="J1378">IFERROR(INDEX('Retirement Calculator'!K:K,MATCH('Lorri 401b'!N1378,'Retirement Calculator'!A:A,0),0),0)</f>
        <v>0</v>
      </c>
      <c r="K1378" s="455">
        <f t="shared" ca="1" si="108"/>
        <v>310227.25089493248</v>
      </c>
      <c r="L1378" s="455">
        <f t="shared" ca="1" si="109"/>
        <v>74764767.465678737</v>
      </c>
      <c r="M1378" s="471">
        <f t="shared" si="111"/>
        <v>0.05</v>
      </c>
      <c r="N1378" s="475">
        <f t="shared" si="112"/>
        <v>92986</v>
      </c>
    </row>
    <row r="1379" spans="7:14" ht="11.25" customHeight="1" x14ac:dyDescent="0.3">
      <c r="G1379" s="470"/>
      <c r="H1379" s="470">
        <v>1372</v>
      </c>
      <c r="I1379" s="455">
        <f t="shared" ca="1" si="110"/>
        <v>74764767.465678737</v>
      </c>
      <c r="J1379" s="455">
        <f t="array" ref="J1379">IFERROR(INDEX('Retirement Calculator'!K:K,MATCH('Lorri 401b'!N1379,'Retirement Calculator'!A:A,0),0),0)</f>
        <v>0</v>
      </c>
      <c r="K1379" s="455">
        <f t="shared" ca="1" si="108"/>
        <v>311519.86444032809</v>
      </c>
      <c r="L1379" s="455">
        <f t="shared" ca="1" si="109"/>
        <v>75076287.330119058</v>
      </c>
      <c r="M1379" s="471">
        <f t="shared" si="111"/>
        <v>0.05</v>
      </c>
      <c r="N1379" s="475">
        <f t="shared" si="112"/>
        <v>93017</v>
      </c>
    </row>
    <row r="1380" spans="7:14" ht="11.25" customHeight="1" x14ac:dyDescent="0.3">
      <c r="G1380" s="470"/>
      <c r="H1380" s="470">
        <v>1373</v>
      </c>
      <c r="I1380" s="455">
        <f t="shared" ca="1" si="110"/>
        <v>75076287.330119058</v>
      </c>
      <c r="J1380" s="455">
        <f t="array" ref="J1380">IFERROR(INDEX('Retirement Calculator'!K:K,MATCH('Lorri 401b'!N1380,'Retirement Calculator'!A:A,0),0),0)</f>
        <v>0</v>
      </c>
      <c r="K1380" s="455">
        <f t="shared" ca="1" si="108"/>
        <v>312817.86387549608</v>
      </c>
      <c r="L1380" s="455">
        <f t="shared" ca="1" si="109"/>
        <v>75389105.193994552</v>
      </c>
      <c r="M1380" s="471">
        <f t="shared" si="111"/>
        <v>0.05</v>
      </c>
      <c r="N1380" s="475">
        <f t="shared" si="112"/>
        <v>93047</v>
      </c>
    </row>
    <row r="1381" spans="7:14" ht="11.25" customHeight="1" x14ac:dyDescent="0.3">
      <c r="G1381" s="470"/>
      <c r="H1381" s="470">
        <v>1374</v>
      </c>
      <c r="I1381" s="455">
        <f t="shared" ca="1" si="110"/>
        <v>75389105.193994552</v>
      </c>
      <c r="J1381" s="455">
        <f t="array" ref="J1381">IFERROR(INDEX('Retirement Calculator'!K:K,MATCH('Lorri 401b'!N1381,'Retirement Calculator'!A:A,0),0),0)</f>
        <v>0</v>
      </c>
      <c r="K1381" s="455">
        <f t="shared" ca="1" si="108"/>
        <v>314121.27164164395</v>
      </c>
      <c r="L1381" s="455">
        <f t="shared" ca="1" si="109"/>
        <v>75703226.465636194</v>
      </c>
      <c r="M1381" s="471">
        <f t="shared" si="111"/>
        <v>0.05</v>
      </c>
      <c r="N1381" s="475">
        <f t="shared" si="112"/>
        <v>93078</v>
      </c>
    </row>
    <row r="1382" spans="7:14" ht="11.25" customHeight="1" x14ac:dyDescent="0.3">
      <c r="G1382" s="470"/>
      <c r="H1382" s="470">
        <v>1375</v>
      </c>
      <c r="I1382" s="455">
        <f t="shared" ca="1" si="110"/>
        <v>75703226.465636194</v>
      </c>
      <c r="J1382" s="455">
        <f t="array" ref="J1382">IFERROR(INDEX('Retirement Calculator'!K:K,MATCH('Lorri 401b'!N1382,'Retirement Calculator'!A:A,0),0),0)</f>
        <v>0</v>
      </c>
      <c r="K1382" s="455">
        <f t="shared" ca="1" si="108"/>
        <v>315430.11027348414</v>
      </c>
      <c r="L1382" s="455">
        <f t="shared" ca="1" si="109"/>
        <v>76018656.575909674</v>
      </c>
      <c r="M1382" s="471">
        <f t="shared" si="111"/>
        <v>0.05</v>
      </c>
      <c r="N1382" s="475">
        <f t="shared" si="112"/>
        <v>93108</v>
      </c>
    </row>
    <row r="1383" spans="7:14" ht="11.25" customHeight="1" x14ac:dyDescent="0.3">
      <c r="G1383" s="470"/>
      <c r="H1383" s="470">
        <v>1376</v>
      </c>
      <c r="I1383" s="455">
        <f t="shared" ca="1" si="110"/>
        <v>76018656.575909674</v>
      </c>
      <c r="J1383" s="455">
        <f t="array" ref="J1383">IFERROR(INDEX('Retirement Calculator'!K:K,MATCH('Lorri 401b'!N1383,'Retirement Calculator'!A:A,0),0),0)</f>
        <v>0</v>
      </c>
      <c r="K1383" s="455">
        <f t="shared" ca="1" si="108"/>
        <v>316744.40239962365</v>
      </c>
      <c r="L1383" s="455">
        <f t="shared" ca="1" si="109"/>
        <v>76335400.978309304</v>
      </c>
      <c r="M1383" s="471">
        <f t="shared" si="111"/>
        <v>0.05</v>
      </c>
      <c r="N1383" s="475">
        <f t="shared" si="112"/>
        <v>93139</v>
      </c>
    </row>
    <row r="1384" spans="7:14" ht="11.25" customHeight="1" x14ac:dyDescent="0.3">
      <c r="G1384" s="470"/>
      <c r="H1384" s="470">
        <v>1377</v>
      </c>
      <c r="I1384" s="455">
        <f t="shared" ca="1" si="110"/>
        <v>76335400.978309304</v>
      </c>
      <c r="J1384" s="455">
        <f t="array" ref="J1384">IFERROR(INDEX('Retirement Calculator'!K:K,MATCH('Lorri 401b'!N1384,'Retirement Calculator'!A:A,0),0),0)</f>
        <v>0</v>
      </c>
      <c r="K1384" s="455">
        <f t="shared" ca="1" si="108"/>
        <v>318064.17074295541</v>
      </c>
      <c r="L1384" s="455">
        <f t="shared" ca="1" si="109"/>
        <v>76653465.149052262</v>
      </c>
      <c r="M1384" s="471">
        <f t="shared" si="111"/>
        <v>0.05</v>
      </c>
      <c r="N1384" s="475">
        <f t="shared" si="112"/>
        <v>93170</v>
      </c>
    </row>
    <row r="1385" spans="7:14" ht="11.25" customHeight="1" x14ac:dyDescent="0.3">
      <c r="G1385" s="470"/>
      <c r="H1385" s="470">
        <v>1378</v>
      </c>
      <c r="I1385" s="455">
        <f t="shared" ca="1" si="110"/>
        <v>76653465.149052262</v>
      </c>
      <c r="J1385" s="455">
        <f t="array" ref="J1385">IFERROR(INDEX('Retirement Calculator'!K:K,MATCH('Lorri 401b'!N1385,'Retirement Calculator'!A:A,0),0),0)</f>
        <v>0</v>
      </c>
      <c r="K1385" s="455">
        <f t="shared" ca="1" si="108"/>
        <v>319389.43812105106</v>
      </c>
      <c r="L1385" s="455">
        <f t="shared" ca="1" si="109"/>
        <v>76972854.587173313</v>
      </c>
      <c r="M1385" s="471">
        <f t="shared" si="111"/>
        <v>0.05</v>
      </c>
      <c r="N1385" s="475">
        <f t="shared" si="112"/>
        <v>93198</v>
      </c>
    </row>
    <row r="1386" spans="7:14" ht="11.25" customHeight="1" x14ac:dyDescent="0.3">
      <c r="G1386" s="470"/>
      <c r="H1386" s="470">
        <v>1379</v>
      </c>
      <c r="I1386" s="455">
        <f t="shared" ca="1" si="110"/>
        <v>76972854.587173313</v>
      </c>
      <c r="J1386" s="455">
        <f t="array" ref="J1386">IFERROR(INDEX('Retirement Calculator'!K:K,MATCH('Lorri 401b'!N1386,'Retirement Calculator'!A:A,0),0),0)</f>
        <v>0</v>
      </c>
      <c r="K1386" s="455">
        <f t="shared" ca="1" si="108"/>
        <v>320720.22744655545</v>
      </c>
      <c r="L1386" s="455">
        <f t="shared" ca="1" si="109"/>
        <v>77293574.814619869</v>
      </c>
      <c r="M1386" s="471">
        <f t="shared" si="111"/>
        <v>0.05</v>
      </c>
      <c r="N1386" s="475">
        <f t="shared" si="112"/>
        <v>93229</v>
      </c>
    </row>
    <row r="1387" spans="7:14" ht="11.25" customHeight="1" x14ac:dyDescent="0.3">
      <c r="G1387" s="470"/>
      <c r="H1387" s="470">
        <v>1380</v>
      </c>
      <c r="I1387" s="455">
        <f t="shared" ca="1" si="110"/>
        <v>77293574.814619869</v>
      </c>
      <c r="J1387" s="455">
        <f t="array" ref="J1387">IFERROR(INDEX('Retirement Calculator'!K:K,MATCH('Lorri 401b'!N1387,'Retirement Calculator'!A:A,0),0),0)</f>
        <v>0</v>
      </c>
      <c r="K1387" s="455">
        <f t="shared" ca="1" si="108"/>
        <v>322056.56172758277</v>
      </c>
      <c r="L1387" s="455">
        <f t="shared" ca="1" si="109"/>
        <v>77615631.376347452</v>
      </c>
      <c r="M1387" s="471">
        <f t="shared" si="111"/>
        <v>0.05</v>
      </c>
      <c r="N1387" s="475">
        <f t="shared" si="112"/>
        <v>93259</v>
      </c>
    </row>
    <row r="1388" spans="7:14" ht="11.25" customHeight="1" x14ac:dyDescent="0.3">
      <c r="G1388" s="470"/>
      <c r="H1388" s="470">
        <v>1381</v>
      </c>
      <c r="I1388" s="455">
        <f t="shared" ca="1" si="110"/>
        <v>77615631.376347452</v>
      </c>
      <c r="J1388" s="455">
        <f t="array" ref="J1388">IFERROR(INDEX('Retirement Calculator'!K:K,MATCH('Lorri 401b'!N1388,'Retirement Calculator'!A:A,0),0),0)</f>
        <v>0</v>
      </c>
      <c r="K1388" s="455">
        <f t="shared" ca="1" si="108"/>
        <v>323398.46406811441</v>
      </c>
      <c r="L1388" s="455">
        <f t="shared" ca="1" si="109"/>
        <v>77939029.840415567</v>
      </c>
      <c r="M1388" s="471">
        <f t="shared" si="111"/>
        <v>0.05</v>
      </c>
      <c r="N1388" s="475">
        <f t="shared" si="112"/>
        <v>93290</v>
      </c>
    </row>
    <row r="1389" spans="7:14" ht="11.25" customHeight="1" x14ac:dyDescent="0.3">
      <c r="G1389" s="470"/>
      <c r="H1389" s="470">
        <v>1382</v>
      </c>
      <c r="I1389" s="455">
        <f t="shared" ca="1" si="110"/>
        <v>77939029.840415567</v>
      </c>
      <c r="J1389" s="455">
        <f t="array" ref="J1389">IFERROR(INDEX('Retirement Calculator'!K:K,MATCH('Lorri 401b'!N1389,'Retirement Calculator'!A:A,0),0),0)</f>
        <v>0</v>
      </c>
      <c r="K1389" s="455">
        <f t="shared" ca="1" si="108"/>
        <v>324745.95766839822</v>
      </c>
      <c r="L1389" s="455">
        <f t="shared" ca="1" si="109"/>
        <v>78263775.798083961</v>
      </c>
      <c r="M1389" s="471">
        <f t="shared" si="111"/>
        <v>0.05</v>
      </c>
      <c r="N1389" s="475">
        <f t="shared" si="112"/>
        <v>93320</v>
      </c>
    </row>
    <row r="1390" spans="7:14" ht="11.25" customHeight="1" x14ac:dyDescent="0.3">
      <c r="G1390" s="470"/>
      <c r="H1390" s="470">
        <v>1383</v>
      </c>
      <c r="I1390" s="455">
        <f t="shared" ca="1" si="110"/>
        <v>78263775.798083961</v>
      </c>
      <c r="J1390" s="455">
        <f t="array" ref="J1390">IFERROR(INDEX('Retirement Calculator'!K:K,MATCH('Lorri 401b'!N1390,'Retirement Calculator'!A:A,0),0),0)</f>
        <v>0</v>
      </c>
      <c r="K1390" s="455">
        <f t="shared" ca="1" si="108"/>
        <v>326099.06582534983</v>
      </c>
      <c r="L1390" s="455">
        <f t="shared" ca="1" si="109"/>
        <v>78589874.863909304</v>
      </c>
      <c r="M1390" s="471">
        <f t="shared" si="111"/>
        <v>0.05</v>
      </c>
      <c r="N1390" s="475">
        <f t="shared" si="112"/>
        <v>93351</v>
      </c>
    </row>
    <row r="1391" spans="7:14" ht="11.25" customHeight="1" x14ac:dyDescent="0.3">
      <c r="G1391" s="470"/>
      <c r="H1391" s="470">
        <v>1384</v>
      </c>
      <c r="I1391" s="455">
        <f t="shared" ca="1" si="110"/>
        <v>78589874.863909304</v>
      </c>
      <c r="J1391" s="455">
        <f t="array" ref="J1391">IFERROR(INDEX('Retirement Calculator'!K:K,MATCH('Lorri 401b'!N1391,'Retirement Calculator'!A:A,0),0),0)</f>
        <v>0</v>
      </c>
      <c r="K1391" s="455">
        <f t="shared" ca="1" si="108"/>
        <v>327457.8119329554</v>
      </c>
      <c r="L1391" s="455">
        <f t="shared" ca="1" si="109"/>
        <v>78917332.675842255</v>
      </c>
      <c r="M1391" s="471">
        <f t="shared" si="111"/>
        <v>0.05</v>
      </c>
      <c r="N1391" s="475">
        <f t="shared" si="112"/>
        <v>93382</v>
      </c>
    </row>
    <row r="1392" spans="7:14" ht="11.25" customHeight="1" x14ac:dyDescent="0.3">
      <c r="G1392" s="470"/>
      <c r="H1392" s="470">
        <v>1385</v>
      </c>
      <c r="I1392" s="455">
        <f t="shared" ca="1" si="110"/>
        <v>78917332.675842255</v>
      </c>
      <c r="J1392" s="455">
        <f t="array" ref="J1392">IFERROR(INDEX('Retirement Calculator'!K:K,MATCH('Lorri 401b'!N1392,'Retirement Calculator'!A:A,0),0),0)</f>
        <v>0</v>
      </c>
      <c r="K1392" s="455">
        <f t="shared" ca="1" si="108"/>
        <v>328822.21948267607</v>
      </c>
      <c r="L1392" s="455">
        <f t="shared" ca="1" si="109"/>
        <v>79246154.895324931</v>
      </c>
      <c r="M1392" s="471">
        <f t="shared" si="111"/>
        <v>0.05</v>
      </c>
      <c r="N1392" s="475">
        <f t="shared" si="112"/>
        <v>93412</v>
      </c>
    </row>
    <row r="1393" spans="7:14" ht="11.25" customHeight="1" x14ac:dyDescent="0.3">
      <c r="G1393" s="470"/>
      <c r="H1393" s="470">
        <v>1386</v>
      </c>
      <c r="I1393" s="455">
        <f t="shared" ca="1" si="110"/>
        <v>79246154.895324931</v>
      </c>
      <c r="J1393" s="455">
        <f t="array" ref="J1393">IFERROR(INDEX('Retirement Calculator'!K:K,MATCH('Lorri 401b'!N1393,'Retirement Calculator'!A:A,0),0),0)</f>
        <v>0</v>
      </c>
      <c r="K1393" s="455">
        <f t="shared" ca="1" si="108"/>
        <v>330192.3120638539</v>
      </c>
      <c r="L1393" s="455">
        <f t="shared" ca="1" si="109"/>
        <v>79576347.207388788</v>
      </c>
      <c r="M1393" s="471">
        <f t="shared" si="111"/>
        <v>0.05</v>
      </c>
      <c r="N1393" s="475">
        <f t="shared" si="112"/>
        <v>93443</v>
      </c>
    </row>
    <row r="1394" spans="7:14" ht="11.25" customHeight="1" x14ac:dyDescent="0.3">
      <c r="G1394" s="470"/>
      <c r="H1394" s="470">
        <v>1387</v>
      </c>
      <c r="I1394" s="455">
        <f t="shared" ca="1" si="110"/>
        <v>79576347.207388788</v>
      </c>
      <c r="J1394" s="455">
        <f t="array" ref="J1394">IFERROR(INDEX('Retirement Calculator'!K:K,MATCH('Lorri 401b'!N1394,'Retirement Calculator'!A:A,0),0),0)</f>
        <v>0</v>
      </c>
      <c r="K1394" s="455">
        <f t="shared" ca="1" si="108"/>
        <v>331568.11336411996</v>
      </c>
      <c r="L1394" s="455">
        <f t="shared" ca="1" si="109"/>
        <v>79907915.320752904</v>
      </c>
      <c r="M1394" s="471">
        <f t="shared" si="111"/>
        <v>0.05</v>
      </c>
      <c r="N1394" s="475">
        <f t="shared" si="112"/>
        <v>93473</v>
      </c>
    </row>
    <row r="1395" spans="7:14" ht="11.25" customHeight="1" x14ac:dyDescent="0.3">
      <c r="G1395" s="470"/>
      <c r="H1395" s="470">
        <v>1388</v>
      </c>
      <c r="I1395" s="455">
        <f t="shared" ca="1" si="110"/>
        <v>79907915.320752904</v>
      </c>
      <c r="J1395" s="455">
        <f t="array" ref="J1395">IFERROR(INDEX('Retirement Calculator'!K:K,MATCH('Lorri 401b'!N1395,'Retirement Calculator'!A:A,0),0),0)</f>
        <v>0</v>
      </c>
      <c r="K1395" s="455">
        <f t="shared" ca="1" si="108"/>
        <v>332949.64716980373</v>
      </c>
      <c r="L1395" s="455">
        <f t="shared" ca="1" si="109"/>
        <v>80240864.967922702</v>
      </c>
      <c r="M1395" s="471">
        <f t="shared" si="111"/>
        <v>0.05</v>
      </c>
      <c r="N1395" s="475">
        <f t="shared" si="112"/>
        <v>93504</v>
      </c>
    </row>
    <row r="1396" spans="7:14" ht="11.25" customHeight="1" x14ac:dyDescent="0.3">
      <c r="G1396" s="470"/>
      <c r="H1396" s="470">
        <v>1389</v>
      </c>
      <c r="I1396" s="455">
        <f t="shared" ca="1" si="110"/>
        <v>80240864.967922702</v>
      </c>
      <c r="J1396" s="455">
        <f t="array" ref="J1396">IFERROR(INDEX('Retirement Calculator'!K:K,MATCH('Lorri 401b'!N1396,'Retirement Calculator'!A:A,0),0),0)</f>
        <v>0</v>
      </c>
      <c r="K1396" s="455">
        <f t="shared" ca="1" si="108"/>
        <v>334336.93736634462</v>
      </c>
      <c r="L1396" s="455">
        <f t="shared" ca="1" si="109"/>
        <v>80575201.905289054</v>
      </c>
      <c r="M1396" s="471">
        <f t="shared" si="111"/>
        <v>0.05</v>
      </c>
      <c r="N1396" s="475">
        <f t="shared" si="112"/>
        <v>93535</v>
      </c>
    </row>
    <row r="1397" spans="7:14" ht="11.25" customHeight="1" x14ac:dyDescent="0.3">
      <c r="G1397" s="470"/>
      <c r="H1397" s="470">
        <v>1390</v>
      </c>
      <c r="I1397" s="455">
        <f t="shared" ca="1" si="110"/>
        <v>80575201.905289054</v>
      </c>
      <c r="J1397" s="455">
        <f t="array" ref="J1397">IFERROR(INDEX('Retirement Calculator'!K:K,MATCH('Lorri 401b'!N1397,'Retirement Calculator'!A:A,0),0),0)</f>
        <v>0</v>
      </c>
      <c r="K1397" s="455">
        <f t="shared" ca="1" si="108"/>
        <v>335730.0079387044</v>
      </c>
      <c r="L1397" s="455">
        <f t="shared" ca="1" si="109"/>
        <v>80910931.913227752</v>
      </c>
      <c r="M1397" s="471">
        <f t="shared" si="111"/>
        <v>0.05</v>
      </c>
      <c r="N1397" s="475">
        <f t="shared" si="112"/>
        <v>93564</v>
      </c>
    </row>
    <row r="1398" spans="7:14" ht="11.25" customHeight="1" x14ac:dyDescent="0.3">
      <c r="G1398" s="470"/>
      <c r="H1398" s="470">
        <v>1391</v>
      </c>
      <c r="I1398" s="455">
        <f t="shared" ca="1" si="110"/>
        <v>80910931.913227752</v>
      </c>
      <c r="J1398" s="455">
        <f t="array" ref="J1398">IFERROR(INDEX('Retirement Calculator'!K:K,MATCH('Lorri 401b'!N1398,'Retirement Calculator'!A:A,0),0),0)</f>
        <v>0</v>
      </c>
      <c r="K1398" s="455">
        <f t="shared" ca="1" si="108"/>
        <v>337128.8829717823</v>
      </c>
      <c r="L1398" s="455">
        <f t="shared" ca="1" si="109"/>
        <v>81248060.79619953</v>
      </c>
      <c r="M1398" s="471">
        <f t="shared" si="111"/>
        <v>0.05</v>
      </c>
      <c r="N1398" s="475">
        <f t="shared" si="112"/>
        <v>93595</v>
      </c>
    </row>
    <row r="1399" spans="7:14" ht="11.25" customHeight="1" x14ac:dyDescent="0.3">
      <c r="G1399" s="470"/>
      <c r="H1399" s="470">
        <v>1392</v>
      </c>
      <c r="I1399" s="455">
        <f t="shared" ca="1" si="110"/>
        <v>81248060.79619953</v>
      </c>
      <c r="J1399" s="455">
        <f t="array" ref="J1399">IFERROR(INDEX('Retirement Calculator'!K:K,MATCH('Lorri 401b'!N1399,'Retirement Calculator'!A:A,0),0),0)</f>
        <v>0</v>
      </c>
      <c r="K1399" s="455">
        <f t="shared" ca="1" si="108"/>
        <v>338533.58665083139</v>
      </c>
      <c r="L1399" s="455">
        <f t="shared" ca="1" si="109"/>
        <v>81586594.382850364</v>
      </c>
      <c r="M1399" s="471">
        <f t="shared" si="111"/>
        <v>0.05</v>
      </c>
      <c r="N1399" s="475">
        <f t="shared" si="112"/>
        <v>93625</v>
      </c>
    </row>
    <row r="1400" spans="7:14" ht="11.25" customHeight="1" x14ac:dyDescent="0.3">
      <c r="G1400" s="470"/>
      <c r="H1400" s="470">
        <v>1393</v>
      </c>
      <c r="I1400" s="455">
        <f t="shared" ca="1" si="110"/>
        <v>81586594.382850364</v>
      </c>
      <c r="J1400" s="455">
        <f t="array" ref="J1400">IFERROR(INDEX('Retirement Calculator'!K:K,MATCH('Lorri 401b'!N1400,'Retirement Calculator'!A:A,0),0),0)</f>
        <v>0</v>
      </c>
      <c r="K1400" s="455">
        <f t="shared" ca="1" si="108"/>
        <v>339944.14326187654</v>
      </c>
      <c r="L1400" s="455">
        <f t="shared" ca="1" si="109"/>
        <v>81926538.526112244</v>
      </c>
      <c r="M1400" s="471">
        <f t="shared" si="111"/>
        <v>0.05</v>
      </c>
      <c r="N1400" s="475">
        <f t="shared" si="112"/>
        <v>93656</v>
      </c>
    </row>
    <row r="1401" spans="7:14" ht="11.25" customHeight="1" x14ac:dyDescent="0.3">
      <c r="G1401" s="470"/>
      <c r="H1401" s="470">
        <v>1394</v>
      </c>
      <c r="I1401" s="455">
        <f t="shared" ca="1" si="110"/>
        <v>81926538.526112244</v>
      </c>
      <c r="J1401" s="455">
        <f t="array" ref="J1401">IFERROR(INDEX('Retirement Calculator'!K:K,MATCH('Lorri 401b'!N1401,'Retirement Calculator'!A:A,0),0),0)</f>
        <v>0</v>
      </c>
      <c r="K1401" s="455">
        <f t="shared" ca="1" si="108"/>
        <v>341360.57719213434</v>
      </c>
      <c r="L1401" s="455">
        <f t="shared" ca="1" si="109"/>
        <v>82267899.103304371</v>
      </c>
      <c r="M1401" s="471">
        <f t="shared" si="111"/>
        <v>0.05</v>
      </c>
      <c r="N1401" s="475">
        <f t="shared" si="112"/>
        <v>93686</v>
      </c>
    </row>
    <row r="1402" spans="7:14" ht="11.25" customHeight="1" x14ac:dyDescent="0.3">
      <c r="G1402" s="470"/>
      <c r="H1402" s="470">
        <v>1395</v>
      </c>
      <c r="I1402" s="455">
        <f t="shared" ca="1" si="110"/>
        <v>82267899.103304371</v>
      </c>
      <c r="J1402" s="455">
        <f t="array" ref="J1402">IFERROR(INDEX('Retirement Calculator'!K:K,MATCH('Lorri 401b'!N1402,'Retirement Calculator'!A:A,0),0),0)</f>
        <v>0</v>
      </c>
      <c r="K1402" s="455">
        <f t="shared" ca="1" si="108"/>
        <v>342782.91293043486</v>
      </c>
      <c r="L1402" s="455">
        <f t="shared" ca="1" si="109"/>
        <v>82610682.0162348</v>
      </c>
      <c r="M1402" s="471">
        <f t="shared" si="111"/>
        <v>0.05</v>
      </c>
      <c r="N1402" s="475">
        <f t="shared" si="112"/>
        <v>93717</v>
      </c>
    </row>
    <row r="1403" spans="7:14" ht="11.25" customHeight="1" x14ac:dyDescent="0.3">
      <c r="G1403" s="470"/>
      <c r="H1403" s="470">
        <v>1396</v>
      </c>
      <c r="I1403" s="455">
        <f t="shared" ca="1" si="110"/>
        <v>82610682.0162348</v>
      </c>
      <c r="J1403" s="455">
        <f t="array" ref="J1403">IFERROR(INDEX('Retirement Calculator'!K:K,MATCH('Lorri 401b'!N1403,'Retirement Calculator'!A:A,0),0),0)</f>
        <v>0</v>
      </c>
      <c r="K1403" s="455">
        <f t="shared" ca="1" si="108"/>
        <v>344211.17506764497</v>
      </c>
      <c r="L1403" s="455">
        <f t="shared" ca="1" si="109"/>
        <v>82954893.191302449</v>
      </c>
      <c r="M1403" s="471">
        <f t="shared" si="111"/>
        <v>0.05</v>
      </c>
      <c r="N1403" s="475">
        <f t="shared" si="112"/>
        <v>93748</v>
      </c>
    </row>
    <row r="1404" spans="7:14" ht="11.25" customHeight="1" x14ac:dyDescent="0.3">
      <c r="G1404" s="470"/>
      <c r="H1404" s="470">
        <v>1397</v>
      </c>
      <c r="I1404" s="455">
        <f t="shared" ca="1" si="110"/>
        <v>82954893.191302449</v>
      </c>
      <c r="J1404" s="455">
        <f t="array" ref="J1404">IFERROR(INDEX('Retirement Calculator'!K:K,MATCH('Lorri 401b'!N1404,'Retirement Calculator'!A:A,0),0),0)</f>
        <v>0</v>
      </c>
      <c r="K1404" s="455">
        <f t="shared" ca="1" si="108"/>
        <v>345645.38829709351</v>
      </c>
      <c r="L1404" s="455">
        <f t="shared" ca="1" si="109"/>
        <v>83300538.579599544</v>
      </c>
      <c r="M1404" s="471">
        <f t="shared" si="111"/>
        <v>0.05</v>
      </c>
      <c r="N1404" s="475">
        <f t="shared" si="112"/>
        <v>93778</v>
      </c>
    </row>
    <row r="1405" spans="7:14" ht="11.25" customHeight="1" x14ac:dyDescent="0.3">
      <c r="G1405" s="470"/>
      <c r="H1405" s="470">
        <v>1398</v>
      </c>
      <c r="I1405" s="455">
        <f t="shared" ca="1" si="110"/>
        <v>83300538.579599544</v>
      </c>
      <c r="J1405" s="455">
        <f t="array" ref="J1405">IFERROR(INDEX('Retirement Calculator'!K:K,MATCH('Lorri 401b'!N1405,'Retirement Calculator'!A:A,0),0),0)</f>
        <v>0</v>
      </c>
      <c r="K1405" s="455">
        <f t="shared" ca="1" si="108"/>
        <v>347085.57741499809</v>
      </c>
      <c r="L1405" s="455">
        <f t="shared" ca="1" si="109"/>
        <v>83647624.157014549</v>
      </c>
      <c r="M1405" s="471">
        <f t="shared" si="111"/>
        <v>0.05</v>
      </c>
      <c r="N1405" s="475">
        <f t="shared" si="112"/>
        <v>93809</v>
      </c>
    </row>
    <row r="1406" spans="7:14" ht="11.25" customHeight="1" x14ac:dyDescent="0.3">
      <c r="G1406" s="470"/>
      <c r="H1406" s="470">
        <v>1399</v>
      </c>
      <c r="I1406" s="455">
        <f t="shared" ca="1" si="110"/>
        <v>83647624.157014549</v>
      </c>
      <c r="J1406" s="455">
        <f t="array" ref="J1406">IFERROR(INDEX('Retirement Calculator'!K:K,MATCH('Lorri 401b'!N1406,'Retirement Calculator'!A:A,0),0),0)</f>
        <v>0</v>
      </c>
      <c r="K1406" s="455">
        <f t="shared" ca="1" si="108"/>
        <v>348531.76732089394</v>
      </c>
      <c r="L1406" s="455">
        <f t="shared" ca="1" si="109"/>
        <v>83996155.92433545</v>
      </c>
      <c r="M1406" s="471">
        <f t="shared" si="111"/>
        <v>0.05</v>
      </c>
      <c r="N1406" s="475">
        <f t="shared" si="112"/>
        <v>93839</v>
      </c>
    </row>
    <row r="1407" spans="7:14" ht="11.25" customHeight="1" x14ac:dyDescent="0.3">
      <c r="G1407" s="470"/>
      <c r="H1407" s="470">
        <v>1400</v>
      </c>
      <c r="I1407" s="455">
        <f t="shared" ca="1" si="110"/>
        <v>83996155.92433545</v>
      </c>
      <c r="J1407" s="455">
        <f t="array" ref="J1407">IFERROR(INDEX('Retirement Calculator'!K:K,MATCH('Lorri 401b'!N1407,'Retirement Calculator'!A:A,0),0),0)</f>
        <v>0</v>
      </c>
      <c r="K1407" s="455">
        <f t="shared" ca="1" si="108"/>
        <v>349983.98301806435</v>
      </c>
      <c r="L1407" s="455">
        <f t="shared" ca="1" si="109"/>
        <v>84346139.90735352</v>
      </c>
      <c r="M1407" s="471">
        <f t="shared" si="111"/>
        <v>0.05</v>
      </c>
      <c r="N1407" s="475">
        <f t="shared" si="112"/>
        <v>93870</v>
      </c>
    </row>
    <row r="1408" spans="7:14" ht="11.25" customHeight="1" x14ac:dyDescent="0.3">
      <c r="G1408" s="470"/>
      <c r="H1408" s="470">
        <v>1401</v>
      </c>
      <c r="I1408" s="455">
        <f t="shared" ca="1" si="110"/>
        <v>84346139.90735352</v>
      </c>
      <c r="J1408" s="455">
        <f t="array" ref="J1408">IFERROR(INDEX('Retirement Calculator'!K:K,MATCH('Lorri 401b'!N1408,'Retirement Calculator'!A:A,0),0),0)</f>
        <v>0</v>
      </c>
      <c r="K1408" s="455">
        <f t="shared" ca="1" si="108"/>
        <v>351442.24961397302</v>
      </c>
      <c r="L1408" s="455">
        <f t="shared" ca="1" si="109"/>
        <v>84697582.156967491</v>
      </c>
      <c r="M1408" s="471">
        <f t="shared" si="111"/>
        <v>0.05</v>
      </c>
      <c r="N1408" s="475">
        <f t="shared" si="112"/>
        <v>93901</v>
      </c>
    </row>
    <row r="1409" spans="7:14" ht="11.25" customHeight="1" x14ac:dyDescent="0.3">
      <c r="G1409" s="470"/>
      <c r="H1409" s="470">
        <v>1402</v>
      </c>
      <c r="I1409" s="455">
        <f t="shared" ca="1" si="110"/>
        <v>84697582.156967491</v>
      </c>
      <c r="J1409" s="455">
        <f t="array" ref="J1409">IFERROR(INDEX('Retirement Calculator'!K:K,MATCH('Lorri 401b'!N1409,'Retirement Calculator'!A:A,0),0),0)</f>
        <v>0</v>
      </c>
      <c r="K1409" s="455">
        <f t="shared" ca="1" si="108"/>
        <v>352906.59232069785</v>
      </c>
      <c r="L1409" s="455">
        <f t="shared" ca="1" si="109"/>
        <v>85050488.749288186</v>
      </c>
      <c r="M1409" s="471">
        <f t="shared" si="111"/>
        <v>0.05</v>
      </c>
      <c r="N1409" s="475">
        <f t="shared" si="112"/>
        <v>93929</v>
      </c>
    </row>
    <row r="1410" spans="7:14" ht="11.25" customHeight="1" x14ac:dyDescent="0.3">
      <c r="G1410" s="470"/>
      <c r="H1410" s="470">
        <v>1403</v>
      </c>
      <c r="I1410" s="455">
        <f t="shared" ca="1" si="110"/>
        <v>85050488.749288186</v>
      </c>
      <c r="J1410" s="455">
        <f t="array" ref="J1410">IFERROR(INDEX('Retirement Calculator'!K:K,MATCH('Lorri 401b'!N1410,'Retirement Calculator'!A:A,0),0),0)</f>
        <v>0</v>
      </c>
      <c r="K1410" s="455">
        <f t="shared" ca="1" si="108"/>
        <v>354377.03645536746</v>
      </c>
      <c r="L1410" s="455">
        <f t="shared" ca="1" si="109"/>
        <v>85404865.785743549</v>
      </c>
      <c r="M1410" s="471">
        <f t="shared" si="111"/>
        <v>0.05</v>
      </c>
      <c r="N1410" s="475">
        <f t="shared" si="112"/>
        <v>93960</v>
      </c>
    </row>
    <row r="1411" spans="7:14" ht="11.25" customHeight="1" x14ac:dyDescent="0.3">
      <c r="G1411" s="470"/>
      <c r="H1411" s="470">
        <v>1404</v>
      </c>
      <c r="I1411" s="455">
        <f t="shared" ca="1" si="110"/>
        <v>85404865.785743549</v>
      </c>
      <c r="J1411" s="455">
        <f t="array" ref="J1411">IFERROR(INDEX('Retirement Calculator'!K:K,MATCH('Lorri 401b'!N1411,'Retirement Calculator'!A:A,0),0),0)</f>
        <v>0</v>
      </c>
      <c r="K1411" s="455">
        <f t="shared" ca="1" si="108"/>
        <v>355853.60744059813</v>
      </c>
      <c r="L1411" s="455">
        <f t="shared" ca="1" si="109"/>
        <v>85760719.39318414</v>
      </c>
      <c r="M1411" s="471">
        <f t="shared" si="111"/>
        <v>0.05</v>
      </c>
      <c r="N1411" s="475">
        <f t="shared" si="112"/>
        <v>93990</v>
      </c>
    </row>
    <row r="1412" spans="7:14" ht="11.25" customHeight="1" x14ac:dyDescent="0.3">
      <c r="G1412" s="470"/>
      <c r="H1412" s="470">
        <v>1405</v>
      </c>
      <c r="I1412" s="455">
        <f t="shared" ca="1" si="110"/>
        <v>85760719.39318414</v>
      </c>
      <c r="J1412" s="455">
        <f t="array" ref="J1412">IFERROR(INDEX('Retirement Calculator'!K:K,MATCH('Lorri 401b'!N1412,'Retirement Calculator'!A:A,0),0),0)</f>
        <v>0</v>
      </c>
      <c r="K1412" s="455">
        <f t="shared" ca="1" si="108"/>
        <v>357336.33080493391</v>
      </c>
      <c r="L1412" s="455">
        <f t="shared" ca="1" si="109"/>
        <v>86118055.723989069</v>
      </c>
      <c r="M1412" s="471">
        <f t="shared" si="111"/>
        <v>0.05</v>
      </c>
      <c r="N1412" s="475">
        <f t="shared" si="112"/>
        <v>94021</v>
      </c>
    </row>
    <row r="1413" spans="7:14" ht="11.25" customHeight="1" x14ac:dyDescent="0.3">
      <c r="G1413" s="470"/>
      <c r="H1413" s="470">
        <v>1406</v>
      </c>
      <c r="I1413" s="455">
        <f t="shared" ca="1" si="110"/>
        <v>86118055.723989069</v>
      </c>
      <c r="J1413" s="455">
        <f t="array" ref="J1413">IFERROR(INDEX('Retirement Calculator'!K:K,MATCH('Lorri 401b'!N1413,'Retirement Calculator'!A:A,0),0),0)</f>
        <v>0</v>
      </c>
      <c r="K1413" s="455">
        <f t="shared" ca="1" si="108"/>
        <v>358825.23218328779</v>
      </c>
      <c r="L1413" s="455">
        <f t="shared" ca="1" si="109"/>
        <v>86476880.956172362</v>
      </c>
      <c r="M1413" s="471">
        <f t="shared" si="111"/>
        <v>0.05</v>
      </c>
      <c r="N1413" s="475">
        <f t="shared" si="112"/>
        <v>94051</v>
      </c>
    </row>
    <row r="1414" spans="7:14" ht="11.25" customHeight="1" x14ac:dyDescent="0.3">
      <c r="G1414" s="470"/>
      <c r="H1414" s="470">
        <v>1407</v>
      </c>
      <c r="I1414" s="455">
        <f t="shared" ca="1" si="110"/>
        <v>86476880.956172362</v>
      </c>
      <c r="J1414" s="455">
        <f t="array" ref="J1414">IFERROR(INDEX('Retirement Calculator'!K:K,MATCH('Lorri 401b'!N1414,'Retirement Calculator'!A:A,0),0),0)</f>
        <v>0</v>
      </c>
      <c r="K1414" s="455">
        <f t="shared" ca="1" si="108"/>
        <v>360320.33731738484</v>
      </c>
      <c r="L1414" s="455">
        <f t="shared" ca="1" si="109"/>
        <v>86837201.293489754</v>
      </c>
      <c r="M1414" s="471">
        <f t="shared" si="111"/>
        <v>0.05</v>
      </c>
      <c r="N1414" s="475">
        <f t="shared" si="112"/>
        <v>94082</v>
      </c>
    </row>
    <row r="1415" spans="7:14" ht="11.25" customHeight="1" x14ac:dyDescent="0.3">
      <c r="G1415" s="470"/>
      <c r="H1415" s="470">
        <v>1408</v>
      </c>
      <c r="I1415" s="455">
        <f t="shared" ca="1" si="110"/>
        <v>86837201.293489754</v>
      </c>
      <c r="J1415" s="455">
        <f t="array" ref="J1415">IFERROR(INDEX('Retirement Calculator'!K:K,MATCH('Lorri 401b'!N1415,'Retirement Calculator'!A:A,0),0),0)</f>
        <v>0</v>
      </c>
      <c r="K1415" s="455">
        <f t="shared" ca="1" si="108"/>
        <v>361821.67205620732</v>
      </c>
      <c r="L1415" s="455">
        <f t="shared" ca="1" si="109"/>
        <v>87199022.965545967</v>
      </c>
      <c r="M1415" s="471">
        <f t="shared" si="111"/>
        <v>0.05</v>
      </c>
      <c r="N1415" s="475">
        <f t="shared" si="112"/>
        <v>94113</v>
      </c>
    </row>
    <row r="1416" spans="7:14" ht="11.25" customHeight="1" x14ac:dyDescent="0.3">
      <c r="G1416" s="470"/>
      <c r="H1416" s="470">
        <v>1409</v>
      </c>
      <c r="I1416" s="455">
        <f t="shared" ca="1" si="110"/>
        <v>87199022.965545967</v>
      </c>
      <c r="J1416" s="455">
        <f t="array" ref="J1416">IFERROR(INDEX('Retirement Calculator'!K:K,MATCH('Lorri 401b'!N1416,'Retirement Calculator'!A:A,0),0),0)</f>
        <v>0</v>
      </c>
      <c r="K1416" s="455">
        <f t="shared" ca="1" si="108"/>
        <v>363329.26235644153</v>
      </c>
      <c r="L1416" s="455">
        <f t="shared" ca="1" si="109"/>
        <v>87562352.227902412</v>
      </c>
      <c r="M1416" s="471">
        <f t="shared" si="111"/>
        <v>0.05</v>
      </c>
      <c r="N1416" s="475">
        <f t="shared" si="112"/>
        <v>94143</v>
      </c>
    </row>
    <row r="1417" spans="7:14" ht="11.25" customHeight="1" x14ac:dyDescent="0.3">
      <c r="G1417" s="470"/>
      <c r="H1417" s="470">
        <v>1410</v>
      </c>
      <c r="I1417" s="455">
        <f t="shared" ca="1" si="110"/>
        <v>87562352.227902412</v>
      </c>
      <c r="J1417" s="455">
        <f t="array" ref="J1417">IFERROR(INDEX('Retirement Calculator'!K:K,MATCH('Lorri 401b'!N1417,'Retirement Calculator'!A:A,0),0),0)</f>
        <v>0</v>
      </c>
      <c r="K1417" s="455">
        <f t="shared" ca="1" si="108"/>
        <v>364843.13428292674</v>
      </c>
      <c r="L1417" s="455">
        <f t="shared" ca="1" si="109"/>
        <v>87927195.362185344</v>
      </c>
      <c r="M1417" s="471">
        <f t="shared" si="111"/>
        <v>0.05</v>
      </c>
      <c r="N1417" s="475">
        <f t="shared" si="112"/>
        <v>94174</v>
      </c>
    </row>
    <row r="1418" spans="7:14" ht="11.25" customHeight="1" x14ac:dyDescent="0.3">
      <c r="G1418" s="470"/>
      <c r="H1418" s="470">
        <v>1411</v>
      </c>
      <c r="I1418" s="455">
        <f t="shared" ca="1" si="110"/>
        <v>87927195.362185344</v>
      </c>
      <c r="J1418" s="455">
        <f t="array" ref="J1418">IFERROR(INDEX('Retirement Calculator'!K:K,MATCH('Lorri 401b'!N1418,'Retirement Calculator'!A:A,0),0),0)</f>
        <v>0</v>
      </c>
      <c r="K1418" s="455">
        <f t="shared" ca="1" si="108"/>
        <v>366363.31400910561</v>
      </c>
      <c r="L1418" s="455">
        <f t="shared" ca="1" si="109"/>
        <v>88293558.676194444</v>
      </c>
      <c r="M1418" s="471">
        <f t="shared" si="111"/>
        <v>0.05</v>
      </c>
      <c r="N1418" s="475">
        <f t="shared" si="112"/>
        <v>94204</v>
      </c>
    </row>
    <row r="1419" spans="7:14" ht="11.25" customHeight="1" x14ac:dyDescent="0.3">
      <c r="G1419" s="470"/>
      <c r="H1419" s="470">
        <v>1412</v>
      </c>
      <c r="I1419" s="455">
        <f t="shared" ca="1" si="110"/>
        <v>88293558.676194444</v>
      </c>
      <c r="J1419" s="455">
        <f t="array" ref="J1419">IFERROR(INDEX('Retirement Calculator'!K:K,MATCH('Lorri 401b'!N1419,'Retirement Calculator'!A:A,0),0),0)</f>
        <v>0</v>
      </c>
      <c r="K1419" s="455">
        <f t="shared" ca="1" si="108"/>
        <v>367889.82781747682</v>
      </c>
      <c r="L1419" s="455">
        <f t="shared" ca="1" si="109"/>
        <v>88661448.504011914</v>
      </c>
      <c r="M1419" s="471">
        <f t="shared" si="111"/>
        <v>0.05</v>
      </c>
      <c r="N1419" s="475">
        <f t="shared" si="112"/>
        <v>94235</v>
      </c>
    </row>
    <row r="1420" spans="7:14" ht="11.25" customHeight="1" x14ac:dyDescent="0.3">
      <c r="G1420" s="470"/>
      <c r="H1420" s="470">
        <v>1413</v>
      </c>
      <c r="I1420" s="455">
        <f t="shared" ca="1" si="110"/>
        <v>88661448.504011914</v>
      </c>
      <c r="J1420" s="455">
        <f t="array" ref="J1420">IFERROR(INDEX('Retirement Calculator'!K:K,MATCH('Lorri 401b'!N1420,'Retirement Calculator'!A:A,0),0),0)</f>
        <v>0</v>
      </c>
      <c r="K1420" s="455">
        <f t="shared" ca="1" si="108"/>
        <v>369422.70210004965</v>
      </c>
      <c r="L1420" s="455">
        <f t="shared" ca="1" si="109"/>
        <v>89030871.206111968</v>
      </c>
      <c r="M1420" s="471">
        <f t="shared" si="111"/>
        <v>0.05</v>
      </c>
      <c r="N1420" s="475">
        <f t="shared" si="112"/>
        <v>94266</v>
      </c>
    </row>
    <row r="1421" spans="7:14" ht="11.25" customHeight="1" x14ac:dyDescent="0.3">
      <c r="G1421" s="470"/>
      <c r="H1421" s="470">
        <v>1414</v>
      </c>
      <c r="I1421" s="455">
        <f t="shared" ca="1" si="110"/>
        <v>89030871.206111968</v>
      </c>
      <c r="J1421" s="455">
        <f t="array" ref="J1421">IFERROR(INDEX('Retirement Calculator'!K:K,MATCH('Lorri 401b'!N1421,'Retirement Calculator'!A:A,0),0),0)</f>
        <v>0</v>
      </c>
      <c r="K1421" s="455">
        <f t="shared" ca="1" si="108"/>
        <v>370961.96335879987</v>
      </c>
      <c r="L1421" s="455">
        <f t="shared" ca="1" si="109"/>
        <v>89401833.169470772</v>
      </c>
      <c r="M1421" s="471">
        <f t="shared" si="111"/>
        <v>0.05</v>
      </c>
      <c r="N1421" s="475">
        <f t="shared" si="112"/>
        <v>94294</v>
      </c>
    </row>
    <row r="1422" spans="7:14" ht="11.25" customHeight="1" x14ac:dyDescent="0.3">
      <c r="G1422" s="470"/>
      <c r="H1422" s="470">
        <v>1415</v>
      </c>
      <c r="I1422" s="455">
        <f t="shared" ca="1" si="110"/>
        <v>89401833.169470772</v>
      </c>
      <c r="J1422" s="455">
        <f t="array" ref="J1422">IFERROR(INDEX('Retirement Calculator'!K:K,MATCH('Lorri 401b'!N1422,'Retirement Calculator'!A:A,0),0),0)</f>
        <v>0</v>
      </c>
      <c r="K1422" s="455">
        <f t="shared" ca="1" si="108"/>
        <v>372507.63820612821</v>
      </c>
      <c r="L1422" s="455">
        <f t="shared" ca="1" si="109"/>
        <v>89774340.807676896</v>
      </c>
      <c r="M1422" s="471">
        <f t="shared" si="111"/>
        <v>0.05</v>
      </c>
      <c r="N1422" s="475">
        <f t="shared" si="112"/>
        <v>94325</v>
      </c>
    </row>
    <row r="1423" spans="7:14" ht="11.25" customHeight="1" x14ac:dyDescent="0.3">
      <c r="G1423" s="470"/>
      <c r="H1423" s="470">
        <v>1416</v>
      </c>
      <c r="I1423" s="455">
        <f t="shared" ca="1" si="110"/>
        <v>89774340.807676896</v>
      </c>
      <c r="J1423" s="455">
        <f t="array" ref="J1423">IFERROR(INDEX('Retirement Calculator'!K:K,MATCH('Lorri 401b'!N1423,'Retirement Calculator'!A:A,0),0),0)</f>
        <v>0</v>
      </c>
      <c r="K1423" s="455">
        <f t="shared" ca="1" si="108"/>
        <v>374059.75336532039</v>
      </c>
      <c r="L1423" s="455">
        <f t="shared" ca="1" si="109"/>
        <v>90148400.561042219</v>
      </c>
      <c r="M1423" s="471">
        <f t="shared" si="111"/>
        <v>0.05</v>
      </c>
      <c r="N1423" s="475">
        <f t="shared" si="112"/>
        <v>94355</v>
      </c>
    </row>
    <row r="1424" spans="7:14" ht="11.25" customHeight="1" x14ac:dyDescent="0.3">
      <c r="G1424" s="470"/>
      <c r="H1424" s="470">
        <v>1417</v>
      </c>
      <c r="I1424" s="455">
        <f t="shared" ca="1" si="110"/>
        <v>90148400.561042219</v>
      </c>
      <c r="J1424" s="455">
        <f t="array" ref="J1424">IFERROR(INDEX('Retirement Calculator'!K:K,MATCH('Lorri 401b'!N1424,'Retirement Calculator'!A:A,0),0),0)</f>
        <v>0</v>
      </c>
      <c r="K1424" s="455">
        <f t="shared" ca="1" si="108"/>
        <v>375618.33567100926</v>
      </c>
      <c r="L1424" s="455">
        <f t="shared" ca="1" si="109"/>
        <v>90524018.896713227</v>
      </c>
      <c r="M1424" s="471">
        <f t="shared" si="111"/>
        <v>0.05</v>
      </c>
      <c r="N1424" s="475">
        <f t="shared" si="112"/>
        <v>94386</v>
      </c>
    </row>
    <row r="1425" spans="7:14" ht="11.25" customHeight="1" x14ac:dyDescent="0.3">
      <c r="G1425" s="470"/>
      <c r="H1425" s="470">
        <v>1418</v>
      </c>
      <c r="I1425" s="455">
        <f t="shared" ca="1" si="110"/>
        <v>90524018.896713227</v>
      </c>
      <c r="J1425" s="455">
        <f t="array" ref="J1425">IFERROR(INDEX('Retirement Calculator'!K:K,MATCH('Lorri 401b'!N1425,'Retirement Calculator'!A:A,0),0),0)</f>
        <v>0</v>
      </c>
      <c r="K1425" s="455">
        <f t="shared" ca="1" si="108"/>
        <v>377183.41206963843</v>
      </c>
      <c r="L1425" s="455">
        <f t="shared" ca="1" si="109"/>
        <v>90901202.308782861</v>
      </c>
      <c r="M1425" s="471">
        <f t="shared" si="111"/>
        <v>0.05</v>
      </c>
      <c r="N1425" s="475">
        <f t="shared" si="112"/>
        <v>94416</v>
      </c>
    </row>
    <row r="1426" spans="7:14" ht="11.25" customHeight="1" x14ac:dyDescent="0.3">
      <c r="G1426" s="470"/>
      <c r="H1426" s="470">
        <v>1419</v>
      </c>
      <c r="I1426" s="455">
        <f t="shared" ca="1" si="110"/>
        <v>90901202.308782861</v>
      </c>
      <c r="J1426" s="455">
        <f t="array" ref="J1426">IFERROR(INDEX('Retirement Calculator'!K:K,MATCH('Lorri 401b'!N1426,'Retirement Calculator'!A:A,0),0),0)</f>
        <v>0</v>
      </c>
      <c r="K1426" s="455">
        <f t="shared" ca="1" si="108"/>
        <v>378755.00961992861</v>
      </c>
      <c r="L1426" s="455">
        <f t="shared" ca="1" si="109"/>
        <v>91279957.318402782</v>
      </c>
      <c r="M1426" s="471">
        <f t="shared" si="111"/>
        <v>0.05</v>
      </c>
      <c r="N1426" s="475">
        <f t="shared" si="112"/>
        <v>94447</v>
      </c>
    </row>
    <row r="1427" spans="7:14" ht="11.25" customHeight="1" x14ac:dyDescent="0.3">
      <c r="G1427" s="470"/>
      <c r="H1427" s="470">
        <v>1420</v>
      </c>
      <c r="I1427" s="455">
        <f t="shared" ca="1" si="110"/>
        <v>91279957.318402782</v>
      </c>
      <c r="J1427" s="455">
        <f t="array" ref="J1427">IFERROR(INDEX('Retirement Calculator'!K:K,MATCH('Lorri 401b'!N1427,'Retirement Calculator'!A:A,0),0),0)</f>
        <v>0</v>
      </c>
      <c r="K1427" s="455">
        <f t="shared" ca="1" si="108"/>
        <v>380333.15549334494</v>
      </c>
      <c r="L1427" s="455">
        <f t="shared" ca="1" si="109"/>
        <v>91660290.473896131</v>
      </c>
      <c r="M1427" s="471">
        <f t="shared" si="111"/>
        <v>0.05</v>
      </c>
      <c r="N1427" s="475">
        <f t="shared" si="112"/>
        <v>94478</v>
      </c>
    </row>
    <row r="1428" spans="7:14" ht="11.25" customHeight="1" x14ac:dyDescent="0.3">
      <c r="G1428" s="470"/>
      <c r="H1428" s="470">
        <v>1421</v>
      </c>
      <c r="I1428" s="455">
        <f t="shared" ca="1" si="110"/>
        <v>91660290.473896131</v>
      </c>
      <c r="J1428" s="455">
        <f t="array" ref="J1428">IFERROR(INDEX('Retirement Calculator'!K:K,MATCH('Lorri 401b'!N1428,'Retirement Calculator'!A:A,0),0),0)</f>
        <v>0</v>
      </c>
      <c r="K1428" s="455">
        <f t="shared" ca="1" si="108"/>
        <v>381917.87697456719</v>
      </c>
      <c r="L1428" s="455">
        <f t="shared" ca="1" si="109"/>
        <v>92042208.350870699</v>
      </c>
      <c r="M1428" s="471">
        <f t="shared" si="111"/>
        <v>0.05</v>
      </c>
      <c r="N1428" s="475">
        <f t="shared" si="112"/>
        <v>94508</v>
      </c>
    </row>
    <row r="1429" spans="7:14" ht="11.25" customHeight="1" x14ac:dyDescent="0.3">
      <c r="G1429" s="470"/>
      <c r="H1429" s="470">
        <v>1422</v>
      </c>
      <c r="I1429" s="455">
        <f t="shared" ca="1" si="110"/>
        <v>92042208.350870699</v>
      </c>
      <c r="J1429" s="455">
        <f t="array" ref="J1429">IFERROR(INDEX('Retirement Calculator'!K:K,MATCH('Lorri 401b'!N1429,'Retirement Calculator'!A:A,0),0),0)</f>
        <v>0</v>
      </c>
      <c r="K1429" s="455">
        <f t="shared" ca="1" si="108"/>
        <v>383509.20146196126</v>
      </c>
      <c r="L1429" s="455">
        <f t="shared" ca="1" si="109"/>
        <v>92425717.552332655</v>
      </c>
      <c r="M1429" s="471">
        <f t="shared" si="111"/>
        <v>0.05</v>
      </c>
      <c r="N1429" s="475">
        <f t="shared" si="112"/>
        <v>94539</v>
      </c>
    </row>
    <row r="1430" spans="7:14" ht="11.25" customHeight="1" x14ac:dyDescent="0.3">
      <c r="G1430" s="470"/>
      <c r="H1430" s="470">
        <v>1423</v>
      </c>
      <c r="I1430" s="455">
        <f t="shared" ca="1" si="110"/>
        <v>92425717.552332655</v>
      </c>
      <c r="J1430" s="455">
        <f t="array" ref="J1430">IFERROR(INDEX('Retirement Calculator'!K:K,MATCH('Lorri 401b'!N1430,'Retirement Calculator'!A:A,0),0),0)</f>
        <v>0</v>
      </c>
      <c r="K1430" s="455">
        <f t="shared" ca="1" si="108"/>
        <v>385107.15646805271</v>
      </c>
      <c r="L1430" s="455">
        <f t="shared" ca="1" si="109"/>
        <v>92810824.708800703</v>
      </c>
      <c r="M1430" s="471">
        <f t="shared" si="111"/>
        <v>0.05</v>
      </c>
      <c r="N1430" s="475">
        <f t="shared" si="112"/>
        <v>94569</v>
      </c>
    </row>
    <row r="1431" spans="7:14" ht="11.25" customHeight="1" x14ac:dyDescent="0.3">
      <c r="G1431" s="470"/>
      <c r="H1431" s="470">
        <v>1424</v>
      </c>
      <c r="I1431" s="455">
        <f t="shared" ca="1" si="110"/>
        <v>92810824.708800703</v>
      </c>
      <c r="J1431" s="455">
        <f t="array" ref="J1431">IFERROR(INDEX('Retirement Calculator'!K:K,MATCH('Lorri 401b'!N1431,'Retirement Calculator'!A:A,0),0),0)</f>
        <v>0</v>
      </c>
      <c r="K1431" s="455">
        <f t="shared" ca="1" si="108"/>
        <v>386711.76962000295</v>
      </c>
      <c r="L1431" s="455">
        <f t="shared" ca="1" si="109"/>
        <v>93197536.478420705</v>
      </c>
      <c r="M1431" s="471">
        <f t="shared" si="111"/>
        <v>0.05</v>
      </c>
      <c r="N1431" s="475">
        <f t="shared" si="112"/>
        <v>94600</v>
      </c>
    </row>
    <row r="1432" spans="7:14" ht="11.25" customHeight="1" x14ac:dyDescent="0.3">
      <c r="G1432" s="470"/>
      <c r="H1432" s="470">
        <v>1425</v>
      </c>
      <c r="I1432" s="455">
        <f t="shared" ca="1" si="110"/>
        <v>93197536.478420705</v>
      </c>
      <c r="J1432" s="455">
        <f t="array" ref="J1432">IFERROR(INDEX('Retirement Calculator'!K:K,MATCH('Lorri 401b'!N1432,'Retirement Calculator'!A:A,0),0),0)</f>
        <v>0</v>
      </c>
      <c r="K1432" s="455">
        <f t="shared" ca="1" si="108"/>
        <v>388323.06866008625</v>
      </c>
      <c r="L1432" s="455">
        <f t="shared" ca="1" si="109"/>
        <v>93585859.547080785</v>
      </c>
      <c r="M1432" s="471">
        <f t="shared" si="111"/>
        <v>0.05</v>
      </c>
      <c r="N1432" s="475">
        <f t="shared" si="112"/>
        <v>94631</v>
      </c>
    </row>
    <row r="1433" spans="7:14" ht="11.25" customHeight="1" x14ac:dyDescent="0.3">
      <c r="G1433" s="470"/>
      <c r="H1433" s="470">
        <v>1426</v>
      </c>
      <c r="I1433" s="455">
        <f t="shared" ca="1" si="110"/>
        <v>93585859.547080785</v>
      </c>
      <c r="J1433" s="455">
        <f t="array" ref="J1433">IFERROR(INDEX('Retirement Calculator'!K:K,MATCH('Lorri 401b'!N1433,'Retirement Calculator'!A:A,0),0),0)</f>
        <v>0</v>
      </c>
      <c r="K1433" s="455">
        <f t="shared" ca="1" si="108"/>
        <v>389941.08144616993</v>
      </c>
      <c r="L1433" s="455">
        <f t="shared" ca="1" si="109"/>
        <v>93975800.628526956</v>
      </c>
      <c r="M1433" s="471">
        <f t="shared" si="111"/>
        <v>0.05</v>
      </c>
      <c r="N1433" s="475">
        <f t="shared" si="112"/>
        <v>94659</v>
      </c>
    </row>
    <row r="1434" spans="7:14" ht="11.25" customHeight="1" x14ac:dyDescent="0.3">
      <c r="G1434" s="470"/>
      <c r="H1434" s="470">
        <v>1427</v>
      </c>
      <c r="I1434" s="455">
        <f t="shared" ca="1" si="110"/>
        <v>93975800.628526956</v>
      </c>
      <c r="J1434" s="455">
        <f t="array" ref="J1434">IFERROR(INDEX('Retirement Calculator'!K:K,MATCH('Lorri 401b'!N1434,'Retirement Calculator'!A:A,0),0),0)</f>
        <v>0</v>
      </c>
      <c r="K1434" s="455">
        <f t="shared" ca="1" si="108"/>
        <v>391565.83595219563</v>
      </c>
      <c r="L1434" s="455">
        <f t="shared" ca="1" si="109"/>
        <v>94367366.464479148</v>
      </c>
      <c r="M1434" s="471">
        <f t="shared" si="111"/>
        <v>0.05</v>
      </c>
      <c r="N1434" s="475">
        <f t="shared" si="112"/>
        <v>94690</v>
      </c>
    </row>
    <row r="1435" spans="7:14" ht="11.25" customHeight="1" x14ac:dyDescent="0.3">
      <c r="G1435" s="470"/>
      <c r="H1435" s="470">
        <v>1428</v>
      </c>
      <c r="I1435" s="455">
        <f t="shared" ca="1" si="110"/>
        <v>94367366.464479148</v>
      </c>
      <c r="J1435" s="455">
        <f t="array" ref="J1435">IFERROR(INDEX('Retirement Calculator'!K:K,MATCH('Lorri 401b'!N1435,'Retirement Calculator'!A:A,0),0),0)</f>
        <v>0</v>
      </c>
      <c r="K1435" s="455">
        <f t="shared" ca="1" si="108"/>
        <v>393197.36026866309</v>
      </c>
      <c r="L1435" s="455">
        <f t="shared" ca="1" si="109"/>
        <v>94760563.824747816</v>
      </c>
      <c r="M1435" s="471">
        <f t="shared" si="111"/>
        <v>0.05</v>
      </c>
      <c r="N1435" s="475">
        <f t="shared" si="112"/>
        <v>94720</v>
      </c>
    </row>
    <row r="1436" spans="7:14" ht="11.25" customHeight="1" x14ac:dyDescent="0.3">
      <c r="G1436" s="470"/>
      <c r="H1436" s="470">
        <v>1429</v>
      </c>
      <c r="I1436" s="455">
        <f t="shared" ca="1" si="110"/>
        <v>94760563.824747816</v>
      </c>
      <c r="J1436" s="455">
        <f t="array" ref="J1436">IFERROR(INDEX('Retirement Calculator'!K:K,MATCH('Lorri 401b'!N1436,'Retirement Calculator'!A:A,0),0),0)</f>
        <v>0</v>
      </c>
      <c r="K1436" s="455">
        <f t="shared" ca="1" si="108"/>
        <v>394835.68260311591</v>
      </c>
      <c r="L1436" s="455">
        <f t="shared" ca="1" si="109"/>
        <v>95155399.507350937</v>
      </c>
      <c r="M1436" s="471">
        <f t="shared" si="111"/>
        <v>0.05</v>
      </c>
      <c r="N1436" s="475">
        <f t="shared" si="112"/>
        <v>94751</v>
      </c>
    </row>
    <row r="1437" spans="7:14" ht="11.25" customHeight="1" x14ac:dyDescent="0.3">
      <c r="G1437" s="470"/>
      <c r="H1437" s="470">
        <v>1430</v>
      </c>
      <c r="I1437" s="455">
        <f t="shared" ca="1" si="110"/>
        <v>95155399.507350937</v>
      </c>
      <c r="J1437" s="455">
        <f t="array" ref="J1437">IFERROR(INDEX('Retirement Calculator'!K:K,MATCH('Lorri 401b'!N1437,'Retirement Calculator'!A:A,0),0),0)</f>
        <v>0</v>
      </c>
      <c r="K1437" s="455">
        <f t="shared" ca="1" si="108"/>
        <v>396480.83128062892</v>
      </c>
      <c r="L1437" s="455">
        <f t="shared" ca="1" si="109"/>
        <v>95551880.33863157</v>
      </c>
      <c r="M1437" s="471">
        <f t="shared" si="111"/>
        <v>0.05</v>
      </c>
      <c r="N1437" s="475">
        <f t="shared" si="112"/>
        <v>94781</v>
      </c>
    </row>
    <row r="1438" spans="7:14" ht="11.25" customHeight="1" x14ac:dyDescent="0.3">
      <c r="G1438" s="470"/>
      <c r="H1438" s="470">
        <v>1431</v>
      </c>
      <c r="I1438" s="455">
        <f t="shared" ca="1" si="110"/>
        <v>95551880.33863157</v>
      </c>
      <c r="J1438" s="455">
        <f t="array" ref="J1438">IFERROR(INDEX('Retirement Calculator'!K:K,MATCH('Lorri 401b'!N1438,'Retirement Calculator'!A:A,0),0),0)</f>
        <v>0</v>
      </c>
      <c r="K1438" s="455">
        <f t="shared" ca="1" si="108"/>
        <v>398132.83474429819</v>
      </c>
      <c r="L1438" s="455">
        <f t="shared" ca="1" si="109"/>
        <v>95950013.173375875</v>
      </c>
      <c r="M1438" s="471">
        <f t="shared" si="111"/>
        <v>0.05</v>
      </c>
      <c r="N1438" s="475">
        <f t="shared" si="112"/>
        <v>94812</v>
      </c>
    </row>
    <row r="1439" spans="7:14" ht="11.25" customHeight="1" x14ac:dyDescent="0.3">
      <c r="G1439" s="470"/>
      <c r="H1439" s="470">
        <v>1432</v>
      </c>
      <c r="I1439" s="455">
        <f t="shared" ca="1" si="110"/>
        <v>95950013.173375875</v>
      </c>
      <c r="J1439" s="455">
        <f t="array" ref="J1439">IFERROR(INDEX('Retirement Calculator'!K:K,MATCH('Lorri 401b'!N1439,'Retirement Calculator'!A:A,0),0),0)</f>
        <v>0</v>
      </c>
      <c r="K1439" s="455">
        <f t="shared" ca="1" si="108"/>
        <v>399791.72155573283</v>
      </c>
      <c r="L1439" s="455">
        <f t="shared" ca="1" si="109"/>
        <v>96349804.894931614</v>
      </c>
      <c r="M1439" s="471">
        <f t="shared" si="111"/>
        <v>0.05</v>
      </c>
      <c r="N1439" s="475">
        <f t="shared" si="112"/>
        <v>94843</v>
      </c>
    </row>
    <row r="1440" spans="7:14" ht="11.25" customHeight="1" x14ac:dyDescent="0.3">
      <c r="G1440" s="470"/>
      <c r="H1440" s="470">
        <v>1433</v>
      </c>
      <c r="I1440" s="455">
        <f t="shared" ca="1" si="110"/>
        <v>96349804.894931614</v>
      </c>
      <c r="J1440" s="455">
        <f t="array" ref="J1440">IFERROR(INDEX('Retirement Calculator'!K:K,MATCH('Lorri 401b'!N1440,'Retirement Calculator'!A:A,0),0),0)</f>
        <v>0</v>
      </c>
      <c r="K1440" s="455">
        <f t="shared" ca="1" si="108"/>
        <v>401457.52039554837</v>
      </c>
      <c r="L1440" s="455">
        <f t="shared" ca="1" si="109"/>
        <v>96751262.415327162</v>
      </c>
      <c r="M1440" s="471">
        <f t="shared" si="111"/>
        <v>0.05</v>
      </c>
      <c r="N1440" s="475">
        <f t="shared" si="112"/>
        <v>94873</v>
      </c>
    </row>
    <row r="1441" spans="7:14" ht="11.25" customHeight="1" x14ac:dyDescent="0.3">
      <c r="G1441" s="470"/>
      <c r="H1441" s="470">
        <v>1434</v>
      </c>
      <c r="I1441" s="455">
        <f t="shared" ca="1" si="110"/>
        <v>96751262.415327162</v>
      </c>
      <c r="J1441" s="455">
        <f t="array" ref="J1441">IFERROR(INDEX('Retirement Calculator'!K:K,MATCH('Lorri 401b'!N1441,'Retirement Calculator'!A:A,0),0),0)</f>
        <v>0</v>
      </c>
      <c r="K1441" s="455">
        <f t="shared" ca="1" si="108"/>
        <v>403130.26006386318</v>
      </c>
      <c r="L1441" s="455">
        <f t="shared" ca="1" si="109"/>
        <v>97154392.675391018</v>
      </c>
      <c r="M1441" s="471">
        <f t="shared" si="111"/>
        <v>0.05</v>
      </c>
      <c r="N1441" s="475">
        <f t="shared" si="112"/>
        <v>94904</v>
      </c>
    </row>
    <row r="1442" spans="7:14" ht="11.25" customHeight="1" x14ac:dyDescent="0.3">
      <c r="G1442" s="470"/>
      <c r="H1442" s="470">
        <v>1435</v>
      </c>
      <c r="I1442" s="455">
        <f t="shared" ca="1" si="110"/>
        <v>97154392.675391018</v>
      </c>
      <c r="J1442" s="455">
        <f t="array" ref="J1442">IFERROR(INDEX('Retirement Calculator'!K:K,MATCH('Lorri 401b'!N1442,'Retirement Calculator'!A:A,0),0),0)</f>
        <v>0</v>
      </c>
      <c r="K1442" s="455">
        <f t="shared" ca="1" si="108"/>
        <v>404809.9694807959</v>
      </c>
      <c r="L1442" s="455">
        <f t="shared" ca="1" si="109"/>
        <v>97559202.644871816</v>
      </c>
      <c r="M1442" s="471">
        <f t="shared" si="111"/>
        <v>0.05</v>
      </c>
      <c r="N1442" s="475">
        <f t="shared" si="112"/>
        <v>94934</v>
      </c>
    </row>
    <row r="1443" spans="7:14" ht="11.25" customHeight="1" x14ac:dyDescent="0.3">
      <c r="G1443" s="470"/>
      <c r="H1443" s="470">
        <v>1436</v>
      </c>
      <c r="I1443" s="455">
        <f t="shared" ca="1" si="110"/>
        <v>97559202.644871816</v>
      </c>
      <c r="J1443" s="455">
        <f t="array" ref="J1443">IFERROR(INDEX('Retirement Calculator'!K:K,MATCH('Lorri 401b'!N1443,'Retirement Calculator'!A:A,0),0),0)</f>
        <v>0</v>
      </c>
      <c r="K1443" s="455">
        <f t="shared" ca="1" si="108"/>
        <v>406496.67768696591</v>
      </c>
      <c r="L1443" s="455">
        <f t="shared" ca="1" si="109"/>
        <v>97965699.322558776</v>
      </c>
      <c r="M1443" s="471">
        <f t="shared" si="111"/>
        <v>0.05</v>
      </c>
      <c r="N1443" s="475">
        <f t="shared" si="112"/>
        <v>94965</v>
      </c>
    </row>
    <row r="1444" spans="7:14" ht="11.25" customHeight="1" x14ac:dyDescent="0.3">
      <c r="G1444" s="470"/>
      <c r="H1444" s="470">
        <v>1437</v>
      </c>
      <c r="I1444" s="455">
        <f t="shared" ca="1" si="110"/>
        <v>97965699.322558776</v>
      </c>
      <c r="J1444" s="455">
        <f t="array" ref="J1444">IFERROR(INDEX('Retirement Calculator'!K:K,MATCH('Lorri 401b'!N1444,'Retirement Calculator'!A:A,0),0),0)</f>
        <v>0</v>
      </c>
      <c r="K1444" s="455">
        <f t="shared" ca="1" si="108"/>
        <v>408190.4138439949</v>
      </c>
      <c r="L1444" s="455">
        <f t="shared" ca="1" si="109"/>
        <v>98373889.736402765</v>
      </c>
      <c r="M1444" s="471">
        <f t="shared" si="111"/>
        <v>0.05</v>
      </c>
      <c r="N1444" s="475">
        <f t="shared" si="112"/>
        <v>94996</v>
      </c>
    </row>
    <row r="1445" spans="7:14" ht="11.25" customHeight="1" x14ac:dyDescent="0.3">
      <c r="G1445" s="470"/>
      <c r="H1445" s="470">
        <v>1438</v>
      </c>
      <c r="I1445" s="455">
        <f t="shared" ca="1" si="110"/>
        <v>98373889.736402765</v>
      </c>
      <c r="J1445" s="455">
        <f t="array" ref="J1445">IFERROR(INDEX('Retirement Calculator'!K:K,MATCH('Lorri 401b'!N1445,'Retirement Calculator'!A:A,0),0),0)</f>
        <v>0</v>
      </c>
      <c r="K1445" s="455">
        <f t="shared" ca="1" si="108"/>
        <v>409891.2072350115</v>
      </c>
      <c r="L1445" s="455">
        <f t="shared" ca="1" si="109"/>
        <v>98783780.943637773</v>
      </c>
      <c r="M1445" s="471">
        <f t="shared" si="111"/>
        <v>0.05</v>
      </c>
      <c r="N1445" s="475">
        <f t="shared" si="112"/>
        <v>95025</v>
      </c>
    </row>
    <row r="1446" spans="7:14" ht="11.25" customHeight="1" x14ac:dyDescent="0.3">
      <c r="G1446" s="470"/>
      <c r="H1446" s="470">
        <v>1439</v>
      </c>
      <c r="I1446" s="455">
        <f t="shared" ca="1" si="110"/>
        <v>98783780.943637773</v>
      </c>
      <c r="J1446" s="455">
        <f t="array" ref="J1446">IFERROR(INDEX('Retirement Calculator'!K:K,MATCH('Lorri 401b'!N1446,'Retirement Calculator'!A:A,0),0),0)</f>
        <v>0</v>
      </c>
      <c r="K1446" s="455">
        <f t="shared" ca="1" si="108"/>
        <v>411599.08726515737</v>
      </c>
      <c r="L1446" s="455">
        <f t="shared" ca="1" si="109"/>
        <v>99195380.030902937</v>
      </c>
      <c r="M1446" s="471">
        <f t="shared" si="111"/>
        <v>0.05</v>
      </c>
      <c r="N1446" s="475">
        <f t="shared" si="112"/>
        <v>95056</v>
      </c>
    </row>
    <row r="1447" spans="7:14" ht="11.25" customHeight="1" x14ac:dyDescent="0.3">
      <c r="G1447" s="470"/>
      <c r="H1447" s="470">
        <v>1440</v>
      </c>
      <c r="I1447" s="455">
        <f t="shared" ca="1" si="110"/>
        <v>99195380.030902937</v>
      </c>
      <c r="J1447" s="455">
        <f t="array" ref="J1447">IFERROR(INDEX('Retirement Calculator'!K:K,MATCH('Lorri 401b'!N1447,'Retirement Calculator'!A:A,0),0),0)</f>
        <v>0</v>
      </c>
      <c r="K1447" s="455">
        <f t="shared" ca="1" si="108"/>
        <v>413314.08346209559</v>
      </c>
      <c r="L1447" s="455">
        <f t="shared" ca="1" si="109"/>
        <v>99608694.114365026</v>
      </c>
      <c r="M1447" s="471">
        <f t="shared" si="111"/>
        <v>0.05</v>
      </c>
      <c r="N1447" s="475">
        <f t="shared" si="112"/>
        <v>95086</v>
      </c>
    </row>
    <row r="1448" spans="7:14" ht="11.25" customHeight="1" x14ac:dyDescent="0.3">
      <c r="G1448" s="470"/>
      <c r="H1448" s="470">
        <v>1441</v>
      </c>
      <c r="I1448" s="455">
        <f t="shared" ca="1" si="110"/>
        <v>99608694.114365026</v>
      </c>
      <c r="J1448" s="455">
        <f t="array" ref="J1448">IFERROR(INDEX('Retirement Calculator'!K:K,MATCH('Lorri 401b'!N1448,'Retirement Calculator'!A:A,0),0),0)</f>
        <v>0</v>
      </c>
      <c r="K1448" s="455">
        <f t="shared" ca="1" si="108"/>
        <v>415036.22547652095</v>
      </c>
      <c r="L1448" s="455">
        <f t="shared" ca="1" si="109"/>
        <v>100023730.33984154</v>
      </c>
      <c r="M1448" s="471">
        <f t="shared" si="111"/>
        <v>0.05</v>
      </c>
      <c r="N1448" s="475">
        <f t="shared" si="112"/>
        <v>95117</v>
      </c>
    </row>
    <row r="1449" spans="7:14" ht="11.25" customHeight="1" x14ac:dyDescent="0.3">
      <c r="G1449" s="470"/>
      <c r="H1449" s="470">
        <v>1442</v>
      </c>
      <c r="I1449" s="455">
        <f t="shared" ca="1" si="110"/>
        <v>100023730.33984154</v>
      </c>
      <c r="J1449" s="455">
        <f t="array" ref="J1449">IFERROR(INDEX('Retirement Calculator'!K:K,MATCH('Lorri 401b'!N1449,'Retirement Calculator'!A:A,0),0),0)</f>
        <v>0</v>
      </c>
      <c r="K1449" s="455">
        <f t="shared" ca="1" si="108"/>
        <v>416765.5430826731</v>
      </c>
      <c r="L1449" s="455">
        <f t="shared" ca="1" si="109"/>
        <v>100440495.88292421</v>
      </c>
      <c r="M1449" s="471">
        <f t="shared" si="111"/>
        <v>0.05</v>
      </c>
      <c r="N1449" s="475">
        <f t="shared" si="112"/>
        <v>95147</v>
      </c>
    </row>
    <row r="1450" spans="7:14" ht="11.25" customHeight="1" x14ac:dyDescent="0.3">
      <c r="G1450" s="470"/>
      <c r="H1450" s="470">
        <v>1443</v>
      </c>
      <c r="I1450" s="455">
        <f t="shared" ca="1" si="110"/>
        <v>100440495.88292421</v>
      </c>
      <c r="J1450" s="455">
        <f t="array" ref="J1450">IFERROR(INDEX('Retirement Calculator'!K:K,MATCH('Lorri 401b'!N1450,'Retirement Calculator'!A:A,0),0),0)</f>
        <v>0</v>
      </c>
      <c r="K1450" s="455">
        <f t="shared" ca="1" si="108"/>
        <v>418502.06617885089</v>
      </c>
      <c r="L1450" s="455">
        <f t="shared" ca="1" si="109"/>
        <v>100858997.94910307</v>
      </c>
      <c r="M1450" s="471">
        <f t="shared" si="111"/>
        <v>0.05</v>
      </c>
      <c r="N1450" s="475">
        <f t="shared" si="112"/>
        <v>95178</v>
      </c>
    </row>
    <row r="1451" spans="7:14" ht="11.25" customHeight="1" x14ac:dyDescent="0.3">
      <c r="G1451" s="470"/>
      <c r="H1451" s="470">
        <v>1444</v>
      </c>
      <c r="I1451" s="455">
        <f t="shared" ca="1" si="110"/>
        <v>100858997.94910307</v>
      </c>
      <c r="J1451" s="455">
        <f t="array" ref="J1451">IFERROR(INDEX('Retirement Calculator'!K:K,MATCH('Lorri 401b'!N1451,'Retirement Calculator'!A:A,0),0),0)</f>
        <v>0</v>
      </c>
      <c r="K1451" s="455">
        <f t="shared" ca="1" si="108"/>
        <v>420245.82478792948</v>
      </c>
      <c r="L1451" s="455">
        <f t="shared" ca="1" si="109"/>
        <v>101279243.773891</v>
      </c>
      <c r="M1451" s="471">
        <f t="shared" si="111"/>
        <v>0.05</v>
      </c>
      <c r="N1451" s="475">
        <f t="shared" si="112"/>
        <v>95209</v>
      </c>
    </row>
    <row r="1452" spans="7:14" ht="11.25" customHeight="1" x14ac:dyDescent="0.3">
      <c r="G1452" s="470"/>
      <c r="H1452" s="470">
        <v>1445</v>
      </c>
      <c r="I1452" s="455">
        <f t="shared" ca="1" si="110"/>
        <v>101279243.773891</v>
      </c>
      <c r="J1452" s="455">
        <f t="array" ref="J1452">IFERROR(INDEX('Retirement Calculator'!K:K,MATCH('Lorri 401b'!N1452,'Retirement Calculator'!A:A,0),0),0)</f>
        <v>0</v>
      </c>
      <c r="K1452" s="455">
        <f t="shared" ca="1" si="108"/>
        <v>421996.84905787918</v>
      </c>
      <c r="L1452" s="455">
        <f t="shared" ca="1" si="109"/>
        <v>101701240.62294888</v>
      </c>
      <c r="M1452" s="471">
        <f t="shared" si="111"/>
        <v>0.05</v>
      </c>
      <c r="N1452" s="475">
        <f t="shared" si="112"/>
        <v>95239</v>
      </c>
    </row>
    <row r="1453" spans="7:14" ht="11.25" customHeight="1" x14ac:dyDescent="0.3">
      <c r="G1453" s="470"/>
      <c r="H1453" s="470">
        <v>1446</v>
      </c>
      <c r="I1453" s="455">
        <f t="shared" ca="1" si="110"/>
        <v>101701240.62294888</v>
      </c>
      <c r="J1453" s="455">
        <f t="array" ref="J1453">IFERROR(INDEX('Retirement Calculator'!K:K,MATCH('Lorri 401b'!N1453,'Retirement Calculator'!A:A,0),0),0)</f>
        <v>0</v>
      </c>
      <c r="K1453" s="455">
        <f t="shared" ca="1" si="108"/>
        <v>423755.16926228703</v>
      </c>
      <c r="L1453" s="455">
        <f t="shared" ca="1" si="109"/>
        <v>102124995.79221117</v>
      </c>
      <c r="M1453" s="471">
        <f t="shared" si="111"/>
        <v>0.05</v>
      </c>
      <c r="N1453" s="475">
        <f t="shared" si="112"/>
        <v>95270</v>
      </c>
    </row>
    <row r="1454" spans="7:14" ht="11.25" customHeight="1" x14ac:dyDescent="0.3">
      <c r="G1454" s="470"/>
      <c r="H1454" s="470">
        <v>1447</v>
      </c>
      <c r="I1454" s="455">
        <f t="shared" ca="1" si="110"/>
        <v>102124995.79221117</v>
      </c>
      <c r="J1454" s="455">
        <f t="array" ref="J1454">IFERROR(INDEX('Retirement Calculator'!K:K,MATCH('Lorri 401b'!N1454,'Retirement Calculator'!A:A,0),0),0)</f>
        <v>0</v>
      </c>
      <c r="K1454" s="455">
        <f t="shared" ca="1" si="108"/>
        <v>425520.81580087991</v>
      </c>
      <c r="L1454" s="455">
        <f t="shared" ca="1" si="109"/>
        <v>102550516.60801205</v>
      </c>
      <c r="M1454" s="471">
        <f t="shared" si="111"/>
        <v>0.05</v>
      </c>
      <c r="N1454" s="475">
        <f t="shared" si="112"/>
        <v>95300</v>
      </c>
    </row>
    <row r="1455" spans="7:14" ht="11.25" customHeight="1" x14ac:dyDescent="0.3">
      <c r="G1455" s="470"/>
      <c r="H1455" s="470">
        <v>1448</v>
      </c>
      <c r="I1455" s="455">
        <f t="shared" ca="1" si="110"/>
        <v>102550516.60801205</v>
      </c>
      <c r="J1455" s="455">
        <f t="array" ref="J1455">IFERROR(INDEX('Retirement Calculator'!K:K,MATCH('Lorri 401b'!N1455,'Retirement Calculator'!A:A,0),0),0)</f>
        <v>0</v>
      </c>
      <c r="K1455" s="455">
        <f t="shared" ca="1" si="108"/>
        <v>427293.8192000502</v>
      </c>
      <c r="L1455" s="455">
        <f t="shared" ca="1" si="109"/>
        <v>102977810.4272121</v>
      </c>
      <c r="M1455" s="471">
        <f t="shared" si="111"/>
        <v>0.05</v>
      </c>
      <c r="N1455" s="475">
        <f t="shared" si="112"/>
        <v>95331</v>
      </c>
    </row>
    <row r="1456" spans="7:14" ht="11.25" customHeight="1" x14ac:dyDescent="0.3">
      <c r="G1456" s="470"/>
      <c r="H1456" s="470">
        <v>1449</v>
      </c>
      <c r="I1456" s="455">
        <f t="shared" ca="1" si="110"/>
        <v>102977810.4272121</v>
      </c>
      <c r="J1456" s="455">
        <f t="array" ref="J1456">IFERROR(INDEX('Retirement Calculator'!K:K,MATCH('Lorri 401b'!N1456,'Retirement Calculator'!A:A,0),0),0)</f>
        <v>0</v>
      </c>
      <c r="K1456" s="455">
        <f t="shared" ca="1" si="108"/>
        <v>429074.21011338377</v>
      </c>
      <c r="L1456" s="455">
        <f t="shared" ca="1" si="109"/>
        <v>103406884.63732548</v>
      </c>
      <c r="M1456" s="471">
        <f t="shared" si="111"/>
        <v>0.05</v>
      </c>
      <c r="N1456" s="475">
        <f t="shared" si="112"/>
        <v>95362</v>
      </c>
    </row>
    <row r="1457" spans="7:14" ht="11.25" customHeight="1" x14ac:dyDescent="0.3">
      <c r="G1457" s="470"/>
      <c r="H1457" s="470">
        <v>1450</v>
      </c>
      <c r="I1457" s="455">
        <f t="shared" ca="1" si="110"/>
        <v>103406884.63732548</v>
      </c>
      <c r="J1457" s="455">
        <f t="array" ref="J1457">IFERROR(INDEX('Retirement Calculator'!K:K,MATCH('Lorri 401b'!N1457,'Retirement Calculator'!A:A,0),0),0)</f>
        <v>0</v>
      </c>
      <c r="K1457" s="455">
        <f t="shared" ca="1" si="108"/>
        <v>430862.0193221895</v>
      </c>
      <c r="L1457" s="455">
        <f t="shared" ca="1" si="109"/>
        <v>103837746.65664767</v>
      </c>
      <c r="M1457" s="471">
        <f t="shared" si="111"/>
        <v>0.05</v>
      </c>
      <c r="N1457" s="475">
        <f t="shared" si="112"/>
        <v>95390</v>
      </c>
    </row>
    <row r="1458" spans="7:14" ht="11.25" customHeight="1" x14ac:dyDescent="0.3">
      <c r="G1458" s="470"/>
      <c r="H1458" s="470">
        <v>1451</v>
      </c>
      <c r="I1458" s="455">
        <f t="shared" ca="1" si="110"/>
        <v>103837746.65664767</v>
      </c>
      <c r="J1458" s="455">
        <f t="array" ref="J1458">IFERROR(INDEX('Retirement Calculator'!K:K,MATCH('Lorri 401b'!N1458,'Retirement Calculator'!A:A,0),0),0)</f>
        <v>0</v>
      </c>
      <c r="K1458" s="455">
        <f t="shared" ca="1" si="108"/>
        <v>432657.27773603192</v>
      </c>
      <c r="L1458" s="455">
        <f t="shared" ca="1" si="109"/>
        <v>104270403.93438371</v>
      </c>
      <c r="M1458" s="471">
        <f t="shared" si="111"/>
        <v>0.05</v>
      </c>
      <c r="N1458" s="475">
        <f t="shared" si="112"/>
        <v>95421</v>
      </c>
    </row>
    <row r="1459" spans="7:14" ht="11.25" customHeight="1" x14ac:dyDescent="0.3">
      <c r="G1459" s="470"/>
      <c r="H1459" s="470">
        <v>1452</v>
      </c>
      <c r="I1459" s="455">
        <f t="shared" ca="1" si="110"/>
        <v>104270403.93438371</v>
      </c>
      <c r="J1459" s="455">
        <f t="array" ref="J1459">IFERROR(INDEX('Retirement Calculator'!K:K,MATCH('Lorri 401b'!N1459,'Retirement Calculator'!A:A,0),0),0)</f>
        <v>0</v>
      </c>
      <c r="K1459" s="455">
        <f t="shared" ca="1" si="108"/>
        <v>434460.01639326545</v>
      </c>
      <c r="L1459" s="455">
        <f t="shared" ca="1" si="109"/>
        <v>104704863.95077696</v>
      </c>
      <c r="M1459" s="471">
        <f t="shared" si="111"/>
        <v>0.05</v>
      </c>
      <c r="N1459" s="475">
        <f t="shared" si="112"/>
        <v>95451</v>
      </c>
    </row>
    <row r="1460" spans="7:14" ht="11.25" customHeight="1" x14ac:dyDescent="0.3">
      <c r="G1460" s="470"/>
      <c r="H1460" s="470">
        <v>1453</v>
      </c>
      <c r="I1460" s="455">
        <f t="shared" ca="1" si="110"/>
        <v>104704863.95077696</v>
      </c>
      <c r="J1460" s="455">
        <f t="array" ref="J1460">IFERROR(INDEX('Retirement Calculator'!K:K,MATCH('Lorri 401b'!N1460,'Retirement Calculator'!A:A,0),0),0)</f>
        <v>0</v>
      </c>
      <c r="K1460" s="455">
        <f t="shared" ca="1" si="108"/>
        <v>436270.26646157063</v>
      </c>
      <c r="L1460" s="455">
        <f t="shared" ca="1" si="109"/>
        <v>105141134.21723853</v>
      </c>
      <c r="M1460" s="471">
        <f t="shared" si="111"/>
        <v>0.05</v>
      </c>
      <c r="N1460" s="475">
        <f t="shared" si="112"/>
        <v>95482</v>
      </c>
    </row>
    <row r="1461" spans="7:14" ht="11.25" customHeight="1" x14ac:dyDescent="0.3">
      <c r="G1461" s="470"/>
      <c r="H1461" s="470">
        <v>1454</v>
      </c>
      <c r="I1461" s="455">
        <f t="shared" ca="1" si="110"/>
        <v>105141134.21723853</v>
      </c>
      <c r="J1461" s="455">
        <f t="array" ref="J1461">IFERROR(INDEX('Retirement Calculator'!K:K,MATCH('Lorri 401b'!N1461,'Retirement Calculator'!A:A,0),0),0)</f>
        <v>0</v>
      </c>
      <c r="K1461" s="455">
        <f t="shared" ca="1" si="108"/>
        <v>438088.05923849379</v>
      </c>
      <c r="L1461" s="455">
        <f t="shared" ca="1" si="109"/>
        <v>105579222.27647702</v>
      </c>
      <c r="M1461" s="471">
        <f t="shared" si="111"/>
        <v>0.05</v>
      </c>
      <c r="N1461" s="475">
        <f t="shared" si="112"/>
        <v>95512</v>
      </c>
    </row>
    <row r="1462" spans="7:14" ht="11.25" customHeight="1" x14ac:dyDescent="0.3">
      <c r="G1462" s="470"/>
      <c r="H1462" s="470">
        <v>1455</v>
      </c>
      <c r="I1462" s="455">
        <f t="shared" ca="1" si="110"/>
        <v>105579222.27647702</v>
      </c>
      <c r="J1462" s="455">
        <f t="array" ref="J1462">IFERROR(INDEX('Retirement Calculator'!K:K,MATCH('Lorri 401b'!N1462,'Retirement Calculator'!A:A,0),0),0)</f>
        <v>0</v>
      </c>
      <c r="K1462" s="455">
        <f t="shared" ca="1" si="108"/>
        <v>439913.42615198757</v>
      </c>
      <c r="L1462" s="455">
        <f t="shared" ca="1" si="109"/>
        <v>106019135.70262901</v>
      </c>
      <c r="M1462" s="471">
        <f t="shared" si="111"/>
        <v>0.05</v>
      </c>
      <c r="N1462" s="475">
        <f t="shared" si="112"/>
        <v>95543</v>
      </c>
    </row>
    <row r="1463" spans="7:14" ht="11.25" customHeight="1" x14ac:dyDescent="0.3">
      <c r="G1463" s="470"/>
      <c r="H1463" s="470">
        <v>1456</v>
      </c>
      <c r="I1463" s="455">
        <f t="shared" ca="1" si="110"/>
        <v>106019135.70262901</v>
      </c>
      <c r="J1463" s="455">
        <f t="array" ref="J1463">IFERROR(INDEX('Retirement Calculator'!K:K,MATCH('Lorri 401b'!N1463,'Retirement Calculator'!A:A,0),0),0)</f>
        <v>0</v>
      </c>
      <c r="K1463" s="455">
        <f t="shared" ca="1" si="108"/>
        <v>441746.39876095427</v>
      </c>
      <c r="L1463" s="455">
        <f t="shared" ca="1" si="109"/>
        <v>106460882.10138997</v>
      </c>
      <c r="M1463" s="471">
        <f t="shared" si="111"/>
        <v>0.05</v>
      </c>
      <c r="N1463" s="475">
        <f t="shared" si="112"/>
        <v>95574</v>
      </c>
    </row>
    <row r="1464" spans="7:14" ht="11.25" customHeight="1" x14ac:dyDescent="0.3">
      <c r="G1464" s="470"/>
      <c r="H1464" s="470">
        <v>1457</v>
      </c>
      <c r="I1464" s="455">
        <f t="shared" ca="1" si="110"/>
        <v>106460882.10138997</v>
      </c>
      <c r="J1464" s="455">
        <f t="array" ref="J1464">IFERROR(INDEX('Retirement Calculator'!K:K,MATCH('Lorri 401b'!N1464,'Retirement Calculator'!A:A,0),0),0)</f>
        <v>0</v>
      </c>
      <c r="K1464" s="455">
        <f t="shared" ca="1" si="108"/>
        <v>443587.00875579152</v>
      </c>
      <c r="L1464" s="455">
        <f t="shared" ca="1" si="109"/>
        <v>106904469.11014576</v>
      </c>
      <c r="M1464" s="471">
        <f t="shared" si="111"/>
        <v>0.05</v>
      </c>
      <c r="N1464" s="475">
        <f t="shared" si="112"/>
        <v>95604</v>
      </c>
    </row>
    <row r="1465" spans="7:14" ht="11.25" customHeight="1" x14ac:dyDescent="0.3">
      <c r="G1465" s="470"/>
      <c r="H1465" s="470">
        <v>1458</v>
      </c>
      <c r="I1465" s="455">
        <f t="shared" ca="1" si="110"/>
        <v>106904469.11014576</v>
      </c>
      <c r="J1465" s="455">
        <f t="array" ref="J1465">IFERROR(INDEX('Retirement Calculator'!K:K,MATCH('Lorri 401b'!N1465,'Retirement Calculator'!A:A,0),0),0)</f>
        <v>0</v>
      </c>
      <c r="K1465" s="455">
        <f t="shared" ca="1" si="108"/>
        <v>445435.28795894067</v>
      </c>
      <c r="L1465" s="455">
        <f t="shared" ca="1" si="109"/>
        <v>107349904.3981047</v>
      </c>
      <c r="M1465" s="471">
        <f t="shared" si="111"/>
        <v>0.05</v>
      </c>
      <c r="N1465" s="475">
        <f t="shared" si="112"/>
        <v>95635</v>
      </c>
    </row>
    <row r="1466" spans="7:14" ht="11.25" customHeight="1" x14ac:dyDescent="0.3">
      <c r="G1466" s="470"/>
      <c r="H1466" s="470">
        <v>1459</v>
      </c>
      <c r="I1466" s="455">
        <f t="shared" ca="1" si="110"/>
        <v>107349904.3981047</v>
      </c>
      <c r="J1466" s="455">
        <f t="array" ref="J1466">IFERROR(INDEX('Retirement Calculator'!K:K,MATCH('Lorri 401b'!N1466,'Retirement Calculator'!A:A,0),0),0)</f>
        <v>0</v>
      </c>
      <c r="K1466" s="455">
        <f t="shared" ca="1" si="108"/>
        <v>447291.26832543628</v>
      </c>
      <c r="L1466" s="455">
        <f t="shared" ca="1" si="109"/>
        <v>107797195.66643013</v>
      </c>
      <c r="M1466" s="471">
        <f t="shared" si="111"/>
        <v>0.05</v>
      </c>
      <c r="N1466" s="475">
        <f t="shared" si="112"/>
        <v>95665</v>
      </c>
    </row>
    <row r="1467" spans="7:14" ht="11.25" customHeight="1" x14ac:dyDescent="0.3">
      <c r="G1467" s="470"/>
      <c r="H1467" s="470">
        <v>1460</v>
      </c>
      <c r="I1467" s="455">
        <f t="shared" ca="1" si="110"/>
        <v>107797195.66643013</v>
      </c>
      <c r="J1467" s="455">
        <f t="array" ref="J1467">IFERROR(INDEX('Retirement Calculator'!K:K,MATCH('Lorri 401b'!N1467,'Retirement Calculator'!A:A,0),0),0)</f>
        <v>0</v>
      </c>
      <c r="K1467" s="455">
        <f t="shared" ca="1" si="108"/>
        <v>449154.98194345884</v>
      </c>
      <c r="L1467" s="455">
        <f t="shared" ca="1" si="109"/>
        <v>108246350.64837359</v>
      </c>
      <c r="M1467" s="471">
        <f t="shared" si="111"/>
        <v>0.05</v>
      </c>
      <c r="N1467" s="475">
        <f t="shared" si="112"/>
        <v>95696</v>
      </c>
    </row>
    <row r="1468" spans="7:14" ht="11.25" customHeight="1" x14ac:dyDescent="0.3">
      <c r="G1468" s="470"/>
      <c r="H1468" s="470">
        <v>1461</v>
      </c>
      <c r="I1468" s="455">
        <f t="shared" ca="1" si="110"/>
        <v>108246350.64837359</v>
      </c>
      <c r="J1468" s="455">
        <f t="array" ref="J1468">IFERROR(INDEX('Retirement Calculator'!K:K,MATCH('Lorri 401b'!N1468,'Retirement Calculator'!A:A,0),0),0)</f>
        <v>0</v>
      </c>
      <c r="K1468" s="455">
        <f t="shared" ca="1" si="108"/>
        <v>451026.46103488997</v>
      </c>
      <c r="L1468" s="455">
        <f t="shared" ca="1" si="109"/>
        <v>108697377.10940848</v>
      </c>
      <c r="M1468" s="471">
        <f t="shared" si="111"/>
        <v>0.05</v>
      </c>
      <c r="N1468" s="475">
        <f t="shared" si="112"/>
        <v>95727</v>
      </c>
    </row>
    <row r="1469" spans="7:14" ht="11.25" customHeight="1" x14ac:dyDescent="0.3">
      <c r="G1469" s="470"/>
      <c r="H1469" s="470">
        <v>1462</v>
      </c>
      <c r="I1469" s="455">
        <f t="shared" ca="1" si="110"/>
        <v>108697377.10940848</v>
      </c>
      <c r="J1469" s="455">
        <f t="array" ref="J1469">IFERROR(INDEX('Retirement Calculator'!K:K,MATCH('Lorri 401b'!N1469,'Retirement Calculator'!A:A,0),0),0)</f>
        <v>0</v>
      </c>
      <c r="K1469" s="455">
        <f t="shared" ca="1" si="108"/>
        <v>452905.73795586865</v>
      </c>
      <c r="L1469" s="455">
        <f t="shared" ca="1" si="109"/>
        <v>109150282.84736435</v>
      </c>
      <c r="M1469" s="471">
        <f t="shared" si="111"/>
        <v>0.05</v>
      </c>
      <c r="N1469" s="475">
        <f t="shared" si="112"/>
        <v>95755</v>
      </c>
    </row>
    <row r="1470" spans="7:14" ht="11.25" customHeight="1" x14ac:dyDescent="0.3">
      <c r="G1470" s="470"/>
      <c r="H1470" s="470">
        <v>1463</v>
      </c>
      <c r="I1470" s="455">
        <f t="shared" ca="1" si="110"/>
        <v>109150282.84736435</v>
      </c>
      <c r="J1470" s="455">
        <f t="array" ref="J1470">IFERROR(INDEX('Retirement Calculator'!K:K,MATCH('Lorri 401b'!N1470,'Retirement Calculator'!A:A,0),0),0)</f>
        <v>0</v>
      </c>
      <c r="K1470" s="455">
        <f t="shared" ca="1" si="108"/>
        <v>454792.84519735147</v>
      </c>
      <c r="L1470" s="455">
        <f t="shared" ca="1" si="109"/>
        <v>109605075.6925617</v>
      </c>
      <c r="M1470" s="471">
        <f t="shared" si="111"/>
        <v>0.05</v>
      </c>
      <c r="N1470" s="475">
        <f t="shared" si="112"/>
        <v>95786</v>
      </c>
    </row>
    <row r="1471" spans="7:14" ht="11.25" customHeight="1" x14ac:dyDescent="0.3">
      <c r="G1471" s="470"/>
      <c r="H1471" s="470">
        <v>1464</v>
      </c>
      <c r="I1471" s="455">
        <f t="shared" ca="1" si="110"/>
        <v>109605075.6925617</v>
      </c>
      <c r="J1471" s="455">
        <f t="array" ref="J1471">IFERROR(INDEX('Retirement Calculator'!K:K,MATCH('Lorri 401b'!N1471,'Retirement Calculator'!A:A,0),0),0)</f>
        <v>0</v>
      </c>
      <c r="K1471" s="455">
        <f t="shared" ca="1" si="108"/>
        <v>456687.81538567372</v>
      </c>
      <c r="L1471" s="455">
        <f t="shared" ca="1" si="109"/>
        <v>110061763.50794737</v>
      </c>
      <c r="M1471" s="471">
        <f t="shared" si="111"/>
        <v>0.05</v>
      </c>
      <c r="N1471" s="475">
        <f t="shared" si="112"/>
        <v>95816</v>
      </c>
    </row>
    <row r="1472" spans="7:14" ht="11.25" customHeight="1" x14ac:dyDescent="0.3">
      <c r="G1472" s="470"/>
      <c r="H1472" s="470">
        <v>1465</v>
      </c>
      <c r="I1472" s="455">
        <f t="shared" ca="1" si="110"/>
        <v>110061763.50794737</v>
      </c>
      <c r="J1472" s="455">
        <f t="array" ref="J1472">IFERROR(INDEX('Retirement Calculator'!K:K,MATCH('Lorri 401b'!N1472,'Retirement Calculator'!A:A,0),0),0)</f>
        <v>0</v>
      </c>
      <c r="K1472" s="455">
        <f t="shared" ca="1" si="108"/>
        <v>458590.68128311401</v>
      </c>
      <c r="L1472" s="455">
        <f t="shared" ca="1" si="109"/>
        <v>110520354.18923049</v>
      </c>
      <c r="M1472" s="471">
        <f t="shared" si="111"/>
        <v>0.05</v>
      </c>
      <c r="N1472" s="475">
        <f t="shared" si="112"/>
        <v>95847</v>
      </c>
    </row>
    <row r="1473" spans="7:14" ht="11.25" customHeight="1" x14ac:dyDescent="0.3">
      <c r="G1473" s="470"/>
      <c r="H1473" s="470">
        <v>1466</v>
      </c>
      <c r="I1473" s="455">
        <f t="shared" ca="1" si="110"/>
        <v>110520354.18923049</v>
      </c>
      <c r="J1473" s="455">
        <f t="array" ref="J1473">IFERROR(INDEX('Retirement Calculator'!K:K,MATCH('Lorri 401b'!N1473,'Retirement Calculator'!A:A,0),0),0)</f>
        <v>0</v>
      </c>
      <c r="K1473" s="455">
        <f t="shared" ca="1" si="108"/>
        <v>460501.47578846029</v>
      </c>
      <c r="L1473" s="455">
        <f t="shared" ca="1" si="109"/>
        <v>110980855.66501895</v>
      </c>
      <c r="M1473" s="471">
        <f t="shared" si="111"/>
        <v>0.05</v>
      </c>
      <c r="N1473" s="475">
        <f t="shared" si="112"/>
        <v>95877</v>
      </c>
    </row>
    <row r="1474" spans="7:14" ht="11.25" customHeight="1" x14ac:dyDescent="0.3">
      <c r="G1474" s="470"/>
      <c r="H1474" s="470">
        <v>1467</v>
      </c>
      <c r="I1474" s="455">
        <f t="shared" ca="1" si="110"/>
        <v>110980855.66501895</v>
      </c>
      <c r="J1474" s="455">
        <f t="array" ref="J1474">IFERROR(INDEX('Retirement Calculator'!K:K,MATCH('Lorri 401b'!N1474,'Retirement Calculator'!A:A,0),0),0)</f>
        <v>0</v>
      </c>
      <c r="K1474" s="455">
        <f t="shared" ca="1" si="108"/>
        <v>462420.23193757888</v>
      </c>
      <c r="L1474" s="455">
        <f t="shared" ca="1" si="109"/>
        <v>111443275.89695652</v>
      </c>
      <c r="M1474" s="471">
        <f t="shared" si="111"/>
        <v>0.05</v>
      </c>
      <c r="N1474" s="475">
        <f t="shared" si="112"/>
        <v>95908</v>
      </c>
    </row>
    <row r="1475" spans="7:14" ht="11.25" customHeight="1" x14ac:dyDescent="0.3">
      <c r="G1475" s="470"/>
      <c r="H1475" s="470">
        <v>1468</v>
      </c>
      <c r="I1475" s="455">
        <f t="shared" ca="1" si="110"/>
        <v>111443275.89695652</v>
      </c>
      <c r="J1475" s="455">
        <f t="array" ref="J1475">IFERROR(INDEX('Retirement Calculator'!K:K,MATCH('Lorri 401b'!N1475,'Retirement Calculator'!A:A,0),0),0)</f>
        <v>0</v>
      </c>
      <c r="K1475" s="455">
        <f t="shared" ca="1" si="108"/>
        <v>464346.98290398548</v>
      </c>
      <c r="L1475" s="455">
        <f t="shared" ca="1" si="109"/>
        <v>111907622.87986051</v>
      </c>
      <c r="M1475" s="471">
        <f t="shared" si="111"/>
        <v>0.05</v>
      </c>
      <c r="N1475" s="475">
        <f t="shared" si="112"/>
        <v>95939</v>
      </c>
    </row>
    <row r="1476" spans="7:14" ht="11.25" customHeight="1" x14ac:dyDescent="0.3">
      <c r="G1476" s="470"/>
      <c r="H1476" s="470">
        <v>1469</v>
      </c>
      <c r="I1476" s="455">
        <f t="shared" ca="1" si="110"/>
        <v>111907622.87986051</v>
      </c>
      <c r="J1476" s="455">
        <f t="array" ref="J1476">IFERROR(INDEX('Retirement Calculator'!K:K,MATCH('Lorri 401b'!N1476,'Retirement Calculator'!A:A,0),0),0)</f>
        <v>0</v>
      </c>
      <c r="K1476" s="455">
        <f t="shared" ca="1" si="108"/>
        <v>466281.76199941878</v>
      </c>
      <c r="L1476" s="455">
        <f t="shared" ca="1" si="109"/>
        <v>112373904.64185992</v>
      </c>
      <c r="M1476" s="471">
        <f t="shared" si="111"/>
        <v>0.05</v>
      </c>
      <c r="N1476" s="475">
        <f t="shared" si="112"/>
        <v>95969</v>
      </c>
    </row>
    <row r="1477" spans="7:14" ht="11.25" customHeight="1" x14ac:dyDescent="0.3">
      <c r="G1477" s="470"/>
      <c r="H1477" s="470">
        <v>1470</v>
      </c>
      <c r="I1477" s="455">
        <f t="shared" ca="1" si="110"/>
        <v>112373904.64185992</v>
      </c>
      <c r="J1477" s="455">
        <f t="array" ref="J1477">IFERROR(INDEX('Retirement Calculator'!K:K,MATCH('Lorri 401b'!N1477,'Retirement Calculator'!A:A,0),0),0)</f>
        <v>0</v>
      </c>
      <c r="K1477" s="455">
        <f t="shared" ca="1" si="108"/>
        <v>468224.60267441632</v>
      </c>
      <c r="L1477" s="455">
        <f t="shared" ca="1" si="109"/>
        <v>112842129.24453433</v>
      </c>
      <c r="M1477" s="471">
        <f t="shared" si="111"/>
        <v>0.05</v>
      </c>
      <c r="N1477" s="475">
        <f t="shared" si="112"/>
        <v>96000</v>
      </c>
    </row>
    <row r="1478" spans="7:14" ht="11.25" customHeight="1" x14ac:dyDescent="0.3">
      <c r="G1478" s="470"/>
      <c r="H1478" s="470">
        <v>1471</v>
      </c>
      <c r="I1478" s="455">
        <f t="shared" ca="1" si="110"/>
        <v>112842129.24453433</v>
      </c>
      <c r="J1478" s="455">
        <f t="array" ref="J1478">IFERROR(INDEX('Retirement Calculator'!K:K,MATCH('Lorri 401b'!N1478,'Retirement Calculator'!A:A,0),0),0)</f>
        <v>0</v>
      </c>
      <c r="K1478" s="455">
        <f t="shared" ca="1" si="108"/>
        <v>470175.53851889301</v>
      </c>
      <c r="L1478" s="455">
        <f t="shared" ca="1" si="109"/>
        <v>113312304.78305322</v>
      </c>
      <c r="M1478" s="471">
        <f t="shared" si="111"/>
        <v>0.05</v>
      </c>
      <c r="N1478" s="475">
        <f t="shared" si="112"/>
        <v>96030</v>
      </c>
    </row>
    <row r="1479" spans="7:14" ht="11.25" customHeight="1" x14ac:dyDescent="0.3">
      <c r="G1479" s="470"/>
      <c r="H1479" s="470">
        <v>1472</v>
      </c>
      <c r="I1479" s="455">
        <f t="shared" ca="1" si="110"/>
        <v>113312304.78305322</v>
      </c>
      <c r="J1479" s="455">
        <f t="array" ref="J1479">IFERROR(INDEX('Retirement Calculator'!K:K,MATCH('Lorri 401b'!N1479,'Retirement Calculator'!A:A,0),0),0)</f>
        <v>0</v>
      </c>
      <c r="K1479" s="455">
        <f t="shared" ca="1" si="108"/>
        <v>472134.60326272174</v>
      </c>
      <c r="L1479" s="455">
        <f t="shared" ca="1" si="109"/>
        <v>113784439.38631594</v>
      </c>
      <c r="M1479" s="471">
        <f t="shared" si="111"/>
        <v>0.05</v>
      </c>
      <c r="N1479" s="475">
        <f t="shared" si="112"/>
        <v>96061</v>
      </c>
    </row>
    <row r="1480" spans="7:14" ht="11.25" customHeight="1" x14ac:dyDescent="0.3">
      <c r="G1480" s="470"/>
      <c r="H1480" s="470">
        <v>1473</v>
      </c>
      <c r="I1480" s="455">
        <f t="shared" ca="1" si="110"/>
        <v>113784439.38631594</v>
      </c>
      <c r="J1480" s="455">
        <f t="array" ref="J1480">IFERROR(INDEX('Retirement Calculator'!K:K,MATCH('Lorri 401b'!N1480,'Retirement Calculator'!A:A,0),0),0)</f>
        <v>0</v>
      </c>
      <c r="K1480" s="455">
        <f t="shared" ca="1" si="108"/>
        <v>474101.83077631635</v>
      </c>
      <c r="L1480" s="455">
        <f t="shared" ca="1" si="109"/>
        <v>114258541.21709226</v>
      </c>
      <c r="M1480" s="471">
        <f t="shared" si="111"/>
        <v>0.05</v>
      </c>
      <c r="N1480" s="475">
        <f t="shared" si="112"/>
        <v>96092</v>
      </c>
    </row>
    <row r="1481" spans="7:14" ht="11.25" customHeight="1" x14ac:dyDescent="0.3">
      <c r="G1481" s="470"/>
      <c r="H1481" s="470">
        <v>1474</v>
      </c>
      <c r="I1481" s="455">
        <f t="shared" ca="1" si="110"/>
        <v>114258541.21709226</v>
      </c>
      <c r="J1481" s="455">
        <f t="array" ref="J1481">IFERROR(INDEX('Retirement Calculator'!K:K,MATCH('Lorri 401b'!N1481,'Retirement Calculator'!A:A,0),0),0)</f>
        <v>0</v>
      </c>
      <c r="K1481" s="455">
        <f t="shared" ca="1" si="108"/>
        <v>476077.25507121766</v>
      </c>
      <c r="L1481" s="455">
        <f t="shared" ca="1" si="109"/>
        <v>114734618.47216348</v>
      </c>
      <c r="M1481" s="471">
        <f t="shared" si="111"/>
        <v>0.05</v>
      </c>
      <c r="N1481" s="475">
        <f t="shared" si="112"/>
        <v>96120</v>
      </c>
    </row>
    <row r="1482" spans="7:14" ht="11.25" customHeight="1" x14ac:dyDescent="0.3">
      <c r="G1482" s="470"/>
      <c r="H1482" s="470">
        <v>1475</v>
      </c>
      <c r="I1482" s="455">
        <f t="shared" ca="1" si="110"/>
        <v>114734618.47216348</v>
      </c>
      <c r="J1482" s="455">
        <f t="array" ref="J1482">IFERROR(INDEX('Retirement Calculator'!K:K,MATCH('Lorri 401b'!N1482,'Retirement Calculator'!A:A,0),0),0)</f>
        <v>0</v>
      </c>
      <c r="K1482" s="455">
        <f t="shared" ca="1" si="108"/>
        <v>478060.91030068119</v>
      </c>
      <c r="L1482" s="455">
        <f t="shared" ca="1" si="109"/>
        <v>115212679.38246417</v>
      </c>
      <c r="M1482" s="471">
        <f t="shared" si="111"/>
        <v>0.05</v>
      </c>
      <c r="N1482" s="475">
        <f t="shared" si="112"/>
        <v>96151</v>
      </c>
    </row>
    <row r="1483" spans="7:14" ht="11.25" customHeight="1" x14ac:dyDescent="0.3">
      <c r="G1483" s="470"/>
      <c r="H1483" s="470">
        <v>1476</v>
      </c>
      <c r="I1483" s="455">
        <f t="shared" ca="1" si="110"/>
        <v>115212679.38246417</v>
      </c>
      <c r="J1483" s="455">
        <f t="array" ref="J1483">IFERROR(INDEX('Retirement Calculator'!K:K,MATCH('Lorri 401b'!N1483,'Retirement Calculator'!A:A,0),0),0)</f>
        <v>0</v>
      </c>
      <c r="K1483" s="455">
        <f t="shared" ca="1" si="108"/>
        <v>480052.83076026739</v>
      </c>
      <c r="L1483" s="455">
        <f t="shared" ca="1" si="109"/>
        <v>115692732.21322444</v>
      </c>
      <c r="M1483" s="471">
        <f t="shared" si="111"/>
        <v>0.05</v>
      </c>
      <c r="N1483" s="475">
        <f t="shared" si="112"/>
        <v>96181</v>
      </c>
    </row>
    <row r="1484" spans="7:14" ht="11.25" customHeight="1" x14ac:dyDescent="0.3">
      <c r="G1484" s="470"/>
      <c r="H1484" s="470">
        <v>1477</v>
      </c>
      <c r="I1484" s="455">
        <f t="shared" ca="1" si="110"/>
        <v>115692732.21322444</v>
      </c>
      <c r="J1484" s="455">
        <f t="array" ref="J1484">IFERROR(INDEX('Retirement Calculator'!K:K,MATCH('Lorri 401b'!N1484,'Retirement Calculator'!A:A,0),0),0)</f>
        <v>0</v>
      </c>
      <c r="K1484" s="455">
        <f t="shared" ca="1" si="108"/>
        <v>482053.05088843516</v>
      </c>
      <c r="L1484" s="455">
        <f t="shared" ca="1" si="109"/>
        <v>116174785.26411287</v>
      </c>
      <c r="M1484" s="471">
        <f t="shared" si="111"/>
        <v>0.05</v>
      </c>
      <c r="N1484" s="475">
        <f t="shared" si="112"/>
        <v>96212</v>
      </c>
    </row>
    <row r="1485" spans="7:14" ht="11.25" customHeight="1" x14ac:dyDescent="0.3">
      <c r="G1485" s="470"/>
      <c r="H1485" s="470">
        <v>1478</v>
      </c>
      <c r="I1485" s="455">
        <f t="shared" ca="1" si="110"/>
        <v>116174785.26411287</v>
      </c>
      <c r="J1485" s="455">
        <f t="array" ref="J1485">IFERROR(INDEX('Retirement Calculator'!K:K,MATCH('Lorri 401b'!N1485,'Retirement Calculator'!A:A,0),0),0)</f>
        <v>0</v>
      </c>
      <c r="K1485" s="455">
        <f t="shared" ca="1" si="108"/>
        <v>484061.605267137</v>
      </c>
      <c r="L1485" s="455">
        <f t="shared" ca="1" si="109"/>
        <v>116658846.86938001</v>
      </c>
      <c r="M1485" s="471">
        <f t="shared" si="111"/>
        <v>0.05</v>
      </c>
      <c r="N1485" s="475">
        <f t="shared" si="112"/>
        <v>96242</v>
      </c>
    </row>
    <row r="1486" spans="7:14" ht="11.25" customHeight="1" x14ac:dyDescent="0.3">
      <c r="G1486" s="470"/>
      <c r="H1486" s="470">
        <v>1479</v>
      </c>
      <c r="I1486" s="455">
        <f t="shared" ca="1" si="110"/>
        <v>116658846.86938001</v>
      </c>
      <c r="J1486" s="455">
        <f t="array" ref="J1486">IFERROR(INDEX('Retirement Calculator'!K:K,MATCH('Lorri 401b'!N1486,'Retirement Calculator'!A:A,0),0),0)</f>
        <v>0</v>
      </c>
      <c r="K1486" s="455">
        <f t="shared" ca="1" si="108"/>
        <v>486078.52862241666</v>
      </c>
      <c r="L1486" s="455">
        <f t="shared" ca="1" si="109"/>
        <v>117144925.39800243</v>
      </c>
      <c r="M1486" s="471">
        <f t="shared" si="111"/>
        <v>0.05</v>
      </c>
      <c r="N1486" s="475">
        <f t="shared" si="112"/>
        <v>96273</v>
      </c>
    </row>
    <row r="1487" spans="7:14" ht="11.25" customHeight="1" x14ac:dyDescent="0.3">
      <c r="G1487" s="470"/>
      <c r="H1487" s="470">
        <v>1480</v>
      </c>
      <c r="I1487" s="455">
        <f t="shared" ca="1" si="110"/>
        <v>117144925.39800243</v>
      </c>
      <c r="J1487" s="455">
        <f t="array" ref="J1487">IFERROR(INDEX('Retirement Calculator'!K:K,MATCH('Lorri 401b'!N1487,'Retirement Calculator'!A:A,0),0),0)</f>
        <v>0</v>
      </c>
      <c r="K1487" s="455">
        <f t="shared" ca="1" si="108"/>
        <v>488103.85582501011</v>
      </c>
      <c r="L1487" s="455">
        <f t="shared" ca="1" si="109"/>
        <v>117633029.25382744</v>
      </c>
      <c r="M1487" s="471">
        <f t="shared" si="111"/>
        <v>0.05</v>
      </c>
      <c r="N1487" s="475">
        <f t="shared" si="112"/>
        <v>96304</v>
      </c>
    </row>
    <row r="1488" spans="7:14" ht="11.25" customHeight="1" x14ac:dyDescent="0.3">
      <c r="G1488" s="470"/>
      <c r="H1488" s="470">
        <v>1481</v>
      </c>
      <c r="I1488" s="455">
        <f t="shared" ca="1" si="110"/>
        <v>117633029.25382744</v>
      </c>
      <c r="J1488" s="455">
        <f t="array" ref="J1488">IFERROR(INDEX('Retirement Calculator'!K:K,MATCH('Lorri 401b'!N1488,'Retirement Calculator'!A:A,0),0),0)</f>
        <v>0</v>
      </c>
      <c r="K1488" s="455">
        <f t="shared" ca="1" si="108"/>
        <v>490137.62189094763</v>
      </c>
      <c r="L1488" s="455">
        <f t="shared" ca="1" si="109"/>
        <v>118123166.87571838</v>
      </c>
      <c r="M1488" s="471">
        <f t="shared" si="111"/>
        <v>0.05</v>
      </c>
      <c r="N1488" s="475">
        <f t="shared" si="112"/>
        <v>96334</v>
      </c>
    </row>
    <row r="1489" spans="7:14" ht="11.25" customHeight="1" x14ac:dyDescent="0.3">
      <c r="G1489" s="470"/>
      <c r="H1489" s="470">
        <v>1482</v>
      </c>
      <c r="I1489" s="455">
        <f t="shared" ca="1" si="110"/>
        <v>118123166.87571838</v>
      </c>
      <c r="J1489" s="455">
        <f t="array" ref="J1489">IFERROR(INDEX('Retirement Calculator'!K:K,MATCH('Lorri 401b'!N1489,'Retirement Calculator'!A:A,0),0),0)</f>
        <v>0</v>
      </c>
      <c r="K1489" s="455">
        <f t="shared" ca="1" si="108"/>
        <v>492179.86198215996</v>
      </c>
      <c r="L1489" s="455">
        <f t="shared" ca="1" si="109"/>
        <v>118615346.73770055</v>
      </c>
      <c r="M1489" s="471">
        <f t="shared" si="111"/>
        <v>0.05</v>
      </c>
      <c r="N1489" s="475">
        <f t="shared" si="112"/>
        <v>96365</v>
      </c>
    </row>
    <row r="1490" spans="7:14" ht="11.25" customHeight="1" x14ac:dyDescent="0.3">
      <c r="G1490" s="470"/>
      <c r="H1490" s="470">
        <v>1483</v>
      </c>
      <c r="I1490" s="455">
        <f t="shared" ca="1" si="110"/>
        <v>118615346.73770055</v>
      </c>
      <c r="J1490" s="455">
        <f t="array" ref="J1490">IFERROR(INDEX('Retirement Calculator'!K:K,MATCH('Lorri 401b'!N1490,'Retirement Calculator'!A:A,0),0),0)</f>
        <v>0</v>
      </c>
      <c r="K1490" s="455">
        <f t="shared" ca="1" si="108"/>
        <v>494230.61140708555</v>
      </c>
      <c r="L1490" s="455">
        <f t="shared" ca="1" si="109"/>
        <v>119109577.34910764</v>
      </c>
      <c r="M1490" s="471">
        <f t="shared" si="111"/>
        <v>0.05</v>
      </c>
      <c r="N1490" s="475">
        <f t="shared" si="112"/>
        <v>96395</v>
      </c>
    </row>
    <row r="1491" spans="7:14" ht="11.25" customHeight="1" x14ac:dyDescent="0.3">
      <c r="G1491" s="470"/>
      <c r="H1491" s="470">
        <v>1484</v>
      </c>
      <c r="I1491" s="455">
        <f t="shared" ca="1" si="110"/>
        <v>119109577.34910764</v>
      </c>
      <c r="J1491" s="455">
        <f t="array" ref="J1491">IFERROR(INDEX('Retirement Calculator'!K:K,MATCH('Lorri 401b'!N1491,'Retirement Calculator'!A:A,0),0),0)</f>
        <v>0</v>
      </c>
      <c r="K1491" s="455">
        <f t="shared" ca="1" si="108"/>
        <v>496289.90562128183</v>
      </c>
      <c r="L1491" s="455">
        <f t="shared" ca="1" si="109"/>
        <v>119605867.25472891</v>
      </c>
      <c r="M1491" s="471">
        <f t="shared" si="111"/>
        <v>0.05</v>
      </c>
      <c r="N1491" s="475">
        <f t="shared" si="112"/>
        <v>96426</v>
      </c>
    </row>
    <row r="1492" spans="7:14" ht="11.25" customHeight="1" x14ac:dyDescent="0.3">
      <c r="G1492" s="470"/>
      <c r="H1492" s="470">
        <v>1485</v>
      </c>
      <c r="I1492" s="455">
        <f t="shared" ca="1" si="110"/>
        <v>119605867.25472891</v>
      </c>
      <c r="J1492" s="455">
        <f t="array" ref="J1492">IFERROR(INDEX('Retirement Calculator'!K:K,MATCH('Lorri 401b'!N1492,'Retirement Calculator'!A:A,0),0),0)</f>
        <v>0</v>
      </c>
      <c r="K1492" s="455">
        <f t="shared" ca="1" si="108"/>
        <v>498357.7802280371</v>
      </c>
      <c r="L1492" s="455">
        <f t="shared" ca="1" si="109"/>
        <v>120104225.03495695</v>
      </c>
      <c r="M1492" s="471">
        <f t="shared" si="111"/>
        <v>0.05</v>
      </c>
      <c r="N1492" s="475">
        <f t="shared" si="112"/>
        <v>96457</v>
      </c>
    </row>
    <row r="1493" spans="7:14" ht="11.25" customHeight="1" x14ac:dyDescent="0.3">
      <c r="G1493" s="470"/>
      <c r="H1493" s="470">
        <v>1486</v>
      </c>
      <c r="I1493" s="455">
        <f t="shared" ca="1" si="110"/>
        <v>120104225.03495695</v>
      </c>
      <c r="J1493" s="455">
        <f t="array" ref="J1493">IFERROR(INDEX('Retirement Calculator'!K:K,MATCH('Lorri 401b'!N1493,'Retirement Calculator'!A:A,0),0),0)</f>
        <v>0</v>
      </c>
      <c r="K1493" s="455">
        <f t="shared" ca="1" si="108"/>
        <v>500434.27097898728</v>
      </c>
      <c r="L1493" s="455">
        <f t="shared" ca="1" si="109"/>
        <v>120604659.30593593</v>
      </c>
      <c r="M1493" s="471">
        <f t="shared" si="111"/>
        <v>0.05</v>
      </c>
      <c r="N1493" s="475">
        <f t="shared" si="112"/>
        <v>96486</v>
      </c>
    </row>
    <row r="1494" spans="7:14" ht="11.25" customHeight="1" x14ac:dyDescent="0.3">
      <c r="G1494" s="470"/>
      <c r="H1494" s="470">
        <v>1487</v>
      </c>
      <c r="I1494" s="455">
        <f t="shared" ca="1" si="110"/>
        <v>120604659.30593593</v>
      </c>
      <c r="J1494" s="455">
        <f t="array" ref="J1494">IFERROR(INDEX('Retirement Calculator'!K:K,MATCH('Lorri 401b'!N1494,'Retirement Calculator'!A:A,0),0),0)</f>
        <v>0</v>
      </c>
      <c r="K1494" s="455">
        <f t="shared" ca="1" si="108"/>
        <v>502519.41377473314</v>
      </c>
      <c r="L1494" s="455">
        <f t="shared" ca="1" si="109"/>
        <v>121107178.71971066</v>
      </c>
      <c r="M1494" s="471">
        <f t="shared" si="111"/>
        <v>0.05</v>
      </c>
      <c r="N1494" s="475">
        <f t="shared" si="112"/>
        <v>96517</v>
      </c>
    </row>
    <row r="1495" spans="7:14" ht="11.25" customHeight="1" x14ac:dyDescent="0.3">
      <c r="G1495" s="470"/>
      <c r="H1495" s="470">
        <v>1488</v>
      </c>
      <c r="I1495" s="455">
        <f t="shared" ca="1" si="110"/>
        <v>121107178.71971066</v>
      </c>
      <c r="J1495" s="455">
        <f t="array" ref="J1495">IFERROR(INDEX('Retirement Calculator'!K:K,MATCH('Lorri 401b'!N1495,'Retirement Calculator'!A:A,0),0),0)</f>
        <v>0</v>
      </c>
      <c r="K1495" s="455">
        <f t="shared" ca="1" si="108"/>
        <v>504613.24466546107</v>
      </c>
      <c r="L1495" s="455">
        <f t="shared" ca="1" si="109"/>
        <v>121611791.96437612</v>
      </c>
      <c r="M1495" s="471">
        <f t="shared" si="111"/>
        <v>0.05</v>
      </c>
      <c r="N1495" s="475">
        <f t="shared" si="112"/>
        <v>96547</v>
      </c>
    </row>
    <row r="1496" spans="7:14" ht="11.25" customHeight="1" x14ac:dyDescent="0.3">
      <c r="G1496" s="470"/>
      <c r="H1496" s="470">
        <v>1489</v>
      </c>
      <c r="I1496" s="455">
        <f t="shared" ca="1" si="110"/>
        <v>121611791.96437612</v>
      </c>
      <c r="J1496" s="455">
        <f t="array" ref="J1496">IFERROR(INDEX('Retirement Calculator'!K:K,MATCH('Lorri 401b'!N1496,'Retirement Calculator'!A:A,0),0),0)</f>
        <v>0</v>
      </c>
      <c r="K1496" s="455">
        <f t="shared" ca="1" si="108"/>
        <v>506715.79985156719</v>
      </c>
      <c r="L1496" s="455">
        <f t="shared" ca="1" si="109"/>
        <v>122118507.76422769</v>
      </c>
      <c r="M1496" s="471">
        <f t="shared" si="111"/>
        <v>0.05</v>
      </c>
      <c r="N1496" s="475">
        <f t="shared" si="112"/>
        <v>96578</v>
      </c>
    </row>
    <row r="1497" spans="7:14" ht="11.25" customHeight="1" x14ac:dyDescent="0.3">
      <c r="G1497" s="470"/>
      <c r="H1497" s="470">
        <v>1490</v>
      </c>
      <c r="I1497" s="455">
        <f t="shared" ca="1" si="110"/>
        <v>122118507.76422769</v>
      </c>
      <c r="J1497" s="455">
        <f t="array" ref="J1497">IFERROR(INDEX('Retirement Calculator'!K:K,MATCH('Lorri 401b'!N1497,'Retirement Calculator'!A:A,0),0),0)</f>
        <v>0</v>
      </c>
      <c r="K1497" s="455">
        <f t="shared" ca="1" si="108"/>
        <v>508827.11568428203</v>
      </c>
      <c r="L1497" s="455">
        <f t="shared" ca="1" si="109"/>
        <v>122627334.87991197</v>
      </c>
      <c r="M1497" s="471">
        <f t="shared" si="111"/>
        <v>0.05</v>
      </c>
      <c r="N1497" s="475">
        <f t="shared" si="112"/>
        <v>96608</v>
      </c>
    </row>
    <row r="1498" spans="7:14" ht="11.25" customHeight="1" x14ac:dyDescent="0.3">
      <c r="G1498" s="470"/>
      <c r="H1498" s="470">
        <v>1491</v>
      </c>
      <c r="I1498" s="455">
        <f t="shared" ca="1" si="110"/>
        <v>122627334.87991197</v>
      </c>
      <c r="J1498" s="455">
        <f t="array" ref="J1498">IFERROR(INDEX('Retirement Calculator'!K:K,MATCH('Lorri 401b'!N1498,'Retirement Calculator'!A:A,0),0),0)</f>
        <v>0</v>
      </c>
      <c r="K1498" s="455">
        <f t="shared" ca="1" si="108"/>
        <v>510947.2286662999</v>
      </c>
      <c r="L1498" s="455">
        <f t="shared" ca="1" si="109"/>
        <v>123138282.10857828</v>
      </c>
      <c r="M1498" s="471">
        <f t="shared" si="111"/>
        <v>0.05</v>
      </c>
      <c r="N1498" s="475">
        <f t="shared" si="112"/>
        <v>96639</v>
      </c>
    </row>
    <row r="1499" spans="7:14" ht="11.25" customHeight="1" x14ac:dyDescent="0.3">
      <c r="G1499" s="470"/>
      <c r="H1499" s="470">
        <v>1492</v>
      </c>
      <c r="I1499" s="455">
        <f t="shared" ca="1" si="110"/>
        <v>123138282.10857828</v>
      </c>
      <c r="J1499" s="455">
        <f t="array" ref="J1499">IFERROR(INDEX('Retirement Calculator'!K:K,MATCH('Lorri 401b'!N1499,'Retirement Calculator'!A:A,0),0),0)</f>
        <v>0</v>
      </c>
      <c r="K1499" s="455">
        <f t="shared" ca="1" si="108"/>
        <v>513076.17545240949</v>
      </c>
      <c r="L1499" s="455">
        <f t="shared" ca="1" si="109"/>
        <v>123651358.28403069</v>
      </c>
      <c r="M1499" s="471">
        <f t="shared" si="111"/>
        <v>0.05</v>
      </c>
      <c r="N1499" s="475">
        <f t="shared" si="112"/>
        <v>96670</v>
      </c>
    </row>
    <row r="1500" spans="7:14" ht="11.25" customHeight="1" x14ac:dyDescent="0.3">
      <c r="G1500" s="470"/>
      <c r="H1500" s="470">
        <v>1493</v>
      </c>
      <c r="I1500" s="455">
        <f t="shared" ca="1" si="110"/>
        <v>123651358.28403069</v>
      </c>
      <c r="J1500" s="455">
        <f t="array" ref="J1500">IFERROR(INDEX('Retirement Calculator'!K:K,MATCH('Lorri 401b'!N1500,'Retirement Calculator'!A:A,0),0),0)</f>
        <v>0</v>
      </c>
      <c r="K1500" s="455">
        <f t="shared" ca="1" si="108"/>
        <v>515213.99285012792</v>
      </c>
      <c r="L1500" s="455">
        <f t="shared" ca="1" si="109"/>
        <v>124166572.27688082</v>
      </c>
      <c r="M1500" s="471">
        <f t="shared" si="111"/>
        <v>0.05</v>
      </c>
      <c r="N1500" s="475">
        <f t="shared" si="112"/>
        <v>96700</v>
      </c>
    </row>
    <row r="1501" spans="7:14" ht="11.25" customHeight="1" x14ac:dyDescent="0.3">
      <c r="G1501" s="470"/>
      <c r="H1501" s="470">
        <v>1494</v>
      </c>
      <c r="I1501" s="455">
        <f t="shared" ca="1" si="110"/>
        <v>124166572.27688082</v>
      </c>
      <c r="J1501" s="455">
        <f t="array" ref="J1501">IFERROR(INDEX('Retirement Calculator'!K:K,MATCH('Lorri 401b'!N1501,'Retirement Calculator'!A:A,0),0),0)</f>
        <v>0</v>
      </c>
      <c r="K1501" s="455">
        <f t="shared" ca="1" si="108"/>
        <v>517360.71782033675</v>
      </c>
      <c r="L1501" s="455">
        <f t="shared" ca="1" si="109"/>
        <v>124683932.99470115</v>
      </c>
      <c r="M1501" s="471">
        <f t="shared" si="111"/>
        <v>0.05</v>
      </c>
      <c r="N1501" s="475">
        <f t="shared" si="112"/>
        <v>96731</v>
      </c>
    </row>
    <row r="1502" spans="7:14" ht="11.25" customHeight="1" x14ac:dyDescent="0.3">
      <c r="G1502" s="470"/>
      <c r="H1502" s="470">
        <v>1495</v>
      </c>
      <c r="I1502" s="455">
        <f t="shared" ca="1" si="110"/>
        <v>124683932.99470115</v>
      </c>
      <c r="J1502" s="455">
        <f t="array" ref="J1502">IFERROR(INDEX('Retirement Calculator'!K:K,MATCH('Lorri 401b'!N1502,'Retirement Calculator'!A:A,0),0),0)</f>
        <v>0</v>
      </c>
      <c r="K1502" s="455">
        <f t="shared" ca="1" si="108"/>
        <v>519516.38747792144</v>
      </c>
      <c r="L1502" s="455">
        <f t="shared" ca="1" si="109"/>
        <v>125203449.38217907</v>
      </c>
      <c r="M1502" s="471">
        <f t="shared" si="111"/>
        <v>0.05</v>
      </c>
      <c r="N1502" s="475">
        <f t="shared" si="112"/>
        <v>96761</v>
      </c>
    </row>
    <row r="1503" spans="7:14" ht="11.25" customHeight="1" x14ac:dyDescent="0.3">
      <c r="G1503" s="470"/>
      <c r="H1503" s="470">
        <v>1496</v>
      </c>
      <c r="I1503" s="455">
        <f t="shared" ca="1" si="110"/>
        <v>125203449.38217907</v>
      </c>
      <c r="J1503" s="455">
        <f t="array" ref="J1503">IFERROR(INDEX('Retirement Calculator'!K:K,MATCH('Lorri 401b'!N1503,'Retirement Calculator'!A:A,0),0),0)</f>
        <v>0</v>
      </c>
      <c r="K1503" s="455">
        <f t="shared" ca="1" si="108"/>
        <v>521681.03909241274</v>
      </c>
      <c r="L1503" s="455">
        <f t="shared" ca="1" si="109"/>
        <v>125725130.42127147</v>
      </c>
      <c r="M1503" s="471">
        <f t="shared" si="111"/>
        <v>0.05</v>
      </c>
      <c r="N1503" s="475">
        <f t="shared" si="112"/>
        <v>96792</v>
      </c>
    </row>
    <row r="1504" spans="7:14" ht="11.25" customHeight="1" x14ac:dyDescent="0.3">
      <c r="G1504" s="470"/>
      <c r="H1504" s="470">
        <v>1497</v>
      </c>
      <c r="I1504" s="455">
        <f t="shared" ca="1" si="110"/>
        <v>125725130.42127147</v>
      </c>
      <c r="J1504" s="455">
        <f t="array" ref="J1504">IFERROR(INDEX('Retirement Calculator'!K:K,MATCH('Lorri 401b'!N1504,'Retirement Calculator'!A:A,0),0),0)</f>
        <v>0</v>
      </c>
      <c r="K1504" s="455">
        <f t="shared" ca="1" si="108"/>
        <v>523854.71008863114</v>
      </c>
      <c r="L1504" s="455">
        <f t="shared" ca="1" si="109"/>
        <v>126248985.1313601</v>
      </c>
      <c r="M1504" s="471">
        <f t="shared" si="111"/>
        <v>0.05</v>
      </c>
      <c r="N1504" s="475">
        <f t="shared" si="112"/>
        <v>96823</v>
      </c>
    </row>
    <row r="1505" spans="7:14" ht="11.25" customHeight="1" x14ac:dyDescent="0.3">
      <c r="G1505" s="470"/>
      <c r="H1505" s="470">
        <v>1498</v>
      </c>
      <c r="I1505" s="455">
        <f t="shared" ca="1" si="110"/>
        <v>126248985.1313601</v>
      </c>
      <c r="J1505" s="455">
        <f t="array" ref="J1505">IFERROR(INDEX('Retirement Calculator'!K:K,MATCH('Lorri 401b'!N1505,'Retirement Calculator'!A:A,0),0),0)</f>
        <v>0</v>
      </c>
      <c r="K1505" s="455">
        <f t="shared" ca="1" si="108"/>
        <v>526037.43804733374</v>
      </c>
      <c r="L1505" s="455">
        <f t="shared" ca="1" si="109"/>
        <v>126775022.56940743</v>
      </c>
      <c r="M1505" s="471">
        <f t="shared" si="111"/>
        <v>0.05</v>
      </c>
      <c r="N1505" s="475">
        <f t="shared" si="112"/>
        <v>96851</v>
      </c>
    </row>
    <row r="1506" spans="7:14" ht="11.25" customHeight="1" x14ac:dyDescent="0.3">
      <c r="G1506" s="470"/>
      <c r="H1506" s="470">
        <v>1499</v>
      </c>
      <c r="I1506" s="455">
        <f t="shared" ca="1" si="110"/>
        <v>126775022.56940743</v>
      </c>
      <c r="J1506" s="455">
        <f t="array" ref="J1506">IFERROR(INDEX('Retirement Calculator'!K:K,MATCH('Lorri 401b'!N1506,'Retirement Calculator'!A:A,0),0),0)</f>
        <v>0</v>
      </c>
      <c r="K1506" s="455">
        <f t="shared" ca="1" si="108"/>
        <v>528229.26070586429</v>
      </c>
      <c r="L1506" s="455">
        <f t="shared" ca="1" si="109"/>
        <v>127303251.83011329</v>
      </c>
      <c r="M1506" s="471">
        <f t="shared" si="111"/>
        <v>0.05</v>
      </c>
      <c r="N1506" s="475">
        <f t="shared" si="112"/>
        <v>96882</v>
      </c>
    </row>
    <row r="1507" spans="7:14" ht="11.25" customHeight="1" x14ac:dyDescent="0.3">
      <c r="G1507" s="470"/>
      <c r="H1507" s="470">
        <v>1500</v>
      </c>
      <c r="I1507" s="455">
        <f t="shared" ca="1" si="110"/>
        <v>127303251.83011329</v>
      </c>
      <c r="J1507" s="455">
        <f t="array" ref="J1507">IFERROR(INDEX('Retirement Calculator'!K:K,MATCH('Lorri 401b'!N1507,'Retirement Calculator'!A:A,0),0),0)</f>
        <v>0</v>
      </c>
      <c r="K1507" s="455">
        <f t="shared" ca="1" si="108"/>
        <v>530430.21595880541</v>
      </c>
      <c r="L1507" s="455">
        <f t="shared" ca="1" si="109"/>
        <v>127833682.0460721</v>
      </c>
      <c r="M1507" s="471">
        <f t="shared" si="111"/>
        <v>0.05</v>
      </c>
      <c r="N1507" s="475">
        <f t="shared" si="112"/>
        <v>96912</v>
      </c>
    </row>
    <row r="1508" spans="7:14" ht="11.25" customHeight="1" x14ac:dyDescent="0.3">
      <c r="G1508" s="470"/>
      <c r="H1508" s="470">
        <v>1501</v>
      </c>
      <c r="I1508" s="455">
        <f t="shared" ca="1" si="110"/>
        <v>127833682.0460721</v>
      </c>
      <c r="J1508" s="455">
        <f t="array" ref="J1508">IFERROR(INDEX('Retirement Calculator'!K:K,MATCH('Lorri 401b'!N1508,'Retirement Calculator'!A:A,0),0),0)</f>
        <v>0</v>
      </c>
      <c r="K1508" s="455">
        <f t="shared" ca="1" si="108"/>
        <v>532640.34185863368</v>
      </c>
      <c r="L1508" s="455">
        <f t="shared" ca="1" si="109"/>
        <v>128366322.38793074</v>
      </c>
      <c r="M1508" s="471">
        <f t="shared" si="111"/>
        <v>0.05</v>
      </c>
      <c r="N1508" s="475">
        <f t="shared" si="112"/>
        <v>96943</v>
      </c>
    </row>
    <row r="1509" spans="7:14" ht="11.25" customHeight="1" x14ac:dyDescent="0.3">
      <c r="G1509" s="470"/>
      <c r="H1509" s="470">
        <v>1502</v>
      </c>
      <c r="I1509" s="455">
        <f t="shared" ca="1" si="110"/>
        <v>128366322.38793074</v>
      </c>
      <c r="J1509" s="455">
        <f t="array" ref="J1509">IFERROR(INDEX('Retirement Calculator'!K:K,MATCH('Lorri 401b'!N1509,'Retirement Calculator'!A:A,0),0),0)</f>
        <v>0</v>
      </c>
      <c r="K1509" s="455">
        <f t="shared" ca="1" si="108"/>
        <v>534859.67661637813</v>
      </c>
      <c r="L1509" s="455">
        <f t="shared" ca="1" si="109"/>
        <v>128901182.06454712</v>
      </c>
      <c r="M1509" s="471">
        <f t="shared" si="111"/>
        <v>0.05</v>
      </c>
      <c r="N1509" s="475">
        <f t="shared" si="112"/>
        <v>96973</v>
      </c>
    </row>
    <row r="1510" spans="7:14" ht="11.25" customHeight="1" x14ac:dyDescent="0.3">
      <c r="G1510" s="470"/>
      <c r="H1510" s="470">
        <v>1503</v>
      </c>
      <c r="I1510" s="455">
        <f t="shared" ca="1" si="110"/>
        <v>128901182.06454712</v>
      </c>
      <c r="J1510" s="455">
        <f t="array" ref="J1510">IFERROR(INDEX('Retirement Calculator'!K:K,MATCH('Lorri 401b'!N1510,'Retirement Calculator'!A:A,0),0),0)</f>
        <v>0</v>
      </c>
      <c r="K1510" s="455">
        <f t="shared" ca="1" si="108"/>
        <v>537088.2586022797</v>
      </c>
      <c r="L1510" s="455">
        <f t="shared" ca="1" si="109"/>
        <v>129438270.3231494</v>
      </c>
      <c r="M1510" s="471">
        <f t="shared" si="111"/>
        <v>0.05</v>
      </c>
      <c r="N1510" s="475">
        <f t="shared" si="112"/>
        <v>97004</v>
      </c>
    </row>
    <row r="1511" spans="7:14" ht="11.25" customHeight="1" x14ac:dyDescent="0.3">
      <c r="G1511" s="470"/>
      <c r="H1511" s="470">
        <v>1504</v>
      </c>
      <c r="I1511" s="455">
        <f t="shared" ca="1" si="110"/>
        <v>129438270.3231494</v>
      </c>
      <c r="J1511" s="455">
        <f t="array" ref="J1511">IFERROR(INDEX('Retirement Calculator'!K:K,MATCH('Lorri 401b'!N1511,'Retirement Calculator'!A:A,0),0),0)</f>
        <v>0</v>
      </c>
      <c r="K1511" s="455">
        <f t="shared" ca="1" si="108"/>
        <v>539326.12634645577</v>
      </c>
      <c r="L1511" s="455">
        <f t="shared" ca="1" si="109"/>
        <v>129977596.44949585</v>
      </c>
      <c r="M1511" s="471">
        <f t="shared" si="111"/>
        <v>0.05</v>
      </c>
      <c r="N1511" s="475">
        <f t="shared" si="112"/>
        <v>97035</v>
      </c>
    </row>
    <row r="1512" spans="7:14" ht="11.25" customHeight="1" x14ac:dyDescent="0.3">
      <c r="G1512" s="470"/>
      <c r="H1512" s="470">
        <v>1505</v>
      </c>
      <c r="I1512" s="455">
        <f t="shared" ca="1" si="110"/>
        <v>129977596.44949585</v>
      </c>
      <c r="J1512" s="455">
        <f t="array" ref="J1512">IFERROR(INDEX('Retirement Calculator'!K:K,MATCH('Lorri 401b'!N1512,'Retirement Calculator'!A:A,0),0),0)</f>
        <v>0</v>
      </c>
      <c r="K1512" s="455">
        <f t="shared" ca="1" si="108"/>
        <v>541573.31853956601</v>
      </c>
      <c r="L1512" s="455">
        <f t="shared" ca="1" si="109"/>
        <v>130519169.76803541</v>
      </c>
      <c r="M1512" s="471">
        <f t="shared" si="111"/>
        <v>0.05</v>
      </c>
      <c r="N1512" s="475">
        <f t="shared" si="112"/>
        <v>97065</v>
      </c>
    </row>
    <row r="1513" spans="7:14" ht="11.25" customHeight="1" x14ac:dyDescent="0.3">
      <c r="G1513" s="470"/>
      <c r="H1513" s="470">
        <v>1506</v>
      </c>
      <c r="I1513" s="455">
        <f t="shared" ca="1" si="110"/>
        <v>130519169.76803541</v>
      </c>
      <c r="J1513" s="455">
        <f t="array" ref="J1513">IFERROR(INDEX('Retirement Calculator'!K:K,MATCH('Lorri 401b'!N1513,'Retirement Calculator'!A:A,0),0),0)</f>
        <v>0</v>
      </c>
      <c r="K1513" s="455">
        <f t="shared" ca="1" si="108"/>
        <v>543829.87403348088</v>
      </c>
      <c r="L1513" s="455">
        <f t="shared" ca="1" si="109"/>
        <v>131062999.64206889</v>
      </c>
      <c r="M1513" s="471">
        <f t="shared" si="111"/>
        <v>0.05</v>
      </c>
      <c r="N1513" s="475">
        <f t="shared" si="112"/>
        <v>97096</v>
      </c>
    </row>
    <row r="1514" spans="7:14" ht="11.25" customHeight="1" x14ac:dyDescent="0.3">
      <c r="G1514" s="470"/>
      <c r="H1514" s="470">
        <v>1507</v>
      </c>
      <c r="I1514" s="455">
        <f t="shared" ca="1" si="110"/>
        <v>131062999.64206889</v>
      </c>
      <c r="J1514" s="455">
        <f t="array" ref="J1514">IFERROR(INDEX('Retirement Calculator'!K:K,MATCH('Lorri 401b'!N1514,'Retirement Calculator'!A:A,0),0),0)</f>
        <v>0</v>
      </c>
      <c r="K1514" s="455">
        <f t="shared" ca="1" si="108"/>
        <v>546095.8318419538</v>
      </c>
      <c r="L1514" s="455">
        <f t="shared" ca="1" si="109"/>
        <v>131609095.47391085</v>
      </c>
      <c r="M1514" s="471">
        <f t="shared" si="111"/>
        <v>0.05</v>
      </c>
      <c r="N1514" s="475">
        <f t="shared" si="112"/>
        <v>97126</v>
      </c>
    </row>
    <row r="1515" spans="7:14" ht="11.25" customHeight="1" x14ac:dyDescent="0.3">
      <c r="G1515" s="470"/>
      <c r="H1515" s="470">
        <v>1508</v>
      </c>
      <c r="I1515" s="455">
        <f t="shared" ca="1" si="110"/>
        <v>131609095.47391085</v>
      </c>
      <c r="J1515" s="455">
        <f t="array" ref="J1515">IFERROR(INDEX('Retirement Calculator'!K:K,MATCH('Lorri 401b'!N1515,'Retirement Calculator'!A:A,0),0),0)</f>
        <v>0</v>
      </c>
      <c r="K1515" s="455">
        <f t="shared" ca="1" si="108"/>
        <v>548371.23114129528</v>
      </c>
      <c r="L1515" s="455">
        <f t="shared" ca="1" si="109"/>
        <v>132157466.70505215</v>
      </c>
      <c r="M1515" s="471">
        <f t="shared" si="111"/>
        <v>0.05</v>
      </c>
      <c r="N1515" s="475">
        <f t="shared" si="112"/>
        <v>97157</v>
      </c>
    </row>
    <row r="1516" spans="7:14" ht="11.25" customHeight="1" x14ac:dyDescent="0.3">
      <c r="G1516" s="470"/>
      <c r="H1516" s="470">
        <v>1509</v>
      </c>
      <c r="I1516" s="455">
        <f t="shared" ca="1" si="110"/>
        <v>132157466.70505215</v>
      </c>
      <c r="J1516" s="455">
        <f t="array" ref="J1516">IFERROR(INDEX('Retirement Calculator'!K:K,MATCH('Lorri 401b'!N1516,'Retirement Calculator'!A:A,0),0),0)</f>
        <v>0</v>
      </c>
      <c r="K1516" s="455">
        <f t="shared" ca="1" si="108"/>
        <v>550656.11127105064</v>
      </c>
      <c r="L1516" s="455">
        <f t="shared" ca="1" si="109"/>
        <v>132708122.81632321</v>
      </c>
      <c r="M1516" s="471">
        <f t="shared" si="111"/>
        <v>0.05</v>
      </c>
      <c r="N1516" s="475">
        <f t="shared" si="112"/>
        <v>97188</v>
      </c>
    </row>
    <row r="1517" spans="7:14" ht="11.25" customHeight="1" x14ac:dyDescent="0.3">
      <c r="G1517" s="470"/>
      <c r="H1517" s="470">
        <v>1510</v>
      </c>
      <c r="I1517" s="455">
        <f t="shared" ca="1" si="110"/>
        <v>132708122.81632321</v>
      </c>
      <c r="J1517" s="455">
        <f t="array" ref="J1517">IFERROR(INDEX('Retirement Calculator'!K:K,MATCH('Lorri 401b'!N1517,'Retirement Calculator'!A:A,0),0),0)</f>
        <v>0</v>
      </c>
      <c r="K1517" s="455">
        <f t="shared" ca="1" si="108"/>
        <v>552950.51173467992</v>
      </c>
      <c r="L1517" s="455">
        <f t="shared" ca="1" si="109"/>
        <v>133261073.32805789</v>
      </c>
      <c r="M1517" s="471">
        <f t="shared" si="111"/>
        <v>0.05</v>
      </c>
      <c r="N1517" s="475">
        <f t="shared" si="112"/>
        <v>97216</v>
      </c>
    </row>
    <row r="1518" spans="7:14" ht="11.25" customHeight="1" x14ac:dyDescent="0.3">
      <c r="G1518" s="470"/>
      <c r="H1518" s="470">
        <v>1511</v>
      </c>
      <c r="I1518" s="455">
        <f t="shared" ca="1" si="110"/>
        <v>133261073.32805789</v>
      </c>
      <c r="J1518" s="455">
        <f t="array" ref="J1518">IFERROR(INDEX('Retirement Calculator'!K:K,MATCH('Lorri 401b'!N1518,'Retirement Calculator'!A:A,0),0),0)</f>
        <v>0</v>
      </c>
      <c r="K1518" s="455">
        <f t="shared" ca="1" si="108"/>
        <v>555254.47220024117</v>
      </c>
      <c r="L1518" s="455">
        <f t="shared" ca="1" si="109"/>
        <v>133816327.80025813</v>
      </c>
      <c r="M1518" s="471">
        <f t="shared" si="111"/>
        <v>0.05</v>
      </c>
      <c r="N1518" s="475">
        <f t="shared" si="112"/>
        <v>97247</v>
      </c>
    </row>
    <row r="1519" spans="7:14" ht="11.25" customHeight="1" x14ac:dyDescent="0.3">
      <c r="G1519" s="470"/>
      <c r="H1519" s="470">
        <v>1512</v>
      </c>
      <c r="I1519" s="455">
        <f t="shared" ca="1" si="110"/>
        <v>133816327.80025813</v>
      </c>
      <c r="J1519" s="455">
        <f t="array" ref="J1519">IFERROR(INDEX('Retirement Calculator'!K:K,MATCH('Lorri 401b'!N1519,'Retirement Calculator'!A:A,0),0),0)</f>
        <v>0</v>
      </c>
      <c r="K1519" s="455">
        <f t="shared" ca="1" si="108"/>
        <v>557568.03250107542</v>
      </c>
      <c r="L1519" s="455">
        <f t="shared" ca="1" si="109"/>
        <v>134373895.8327592</v>
      </c>
      <c r="M1519" s="471">
        <f t="shared" si="111"/>
        <v>0.05</v>
      </c>
      <c r="N1519" s="475">
        <f t="shared" si="112"/>
        <v>97277</v>
      </c>
    </row>
    <row r="1520" spans="7:14" ht="11.25" customHeight="1" x14ac:dyDescent="0.3">
      <c r="G1520" s="470"/>
      <c r="H1520" s="470">
        <v>1513</v>
      </c>
      <c r="I1520" s="455">
        <f t="shared" ca="1" si="110"/>
        <v>134373895.8327592</v>
      </c>
      <c r="J1520" s="455">
        <f t="array" ref="J1520">IFERROR(INDEX('Retirement Calculator'!K:K,MATCH('Lorri 401b'!N1520,'Retirement Calculator'!A:A,0),0),0)</f>
        <v>0</v>
      </c>
      <c r="K1520" s="455">
        <f t="shared" ca="1" si="108"/>
        <v>559891.23263649666</v>
      </c>
      <c r="L1520" s="455">
        <f t="shared" ca="1" si="109"/>
        <v>134933787.06539571</v>
      </c>
      <c r="M1520" s="471">
        <f t="shared" si="111"/>
        <v>0.05</v>
      </c>
      <c r="N1520" s="475">
        <f t="shared" si="112"/>
        <v>97308</v>
      </c>
    </row>
    <row r="1521" spans="7:14" ht="11.25" customHeight="1" x14ac:dyDescent="0.3">
      <c r="G1521" s="470"/>
      <c r="H1521" s="470">
        <v>1514</v>
      </c>
      <c r="I1521" s="455">
        <f t="shared" ca="1" si="110"/>
        <v>134933787.06539571</v>
      </c>
      <c r="J1521" s="455">
        <f t="array" ref="J1521">IFERROR(INDEX('Retirement Calculator'!K:K,MATCH('Lorri 401b'!N1521,'Retirement Calculator'!A:A,0),0),0)</f>
        <v>0</v>
      </c>
      <c r="K1521" s="455">
        <f t="shared" ca="1" si="108"/>
        <v>562224.1127724821</v>
      </c>
      <c r="L1521" s="455">
        <f t="shared" ca="1" si="109"/>
        <v>135496011.17816821</v>
      </c>
      <c r="M1521" s="471">
        <f t="shared" si="111"/>
        <v>0.05</v>
      </c>
      <c r="N1521" s="475">
        <f t="shared" si="112"/>
        <v>97338</v>
      </c>
    </row>
    <row r="1522" spans="7:14" ht="11.25" customHeight="1" x14ac:dyDescent="0.3">
      <c r="G1522" s="470"/>
      <c r="H1522" s="470">
        <v>1515</v>
      </c>
      <c r="I1522" s="455">
        <f t="shared" ca="1" si="110"/>
        <v>135496011.17816821</v>
      </c>
      <c r="J1522" s="455">
        <f t="array" ref="J1522">IFERROR(INDEX('Retirement Calculator'!K:K,MATCH('Lorri 401b'!N1522,'Retirement Calculator'!A:A,0),0),0)</f>
        <v>0</v>
      </c>
      <c r="K1522" s="455">
        <f t="shared" ca="1" si="108"/>
        <v>564566.71324236749</v>
      </c>
      <c r="L1522" s="455">
        <f t="shared" ca="1" si="109"/>
        <v>136060577.89141059</v>
      </c>
      <c r="M1522" s="471">
        <f t="shared" si="111"/>
        <v>0.05</v>
      </c>
      <c r="N1522" s="475">
        <f t="shared" si="112"/>
        <v>97369</v>
      </c>
    </row>
    <row r="1523" spans="7:14" ht="11.25" customHeight="1" x14ac:dyDescent="0.3">
      <c r="G1523" s="470"/>
      <c r="H1523" s="470">
        <v>1516</v>
      </c>
      <c r="I1523" s="455">
        <f t="shared" ca="1" si="110"/>
        <v>136060577.89141059</v>
      </c>
      <c r="J1523" s="455">
        <f t="array" ref="J1523">IFERROR(INDEX('Retirement Calculator'!K:K,MATCH('Lorri 401b'!N1523,'Retirement Calculator'!A:A,0),0),0)</f>
        <v>0</v>
      </c>
      <c r="K1523" s="455">
        <f t="shared" ca="1" si="108"/>
        <v>566919.07454754412</v>
      </c>
      <c r="L1523" s="455">
        <f t="shared" ca="1" si="109"/>
        <v>136627496.96595812</v>
      </c>
      <c r="M1523" s="471">
        <f t="shared" si="111"/>
        <v>0.05</v>
      </c>
      <c r="N1523" s="475">
        <f t="shared" si="112"/>
        <v>97400</v>
      </c>
    </row>
    <row r="1524" spans="7:14" ht="11.25" customHeight="1" x14ac:dyDescent="0.3">
      <c r="G1524" s="470"/>
      <c r="H1524" s="470">
        <v>1517</v>
      </c>
      <c r="I1524" s="455">
        <f t="shared" ca="1" si="110"/>
        <v>136627496.96595812</v>
      </c>
      <c r="J1524" s="455">
        <f t="array" ref="J1524">IFERROR(INDEX('Retirement Calculator'!K:K,MATCH('Lorri 401b'!N1524,'Retirement Calculator'!A:A,0),0),0)</f>
        <v>0</v>
      </c>
      <c r="K1524" s="455">
        <f t="shared" ca="1" si="108"/>
        <v>569281.2373581588</v>
      </c>
      <c r="L1524" s="455">
        <f t="shared" ca="1" si="109"/>
        <v>137196778.20331627</v>
      </c>
      <c r="M1524" s="471">
        <f t="shared" si="111"/>
        <v>0.05</v>
      </c>
      <c r="N1524" s="475">
        <f t="shared" si="112"/>
        <v>97430</v>
      </c>
    </row>
    <row r="1525" spans="7:14" ht="11.25" customHeight="1" x14ac:dyDescent="0.3">
      <c r="G1525" s="470"/>
      <c r="H1525" s="470">
        <v>1518</v>
      </c>
      <c r="I1525" s="455">
        <f t="shared" ca="1" si="110"/>
        <v>137196778.20331627</v>
      </c>
      <c r="J1525" s="455">
        <f t="array" ref="J1525">IFERROR(INDEX('Retirement Calculator'!K:K,MATCH('Lorri 401b'!N1525,'Retirement Calculator'!A:A,0),0),0)</f>
        <v>0</v>
      </c>
      <c r="K1525" s="455">
        <f t="shared" ca="1" si="108"/>
        <v>571653.24251381774</v>
      </c>
      <c r="L1525" s="455">
        <f t="shared" ca="1" si="109"/>
        <v>137768431.44583008</v>
      </c>
      <c r="M1525" s="471">
        <f t="shared" si="111"/>
        <v>0.05</v>
      </c>
      <c r="N1525" s="475">
        <f t="shared" si="112"/>
        <v>97461</v>
      </c>
    </row>
    <row r="1526" spans="7:14" ht="11.25" customHeight="1" x14ac:dyDescent="0.3">
      <c r="G1526" s="470"/>
      <c r="H1526" s="470">
        <v>1519</v>
      </c>
      <c r="I1526" s="455">
        <f t="shared" ca="1" si="110"/>
        <v>137768431.44583008</v>
      </c>
      <c r="J1526" s="455">
        <f t="array" ref="J1526">IFERROR(INDEX('Retirement Calculator'!K:K,MATCH('Lorri 401b'!N1526,'Retirement Calculator'!A:A,0),0),0)</f>
        <v>0</v>
      </c>
      <c r="K1526" s="455">
        <f t="shared" ca="1" si="108"/>
        <v>574035.13102429197</v>
      </c>
      <c r="L1526" s="455">
        <f t="shared" ca="1" si="109"/>
        <v>138342466.57685438</v>
      </c>
      <c r="M1526" s="471">
        <f t="shared" si="111"/>
        <v>0.05</v>
      </c>
      <c r="N1526" s="475">
        <f t="shared" si="112"/>
        <v>97491</v>
      </c>
    </row>
    <row r="1527" spans="7:14" ht="11.25" customHeight="1" x14ac:dyDescent="0.3">
      <c r="G1527" s="470"/>
      <c r="H1527" s="470">
        <v>1520</v>
      </c>
      <c r="I1527" s="455">
        <f t="shared" ca="1" si="110"/>
        <v>138342466.57685438</v>
      </c>
      <c r="J1527" s="455">
        <f t="array" ref="J1527">IFERROR(INDEX('Retirement Calculator'!K:K,MATCH('Lorri 401b'!N1527,'Retirement Calculator'!A:A,0),0),0)</f>
        <v>0</v>
      </c>
      <c r="K1527" s="455">
        <f t="shared" ca="1" si="108"/>
        <v>576426.94407022651</v>
      </c>
      <c r="L1527" s="455">
        <f t="shared" ca="1" si="109"/>
        <v>138918893.5209246</v>
      </c>
      <c r="M1527" s="471">
        <f t="shared" si="111"/>
        <v>0.05</v>
      </c>
      <c r="N1527" s="475">
        <f t="shared" si="112"/>
        <v>97522</v>
      </c>
    </row>
    <row r="1528" spans="7:14" ht="11.25" customHeight="1" x14ac:dyDescent="0.3">
      <c r="G1528" s="470"/>
      <c r="H1528" s="470">
        <v>1521</v>
      </c>
      <c r="I1528" s="455">
        <f t="shared" ca="1" si="110"/>
        <v>138918893.5209246</v>
      </c>
      <c r="J1528" s="455">
        <f t="array" ref="J1528">IFERROR(INDEX('Retirement Calculator'!K:K,MATCH('Lorri 401b'!N1528,'Retirement Calculator'!A:A,0),0),0)</f>
        <v>0</v>
      </c>
      <c r="K1528" s="455">
        <f t="shared" ca="1" si="108"/>
        <v>578828.72300385253</v>
      </c>
      <c r="L1528" s="455">
        <f t="shared" ca="1" si="109"/>
        <v>139497722.24392846</v>
      </c>
      <c r="M1528" s="471">
        <f t="shared" si="111"/>
        <v>0.05</v>
      </c>
      <c r="N1528" s="475">
        <f t="shared" si="112"/>
        <v>97553</v>
      </c>
    </row>
    <row r="1529" spans="7:14" ht="11.25" customHeight="1" x14ac:dyDescent="0.3">
      <c r="G1529" s="470"/>
      <c r="H1529" s="470">
        <v>1522</v>
      </c>
      <c r="I1529" s="455">
        <f t="shared" ca="1" si="110"/>
        <v>139497722.24392846</v>
      </c>
      <c r="J1529" s="455">
        <f t="array" ref="J1529">IFERROR(INDEX('Retirement Calculator'!K:K,MATCH('Lorri 401b'!N1529,'Retirement Calculator'!A:A,0),0),0)</f>
        <v>0</v>
      </c>
      <c r="K1529" s="455">
        <f t="shared" ca="1" si="108"/>
        <v>581240.50934970193</v>
      </c>
      <c r="L1529" s="455">
        <f t="shared" ca="1" si="109"/>
        <v>140078962.75327817</v>
      </c>
      <c r="M1529" s="471">
        <f t="shared" si="111"/>
        <v>0.05</v>
      </c>
      <c r="N1529" s="475">
        <f t="shared" si="112"/>
        <v>97581</v>
      </c>
    </row>
    <row r="1530" spans="7:14" ht="11.25" customHeight="1" x14ac:dyDescent="0.3">
      <c r="G1530" s="470"/>
      <c r="H1530" s="470">
        <v>1523</v>
      </c>
      <c r="I1530" s="455">
        <f t="shared" ca="1" si="110"/>
        <v>140078962.75327817</v>
      </c>
      <c r="J1530" s="455">
        <f t="array" ref="J1530">IFERROR(INDEX('Retirement Calculator'!K:K,MATCH('Lorri 401b'!N1530,'Retirement Calculator'!A:A,0),0),0)</f>
        <v>0</v>
      </c>
      <c r="K1530" s="455">
        <f t="shared" ca="1" si="108"/>
        <v>583662.34480532573</v>
      </c>
      <c r="L1530" s="455">
        <f t="shared" ca="1" si="109"/>
        <v>140662625.0980835</v>
      </c>
      <c r="M1530" s="471">
        <f t="shared" si="111"/>
        <v>0.05</v>
      </c>
      <c r="N1530" s="475">
        <f t="shared" si="112"/>
        <v>97612</v>
      </c>
    </row>
    <row r="1531" spans="7:14" ht="11.25" customHeight="1" x14ac:dyDescent="0.3">
      <c r="G1531" s="470"/>
      <c r="H1531" s="470">
        <v>1524</v>
      </c>
      <c r="I1531" s="455">
        <f t="shared" ca="1" si="110"/>
        <v>140662625.0980835</v>
      </c>
      <c r="J1531" s="455">
        <f t="array" ref="J1531">IFERROR(INDEX('Retirement Calculator'!K:K,MATCH('Lorri 401b'!N1531,'Retirement Calculator'!A:A,0),0),0)</f>
        <v>0</v>
      </c>
      <c r="K1531" s="455">
        <f t="shared" ca="1" si="108"/>
        <v>586094.2712420146</v>
      </c>
      <c r="L1531" s="455">
        <f t="shared" ca="1" si="109"/>
        <v>141248719.36932552</v>
      </c>
      <c r="M1531" s="471">
        <f t="shared" si="111"/>
        <v>0.05</v>
      </c>
      <c r="N1531" s="475">
        <f t="shared" si="112"/>
        <v>97642</v>
      </c>
    </row>
    <row r="1532" spans="7:14" ht="11.25" customHeight="1" x14ac:dyDescent="0.3">
      <c r="G1532" s="470"/>
      <c r="H1532" s="470">
        <v>1525</v>
      </c>
      <c r="I1532" s="455">
        <f t="shared" ca="1" si="110"/>
        <v>141248719.36932552</v>
      </c>
      <c r="J1532" s="455">
        <f t="array" ref="J1532">IFERROR(INDEX('Retirement Calculator'!K:K,MATCH('Lorri 401b'!N1532,'Retirement Calculator'!A:A,0),0),0)</f>
        <v>0</v>
      </c>
      <c r="K1532" s="455">
        <f t="shared" ca="1" si="108"/>
        <v>588536.33070552303</v>
      </c>
      <c r="L1532" s="455">
        <f t="shared" ca="1" si="109"/>
        <v>141837255.70003104</v>
      </c>
      <c r="M1532" s="471">
        <f t="shared" si="111"/>
        <v>0.05</v>
      </c>
      <c r="N1532" s="475">
        <f t="shared" si="112"/>
        <v>97673</v>
      </c>
    </row>
    <row r="1533" spans="7:14" ht="11.25" customHeight="1" x14ac:dyDescent="0.3">
      <c r="G1533" s="470"/>
      <c r="H1533" s="470">
        <v>1526</v>
      </c>
      <c r="I1533" s="455">
        <f t="shared" ca="1" si="110"/>
        <v>141837255.70003104</v>
      </c>
      <c r="J1533" s="455">
        <f t="array" ref="J1533">IFERROR(INDEX('Retirement Calculator'!K:K,MATCH('Lorri 401b'!N1533,'Retirement Calculator'!A:A,0),0),0)</f>
        <v>0</v>
      </c>
      <c r="K1533" s="455">
        <f t="shared" ca="1" si="108"/>
        <v>590988.56541679602</v>
      </c>
      <c r="L1533" s="455">
        <f t="shared" ca="1" si="109"/>
        <v>142428244.26544783</v>
      </c>
      <c r="M1533" s="471">
        <f t="shared" si="111"/>
        <v>0.05</v>
      </c>
      <c r="N1533" s="475">
        <f t="shared" si="112"/>
        <v>97703</v>
      </c>
    </row>
    <row r="1534" spans="7:14" ht="11.25" customHeight="1" x14ac:dyDescent="0.3">
      <c r="G1534" s="470"/>
      <c r="H1534" s="470">
        <v>1527</v>
      </c>
      <c r="I1534" s="455">
        <f t="shared" ca="1" si="110"/>
        <v>142428244.26544783</v>
      </c>
      <c r="J1534" s="455">
        <f t="array" ref="J1534">IFERROR(INDEX('Retirement Calculator'!K:K,MATCH('Lorri 401b'!N1534,'Retirement Calculator'!A:A,0),0),0)</f>
        <v>0</v>
      </c>
      <c r="K1534" s="455">
        <f t="shared" ca="1" si="108"/>
        <v>593451.01777269924</v>
      </c>
      <c r="L1534" s="455">
        <f t="shared" ca="1" si="109"/>
        <v>143021695.28322053</v>
      </c>
      <c r="M1534" s="471">
        <f t="shared" si="111"/>
        <v>0.05</v>
      </c>
      <c r="N1534" s="475">
        <f t="shared" si="112"/>
        <v>97734</v>
      </c>
    </row>
    <row r="1535" spans="7:14" ht="11.25" customHeight="1" x14ac:dyDescent="0.3">
      <c r="G1535" s="470"/>
      <c r="H1535" s="470">
        <v>1528</v>
      </c>
      <c r="I1535" s="455">
        <f t="shared" ca="1" si="110"/>
        <v>143021695.28322053</v>
      </c>
      <c r="J1535" s="455">
        <f t="array" ref="J1535">IFERROR(INDEX('Retirement Calculator'!K:K,MATCH('Lorri 401b'!N1535,'Retirement Calculator'!A:A,0),0),0)</f>
        <v>0</v>
      </c>
      <c r="K1535" s="455">
        <f t="shared" ca="1" si="108"/>
        <v>595923.73034675221</v>
      </c>
      <c r="L1535" s="455">
        <f t="shared" ca="1" si="109"/>
        <v>143617619.01356727</v>
      </c>
      <c r="M1535" s="471">
        <f t="shared" si="111"/>
        <v>0.05</v>
      </c>
      <c r="N1535" s="475">
        <f t="shared" si="112"/>
        <v>97765</v>
      </c>
    </row>
    <row r="1536" spans="7:14" ht="11.25" customHeight="1" x14ac:dyDescent="0.3">
      <c r="G1536" s="470"/>
      <c r="H1536" s="470">
        <v>1529</v>
      </c>
      <c r="I1536" s="455">
        <f t="shared" ca="1" si="110"/>
        <v>143617619.01356727</v>
      </c>
      <c r="J1536" s="455">
        <f t="array" ref="J1536">IFERROR(INDEX('Retirement Calculator'!K:K,MATCH('Lorri 401b'!N1536,'Retirement Calculator'!A:A,0),0),0)</f>
        <v>0</v>
      </c>
      <c r="K1536" s="455">
        <f t="shared" ca="1" si="108"/>
        <v>598406.74588986358</v>
      </c>
      <c r="L1536" s="455">
        <f t="shared" ca="1" si="109"/>
        <v>144216025.75945714</v>
      </c>
      <c r="M1536" s="471">
        <f t="shared" si="111"/>
        <v>0.05</v>
      </c>
      <c r="N1536" s="475">
        <f t="shared" si="112"/>
        <v>97795</v>
      </c>
    </row>
    <row r="1537" spans="7:14" ht="11.25" customHeight="1" x14ac:dyDescent="0.3">
      <c r="G1537" s="470"/>
      <c r="H1537" s="470">
        <v>1530</v>
      </c>
      <c r="I1537" s="455">
        <f t="shared" ca="1" si="110"/>
        <v>144216025.75945714</v>
      </c>
      <c r="J1537" s="455">
        <f t="array" ref="J1537">IFERROR(INDEX('Retirement Calculator'!K:K,MATCH('Lorri 401b'!N1537,'Retirement Calculator'!A:A,0),0),0)</f>
        <v>0</v>
      </c>
      <c r="K1537" s="455">
        <f t="shared" ca="1" si="108"/>
        <v>600900.1073310714</v>
      </c>
      <c r="L1537" s="455">
        <f t="shared" ca="1" si="109"/>
        <v>144816925.86678821</v>
      </c>
      <c r="M1537" s="471">
        <f t="shared" si="111"/>
        <v>0.05</v>
      </c>
      <c r="N1537" s="475">
        <f t="shared" si="112"/>
        <v>97826</v>
      </c>
    </row>
    <row r="1538" spans="7:14" ht="11.25" customHeight="1" x14ac:dyDescent="0.3">
      <c r="G1538" s="470"/>
      <c r="H1538" s="470">
        <v>1531</v>
      </c>
      <c r="I1538" s="455">
        <f t="shared" ca="1" si="110"/>
        <v>144816925.86678821</v>
      </c>
      <c r="J1538" s="455">
        <f t="array" ref="J1538">IFERROR(INDEX('Retirement Calculator'!K:K,MATCH('Lorri 401b'!N1538,'Retirement Calculator'!A:A,0),0),0)</f>
        <v>0</v>
      </c>
      <c r="K1538" s="455">
        <f t="shared" ref="K1538:K1792" ca="1" si="113">IPMT(M1538/12,1,12,-I1538+J1538,,0)</f>
        <v>603403.85777828423</v>
      </c>
      <c r="L1538" s="455">
        <f t="shared" ref="L1538:L1792" ca="1" si="114">I1538-J1538+K1538</f>
        <v>145420329.72456649</v>
      </c>
      <c r="M1538" s="471">
        <f t="shared" si="111"/>
        <v>0.05</v>
      </c>
      <c r="N1538" s="475">
        <f t="shared" si="112"/>
        <v>97856</v>
      </c>
    </row>
    <row r="1539" spans="7:14" ht="11.25" customHeight="1" x14ac:dyDescent="0.3">
      <c r="G1539" s="470"/>
      <c r="H1539" s="470">
        <v>1532</v>
      </c>
      <c r="I1539" s="455">
        <f t="shared" ref="I1539:I1793" ca="1" si="115">L1538</f>
        <v>145420329.72456649</v>
      </c>
      <c r="J1539" s="455">
        <f t="array" ref="J1539">IFERROR(INDEX('Retirement Calculator'!K:K,MATCH('Lorri 401b'!N1539,'Retirement Calculator'!A:A,0),0),0)</f>
        <v>0</v>
      </c>
      <c r="K1539" s="455">
        <f t="shared" ca="1" si="113"/>
        <v>605918.04051902704</v>
      </c>
      <c r="L1539" s="455">
        <f t="shared" ca="1" si="114"/>
        <v>146026247.76508552</v>
      </c>
      <c r="M1539" s="471">
        <f t="shared" ref="M1539:M1793" si="116">M1538</f>
        <v>0.05</v>
      </c>
      <c r="N1539" s="475">
        <f t="shared" ref="N1539:N1793" si="117">EDATE(N1538,1)</f>
        <v>97887</v>
      </c>
    </row>
    <row r="1540" spans="7:14" ht="11.25" customHeight="1" x14ac:dyDescent="0.3">
      <c r="G1540" s="470"/>
      <c r="H1540" s="470">
        <v>1533</v>
      </c>
      <c r="I1540" s="455">
        <f t="shared" ca="1" si="115"/>
        <v>146026247.76508552</v>
      </c>
      <c r="J1540" s="455">
        <f t="array" ref="J1540">IFERROR(INDEX('Retirement Calculator'!K:K,MATCH('Lorri 401b'!N1540,'Retirement Calculator'!A:A,0),0),0)</f>
        <v>0</v>
      </c>
      <c r="K1540" s="455">
        <f t="shared" ca="1" si="113"/>
        <v>608442.69902118971</v>
      </c>
      <c r="L1540" s="455">
        <f t="shared" ca="1" si="114"/>
        <v>146634690.46410671</v>
      </c>
      <c r="M1540" s="471">
        <f t="shared" si="116"/>
        <v>0.05</v>
      </c>
      <c r="N1540" s="475">
        <f t="shared" si="117"/>
        <v>97918</v>
      </c>
    </row>
    <row r="1541" spans="7:14" ht="11.25" customHeight="1" x14ac:dyDescent="0.3">
      <c r="G1541" s="470"/>
      <c r="H1541" s="470">
        <v>1534</v>
      </c>
      <c r="I1541" s="455">
        <f t="shared" ca="1" si="115"/>
        <v>146634690.46410671</v>
      </c>
      <c r="J1541" s="455">
        <f t="array" ref="J1541">IFERROR(INDEX('Retirement Calculator'!K:K,MATCH('Lorri 401b'!N1541,'Retirement Calculator'!A:A,0),0),0)</f>
        <v>0</v>
      </c>
      <c r="K1541" s="455">
        <f t="shared" ca="1" si="113"/>
        <v>610977.87693377794</v>
      </c>
      <c r="L1541" s="455">
        <f t="shared" ca="1" si="114"/>
        <v>147245668.34104049</v>
      </c>
      <c r="M1541" s="471">
        <f t="shared" si="116"/>
        <v>0.05</v>
      </c>
      <c r="N1541" s="475">
        <f t="shared" si="117"/>
        <v>97947</v>
      </c>
    </row>
    <row r="1542" spans="7:14" ht="11.25" customHeight="1" x14ac:dyDescent="0.3">
      <c r="G1542" s="470"/>
      <c r="H1542" s="470">
        <v>1535</v>
      </c>
      <c r="I1542" s="455">
        <f t="shared" ca="1" si="115"/>
        <v>147245668.34104049</v>
      </c>
      <c r="J1542" s="455">
        <f t="array" ref="J1542">IFERROR(INDEX('Retirement Calculator'!K:K,MATCH('Lorri 401b'!N1542,'Retirement Calculator'!A:A,0),0),0)</f>
        <v>0</v>
      </c>
      <c r="K1542" s="455">
        <f t="shared" ca="1" si="113"/>
        <v>613523.61808766867</v>
      </c>
      <c r="L1542" s="455">
        <f t="shared" ca="1" si="114"/>
        <v>147859191.95912817</v>
      </c>
      <c r="M1542" s="471">
        <f t="shared" si="116"/>
        <v>0.05</v>
      </c>
      <c r="N1542" s="475">
        <f t="shared" si="117"/>
        <v>97978</v>
      </c>
    </row>
    <row r="1543" spans="7:14" ht="11.25" customHeight="1" x14ac:dyDescent="0.3">
      <c r="G1543" s="470"/>
      <c r="H1543" s="470">
        <v>1536</v>
      </c>
      <c r="I1543" s="455">
        <f t="shared" ca="1" si="115"/>
        <v>147859191.95912817</v>
      </c>
      <c r="J1543" s="455">
        <f t="array" ref="J1543">IFERROR(INDEX('Retirement Calculator'!K:K,MATCH('Lorri 401b'!N1543,'Retirement Calculator'!A:A,0),0),0)</f>
        <v>0</v>
      </c>
      <c r="K1543" s="455">
        <f t="shared" ca="1" si="113"/>
        <v>616079.96649636736</v>
      </c>
      <c r="L1543" s="455">
        <f t="shared" ca="1" si="114"/>
        <v>148475271.92562455</v>
      </c>
      <c r="M1543" s="471">
        <f t="shared" si="116"/>
        <v>0.05</v>
      </c>
      <c r="N1543" s="475">
        <f t="shared" si="117"/>
        <v>98008</v>
      </c>
    </row>
    <row r="1544" spans="7:14" ht="11.25" customHeight="1" x14ac:dyDescent="0.3">
      <c r="G1544" s="470"/>
      <c r="H1544" s="470">
        <v>1537</v>
      </c>
      <c r="I1544" s="455">
        <f t="shared" ca="1" si="115"/>
        <v>148475271.92562455</v>
      </c>
      <c r="J1544" s="455">
        <f t="array" ref="J1544">IFERROR(INDEX('Retirement Calculator'!K:K,MATCH('Lorri 401b'!N1544,'Retirement Calculator'!A:A,0),0),0)</f>
        <v>0</v>
      </c>
      <c r="K1544" s="455">
        <f t="shared" ca="1" si="113"/>
        <v>618646.96635676897</v>
      </c>
      <c r="L1544" s="455">
        <f t="shared" ca="1" si="114"/>
        <v>149093918.8919813</v>
      </c>
      <c r="M1544" s="471">
        <f t="shared" si="116"/>
        <v>0.05</v>
      </c>
      <c r="N1544" s="475">
        <f t="shared" si="117"/>
        <v>98039</v>
      </c>
    </row>
    <row r="1545" spans="7:14" ht="11.25" customHeight="1" x14ac:dyDescent="0.3">
      <c r="G1545" s="470"/>
      <c r="H1545" s="470">
        <v>1538</v>
      </c>
      <c r="I1545" s="455">
        <f t="shared" ca="1" si="115"/>
        <v>149093918.8919813</v>
      </c>
      <c r="J1545" s="455">
        <f t="array" ref="J1545">IFERROR(INDEX('Retirement Calculator'!K:K,MATCH('Lorri 401b'!N1545,'Retirement Calculator'!A:A,0),0),0)</f>
        <v>0</v>
      </c>
      <c r="K1545" s="455">
        <f t="shared" ca="1" si="113"/>
        <v>621224.66204992204</v>
      </c>
      <c r="L1545" s="455">
        <f t="shared" ca="1" si="114"/>
        <v>149715143.55403122</v>
      </c>
      <c r="M1545" s="471">
        <f t="shared" si="116"/>
        <v>0.05</v>
      </c>
      <c r="N1545" s="475">
        <f t="shared" si="117"/>
        <v>98069</v>
      </c>
    </row>
    <row r="1546" spans="7:14" ht="11.25" customHeight="1" x14ac:dyDescent="0.3">
      <c r="G1546" s="470"/>
      <c r="H1546" s="470">
        <v>1539</v>
      </c>
      <c r="I1546" s="455">
        <f t="shared" ca="1" si="115"/>
        <v>149715143.55403122</v>
      </c>
      <c r="J1546" s="455">
        <f t="array" ref="J1546">IFERROR(INDEX('Retirement Calculator'!K:K,MATCH('Lorri 401b'!N1546,'Retirement Calculator'!A:A,0),0),0)</f>
        <v>0</v>
      </c>
      <c r="K1546" s="455">
        <f t="shared" ca="1" si="113"/>
        <v>623813.09814179677</v>
      </c>
      <c r="L1546" s="455">
        <f t="shared" ca="1" si="114"/>
        <v>150338956.65217301</v>
      </c>
      <c r="M1546" s="471">
        <f t="shared" si="116"/>
        <v>0.05</v>
      </c>
      <c r="N1546" s="475">
        <f t="shared" si="117"/>
        <v>98100</v>
      </c>
    </row>
    <row r="1547" spans="7:14" ht="11.25" customHeight="1" x14ac:dyDescent="0.3">
      <c r="G1547" s="470"/>
      <c r="H1547" s="470">
        <v>1540</v>
      </c>
      <c r="I1547" s="455">
        <f t="shared" ca="1" si="115"/>
        <v>150338956.65217301</v>
      </c>
      <c r="J1547" s="455">
        <f t="array" ref="J1547">IFERROR(INDEX('Retirement Calculator'!K:K,MATCH('Lorri 401b'!N1547,'Retirement Calculator'!A:A,0),0),0)</f>
        <v>0</v>
      </c>
      <c r="K1547" s="455">
        <f t="shared" ca="1" si="113"/>
        <v>626412.31938405416</v>
      </c>
      <c r="L1547" s="455">
        <f t="shared" ca="1" si="114"/>
        <v>150965368.97155708</v>
      </c>
      <c r="M1547" s="471">
        <f t="shared" si="116"/>
        <v>0.05</v>
      </c>
      <c r="N1547" s="475">
        <f t="shared" si="117"/>
        <v>98131</v>
      </c>
    </row>
    <row r="1548" spans="7:14" ht="11.25" customHeight="1" x14ac:dyDescent="0.3">
      <c r="G1548" s="470"/>
      <c r="H1548" s="470">
        <v>1541</v>
      </c>
      <c r="I1548" s="455">
        <f t="shared" ca="1" si="115"/>
        <v>150965368.97155708</v>
      </c>
      <c r="J1548" s="455">
        <f t="array" ref="J1548">IFERROR(INDEX('Retirement Calculator'!K:K,MATCH('Lorri 401b'!N1548,'Retirement Calculator'!A:A,0),0),0)</f>
        <v>0</v>
      </c>
      <c r="K1548" s="455">
        <f t="shared" ca="1" si="113"/>
        <v>629022.37071482115</v>
      </c>
      <c r="L1548" s="455">
        <f t="shared" ca="1" si="114"/>
        <v>151594391.34227189</v>
      </c>
      <c r="M1548" s="471">
        <f t="shared" si="116"/>
        <v>0.05</v>
      </c>
      <c r="N1548" s="475">
        <f t="shared" si="117"/>
        <v>98161</v>
      </c>
    </row>
    <row r="1549" spans="7:14" ht="11.25" customHeight="1" x14ac:dyDescent="0.3">
      <c r="G1549" s="470"/>
      <c r="H1549" s="470">
        <v>1542</v>
      </c>
      <c r="I1549" s="455">
        <f t="shared" ca="1" si="115"/>
        <v>151594391.34227189</v>
      </c>
      <c r="J1549" s="455">
        <f t="array" ref="J1549">IFERROR(INDEX('Retirement Calculator'!K:K,MATCH('Lorri 401b'!N1549,'Retirement Calculator'!A:A,0),0),0)</f>
        <v>0</v>
      </c>
      <c r="K1549" s="455">
        <f t="shared" ca="1" si="113"/>
        <v>631643.29725946626</v>
      </c>
      <c r="L1549" s="455">
        <f t="shared" ca="1" si="114"/>
        <v>152226034.63953137</v>
      </c>
      <c r="M1549" s="471">
        <f t="shared" si="116"/>
        <v>0.05</v>
      </c>
      <c r="N1549" s="475">
        <f t="shared" si="117"/>
        <v>98192</v>
      </c>
    </row>
    <row r="1550" spans="7:14" ht="11.25" customHeight="1" x14ac:dyDescent="0.3">
      <c r="G1550" s="470"/>
      <c r="H1550" s="470">
        <v>1543</v>
      </c>
      <c r="I1550" s="455">
        <f t="shared" ca="1" si="115"/>
        <v>152226034.63953137</v>
      </c>
      <c r="J1550" s="455">
        <f t="array" ref="J1550">IFERROR(INDEX('Retirement Calculator'!K:K,MATCH('Lorri 401b'!N1550,'Retirement Calculator'!A:A,0),0),0)</f>
        <v>0</v>
      </c>
      <c r="K1550" s="455">
        <f t="shared" ca="1" si="113"/>
        <v>634275.14433138072</v>
      </c>
      <c r="L1550" s="455">
        <f t="shared" ca="1" si="114"/>
        <v>152860309.78386277</v>
      </c>
      <c r="M1550" s="471">
        <f t="shared" si="116"/>
        <v>0.05</v>
      </c>
      <c r="N1550" s="475">
        <f t="shared" si="117"/>
        <v>98222</v>
      </c>
    </row>
    <row r="1551" spans="7:14" ht="11.25" customHeight="1" x14ac:dyDescent="0.3">
      <c r="G1551" s="470"/>
      <c r="H1551" s="470">
        <v>1544</v>
      </c>
      <c r="I1551" s="455">
        <f t="shared" ca="1" si="115"/>
        <v>152860309.78386277</v>
      </c>
      <c r="J1551" s="455">
        <f t="array" ref="J1551">IFERROR(INDEX('Retirement Calculator'!K:K,MATCH('Lorri 401b'!N1551,'Retirement Calculator'!A:A,0),0),0)</f>
        <v>0</v>
      </c>
      <c r="K1551" s="455">
        <f t="shared" ca="1" si="113"/>
        <v>636917.95743276156</v>
      </c>
      <c r="L1551" s="455">
        <f t="shared" ca="1" si="114"/>
        <v>153497227.74129552</v>
      </c>
      <c r="M1551" s="471">
        <f t="shared" si="116"/>
        <v>0.05</v>
      </c>
      <c r="N1551" s="475">
        <f t="shared" si="117"/>
        <v>98253</v>
      </c>
    </row>
    <row r="1552" spans="7:14" ht="11.25" customHeight="1" x14ac:dyDescent="0.3">
      <c r="G1552" s="470"/>
      <c r="H1552" s="470">
        <v>1545</v>
      </c>
      <c r="I1552" s="455">
        <f t="shared" ca="1" si="115"/>
        <v>153497227.74129552</v>
      </c>
      <c r="J1552" s="455">
        <f t="array" ref="J1552">IFERROR(INDEX('Retirement Calculator'!K:K,MATCH('Lorri 401b'!N1552,'Retirement Calculator'!A:A,0),0),0)</f>
        <v>0</v>
      </c>
      <c r="K1552" s="455">
        <f t="shared" ca="1" si="113"/>
        <v>639571.78225539799</v>
      </c>
      <c r="L1552" s="455">
        <f t="shared" ca="1" si="114"/>
        <v>154136799.52355093</v>
      </c>
      <c r="M1552" s="471">
        <f t="shared" si="116"/>
        <v>0.05</v>
      </c>
      <c r="N1552" s="475">
        <f t="shared" si="117"/>
        <v>98284</v>
      </c>
    </row>
    <row r="1553" spans="7:14" ht="11.25" customHeight="1" x14ac:dyDescent="0.3">
      <c r="G1553" s="470"/>
      <c r="H1553" s="470">
        <v>1546</v>
      </c>
      <c r="I1553" s="455">
        <f t="shared" ca="1" si="115"/>
        <v>154136799.52355093</v>
      </c>
      <c r="J1553" s="455">
        <f t="array" ref="J1553">IFERROR(INDEX('Retirement Calculator'!K:K,MATCH('Lorri 401b'!N1553,'Retirement Calculator'!A:A,0),0),0)</f>
        <v>0</v>
      </c>
      <c r="K1553" s="455">
        <f t="shared" ca="1" si="113"/>
        <v>642236.66468146222</v>
      </c>
      <c r="L1553" s="455">
        <f t="shared" ca="1" si="114"/>
        <v>154779036.18823239</v>
      </c>
      <c r="M1553" s="471">
        <f t="shared" si="116"/>
        <v>0.05</v>
      </c>
      <c r="N1553" s="475">
        <f t="shared" si="117"/>
        <v>98312</v>
      </c>
    </row>
    <row r="1554" spans="7:14" ht="11.25" customHeight="1" x14ac:dyDescent="0.3">
      <c r="G1554" s="470"/>
      <c r="H1554" s="470">
        <v>1547</v>
      </c>
      <c r="I1554" s="455">
        <f t="shared" ca="1" si="115"/>
        <v>154779036.18823239</v>
      </c>
      <c r="J1554" s="455">
        <f t="array" ref="J1554">IFERROR(INDEX('Retirement Calculator'!K:K,MATCH('Lorri 401b'!N1554,'Retirement Calculator'!A:A,0),0),0)</f>
        <v>0</v>
      </c>
      <c r="K1554" s="455">
        <f t="shared" ca="1" si="113"/>
        <v>644912.65078430157</v>
      </c>
      <c r="L1554" s="455">
        <f t="shared" ca="1" si="114"/>
        <v>155423948.83901671</v>
      </c>
      <c r="M1554" s="471">
        <f t="shared" si="116"/>
        <v>0.05</v>
      </c>
      <c r="N1554" s="475">
        <f t="shared" si="117"/>
        <v>98343</v>
      </c>
    </row>
    <row r="1555" spans="7:14" ht="11.25" customHeight="1" x14ac:dyDescent="0.3">
      <c r="G1555" s="470"/>
      <c r="H1555" s="470">
        <v>1548</v>
      </c>
      <c r="I1555" s="455">
        <f t="shared" ca="1" si="115"/>
        <v>155423948.83901671</v>
      </c>
      <c r="J1555" s="455">
        <f t="array" ref="J1555">IFERROR(INDEX('Retirement Calculator'!K:K,MATCH('Lorri 401b'!N1555,'Retirement Calculator'!A:A,0),0),0)</f>
        <v>0</v>
      </c>
      <c r="K1555" s="455">
        <f t="shared" ca="1" si="113"/>
        <v>647599.78682923631</v>
      </c>
      <c r="L1555" s="455">
        <f t="shared" ca="1" si="114"/>
        <v>156071548.62584594</v>
      </c>
      <c r="M1555" s="471">
        <f t="shared" si="116"/>
        <v>0.05</v>
      </c>
      <c r="N1555" s="475">
        <f t="shared" si="117"/>
        <v>98373</v>
      </c>
    </row>
    <row r="1556" spans="7:14" ht="11.25" customHeight="1" x14ac:dyDescent="0.3">
      <c r="G1556" s="470"/>
      <c r="H1556" s="470">
        <v>1549</v>
      </c>
      <c r="I1556" s="455">
        <f t="shared" ca="1" si="115"/>
        <v>156071548.62584594</v>
      </c>
      <c r="J1556" s="455">
        <f t="array" ref="J1556">IFERROR(INDEX('Retirement Calculator'!K:K,MATCH('Lorri 401b'!N1556,'Retirement Calculator'!A:A,0),0),0)</f>
        <v>0</v>
      </c>
      <c r="K1556" s="455">
        <f t="shared" ca="1" si="113"/>
        <v>650298.11927435803</v>
      </c>
      <c r="L1556" s="455">
        <f t="shared" ca="1" si="114"/>
        <v>156721846.74512029</v>
      </c>
      <c r="M1556" s="471">
        <f t="shared" si="116"/>
        <v>0.05</v>
      </c>
      <c r="N1556" s="475">
        <f t="shared" si="117"/>
        <v>98404</v>
      </c>
    </row>
    <row r="1557" spans="7:14" ht="11.25" customHeight="1" x14ac:dyDescent="0.3">
      <c r="G1557" s="470"/>
      <c r="H1557" s="470">
        <v>1550</v>
      </c>
      <c r="I1557" s="455">
        <f t="shared" ca="1" si="115"/>
        <v>156721846.74512029</v>
      </c>
      <c r="J1557" s="455">
        <f t="array" ref="J1557">IFERROR(INDEX('Retirement Calculator'!K:K,MATCH('Lorri 401b'!N1557,'Retirement Calculator'!A:A,0),0),0)</f>
        <v>0</v>
      </c>
      <c r="K1557" s="455">
        <f t="shared" ca="1" si="113"/>
        <v>653007.69477133453</v>
      </c>
      <c r="L1557" s="455">
        <f t="shared" ca="1" si="114"/>
        <v>157374854.43989164</v>
      </c>
      <c r="M1557" s="471">
        <f t="shared" si="116"/>
        <v>0.05</v>
      </c>
      <c r="N1557" s="475">
        <f t="shared" si="117"/>
        <v>98434</v>
      </c>
    </row>
    <row r="1558" spans="7:14" ht="11.25" customHeight="1" x14ac:dyDescent="0.3">
      <c r="G1558" s="470"/>
      <c r="H1558" s="470">
        <v>1551</v>
      </c>
      <c r="I1558" s="455">
        <f t="shared" ca="1" si="115"/>
        <v>157374854.43989164</v>
      </c>
      <c r="J1558" s="455">
        <f t="array" ref="J1558">IFERROR(INDEX('Retirement Calculator'!K:K,MATCH('Lorri 401b'!N1558,'Retirement Calculator'!A:A,0),0),0)</f>
        <v>0</v>
      </c>
      <c r="K1558" s="455">
        <f t="shared" ca="1" si="113"/>
        <v>655728.56016621517</v>
      </c>
      <c r="L1558" s="455">
        <f t="shared" ca="1" si="114"/>
        <v>158030583.00005785</v>
      </c>
      <c r="M1558" s="471">
        <f t="shared" si="116"/>
        <v>0.05</v>
      </c>
      <c r="N1558" s="475">
        <f t="shared" si="117"/>
        <v>98465</v>
      </c>
    </row>
    <row r="1559" spans="7:14" ht="11.25" customHeight="1" x14ac:dyDescent="0.3">
      <c r="G1559" s="470"/>
      <c r="H1559" s="470">
        <v>1552</v>
      </c>
      <c r="I1559" s="455">
        <f t="shared" ca="1" si="115"/>
        <v>158030583.00005785</v>
      </c>
      <c r="J1559" s="455">
        <f t="array" ref="J1559">IFERROR(INDEX('Retirement Calculator'!K:K,MATCH('Lorri 401b'!N1559,'Retirement Calculator'!A:A,0),0),0)</f>
        <v>0</v>
      </c>
      <c r="K1559" s="455">
        <f t="shared" ca="1" si="113"/>
        <v>658460.76250024105</v>
      </c>
      <c r="L1559" s="455">
        <f t="shared" ca="1" si="114"/>
        <v>158689043.76255807</v>
      </c>
      <c r="M1559" s="471">
        <f t="shared" si="116"/>
        <v>0.05</v>
      </c>
      <c r="N1559" s="475">
        <f t="shared" si="117"/>
        <v>98496</v>
      </c>
    </row>
    <row r="1560" spans="7:14" ht="11.25" customHeight="1" x14ac:dyDescent="0.3">
      <c r="G1560" s="470"/>
      <c r="H1560" s="470">
        <v>1553</v>
      </c>
      <c r="I1560" s="455">
        <f t="shared" ca="1" si="115"/>
        <v>158689043.76255807</v>
      </c>
      <c r="J1560" s="455">
        <f t="array" ref="J1560">IFERROR(INDEX('Retirement Calculator'!K:K,MATCH('Lorri 401b'!N1560,'Retirement Calculator'!A:A,0),0),0)</f>
        <v>0</v>
      </c>
      <c r="K1560" s="455">
        <f t="shared" ca="1" si="113"/>
        <v>661204.34901065868</v>
      </c>
      <c r="L1560" s="455">
        <f t="shared" ca="1" si="114"/>
        <v>159350248.11156872</v>
      </c>
      <c r="M1560" s="471">
        <f t="shared" si="116"/>
        <v>0.05</v>
      </c>
      <c r="N1560" s="475">
        <f t="shared" si="117"/>
        <v>98526</v>
      </c>
    </row>
    <row r="1561" spans="7:14" ht="11.25" customHeight="1" x14ac:dyDescent="0.3">
      <c r="G1561" s="470"/>
      <c r="H1561" s="470">
        <v>1554</v>
      </c>
      <c r="I1561" s="455">
        <f t="shared" ca="1" si="115"/>
        <v>159350248.11156872</v>
      </c>
      <c r="J1561" s="455">
        <f t="array" ref="J1561">IFERROR(INDEX('Retirement Calculator'!K:K,MATCH('Lorri 401b'!N1561,'Retirement Calculator'!A:A,0),0),0)</f>
        <v>0</v>
      </c>
      <c r="K1561" s="455">
        <f t="shared" ca="1" si="113"/>
        <v>663959.36713153636</v>
      </c>
      <c r="L1561" s="455">
        <f t="shared" ca="1" si="114"/>
        <v>160014207.47870025</v>
      </c>
      <c r="M1561" s="471">
        <f t="shared" si="116"/>
        <v>0.05</v>
      </c>
      <c r="N1561" s="475">
        <f t="shared" si="117"/>
        <v>98557</v>
      </c>
    </row>
    <row r="1562" spans="7:14" ht="11.25" customHeight="1" x14ac:dyDescent="0.3">
      <c r="G1562" s="470"/>
      <c r="H1562" s="470">
        <v>1555</v>
      </c>
      <c r="I1562" s="455">
        <f t="shared" ca="1" si="115"/>
        <v>160014207.47870025</v>
      </c>
      <c r="J1562" s="455">
        <f t="array" ref="J1562">IFERROR(INDEX('Retirement Calculator'!K:K,MATCH('Lorri 401b'!N1562,'Retirement Calculator'!A:A,0),0),0)</f>
        <v>0</v>
      </c>
      <c r="K1562" s="455">
        <f t="shared" ca="1" si="113"/>
        <v>666725.86449458438</v>
      </c>
      <c r="L1562" s="455">
        <f t="shared" ca="1" si="114"/>
        <v>160680933.34319484</v>
      </c>
      <c r="M1562" s="471">
        <f t="shared" si="116"/>
        <v>0.05</v>
      </c>
      <c r="N1562" s="475">
        <f t="shared" si="117"/>
        <v>98587</v>
      </c>
    </row>
    <row r="1563" spans="7:14" ht="11.25" customHeight="1" x14ac:dyDescent="0.3">
      <c r="G1563" s="470"/>
      <c r="H1563" s="470">
        <v>1556</v>
      </c>
      <c r="I1563" s="455">
        <f t="shared" ca="1" si="115"/>
        <v>160680933.34319484</v>
      </c>
      <c r="J1563" s="455">
        <f t="array" ref="J1563">IFERROR(INDEX('Retirement Calculator'!K:K,MATCH('Lorri 401b'!N1563,'Retirement Calculator'!A:A,0),0),0)</f>
        <v>0</v>
      </c>
      <c r="K1563" s="455">
        <f t="shared" ca="1" si="113"/>
        <v>669503.88892997848</v>
      </c>
      <c r="L1563" s="455">
        <f t="shared" ca="1" si="114"/>
        <v>161350437.23212484</v>
      </c>
      <c r="M1563" s="471">
        <f t="shared" si="116"/>
        <v>0.05</v>
      </c>
      <c r="N1563" s="475">
        <f t="shared" si="117"/>
        <v>98618</v>
      </c>
    </row>
    <row r="1564" spans="7:14" ht="11.25" customHeight="1" x14ac:dyDescent="0.3">
      <c r="G1564" s="470"/>
      <c r="H1564" s="470">
        <v>1557</v>
      </c>
      <c r="I1564" s="455">
        <f t="shared" ca="1" si="115"/>
        <v>161350437.23212484</v>
      </c>
      <c r="J1564" s="455">
        <f t="array" ref="J1564">IFERROR(INDEX('Retirement Calculator'!K:K,MATCH('Lorri 401b'!N1564,'Retirement Calculator'!A:A,0),0),0)</f>
        <v>0</v>
      </c>
      <c r="K1564" s="455">
        <f t="shared" ca="1" si="113"/>
        <v>672293.48846718681</v>
      </c>
      <c r="L1564" s="455">
        <f t="shared" ca="1" si="114"/>
        <v>162022730.72059202</v>
      </c>
      <c r="M1564" s="471">
        <f t="shared" si="116"/>
        <v>0.05</v>
      </c>
      <c r="N1564" s="475">
        <f t="shared" si="117"/>
        <v>98649</v>
      </c>
    </row>
    <row r="1565" spans="7:14" ht="11.25" customHeight="1" x14ac:dyDescent="0.3">
      <c r="G1565" s="470"/>
      <c r="H1565" s="470">
        <v>1558</v>
      </c>
      <c r="I1565" s="455">
        <f t="shared" ca="1" si="115"/>
        <v>162022730.72059202</v>
      </c>
      <c r="J1565" s="455">
        <f t="array" ref="J1565">IFERROR(INDEX('Retirement Calculator'!K:K,MATCH('Lorri 401b'!N1565,'Retirement Calculator'!A:A,0),0),0)</f>
        <v>0</v>
      </c>
      <c r="K1565" s="455">
        <f t="shared" ca="1" si="113"/>
        <v>675094.71133580012</v>
      </c>
      <c r="L1565" s="455">
        <f t="shared" ca="1" si="114"/>
        <v>162697825.43192783</v>
      </c>
      <c r="M1565" s="471">
        <f t="shared" si="116"/>
        <v>0.05</v>
      </c>
      <c r="N1565" s="475">
        <f t="shared" si="117"/>
        <v>98677</v>
      </c>
    </row>
    <row r="1566" spans="7:14" ht="11.25" customHeight="1" x14ac:dyDescent="0.3">
      <c r="G1566" s="470"/>
      <c r="H1566" s="470">
        <v>1559</v>
      </c>
      <c r="I1566" s="455">
        <f t="shared" ca="1" si="115"/>
        <v>162697825.43192783</v>
      </c>
      <c r="J1566" s="455">
        <f t="array" ref="J1566">IFERROR(INDEX('Retirement Calculator'!K:K,MATCH('Lorri 401b'!N1566,'Retirement Calculator'!A:A,0),0),0)</f>
        <v>0</v>
      </c>
      <c r="K1566" s="455">
        <f t="shared" ca="1" si="113"/>
        <v>677907.6059663659</v>
      </c>
      <c r="L1566" s="455">
        <f t="shared" ca="1" si="114"/>
        <v>163375733.03789419</v>
      </c>
      <c r="M1566" s="471">
        <f t="shared" si="116"/>
        <v>0.05</v>
      </c>
      <c r="N1566" s="475">
        <f t="shared" si="117"/>
        <v>98708</v>
      </c>
    </row>
    <row r="1567" spans="7:14" ht="11.25" customHeight="1" x14ac:dyDescent="0.3">
      <c r="G1567" s="470"/>
      <c r="H1567" s="470">
        <v>1560</v>
      </c>
      <c r="I1567" s="455">
        <f t="shared" ca="1" si="115"/>
        <v>163375733.03789419</v>
      </c>
      <c r="J1567" s="455">
        <f t="array" ref="J1567">IFERROR(INDEX('Retirement Calculator'!K:K,MATCH('Lorri 401b'!N1567,'Retirement Calculator'!A:A,0),0),0)</f>
        <v>0</v>
      </c>
      <c r="K1567" s="455">
        <f t="shared" ca="1" si="113"/>
        <v>680732.2209912258</v>
      </c>
      <c r="L1567" s="455">
        <f t="shared" ca="1" si="114"/>
        <v>164056465.25888541</v>
      </c>
      <c r="M1567" s="471">
        <f t="shared" si="116"/>
        <v>0.05</v>
      </c>
      <c r="N1567" s="475">
        <f t="shared" si="117"/>
        <v>98738</v>
      </c>
    </row>
    <row r="1568" spans="7:14" ht="11.25" customHeight="1" x14ac:dyDescent="0.3">
      <c r="G1568" s="470"/>
      <c r="H1568" s="470">
        <v>1561</v>
      </c>
      <c r="I1568" s="455">
        <f t="shared" ca="1" si="115"/>
        <v>164056465.25888541</v>
      </c>
      <c r="J1568" s="455">
        <f t="array" ref="J1568">IFERROR(INDEX('Retirement Calculator'!K:K,MATCH('Lorri 401b'!N1568,'Retirement Calculator'!A:A,0),0),0)</f>
        <v>0</v>
      </c>
      <c r="K1568" s="455">
        <f t="shared" ca="1" si="113"/>
        <v>683568.60524535587</v>
      </c>
      <c r="L1568" s="455">
        <f t="shared" ca="1" si="114"/>
        <v>164740033.86413077</v>
      </c>
      <c r="M1568" s="471">
        <f t="shared" si="116"/>
        <v>0.05</v>
      </c>
      <c r="N1568" s="475">
        <f t="shared" si="117"/>
        <v>98769</v>
      </c>
    </row>
    <row r="1569" spans="7:14" ht="11.25" customHeight="1" x14ac:dyDescent="0.3">
      <c r="G1569" s="470"/>
      <c r="H1569" s="470">
        <v>1562</v>
      </c>
      <c r="I1569" s="455">
        <f t="shared" ca="1" si="115"/>
        <v>164740033.86413077</v>
      </c>
      <c r="J1569" s="455">
        <f t="array" ref="J1569">IFERROR(INDEX('Retirement Calculator'!K:K,MATCH('Lorri 401b'!N1569,'Retirement Calculator'!A:A,0),0),0)</f>
        <v>0</v>
      </c>
      <c r="K1569" s="455">
        <f t="shared" ca="1" si="113"/>
        <v>686416.80776721146</v>
      </c>
      <c r="L1569" s="455">
        <f t="shared" ca="1" si="114"/>
        <v>165426450.67189798</v>
      </c>
      <c r="M1569" s="471">
        <f t="shared" si="116"/>
        <v>0.05</v>
      </c>
      <c r="N1569" s="475">
        <f t="shared" si="117"/>
        <v>98799</v>
      </c>
    </row>
    <row r="1570" spans="7:14" ht="11.25" customHeight="1" x14ac:dyDescent="0.3">
      <c r="G1570" s="470"/>
      <c r="H1570" s="470">
        <v>1563</v>
      </c>
      <c r="I1570" s="455">
        <f t="shared" ca="1" si="115"/>
        <v>165426450.67189798</v>
      </c>
      <c r="J1570" s="455">
        <f t="array" ref="J1570">IFERROR(INDEX('Retirement Calculator'!K:K,MATCH('Lorri 401b'!N1570,'Retirement Calculator'!A:A,0),0),0)</f>
        <v>0</v>
      </c>
      <c r="K1570" s="455">
        <f t="shared" ca="1" si="113"/>
        <v>689276.87779957487</v>
      </c>
      <c r="L1570" s="455">
        <f t="shared" ca="1" si="114"/>
        <v>166115727.54969755</v>
      </c>
      <c r="M1570" s="471">
        <f t="shared" si="116"/>
        <v>0.05</v>
      </c>
      <c r="N1570" s="475">
        <f t="shared" si="117"/>
        <v>98830</v>
      </c>
    </row>
    <row r="1571" spans="7:14" ht="11.25" customHeight="1" x14ac:dyDescent="0.3">
      <c r="G1571" s="470"/>
      <c r="H1571" s="470">
        <v>1564</v>
      </c>
      <c r="I1571" s="455">
        <f t="shared" ca="1" si="115"/>
        <v>166115727.54969755</v>
      </c>
      <c r="J1571" s="455">
        <f t="array" ref="J1571">IFERROR(INDEX('Retirement Calculator'!K:K,MATCH('Lorri 401b'!N1571,'Retirement Calculator'!A:A,0),0),0)</f>
        <v>0</v>
      </c>
      <c r="K1571" s="455">
        <f t="shared" ca="1" si="113"/>
        <v>692148.86479040643</v>
      </c>
      <c r="L1571" s="455">
        <f t="shared" ca="1" si="114"/>
        <v>166807876.41448796</v>
      </c>
      <c r="M1571" s="471">
        <f t="shared" si="116"/>
        <v>0.05</v>
      </c>
      <c r="N1571" s="475">
        <f t="shared" si="117"/>
        <v>98861</v>
      </c>
    </row>
    <row r="1572" spans="7:14" ht="11.25" customHeight="1" x14ac:dyDescent="0.3">
      <c r="G1572" s="470"/>
      <c r="H1572" s="470">
        <v>1565</v>
      </c>
      <c r="I1572" s="455">
        <f t="shared" ca="1" si="115"/>
        <v>166807876.41448796</v>
      </c>
      <c r="J1572" s="455">
        <f t="array" ref="J1572">IFERROR(INDEX('Retirement Calculator'!K:K,MATCH('Lorri 401b'!N1572,'Retirement Calculator'!A:A,0),0),0)</f>
        <v>0</v>
      </c>
      <c r="K1572" s="455">
        <f t="shared" ca="1" si="113"/>
        <v>695032.81839369982</v>
      </c>
      <c r="L1572" s="455">
        <f t="shared" ca="1" si="114"/>
        <v>167502909.23288167</v>
      </c>
      <c r="M1572" s="471">
        <f t="shared" si="116"/>
        <v>0.05</v>
      </c>
      <c r="N1572" s="475">
        <f t="shared" si="117"/>
        <v>98891</v>
      </c>
    </row>
    <row r="1573" spans="7:14" ht="11.25" customHeight="1" x14ac:dyDescent="0.3">
      <c r="G1573" s="470"/>
      <c r="H1573" s="470">
        <v>1566</v>
      </c>
      <c r="I1573" s="455">
        <f t="shared" ca="1" si="115"/>
        <v>167502909.23288167</v>
      </c>
      <c r="J1573" s="455">
        <f t="array" ref="J1573">IFERROR(INDEX('Retirement Calculator'!K:K,MATCH('Lorri 401b'!N1573,'Retirement Calculator'!A:A,0),0),0)</f>
        <v>0</v>
      </c>
      <c r="K1573" s="455">
        <f t="shared" ca="1" si="113"/>
        <v>697928.78847034031</v>
      </c>
      <c r="L1573" s="455">
        <f t="shared" ca="1" si="114"/>
        <v>168200838.02135199</v>
      </c>
      <c r="M1573" s="471">
        <f t="shared" si="116"/>
        <v>0.05</v>
      </c>
      <c r="N1573" s="475">
        <f t="shared" si="117"/>
        <v>98922</v>
      </c>
    </row>
    <row r="1574" spans="7:14" ht="11.25" customHeight="1" x14ac:dyDescent="0.3">
      <c r="G1574" s="470"/>
      <c r="H1574" s="470">
        <v>1567</v>
      </c>
      <c r="I1574" s="455">
        <f t="shared" ca="1" si="115"/>
        <v>168200838.02135199</v>
      </c>
      <c r="J1574" s="455">
        <f t="array" ref="J1574">IFERROR(INDEX('Retirement Calculator'!K:K,MATCH('Lorri 401b'!N1574,'Retirement Calculator'!A:A,0),0),0)</f>
        <v>0</v>
      </c>
      <c r="K1574" s="455">
        <f t="shared" ca="1" si="113"/>
        <v>700836.82508896664</v>
      </c>
      <c r="L1574" s="455">
        <f t="shared" ca="1" si="114"/>
        <v>168901674.84644097</v>
      </c>
      <c r="M1574" s="471">
        <f t="shared" si="116"/>
        <v>0.05</v>
      </c>
      <c r="N1574" s="475">
        <f t="shared" si="117"/>
        <v>98952</v>
      </c>
    </row>
    <row r="1575" spans="7:14" ht="11.25" customHeight="1" x14ac:dyDescent="0.3">
      <c r="G1575" s="470"/>
      <c r="H1575" s="470">
        <v>1568</v>
      </c>
      <c r="I1575" s="455">
        <f t="shared" ca="1" si="115"/>
        <v>168901674.84644097</v>
      </c>
      <c r="J1575" s="455">
        <f t="array" ref="J1575">IFERROR(INDEX('Retirement Calculator'!K:K,MATCH('Lorri 401b'!N1575,'Retirement Calculator'!A:A,0),0),0)</f>
        <v>0</v>
      </c>
      <c r="K1575" s="455">
        <f t="shared" ca="1" si="113"/>
        <v>703756.97852683743</v>
      </c>
      <c r="L1575" s="455">
        <f t="shared" ca="1" si="114"/>
        <v>169605431.8249678</v>
      </c>
      <c r="M1575" s="471">
        <f t="shared" si="116"/>
        <v>0.05</v>
      </c>
      <c r="N1575" s="475">
        <f t="shared" si="117"/>
        <v>98983</v>
      </c>
    </row>
    <row r="1576" spans="7:14" ht="11.25" customHeight="1" x14ac:dyDescent="0.3">
      <c r="G1576" s="470"/>
      <c r="H1576" s="470">
        <v>1569</v>
      </c>
      <c r="I1576" s="455">
        <f t="shared" ca="1" si="115"/>
        <v>169605431.8249678</v>
      </c>
      <c r="J1576" s="455">
        <f t="array" ref="J1576">IFERROR(INDEX('Retirement Calculator'!K:K,MATCH('Lorri 401b'!N1576,'Retirement Calculator'!A:A,0),0),0)</f>
        <v>0</v>
      </c>
      <c r="K1576" s="455">
        <f t="shared" ca="1" si="113"/>
        <v>706689.29927069915</v>
      </c>
      <c r="L1576" s="455">
        <f t="shared" ca="1" si="114"/>
        <v>170312121.12423849</v>
      </c>
      <c r="M1576" s="471">
        <f t="shared" si="116"/>
        <v>0.05</v>
      </c>
      <c r="N1576" s="475">
        <f t="shared" si="117"/>
        <v>99014</v>
      </c>
    </row>
    <row r="1577" spans="7:14" ht="11.25" customHeight="1" x14ac:dyDescent="0.3">
      <c r="G1577" s="470"/>
      <c r="H1577" s="470">
        <v>1570</v>
      </c>
      <c r="I1577" s="455">
        <f t="shared" ca="1" si="115"/>
        <v>170312121.12423849</v>
      </c>
      <c r="J1577" s="455">
        <f t="array" ref="J1577">IFERROR(INDEX('Retirement Calculator'!K:K,MATCH('Lorri 401b'!N1577,'Retirement Calculator'!A:A,0),0),0)</f>
        <v>0</v>
      </c>
      <c r="K1577" s="455">
        <f t="shared" ca="1" si="113"/>
        <v>709633.83801766043</v>
      </c>
      <c r="L1577" s="455">
        <f t="shared" ca="1" si="114"/>
        <v>171021754.96225616</v>
      </c>
      <c r="M1577" s="471">
        <f t="shared" si="116"/>
        <v>0.05</v>
      </c>
      <c r="N1577" s="475">
        <f t="shared" si="117"/>
        <v>99042</v>
      </c>
    </row>
    <row r="1578" spans="7:14" ht="11.25" customHeight="1" x14ac:dyDescent="0.3">
      <c r="G1578" s="470"/>
      <c r="H1578" s="470">
        <v>1571</v>
      </c>
      <c r="I1578" s="455">
        <f t="shared" ca="1" si="115"/>
        <v>171021754.96225616</v>
      </c>
      <c r="J1578" s="455">
        <f t="array" ref="J1578">IFERROR(INDEX('Retirement Calculator'!K:K,MATCH('Lorri 401b'!N1578,'Retirement Calculator'!A:A,0),0),0)</f>
        <v>0</v>
      </c>
      <c r="K1578" s="455">
        <f t="shared" ca="1" si="113"/>
        <v>712590.64567606733</v>
      </c>
      <c r="L1578" s="455">
        <f t="shared" ca="1" si="114"/>
        <v>171734345.60793224</v>
      </c>
      <c r="M1578" s="471">
        <f t="shared" si="116"/>
        <v>0.05</v>
      </c>
      <c r="N1578" s="475">
        <f t="shared" si="117"/>
        <v>99073</v>
      </c>
    </row>
    <row r="1579" spans="7:14" ht="11.25" customHeight="1" x14ac:dyDescent="0.3">
      <c r="G1579" s="470"/>
      <c r="H1579" s="470">
        <v>1572</v>
      </c>
      <c r="I1579" s="455">
        <f t="shared" ca="1" si="115"/>
        <v>171734345.60793224</v>
      </c>
      <c r="J1579" s="455">
        <f t="array" ref="J1579">IFERROR(INDEX('Retirement Calculator'!K:K,MATCH('Lorri 401b'!N1579,'Retirement Calculator'!A:A,0),0),0)</f>
        <v>0</v>
      </c>
      <c r="K1579" s="455">
        <f t="shared" ca="1" si="113"/>
        <v>715559.77336638432</v>
      </c>
      <c r="L1579" s="455">
        <f t="shared" ca="1" si="114"/>
        <v>172449905.38129863</v>
      </c>
      <c r="M1579" s="471">
        <f t="shared" si="116"/>
        <v>0.05</v>
      </c>
      <c r="N1579" s="475">
        <f t="shared" si="117"/>
        <v>99103</v>
      </c>
    </row>
    <row r="1580" spans="7:14" ht="11.25" customHeight="1" x14ac:dyDescent="0.3">
      <c r="G1580" s="470"/>
      <c r="H1580" s="470">
        <v>1573</v>
      </c>
      <c r="I1580" s="455">
        <f t="shared" ca="1" si="115"/>
        <v>172449905.38129863</v>
      </c>
      <c r="J1580" s="455">
        <f t="array" ref="J1580">IFERROR(INDEX('Retirement Calculator'!K:K,MATCH('Lorri 401b'!N1580,'Retirement Calculator'!A:A,0),0),0)</f>
        <v>0</v>
      </c>
      <c r="K1580" s="455">
        <f t="shared" ca="1" si="113"/>
        <v>718541.2724220776</v>
      </c>
      <c r="L1580" s="455">
        <f t="shared" ca="1" si="114"/>
        <v>173168446.65372071</v>
      </c>
      <c r="M1580" s="471">
        <f t="shared" si="116"/>
        <v>0.05</v>
      </c>
      <c r="N1580" s="475">
        <f t="shared" si="117"/>
        <v>99134</v>
      </c>
    </row>
    <row r="1581" spans="7:14" ht="11.25" customHeight="1" x14ac:dyDescent="0.3">
      <c r="G1581" s="470"/>
      <c r="H1581" s="470">
        <v>1574</v>
      </c>
      <c r="I1581" s="455">
        <f t="shared" ca="1" si="115"/>
        <v>173168446.65372071</v>
      </c>
      <c r="J1581" s="455">
        <f t="array" ref="J1581">IFERROR(INDEX('Retirement Calculator'!K:K,MATCH('Lorri 401b'!N1581,'Retirement Calculator'!A:A,0),0),0)</f>
        <v>0</v>
      </c>
      <c r="K1581" s="455">
        <f t="shared" ca="1" si="113"/>
        <v>721535.19439050299</v>
      </c>
      <c r="L1581" s="455">
        <f t="shared" ca="1" si="114"/>
        <v>173889981.84811121</v>
      </c>
      <c r="M1581" s="471">
        <f t="shared" si="116"/>
        <v>0.05</v>
      </c>
      <c r="N1581" s="475">
        <f t="shared" si="117"/>
        <v>99164</v>
      </c>
    </row>
    <row r="1582" spans="7:14" ht="11.25" customHeight="1" x14ac:dyDescent="0.3">
      <c r="G1582" s="470"/>
      <c r="H1582" s="470">
        <v>1575</v>
      </c>
      <c r="I1582" s="455">
        <f t="shared" ca="1" si="115"/>
        <v>173889981.84811121</v>
      </c>
      <c r="J1582" s="455">
        <f t="array" ref="J1582">IFERROR(INDEX('Retirement Calculator'!K:K,MATCH('Lorri 401b'!N1582,'Retirement Calculator'!A:A,0),0),0)</f>
        <v>0</v>
      </c>
      <c r="K1582" s="455">
        <f t="shared" ca="1" si="113"/>
        <v>724541.59103379666</v>
      </c>
      <c r="L1582" s="455">
        <f t="shared" ca="1" si="114"/>
        <v>174614523.439145</v>
      </c>
      <c r="M1582" s="471">
        <f t="shared" si="116"/>
        <v>0.05</v>
      </c>
      <c r="N1582" s="475">
        <f t="shared" si="117"/>
        <v>99195</v>
      </c>
    </row>
    <row r="1583" spans="7:14" ht="11.25" customHeight="1" x14ac:dyDescent="0.3">
      <c r="G1583" s="470"/>
      <c r="H1583" s="470">
        <v>1576</v>
      </c>
      <c r="I1583" s="455">
        <f t="shared" ca="1" si="115"/>
        <v>174614523.439145</v>
      </c>
      <c r="J1583" s="455">
        <f t="array" ref="J1583">IFERROR(INDEX('Retirement Calculator'!K:K,MATCH('Lorri 401b'!N1583,'Retirement Calculator'!A:A,0),0),0)</f>
        <v>0</v>
      </c>
      <c r="K1583" s="455">
        <f t="shared" ca="1" si="113"/>
        <v>727560.51432977081</v>
      </c>
      <c r="L1583" s="455">
        <f t="shared" ca="1" si="114"/>
        <v>175342083.95347476</v>
      </c>
      <c r="M1583" s="471">
        <f t="shared" si="116"/>
        <v>0.05</v>
      </c>
      <c r="N1583" s="475">
        <f t="shared" si="117"/>
        <v>99226</v>
      </c>
    </row>
    <row r="1584" spans="7:14" ht="11.25" customHeight="1" x14ac:dyDescent="0.3">
      <c r="G1584" s="470"/>
      <c r="H1584" s="470">
        <v>1577</v>
      </c>
      <c r="I1584" s="455">
        <f t="shared" ca="1" si="115"/>
        <v>175342083.95347476</v>
      </c>
      <c r="J1584" s="455">
        <f t="array" ref="J1584">IFERROR(INDEX('Retirement Calculator'!K:K,MATCH('Lorri 401b'!N1584,'Retirement Calculator'!A:A,0),0),0)</f>
        <v>0</v>
      </c>
      <c r="K1584" s="455">
        <f t="shared" ca="1" si="113"/>
        <v>730592.01647281146</v>
      </c>
      <c r="L1584" s="455">
        <f t="shared" ca="1" si="114"/>
        <v>176072675.96994758</v>
      </c>
      <c r="M1584" s="471">
        <f t="shared" si="116"/>
        <v>0.05</v>
      </c>
      <c r="N1584" s="475">
        <f t="shared" si="117"/>
        <v>99256</v>
      </c>
    </row>
    <row r="1585" spans="7:14" ht="11.25" customHeight="1" x14ac:dyDescent="0.3">
      <c r="G1585" s="470"/>
      <c r="H1585" s="470">
        <v>1578</v>
      </c>
      <c r="I1585" s="455">
        <f t="shared" ca="1" si="115"/>
        <v>176072675.96994758</v>
      </c>
      <c r="J1585" s="455">
        <f t="array" ref="J1585">IFERROR(INDEX('Retirement Calculator'!K:K,MATCH('Lorri 401b'!N1585,'Retirement Calculator'!A:A,0),0),0)</f>
        <v>0</v>
      </c>
      <c r="K1585" s="455">
        <f t="shared" ca="1" si="113"/>
        <v>733636.14987478161</v>
      </c>
      <c r="L1585" s="455">
        <f t="shared" ca="1" si="114"/>
        <v>176806312.11982235</v>
      </c>
      <c r="M1585" s="471">
        <f t="shared" si="116"/>
        <v>0.05</v>
      </c>
      <c r="N1585" s="475">
        <f t="shared" si="117"/>
        <v>99287</v>
      </c>
    </row>
    <row r="1586" spans="7:14" ht="11.25" customHeight="1" x14ac:dyDescent="0.3">
      <c r="G1586" s="470"/>
      <c r="H1586" s="470">
        <v>1579</v>
      </c>
      <c r="I1586" s="455">
        <f t="shared" ca="1" si="115"/>
        <v>176806312.11982235</v>
      </c>
      <c r="J1586" s="455">
        <f t="array" ref="J1586">IFERROR(INDEX('Retirement Calculator'!K:K,MATCH('Lorri 401b'!N1586,'Retirement Calculator'!A:A,0),0),0)</f>
        <v>0</v>
      </c>
      <c r="K1586" s="455">
        <f t="shared" ca="1" si="113"/>
        <v>736692.96716592647</v>
      </c>
      <c r="L1586" s="455">
        <f t="shared" ca="1" si="114"/>
        <v>177543005.08698827</v>
      </c>
      <c r="M1586" s="471">
        <f t="shared" si="116"/>
        <v>0.05</v>
      </c>
      <c r="N1586" s="475">
        <f t="shared" si="117"/>
        <v>99317</v>
      </c>
    </row>
    <row r="1587" spans="7:14" ht="11.25" customHeight="1" x14ac:dyDescent="0.3">
      <c r="G1587" s="470"/>
      <c r="H1587" s="470">
        <v>1580</v>
      </c>
      <c r="I1587" s="455">
        <f t="shared" ca="1" si="115"/>
        <v>177543005.08698827</v>
      </c>
      <c r="J1587" s="455">
        <f t="array" ref="J1587">IFERROR(INDEX('Retirement Calculator'!K:K,MATCH('Lorri 401b'!N1587,'Retirement Calculator'!A:A,0),0),0)</f>
        <v>0</v>
      </c>
      <c r="K1587" s="455">
        <f t="shared" ca="1" si="113"/>
        <v>739762.52119578444</v>
      </c>
      <c r="L1587" s="455">
        <f t="shared" ca="1" si="114"/>
        <v>178282767.60818407</v>
      </c>
      <c r="M1587" s="471">
        <f t="shared" si="116"/>
        <v>0.05</v>
      </c>
      <c r="N1587" s="475">
        <f t="shared" si="117"/>
        <v>99348</v>
      </c>
    </row>
    <row r="1588" spans="7:14" ht="11.25" customHeight="1" x14ac:dyDescent="0.3">
      <c r="G1588" s="470"/>
      <c r="H1588" s="470">
        <v>1581</v>
      </c>
      <c r="I1588" s="455">
        <f t="shared" ca="1" si="115"/>
        <v>178282767.60818407</v>
      </c>
      <c r="J1588" s="455">
        <f t="array" ref="J1588">IFERROR(INDEX('Retirement Calculator'!K:K,MATCH('Lorri 401b'!N1588,'Retirement Calculator'!A:A,0),0),0)</f>
        <v>0</v>
      </c>
      <c r="K1588" s="455">
        <f t="shared" ca="1" si="113"/>
        <v>742844.86503410025</v>
      </c>
      <c r="L1588" s="455">
        <f t="shared" ca="1" si="114"/>
        <v>179025612.47321817</v>
      </c>
      <c r="M1588" s="471">
        <f t="shared" si="116"/>
        <v>0.05</v>
      </c>
      <c r="N1588" s="475">
        <f t="shared" si="117"/>
        <v>99379</v>
      </c>
    </row>
    <row r="1589" spans="7:14" ht="11.25" customHeight="1" x14ac:dyDescent="0.3">
      <c r="G1589" s="470"/>
      <c r="H1589" s="470">
        <v>1582</v>
      </c>
      <c r="I1589" s="455">
        <f t="shared" ca="1" si="115"/>
        <v>179025612.47321817</v>
      </c>
      <c r="J1589" s="455">
        <f t="array" ref="J1589">IFERROR(INDEX('Retirement Calculator'!K:K,MATCH('Lorri 401b'!N1589,'Retirement Calculator'!A:A,0),0),0)</f>
        <v>0</v>
      </c>
      <c r="K1589" s="455">
        <f t="shared" ca="1" si="113"/>
        <v>745940.05197174242</v>
      </c>
      <c r="L1589" s="455">
        <f t="shared" ca="1" si="114"/>
        <v>179771552.52518991</v>
      </c>
      <c r="M1589" s="471">
        <f t="shared" si="116"/>
        <v>0.05</v>
      </c>
      <c r="N1589" s="475">
        <f t="shared" si="117"/>
        <v>99408</v>
      </c>
    </row>
    <row r="1590" spans="7:14" ht="11.25" customHeight="1" x14ac:dyDescent="0.3">
      <c r="G1590" s="470"/>
      <c r="H1590" s="470">
        <v>1583</v>
      </c>
      <c r="I1590" s="455">
        <f t="shared" ca="1" si="115"/>
        <v>179771552.52518991</v>
      </c>
      <c r="J1590" s="455">
        <f t="array" ref="J1590">IFERROR(INDEX('Retirement Calculator'!K:K,MATCH('Lorri 401b'!N1590,'Retirement Calculator'!A:A,0),0),0)</f>
        <v>0</v>
      </c>
      <c r="K1590" s="455">
        <f t="shared" ca="1" si="113"/>
        <v>749048.13552162459</v>
      </c>
      <c r="L1590" s="455">
        <f t="shared" ca="1" si="114"/>
        <v>180520600.66071153</v>
      </c>
      <c r="M1590" s="471">
        <f t="shared" si="116"/>
        <v>0.05</v>
      </c>
      <c r="N1590" s="475">
        <f t="shared" si="117"/>
        <v>99439</v>
      </c>
    </row>
    <row r="1591" spans="7:14" ht="11.25" customHeight="1" x14ac:dyDescent="0.3">
      <c r="G1591" s="470"/>
      <c r="H1591" s="470">
        <v>1584</v>
      </c>
      <c r="I1591" s="455">
        <f t="shared" ca="1" si="115"/>
        <v>180520600.66071153</v>
      </c>
      <c r="J1591" s="455">
        <f t="array" ref="J1591">IFERROR(INDEX('Retirement Calculator'!K:K,MATCH('Lorri 401b'!N1591,'Retirement Calculator'!A:A,0),0),0)</f>
        <v>0</v>
      </c>
      <c r="K1591" s="455">
        <f t="shared" ca="1" si="113"/>
        <v>752169.16941963136</v>
      </c>
      <c r="L1591" s="455">
        <f t="shared" ca="1" si="114"/>
        <v>181272769.83013117</v>
      </c>
      <c r="M1591" s="471">
        <f t="shared" si="116"/>
        <v>0.05</v>
      </c>
      <c r="N1591" s="475">
        <f t="shared" si="117"/>
        <v>99469</v>
      </c>
    </row>
    <row r="1592" spans="7:14" ht="11.25" customHeight="1" x14ac:dyDescent="0.3">
      <c r="G1592" s="470"/>
      <c r="H1592" s="470">
        <v>1585</v>
      </c>
      <c r="I1592" s="455">
        <f t="shared" ca="1" si="115"/>
        <v>181272769.83013117</v>
      </c>
      <c r="J1592" s="455">
        <f t="array" ref="J1592">IFERROR(INDEX('Retirement Calculator'!K:K,MATCH('Lorri 401b'!N1592,'Retirement Calculator'!A:A,0),0),0)</f>
        <v>0</v>
      </c>
      <c r="K1592" s="455">
        <f t="shared" ca="1" si="113"/>
        <v>755303.20762554649</v>
      </c>
      <c r="L1592" s="455">
        <f t="shared" ca="1" si="114"/>
        <v>182028073.03775671</v>
      </c>
      <c r="M1592" s="471">
        <f t="shared" si="116"/>
        <v>0.05</v>
      </c>
      <c r="N1592" s="475">
        <f t="shared" si="117"/>
        <v>99500</v>
      </c>
    </row>
    <row r="1593" spans="7:14" ht="11.25" customHeight="1" x14ac:dyDescent="0.3">
      <c r="G1593" s="470"/>
      <c r="H1593" s="470">
        <v>1586</v>
      </c>
      <c r="I1593" s="455">
        <f t="shared" ca="1" si="115"/>
        <v>182028073.03775671</v>
      </c>
      <c r="J1593" s="455">
        <f t="array" ref="J1593">IFERROR(INDEX('Retirement Calculator'!K:K,MATCH('Lorri 401b'!N1593,'Retirement Calculator'!A:A,0),0),0)</f>
        <v>0</v>
      </c>
      <c r="K1593" s="455">
        <f t="shared" ca="1" si="113"/>
        <v>758450.30432398629</v>
      </c>
      <c r="L1593" s="455">
        <f t="shared" ca="1" si="114"/>
        <v>182786523.34208071</v>
      </c>
      <c r="M1593" s="471">
        <f t="shared" si="116"/>
        <v>0.05</v>
      </c>
      <c r="N1593" s="475">
        <f t="shared" si="117"/>
        <v>99530</v>
      </c>
    </row>
    <row r="1594" spans="7:14" ht="11.25" customHeight="1" x14ac:dyDescent="0.3">
      <c r="G1594" s="470"/>
      <c r="H1594" s="470">
        <v>1587</v>
      </c>
      <c r="I1594" s="455">
        <f t="shared" ca="1" si="115"/>
        <v>182786523.34208071</v>
      </c>
      <c r="J1594" s="455">
        <f t="array" ref="J1594">IFERROR(INDEX('Retirement Calculator'!K:K,MATCH('Lorri 401b'!N1594,'Retirement Calculator'!A:A,0),0),0)</f>
        <v>0</v>
      </c>
      <c r="K1594" s="455">
        <f t="shared" ca="1" si="113"/>
        <v>761610.5139253363</v>
      </c>
      <c r="L1594" s="455">
        <f t="shared" ca="1" si="114"/>
        <v>183548133.85600606</v>
      </c>
      <c r="M1594" s="471">
        <f t="shared" si="116"/>
        <v>0.05</v>
      </c>
      <c r="N1594" s="475">
        <f t="shared" si="117"/>
        <v>99561</v>
      </c>
    </row>
    <row r="1595" spans="7:14" ht="11.25" customHeight="1" x14ac:dyDescent="0.3">
      <c r="G1595" s="470"/>
      <c r="H1595" s="470">
        <v>1588</v>
      </c>
      <c r="I1595" s="455">
        <f t="shared" ca="1" si="115"/>
        <v>183548133.85600606</v>
      </c>
      <c r="J1595" s="455">
        <f t="array" ref="J1595">IFERROR(INDEX('Retirement Calculator'!K:K,MATCH('Lorri 401b'!N1595,'Retirement Calculator'!A:A,0),0),0)</f>
        <v>0</v>
      </c>
      <c r="K1595" s="455">
        <f t="shared" ca="1" si="113"/>
        <v>764783.89106669184</v>
      </c>
      <c r="L1595" s="455">
        <f t="shared" ca="1" si="114"/>
        <v>184312917.74707276</v>
      </c>
      <c r="M1595" s="471">
        <f t="shared" si="116"/>
        <v>0.05</v>
      </c>
      <c r="N1595" s="475">
        <f t="shared" si="117"/>
        <v>99592</v>
      </c>
    </row>
    <row r="1596" spans="7:14" ht="11.25" customHeight="1" x14ac:dyDescent="0.3">
      <c r="G1596" s="470"/>
      <c r="H1596" s="470">
        <v>1589</v>
      </c>
      <c r="I1596" s="455">
        <f t="shared" ca="1" si="115"/>
        <v>184312917.74707276</v>
      </c>
      <c r="J1596" s="455">
        <f t="array" ref="J1596">IFERROR(INDEX('Retirement Calculator'!K:K,MATCH('Lorri 401b'!N1596,'Retirement Calculator'!A:A,0),0),0)</f>
        <v>0</v>
      </c>
      <c r="K1596" s="455">
        <f t="shared" ca="1" si="113"/>
        <v>767970.49061280314</v>
      </c>
      <c r="L1596" s="455">
        <f t="shared" ca="1" si="114"/>
        <v>185080888.23768556</v>
      </c>
      <c r="M1596" s="471">
        <f t="shared" si="116"/>
        <v>0.05</v>
      </c>
      <c r="N1596" s="475">
        <f t="shared" si="117"/>
        <v>99622</v>
      </c>
    </row>
    <row r="1597" spans="7:14" ht="11.25" customHeight="1" x14ac:dyDescent="0.3">
      <c r="G1597" s="470"/>
      <c r="H1597" s="470">
        <v>1590</v>
      </c>
      <c r="I1597" s="455">
        <f t="shared" ca="1" si="115"/>
        <v>185080888.23768556</v>
      </c>
      <c r="J1597" s="455">
        <f t="array" ref="J1597">IFERROR(INDEX('Retirement Calculator'!K:K,MATCH('Lorri 401b'!N1597,'Retirement Calculator'!A:A,0),0),0)</f>
        <v>0</v>
      </c>
      <c r="K1597" s="455">
        <f t="shared" ca="1" si="113"/>
        <v>771170.36765702313</v>
      </c>
      <c r="L1597" s="455">
        <f t="shared" ca="1" si="114"/>
        <v>185852058.6053426</v>
      </c>
      <c r="M1597" s="471">
        <f t="shared" si="116"/>
        <v>0.05</v>
      </c>
      <c r="N1597" s="475">
        <f t="shared" si="117"/>
        <v>99653</v>
      </c>
    </row>
    <row r="1598" spans="7:14" ht="11.25" customHeight="1" x14ac:dyDescent="0.3">
      <c r="G1598" s="470"/>
      <c r="H1598" s="470">
        <v>1591</v>
      </c>
      <c r="I1598" s="455">
        <f t="shared" ca="1" si="115"/>
        <v>185852058.6053426</v>
      </c>
      <c r="J1598" s="455">
        <f t="array" ref="J1598">IFERROR(INDEX('Retirement Calculator'!K:K,MATCH('Lorri 401b'!N1598,'Retirement Calculator'!A:A,0),0),0)</f>
        <v>0</v>
      </c>
      <c r="K1598" s="455">
        <f t="shared" ca="1" si="113"/>
        <v>774383.57752226084</v>
      </c>
      <c r="L1598" s="455">
        <f t="shared" ca="1" si="114"/>
        <v>186626442.18286484</v>
      </c>
      <c r="M1598" s="471">
        <f t="shared" si="116"/>
        <v>0.05</v>
      </c>
      <c r="N1598" s="475">
        <f t="shared" si="117"/>
        <v>99683</v>
      </c>
    </row>
    <row r="1599" spans="7:14" ht="11.25" customHeight="1" x14ac:dyDescent="0.3">
      <c r="G1599" s="470"/>
      <c r="H1599" s="470">
        <v>1592</v>
      </c>
      <c r="I1599" s="455">
        <f t="shared" ca="1" si="115"/>
        <v>186626442.18286484</v>
      </c>
      <c r="J1599" s="455">
        <f t="array" ref="J1599">IFERROR(INDEX('Retirement Calculator'!K:K,MATCH('Lorri 401b'!N1599,'Retirement Calculator'!A:A,0),0),0)</f>
        <v>0</v>
      </c>
      <c r="K1599" s="455">
        <f t="shared" ca="1" si="113"/>
        <v>777610.17576193681</v>
      </c>
      <c r="L1599" s="455">
        <f t="shared" ca="1" si="114"/>
        <v>187404052.35862678</v>
      </c>
      <c r="M1599" s="471">
        <f t="shared" si="116"/>
        <v>0.05</v>
      </c>
      <c r="N1599" s="475">
        <f t="shared" si="117"/>
        <v>99714</v>
      </c>
    </row>
    <row r="1600" spans="7:14" ht="11.25" customHeight="1" x14ac:dyDescent="0.3">
      <c r="G1600" s="470"/>
      <c r="H1600" s="470">
        <v>1593</v>
      </c>
      <c r="I1600" s="455">
        <f t="shared" ca="1" si="115"/>
        <v>187404052.35862678</v>
      </c>
      <c r="J1600" s="455">
        <f t="array" ref="J1600">IFERROR(INDEX('Retirement Calculator'!K:K,MATCH('Lorri 401b'!N1600,'Retirement Calculator'!A:A,0),0),0)</f>
        <v>0</v>
      </c>
      <c r="K1600" s="455">
        <f t="shared" ca="1" si="113"/>
        <v>780850.21816094487</v>
      </c>
      <c r="L1600" s="455">
        <f t="shared" ca="1" si="114"/>
        <v>188184902.57678774</v>
      </c>
      <c r="M1600" s="471">
        <f t="shared" si="116"/>
        <v>0.05</v>
      </c>
      <c r="N1600" s="475">
        <f t="shared" si="117"/>
        <v>99745</v>
      </c>
    </row>
    <row r="1601" spans="7:14" ht="11.25" customHeight="1" x14ac:dyDescent="0.3">
      <c r="G1601" s="470"/>
      <c r="H1601" s="470">
        <v>1594</v>
      </c>
      <c r="I1601" s="455">
        <f t="shared" ca="1" si="115"/>
        <v>188184902.57678774</v>
      </c>
      <c r="J1601" s="455">
        <f t="array" ref="J1601">IFERROR(INDEX('Retirement Calculator'!K:K,MATCH('Lorri 401b'!N1601,'Retirement Calculator'!A:A,0),0),0)</f>
        <v>0</v>
      </c>
      <c r="K1601" s="455">
        <f t="shared" ca="1" si="113"/>
        <v>784103.76073661563</v>
      </c>
      <c r="L1601" s="455">
        <f t="shared" ca="1" si="114"/>
        <v>188969006.33752435</v>
      </c>
      <c r="M1601" s="471">
        <f t="shared" si="116"/>
        <v>0.05</v>
      </c>
      <c r="N1601" s="475">
        <f t="shared" si="117"/>
        <v>99773</v>
      </c>
    </row>
    <row r="1602" spans="7:14" ht="11.25" customHeight="1" x14ac:dyDescent="0.3">
      <c r="G1602" s="470"/>
      <c r="H1602" s="470">
        <v>1595</v>
      </c>
      <c r="I1602" s="455">
        <f t="shared" ca="1" si="115"/>
        <v>188969006.33752435</v>
      </c>
      <c r="J1602" s="455">
        <f t="array" ref="J1602">IFERROR(INDEX('Retirement Calculator'!K:K,MATCH('Lorri 401b'!N1602,'Retirement Calculator'!A:A,0),0),0)</f>
        <v>0</v>
      </c>
      <c r="K1602" s="455">
        <f t="shared" ca="1" si="113"/>
        <v>787370.85973968485</v>
      </c>
      <c r="L1602" s="455">
        <f t="shared" ca="1" si="114"/>
        <v>189756377.19726405</v>
      </c>
      <c r="M1602" s="471">
        <f t="shared" si="116"/>
        <v>0.05</v>
      </c>
      <c r="N1602" s="475">
        <f t="shared" si="117"/>
        <v>99804</v>
      </c>
    </row>
    <row r="1603" spans="7:14" ht="11.25" customHeight="1" x14ac:dyDescent="0.3">
      <c r="G1603" s="470"/>
      <c r="H1603" s="470">
        <v>1596</v>
      </c>
      <c r="I1603" s="455">
        <f t="shared" ca="1" si="115"/>
        <v>189756377.19726405</v>
      </c>
      <c r="J1603" s="455">
        <f t="array" ref="J1603">IFERROR(INDEX('Retirement Calculator'!K:K,MATCH('Lorri 401b'!N1603,'Retirement Calculator'!A:A,0),0),0)</f>
        <v>0</v>
      </c>
      <c r="K1603" s="455">
        <f t="shared" ca="1" si="113"/>
        <v>790651.5716552668</v>
      </c>
      <c r="L1603" s="455">
        <f t="shared" ca="1" si="114"/>
        <v>190547028.76891932</v>
      </c>
      <c r="M1603" s="471">
        <f t="shared" si="116"/>
        <v>0.05</v>
      </c>
      <c r="N1603" s="475">
        <f t="shared" si="117"/>
        <v>99834</v>
      </c>
    </row>
    <row r="1604" spans="7:14" ht="11.25" customHeight="1" x14ac:dyDescent="0.3">
      <c r="G1604" s="470"/>
      <c r="H1604" s="470">
        <v>1597</v>
      </c>
      <c r="I1604" s="455">
        <f t="shared" ca="1" si="115"/>
        <v>190547028.76891932</v>
      </c>
      <c r="J1604" s="455">
        <f t="array" ref="J1604">IFERROR(INDEX('Retirement Calculator'!K:K,MATCH('Lorri 401b'!N1604,'Retirement Calculator'!A:A,0),0),0)</f>
        <v>0</v>
      </c>
      <c r="K1604" s="455">
        <f t="shared" ca="1" si="113"/>
        <v>793945.95320383052</v>
      </c>
      <c r="L1604" s="455">
        <f t="shared" ca="1" si="114"/>
        <v>191340974.72212315</v>
      </c>
      <c r="M1604" s="471">
        <f t="shared" si="116"/>
        <v>0.05</v>
      </c>
      <c r="N1604" s="475">
        <f t="shared" si="117"/>
        <v>99865</v>
      </c>
    </row>
    <row r="1605" spans="7:14" ht="11.25" customHeight="1" x14ac:dyDescent="0.3">
      <c r="G1605" s="470"/>
      <c r="H1605" s="470">
        <v>1598</v>
      </c>
      <c r="I1605" s="455">
        <f t="shared" ca="1" si="115"/>
        <v>191340974.72212315</v>
      </c>
      <c r="J1605" s="455">
        <f t="array" ref="J1605">IFERROR(INDEX('Retirement Calculator'!K:K,MATCH('Lorri 401b'!N1605,'Retirement Calculator'!A:A,0),0),0)</f>
        <v>0</v>
      </c>
      <c r="K1605" s="455">
        <f t="shared" ca="1" si="113"/>
        <v>797254.06134217978</v>
      </c>
      <c r="L1605" s="455">
        <f t="shared" ca="1" si="114"/>
        <v>192138228.78346533</v>
      </c>
      <c r="M1605" s="471">
        <f t="shared" si="116"/>
        <v>0.05</v>
      </c>
      <c r="N1605" s="475">
        <f t="shared" si="117"/>
        <v>99895</v>
      </c>
    </row>
    <row r="1606" spans="7:14" ht="11.25" customHeight="1" x14ac:dyDescent="0.3">
      <c r="G1606" s="470"/>
      <c r="H1606" s="470">
        <v>1599</v>
      </c>
      <c r="I1606" s="455">
        <f t="shared" ca="1" si="115"/>
        <v>192138228.78346533</v>
      </c>
      <c r="J1606" s="455">
        <f t="array" ref="J1606">IFERROR(INDEX('Retirement Calculator'!K:K,MATCH('Lorri 401b'!N1606,'Retirement Calculator'!A:A,0),0),0)</f>
        <v>0</v>
      </c>
      <c r="K1606" s="455">
        <f t="shared" ca="1" si="113"/>
        <v>800575.9532644389</v>
      </c>
      <c r="L1606" s="455">
        <f t="shared" ca="1" si="114"/>
        <v>192938804.73672977</v>
      </c>
      <c r="M1606" s="471">
        <f t="shared" si="116"/>
        <v>0.05</v>
      </c>
      <c r="N1606" s="475">
        <f t="shared" si="117"/>
        <v>99926</v>
      </c>
    </row>
    <row r="1607" spans="7:14" ht="11.25" customHeight="1" x14ac:dyDescent="0.3">
      <c r="G1607" s="470"/>
      <c r="H1607" s="470">
        <v>1600</v>
      </c>
      <c r="I1607" s="455">
        <f t="shared" ca="1" si="115"/>
        <v>192938804.73672977</v>
      </c>
      <c r="J1607" s="455">
        <f t="array" ref="J1607">IFERROR(INDEX('Retirement Calculator'!K:K,MATCH('Lorri 401b'!N1607,'Retirement Calculator'!A:A,0),0),0)</f>
        <v>0</v>
      </c>
      <c r="K1607" s="455">
        <f t="shared" ca="1" si="113"/>
        <v>803911.68640304066</v>
      </c>
      <c r="L1607" s="455">
        <f t="shared" ca="1" si="114"/>
        <v>193742716.42313281</v>
      </c>
      <c r="M1607" s="471">
        <f t="shared" si="116"/>
        <v>0.05</v>
      </c>
      <c r="N1607" s="475">
        <f t="shared" si="117"/>
        <v>99957</v>
      </c>
    </row>
    <row r="1608" spans="7:14" ht="11.25" customHeight="1" x14ac:dyDescent="0.3">
      <c r="G1608" s="470"/>
      <c r="H1608" s="470">
        <v>1601</v>
      </c>
      <c r="I1608" s="455">
        <f t="shared" ca="1" si="115"/>
        <v>193742716.42313281</v>
      </c>
      <c r="J1608" s="455">
        <f t="array" ref="J1608">IFERROR(INDEX('Retirement Calculator'!K:K,MATCH('Lorri 401b'!N1608,'Retirement Calculator'!A:A,0),0),0)</f>
        <v>0</v>
      </c>
      <c r="K1608" s="455">
        <f t="shared" ca="1" si="113"/>
        <v>807261.31842972001</v>
      </c>
      <c r="L1608" s="455">
        <f t="shared" ca="1" si="114"/>
        <v>194549977.74156252</v>
      </c>
      <c r="M1608" s="471">
        <f t="shared" si="116"/>
        <v>0.05</v>
      </c>
      <c r="N1608" s="475">
        <f t="shared" si="117"/>
        <v>99987</v>
      </c>
    </row>
    <row r="1609" spans="7:14" ht="11.25" customHeight="1" x14ac:dyDescent="0.3">
      <c r="G1609" s="470"/>
      <c r="H1609" s="470">
        <v>1602</v>
      </c>
      <c r="I1609" s="455">
        <f t="shared" ca="1" si="115"/>
        <v>194549977.74156252</v>
      </c>
      <c r="J1609" s="455">
        <f t="array" ref="J1609">IFERROR(INDEX('Retirement Calculator'!K:K,MATCH('Lorri 401b'!N1609,'Retirement Calculator'!A:A,0),0),0)</f>
        <v>0</v>
      </c>
      <c r="K1609" s="455">
        <f t="shared" ca="1" si="113"/>
        <v>810624.90725651046</v>
      </c>
      <c r="L1609" s="455">
        <f t="shared" ca="1" si="114"/>
        <v>195360602.64881903</v>
      </c>
      <c r="M1609" s="471">
        <f t="shared" si="116"/>
        <v>0.05</v>
      </c>
      <c r="N1609" s="475">
        <f t="shared" si="117"/>
        <v>100018</v>
      </c>
    </row>
    <row r="1610" spans="7:14" ht="11.25" customHeight="1" x14ac:dyDescent="0.3">
      <c r="G1610" s="470"/>
      <c r="H1610" s="470">
        <v>1603</v>
      </c>
      <c r="I1610" s="455">
        <f t="shared" ca="1" si="115"/>
        <v>195360602.64881903</v>
      </c>
      <c r="J1610" s="455">
        <f t="array" ref="J1610">IFERROR(INDEX('Retirement Calculator'!K:K,MATCH('Lorri 401b'!N1610,'Retirement Calculator'!A:A,0),0),0)</f>
        <v>0</v>
      </c>
      <c r="K1610" s="455">
        <f t="shared" ca="1" si="113"/>
        <v>814002.51103674597</v>
      </c>
      <c r="L1610" s="455">
        <f t="shared" ca="1" si="114"/>
        <v>196174605.15985578</v>
      </c>
      <c r="M1610" s="471">
        <f t="shared" si="116"/>
        <v>0.05</v>
      </c>
      <c r="N1610" s="475">
        <f t="shared" si="117"/>
        <v>100048</v>
      </c>
    </row>
    <row r="1611" spans="7:14" ht="11.25" customHeight="1" x14ac:dyDescent="0.3">
      <c r="G1611" s="470"/>
      <c r="H1611" s="470">
        <v>1604</v>
      </c>
      <c r="I1611" s="455">
        <f t="shared" ca="1" si="115"/>
        <v>196174605.15985578</v>
      </c>
      <c r="J1611" s="455">
        <f t="array" ref="J1611">IFERROR(INDEX('Retirement Calculator'!K:K,MATCH('Lorri 401b'!N1611,'Retirement Calculator'!A:A,0),0),0)</f>
        <v>0</v>
      </c>
      <c r="K1611" s="455">
        <f t="shared" ca="1" si="113"/>
        <v>817394.18816606572</v>
      </c>
      <c r="L1611" s="455">
        <f t="shared" ca="1" si="114"/>
        <v>196991999.34802184</v>
      </c>
      <c r="M1611" s="471">
        <f t="shared" si="116"/>
        <v>0.05</v>
      </c>
      <c r="N1611" s="475">
        <f t="shared" si="117"/>
        <v>100079</v>
      </c>
    </row>
    <row r="1612" spans="7:14" ht="11.25" customHeight="1" x14ac:dyDescent="0.3">
      <c r="G1612" s="470"/>
      <c r="H1612" s="470">
        <v>1605</v>
      </c>
      <c r="I1612" s="455">
        <f t="shared" ca="1" si="115"/>
        <v>196991999.34802184</v>
      </c>
      <c r="J1612" s="455">
        <f t="array" ref="J1612">IFERROR(INDEX('Retirement Calculator'!K:K,MATCH('Lorri 401b'!N1612,'Retirement Calculator'!A:A,0),0),0)</f>
        <v>0</v>
      </c>
      <c r="K1612" s="455">
        <f t="shared" ca="1" si="113"/>
        <v>820799.99728342425</v>
      </c>
      <c r="L1612" s="455">
        <f t="shared" ca="1" si="114"/>
        <v>197812799.34530526</v>
      </c>
      <c r="M1612" s="471">
        <f t="shared" si="116"/>
        <v>0.05</v>
      </c>
      <c r="N1612" s="475">
        <f t="shared" si="117"/>
        <v>100110</v>
      </c>
    </row>
    <row r="1613" spans="7:14" ht="11.25" customHeight="1" x14ac:dyDescent="0.3">
      <c r="G1613" s="470"/>
      <c r="H1613" s="470">
        <v>1606</v>
      </c>
      <c r="I1613" s="455">
        <f t="shared" ca="1" si="115"/>
        <v>197812799.34530526</v>
      </c>
      <c r="J1613" s="455">
        <f t="array" ref="J1613">IFERROR(INDEX('Retirement Calculator'!K:K,MATCH('Lorri 401b'!N1613,'Retirement Calculator'!A:A,0),0),0)</f>
        <v>0</v>
      </c>
      <c r="K1613" s="455">
        <f t="shared" ca="1" si="113"/>
        <v>824219.99727210531</v>
      </c>
      <c r="L1613" s="455">
        <f t="shared" ca="1" si="114"/>
        <v>198637019.34257737</v>
      </c>
      <c r="M1613" s="471">
        <f t="shared" si="116"/>
        <v>0.05</v>
      </c>
      <c r="N1613" s="475">
        <f t="shared" si="117"/>
        <v>100138</v>
      </c>
    </row>
    <row r="1614" spans="7:14" ht="11.25" customHeight="1" x14ac:dyDescent="0.3">
      <c r="G1614" s="470"/>
      <c r="H1614" s="470">
        <v>1607</v>
      </c>
      <c r="I1614" s="455">
        <f t="shared" ca="1" si="115"/>
        <v>198637019.34257737</v>
      </c>
      <c r="J1614" s="455">
        <f t="array" ref="J1614">IFERROR(INDEX('Retirement Calculator'!K:K,MATCH('Lorri 401b'!N1614,'Retirement Calculator'!A:A,0),0),0)</f>
        <v>0</v>
      </c>
      <c r="K1614" s="455">
        <f t="shared" ca="1" si="113"/>
        <v>827654.24726073898</v>
      </c>
      <c r="L1614" s="455">
        <f t="shared" ca="1" si="114"/>
        <v>199464673.58983812</v>
      </c>
      <c r="M1614" s="471">
        <f t="shared" si="116"/>
        <v>0.05</v>
      </c>
      <c r="N1614" s="475">
        <f t="shared" si="117"/>
        <v>100169</v>
      </c>
    </row>
    <row r="1615" spans="7:14" ht="11.25" customHeight="1" x14ac:dyDescent="0.3">
      <c r="G1615" s="470"/>
      <c r="H1615" s="470">
        <v>1608</v>
      </c>
      <c r="I1615" s="455">
        <f t="shared" ca="1" si="115"/>
        <v>199464673.58983812</v>
      </c>
      <c r="J1615" s="455">
        <f t="array" ref="J1615">IFERROR(INDEX('Retirement Calculator'!K:K,MATCH('Lorri 401b'!N1615,'Retirement Calculator'!A:A,0),0),0)</f>
        <v>0</v>
      </c>
      <c r="K1615" s="455">
        <f t="shared" ca="1" si="113"/>
        <v>831102.80662432546</v>
      </c>
      <c r="L1615" s="455">
        <f t="shared" ca="1" si="114"/>
        <v>200295776.39646244</v>
      </c>
      <c r="M1615" s="471">
        <f t="shared" si="116"/>
        <v>0.05</v>
      </c>
      <c r="N1615" s="475">
        <f t="shared" si="117"/>
        <v>100199</v>
      </c>
    </row>
    <row r="1616" spans="7:14" ht="11.25" customHeight="1" x14ac:dyDescent="0.3">
      <c r="G1616" s="470"/>
      <c r="H1616" s="470">
        <v>1609</v>
      </c>
      <c r="I1616" s="455">
        <f t="shared" ca="1" si="115"/>
        <v>200295776.39646244</v>
      </c>
      <c r="J1616" s="455">
        <f t="array" ref="J1616">IFERROR(INDEX('Retirement Calculator'!K:K,MATCH('Lorri 401b'!N1616,'Retirement Calculator'!A:A,0),0),0)</f>
        <v>0</v>
      </c>
      <c r="K1616" s="455">
        <f t="shared" ca="1" si="113"/>
        <v>834565.73498526018</v>
      </c>
      <c r="L1616" s="455">
        <f t="shared" ca="1" si="114"/>
        <v>201130342.1314477</v>
      </c>
      <c r="M1616" s="471">
        <f t="shared" si="116"/>
        <v>0.05</v>
      </c>
      <c r="N1616" s="475">
        <f t="shared" si="117"/>
        <v>100230</v>
      </c>
    </row>
    <row r="1617" spans="7:14" ht="11.25" customHeight="1" x14ac:dyDescent="0.3">
      <c r="G1617" s="470"/>
      <c r="H1617" s="470">
        <v>1610</v>
      </c>
      <c r="I1617" s="455">
        <f t="shared" ca="1" si="115"/>
        <v>201130342.1314477</v>
      </c>
      <c r="J1617" s="455">
        <f t="array" ref="J1617">IFERROR(INDEX('Retirement Calculator'!K:K,MATCH('Lorri 401b'!N1617,'Retirement Calculator'!A:A,0),0),0)</f>
        <v>0</v>
      </c>
      <c r="K1617" s="455">
        <f t="shared" ca="1" si="113"/>
        <v>838043.09221436537</v>
      </c>
      <c r="L1617" s="455">
        <f t="shared" ca="1" si="114"/>
        <v>201968385.22366208</v>
      </c>
      <c r="M1617" s="471">
        <f t="shared" si="116"/>
        <v>0.05</v>
      </c>
      <c r="N1617" s="475">
        <f t="shared" si="117"/>
        <v>100260</v>
      </c>
    </row>
    <row r="1618" spans="7:14" ht="11.25" customHeight="1" x14ac:dyDescent="0.3">
      <c r="G1618" s="470"/>
      <c r="H1618" s="470">
        <v>1611</v>
      </c>
      <c r="I1618" s="455">
        <f t="shared" ca="1" si="115"/>
        <v>201968385.22366208</v>
      </c>
      <c r="J1618" s="455">
        <f t="array" ref="J1618">IFERROR(INDEX('Retirement Calculator'!K:K,MATCH('Lorri 401b'!N1618,'Retirement Calculator'!A:A,0),0),0)</f>
        <v>0</v>
      </c>
      <c r="K1618" s="455">
        <f t="shared" ca="1" si="113"/>
        <v>841534.93843192526</v>
      </c>
      <c r="L1618" s="455">
        <f t="shared" ca="1" si="114"/>
        <v>202809920.162094</v>
      </c>
      <c r="M1618" s="471">
        <f t="shared" si="116"/>
        <v>0.05</v>
      </c>
      <c r="N1618" s="475">
        <f t="shared" si="117"/>
        <v>100291</v>
      </c>
    </row>
    <row r="1619" spans="7:14" ht="11.25" customHeight="1" x14ac:dyDescent="0.3">
      <c r="G1619" s="470"/>
      <c r="H1619" s="470">
        <v>1612</v>
      </c>
      <c r="I1619" s="455">
        <f t="shared" ca="1" si="115"/>
        <v>202809920.162094</v>
      </c>
      <c r="J1619" s="455">
        <f t="array" ref="J1619">IFERROR(INDEX('Retirement Calculator'!K:K,MATCH('Lorri 401b'!N1619,'Retirement Calculator'!A:A,0),0),0)</f>
        <v>0</v>
      </c>
      <c r="K1619" s="455">
        <f t="shared" ca="1" si="113"/>
        <v>845041.33400872501</v>
      </c>
      <c r="L1619" s="455">
        <f t="shared" ca="1" si="114"/>
        <v>203654961.49610272</v>
      </c>
      <c r="M1619" s="471">
        <f t="shared" si="116"/>
        <v>0.05</v>
      </c>
      <c r="N1619" s="475">
        <f t="shared" si="117"/>
        <v>100322</v>
      </c>
    </row>
    <row r="1620" spans="7:14" ht="11.25" customHeight="1" x14ac:dyDescent="0.3">
      <c r="G1620" s="470"/>
      <c r="H1620" s="470">
        <v>1613</v>
      </c>
      <c r="I1620" s="455">
        <f t="shared" ca="1" si="115"/>
        <v>203654961.49610272</v>
      </c>
      <c r="J1620" s="455">
        <f t="array" ref="J1620">IFERROR(INDEX('Retirement Calculator'!K:K,MATCH('Lorri 401b'!N1620,'Retirement Calculator'!A:A,0),0),0)</f>
        <v>0</v>
      </c>
      <c r="K1620" s="455">
        <f t="shared" ca="1" si="113"/>
        <v>848562.33956709469</v>
      </c>
      <c r="L1620" s="455">
        <f t="shared" ca="1" si="114"/>
        <v>204503523.83566982</v>
      </c>
      <c r="M1620" s="471">
        <f t="shared" si="116"/>
        <v>0.05</v>
      </c>
      <c r="N1620" s="475">
        <f t="shared" si="117"/>
        <v>100352</v>
      </c>
    </row>
    <row r="1621" spans="7:14" ht="11.25" customHeight="1" x14ac:dyDescent="0.3">
      <c r="G1621" s="470"/>
      <c r="H1621" s="470">
        <v>1614</v>
      </c>
      <c r="I1621" s="455">
        <f t="shared" ca="1" si="115"/>
        <v>204503523.83566982</v>
      </c>
      <c r="J1621" s="455">
        <f t="array" ref="J1621">IFERROR(INDEX('Retirement Calculator'!K:K,MATCH('Lorri 401b'!N1621,'Retirement Calculator'!A:A,0),0),0)</f>
        <v>0</v>
      </c>
      <c r="K1621" s="455">
        <f t="shared" ca="1" si="113"/>
        <v>852098.01598195755</v>
      </c>
      <c r="L1621" s="455">
        <f t="shared" ca="1" si="114"/>
        <v>205355621.85165179</v>
      </c>
      <c r="M1621" s="471">
        <f t="shared" si="116"/>
        <v>0.05</v>
      </c>
      <c r="N1621" s="475">
        <f t="shared" si="117"/>
        <v>100383</v>
      </c>
    </row>
    <row r="1622" spans="7:14" ht="11.25" customHeight="1" x14ac:dyDescent="0.3">
      <c r="G1622" s="470"/>
      <c r="H1622" s="470">
        <v>1615</v>
      </c>
      <c r="I1622" s="455">
        <f t="shared" ca="1" si="115"/>
        <v>205355621.85165179</v>
      </c>
      <c r="J1622" s="455">
        <f t="array" ref="J1622">IFERROR(INDEX('Retirement Calculator'!K:K,MATCH('Lorri 401b'!N1622,'Retirement Calculator'!A:A,0),0),0)</f>
        <v>0</v>
      </c>
      <c r="K1622" s="455">
        <f t="shared" ca="1" si="113"/>
        <v>855648.42438188242</v>
      </c>
      <c r="L1622" s="455">
        <f t="shared" ca="1" si="114"/>
        <v>206211270.27603367</v>
      </c>
      <c r="M1622" s="471">
        <f t="shared" si="116"/>
        <v>0.05</v>
      </c>
      <c r="N1622" s="475">
        <f t="shared" si="117"/>
        <v>100413</v>
      </c>
    </row>
    <row r="1623" spans="7:14" ht="11.25" customHeight="1" x14ac:dyDescent="0.3">
      <c r="G1623" s="470"/>
      <c r="H1623" s="470">
        <v>1616</v>
      </c>
      <c r="I1623" s="455">
        <f t="shared" ca="1" si="115"/>
        <v>206211270.27603367</v>
      </c>
      <c r="J1623" s="455">
        <f t="array" ref="J1623">IFERROR(INDEX('Retirement Calculator'!K:K,MATCH('Lorri 401b'!N1623,'Retirement Calculator'!A:A,0),0),0)</f>
        <v>0</v>
      </c>
      <c r="K1623" s="455">
        <f t="shared" ca="1" si="113"/>
        <v>859213.62615014031</v>
      </c>
      <c r="L1623" s="455">
        <f t="shared" ca="1" si="114"/>
        <v>207070483.9021838</v>
      </c>
      <c r="M1623" s="471">
        <f t="shared" si="116"/>
        <v>0.05</v>
      </c>
      <c r="N1623" s="475">
        <f t="shared" si="117"/>
        <v>100444</v>
      </c>
    </row>
    <row r="1624" spans="7:14" ht="11.25" customHeight="1" x14ac:dyDescent="0.3">
      <c r="G1624" s="470"/>
      <c r="H1624" s="470">
        <v>1617</v>
      </c>
      <c r="I1624" s="455">
        <f t="shared" ca="1" si="115"/>
        <v>207070483.9021838</v>
      </c>
      <c r="J1624" s="455">
        <f t="array" ref="J1624">IFERROR(INDEX('Retirement Calculator'!K:K,MATCH('Lorri 401b'!N1624,'Retirement Calculator'!A:A,0),0),0)</f>
        <v>0</v>
      </c>
      <c r="K1624" s="455">
        <f t="shared" ca="1" si="113"/>
        <v>862793.68292576587</v>
      </c>
      <c r="L1624" s="455">
        <f t="shared" ca="1" si="114"/>
        <v>207933277.58510956</v>
      </c>
      <c r="M1624" s="471">
        <f t="shared" si="116"/>
        <v>0.05</v>
      </c>
      <c r="N1624" s="475">
        <f t="shared" si="117"/>
        <v>100475</v>
      </c>
    </row>
    <row r="1625" spans="7:14" ht="11.25" customHeight="1" x14ac:dyDescent="0.3">
      <c r="G1625" s="470"/>
      <c r="H1625" s="470">
        <v>1618</v>
      </c>
      <c r="I1625" s="455">
        <f t="shared" ca="1" si="115"/>
        <v>207933277.58510956</v>
      </c>
      <c r="J1625" s="455">
        <f t="array" ref="J1625">IFERROR(INDEX('Retirement Calculator'!K:K,MATCH('Lorri 401b'!N1625,'Retirement Calculator'!A:A,0),0),0)</f>
        <v>0</v>
      </c>
      <c r="K1625" s="455">
        <f t="shared" ca="1" si="113"/>
        <v>866388.65660462319</v>
      </c>
      <c r="L1625" s="455">
        <f t="shared" ca="1" si="114"/>
        <v>208799666.24171418</v>
      </c>
      <c r="M1625" s="471">
        <f t="shared" si="116"/>
        <v>0.05</v>
      </c>
      <c r="N1625" s="475">
        <f t="shared" si="117"/>
        <v>100503</v>
      </c>
    </row>
    <row r="1626" spans="7:14" ht="11.25" customHeight="1" x14ac:dyDescent="0.3">
      <c r="G1626" s="470"/>
      <c r="H1626" s="470">
        <v>1619</v>
      </c>
      <c r="I1626" s="455">
        <f t="shared" ca="1" si="115"/>
        <v>208799666.24171418</v>
      </c>
      <c r="J1626" s="455">
        <f t="array" ref="J1626">IFERROR(INDEX('Retirement Calculator'!K:K,MATCH('Lorri 401b'!N1626,'Retirement Calculator'!A:A,0),0),0)</f>
        <v>0</v>
      </c>
      <c r="K1626" s="455">
        <f t="shared" ca="1" si="113"/>
        <v>869998.60934047576</v>
      </c>
      <c r="L1626" s="455">
        <f t="shared" ca="1" si="114"/>
        <v>209669664.85105467</v>
      </c>
      <c r="M1626" s="471">
        <f t="shared" si="116"/>
        <v>0.05</v>
      </c>
      <c r="N1626" s="475">
        <f t="shared" si="117"/>
        <v>100534</v>
      </c>
    </row>
    <row r="1627" spans="7:14" ht="11.25" customHeight="1" x14ac:dyDescent="0.3">
      <c r="G1627" s="470"/>
      <c r="H1627" s="470">
        <v>1620</v>
      </c>
      <c r="I1627" s="455">
        <f t="shared" ca="1" si="115"/>
        <v>209669664.85105467</v>
      </c>
      <c r="J1627" s="455">
        <f t="array" ref="J1627">IFERROR(INDEX('Retirement Calculator'!K:K,MATCH('Lorri 401b'!N1627,'Retirement Calculator'!A:A,0),0),0)</f>
        <v>0</v>
      </c>
      <c r="K1627" s="455">
        <f t="shared" ca="1" si="113"/>
        <v>873623.60354606109</v>
      </c>
      <c r="L1627" s="455">
        <f t="shared" ca="1" si="114"/>
        <v>210543288.45460072</v>
      </c>
      <c r="M1627" s="471">
        <f t="shared" si="116"/>
        <v>0.05</v>
      </c>
      <c r="N1627" s="475">
        <f t="shared" si="117"/>
        <v>100564</v>
      </c>
    </row>
    <row r="1628" spans="7:14" ht="11.25" customHeight="1" x14ac:dyDescent="0.3">
      <c r="G1628" s="470"/>
      <c r="H1628" s="470">
        <v>1621</v>
      </c>
      <c r="I1628" s="455">
        <f t="shared" ca="1" si="115"/>
        <v>210543288.45460072</v>
      </c>
      <c r="J1628" s="455">
        <f t="array" ref="J1628">IFERROR(INDEX('Retirement Calculator'!K:K,MATCH('Lorri 401b'!N1628,'Retirement Calculator'!A:A,0),0),0)</f>
        <v>0</v>
      </c>
      <c r="K1628" s="455">
        <f t="shared" ca="1" si="113"/>
        <v>877263.70189416956</v>
      </c>
      <c r="L1628" s="455">
        <f t="shared" ca="1" si="114"/>
        <v>211420552.15649489</v>
      </c>
      <c r="M1628" s="471">
        <f t="shared" si="116"/>
        <v>0.05</v>
      </c>
      <c r="N1628" s="475">
        <f t="shared" si="117"/>
        <v>100595</v>
      </c>
    </row>
    <row r="1629" spans="7:14" ht="11.25" customHeight="1" x14ac:dyDescent="0.3">
      <c r="G1629" s="470"/>
      <c r="H1629" s="470">
        <v>1622</v>
      </c>
      <c r="I1629" s="455">
        <f t="shared" ca="1" si="115"/>
        <v>211420552.15649489</v>
      </c>
      <c r="J1629" s="455">
        <f t="array" ref="J1629">IFERROR(INDEX('Retirement Calculator'!K:K,MATCH('Lorri 401b'!N1629,'Retirement Calculator'!A:A,0),0),0)</f>
        <v>0</v>
      </c>
      <c r="K1629" s="455">
        <f t="shared" ca="1" si="113"/>
        <v>880918.96731872868</v>
      </c>
      <c r="L1629" s="455">
        <f t="shared" ca="1" si="114"/>
        <v>212301471.12381363</v>
      </c>
      <c r="M1629" s="471">
        <f t="shared" si="116"/>
        <v>0.05</v>
      </c>
      <c r="N1629" s="475">
        <f t="shared" si="117"/>
        <v>100625</v>
      </c>
    </row>
    <row r="1630" spans="7:14" ht="11.25" customHeight="1" x14ac:dyDescent="0.3">
      <c r="G1630" s="470"/>
      <c r="H1630" s="470">
        <v>1623</v>
      </c>
      <c r="I1630" s="455">
        <f t="shared" ca="1" si="115"/>
        <v>212301471.12381363</v>
      </c>
      <c r="J1630" s="455">
        <f t="array" ref="J1630">IFERROR(INDEX('Retirement Calculator'!K:K,MATCH('Lorri 401b'!N1630,'Retirement Calculator'!A:A,0),0),0)</f>
        <v>0</v>
      </c>
      <c r="K1630" s="455">
        <f t="shared" ca="1" si="113"/>
        <v>884589.4630158901</v>
      </c>
      <c r="L1630" s="455">
        <f t="shared" ca="1" si="114"/>
        <v>213186060.58682951</v>
      </c>
      <c r="M1630" s="471">
        <f t="shared" si="116"/>
        <v>0.05</v>
      </c>
      <c r="N1630" s="475">
        <f t="shared" si="117"/>
        <v>100656</v>
      </c>
    </row>
    <row r="1631" spans="7:14" ht="11.25" customHeight="1" x14ac:dyDescent="0.3">
      <c r="G1631" s="470"/>
      <c r="H1631" s="470">
        <v>1624</v>
      </c>
      <c r="I1631" s="455">
        <f t="shared" ca="1" si="115"/>
        <v>213186060.58682951</v>
      </c>
      <c r="J1631" s="455">
        <f t="array" ref="J1631">IFERROR(INDEX('Retirement Calculator'!K:K,MATCH('Lorri 401b'!N1631,'Retirement Calculator'!A:A,0),0),0)</f>
        <v>0</v>
      </c>
      <c r="K1631" s="455">
        <f t="shared" ca="1" si="113"/>
        <v>888275.25244512304</v>
      </c>
      <c r="L1631" s="455">
        <f t="shared" ca="1" si="114"/>
        <v>214074335.83927464</v>
      </c>
      <c r="M1631" s="471">
        <f t="shared" si="116"/>
        <v>0.05</v>
      </c>
      <c r="N1631" s="475">
        <f t="shared" si="117"/>
        <v>100687</v>
      </c>
    </row>
    <row r="1632" spans="7:14" ht="11.25" customHeight="1" x14ac:dyDescent="0.3">
      <c r="G1632" s="470"/>
      <c r="H1632" s="470">
        <v>1625</v>
      </c>
      <c r="I1632" s="455">
        <f t="shared" ca="1" si="115"/>
        <v>214074335.83927464</v>
      </c>
      <c r="J1632" s="455">
        <f t="array" ref="J1632">IFERROR(INDEX('Retirement Calculator'!K:K,MATCH('Lorri 401b'!N1632,'Retirement Calculator'!A:A,0),0),0)</f>
        <v>0</v>
      </c>
      <c r="K1632" s="455">
        <f t="shared" ca="1" si="113"/>
        <v>891976.39933031099</v>
      </c>
      <c r="L1632" s="455">
        <f t="shared" ca="1" si="114"/>
        <v>214966312.23860496</v>
      </c>
      <c r="M1632" s="471">
        <f t="shared" si="116"/>
        <v>0.05</v>
      </c>
      <c r="N1632" s="475">
        <f t="shared" si="117"/>
        <v>100717</v>
      </c>
    </row>
    <row r="1633" spans="7:14" ht="11.25" customHeight="1" x14ac:dyDescent="0.3">
      <c r="G1633" s="470"/>
      <c r="H1633" s="470">
        <v>1626</v>
      </c>
      <c r="I1633" s="455">
        <f t="shared" ca="1" si="115"/>
        <v>214966312.23860496</v>
      </c>
      <c r="J1633" s="455">
        <f t="array" ref="J1633">IFERROR(INDEX('Retirement Calculator'!K:K,MATCH('Lorri 401b'!N1633,'Retirement Calculator'!A:A,0),0),0)</f>
        <v>0</v>
      </c>
      <c r="K1633" s="455">
        <f t="shared" ca="1" si="113"/>
        <v>895692.96766085399</v>
      </c>
      <c r="L1633" s="455">
        <f t="shared" ca="1" si="114"/>
        <v>215862005.20626581</v>
      </c>
      <c r="M1633" s="471">
        <f t="shared" si="116"/>
        <v>0.05</v>
      </c>
      <c r="N1633" s="475">
        <f t="shared" si="117"/>
        <v>100748</v>
      </c>
    </row>
    <row r="1634" spans="7:14" ht="11.25" customHeight="1" x14ac:dyDescent="0.3">
      <c r="G1634" s="470"/>
      <c r="H1634" s="470">
        <v>1627</v>
      </c>
      <c r="I1634" s="455">
        <f t="shared" ca="1" si="115"/>
        <v>215862005.20626581</v>
      </c>
      <c r="J1634" s="455">
        <f t="array" ref="J1634">IFERROR(INDEX('Retirement Calculator'!K:K,MATCH('Lorri 401b'!N1634,'Retirement Calculator'!A:A,0),0),0)</f>
        <v>0</v>
      </c>
      <c r="K1634" s="455">
        <f t="shared" ca="1" si="113"/>
        <v>899425.02169277414</v>
      </c>
      <c r="L1634" s="455">
        <f t="shared" ca="1" si="114"/>
        <v>216761430.22795859</v>
      </c>
      <c r="M1634" s="471">
        <f t="shared" si="116"/>
        <v>0.05</v>
      </c>
      <c r="N1634" s="475">
        <f t="shared" si="117"/>
        <v>100778</v>
      </c>
    </row>
    <row r="1635" spans="7:14" ht="11.25" customHeight="1" x14ac:dyDescent="0.3">
      <c r="G1635" s="470"/>
      <c r="H1635" s="470">
        <v>1628</v>
      </c>
      <c r="I1635" s="455">
        <f t="shared" ca="1" si="115"/>
        <v>216761430.22795859</v>
      </c>
      <c r="J1635" s="455">
        <f t="array" ref="J1635">IFERROR(INDEX('Retirement Calculator'!K:K,MATCH('Lorri 401b'!N1635,'Retirement Calculator'!A:A,0),0),0)</f>
        <v>0</v>
      </c>
      <c r="K1635" s="455">
        <f t="shared" ca="1" si="113"/>
        <v>903172.62594982749</v>
      </c>
      <c r="L1635" s="455">
        <f t="shared" ca="1" si="114"/>
        <v>217664602.85390842</v>
      </c>
      <c r="M1635" s="471">
        <f t="shared" si="116"/>
        <v>0.05</v>
      </c>
      <c r="N1635" s="475">
        <f t="shared" si="117"/>
        <v>100809</v>
      </c>
    </row>
    <row r="1636" spans="7:14" ht="11.25" customHeight="1" x14ac:dyDescent="0.3">
      <c r="G1636" s="470"/>
      <c r="H1636" s="470">
        <v>1629</v>
      </c>
      <c r="I1636" s="455">
        <f t="shared" ca="1" si="115"/>
        <v>217664602.85390842</v>
      </c>
      <c r="J1636" s="455">
        <f t="array" ref="J1636">IFERROR(INDEX('Retirement Calculator'!K:K,MATCH('Lorri 401b'!N1636,'Retirement Calculator'!A:A,0),0),0)</f>
        <v>0</v>
      </c>
      <c r="K1636" s="455">
        <f t="shared" ca="1" si="113"/>
        <v>906935.84522461856</v>
      </c>
      <c r="L1636" s="455">
        <f t="shared" ca="1" si="114"/>
        <v>218571538.69913304</v>
      </c>
      <c r="M1636" s="471">
        <f t="shared" si="116"/>
        <v>0.05</v>
      </c>
      <c r="N1636" s="475">
        <f t="shared" si="117"/>
        <v>100840</v>
      </c>
    </row>
    <row r="1637" spans="7:14" ht="11.25" customHeight="1" x14ac:dyDescent="0.3">
      <c r="G1637" s="470"/>
      <c r="H1637" s="470">
        <v>1630</v>
      </c>
      <c r="I1637" s="455">
        <f t="shared" ca="1" si="115"/>
        <v>218571538.69913304</v>
      </c>
      <c r="J1637" s="455">
        <f t="array" ref="J1637">IFERROR(INDEX('Retirement Calculator'!K:K,MATCH('Lorri 401b'!N1637,'Retirement Calculator'!A:A,0),0),0)</f>
        <v>0</v>
      </c>
      <c r="K1637" s="455">
        <f t="shared" ca="1" si="113"/>
        <v>910714.74457972101</v>
      </c>
      <c r="L1637" s="455">
        <f t="shared" ca="1" si="114"/>
        <v>219482253.44371277</v>
      </c>
      <c r="M1637" s="471">
        <f t="shared" si="116"/>
        <v>0.05</v>
      </c>
      <c r="N1637" s="475">
        <f t="shared" si="117"/>
        <v>100869</v>
      </c>
    </row>
    <row r="1638" spans="7:14" ht="11.25" customHeight="1" x14ac:dyDescent="0.3">
      <c r="G1638" s="470"/>
      <c r="H1638" s="470">
        <v>1631</v>
      </c>
      <c r="I1638" s="455">
        <f t="shared" ca="1" si="115"/>
        <v>219482253.44371277</v>
      </c>
      <c r="J1638" s="455">
        <f t="array" ref="J1638">IFERROR(INDEX('Retirement Calculator'!K:K,MATCH('Lorri 401b'!N1638,'Retirement Calculator'!A:A,0),0),0)</f>
        <v>0</v>
      </c>
      <c r="K1638" s="455">
        <f t="shared" ca="1" si="113"/>
        <v>914509.3893488032</v>
      </c>
      <c r="L1638" s="455">
        <f t="shared" ca="1" si="114"/>
        <v>220396762.83306158</v>
      </c>
      <c r="M1638" s="471">
        <f t="shared" si="116"/>
        <v>0.05</v>
      </c>
      <c r="N1638" s="475">
        <f t="shared" si="117"/>
        <v>100900</v>
      </c>
    </row>
    <row r="1639" spans="7:14" ht="11.25" customHeight="1" x14ac:dyDescent="0.3">
      <c r="G1639" s="470"/>
      <c r="H1639" s="470">
        <v>1632</v>
      </c>
      <c r="I1639" s="455">
        <f t="shared" ca="1" si="115"/>
        <v>220396762.83306158</v>
      </c>
      <c r="J1639" s="455">
        <f t="array" ref="J1639">IFERROR(INDEX('Retirement Calculator'!K:K,MATCH('Lorri 401b'!N1639,'Retirement Calculator'!A:A,0),0),0)</f>
        <v>0</v>
      </c>
      <c r="K1639" s="455">
        <f t="shared" ca="1" si="113"/>
        <v>918319.84513775655</v>
      </c>
      <c r="L1639" s="455">
        <f t="shared" ca="1" si="114"/>
        <v>221315082.67819932</v>
      </c>
      <c r="M1639" s="471">
        <f t="shared" si="116"/>
        <v>0.05</v>
      </c>
      <c r="N1639" s="475">
        <f t="shared" si="117"/>
        <v>100930</v>
      </c>
    </row>
    <row r="1640" spans="7:14" ht="11.25" customHeight="1" x14ac:dyDescent="0.3">
      <c r="G1640" s="470"/>
      <c r="H1640" s="470">
        <v>1633</v>
      </c>
      <c r="I1640" s="455">
        <f t="shared" ca="1" si="115"/>
        <v>221315082.67819932</v>
      </c>
      <c r="J1640" s="455">
        <f t="array" ref="J1640">IFERROR(INDEX('Retirement Calculator'!K:K,MATCH('Lorri 401b'!N1640,'Retirement Calculator'!A:A,0),0),0)</f>
        <v>0</v>
      </c>
      <c r="K1640" s="455">
        <f t="shared" ca="1" si="113"/>
        <v>922146.17782583041</v>
      </c>
      <c r="L1640" s="455">
        <f t="shared" ca="1" si="114"/>
        <v>222237228.85602516</v>
      </c>
      <c r="M1640" s="471">
        <f t="shared" si="116"/>
        <v>0.05</v>
      </c>
      <c r="N1640" s="475">
        <f t="shared" si="117"/>
        <v>100961</v>
      </c>
    </row>
    <row r="1641" spans="7:14" ht="11.25" customHeight="1" x14ac:dyDescent="0.3">
      <c r="G1641" s="470"/>
      <c r="H1641" s="470">
        <v>1634</v>
      </c>
      <c r="I1641" s="455">
        <f t="shared" ca="1" si="115"/>
        <v>222237228.85602516</v>
      </c>
      <c r="J1641" s="455">
        <f t="array" ref="J1641">IFERROR(INDEX('Retirement Calculator'!K:K,MATCH('Lorri 401b'!N1641,'Retirement Calculator'!A:A,0),0),0)</f>
        <v>0</v>
      </c>
      <c r="K1641" s="455">
        <f t="shared" ca="1" si="113"/>
        <v>925988.45356677135</v>
      </c>
      <c r="L1641" s="455">
        <f t="shared" ca="1" si="114"/>
        <v>223163217.30959192</v>
      </c>
      <c r="M1641" s="471">
        <f t="shared" si="116"/>
        <v>0.05</v>
      </c>
      <c r="N1641" s="475">
        <f t="shared" si="117"/>
        <v>100991</v>
      </c>
    </row>
    <row r="1642" spans="7:14" ht="11.25" customHeight="1" x14ac:dyDescent="0.3">
      <c r="G1642" s="470"/>
      <c r="H1642" s="470">
        <v>1635</v>
      </c>
      <c r="I1642" s="455">
        <f t="shared" ca="1" si="115"/>
        <v>223163217.30959192</v>
      </c>
      <c r="J1642" s="455">
        <f t="array" ref="J1642">IFERROR(INDEX('Retirement Calculator'!K:K,MATCH('Lorri 401b'!N1642,'Retirement Calculator'!A:A,0),0),0)</f>
        <v>0</v>
      </c>
      <c r="K1642" s="455">
        <f t="shared" ca="1" si="113"/>
        <v>929846.73878996633</v>
      </c>
      <c r="L1642" s="455">
        <f t="shared" ca="1" si="114"/>
        <v>224093064.04838189</v>
      </c>
      <c r="M1642" s="471">
        <f t="shared" si="116"/>
        <v>0.05</v>
      </c>
      <c r="N1642" s="475">
        <f t="shared" si="117"/>
        <v>101022</v>
      </c>
    </row>
    <row r="1643" spans="7:14" ht="11.25" customHeight="1" x14ac:dyDescent="0.3">
      <c r="G1643" s="470"/>
      <c r="H1643" s="470">
        <v>1636</v>
      </c>
      <c r="I1643" s="455">
        <f t="shared" ca="1" si="115"/>
        <v>224093064.04838189</v>
      </c>
      <c r="J1643" s="455">
        <f t="array" ref="J1643">IFERROR(INDEX('Retirement Calculator'!K:K,MATCH('Lorri 401b'!N1643,'Retirement Calculator'!A:A,0),0),0)</f>
        <v>0</v>
      </c>
      <c r="K1643" s="455">
        <f t="shared" ca="1" si="113"/>
        <v>933721.10020159127</v>
      </c>
      <c r="L1643" s="455">
        <f t="shared" ca="1" si="114"/>
        <v>225026785.14858347</v>
      </c>
      <c r="M1643" s="471">
        <f t="shared" si="116"/>
        <v>0.05</v>
      </c>
      <c r="N1643" s="475">
        <f t="shared" si="117"/>
        <v>101053</v>
      </c>
    </row>
    <row r="1644" spans="7:14" ht="11.25" customHeight="1" x14ac:dyDescent="0.3">
      <c r="G1644" s="470"/>
      <c r="H1644" s="470">
        <v>1637</v>
      </c>
      <c r="I1644" s="455">
        <f t="shared" ca="1" si="115"/>
        <v>225026785.14858347</v>
      </c>
      <c r="J1644" s="455">
        <f t="array" ref="J1644">IFERROR(INDEX('Retirement Calculator'!K:K,MATCH('Lorri 401b'!N1644,'Retirement Calculator'!A:A,0),0),0)</f>
        <v>0</v>
      </c>
      <c r="K1644" s="455">
        <f t="shared" ca="1" si="113"/>
        <v>937611.60478576447</v>
      </c>
      <c r="L1644" s="455">
        <f t="shared" ca="1" si="114"/>
        <v>225964396.75336924</v>
      </c>
      <c r="M1644" s="471">
        <f t="shared" si="116"/>
        <v>0.05</v>
      </c>
      <c r="N1644" s="475">
        <f t="shared" si="117"/>
        <v>101083</v>
      </c>
    </row>
    <row r="1645" spans="7:14" ht="11.25" customHeight="1" x14ac:dyDescent="0.3">
      <c r="G1645" s="470"/>
      <c r="H1645" s="470">
        <v>1638</v>
      </c>
      <c r="I1645" s="455">
        <f t="shared" ca="1" si="115"/>
        <v>225964396.75336924</v>
      </c>
      <c r="J1645" s="455">
        <f t="array" ref="J1645">IFERROR(INDEX('Retirement Calculator'!K:K,MATCH('Lorri 401b'!N1645,'Retirement Calculator'!A:A,0),0),0)</f>
        <v>0</v>
      </c>
      <c r="K1645" s="455">
        <f t="shared" ca="1" si="113"/>
        <v>941518.3198057051</v>
      </c>
      <c r="L1645" s="455">
        <f t="shared" ca="1" si="114"/>
        <v>226905915.07317495</v>
      </c>
      <c r="M1645" s="471">
        <f t="shared" si="116"/>
        <v>0.05</v>
      </c>
      <c r="N1645" s="475">
        <f t="shared" si="117"/>
        <v>101114</v>
      </c>
    </row>
    <row r="1646" spans="7:14" ht="11.25" customHeight="1" x14ac:dyDescent="0.3">
      <c r="G1646" s="470"/>
      <c r="H1646" s="470">
        <v>1639</v>
      </c>
      <c r="I1646" s="455">
        <f t="shared" ca="1" si="115"/>
        <v>226905915.07317495</v>
      </c>
      <c r="J1646" s="455">
        <f t="array" ref="J1646">IFERROR(INDEX('Retirement Calculator'!K:K,MATCH('Lorri 401b'!N1646,'Retirement Calculator'!A:A,0),0),0)</f>
        <v>0</v>
      </c>
      <c r="K1646" s="455">
        <f t="shared" ca="1" si="113"/>
        <v>945441.31280489557</v>
      </c>
      <c r="L1646" s="455">
        <f t="shared" ca="1" si="114"/>
        <v>227851356.38597986</v>
      </c>
      <c r="M1646" s="471">
        <f t="shared" si="116"/>
        <v>0.05</v>
      </c>
      <c r="N1646" s="475">
        <f t="shared" si="117"/>
        <v>101144</v>
      </c>
    </row>
    <row r="1647" spans="7:14" ht="11.25" customHeight="1" x14ac:dyDescent="0.3">
      <c r="G1647" s="470"/>
      <c r="H1647" s="470">
        <v>1640</v>
      </c>
      <c r="I1647" s="455">
        <f t="shared" ca="1" si="115"/>
        <v>227851356.38597986</v>
      </c>
      <c r="J1647" s="455">
        <f t="array" ref="J1647">IFERROR(INDEX('Retirement Calculator'!K:K,MATCH('Lorri 401b'!N1647,'Retirement Calculator'!A:A,0),0),0)</f>
        <v>0</v>
      </c>
      <c r="K1647" s="455">
        <f t="shared" ca="1" si="113"/>
        <v>949380.65160824952</v>
      </c>
      <c r="L1647" s="455">
        <f t="shared" ca="1" si="114"/>
        <v>228800737.03758812</v>
      </c>
      <c r="M1647" s="471">
        <f t="shared" si="116"/>
        <v>0.05</v>
      </c>
      <c r="N1647" s="475">
        <f t="shared" si="117"/>
        <v>101175</v>
      </c>
    </row>
    <row r="1648" spans="7:14" ht="11.25" customHeight="1" x14ac:dyDescent="0.3">
      <c r="G1648" s="470"/>
      <c r="H1648" s="470">
        <v>1641</v>
      </c>
      <c r="I1648" s="455">
        <f t="shared" ca="1" si="115"/>
        <v>228800737.03758812</v>
      </c>
      <c r="J1648" s="455">
        <f t="array" ref="J1648">IFERROR(INDEX('Retirement Calculator'!K:K,MATCH('Lorri 401b'!N1648,'Retirement Calculator'!A:A,0),0),0)</f>
        <v>0</v>
      </c>
      <c r="K1648" s="455">
        <f t="shared" ca="1" si="113"/>
        <v>953336.40432328382</v>
      </c>
      <c r="L1648" s="455">
        <f t="shared" ca="1" si="114"/>
        <v>229754073.4419114</v>
      </c>
      <c r="M1648" s="471">
        <f t="shared" si="116"/>
        <v>0.05</v>
      </c>
      <c r="N1648" s="475">
        <f t="shared" si="117"/>
        <v>101206</v>
      </c>
    </row>
    <row r="1649" spans="7:14" ht="11.25" customHeight="1" x14ac:dyDescent="0.3">
      <c r="G1649" s="470"/>
      <c r="H1649" s="470">
        <v>1642</v>
      </c>
      <c r="I1649" s="455">
        <f t="shared" ca="1" si="115"/>
        <v>229754073.4419114</v>
      </c>
      <c r="J1649" s="455">
        <f t="array" ref="J1649">IFERROR(INDEX('Retirement Calculator'!K:K,MATCH('Lorri 401b'!N1649,'Retirement Calculator'!A:A,0),0),0)</f>
        <v>0</v>
      </c>
      <c r="K1649" s="455">
        <f t="shared" ca="1" si="113"/>
        <v>957308.63934129744</v>
      </c>
      <c r="L1649" s="455">
        <f t="shared" ca="1" si="114"/>
        <v>230711382.08125269</v>
      </c>
      <c r="M1649" s="471">
        <f t="shared" si="116"/>
        <v>0.05</v>
      </c>
      <c r="N1649" s="475">
        <f t="shared" si="117"/>
        <v>101234</v>
      </c>
    </row>
    <row r="1650" spans="7:14" ht="11.25" customHeight="1" x14ac:dyDescent="0.3">
      <c r="G1650" s="470"/>
      <c r="H1650" s="470">
        <v>1643</v>
      </c>
      <c r="I1650" s="455">
        <f t="shared" ca="1" si="115"/>
        <v>230711382.08125269</v>
      </c>
      <c r="J1650" s="455">
        <f t="array" ref="J1650">IFERROR(INDEX('Retirement Calculator'!K:K,MATCH('Lorri 401b'!N1650,'Retirement Calculator'!A:A,0),0),0)</f>
        <v>0</v>
      </c>
      <c r="K1650" s="455">
        <f t="shared" ca="1" si="113"/>
        <v>961297.42533855303</v>
      </c>
      <c r="L1650" s="455">
        <f t="shared" ca="1" si="114"/>
        <v>231672679.50659126</v>
      </c>
      <c r="M1650" s="471">
        <f t="shared" si="116"/>
        <v>0.05</v>
      </c>
      <c r="N1650" s="475">
        <f t="shared" si="117"/>
        <v>101265</v>
      </c>
    </row>
    <row r="1651" spans="7:14" ht="11.25" customHeight="1" x14ac:dyDescent="0.3">
      <c r="G1651" s="470"/>
      <c r="H1651" s="470">
        <v>1644</v>
      </c>
      <c r="I1651" s="455">
        <f t="shared" ca="1" si="115"/>
        <v>231672679.50659126</v>
      </c>
      <c r="J1651" s="455">
        <f t="array" ref="J1651">IFERROR(INDEX('Retirement Calculator'!K:K,MATCH('Lorri 401b'!N1651,'Retirement Calculator'!A:A,0),0),0)</f>
        <v>0</v>
      </c>
      <c r="K1651" s="455">
        <f t="shared" ca="1" si="113"/>
        <v>965302.83127746359</v>
      </c>
      <c r="L1651" s="455">
        <f t="shared" ca="1" si="114"/>
        <v>232637982.33786872</v>
      </c>
      <c r="M1651" s="471">
        <f t="shared" si="116"/>
        <v>0.05</v>
      </c>
      <c r="N1651" s="475">
        <f t="shared" si="117"/>
        <v>101295</v>
      </c>
    </row>
    <row r="1652" spans="7:14" ht="11.25" customHeight="1" x14ac:dyDescent="0.3">
      <c r="G1652" s="470"/>
      <c r="H1652" s="470">
        <v>1645</v>
      </c>
      <c r="I1652" s="455">
        <f t="shared" ca="1" si="115"/>
        <v>232637982.33786872</v>
      </c>
      <c r="J1652" s="455">
        <f t="array" ref="J1652">IFERROR(INDEX('Retirement Calculator'!K:K,MATCH('Lorri 401b'!N1652,'Retirement Calculator'!A:A,0),0),0)</f>
        <v>0</v>
      </c>
      <c r="K1652" s="455">
        <f t="shared" ca="1" si="113"/>
        <v>969324.92640778632</v>
      </c>
      <c r="L1652" s="455">
        <f t="shared" ca="1" si="114"/>
        <v>233607307.2642765</v>
      </c>
      <c r="M1652" s="471">
        <f t="shared" si="116"/>
        <v>0.05</v>
      </c>
      <c r="N1652" s="475">
        <f t="shared" si="117"/>
        <v>101326</v>
      </c>
    </row>
    <row r="1653" spans="7:14" ht="11.25" customHeight="1" x14ac:dyDescent="0.3">
      <c r="G1653" s="470"/>
      <c r="H1653" s="470">
        <v>1646</v>
      </c>
      <c r="I1653" s="455">
        <f t="shared" ca="1" si="115"/>
        <v>233607307.2642765</v>
      </c>
      <c r="J1653" s="455">
        <f t="array" ref="J1653">IFERROR(INDEX('Retirement Calculator'!K:K,MATCH('Lorri 401b'!N1653,'Retirement Calculator'!A:A,0),0),0)</f>
        <v>0</v>
      </c>
      <c r="K1653" s="455">
        <f t="shared" ca="1" si="113"/>
        <v>973363.78026781871</v>
      </c>
      <c r="L1653" s="455">
        <f t="shared" ca="1" si="114"/>
        <v>234580671.04454431</v>
      </c>
      <c r="M1653" s="471">
        <f t="shared" si="116"/>
        <v>0.05</v>
      </c>
      <c r="N1653" s="475">
        <f t="shared" si="117"/>
        <v>101356</v>
      </c>
    </row>
    <row r="1654" spans="7:14" ht="11.25" customHeight="1" x14ac:dyDescent="0.3">
      <c r="G1654" s="470"/>
      <c r="H1654" s="470">
        <v>1647</v>
      </c>
      <c r="I1654" s="455">
        <f t="shared" ca="1" si="115"/>
        <v>234580671.04454431</v>
      </c>
      <c r="J1654" s="455">
        <f t="array" ref="J1654">IFERROR(INDEX('Retirement Calculator'!K:K,MATCH('Lorri 401b'!N1654,'Retirement Calculator'!A:A,0),0),0)</f>
        <v>0</v>
      </c>
      <c r="K1654" s="455">
        <f t="shared" ca="1" si="113"/>
        <v>977419.4626856012</v>
      </c>
      <c r="L1654" s="455">
        <f t="shared" ca="1" si="114"/>
        <v>235558090.50722992</v>
      </c>
      <c r="M1654" s="471">
        <f t="shared" si="116"/>
        <v>0.05</v>
      </c>
      <c r="N1654" s="475">
        <f t="shared" si="117"/>
        <v>101387</v>
      </c>
    </row>
    <row r="1655" spans="7:14" ht="11.25" customHeight="1" x14ac:dyDescent="0.3">
      <c r="G1655" s="470"/>
      <c r="H1655" s="470">
        <v>1648</v>
      </c>
      <c r="I1655" s="455">
        <f t="shared" ca="1" si="115"/>
        <v>235558090.50722992</v>
      </c>
      <c r="J1655" s="455">
        <f t="array" ref="J1655">IFERROR(INDEX('Retirement Calculator'!K:K,MATCH('Lorri 401b'!N1655,'Retirement Calculator'!A:A,0),0),0)</f>
        <v>0</v>
      </c>
      <c r="K1655" s="455">
        <f t="shared" ca="1" si="113"/>
        <v>981492.04378012463</v>
      </c>
      <c r="L1655" s="455">
        <f t="shared" ca="1" si="114"/>
        <v>236539582.55101004</v>
      </c>
      <c r="M1655" s="471">
        <f t="shared" si="116"/>
        <v>0.05</v>
      </c>
      <c r="N1655" s="475">
        <f t="shared" si="117"/>
        <v>101418</v>
      </c>
    </row>
    <row r="1656" spans="7:14" ht="11.25" customHeight="1" x14ac:dyDescent="0.3">
      <c r="G1656" s="470"/>
      <c r="H1656" s="470">
        <v>1649</v>
      </c>
      <c r="I1656" s="455">
        <f t="shared" ca="1" si="115"/>
        <v>236539582.55101004</v>
      </c>
      <c r="J1656" s="455">
        <f t="array" ref="J1656">IFERROR(INDEX('Retirement Calculator'!K:K,MATCH('Lorri 401b'!N1656,'Retirement Calculator'!A:A,0),0),0)</f>
        <v>0</v>
      </c>
      <c r="K1656" s="455">
        <f t="shared" ca="1" si="113"/>
        <v>985581.59396254166</v>
      </c>
      <c r="L1656" s="455">
        <f t="shared" ca="1" si="114"/>
        <v>237525164.14497259</v>
      </c>
      <c r="M1656" s="471">
        <f t="shared" si="116"/>
        <v>0.05</v>
      </c>
      <c r="N1656" s="475">
        <f t="shared" si="117"/>
        <v>101448</v>
      </c>
    </row>
    <row r="1657" spans="7:14" ht="11.25" customHeight="1" x14ac:dyDescent="0.3">
      <c r="G1657" s="470"/>
      <c r="H1657" s="470">
        <v>1650</v>
      </c>
      <c r="I1657" s="455">
        <f t="shared" ca="1" si="115"/>
        <v>237525164.14497259</v>
      </c>
      <c r="J1657" s="455">
        <f t="array" ref="J1657">IFERROR(INDEX('Retirement Calculator'!K:K,MATCH('Lorri 401b'!N1657,'Retirement Calculator'!A:A,0),0),0)</f>
        <v>0</v>
      </c>
      <c r="K1657" s="455">
        <f t="shared" ca="1" si="113"/>
        <v>989688.18393738568</v>
      </c>
      <c r="L1657" s="455">
        <f t="shared" ca="1" si="114"/>
        <v>238514852.32890999</v>
      </c>
      <c r="M1657" s="471">
        <f t="shared" si="116"/>
        <v>0.05</v>
      </c>
      <c r="N1657" s="475">
        <f t="shared" si="117"/>
        <v>101479</v>
      </c>
    </row>
    <row r="1658" spans="7:14" ht="11.25" customHeight="1" x14ac:dyDescent="0.3">
      <c r="G1658" s="470"/>
      <c r="H1658" s="470">
        <v>1651</v>
      </c>
      <c r="I1658" s="455">
        <f t="shared" ca="1" si="115"/>
        <v>238514852.32890999</v>
      </c>
      <c r="J1658" s="455">
        <f t="array" ref="J1658">IFERROR(INDEX('Retirement Calculator'!K:K,MATCH('Lorri 401b'!N1658,'Retirement Calculator'!A:A,0),0),0)</f>
        <v>0</v>
      </c>
      <c r="K1658" s="455">
        <f t="shared" ca="1" si="113"/>
        <v>993811.88470379158</v>
      </c>
      <c r="L1658" s="455">
        <f t="shared" ca="1" si="114"/>
        <v>239508664.21361378</v>
      </c>
      <c r="M1658" s="471">
        <f t="shared" si="116"/>
        <v>0.05</v>
      </c>
      <c r="N1658" s="475">
        <f t="shared" si="117"/>
        <v>101509</v>
      </c>
    </row>
    <row r="1659" spans="7:14" ht="11.25" customHeight="1" x14ac:dyDescent="0.3">
      <c r="G1659" s="470"/>
      <c r="H1659" s="470">
        <v>1652</v>
      </c>
      <c r="I1659" s="455">
        <f t="shared" ca="1" si="115"/>
        <v>239508664.21361378</v>
      </c>
      <c r="J1659" s="455">
        <f t="array" ref="J1659">IFERROR(INDEX('Retirement Calculator'!K:K,MATCH('Lorri 401b'!N1659,'Retirement Calculator'!A:A,0),0),0)</f>
        <v>0</v>
      </c>
      <c r="K1659" s="455">
        <f t="shared" ca="1" si="113"/>
        <v>997952.76755672391</v>
      </c>
      <c r="L1659" s="455">
        <f t="shared" ca="1" si="114"/>
        <v>240506616.98117051</v>
      </c>
      <c r="M1659" s="471">
        <f t="shared" si="116"/>
        <v>0.05</v>
      </c>
      <c r="N1659" s="475">
        <f t="shared" si="117"/>
        <v>101540</v>
      </c>
    </row>
    <row r="1660" spans="7:14" ht="11.25" customHeight="1" x14ac:dyDescent="0.3">
      <c r="G1660" s="470"/>
      <c r="H1660" s="470">
        <v>1653</v>
      </c>
      <c r="I1660" s="455">
        <f t="shared" ca="1" si="115"/>
        <v>240506616.98117051</v>
      </c>
      <c r="J1660" s="455">
        <f t="array" ref="J1660">IFERROR(INDEX('Retirement Calculator'!K:K,MATCH('Lorri 401b'!N1660,'Retirement Calculator'!A:A,0),0),0)</f>
        <v>0</v>
      </c>
      <c r="K1660" s="455">
        <f t="shared" ca="1" si="113"/>
        <v>1002110.9040882103</v>
      </c>
      <c r="L1660" s="455">
        <f t="shared" ca="1" si="114"/>
        <v>241508727.8852587</v>
      </c>
      <c r="M1660" s="471">
        <f t="shared" si="116"/>
        <v>0.05</v>
      </c>
      <c r="N1660" s="475">
        <f t="shared" si="117"/>
        <v>101571</v>
      </c>
    </row>
    <row r="1661" spans="7:14" ht="11.25" customHeight="1" x14ac:dyDescent="0.3">
      <c r="G1661" s="470"/>
      <c r="H1661" s="470">
        <v>1654</v>
      </c>
      <c r="I1661" s="455">
        <f t="shared" ca="1" si="115"/>
        <v>241508727.8852587</v>
      </c>
      <c r="J1661" s="455">
        <f t="array" ref="J1661">IFERROR(INDEX('Retirement Calculator'!K:K,MATCH('Lorri 401b'!N1661,'Retirement Calculator'!A:A,0),0),0)</f>
        <v>0</v>
      </c>
      <c r="K1661" s="455">
        <f t="shared" ca="1" si="113"/>
        <v>1006286.366188578</v>
      </c>
      <c r="L1661" s="455">
        <f t="shared" ca="1" si="114"/>
        <v>242515014.25144729</v>
      </c>
      <c r="M1661" s="471">
        <f t="shared" si="116"/>
        <v>0.05</v>
      </c>
      <c r="N1661" s="475">
        <f t="shared" si="117"/>
        <v>101599</v>
      </c>
    </row>
    <row r="1662" spans="7:14" ht="11.25" customHeight="1" x14ac:dyDescent="0.3">
      <c r="G1662" s="470"/>
      <c r="H1662" s="470">
        <v>1655</v>
      </c>
      <c r="I1662" s="455">
        <f t="shared" ca="1" si="115"/>
        <v>242515014.25144729</v>
      </c>
      <c r="J1662" s="455">
        <f t="array" ref="J1662">IFERROR(INDEX('Retirement Calculator'!K:K,MATCH('Lorri 401b'!N1662,'Retirement Calculator'!A:A,0),0),0)</f>
        <v>0</v>
      </c>
      <c r="K1662" s="455">
        <f t="shared" ca="1" si="113"/>
        <v>1010479.2260476971</v>
      </c>
      <c r="L1662" s="455">
        <f t="shared" ca="1" si="114"/>
        <v>243525493.47749498</v>
      </c>
      <c r="M1662" s="471">
        <f t="shared" si="116"/>
        <v>0.05</v>
      </c>
      <c r="N1662" s="475">
        <f t="shared" si="117"/>
        <v>101630</v>
      </c>
    </row>
    <row r="1663" spans="7:14" ht="11.25" customHeight="1" x14ac:dyDescent="0.3">
      <c r="G1663" s="470"/>
      <c r="H1663" s="470">
        <v>1656</v>
      </c>
      <c r="I1663" s="455">
        <f t="shared" ca="1" si="115"/>
        <v>243525493.47749498</v>
      </c>
      <c r="J1663" s="455">
        <f t="array" ref="J1663">IFERROR(INDEX('Retirement Calculator'!K:K,MATCH('Lorri 401b'!N1663,'Retirement Calculator'!A:A,0),0),0)</f>
        <v>0</v>
      </c>
      <c r="K1663" s="455">
        <f t="shared" ca="1" si="113"/>
        <v>1014689.5561562291</v>
      </c>
      <c r="L1663" s="455">
        <f t="shared" ca="1" si="114"/>
        <v>244540183.0336512</v>
      </c>
      <c r="M1663" s="471">
        <f t="shared" si="116"/>
        <v>0.05</v>
      </c>
      <c r="N1663" s="475">
        <f t="shared" si="117"/>
        <v>101660</v>
      </c>
    </row>
    <row r="1664" spans="7:14" ht="11.25" customHeight="1" x14ac:dyDescent="0.3">
      <c r="G1664" s="470"/>
      <c r="H1664" s="470">
        <v>1657</v>
      </c>
      <c r="I1664" s="455">
        <f t="shared" ca="1" si="115"/>
        <v>244540183.0336512</v>
      </c>
      <c r="J1664" s="455">
        <f t="array" ref="J1664">IFERROR(INDEX('Retirement Calculator'!K:K,MATCH('Lorri 401b'!N1664,'Retirement Calculator'!A:A,0),0),0)</f>
        <v>0</v>
      </c>
      <c r="K1664" s="455">
        <f t="shared" ca="1" si="113"/>
        <v>1018917.42930688</v>
      </c>
      <c r="L1664" s="455">
        <f t="shared" ca="1" si="114"/>
        <v>245559100.4629581</v>
      </c>
      <c r="M1664" s="471">
        <f t="shared" si="116"/>
        <v>0.05</v>
      </c>
      <c r="N1664" s="475">
        <f t="shared" si="117"/>
        <v>101691</v>
      </c>
    </row>
    <row r="1665" spans="7:14" ht="11.25" customHeight="1" x14ac:dyDescent="0.3">
      <c r="G1665" s="470"/>
      <c r="H1665" s="470">
        <v>1658</v>
      </c>
      <c r="I1665" s="455">
        <f t="shared" ca="1" si="115"/>
        <v>245559100.4629581</v>
      </c>
      <c r="J1665" s="455">
        <f t="array" ref="J1665">IFERROR(INDEX('Retirement Calculator'!K:K,MATCH('Lorri 401b'!N1665,'Retirement Calculator'!A:A,0),0),0)</f>
        <v>0</v>
      </c>
      <c r="K1665" s="455">
        <f t="shared" ca="1" si="113"/>
        <v>1023162.9185956587</v>
      </c>
      <c r="L1665" s="455">
        <f t="shared" ca="1" si="114"/>
        <v>246582263.38155377</v>
      </c>
      <c r="M1665" s="471">
        <f t="shared" si="116"/>
        <v>0.05</v>
      </c>
      <c r="N1665" s="475">
        <f t="shared" si="117"/>
        <v>101721</v>
      </c>
    </row>
    <row r="1666" spans="7:14" ht="11.25" customHeight="1" x14ac:dyDescent="0.3">
      <c r="G1666" s="470"/>
      <c r="H1666" s="470">
        <v>1659</v>
      </c>
      <c r="I1666" s="455">
        <f t="shared" ca="1" si="115"/>
        <v>246582263.38155377</v>
      </c>
      <c r="J1666" s="455">
        <f t="array" ref="J1666">IFERROR(INDEX('Retirement Calculator'!K:K,MATCH('Lorri 401b'!N1666,'Retirement Calculator'!A:A,0),0),0)</f>
        <v>0</v>
      </c>
      <c r="K1666" s="455">
        <f t="shared" ca="1" si="113"/>
        <v>1027426.0974231407</v>
      </c>
      <c r="L1666" s="455">
        <f t="shared" ca="1" si="114"/>
        <v>247609689.47897691</v>
      </c>
      <c r="M1666" s="471">
        <f t="shared" si="116"/>
        <v>0.05</v>
      </c>
      <c r="N1666" s="475">
        <f t="shared" si="117"/>
        <v>101752</v>
      </c>
    </row>
    <row r="1667" spans="7:14" ht="11.25" customHeight="1" x14ac:dyDescent="0.3">
      <c r="G1667" s="470"/>
      <c r="H1667" s="470">
        <v>1660</v>
      </c>
      <c r="I1667" s="455">
        <f t="shared" ca="1" si="115"/>
        <v>247609689.47897691</v>
      </c>
      <c r="J1667" s="455">
        <f t="array" ref="J1667">IFERROR(INDEX('Retirement Calculator'!K:K,MATCH('Lorri 401b'!N1667,'Retirement Calculator'!A:A,0),0),0)</f>
        <v>0</v>
      </c>
      <c r="K1667" s="455">
        <f t="shared" ca="1" si="113"/>
        <v>1031707.0394957371</v>
      </c>
      <c r="L1667" s="455">
        <f t="shared" ca="1" si="114"/>
        <v>248641396.51847264</v>
      </c>
      <c r="M1667" s="471">
        <f t="shared" si="116"/>
        <v>0.05</v>
      </c>
      <c r="N1667" s="475">
        <f t="shared" si="117"/>
        <v>101783</v>
      </c>
    </row>
    <row r="1668" spans="7:14" ht="11.25" customHeight="1" x14ac:dyDescent="0.3">
      <c r="G1668" s="470"/>
      <c r="H1668" s="470">
        <v>1661</v>
      </c>
      <c r="I1668" s="455">
        <f t="shared" ca="1" si="115"/>
        <v>248641396.51847264</v>
      </c>
      <c r="J1668" s="455">
        <f t="array" ref="J1668">IFERROR(INDEX('Retirement Calculator'!K:K,MATCH('Lorri 401b'!N1668,'Retirement Calculator'!A:A,0),0),0)</f>
        <v>0</v>
      </c>
      <c r="K1668" s="455">
        <f t="shared" ca="1" si="113"/>
        <v>1036005.8188269694</v>
      </c>
      <c r="L1668" s="455">
        <f t="shared" ca="1" si="114"/>
        <v>249677402.33729962</v>
      </c>
      <c r="M1668" s="471">
        <f t="shared" si="116"/>
        <v>0.05</v>
      </c>
      <c r="N1668" s="475">
        <f t="shared" si="117"/>
        <v>101813</v>
      </c>
    </row>
    <row r="1669" spans="7:14" ht="11.25" customHeight="1" x14ac:dyDescent="0.3">
      <c r="G1669" s="470"/>
      <c r="H1669" s="470">
        <v>1662</v>
      </c>
      <c r="I1669" s="455">
        <f t="shared" ca="1" si="115"/>
        <v>249677402.33729962</v>
      </c>
      <c r="J1669" s="455">
        <f t="array" ref="J1669">IFERROR(INDEX('Retirement Calculator'!K:K,MATCH('Lorri 401b'!N1669,'Retirement Calculator'!A:A,0),0),0)</f>
        <v>0</v>
      </c>
      <c r="K1669" s="455">
        <f t="shared" ca="1" si="113"/>
        <v>1040322.5097387484</v>
      </c>
      <c r="L1669" s="455">
        <f t="shared" ca="1" si="114"/>
        <v>250717724.84703836</v>
      </c>
      <c r="M1669" s="471">
        <f t="shared" si="116"/>
        <v>0.05</v>
      </c>
      <c r="N1669" s="475">
        <f t="shared" si="117"/>
        <v>101844</v>
      </c>
    </row>
    <row r="1670" spans="7:14" ht="11.25" customHeight="1" x14ac:dyDescent="0.3">
      <c r="G1670" s="470"/>
      <c r="H1670" s="470">
        <v>1663</v>
      </c>
      <c r="I1670" s="455">
        <f t="shared" ca="1" si="115"/>
        <v>250717724.84703836</v>
      </c>
      <c r="J1670" s="455">
        <f t="array" ref="J1670">IFERROR(INDEX('Retirement Calculator'!K:K,MATCH('Lorri 401b'!N1670,'Retirement Calculator'!A:A,0),0),0)</f>
        <v>0</v>
      </c>
      <c r="K1670" s="455">
        <f t="shared" ca="1" si="113"/>
        <v>1044657.1868626598</v>
      </c>
      <c r="L1670" s="455">
        <f t="shared" ca="1" si="114"/>
        <v>251762382.03390101</v>
      </c>
      <c r="M1670" s="471">
        <f t="shared" si="116"/>
        <v>0.05</v>
      </c>
      <c r="N1670" s="475">
        <f t="shared" si="117"/>
        <v>101874</v>
      </c>
    </row>
    <row r="1671" spans="7:14" ht="11.25" customHeight="1" x14ac:dyDescent="0.3">
      <c r="G1671" s="470"/>
      <c r="H1671" s="470">
        <v>1664</v>
      </c>
      <c r="I1671" s="455">
        <f t="shared" ca="1" si="115"/>
        <v>251762382.03390101</v>
      </c>
      <c r="J1671" s="455">
        <f t="array" ref="J1671">IFERROR(INDEX('Retirement Calculator'!K:K,MATCH('Lorri 401b'!N1671,'Retirement Calculator'!A:A,0),0),0)</f>
        <v>0</v>
      </c>
      <c r="K1671" s="455">
        <f t="shared" ca="1" si="113"/>
        <v>1049009.9251412542</v>
      </c>
      <c r="L1671" s="455">
        <f t="shared" ca="1" si="114"/>
        <v>252811391.95904225</v>
      </c>
      <c r="M1671" s="471">
        <f t="shared" si="116"/>
        <v>0.05</v>
      </c>
      <c r="N1671" s="475">
        <f t="shared" si="117"/>
        <v>101905</v>
      </c>
    </row>
    <row r="1672" spans="7:14" ht="11.25" customHeight="1" x14ac:dyDescent="0.3">
      <c r="G1672" s="470"/>
      <c r="H1672" s="470">
        <v>1665</v>
      </c>
      <c r="I1672" s="455">
        <f t="shared" ca="1" si="115"/>
        <v>252811391.95904225</v>
      </c>
      <c r="J1672" s="455">
        <f t="array" ref="J1672">IFERROR(INDEX('Retirement Calculator'!K:K,MATCH('Lorri 401b'!N1672,'Retirement Calculator'!A:A,0),0),0)</f>
        <v>0</v>
      </c>
      <c r="K1672" s="455">
        <f t="shared" ca="1" si="113"/>
        <v>1053380.7998293426</v>
      </c>
      <c r="L1672" s="455">
        <f t="shared" ca="1" si="114"/>
        <v>253864772.75887159</v>
      </c>
      <c r="M1672" s="471">
        <f t="shared" si="116"/>
        <v>0.05</v>
      </c>
      <c r="N1672" s="475">
        <f t="shared" si="117"/>
        <v>101936</v>
      </c>
    </row>
    <row r="1673" spans="7:14" ht="11.25" customHeight="1" x14ac:dyDescent="0.3">
      <c r="G1673" s="470"/>
      <c r="H1673" s="470">
        <v>1666</v>
      </c>
      <c r="I1673" s="455">
        <f t="shared" ca="1" si="115"/>
        <v>253864772.75887159</v>
      </c>
      <c r="J1673" s="455">
        <f t="array" ref="J1673">IFERROR(INDEX('Retirement Calculator'!K:K,MATCH('Lorri 401b'!N1673,'Retirement Calculator'!A:A,0),0),0)</f>
        <v>0</v>
      </c>
      <c r="K1673" s="455">
        <f t="shared" ca="1" si="113"/>
        <v>1057769.8864952982</v>
      </c>
      <c r="L1673" s="455">
        <f t="shared" ca="1" si="114"/>
        <v>254922542.64536688</v>
      </c>
      <c r="M1673" s="471">
        <f t="shared" si="116"/>
        <v>0.05</v>
      </c>
      <c r="N1673" s="475">
        <f t="shared" si="117"/>
        <v>101964</v>
      </c>
    </row>
    <row r="1674" spans="7:14" ht="11.25" customHeight="1" x14ac:dyDescent="0.3">
      <c r="G1674" s="470"/>
      <c r="H1674" s="470">
        <v>1667</v>
      </c>
      <c r="I1674" s="455">
        <f t="shared" ca="1" si="115"/>
        <v>254922542.64536688</v>
      </c>
      <c r="J1674" s="455">
        <f t="array" ref="J1674">IFERROR(INDEX('Retirement Calculator'!K:K,MATCH('Lorri 401b'!N1674,'Retirement Calculator'!A:A,0),0),0)</f>
        <v>0</v>
      </c>
      <c r="K1674" s="455">
        <f t="shared" ca="1" si="113"/>
        <v>1062177.2610223619</v>
      </c>
      <c r="L1674" s="455">
        <f t="shared" ca="1" si="114"/>
        <v>255984719.90638924</v>
      </c>
      <c r="M1674" s="471">
        <f t="shared" si="116"/>
        <v>0.05</v>
      </c>
      <c r="N1674" s="475">
        <f t="shared" si="117"/>
        <v>101995</v>
      </c>
    </row>
    <row r="1675" spans="7:14" ht="11.25" customHeight="1" x14ac:dyDescent="0.3">
      <c r="G1675" s="470"/>
      <c r="H1675" s="470">
        <v>1668</v>
      </c>
      <c r="I1675" s="455">
        <f t="shared" ca="1" si="115"/>
        <v>255984719.90638924</v>
      </c>
      <c r="J1675" s="455">
        <f t="array" ref="J1675">IFERROR(INDEX('Retirement Calculator'!K:K,MATCH('Lorri 401b'!N1675,'Retirement Calculator'!A:A,0),0),0)</f>
        <v>0</v>
      </c>
      <c r="K1675" s="455">
        <f t="shared" ca="1" si="113"/>
        <v>1066602.9996099551</v>
      </c>
      <c r="L1675" s="455">
        <f t="shared" ca="1" si="114"/>
        <v>257051322.90599918</v>
      </c>
      <c r="M1675" s="471">
        <f t="shared" si="116"/>
        <v>0.05</v>
      </c>
      <c r="N1675" s="475">
        <f t="shared" si="117"/>
        <v>102025</v>
      </c>
    </row>
    <row r="1676" spans="7:14" ht="11.25" customHeight="1" x14ac:dyDescent="0.3">
      <c r="G1676" s="470"/>
      <c r="H1676" s="470">
        <v>1669</v>
      </c>
      <c r="I1676" s="455">
        <f t="shared" ca="1" si="115"/>
        <v>257051322.90599918</v>
      </c>
      <c r="J1676" s="455">
        <f t="array" ref="J1676">IFERROR(INDEX('Retirement Calculator'!K:K,MATCH('Lorri 401b'!N1676,'Retirement Calculator'!A:A,0),0),0)</f>
        <v>0</v>
      </c>
      <c r="K1676" s="455">
        <f t="shared" ca="1" si="113"/>
        <v>1071047.1787749964</v>
      </c>
      <c r="L1676" s="455">
        <f t="shared" ca="1" si="114"/>
        <v>258122370.08477417</v>
      </c>
      <c r="M1676" s="471">
        <f t="shared" si="116"/>
        <v>0.05</v>
      </c>
      <c r="N1676" s="475">
        <f t="shared" si="117"/>
        <v>102056</v>
      </c>
    </row>
    <row r="1677" spans="7:14" ht="11.25" customHeight="1" x14ac:dyDescent="0.3">
      <c r="G1677" s="470"/>
      <c r="H1677" s="470">
        <v>1670</v>
      </c>
      <c r="I1677" s="455">
        <f t="shared" ca="1" si="115"/>
        <v>258122370.08477417</v>
      </c>
      <c r="J1677" s="455">
        <f t="array" ref="J1677">IFERROR(INDEX('Retirement Calculator'!K:K,MATCH('Lorri 401b'!N1677,'Retirement Calculator'!A:A,0),0),0)</f>
        <v>0</v>
      </c>
      <c r="K1677" s="455">
        <f t="shared" ca="1" si="113"/>
        <v>1075509.8753532257</v>
      </c>
      <c r="L1677" s="455">
        <f t="shared" ca="1" si="114"/>
        <v>259197879.96012738</v>
      </c>
      <c r="M1677" s="471">
        <f t="shared" si="116"/>
        <v>0.05</v>
      </c>
      <c r="N1677" s="475">
        <f t="shared" si="117"/>
        <v>102086</v>
      </c>
    </row>
    <row r="1678" spans="7:14" ht="11.25" customHeight="1" x14ac:dyDescent="0.3">
      <c r="G1678" s="470"/>
      <c r="H1678" s="470">
        <v>1671</v>
      </c>
      <c r="I1678" s="455">
        <f t="shared" ca="1" si="115"/>
        <v>259197879.96012738</v>
      </c>
      <c r="J1678" s="455">
        <f t="array" ref="J1678">IFERROR(INDEX('Retirement Calculator'!K:K,MATCH('Lorri 401b'!N1678,'Retirement Calculator'!A:A,0),0),0)</f>
        <v>0</v>
      </c>
      <c r="K1678" s="455">
        <f t="shared" ca="1" si="113"/>
        <v>1079991.1665005307</v>
      </c>
      <c r="L1678" s="455">
        <f t="shared" ca="1" si="114"/>
        <v>260277871.12662792</v>
      </c>
      <c r="M1678" s="471">
        <f t="shared" si="116"/>
        <v>0.05</v>
      </c>
      <c r="N1678" s="475">
        <f t="shared" si="117"/>
        <v>102117</v>
      </c>
    </row>
    <row r="1679" spans="7:14" ht="11.25" customHeight="1" x14ac:dyDescent="0.3">
      <c r="G1679" s="470"/>
      <c r="H1679" s="470">
        <v>1672</v>
      </c>
      <c r="I1679" s="455">
        <f t="shared" ca="1" si="115"/>
        <v>260277871.12662792</v>
      </c>
      <c r="J1679" s="455">
        <f t="array" ref="J1679">IFERROR(INDEX('Retirement Calculator'!K:K,MATCH('Lorri 401b'!N1679,'Retirement Calculator'!A:A,0),0),0)</f>
        <v>0</v>
      </c>
      <c r="K1679" s="455">
        <f t="shared" ca="1" si="113"/>
        <v>1084491.129694283</v>
      </c>
      <c r="L1679" s="455">
        <f t="shared" ca="1" si="114"/>
        <v>261362362.25632221</v>
      </c>
      <c r="M1679" s="471">
        <f t="shared" si="116"/>
        <v>0.05</v>
      </c>
      <c r="N1679" s="475">
        <f t="shared" si="117"/>
        <v>102148</v>
      </c>
    </row>
    <row r="1680" spans="7:14" ht="11.25" customHeight="1" x14ac:dyDescent="0.3">
      <c r="G1680" s="470"/>
      <c r="H1680" s="470">
        <v>1673</v>
      </c>
      <c r="I1680" s="455">
        <f t="shared" ca="1" si="115"/>
        <v>261362362.25632221</v>
      </c>
      <c r="J1680" s="455">
        <f t="array" ref="J1680">IFERROR(INDEX('Retirement Calculator'!K:K,MATCH('Lorri 401b'!N1680,'Retirement Calculator'!A:A,0),0),0)</f>
        <v>0</v>
      </c>
      <c r="K1680" s="455">
        <f t="shared" ca="1" si="113"/>
        <v>1089009.8427346759</v>
      </c>
      <c r="L1680" s="455">
        <f t="shared" ca="1" si="114"/>
        <v>262451372.09905687</v>
      </c>
      <c r="M1680" s="471">
        <f t="shared" si="116"/>
        <v>0.05</v>
      </c>
      <c r="N1680" s="475">
        <f t="shared" si="117"/>
        <v>102178</v>
      </c>
    </row>
    <row r="1681" spans="7:14" ht="11.25" customHeight="1" x14ac:dyDescent="0.3">
      <c r="G1681" s="470"/>
      <c r="H1681" s="470">
        <v>1674</v>
      </c>
      <c r="I1681" s="455">
        <f t="shared" ca="1" si="115"/>
        <v>262451372.09905687</v>
      </c>
      <c r="J1681" s="455">
        <f t="array" ref="J1681">IFERROR(INDEX('Retirement Calculator'!K:K,MATCH('Lorri 401b'!N1681,'Retirement Calculator'!A:A,0),0),0)</f>
        <v>0</v>
      </c>
      <c r="K1681" s="455">
        <f t="shared" ca="1" si="113"/>
        <v>1093547.3837460703</v>
      </c>
      <c r="L1681" s="455">
        <f t="shared" ca="1" si="114"/>
        <v>263544919.48280293</v>
      </c>
      <c r="M1681" s="471">
        <f t="shared" si="116"/>
        <v>0.05</v>
      </c>
      <c r="N1681" s="475">
        <f t="shared" si="117"/>
        <v>102209</v>
      </c>
    </row>
    <row r="1682" spans="7:14" ht="11.25" customHeight="1" x14ac:dyDescent="0.3">
      <c r="G1682" s="470"/>
      <c r="H1682" s="470">
        <v>1675</v>
      </c>
      <c r="I1682" s="455">
        <f t="shared" ca="1" si="115"/>
        <v>263544919.48280293</v>
      </c>
      <c r="J1682" s="455">
        <f t="array" ref="J1682">IFERROR(INDEX('Retirement Calculator'!K:K,MATCH('Lorri 401b'!N1682,'Retirement Calculator'!A:A,0),0),0)</f>
        <v>0</v>
      </c>
      <c r="K1682" s="455">
        <f t="shared" ca="1" si="113"/>
        <v>1098103.8311783455</v>
      </c>
      <c r="L1682" s="455">
        <f t="shared" ca="1" si="114"/>
        <v>264643023.31398126</v>
      </c>
      <c r="M1682" s="471">
        <f t="shared" si="116"/>
        <v>0.05</v>
      </c>
      <c r="N1682" s="475">
        <f t="shared" si="117"/>
        <v>102239</v>
      </c>
    </row>
    <row r="1683" spans="7:14" ht="11.25" customHeight="1" x14ac:dyDescent="0.3">
      <c r="G1683" s="470"/>
      <c r="H1683" s="470">
        <v>1676</v>
      </c>
      <c r="I1683" s="455">
        <f t="shared" ca="1" si="115"/>
        <v>264643023.31398126</v>
      </c>
      <c r="J1683" s="455">
        <f t="array" ref="J1683">IFERROR(INDEX('Retirement Calculator'!K:K,MATCH('Lorri 401b'!N1683,'Retirement Calculator'!A:A,0),0),0)</f>
        <v>0</v>
      </c>
      <c r="K1683" s="455">
        <f t="shared" ca="1" si="113"/>
        <v>1102679.2638082553</v>
      </c>
      <c r="L1683" s="455">
        <f t="shared" ca="1" si="114"/>
        <v>265745702.57778952</v>
      </c>
      <c r="M1683" s="471">
        <f t="shared" si="116"/>
        <v>0.05</v>
      </c>
      <c r="N1683" s="475">
        <f t="shared" si="117"/>
        <v>102270</v>
      </c>
    </row>
    <row r="1684" spans="7:14" ht="11.25" customHeight="1" x14ac:dyDescent="0.3">
      <c r="G1684" s="470"/>
      <c r="H1684" s="470">
        <v>1677</v>
      </c>
      <c r="I1684" s="455">
        <f t="shared" ca="1" si="115"/>
        <v>265745702.57778952</v>
      </c>
      <c r="J1684" s="455">
        <f t="array" ref="J1684">IFERROR(INDEX('Retirement Calculator'!K:K,MATCH('Lorri 401b'!N1684,'Retirement Calculator'!A:A,0),0),0)</f>
        <v>0</v>
      </c>
      <c r="K1684" s="455">
        <f t="shared" ca="1" si="113"/>
        <v>1107273.7607407896</v>
      </c>
      <c r="L1684" s="455">
        <f t="shared" ca="1" si="114"/>
        <v>266852976.3385303</v>
      </c>
      <c r="M1684" s="471">
        <f t="shared" si="116"/>
        <v>0.05</v>
      </c>
      <c r="N1684" s="475">
        <f t="shared" si="117"/>
        <v>102301</v>
      </c>
    </row>
    <row r="1685" spans="7:14" ht="11.25" customHeight="1" x14ac:dyDescent="0.3">
      <c r="G1685" s="470"/>
      <c r="H1685" s="470">
        <v>1678</v>
      </c>
      <c r="I1685" s="455">
        <f t="shared" ca="1" si="115"/>
        <v>266852976.3385303</v>
      </c>
      <c r="J1685" s="455">
        <f t="array" ref="J1685">IFERROR(INDEX('Retirement Calculator'!K:K,MATCH('Lorri 401b'!N1685,'Retirement Calculator'!A:A,0),0),0)</f>
        <v>0</v>
      </c>
      <c r="K1685" s="455">
        <f t="shared" ca="1" si="113"/>
        <v>1111887.4014105431</v>
      </c>
      <c r="L1685" s="455">
        <f t="shared" ca="1" si="114"/>
        <v>267964863.73994085</v>
      </c>
      <c r="M1685" s="471">
        <f t="shared" si="116"/>
        <v>0.05</v>
      </c>
      <c r="N1685" s="475">
        <f t="shared" si="117"/>
        <v>102330</v>
      </c>
    </row>
    <row r="1686" spans="7:14" ht="11.25" customHeight="1" x14ac:dyDescent="0.3">
      <c r="G1686" s="470"/>
      <c r="H1686" s="470">
        <v>1679</v>
      </c>
      <c r="I1686" s="455">
        <f t="shared" ca="1" si="115"/>
        <v>267964863.73994085</v>
      </c>
      <c r="J1686" s="455">
        <f t="array" ref="J1686">IFERROR(INDEX('Retirement Calculator'!K:K,MATCH('Lorri 401b'!N1686,'Retirement Calculator'!A:A,0),0),0)</f>
        <v>0</v>
      </c>
      <c r="K1686" s="455">
        <f t="shared" ca="1" si="113"/>
        <v>1116520.2655830868</v>
      </c>
      <c r="L1686" s="455">
        <f t="shared" ca="1" si="114"/>
        <v>269081384.00552392</v>
      </c>
      <c r="M1686" s="471">
        <f t="shared" si="116"/>
        <v>0.05</v>
      </c>
      <c r="N1686" s="475">
        <f t="shared" si="117"/>
        <v>102361</v>
      </c>
    </row>
    <row r="1687" spans="7:14" ht="11.25" customHeight="1" x14ac:dyDescent="0.3">
      <c r="G1687" s="470"/>
      <c r="H1687" s="470">
        <v>1680</v>
      </c>
      <c r="I1687" s="455">
        <f t="shared" ca="1" si="115"/>
        <v>269081384.00552392</v>
      </c>
      <c r="J1687" s="455">
        <f t="array" ref="J1687">IFERROR(INDEX('Retirement Calculator'!K:K,MATCH('Lorri 401b'!N1687,'Retirement Calculator'!A:A,0),0),0)</f>
        <v>0</v>
      </c>
      <c r="K1687" s="455">
        <f t="shared" ca="1" si="113"/>
        <v>1121172.4333563496</v>
      </c>
      <c r="L1687" s="455">
        <f t="shared" ca="1" si="114"/>
        <v>270202556.43888026</v>
      </c>
      <c r="M1687" s="471">
        <f t="shared" si="116"/>
        <v>0.05</v>
      </c>
      <c r="N1687" s="475">
        <f t="shared" si="117"/>
        <v>102391</v>
      </c>
    </row>
    <row r="1688" spans="7:14" ht="11.25" customHeight="1" x14ac:dyDescent="0.3">
      <c r="G1688" s="470"/>
      <c r="H1688" s="470">
        <v>1681</v>
      </c>
      <c r="I1688" s="455">
        <f t="shared" ca="1" si="115"/>
        <v>270202556.43888026</v>
      </c>
      <c r="J1688" s="455">
        <f t="array" ref="J1688">IFERROR(INDEX('Retirement Calculator'!K:K,MATCH('Lorri 401b'!N1688,'Retirement Calculator'!A:A,0),0),0)</f>
        <v>0</v>
      </c>
      <c r="K1688" s="455">
        <f t="shared" ca="1" si="113"/>
        <v>1125843.9851620011</v>
      </c>
      <c r="L1688" s="455">
        <f t="shared" ca="1" si="114"/>
        <v>271328400.42404228</v>
      </c>
      <c r="M1688" s="471">
        <f t="shared" si="116"/>
        <v>0.05</v>
      </c>
      <c r="N1688" s="475">
        <f t="shared" si="117"/>
        <v>102422</v>
      </c>
    </row>
    <row r="1689" spans="7:14" ht="11.25" customHeight="1" x14ac:dyDescent="0.3">
      <c r="G1689" s="470"/>
      <c r="H1689" s="470">
        <v>1682</v>
      </c>
      <c r="I1689" s="455">
        <f t="shared" ca="1" si="115"/>
        <v>271328400.42404228</v>
      </c>
      <c r="J1689" s="455">
        <f t="array" ref="J1689">IFERROR(INDEX('Retirement Calculator'!K:K,MATCH('Lorri 401b'!N1689,'Retirement Calculator'!A:A,0),0),0)</f>
        <v>0</v>
      </c>
      <c r="K1689" s="455">
        <f t="shared" ca="1" si="113"/>
        <v>1130535.0017668428</v>
      </c>
      <c r="L1689" s="455">
        <f t="shared" ca="1" si="114"/>
        <v>272458935.42580914</v>
      </c>
      <c r="M1689" s="471">
        <f t="shared" si="116"/>
        <v>0.05</v>
      </c>
      <c r="N1689" s="475">
        <f t="shared" si="117"/>
        <v>102452</v>
      </c>
    </row>
    <row r="1690" spans="7:14" ht="11.25" customHeight="1" x14ac:dyDescent="0.3">
      <c r="G1690" s="470"/>
      <c r="H1690" s="470">
        <v>1683</v>
      </c>
      <c r="I1690" s="455">
        <f t="shared" ca="1" si="115"/>
        <v>272458935.42580914</v>
      </c>
      <c r="J1690" s="455">
        <f t="array" ref="J1690">IFERROR(INDEX('Retirement Calculator'!K:K,MATCH('Lorri 401b'!N1690,'Retirement Calculator'!A:A,0),0),0)</f>
        <v>0</v>
      </c>
      <c r="K1690" s="455">
        <f t="shared" ca="1" si="113"/>
        <v>1135245.5642742047</v>
      </c>
      <c r="L1690" s="455">
        <f t="shared" ca="1" si="114"/>
        <v>273594180.99008334</v>
      </c>
      <c r="M1690" s="471">
        <f t="shared" si="116"/>
        <v>0.05</v>
      </c>
      <c r="N1690" s="475">
        <f t="shared" si="117"/>
        <v>102483</v>
      </c>
    </row>
    <row r="1691" spans="7:14" ht="11.25" customHeight="1" x14ac:dyDescent="0.3">
      <c r="G1691" s="470"/>
      <c r="H1691" s="470">
        <v>1684</v>
      </c>
      <c r="I1691" s="455">
        <f t="shared" ca="1" si="115"/>
        <v>273594180.99008334</v>
      </c>
      <c r="J1691" s="455">
        <f t="array" ref="J1691">IFERROR(INDEX('Retirement Calculator'!K:K,MATCH('Lorri 401b'!N1691,'Retirement Calculator'!A:A,0),0),0)</f>
        <v>0</v>
      </c>
      <c r="K1691" s="455">
        <f t="shared" ca="1" si="113"/>
        <v>1139975.7541253471</v>
      </c>
      <c r="L1691" s="455">
        <f t="shared" ca="1" si="114"/>
        <v>274734156.74420869</v>
      </c>
      <c r="M1691" s="471">
        <f t="shared" si="116"/>
        <v>0.05</v>
      </c>
      <c r="N1691" s="475">
        <f t="shared" si="117"/>
        <v>102514</v>
      </c>
    </row>
    <row r="1692" spans="7:14" ht="11.25" customHeight="1" x14ac:dyDescent="0.3">
      <c r="G1692" s="470"/>
      <c r="H1692" s="470">
        <v>1685</v>
      </c>
      <c r="I1692" s="455">
        <f t="shared" ca="1" si="115"/>
        <v>274734156.74420869</v>
      </c>
      <c r="J1692" s="455">
        <f t="array" ref="J1692">IFERROR(INDEX('Retirement Calculator'!K:K,MATCH('Lorri 401b'!N1692,'Retirement Calculator'!A:A,0),0),0)</f>
        <v>0</v>
      </c>
      <c r="K1692" s="455">
        <f t="shared" ca="1" si="113"/>
        <v>1144725.6531008696</v>
      </c>
      <c r="L1692" s="455">
        <f t="shared" ca="1" si="114"/>
        <v>275878882.39730954</v>
      </c>
      <c r="M1692" s="471">
        <f t="shared" si="116"/>
        <v>0.05</v>
      </c>
      <c r="N1692" s="475">
        <f t="shared" si="117"/>
        <v>102544</v>
      </c>
    </row>
    <row r="1693" spans="7:14" ht="11.25" customHeight="1" x14ac:dyDescent="0.3">
      <c r="G1693" s="470"/>
      <c r="H1693" s="470">
        <v>1686</v>
      </c>
      <c r="I1693" s="455">
        <f t="shared" ca="1" si="115"/>
        <v>275878882.39730954</v>
      </c>
      <c r="J1693" s="455">
        <f t="array" ref="J1693">IFERROR(INDEX('Retirement Calculator'!K:K,MATCH('Lorri 401b'!N1693,'Retirement Calculator'!A:A,0),0),0)</f>
        <v>0</v>
      </c>
      <c r="K1693" s="455">
        <f t="shared" ca="1" si="113"/>
        <v>1149495.3433221232</v>
      </c>
      <c r="L1693" s="455">
        <f t="shared" ca="1" si="114"/>
        <v>277028377.74063164</v>
      </c>
      <c r="M1693" s="471">
        <f t="shared" si="116"/>
        <v>0.05</v>
      </c>
      <c r="N1693" s="475">
        <f t="shared" si="117"/>
        <v>102575</v>
      </c>
    </row>
    <row r="1694" spans="7:14" ht="11.25" customHeight="1" x14ac:dyDescent="0.3">
      <c r="G1694" s="470"/>
      <c r="H1694" s="470">
        <v>1687</v>
      </c>
      <c r="I1694" s="455">
        <f t="shared" ca="1" si="115"/>
        <v>277028377.74063164</v>
      </c>
      <c r="J1694" s="455">
        <f t="array" ref="J1694">IFERROR(INDEX('Retirement Calculator'!K:K,MATCH('Lorri 401b'!N1694,'Retirement Calculator'!A:A,0),0),0)</f>
        <v>0</v>
      </c>
      <c r="K1694" s="455">
        <f t="shared" ca="1" si="113"/>
        <v>1154284.9072526318</v>
      </c>
      <c r="L1694" s="455">
        <f t="shared" ca="1" si="114"/>
        <v>278182662.64788425</v>
      </c>
      <c r="M1694" s="471">
        <f t="shared" si="116"/>
        <v>0.05</v>
      </c>
      <c r="N1694" s="475">
        <f t="shared" si="117"/>
        <v>102605</v>
      </c>
    </row>
    <row r="1695" spans="7:14" ht="11.25" customHeight="1" x14ac:dyDescent="0.3">
      <c r="G1695" s="470"/>
      <c r="H1695" s="470">
        <v>1688</v>
      </c>
      <c r="I1695" s="455">
        <f t="shared" ca="1" si="115"/>
        <v>278182662.64788425</v>
      </c>
      <c r="J1695" s="455">
        <f t="array" ref="J1695">IFERROR(INDEX('Retirement Calculator'!K:K,MATCH('Lorri 401b'!N1695,'Retirement Calculator'!A:A,0),0),0)</f>
        <v>0</v>
      </c>
      <c r="K1695" s="455">
        <f t="shared" ca="1" si="113"/>
        <v>1159094.4276995177</v>
      </c>
      <c r="L1695" s="455">
        <f t="shared" ca="1" si="114"/>
        <v>279341757.07558376</v>
      </c>
      <c r="M1695" s="471">
        <f t="shared" si="116"/>
        <v>0.05</v>
      </c>
      <c r="N1695" s="475">
        <f t="shared" si="117"/>
        <v>102636</v>
      </c>
    </row>
    <row r="1696" spans="7:14" ht="11.25" customHeight="1" x14ac:dyDescent="0.3">
      <c r="G1696" s="470"/>
      <c r="H1696" s="470">
        <v>1689</v>
      </c>
      <c r="I1696" s="455">
        <f t="shared" ca="1" si="115"/>
        <v>279341757.07558376</v>
      </c>
      <c r="J1696" s="455">
        <f t="array" ref="J1696">IFERROR(INDEX('Retirement Calculator'!K:K,MATCH('Lorri 401b'!N1696,'Retirement Calculator'!A:A,0),0),0)</f>
        <v>0</v>
      </c>
      <c r="K1696" s="455">
        <f t="shared" ca="1" si="113"/>
        <v>1163923.9878149324</v>
      </c>
      <c r="L1696" s="455">
        <f t="shared" ca="1" si="114"/>
        <v>280505681.06339866</v>
      </c>
      <c r="M1696" s="471">
        <f t="shared" si="116"/>
        <v>0.05</v>
      </c>
      <c r="N1696" s="475">
        <f t="shared" si="117"/>
        <v>102667</v>
      </c>
    </row>
    <row r="1697" spans="7:14" ht="11.25" customHeight="1" x14ac:dyDescent="0.3">
      <c r="G1697" s="470"/>
      <c r="H1697" s="470">
        <v>1690</v>
      </c>
      <c r="I1697" s="455">
        <f t="shared" ca="1" si="115"/>
        <v>280505681.06339866</v>
      </c>
      <c r="J1697" s="455">
        <f t="array" ref="J1697">IFERROR(INDEX('Retirement Calculator'!K:K,MATCH('Lorri 401b'!N1697,'Retirement Calculator'!A:A,0),0),0)</f>
        <v>0</v>
      </c>
      <c r="K1697" s="455">
        <f t="shared" ca="1" si="113"/>
        <v>1168773.6710974944</v>
      </c>
      <c r="L1697" s="455">
        <f t="shared" ca="1" si="114"/>
        <v>281674454.73449618</v>
      </c>
      <c r="M1697" s="471">
        <f t="shared" si="116"/>
        <v>0.05</v>
      </c>
      <c r="N1697" s="475">
        <f t="shared" si="117"/>
        <v>102695</v>
      </c>
    </row>
    <row r="1698" spans="7:14" ht="11.25" customHeight="1" x14ac:dyDescent="0.3">
      <c r="G1698" s="470"/>
      <c r="H1698" s="470">
        <v>1691</v>
      </c>
      <c r="I1698" s="455">
        <f t="shared" ca="1" si="115"/>
        <v>281674454.73449618</v>
      </c>
      <c r="J1698" s="455">
        <f t="array" ref="J1698">IFERROR(INDEX('Retirement Calculator'!K:K,MATCH('Lorri 401b'!N1698,'Retirement Calculator'!A:A,0),0),0)</f>
        <v>0</v>
      </c>
      <c r="K1698" s="455">
        <f t="shared" ca="1" si="113"/>
        <v>1173643.5613937341</v>
      </c>
      <c r="L1698" s="455">
        <f t="shared" ca="1" si="114"/>
        <v>282848098.29588991</v>
      </c>
      <c r="M1698" s="471">
        <f t="shared" si="116"/>
        <v>0.05</v>
      </c>
      <c r="N1698" s="475">
        <f t="shared" si="117"/>
        <v>102726</v>
      </c>
    </row>
    <row r="1699" spans="7:14" ht="11.25" customHeight="1" x14ac:dyDescent="0.3">
      <c r="G1699" s="470"/>
      <c r="H1699" s="470">
        <v>1692</v>
      </c>
      <c r="I1699" s="455">
        <f t="shared" ca="1" si="115"/>
        <v>282848098.29588991</v>
      </c>
      <c r="J1699" s="455">
        <f t="array" ref="J1699">IFERROR(INDEX('Retirement Calculator'!K:K,MATCH('Lorri 401b'!N1699,'Retirement Calculator'!A:A,0),0),0)</f>
        <v>0</v>
      </c>
      <c r="K1699" s="455">
        <f t="shared" ca="1" si="113"/>
        <v>1178533.7428995413</v>
      </c>
      <c r="L1699" s="455">
        <f t="shared" ca="1" si="114"/>
        <v>284026632.03878945</v>
      </c>
      <c r="M1699" s="471">
        <f t="shared" si="116"/>
        <v>0.05</v>
      </c>
      <c r="N1699" s="475">
        <f t="shared" si="117"/>
        <v>102756</v>
      </c>
    </row>
    <row r="1700" spans="7:14" ht="11.25" customHeight="1" x14ac:dyDescent="0.3">
      <c r="G1700" s="470"/>
      <c r="H1700" s="470">
        <v>1693</v>
      </c>
      <c r="I1700" s="455">
        <f t="shared" ca="1" si="115"/>
        <v>284026632.03878945</v>
      </c>
      <c r="J1700" s="455">
        <f t="array" ref="J1700">IFERROR(INDEX('Retirement Calculator'!K:K,MATCH('Lorri 401b'!N1700,'Retirement Calculator'!A:A,0),0),0)</f>
        <v>0</v>
      </c>
      <c r="K1700" s="455">
        <f t="shared" ca="1" si="113"/>
        <v>1183444.3001616227</v>
      </c>
      <c r="L1700" s="455">
        <f t="shared" ca="1" si="114"/>
        <v>285210076.33895105</v>
      </c>
      <c r="M1700" s="471">
        <f t="shared" si="116"/>
        <v>0.05</v>
      </c>
      <c r="N1700" s="475">
        <f t="shared" si="117"/>
        <v>102787</v>
      </c>
    </row>
    <row r="1701" spans="7:14" ht="11.25" customHeight="1" x14ac:dyDescent="0.3">
      <c r="G1701" s="470"/>
      <c r="H1701" s="470">
        <v>1694</v>
      </c>
      <c r="I1701" s="455">
        <f t="shared" ca="1" si="115"/>
        <v>285210076.33895105</v>
      </c>
      <c r="J1701" s="455">
        <f t="array" ref="J1701">IFERROR(INDEX('Retirement Calculator'!K:K,MATCH('Lorri 401b'!N1701,'Retirement Calculator'!A:A,0),0),0)</f>
        <v>0</v>
      </c>
      <c r="K1701" s="455">
        <f t="shared" ca="1" si="113"/>
        <v>1188375.3180789626</v>
      </c>
      <c r="L1701" s="455">
        <f t="shared" ca="1" si="114"/>
        <v>286398451.65702999</v>
      </c>
      <c r="M1701" s="471">
        <f t="shared" si="116"/>
        <v>0.05</v>
      </c>
      <c r="N1701" s="475">
        <f t="shared" si="117"/>
        <v>102817</v>
      </c>
    </row>
    <row r="1702" spans="7:14" ht="11.25" customHeight="1" x14ac:dyDescent="0.3">
      <c r="G1702" s="470"/>
      <c r="H1702" s="470">
        <v>1695</v>
      </c>
      <c r="I1702" s="455">
        <f t="shared" ca="1" si="115"/>
        <v>286398451.65702999</v>
      </c>
      <c r="J1702" s="455">
        <f t="array" ref="J1702">IFERROR(INDEX('Retirement Calculator'!K:K,MATCH('Lorri 401b'!N1702,'Retirement Calculator'!A:A,0),0),0)</f>
        <v>0</v>
      </c>
      <c r="K1702" s="455">
        <f t="shared" ca="1" si="113"/>
        <v>1193326.8819042917</v>
      </c>
      <c r="L1702" s="455">
        <f t="shared" ca="1" si="114"/>
        <v>287591778.53893429</v>
      </c>
      <c r="M1702" s="471">
        <f t="shared" si="116"/>
        <v>0.05</v>
      </c>
      <c r="N1702" s="475">
        <f t="shared" si="117"/>
        <v>102848</v>
      </c>
    </row>
    <row r="1703" spans="7:14" ht="11.25" customHeight="1" x14ac:dyDescent="0.3">
      <c r="G1703" s="470"/>
      <c r="H1703" s="470">
        <v>1696</v>
      </c>
      <c r="I1703" s="455">
        <f t="shared" ca="1" si="115"/>
        <v>287591778.53893429</v>
      </c>
      <c r="J1703" s="455">
        <f t="array" ref="J1703">IFERROR(INDEX('Retirement Calculator'!K:K,MATCH('Lorri 401b'!N1703,'Retirement Calculator'!A:A,0),0),0)</f>
        <v>0</v>
      </c>
      <c r="K1703" s="455">
        <f t="shared" ca="1" si="113"/>
        <v>1198299.0772455595</v>
      </c>
      <c r="L1703" s="455">
        <f t="shared" ca="1" si="114"/>
        <v>288790077.61617982</v>
      </c>
      <c r="M1703" s="471">
        <f t="shared" si="116"/>
        <v>0.05</v>
      </c>
      <c r="N1703" s="475">
        <f t="shared" si="117"/>
        <v>102879</v>
      </c>
    </row>
    <row r="1704" spans="7:14" ht="11.25" customHeight="1" x14ac:dyDescent="0.3">
      <c r="G1704" s="470"/>
      <c r="H1704" s="470">
        <v>1697</v>
      </c>
      <c r="I1704" s="455">
        <f t="shared" ca="1" si="115"/>
        <v>288790077.61617982</v>
      </c>
      <c r="J1704" s="455">
        <f t="array" ref="J1704">IFERROR(INDEX('Retirement Calculator'!K:K,MATCH('Lorri 401b'!N1704,'Retirement Calculator'!A:A,0),0),0)</f>
        <v>0</v>
      </c>
      <c r="K1704" s="455">
        <f t="shared" ca="1" si="113"/>
        <v>1203291.9900674159</v>
      </c>
      <c r="L1704" s="455">
        <f t="shared" ca="1" si="114"/>
        <v>289993369.60624725</v>
      </c>
      <c r="M1704" s="471">
        <f t="shared" si="116"/>
        <v>0.05</v>
      </c>
      <c r="N1704" s="475">
        <f t="shared" si="117"/>
        <v>102909</v>
      </c>
    </row>
    <row r="1705" spans="7:14" ht="11.25" customHeight="1" x14ac:dyDescent="0.3">
      <c r="G1705" s="470"/>
      <c r="H1705" s="470">
        <v>1698</v>
      </c>
      <c r="I1705" s="455">
        <f t="shared" ca="1" si="115"/>
        <v>289993369.60624725</v>
      </c>
      <c r="J1705" s="455">
        <f t="array" ref="J1705">IFERROR(INDEX('Retirement Calculator'!K:K,MATCH('Lorri 401b'!N1705,'Retirement Calculator'!A:A,0),0),0)</f>
        <v>0</v>
      </c>
      <c r="K1705" s="455">
        <f t="shared" ca="1" si="113"/>
        <v>1208305.7066926968</v>
      </c>
      <c r="L1705" s="455">
        <f t="shared" ca="1" si="114"/>
        <v>291201675.31293994</v>
      </c>
      <c r="M1705" s="471">
        <f t="shared" si="116"/>
        <v>0.05</v>
      </c>
      <c r="N1705" s="475">
        <f t="shared" si="117"/>
        <v>102940</v>
      </c>
    </row>
    <row r="1706" spans="7:14" ht="11.25" customHeight="1" x14ac:dyDescent="0.3">
      <c r="G1706" s="470"/>
      <c r="H1706" s="470">
        <v>1699</v>
      </c>
      <c r="I1706" s="455">
        <f t="shared" ca="1" si="115"/>
        <v>291201675.31293994</v>
      </c>
      <c r="J1706" s="455">
        <f t="array" ref="J1706">IFERROR(INDEX('Retirement Calculator'!K:K,MATCH('Lorri 401b'!N1706,'Retirement Calculator'!A:A,0),0),0)</f>
        <v>0</v>
      </c>
      <c r="K1706" s="455">
        <f t="shared" ca="1" si="113"/>
        <v>1213340.3138039163</v>
      </c>
      <c r="L1706" s="455">
        <f t="shared" ca="1" si="114"/>
        <v>292415015.62674385</v>
      </c>
      <c r="M1706" s="471">
        <f t="shared" si="116"/>
        <v>0.05</v>
      </c>
      <c r="N1706" s="475">
        <f t="shared" si="117"/>
        <v>102970</v>
      </c>
    </row>
    <row r="1707" spans="7:14" ht="11.25" customHeight="1" x14ac:dyDescent="0.3">
      <c r="G1707" s="470"/>
      <c r="H1707" s="470">
        <v>1700</v>
      </c>
      <c r="I1707" s="455">
        <f t="shared" ca="1" si="115"/>
        <v>292415015.62674385</v>
      </c>
      <c r="J1707" s="455">
        <f t="array" ref="J1707">IFERROR(INDEX('Retirement Calculator'!K:K,MATCH('Lorri 401b'!N1707,'Retirement Calculator'!A:A,0),0),0)</f>
        <v>0</v>
      </c>
      <c r="K1707" s="455">
        <f t="shared" ca="1" si="113"/>
        <v>1218395.8984447659</v>
      </c>
      <c r="L1707" s="455">
        <f t="shared" ca="1" si="114"/>
        <v>293633411.52518862</v>
      </c>
      <c r="M1707" s="471">
        <f t="shared" si="116"/>
        <v>0.05</v>
      </c>
      <c r="N1707" s="475">
        <f t="shared" si="117"/>
        <v>103001</v>
      </c>
    </row>
    <row r="1708" spans="7:14" ht="11.25" customHeight="1" x14ac:dyDescent="0.3">
      <c r="G1708" s="470"/>
      <c r="H1708" s="470">
        <v>1701</v>
      </c>
      <c r="I1708" s="455">
        <f t="shared" ca="1" si="115"/>
        <v>293633411.52518862</v>
      </c>
      <c r="J1708" s="455">
        <f t="array" ref="J1708">IFERROR(INDEX('Retirement Calculator'!K:K,MATCH('Lorri 401b'!N1708,'Retirement Calculator'!A:A,0),0),0)</f>
        <v>0</v>
      </c>
      <c r="K1708" s="455">
        <f t="shared" ca="1" si="113"/>
        <v>1223472.5480216192</v>
      </c>
      <c r="L1708" s="455">
        <f t="shared" ca="1" si="114"/>
        <v>294856884.07321024</v>
      </c>
      <c r="M1708" s="471">
        <f t="shared" si="116"/>
        <v>0.05</v>
      </c>
      <c r="N1708" s="475">
        <f t="shared" si="117"/>
        <v>103032</v>
      </c>
    </row>
    <row r="1709" spans="7:14" ht="11.25" customHeight="1" x14ac:dyDescent="0.3">
      <c r="G1709" s="470"/>
      <c r="H1709" s="470">
        <v>1702</v>
      </c>
      <c r="I1709" s="455">
        <f t="shared" ca="1" si="115"/>
        <v>294856884.07321024</v>
      </c>
      <c r="J1709" s="455">
        <f t="array" ref="J1709">IFERROR(INDEX('Retirement Calculator'!K:K,MATCH('Lorri 401b'!N1709,'Retirement Calculator'!A:A,0),0),0)</f>
        <v>0</v>
      </c>
      <c r="K1709" s="455">
        <f t="shared" ca="1" si="113"/>
        <v>1228570.3503050427</v>
      </c>
      <c r="L1709" s="455">
        <f t="shared" ca="1" si="114"/>
        <v>296085454.42351526</v>
      </c>
      <c r="M1709" s="471">
        <f t="shared" si="116"/>
        <v>0.05</v>
      </c>
      <c r="N1709" s="475">
        <f t="shared" si="117"/>
        <v>103060</v>
      </c>
    </row>
    <row r="1710" spans="7:14" ht="11.25" customHeight="1" x14ac:dyDescent="0.3">
      <c r="G1710" s="470"/>
      <c r="H1710" s="470">
        <v>1703</v>
      </c>
      <c r="I1710" s="455">
        <f t="shared" ca="1" si="115"/>
        <v>296085454.42351526</v>
      </c>
      <c r="J1710" s="455">
        <f t="array" ref="J1710">IFERROR(INDEX('Retirement Calculator'!K:K,MATCH('Lorri 401b'!N1710,'Retirement Calculator'!A:A,0),0),0)</f>
        <v>0</v>
      </c>
      <c r="K1710" s="455">
        <f t="shared" ca="1" si="113"/>
        <v>1233689.3934313136</v>
      </c>
      <c r="L1710" s="455">
        <f t="shared" ca="1" si="114"/>
        <v>297319143.81694657</v>
      </c>
      <c r="M1710" s="471">
        <f t="shared" si="116"/>
        <v>0.05</v>
      </c>
      <c r="N1710" s="475">
        <f t="shared" si="117"/>
        <v>103091</v>
      </c>
    </row>
    <row r="1711" spans="7:14" ht="11.25" customHeight="1" x14ac:dyDescent="0.3">
      <c r="G1711" s="470"/>
      <c r="H1711" s="470">
        <v>1704</v>
      </c>
      <c r="I1711" s="455">
        <f t="shared" ca="1" si="115"/>
        <v>297319143.81694657</v>
      </c>
      <c r="J1711" s="455">
        <f t="array" ref="J1711">IFERROR(INDEX('Retirement Calculator'!K:K,MATCH('Lorri 401b'!N1711,'Retirement Calculator'!A:A,0),0),0)</f>
        <v>0</v>
      </c>
      <c r="K1711" s="455">
        <f t="shared" ca="1" si="113"/>
        <v>1238829.7659039439</v>
      </c>
      <c r="L1711" s="455">
        <f t="shared" ca="1" si="114"/>
        <v>298557973.58285052</v>
      </c>
      <c r="M1711" s="471">
        <f t="shared" si="116"/>
        <v>0.05</v>
      </c>
      <c r="N1711" s="475">
        <f t="shared" si="117"/>
        <v>103121</v>
      </c>
    </row>
    <row r="1712" spans="7:14" ht="11.25" customHeight="1" x14ac:dyDescent="0.3">
      <c r="G1712" s="470"/>
      <c r="H1712" s="470">
        <v>1705</v>
      </c>
      <c r="I1712" s="455">
        <f t="shared" ca="1" si="115"/>
        <v>298557973.58285052</v>
      </c>
      <c r="J1712" s="455">
        <f t="array" ref="J1712">IFERROR(INDEX('Retirement Calculator'!K:K,MATCH('Lorri 401b'!N1712,'Retirement Calculator'!A:A,0),0),0)</f>
        <v>0</v>
      </c>
      <c r="K1712" s="455">
        <f t="shared" ca="1" si="113"/>
        <v>1243991.5565952105</v>
      </c>
      <c r="L1712" s="455">
        <f t="shared" ca="1" si="114"/>
        <v>299801965.13944572</v>
      </c>
      <c r="M1712" s="471">
        <f t="shared" si="116"/>
        <v>0.05</v>
      </c>
      <c r="N1712" s="475">
        <f t="shared" si="117"/>
        <v>103152</v>
      </c>
    </row>
    <row r="1713" spans="7:14" ht="11.25" customHeight="1" x14ac:dyDescent="0.3">
      <c r="G1713" s="470"/>
      <c r="H1713" s="470">
        <v>1706</v>
      </c>
      <c r="I1713" s="455">
        <f t="shared" ca="1" si="115"/>
        <v>299801965.13944572</v>
      </c>
      <c r="J1713" s="455">
        <f t="array" ref="J1713">IFERROR(INDEX('Retirement Calculator'!K:K,MATCH('Lorri 401b'!N1713,'Retirement Calculator'!A:A,0),0),0)</f>
        <v>0</v>
      </c>
      <c r="K1713" s="455">
        <f t="shared" ca="1" si="113"/>
        <v>1249174.8547476905</v>
      </c>
      <c r="L1713" s="455">
        <f t="shared" ca="1" si="114"/>
        <v>301051139.99419343</v>
      </c>
      <c r="M1713" s="471">
        <f t="shared" si="116"/>
        <v>0.05</v>
      </c>
      <c r="N1713" s="475">
        <f t="shared" si="117"/>
        <v>103182</v>
      </c>
    </row>
    <row r="1714" spans="7:14" ht="11.25" customHeight="1" x14ac:dyDescent="0.3">
      <c r="G1714" s="470"/>
      <c r="H1714" s="470">
        <v>1707</v>
      </c>
      <c r="I1714" s="455">
        <f t="shared" ca="1" si="115"/>
        <v>301051139.99419343</v>
      </c>
      <c r="J1714" s="455">
        <f t="array" ref="J1714">IFERROR(INDEX('Retirement Calculator'!K:K,MATCH('Lorri 401b'!N1714,'Retirement Calculator'!A:A,0),0),0)</f>
        <v>0</v>
      </c>
      <c r="K1714" s="455">
        <f t="shared" ca="1" si="113"/>
        <v>1254379.7499758059</v>
      </c>
      <c r="L1714" s="455">
        <f t="shared" ca="1" si="114"/>
        <v>302305519.74416924</v>
      </c>
      <c r="M1714" s="471">
        <f t="shared" si="116"/>
        <v>0.05</v>
      </c>
      <c r="N1714" s="475">
        <f t="shared" si="117"/>
        <v>103213</v>
      </c>
    </row>
    <row r="1715" spans="7:14" ht="11.25" customHeight="1" x14ac:dyDescent="0.3">
      <c r="G1715" s="470"/>
      <c r="H1715" s="470">
        <v>1708</v>
      </c>
      <c r="I1715" s="455">
        <f t="shared" ca="1" si="115"/>
        <v>302305519.74416924</v>
      </c>
      <c r="J1715" s="455">
        <f t="array" ref="J1715">IFERROR(INDEX('Retirement Calculator'!K:K,MATCH('Lorri 401b'!N1715,'Retirement Calculator'!A:A,0),0),0)</f>
        <v>0</v>
      </c>
      <c r="K1715" s="455">
        <f t="shared" ca="1" si="113"/>
        <v>1259606.3322673717</v>
      </c>
      <c r="L1715" s="455">
        <f t="shared" ca="1" si="114"/>
        <v>303565126.07643658</v>
      </c>
      <c r="M1715" s="471">
        <f t="shared" si="116"/>
        <v>0.05</v>
      </c>
      <c r="N1715" s="475">
        <f t="shared" si="117"/>
        <v>103244</v>
      </c>
    </row>
    <row r="1716" spans="7:14" ht="11.25" customHeight="1" x14ac:dyDescent="0.3">
      <c r="G1716" s="470"/>
      <c r="H1716" s="470">
        <v>1709</v>
      </c>
      <c r="I1716" s="455">
        <f t="shared" ca="1" si="115"/>
        <v>303565126.07643658</v>
      </c>
      <c r="J1716" s="455">
        <f t="array" ref="J1716">IFERROR(INDEX('Retirement Calculator'!K:K,MATCH('Lorri 401b'!N1716,'Retirement Calculator'!A:A,0),0),0)</f>
        <v>0</v>
      </c>
      <c r="K1716" s="455">
        <f t="shared" ca="1" si="113"/>
        <v>1264854.6919851524</v>
      </c>
      <c r="L1716" s="455">
        <f t="shared" ca="1" si="114"/>
        <v>304829980.76842171</v>
      </c>
      <c r="M1716" s="471">
        <f t="shared" si="116"/>
        <v>0.05</v>
      </c>
      <c r="N1716" s="475">
        <f t="shared" si="117"/>
        <v>103274</v>
      </c>
    </row>
    <row r="1717" spans="7:14" ht="11.25" customHeight="1" x14ac:dyDescent="0.3">
      <c r="G1717" s="470"/>
      <c r="H1717" s="470">
        <v>1710</v>
      </c>
      <c r="I1717" s="455">
        <f t="shared" ca="1" si="115"/>
        <v>304829980.76842171</v>
      </c>
      <c r="J1717" s="455">
        <f t="array" ref="J1717">IFERROR(INDEX('Retirement Calculator'!K:K,MATCH('Lorri 401b'!N1717,'Retirement Calculator'!A:A,0),0),0)</f>
        <v>0</v>
      </c>
      <c r="K1717" s="455">
        <f t="shared" ca="1" si="113"/>
        <v>1270124.9198684238</v>
      </c>
      <c r="L1717" s="455">
        <f t="shared" ca="1" si="114"/>
        <v>306100105.68829012</v>
      </c>
      <c r="M1717" s="471">
        <f t="shared" si="116"/>
        <v>0.05</v>
      </c>
      <c r="N1717" s="475">
        <f t="shared" si="117"/>
        <v>103305</v>
      </c>
    </row>
    <row r="1718" spans="7:14" ht="11.25" customHeight="1" x14ac:dyDescent="0.3">
      <c r="G1718" s="470"/>
      <c r="H1718" s="470">
        <v>1711</v>
      </c>
      <c r="I1718" s="455">
        <f t="shared" ca="1" si="115"/>
        <v>306100105.68829012</v>
      </c>
      <c r="J1718" s="455">
        <f t="array" ref="J1718">IFERROR(INDEX('Retirement Calculator'!K:K,MATCH('Lorri 401b'!N1718,'Retirement Calculator'!A:A,0),0),0)</f>
        <v>0</v>
      </c>
      <c r="K1718" s="455">
        <f t="shared" ca="1" si="113"/>
        <v>1275417.1070345421</v>
      </c>
      <c r="L1718" s="455">
        <f t="shared" ca="1" si="114"/>
        <v>307375522.79532468</v>
      </c>
      <c r="M1718" s="471">
        <f t="shared" si="116"/>
        <v>0.05</v>
      </c>
      <c r="N1718" s="475">
        <f t="shared" si="117"/>
        <v>103335</v>
      </c>
    </row>
    <row r="1719" spans="7:14" ht="11.25" customHeight="1" x14ac:dyDescent="0.3">
      <c r="G1719" s="470"/>
      <c r="H1719" s="470">
        <v>1712</v>
      </c>
      <c r="I1719" s="455">
        <f t="shared" ca="1" si="115"/>
        <v>307375522.79532468</v>
      </c>
      <c r="J1719" s="455">
        <f t="array" ref="J1719">IFERROR(INDEX('Retirement Calculator'!K:K,MATCH('Lorri 401b'!N1719,'Retirement Calculator'!A:A,0),0),0)</f>
        <v>0</v>
      </c>
      <c r="K1719" s="455">
        <f t="shared" ca="1" si="113"/>
        <v>1280731.3449805195</v>
      </c>
      <c r="L1719" s="455">
        <f t="shared" ca="1" si="114"/>
        <v>308656254.14030522</v>
      </c>
      <c r="M1719" s="471">
        <f t="shared" si="116"/>
        <v>0.05</v>
      </c>
      <c r="N1719" s="475">
        <f t="shared" si="117"/>
        <v>103366</v>
      </c>
    </row>
    <row r="1720" spans="7:14" ht="11.25" customHeight="1" x14ac:dyDescent="0.3">
      <c r="G1720" s="470"/>
      <c r="H1720" s="470">
        <v>1713</v>
      </c>
      <c r="I1720" s="455">
        <f t="shared" ca="1" si="115"/>
        <v>308656254.14030522</v>
      </c>
      <c r="J1720" s="455">
        <f t="array" ref="J1720">IFERROR(INDEX('Retirement Calculator'!K:K,MATCH('Lorri 401b'!N1720,'Retirement Calculator'!A:A,0),0),0)</f>
        <v>0</v>
      </c>
      <c r="K1720" s="455">
        <f t="shared" ca="1" si="113"/>
        <v>1286067.725584605</v>
      </c>
      <c r="L1720" s="455">
        <f t="shared" ca="1" si="114"/>
        <v>309942321.86588985</v>
      </c>
      <c r="M1720" s="471">
        <f t="shared" si="116"/>
        <v>0.05</v>
      </c>
      <c r="N1720" s="475">
        <f t="shared" si="117"/>
        <v>103397</v>
      </c>
    </row>
    <row r="1721" spans="7:14" ht="11.25" customHeight="1" x14ac:dyDescent="0.3">
      <c r="G1721" s="470"/>
      <c r="H1721" s="470">
        <v>1714</v>
      </c>
      <c r="I1721" s="455">
        <f t="shared" ca="1" si="115"/>
        <v>309942321.86588985</v>
      </c>
      <c r="J1721" s="455">
        <f t="array" ref="J1721">IFERROR(INDEX('Retirement Calculator'!K:K,MATCH('Lorri 401b'!N1721,'Retirement Calculator'!A:A,0),0),0)</f>
        <v>0</v>
      </c>
      <c r="K1721" s="455">
        <f t="shared" ca="1" si="113"/>
        <v>1291426.3411078744</v>
      </c>
      <c r="L1721" s="455">
        <f t="shared" ca="1" si="114"/>
        <v>311233748.20699769</v>
      </c>
      <c r="M1721" s="471">
        <f t="shared" si="116"/>
        <v>0.05</v>
      </c>
      <c r="N1721" s="475">
        <f t="shared" si="117"/>
        <v>103425</v>
      </c>
    </row>
    <row r="1722" spans="7:14" ht="11.25" customHeight="1" x14ac:dyDescent="0.3">
      <c r="G1722" s="470"/>
      <c r="H1722" s="470">
        <v>1715</v>
      </c>
      <c r="I1722" s="455">
        <f t="shared" ca="1" si="115"/>
        <v>311233748.20699769</v>
      </c>
      <c r="J1722" s="455">
        <f t="array" ref="J1722">IFERROR(INDEX('Retirement Calculator'!K:K,MATCH('Lorri 401b'!N1722,'Retirement Calculator'!A:A,0),0),0)</f>
        <v>0</v>
      </c>
      <c r="K1722" s="455">
        <f t="shared" ca="1" si="113"/>
        <v>1296807.2841958236</v>
      </c>
      <c r="L1722" s="455">
        <f t="shared" ca="1" si="114"/>
        <v>312530555.49119353</v>
      </c>
      <c r="M1722" s="471">
        <f t="shared" si="116"/>
        <v>0.05</v>
      </c>
      <c r="N1722" s="475">
        <f t="shared" si="117"/>
        <v>103456</v>
      </c>
    </row>
    <row r="1723" spans="7:14" ht="11.25" customHeight="1" x14ac:dyDescent="0.3">
      <c r="G1723" s="470"/>
      <c r="H1723" s="470">
        <v>1716</v>
      </c>
      <c r="I1723" s="455">
        <f t="shared" ca="1" si="115"/>
        <v>312530555.49119353</v>
      </c>
      <c r="J1723" s="455">
        <f t="array" ref="J1723">IFERROR(INDEX('Retirement Calculator'!K:K,MATCH('Lorri 401b'!N1723,'Retirement Calculator'!A:A,0),0),0)</f>
        <v>0</v>
      </c>
      <c r="K1723" s="455">
        <f t="shared" ca="1" si="113"/>
        <v>1302210.6478799731</v>
      </c>
      <c r="L1723" s="455">
        <f t="shared" ca="1" si="114"/>
        <v>313832766.13907349</v>
      </c>
      <c r="M1723" s="471">
        <f t="shared" si="116"/>
        <v>0.05</v>
      </c>
      <c r="N1723" s="475">
        <f t="shared" si="117"/>
        <v>103486</v>
      </c>
    </row>
    <row r="1724" spans="7:14" ht="11.25" customHeight="1" x14ac:dyDescent="0.3">
      <c r="G1724" s="470"/>
      <c r="H1724" s="470">
        <v>1717</v>
      </c>
      <c r="I1724" s="455">
        <f t="shared" ca="1" si="115"/>
        <v>313832766.13907349</v>
      </c>
      <c r="J1724" s="455">
        <f t="array" ref="J1724">IFERROR(INDEX('Retirement Calculator'!K:K,MATCH('Lorri 401b'!N1724,'Retirement Calculator'!A:A,0),0),0)</f>
        <v>0</v>
      </c>
      <c r="K1724" s="455">
        <f t="shared" ca="1" si="113"/>
        <v>1307636.5255794728</v>
      </c>
      <c r="L1724" s="455">
        <f t="shared" ca="1" si="114"/>
        <v>315140402.66465294</v>
      </c>
      <c r="M1724" s="471">
        <f t="shared" si="116"/>
        <v>0.05</v>
      </c>
      <c r="N1724" s="475">
        <f t="shared" si="117"/>
        <v>103517</v>
      </c>
    </row>
    <row r="1725" spans="7:14" ht="11.25" customHeight="1" x14ac:dyDescent="0.3">
      <c r="G1725" s="470"/>
      <c r="H1725" s="470">
        <v>1718</v>
      </c>
      <c r="I1725" s="455">
        <f t="shared" ca="1" si="115"/>
        <v>315140402.66465294</v>
      </c>
      <c r="J1725" s="455">
        <f t="array" ref="J1725">IFERROR(INDEX('Retirement Calculator'!K:K,MATCH('Lorri 401b'!N1725,'Retirement Calculator'!A:A,0),0),0)</f>
        <v>0</v>
      </c>
      <c r="K1725" s="455">
        <f t="shared" ca="1" si="113"/>
        <v>1313085.0111027206</v>
      </c>
      <c r="L1725" s="455">
        <f t="shared" ca="1" si="114"/>
        <v>316453487.67575568</v>
      </c>
      <c r="M1725" s="471">
        <f t="shared" si="116"/>
        <v>0.05</v>
      </c>
      <c r="N1725" s="475">
        <f t="shared" si="117"/>
        <v>103547</v>
      </c>
    </row>
    <row r="1726" spans="7:14" ht="11.25" customHeight="1" x14ac:dyDescent="0.3">
      <c r="G1726" s="470"/>
      <c r="H1726" s="470">
        <v>1719</v>
      </c>
      <c r="I1726" s="455">
        <f t="shared" ca="1" si="115"/>
        <v>316453487.67575568</v>
      </c>
      <c r="J1726" s="455">
        <f t="array" ref="J1726">IFERROR(INDEX('Retirement Calculator'!K:K,MATCH('Lorri 401b'!N1726,'Retirement Calculator'!A:A,0),0),0)</f>
        <v>0</v>
      </c>
      <c r="K1726" s="455">
        <f t="shared" ca="1" si="113"/>
        <v>1318556.198648982</v>
      </c>
      <c r="L1726" s="455">
        <f t="shared" ca="1" si="114"/>
        <v>317772043.87440467</v>
      </c>
      <c r="M1726" s="471">
        <f t="shared" si="116"/>
        <v>0.05</v>
      </c>
      <c r="N1726" s="475">
        <f t="shared" si="117"/>
        <v>103578</v>
      </c>
    </row>
    <row r="1727" spans="7:14" ht="11.25" customHeight="1" x14ac:dyDescent="0.3">
      <c r="G1727" s="470"/>
      <c r="H1727" s="470">
        <v>1720</v>
      </c>
      <c r="I1727" s="455">
        <f t="shared" ca="1" si="115"/>
        <v>317772043.87440467</v>
      </c>
      <c r="J1727" s="455">
        <f t="array" ref="J1727">IFERROR(INDEX('Retirement Calculator'!K:K,MATCH('Lorri 401b'!N1727,'Retirement Calculator'!A:A,0),0),0)</f>
        <v>0</v>
      </c>
      <c r="K1727" s="455">
        <f t="shared" ca="1" si="113"/>
        <v>1324050.1828100195</v>
      </c>
      <c r="L1727" s="455">
        <f t="shared" ca="1" si="114"/>
        <v>319096094.05721468</v>
      </c>
      <c r="M1727" s="471">
        <f t="shared" si="116"/>
        <v>0.05</v>
      </c>
      <c r="N1727" s="475">
        <f t="shared" si="117"/>
        <v>103609</v>
      </c>
    </row>
    <row r="1728" spans="7:14" ht="11.25" customHeight="1" x14ac:dyDescent="0.3">
      <c r="G1728" s="470"/>
      <c r="H1728" s="470">
        <v>1721</v>
      </c>
      <c r="I1728" s="455">
        <f t="shared" ca="1" si="115"/>
        <v>319096094.05721468</v>
      </c>
      <c r="J1728" s="455">
        <f t="array" ref="J1728">IFERROR(INDEX('Retirement Calculator'!K:K,MATCH('Lorri 401b'!N1728,'Retirement Calculator'!A:A,0),0),0)</f>
        <v>0</v>
      </c>
      <c r="K1728" s="455">
        <f t="shared" ca="1" si="113"/>
        <v>1329567.0585717277</v>
      </c>
      <c r="L1728" s="455">
        <f t="shared" ca="1" si="114"/>
        <v>320425661.11578643</v>
      </c>
      <c r="M1728" s="471">
        <f t="shared" si="116"/>
        <v>0.05</v>
      </c>
      <c r="N1728" s="475">
        <f t="shared" si="117"/>
        <v>103639</v>
      </c>
    </row>
    <row r="1729" spans="7:14" ht="11.25" customHeight="1" x14ac:dyDescent="0.3">
      <c r="G1729" s="470"/>
      <c r="H1729" s="470">
        <v>1722</v>
      </c>
      <c r="I1729" s="455">
        <f t="shared" ca="1" si="115"/>
        <v>320425661.11578643</v>
      </c>
      <c r="J1729" s="455">
        <f t="array" ref="J1729">IFERROR(INDEX('Retirement Calculator'!K:K,MATCH('Lorri 401b'!N1729,'Retirement Calculator'!A:A,0),0),0)</f>
        <v>0</v>
      </c>
      <c r="K1729" s="455">
        <f t="shared" ca="1" si="113"/>
        <v>1335106.9213157769</v>
      </c>
      <c r="L1729" s="455">
        <f t="shared" ca="1" si="114"/>
        <v>321760768.03710222</v>
      </c>
      <c r="M1729" s="471">
        <f t="shared" si="116"/>
        <v>0.05</v>
      </c>
      <c r="N1729" s="475">
        <f t="shared" si="117"/>
        <v>103670</v>
      </c>
    </row>
    <row r="1730" spans="7:14" ht="11.25" customHeight="1" x14ac:dyDescent="0.3">
      <c r="G1730" s="470"/>
      <c r="H1730" s="470">
        <v>1723</v>
      </c>
      <c r="I1730" s="455">
        <f t="shared" ca="1" si="115"/>
        <v>321760768.03710222</v>
      </c>
      <c r="J1730" s="455">
        <f t="array" ref="J1730">IFERROR(INDEX('Retirement Calculator'!K:K,MATCH('Lorri 401b'!N1730,'Retirement Calculator'!A:A,0),0),0)</f>
        <v>0</v>
      </c>
      <c r="K1730" s="455">
        <f t="shared" ca="1" si="113"/>
        <v>1340669.8668212593</v>
      </c>
      <c r="L1730" s="455">
        <f t="shared" ca="1" si="114"/>
        <v>323101437.90392351</v>
      </c>
      <c r="M1730" s="471">
        <f t="shared" si="116"/>
        <v>0.05</v>
      </c>
      <c r="N1730" s="475">
        <f t="shared" si="117"/>
        <v>103700</v>
      </c>
    </row>
    <row r="1731" spans="7:14" ht="11.25" customHeight="1" x14ac:dyDescent="0.3">
      <c r="G1731" s="470"/>
      <c r="H1731" s="470">
        <v>1724</v>
      </c>
      <c r="I1731" s="455">
        <f t="shared" ca="1" si="115"/>
        <v>323101437.90392351</v>
      </c>
      <c r="J1731" s="455">
        <f t="array" ref="J1731">IFERROR(INDEX('Retirement Calculator'!K:K,MATCH('Lorri 401b'!N1731,'Retirement Calculator'!A:A,0),0),0)</f>
        <v>0</v>
      </c>
      <c r="K1731" s="455">
        <f t="shared" ca="1" si="113"/>
        <v>1346255.9912663479</v>
      </c>
      <c r="L1731" s="455">
        <f t="shared" ca="1" si="114"/>
        <v>324447693.89518988</v>
      </c>
      <c r="M1731" s="471">
        <f t="shared" si="116"/>
        <v>0.05</v>
      </c>
      <c r="N1731" s="475">
        <f t="shared" si="117"/>
        <v>103731</v>
      </c>
    </row>
    <row r="1732" spans="7:14" ht="11.25" customHeight="1" x14ac:dyDescent="0.3">
      <c r="G1732" s="470"/>
      <c r="H1732" s="470">
        <v>1725</v>
      </c>
      <c r="I1732" s="455">
        <f t="shared" ca="1" si="115"/>
        <v>324447693.89518988</v>
      </c>
      <c r="J1732" s="455">
        <f t="array" ref="J1732">IFERROR(INDEX('Retirement Calculator'!K:K,MATCH('Lorri 401b'!N1732,'Retirement Calculator'!A:A,0),0),0)</f>
        <v>0</v>
      </c>
      <c r="K1732" s="455">
        <f t="shared" ca="1" si="113"/>
        <v>1351865.3912299578</v>
      </c>
      <c r="L1732" s="455">
        <f t="shared" ca="1" si="114"/>
        <v>325799559.28641987</v>
      </c>
      <c r="M1732" s="471">
        <f t="shared" si="116"/>
        <v>0.05</v>
      </c>
      <c r="N1732" s="475">
        <f t="shared" si="117"/>
        <v>103762</v>
      </c>
    </row>
    <row r="1733" spans="7:14" ht="11.25" customHeight="1" x14ac:dyDescent="0.3">
      <c r="G1733" s="470"/>
      <c r="H1733" s="470">
        <v>1726</v>
      </c>
      <c r="I1733" s="455">
        <f t="shared" ca="1" si="115"/>
        <v>325799559.28641987</v>
      </c>
      <c r="J1733" s="455">
        <f t="array" ref="J1733">IFERROR(INDEX('Retirement Calculator'!K:K,MATCH('Lorri 401b'!N1733,'Retirement Calculator'!A:A,0),0),0)</f>
        <v>0</v>
      </c>
      <c r="K1733" s="455">
        <f t="shared" ca="1" si="113"/>
        <v>1357498.1636934162</v>
      </c>
      <c r="L1733" s="455">
        <f t="shared" ca="1" si="114"/>
        <v>327157057.4501133</v>
      </c>
      <c r="M1733" s="471">
        <f t="shared" si="116"/>
        <v>0.05</v>
      </c>
      <c r="N1733" s="475">
        <f t="shared" si="117"/>
        <v>103791</v>
      </c>
    </row>
    <row r="1734" spans="7:14" ht="11.25" customHeight="1" x14ac:dyDescent="0.3">
      <c r="G1734" s="470"/>
      <c r="H1734" s="470">
        <v>1727</v>
      </c>
      <c r="I1734" s="455">
        <f t="shared" ca="1" si="115"/>
        <v>327157057.4501133</v>
      </c>
      <c r="J1734" s="455">
        <f t="array" ref="J1734">IFERROR(INDEX('Retirement Calculator'!K:K,MATCH('Lorri 401b'!N1734,'Retirement Calculator'!A:A,0),0),0)</f>
        <v>0</v>
      </c>
      <c r="K1734" s="455">
        <f t="shared" ca="1" si="113"/>
        <v>1363154.4060421388</v>
      </c>
      <c r="L1734" s="455">
        <f t="shared" ca="1" si="114"/>
        <v>328520211.85615546</v>
      </c>
      <c r="M1734" s="471">
        <f t="shared" si="116"/>
        <v>0.05</v>
      </c>
      <c r="N1734" s="475">
        <f t="shared" si="117"/>
        <v>103822</v>
      </c>
    </row>
    <row r="1735" spans="7:14" ht="11.25" customHeight="1" x14ac:dyDescent="0.3">
      <c r="G1735" s="470"/>
      <c r="H1735" s="470">
        <v>1728</v>
      </c>
      <c r="I1735" s="455">
        <f t="shared" ca="1" si="115"/>
        <v>328520211.85615546</v>
      </c>
      <c r="J1735" s="455">
        <f t="array" ref="J1735">IFERROR(INDEX('Retirement Calculator'!K:K,MATCH('Lorri 401b'!N1735,'Retirement Calculator'!A:A,0),0),0)</f>
        <v>0</v>
      </c>
      <c r="K1735" s="455">
        <f t="shared" ca="1" si="113"/>
        <v>1368834.2160673144</v>
      </c>
      <c r="L1735" s="455">
        <f t="shared" ca="1" si="114"/>
        <v>329889046.07222277</v>
      </c>
      <c r="M1735" s="471">
        <f t="shared" si="116"/>
        <v>0.05</v>
      </c>
      <c r="N1735" s="475">
        <f t="shared" si="117"/>
        <v>103852</v>
      </c>
    </row>
    <row r="1736" spans="7:14" ht="11.25" customHeight="1" x14ac:dyDescent="0.3">
      <c r="G1736" s="470"/>
      <c r="H1736" s="470">
        <v>1729</v>
      </c>
      <c r="I1736" s="455">
        <f t="shared" ca="1" si="115"/>
        <v>329889046.07222277</v>
      </c>
      <c r="J1736" s="455">
        <f t="array" ref="J1736">IFERROR(INDEX('Retirement Calculator'!K:K,MATCH('Lorri 401b'!N1736,'Retirement Calculator'!A:A,0),0),0)</f>
        <v>0</v>
      </c>
      <c r="K1736" s="455">
        <f t="shared" ca="1" si="113"/>
        <v>1374537.6919675949</v>
      </c>
      <c r="L1736" s="455">
        <f t="shared" ca="1" si="114"/>
        <v>331263583.76419038</v>
      </c>
      <c r="M1736" s="471">
        <f t="shared" si="116"/>
        <v>0.05</v>
      </c>
      <c r="N1736" s="475">
        <f t="shared" si="117"/>
        <v>103883</v>
      </c>
    </row>
    <row r="1737" spans="7:14" ht="11.25" customHeight="1" x14ac:dyDescent="0.3">
      <c r="G1737" s="470"/>
      <c r="H1737" s="470">
        <v>1730</v>
      </c>
      <c r="I1737" s="455">
        <f t="shared" ca="1" si="115"/>
        <v>331263583.76419038</v>
      </c>
      <c r="J1737" s="455">
        <f t="array" ref="J1737">IFERROR(INDEX('Retirement Calculator'!K:K,MATCH('Lorri 401b'!N1737,'Retirement Calculator'!A:A,0),0),0)</f>
        <v>0</v>
      </c>
      <c r="K1737" s="455">
        <f t="shared" ca="1" si="113"/>
        <v>1380264.9323507932</v>
      </c>
      <c r="L1737" s="455">
        <f t="shared" ca="1" si="114"/>
        <v>332643848.69654119</v>
      </c>
      <c r="M1737" s="471">
        <f t="shared" si="116"/>
        <v>0.05</v>
      </c>
      <c r="N1737" s="475">
        <f t="shared" si="117"/>
        <v>103913</v>
      </c>
    </row>
    <row r="1738" spans="7:14" ht="11.25" customHeight="1" x14ac:dyDescent="0.3">
      <c r="G1738" s="470"/>
      <c r="H1738" s="470">
        <v>1731</v>
      </c>
      <c r="I1738" s="455">
        <f t="shared" ca="1" si="115"/>
        <v>332643848.69654119</v>
      </c>
      <c r="J1738" s="455">
        <f t="array" ref="J1738">IFERROR(INDEX('Retirement Calculator'!K:K,MATCH('Lorri 401b'!N1738,'Retirement Calculator'!A:A,0),0),0)</f>
        <v>0</v>
      </c>
      <c r="K1738" s="455">
        <f t="shared" ca="1" si="113"/>
        <v>1386016.0362355884</v>
      </c>
      <c r="L1738" s="455">
        <f t="shared" ca="1" si="114"/>
        <v>334029864.73277676</v>
      </c>
      <c r="M1738" s="471">
        <f t="shared" si="116"/>
        <v>0.05</v>
      </c>
      <c r="N1738" s="475">
        <f t="shared" si="117"/>
        <v>103944</v>
      </c>
    </row>
    <row r="1739" spans="7:14" ht="11.25" customHeight="1" x14ac:dyDescent="0.3">
      <c r="G1739" s="470"/>
      <c r="H1739" s="470">
        <v>1732</v>
      </c>
      <c r="I1739" s="455">
        <f t="shared" ca="1" si="115"/>
        <v>334029864.73277676</v>
      </c>
      <c r="J1739" s="455">
        <f t="array" ref="J1739">IFERROR(INDEX('Retirement Calculator'!K:K,MATCH('Lorri 401b'!N1739,'Retirement Calculator'!A:A,0),0),0)</f>
        <v>0</v>
      </c>
      <c r="K1739" s="455">
        <f t="shared" ca="1" si="113"/>
        <v>1391791.1030532364</v>
      </c>
      <c r="L1739" s="455">
        <f t="shared" ca="1" si="114"/>
        <v>335421655.83582997</v>
      </c>
      <c r="M1739" s="471">
        <f t="shared" si="116"/>
        <v>0.05</v>
      </c>
      <c r="N1739" s="475">
        <f t="shared" si="117"/>
        <v>103975</v>
      </c>
    </row>
    <row r="1740" spans="7:14" ht="11.25" customHeight="1" x14ac:dyDescent="0.3">
      <c r="G1740" s="470"/>
      <c r="H1740" s="470">
        <v>1733</v>
      </c>
      <c r="I1740" s="455">
        <f t="shared" ca="1" si="115"/>
        <v>335421655.83582997</v>
      </c>
      <c r="J1740" s="455">
        <f t="array" ref="J1740">IFERROR(INDEX('Retirement Calculator'!K:K,MATCH('Lorri 401b'!N1740,'Retirement Calculator'!A:A,0),0),0)</f>
        <v>0</v>
      </c>
      <c r="K1740" s="455">
        <f t="shared" ca="1" si="113"/>
        <v>1397590.2326492916</v>
      </c>
      <c r="L1740" s="455">
        <f t="shared" ca="1" si="114"/>
        <v>336819246.06847924</v>
      </c>
      <c r="M1740" s="471">
        <f t="shared" si="116"/>
        <v>0.05</v>
      </c>
      <c r="N1740" s="475">
        <f t="shared" si="117"/>
        <v>104005</v>
      </c>
    </row>
    <row r="1741" spans="7:14" ht="11.25" customHeight="1" x14ac:dyDescent="0.3">
      <c r="G1741" s="470"/>
      <c r="H1741" s="470">
        <v>1734</v>
      </c>
      <c r="I1741" s="455">
        <f t="shared" ca="1" si="115"/>
        <v>336819246.06847924</v>
      </c>
      <c r="J1741" s="455">
        <f t="array" ref="J1741">IFERROR(INDEX('Retirement Calculator'!K:K,MATCH('Lorri 401b'!N1741,'Retirement Calculator'!A:A,0),0),0)</f>
        <v>0</v>
      </c>
      <c r="K1741" s="455">
        <f t="shared" ca="1" si="113"/>
        <v>1403413.5252853301</v>
      </c>
      <c r="L1741" s="455">
        <f t="shared" ca="1" si="114"/>
        <v>338222659.59376454</v>
      </c>
      <c r="M1741" s="471">
        <f t="shared" si="116"/>
        <v>0.05</v>
      </c>
      <c r="N1741" s="475">
        <f t="shared" si="117"/>
        <v>104036</v>
      </c>
    </row>
    <row r="1742" spans="7:14" ht="11.25" customHeight="1" x14ac:dyDescent="0.3">
      <c r="G1742" s="470"/>
      <c r="H1742" s="470">
        <v>1735</v>
      </c>
      <c r="I1742" s="455">
        <f t="shared" ca="1" si="115"/>
        <v>338222659.59376454</v>
      </c>
      <c r="J1742" s="455">
        <f t="array" ref="J1742">IFERROR(INDEX('Retirement Calculator'!K:K,MATCH('Lorri 401b'!N1742,'Retirement Calculator'!A:A,0),0),0)</f>
        <v>0</v>
      </c>
      <c r="K1742" s="455">
        <f t="shared" ca="1" si="113"/>
        <v>1409261.0816406857</v>
      </c>
      <c r="L1742" s="455">
        <f t="shared" ca="1" si="114"/>
        <v>339631920.6754052</v>
      </c>
      <c r="M1742" s="471">
        <f t="shared" si="116"/>
        <v>0.05</v>
      </c>
      <c r="N1742" s="475">
        <f t="shared" si="117"/>
        <v>104066</v>
      </c>
    </row>
    <row r="1743" spans="7:14" ht="11.25" customHeight="1" x14ac:dyDescent="0.3">
      <c r="G1743" s="470"/>
      <c r="H1743" s="470">
        <v>1736</v>
      </c>
      <c r="I1743" s="455">
        <f t="shared" ca="1" si="115"/>
        <v>339631920.6754052</v>
      </c>
      <c r="J1743" s="455">
        <f t="array" ref="J1743">IFERROR(INDEX('Retirement Calculator'!K:K,MATCH('Lorri 401b'!N1743,'Retirement Calculator'!A:A,0),0),0)</f>
        <v>0</v>
      </c>
      <c r="K1743" s="455">
        <f t="shared" ca="1" si="113"/>
        <v>1415133.0028141884</v>
      </c>
      <c r="L1743" s="455">
        <f t="shared" ca="1" si="114"/>
        <v>341047053.67821938</v>
      </c>
      <c r="M1743" s="471">
        <f t="shared" si="116"/>
        <v>0.05</v>
      </c>
      <c r="N1743" s="475">
        <f t="shared" si="117"/>
        <v>104097</v>
      </c>
    </row>
    <row r="1744" spans="7:14" ht="11.25" customHeight="1" x14ac:dyDescent="0.3">
      <c r="G1744" s="470"/>
      <c r="H1744" s="470">
        <v>1737</v>
      </c>
      <c r="I1744" s="455">
        <f t="shared" ca="1" si="115"/>
        <v>341047053.67821938</v>
      </c>
      <c r="J1744" s="455">
        <f t="array" ref="J1744">IFERROR(INDEX('Retirement Calculator'!K:K,MATCH('Lorri 401b'!N1744,'Retirement Calculator'!A:A,0),0),0)</f>
        <v>0</v>
      </c>
      <c r="K1744" s="455">
        <f t="shared" ca="1" si="113"/>
        <v>1421029.3903259141</v>
      </c>
      <c r="L1744" s="455">
        <f t="shared" ca="1" si="114"/>
        <v>342468083.06854528</v>
      </c>
      <c r="M1744" s="471">
        <f t="shared" si="116"/>
        <v>0.05</v>
      </c>
      <c r="N1744" s="475">
        <f t="shared" si="117"/>
        <v>104128</v>
      </c>
    </row>
    <row r="1745" spans="7:14" ht="11.25" customHeight="1" x14ac:dyDescent="0.3">
      <c r="G1745" s="470"/>
      <c r="H1745" s="470">
        <v>1738</v>
      </c>
      <c r="I1745" s="455">
        <f t="shared" ca="1" si="115"/>
        <v>342468083.06854528</v>
      </c>
      <c r="J1745" s="455">
        <f t="array" ref="J1745">IFERROR(INDEX('Retirement Calculator'!K:K,MATCH('Lorri 401b'!N1745,'Retirement Calculator'!A:A,0),0),0)</f>
        <v>0</v>
      </c>
      <c r="K1745" s="455">
        <f t="shared" ca="1" si="113"/>
        <v>1426950.3461189386</v>
      </c>
      <c r="L1745" s="455">
        <f t="shared" ca="1" si="114"/>
        <v>343895033.41466421</v>
      </c>
      <c r="M1745" s="471">
        <f t="shared" si="116"/>
        <v>0.05</v>
      </c>
      <c r="N1745" s="475">
        <f t="shared" si="117"/>
        <v>104156</v>
      </c>
    </row>
    <row r="1746" spans="7:14" ht="11.25" customHeight="1" x14ac:dyDescent="0.3">
      <c r="G1746" s="470"/>
      <c r="H1746" s="470">
        <v>1739</v>
      </c>
      <c r="I1746" s="455">
        <f t="shared" ca="1" si="115"/>
        <v>343895033.41466421</v>
      </c>
      <c r="J1746" s="455">
        <f t="array" ref="J1746">IFERROR(INDEX('Retirement Calculator'!K:K,MATCH('Lorri 401b'!N1746,'Retirement Calculator'!A:A,0),0),0)</f>
        <v>0</v>
      </c>
      <c r="K1746" s="455">
        <f t="shared" ca="1" si="113"/>
        <v>1432895.972561101</v>
      </c>
      <c r="L1746" s="455">
        <f t="shared" ca="1" si="114"/>
        <v>345327929.38722533</v>
      </c>
      <c r="M1746" s="471">
        <f t="shared" si="116"/>
        <v>0.05</v>
      </c>
      <c r="N1746" s="475">
        <f t="shared" si="117"/>
        <v>104187</v>
      </c>
    </row>
    <row r="1747" spans="7:14" ht="11.25" customHeight="1" x14ac:dyDescent="0.3">
      <c r="G1747" s="470"/>
      <c r="H1747" s="470">
        <v>1740</v>
      </c>
      <c r="I1747" s="455">
        <f t="shared" ca="1" si="115"/>
        <v>345327929.38722533</v>
      </c>
      <c r="J1747" s="455">
        <f t="array" ref="J1747">IFERROR(INDEX('Retirement Calculator'!K:K,MATCH('Lorri 401b'!N1747,'Retirement Calculator'!A:A,0),0),0)</f>
        <v>0</v>
      </c>
      <c r="K1747" s="455">
        <f t="shared" ca="1" si="113"/>
        <v>1438866.3724467722</v>
      </c>
      <c r="L1747" s="455">
        <f t="shared" ca="1" si="114"/>
        <v>346766795.75967211</v>
      </c>
      <c r="M1747" s="471">
        <f t="shared" si="116"/>
        <v>0.05</v>
      </c>
      <c r="N1747" s="475">
        <f t="shared" si="117"/>
        <v>104217</v>
      </c>
    </row>
    <row r="1748" spans="7:14" ht="11.25" customHeight="1" x14ac:dyDescent="0.3">
      <c r="G1748" s="470"/>
      <c r="H1748" s="470">
        <v>1741</v>
      </c>
      <c r="I1748" s="455">
        <f t="shared" ca="1" si="115"/>
        <v>346766795.75967211</v>
      </c>
      <c r="J1748" s="455">
        <f t="array" ref="J1748">IFERROR(INDEX('Retirement Calculator'!K:K,MATCH('Lorri 401b'!N1748,'Retirement Calculator'!A:A,0),0),0)</f>
        <v>0</v>
      </c>
      <c r="K1748" s="455">
        <f t="shared" ca="1" si="113"/>
        <v>1444861.6489986337</v>
      </c>
      <c r="L1748" s="455">
        <f t="shared" ca="1" si="114"/>
        <v>348211657.40867072</v>
      </c>
      <c r="M1748" s="471">
        <f t="shared" si="116"/>
        <v>0.05</v>
      </c>
      <c r="N1748" s="475">
        <f t="shared" si="117"/>
        <v>104248</v>
      </c>
    </row>
    <row r="1749" spans="7:14" ht="11.25" customHeight="1" x14ac:dyDescent="0.3">
      <c r="G1749" s="470"/>
      <c r="H1749" s="470">
        <v>1742</v>
      </c>
      <c r="I1749" s="455">
        <f t="shared" ca="1" si="115"/>
        <v>348211657.40867072</v>
      </c>
      <c r="J1749" s="455">
        <f t="array" ref="J1749">IFERROR(INDEX('Retirement Calculator'!K:K,MATCH('Lorri 401b'!N1749,'Retirement Calculator'!A:A,0),0),0)</f>
        <v>0</v>
      </c>
      <c r="K1749" s="455">
        <f t="shared" ca="1" si="113"/>
        <v>1450881.9058694614</v>
      </c>
      <c r="L1749" s="455">
        <f t="shared" ca="1" si="114"/>
        <v>349662539.31454021</v>
      </c>
      <c r="M1749" s="471">
        <f t="shared" si="116"/>
        <v>0.05</v>
      </c>
      <c r="N1749" s="475">
        <f t="shared" si="117"/>
        <v>104278</v>
      </c>
    </row>
    <row r="1750" spans="7:14" ht="11.25" customHeight="1" x14ac:dyDescent="0.3">
      <c r="G1750" s="470"/>
      <c r="H1750" s="470">
        <v>1743</v>
      </c>
      <c r="I1750" s="455">
        <f t="shared" ca="1" si="115"/>
        <v>349662539.31454021</v>
      </c>
      <c r="J1750" s="455">
        <f t="array" ref="J1750">IFERROR(INDEX('Retirement Calculator'!K:K,MATCH('Lorri 401b'!N1750,'Retirement Calculator'!A:A,0),0),0)</f>
        <v>0</v>
      </c>
      <c r="K1750" s="455">
        <f t="shared" ca="1" si="113"/>
        <v>1456927.2471439175</v>
      </c>
      <c r="L1750" s="455">
        <f t="shared" ca="1" si="114"/>
        <v>351119466.56168413</v>
      </c>
      <c r="M1750" s="471">
        <f t="shared" si="116"/>
        <v>0.05</v>
      </c>
      <c r="N1750" s="475">
        <f t="shared" si="117"/>
        <v>104309</v>
      </c>
    </row>
    <row r="1751" spans="7:14" ht="11.25" customHeight="1" x14ac:dyDescent="0.3">
      <c r="G1751" s="470"/>
      <c r="H1751" s="470">
        <v>1744</v>
      </c>
      <c r="I1751" s="455">
        <f t="shared" ca="1" si="115"/>
        <v>351119466.56168413</v>
      </c>
      <c r="J1751" s="455">
        <f t="array" ref="J1751">IFERROR(INDEX('Retirement Calculator'!K:K,MATCH('Lorri 401b'!N1751,'Retirement Calculator'!A:A,0),0),0)</f>
        <v>0</v>
      </c>
      <c r="K1751" s="455">
        <f t="shared" ca="1" si="113"/>
        <v>1462997.7773403504</v>
      </c>
      <c r="L1751" s="455">
        <f t="shared" ca="1" si="114"/>
        <v>352582464.33902448</v>
      </c>
      <c r="M1751" s="471">
        <f t="shared" si="116"/>
        <v>0.05</v>
      </c>
      <c r="N1751" s="475">
        <f t="shared" si="117"/>
        <v>104340</v>
      </c>
    </row>
    <row r="1752" spans="7:14" ht="11.25" customHeight="1" x14ac:dyDescent="0.3">
      <c r="G1752" s="470"/>
      <c r="H1752" s="470">
        <v>1745</v>
      </c>
      <c r="I1752" s="455">
        <f t="shared" ca="1" si="115"/>
        <v>352582464.33902448</v>
      </c>
      <c r="J1752" s="455">
        <f t="array" ref="J1752">IFERROR(INDEX('Retirement Calculator'!K:K,MATCH('Lorri 401b'!N1752,'Retirement Calculator'!A:A,0),0),0)</f>
        <v>0</v>
      </c>
      <c r="K1752" s="455">
        <f t="shared" ca="1" si="113"/>
        <v>1469093.601412602</v>
      </c>
      <c r="L1752" s="455">
        <f t="shared" ca="1" si="114"/>
        <v>354051557.94043708</v>
      </c>
      <c r="M1752" s="471">
        <f t="shared" si="116"/>
        <v>0.05</v>
      </c>
      <c r="N1752" s="475">
        <f t="shared" si="117"/>
        <v>104370</v>
      </c>
    </row>
    <row r="1753" spans="7:14" ht="11.25" customHeight="1" x14ac:dyDescent="0.3">
      <c r="G1753" s="470"/>
      <c r="H1753" s="470">
        <v>1746</v>
      </c>
      <c r="I1753" s="455">
        <f t="shared" ca="1" si="115"/>
        <v>354051557.94043708</v>
      </c>
      <c r="J1753" s="455">
        <f t="array" ref="J1753">IFERROR(INDEX('Retirement Calculator'!K:K,MATCH('Lorri 401b'!N1753,'Retirement Calculator'!A:A,0),0),0)</f>
        <v>0</v>
      </c>
      <c r="K1753" s="455">
        <f t="shared" ca="1" si="113"/>
        <v>1475214.8247518211</v>
      </c>
      <c r="L1753" s="455">
        <f t="shared" ca="1" si="114"/>
        <v>355526772.76518887</v>
      </c>
      <c r="M1753" s="471">
        <f t="shared" si="116"/>
        <v>0.05</v>
      </c>
      <c r="N1753" s="475">
        <f t="shared" si="117"/>
        <v>104401</v>
      </c>
    </row>
    <row r="1754" spans="7:14" ht="11.25" customHeight="1" x14ac:dyDescent="0.3">
      <c r="G1754" s="470"/>
      <c r="H1754" s="470">
        <v>1747</v>
      </c>
      <c r="I1754" s="455">
        <f t="shared" ca="1" si="115"/>
        <v>355526772.76518887</v>
      </c>
      <c r="J1754" s="455">
        <f t="array" ref="J1754">IFERROR(INDEX('Retirement Calculator'!K:K,MATCH('Lorri 401b'!N1754,'Retirement Calculator'!A:A,0),0),0)</f>
        <v>0</v>
      </c>
      <c r="K1754" s="455">
        <f t="shared" ca="1" si="113"/>
        <v>1481361.553188287</v>
      </c>
      <c r="L1754" s="455">
        <f t="shared" ca="1" si="114"/>
        <v>357008134.31837714</v>
      </c>
      <c r="M1754" s="471">
        <f t="shared" si="116"/>
        <v>0.05</v>
      </c>
      <c r="N1754" s="475">
        <f t="shared" si="117"/>
        <v>104431</v>
      </c>
    </row>
    <row r="1755" spans="7:14" ht="11.25" customHeight="1" x14ac:dyDescent="0.3">
      <c r="G1755" s="470"/>
      <c r="H1755" s="470">
        <v>1748</v>
      </c>
      <c r="I1755" s="455">
        <f t="shared" ca="1" si="115"/>
        <v>357008134.31837714</v>
      </c>
      <c r="J1755" s="455">
        <f t="array" ref="J1755">IFERROR(INDEX('Retirement Calculator'!K:K,MATCH('Lorri 401b'!N1755,'Retirement Calculator'!A:A,0),0),0)</f>
        <v>0</v>
      </c>
      <c r="K1755" s="455">
        <f t="shared" ca="1" si="113"/>
        <v>1487533.8929932381</v>
      </c>
      <c r="L1755" s="455">
        <f t="shared" ca="1" si="114"/>
        <v>358495668.21137035</v>
      </c>
      <c r="M1755" s="471">
        <f t="shared" si="116"/>
        <v>0.05</v>
      </c>
      <c r="N1755" s="475">
        <f t="shared" si="117"/>
        <v>104462</v>
      </c>
    </row>
    <row r="1756" spans="7:14" ht="11.25" customHeight="1" x14ac:dyDescent="0.3">
      <c r="G1756" s="470"/>
      <c r="H1756" s="470">
        <v>1749</v>
      </c>
      <c r="I1756" s="455">
        <f t="shared" ca="1" si="115"/>
        <v>358495668.21137035</v>
      </c>
      <c r="J1756" s="455">
        <f t="array" ref="J1756">IFERROR(INDEX('Retirement Calculator'!K:K,MATCH('Lorri 401b'!N1756,'Retirement Calculator'!A:A,0),0),0)</f>
        <v>0</v>
      </c>
      <c r="K1756" s="455">
        <f t="shared" ca="1" si="113"/>
        <v>1493731.9508807098</v>
      </c>
      <c r="L1756" s="455">
        <f t="shared" ca="1" si="114"/>
        <v>359989400.16225106</v>
      </c>
      <c r="M1756" s="471">
        <f t="shared" si="116"/>
        <v>0.05</v>
      </c>
      <c r="N1756" s="475">
        <f t="shared" si="117"/>
        <v>104493</v>
      </c>
    </row>
    <row r="1757" spans="7:14" ht="11.25" customHeight="1" x14ac:dyDescent="0.3">
      <c r="G1757" s="470"/>
      <c r="H1757" s="470">
        <v>1750</v>
      </c>
      <c r="I1757" s="455">
        <f t="shared" ca="1" si="115"/>
        <v>359989400.16225106</v>
      </c>
      <c r="J1757" s="455">
        <f t="array" ref="J1757">IFERROR(INDEX('Retirement Calculator'!K:K,MATCH('Lorri 401b'!N1757,'Retirement Calculator'!A:A,0),0),0)</f>
        <v>0</v>
      </c>
      <c r="K1757" s="455">
        <f t="shared" ca="1" si="113"/>
        <v>1499955.8340093794</v>
      </c>
      <c r="L1757" s="455">
        <f t="shared" ca="1" si="114"/>
        <v>361489355.99626046</v>
      </c>
      <c r="M1757" s="471">
        <f t="shared" si="116"/>
        <v>0.05</v>
      </c>
      <c r="N1757" s="475">
        <f t="shared" si="117"/>
        <v>104521</v>
      </c>
    </row>
    <row r="1758" spans="7:14" ht="11.25" customHeight="1" x14ac:dyDescent="0.3">
      <c r="G1758" s="470"/>
      <c r="H1758" s="470">
        <v>1751</v>
      </c>
      <c r="I1758" s="455">
        <f t="shared" ca="1" si="115"/>
        <v>361489355.99626046</v>
      </c>
      <c r="J1758" s="455">
        <f t="array" ref="J1758">IFERROR(INDEX('Retirement Calculator'!K:K,MATCH('Lorri 401b'!N1758,'Retirement Calculator'!A:A,0),0),0)</f>
        <v>0</v>
      </c>
      <c r="K1758" s="455">
        <f t="shared" ca="1" si="113"/>
        <v>1506205.6499844186</v>
      </c>
      <c r="L1758" s="455">
        <f t="shared" ca="1" si="114"/>
        <v>362995561.64624488</v>
      </c>
      <c r="M1758" s="471">
        <f t="shared" si="116"/>
        <v>0.05</v>
      </c>
      <c r="N1758" s="475">
        <f t="shared" si="117"/>
        <v>104552</v>
      </c>
    </row>
    <row r="1759" spans="7:14" ht="11.25" customHeight="1" x14ac:dyDescent="0.3">
      <c r="G1759" s="470"/>
      <c r="H1759" s="470">
        <v>1752</v>
      </c>
      <c r="I1759" s="455">
        <f t="shared" ca="1" si="115"/>
        <v>362995561.64624488</v>
      </c>
      <c r="J1759" s="455">
        <f t="array" ref="J1759">IFERROR(INDEX('Retirement Calculator'!K:K,MATCH('Lorri 401b'!N1759,'Retirement Calculator'!A:A,0),0),0)</f>
        <v>0</v>
      </c>
      <c r="K1759" s="455">
        <f t="shared" ca="1" si="113"/>
        <v>1512481.5068593537</v>
      </c>
      <c r="L1759" s="455">
        <f t="shared" ca="1" si="114"/>
        <v>364508043.15310425</v>
      </c>
      <c r="M1759" s="471">
        <f t="shared" si="116"/>
        <v>0.05</v>
      </c>
      <c r="N1759" s="475">
        <f t="shared" si="117"/>
        <v>104582</v>
      </c>
    </row>
    <row r="1760" spans="7:14" ht="11.25" customHeight="1" x14ac:dyDescent="0.3">
      <c r="G1760" s="470"/>
      <c r="H1760" s="470">
        <v>1753</v>
      </c>
      <c r="I1760" s="455">
        <f t="shared" ca="1" si="115"/>
        <v>364508043.15310425</v>
      </c>
      <c r="J1760" s="455">
        <f t="array" ref="J1760">IFERROR(INDEX('Retirement Calculator'!K:K,MATCH('Lorri 401b'!N1760,'Retirement Calculator'!A:A,0),0),0)</f>
        <v>0</v>
      </c>
      <c r="K1760" s="455">
        <f t="shared" ca="1" si="113"/>
        <v>1518783.5131379343</v>
      </c>
      <c r="L1760" s="455">
        <f t="shared" ca="1" si="114"/>
        <v>366026826.66624218</v>
      </c>
      <c r="M1760" s="471">
        <f t="shared" si="116"/>
        <v>0.05</v>
      </c>
      <c r="N1760" s="475">
        <f t="shared" si="117"/>
        <v>104613</v>
      </c>
    </row>
    <row r="1761" spans="7:14" ht="11.25" customHeight="1" x14ac:dyDescent="0.3">
      <c r="G1761" s="470"/>
      <c r="H1761" s="470">
        <v>1754</v>
      </c>
      <c r="I1761" s="455">
        <f t="shared" ca="1" si="115"/>
        <v>366026826.66624218</v>
      </c>
      <c r="J1761" s="455">
        <f t="array" ref="J1761">IFERROR(INDEX('Retirement Calculator'!K:K,MATCH('Lorri 401b'!N1761,'Retirement Calculator'!A:A,0),0),0)</f>
        <v>0</v>
      </c>
      <c r="K1761" s="455">
        <f t="shared" ca="1" si="113"/>
        <v>1525111.7777760092</v>
      </c>
      <c r="L1761" s="455">
        <f t="shared" ca="1" si="114"/>
        <v>367551938.44401819</v>
      </c>
      <c r="M1761" s="471">
        <f t="shared" si="116"/>
        <v>0.05</v>
      </c>
      <c r="N1761" s="475">
        <f t="shared" si="117"/>
        <v>104643</v>
      </c>
    </row>
    <row r="1762" spans="7:14" ht="11.25" customHeight="1" x14ac:dyDescent="0.3">
      <c r="G1762" s="470"/>
      <c r="H1762" s="470">
        <v>1755</v>
      </c>
      <c r="I1762" s="455">
        <f t="shared" ca="1" si="115"/>
        <v>367551938.44401819</v>
      </c>
      <c r="J1762" s="455">
        <f t="array" ref="J1762">IFERROR(INDEX('Retirement Calculator'!K:K,MATCH('Lorri 401b'!N1762,'Retirement Calculator'!A:A,0),0),0)</f>
        <v>0</v>
      </c>
      <c r="K1762" s="455">
        <f t="shared" ca="1" si="113"/>
        <v>1531466.410183409</v>
      </c>
      <c r="L1762" s="455">
        <f t="shared" ca="1" si="114"/>
        <v>369083404.85420161</v>
      </c>
      <c r="M1762" s="471">
        <f t="shared" si="116"/>
        <v>0.05</v>
      </c>
      <c r="N1762" s="475">
        <f t="shared" si="117"/>
        <v>104674</v>
      </c>
    </row>
    <row r="1763" spans="7:14" ht="11.25" customHeight="1" x14ac:dyDescent="0.3">
      <c r="G1763" s="470"/>
      <c r="H1763" s="470">
        <v>1756</v>
      </c>
      <c r="I1763" s="455">
        <f t="shared" ca="1" si="115"/>
        <v>369083404.85420161</v>
      </c>
      <c r="J1763" s="455">
        <f t="array" ref="J1763">IFERROR(INDEX('Retirement Calculator'!K:K,MATCH('Lorri 401b'!N1763,'Retirement Calculator'!A:A,0),0),0)</f>
        <v>0</v>
      </c>
      <c r="K1763" s="455">
        <f t="shared" ca="1" si="113"/>
        <v>1537847.5202258402</v>
      </c>
      <c r="L1763" s="455">
        <f t="shared" ca="1" si="114"/>
        <v>370621252.37442744</v>
      </c>
      <c r="M1763" s="471">
        <f t="shared" si="116"/>
        <v>0.05</v>
      </c>
      <c r="N1763" s="475">
        <f t="shared" si="117"/>
        <v>104705</v>
      </c>
    </row>
    <row r="1764" spans="7:14" ht="11.25" customHeight="1" x14ac:dyDescent="0.3">
      <c r="G1764" s="470"/>
      <c r="H1764" s="470">
        <v>1757</v>
      </c>
      <c r="I1764" s="455">
        <f t="shared" ca="1" si="115"/>
        <v>370621252.37442744</v>
      </c>
      <c r="J1764" s="455">
        <f t="array" ref="J1764">IFERROR(INDEX('Retirement Calculator'!K:K,MATCH('Lorri 401b'!N1764,'Retirement Calculator'!A:A,0),0),0)</f>
        <v>0</v>
      </c>
      <c r="K1764" s="455">
        <f t="shared" ca="1" si="113"/>
        <v>1544255.2182267809</v>
      </c>
      <c r="L1764" s="455">
        <f t="shared" ca="1" si="114"/>
        <v>372165507.59265423</v>
      </c>
      <c r="M1764" s="471">
        <f t="shared" si="116"/>
        <v>0.05</v>
      </c>
      <c r="N1764" s="475">
        <f t="shared" si="117"/>
        <v>104735</v>
      </c>
    </row>
    <row r="1765" spans="7:14" ht="11.25" customHeight="1" x14ac:dyDescent="0.3">
      <c r="G1765" s="470"/>
      <c r="H1765" s="470">
        <v>1758</v>
      </c>
      <c r="I1765" s="455">
        <f t="shared" ca="1" si="115"/>
        <v>372165507.59265423</v>
      </c>
      <c r="J1765" s="455">
        <f t="array" ref="J1765">IFERROR(INDEX('Retirement Calculator'!K:K,MATCH('Lorri 401b'!N1765,'Retirement Calculator'!A:A,0),0),0)</f>
        <v>0</v>
      </c>
      <c r="K1765" s="455">
        <f t="shared" ca="1" si="113"/>
        <v>1550689.6149693925</v>
      </c>
      <c r="L1765" s="455">
        <f t="shared" ca="1" si="114"/>
        <v>373716197.2076236</v>
      </c>
      <c r="M1765" s="471">
        <f t="shared" si="116"/>
        <v>0.05</v>
      </c>
      <c r="N1765" s="475">
        <f t="shared" si="117"/>
        <v>104766</v>
      </c>
    </row>
    <row r="1766" spans="7:14" ht="11.25" customHeight="1" x14ac:dyDescent="0.3">
      <c r="G1766" s="470"/>
      <c r="H1766" s="470">
        <v>1759</v>
      </c>
      <c r="I1766" s="455">
        <f t="shared" ca="1" si="115"/>
        <v>373716197.2076236</v>
      </c>
      <c r="J1766" s="455">
        <f t="array" ref="J1766">IFERROR(INDEX('Retirement Calculator'!K:K,MATCH('Lorri 401b'!N1766,'Retirement Calculator'!A:A,0),0),0)</f>
        <v>0</v>
      </c>
      <c r="K1766" s="455">
        <f t="shared" ca="1" si="113"/>
        <v>1557150.8216984316</v>
      </c>
      <c r="L1766" s="455">
        <f t="shared" ca="1" si="114"/>
        <v>375273348.02932203</v>
      </c>
      <c r="M1766" s="471">
        <f t="shared" si="116"/>
        <v>0.05</v>
      </c>
      <c r="N1766" s="475">
        <f t="shared" si="117"/>
        <v>104796</v>
      </c>
    </row>
    <row r="1767" spans="7:14" ht="11.25" customHeight="1" x14ac:dyDescent="0.3">
      <c r="G1767" s="470"/>
      <c r="H1767" s="470">
        <v>1760</v>
      </c>
      <c r="I1767" s="455">
        <f t="shared" ca="1" si="115"/>
        <v>375273348.02932203</v>
      </c>
      <c r="J1767" s="455">
        <f t="array" ref="J1767">IFERROR(INDEX('Retirement Calculator'!K:K,MATCH('Lorri 401b'!N1767,'Retirement Calculator'!A:A,0),0),0)</f>
        <v>0</v>
      </c>
      <c r="K1767" s="455">
        <f t="shared" ca="1" si="113"/>
        <v>1563638.950122175</v>
      </c>
      <c r="L1767" s="455">
        <f t="shared" ca="1" si="114"/>
        <v>376836986.97944421</v>
      </c>
      <c r="M1767" s="471">
        <f t="shared" si="116"/>
        <v>0.05</v>
      </c>
      <c r="N1767" s="475">
        <f t="shared" si="117"/>
        <v>104827</v>
      </c>
    </row>
    <row r="1768" spans="7:14" ht="11.25" customHeight="1" x14ac:dyDescent="0.3">
      <c r="G1768" s="470"/>
      <c r="H1768" s="470">
        <v>1761</v>
      </c>
      <c r="I1768" s="455">
        <f t="shared" ca="1" si="115"/>
        <v>376836986.97944421</v>
      </c>
      <c r="J1768" s="455">
        <f t="array" ref="J1768">IFERROR(INDEX('Retirement Calculator'!K:K,MATCH('Lorri 401b'!N1768,'Retirement Calculator'!A:A,0),0),0)</f>
        <v>0</v>
      </c>
      <c r="K1768" s="455">
        <f t="shared" ca="1" si="113"/>
        <v>1570154.1124143507</v>
      </c>
      <c r="L1768" s="455">
        <f t="shared" ca="1" si="114"/>
        <v>378407141.09185857</v>
      </c>
      <c r="M1768" s="471">
        <f t="shared" si="116"/>
        <v>0.05</v>
      </c>
      <c r="N1768" s="475">
        <f t="shared" si="117"/>
        <v>104858</v>
      </c>
    </row>
    <row r="1769" spans="7:14" ht="11.25" customHeight="1" x14ac:dyDescent="0.3">
      <c r="G1769" s="470"/>
      <c r="H1769" s="470">
        <v>1762</v>
      </c>
      <c r="I1769" s="455">
        <f t="shared" ca="1" si="115"/>
        <v>378407141.09185857</v>
      </c>
      <c r="J1769" s="455">
        <f t="array" ref="J1769">IFERROR(INDEX('Retirement Calculator'!K:K,MATCH('Lorri 401b'!N1769,'Retirement Calculator'!A:A,0),0),0)</f>
        <v>0</v>
      </c>
      <c r="K1769" s="455">
        <f t="shared" ca="1" si="113"/>
        <v>1576696.4212160774</v>
      </c>
      <c r="L1769" s="455">
        <f t="shared" ca="1" si="114"/>
        <v>379983837.51307464</v>
      </c>
      <c r="M1769" s="471">
        <f t="shared" si="116"/>
        <v>0.05</v>
      </c>
      <c r="N1769" s="475">
        <f t="shared" si="117"/>
        <v>104886</v>
      </c>
    </row>
    <row r="1770" spans="7:14" ht="11.25" customHeight="1" x14ac:dyDescent="0.3">
      <c r="G1770" s="470"/>
      <c r="H1770" s="470">
        <v>1763</v>
      </c>
      <c r="I1770" s="455">
        <f t="shared" ca="1" si="115"/>
        <v>379983837.51307464</v>
      </c>
      <c r="J1770" s="455">
        <f t="array" ref="J1770">IFERROR(INDEX('Retirement Calculator'!K:K,MATCH('Lorri 401b'!N1770,'Retirement Calculator'!A:A,0),0),0)</f>
        <v>0</v>
      </c>
      <c r="K1770" s="455">
        <f t="shared" ca="1" si="113"/>
        <v>1583265.989637811</v>
      </c>
      <c r="L1770" s="455">
        <f t="shared" ca="1" si="114"/>
        <v>381567103.50271243</v>
      </c>
      <c r="M1770" s="471">
        <f t="shared" si="116"/>
        <v>0.05</v>
      </c>
      <c r="N1770" s="475">
        <f t="shared" si="117"/>
        <v>104917</v>
      </c>
    </row>
    <row r="1771" spans="7:14" ht="11.25" customHeight="1" x14ac:dyDescent="0.3">
      <c r="G1771" s="470"/>
      <c r="H1771" s="470">
        <v>1764</v>
      </c>
      <c r="I1771" s="455">
        <f t="shared" ca="1" si="115"/>
        <v>381567103.50271243</v>
      </c>
      <c r="J1771" s="455">
        <f t="array" ref="J1771">IFERROR(INDEX('Retirement Calculator'!K:K,MATCH('Lorri 401b'!N1771,'Retirement Calculator'!A:A,0),0),0)</f>
        <v>0</v>
      </c>
      <c r="K1771" s="455">
        <f t="shared" ca="1" si="113"/>
        <v>1589862.9312613017</v>
      </c>
      <c r="L1771" s="455">
        <f t="shared" ca="1" si="114"/>
        <v>383156966.43397373</v>
      </c>
      <c r="M1771" s="471">
        <f t="shared" si="116"/>
        <v>0.05</v>
      </c>
      <c r="N1771" s="475">
        <f t="shared" si="117"/>
        <v>104947</v>
      </c>
    </row>
    <row r="1772" spans="7:14" ht="11.25" customHeight="1" x14ac:dyDescent="0.3">
      <c r="G1772" s="470"/>
      <c r="H1772" s="470">
        <v>1765</v>
      </c>
      <c r="I1772" s="455">
        <f t="shared" ca="1" si="115"/>
        <v>383156966.43397373</v>
      </c>
      <c r="J1772" s="455">
        <f t="array" ref="J1772">IFERROR(INDEX('Retirement Calculator'!K:K,MATCH('Lorri 401b'!N1772,'Retirement Calculator'!A:A,0),0),0)</f>
        <v>0</v>
      </c>
      <c r="K1772" s="455">
        <f t="shared" ca="1" si="113"/>
        <v>1596487.3601415572</v>
      </c>
      <c r="L1772" s="455">
        <f t="shared" ca="1" si="114"/>
        <v>384753453.7941153</v>
      </c>
      <c r="M1772" s="471">
        <f t="shared" si="116"/>
        <v>0.05</v>
      </c>
      <c r="N1772" s="475">
        <f t="shared" si="117"/>
        <v>104978</v>
      </c>
    </row>
    <row r="1773" spans="7:14" ht="11.25" customHeight="1" x14ac:dyDescent="0.3">
      <c r="G1773" s="470"/>
      <c r="H1773" s="470">
        <v>1766</v>
      </c>
      <c r="I1773" s="455">
        <f t="shared" ca="1" si="115"/>
        <v>384753453.7941153</v>
      </c>
      <c r="J1773" s="455">
        <f t="array" ref="J1773">IFERROR(INDEX('Retirement Calculator'!K:K,MATCH('Lorri 401b'!N1773,'Retirement Calculator'!A:A,0),0),0)</f>
        <v>0</v>
      </c>
      <c r="K1773" s="455">
        <f t="shared" ca="1" si="113"/>
        <v>1603139.3908088137</v>
      </c>
      <c r="L1773" s="455">
        <f t="shared" ca="1" si="114"/>
        <v>386356593.18492413</v>
      </c>
      <c r="M1773" s="471">
        <f t="shared" si="116"/>
        <v>0.05</v>
      </c>
      <c r="N1773" s="475">
        <f t="shared" si="117"/>
        <v>105008</v>
      </c>
    </row>
    <row r="1774" spans="7:14" ht="11.25" customHeight="1" x14ac:dyDescent="0.3">
      <c r="G1774" s="470"/>
      <c r="H1774" s="470">
        <v>1767</v>
      </c>
      <c r="I1774" s="455">
        <f t="shared" ca="1" si="115"/>
        <v>386356593.18492413</v>
      </c>
      <c r="J1774" s="455">
        <f t="array" ref="J1774">IFERROR(INDEX('Retirement Calculator'!K:K,MATCH('Lorri 401b'!N1774,'Retirement Calculator'!A:A,0),0),0)</f>
        <v>0</v>
      </c>
      <c r="K1774" s="455">
        <f t="shared" ca="1" si="113"/>
        <v>1609819.1382705171</v>
      </c>
      <c r="L1774" s="455">
        <f t="shared" ca="1" si="114"/>
        <v>387966412.32319462</v>
      </c>
      <c r="M1774" s="471">
        <f t="shared" si="116"/>
        <v>0.05</v>
      </c>
      <c r="N1774" s="475">
        <f t="shared" si="117"/>
        <v>105039</v>
      </c>
    </row>
    <row r="1775" spans="7:14" ht="11.25" customHeight="1" x14ac:dyDescent="0.3">
      <c r="G1775" s="470"/>
      <c r="H1775" s="470">
        <v>1768</v>
      </c>
      <c r="I1775" s="455">
        <f t="shared" ca="1" si="115"/>
        <v>387966412.32319462</v>
      </c>
      <c r="J1775" s="455">
        <f t="array" ref="J1775">IFERROR(INDEX('Retirement Calculator'!K:K,MATCH('Lorri 401b'!N1775,'Retirement Calculator'!A:A,0),0),0)</f>
        <v>0</v>
      </c>
      <c r="K1775" s="455">
        <f t="shared" ca="1" si="113"/>
        <v>1616526.7180133108</v>
      </c>
      <c r="L1775" s="455">
        <f t="shared" ca="1" si="114"/>
        <v>389582939.04120791</v>
      </c>
      <c r="M1775" s="471">
        <f t="shared" si="116"/>
        <v>0.05</v>
      </c>
      <c r="N1775" s="475">
        <f t="shared" si="117"/>
        <v>105070</v>
      </c>
    </row>
    <row r="1776" spans="7:14" ht="11.25" customHeight="1" x14ac:dyDescent="0.3">
      <c r="G1776" s="470"/>
      <c r="H1776" s="470">
        <v>1769</v>
      </c>
      <c r="I1776" s="455">
        <f t="shared" ca="1" si="115"/>
        <v>389582939.04120791</v>
      </c>
      <c r="J1776" s="455">
        <f t="array" ref="J1776">IFERROR(INDEX('Retirement Calculator'!K:K,MATCH('Lorri 401b'!N1776,'Retirement Calculator'!A:A,0),0),0)</f>
        <v>0</v>
      </c>
      <c r="K1776" s="455">
        <f t="shared" ca="1" si="113"/>
        <v>1623262.2460050329</v>
      </c>
      <c r="L1776" s="455">
        <f t="shared" ca="1" si="114"/>
        <v>391206201.28721297</v>
      </c>
      <c r="M1776" s="471">
        <f t="shared" si="116"/>
        <v>0.05</v>
      </c>
      <c r="N1776" s="475">
        <f t="shared" si="117"/>
        <v>105100</v>
      </c>
    </row>
    <row r="1777" spans="7:14" ht="11.25" customHeight="1" x14ac:dyDescent="0.3">
      <c r="G1777" s="470"/>
      <c r="H1777" s="470">
        <v>1770</v>
      </c>
      <c r="I1777" s="455">
        <f t="shared" ca="1" si="115"/>
        <v>391206201.28721297</v>
      </c>
      <c r="J1777" s="455">
        <f t="array" ref="J1777">IFERROR(INDEX('Retirement Calculator'!K:K,MATCH('Lorri 401b'!N1777,'Retirement Calculator'!A:A,0),0),0)</f>
        <v>0</v>
      </c>
      <c r="K1777" s="455">
        <f t="shared" ca="1" si="113"/>
        <v>1630025.8386967208</v>
      </c>
      <c r="L1777" s="455">
        <f t="shared" ca="1" si="114"/>
        <v>392836227.12590969</v>
      </c>
      <c r="M1777" s="471">
        <f t="shared" si="116"/>
        <v>0.05</v>
      </c>
      <c r="N1777" s="475">
        <f t="shared" si="117"/>
        <v>105131</v>
      </c>
    </row>
    <row r="1778" spans="7:14" ht="11.25" customHeight="1" x14ac:dyDescent="0.3">
      <c r="G1778" s="470"/>
      <c r="H1778" s="470">
        <v>1771</v>
      </c>
      <c r="I1778" s="455">
        <f t="shared" ca="1" si="115"/>
        <v>392836227.12590969</v>
      </c>
      <c r="J1778" s="455">
        <f t="array" ref="J1778">IFERROR(INDEX('Retirement Calculator'!K:K,MATCH('Lorri 401b'!N1778,'Retirement Calculator'!A:A,0),0),0)</f>
        <v>0</v>
      </c>
      <c r="K1778" s="455">
        <f t="shared" ca="1" si="113"/>
        <v>1636817.6130246236</v>
      </c>
      <c r="L1778" s="455">
        <f t="shared" ca="1" si="114"/>
        <v>394473044.73893434</v>
      </c>
      <c r="M1778" s="471">
        <f t="shared" si="116"/>
        <v>0.05</v>
      </c>
      <c r="N1778" s="475">
        <f t="shared" si="117"/>
        <v>105161</v>
      </c>
    </row>
    <row r="1779" spans="7:14" ht="11.25" customHeight="1" x14ac:dyDescent="0.3">
      <c r="G1779" s="470"/>
      <c r="H1779" s="470">
        <v>1772</v>
      </c>
      <c r="I1779" s="455">
        <f t="shared" ca="1" si="115"/>
        <v>394473044.73893434</v>
      </c>
      <c r="J1779" s="455">
        <f t="array" ref="J1779">IFERROR(INDEX('Retirement Calculator'!K:K,MATCH('Lorri 401b'!N1779,'Retirement Calculator'!A:A,0),0),0)</f>
        <v>0</v>
      </c>
      <c r="K1779" s="455">
        <f t="shared" ca="1" si="113"/>
        <v>1643637.6864122264</v>
      </c>
      <c r="L1779" s="455">
        <f t="shared" ca="1" si="114"/>
        <v>396116682.42534655</v>
      </c>
      <c r="M1779" s="471">
        <f t="shared" si="116"/>
        <v>0.05</v>
      </c>
      <c r="N1779" s="475">
        <f t="shared" si="117"/>
        <v>105192</v>
      </c>
    </row>
    <row r="1780" spans="7:14" ht="11.25" customHeight="1" x14ac:dyDescent="0.3">
      <c r="G1780" s="470"/>
      <c r="H1780" s="470">
        <v>1773</v>
      </c>
      <c r="I1780" s="455">
        <f t="shared" ca="1" si="115"/>
        <v>396116682.42534655</v>
      </c>
      <c r="J1780" s="455">
        <f t="array" ref="J1780">IFERROR(INDEX('Retirement Calculator'!K:K,MATCH('Lorri 401b'!N1780,'Retirement Calculator'!A:A,0),0),0)</f>
        <v>0</v>
      </c>
      <c r="K1780" s="455">
        <f t="shared" ca="1" si="113"/>
        <v>1650486.1767722773</v>
      </c>
      <c r="L1780" s="455">
        <f t="shared" ca="1" si="114"/>
        <v>397767168.60211885</v>
      </c>
      <c r="M1780" s="471">
        <f t="shared" si="116"/>
        <v>0.05</v>
      </c>
      <c r="N1780" s="475">
        <f t="shared" si="117"/>
        <v>105223</v>
      </c>
    </row>
    <row r="1781" spans="7:14" ht="11.25" customHeight="1" x14ac:dyDescent="0.3">
      <c r="G1781" s="470"/>
      <c r="H1781" s="470">
        <v>1774</v>
      </c>
      <c r="I1781" s="455">
        <f t="shared" ca="1" si="115"/>
        <v>397767168.60211885</v>
      </c>
      <c r="J1781" s="455">
        <f t="array" ref="J1781">IFERROR(INDEX('Retirement Calculator'!K:K,MATCH('Lorri 401b'!N1781,'Retirement Calculator'!A:A,0),0),0)</f>
        <v>0</v>
      </c>
      <c r="K1781" s="455">
        <f t="shared" ca="1" si="113"/>
        <v>1657363.2025088286</v>
      </c>
      <c r="L1781" s="455">
        <f t="shared" ca="1" si="114"/>
        <v>399424531.80462766</v>
      </c>
      <c r="M1781" s="471">
        <f t="shared" si="116"/>
        <v>0.05</v>
      </c>
      <c r="N1781" s="475">
        <f t="shared" si="117"/>
        <v>105252</v>
      </c>
    </row>
    <row r="1782" spans="7:14" ht="11.25" customHeight="1" x14ac:dyDescent="0.3">
      <c r="G1782" s="470"/>
      <c r="H1782" s="470">
        <v>1775</v>
      </c>
      <c r="I1782" s="455">
        <f t="shared" ca="1" si="115"/>
        <v>399424531.80462766</v>
      </c>
      <c r="J1782" s="455">
        <f t="array" ref="J1782">IFERROR(INDEX('Retirement Calculator'!K:K,MATCH('Lorri 401b'!N1782,'Retirement Calculator'!A:A,0),0),0)</f>
        <v>0</v>
      </c>
      <c r="K1782" s="455">
        <f t="shared" ca="1" si="113"/>
        <v>1664268.8825192819</v>
      </c>
      <c r="L1782" s="455">
        <f t="shared" ca="1" si="114"/>
        <v>401088800.68714696</v>
      </c>
      <c r="M1782" s="471">
        <f t="shared" si="116"/>
        <v>0.05</v>
      </c>
      <c r="N1782" s="475">
        <f t="shared" si="117"/>
        <v>105283</v>
      </c>
    </row>
    <row r="1783" spans="7:14" ht="11.25" customHeight="1" x14ac:dyDescent="0.3">
      <c r="G1783" s="470"/>
      <c r="H1783" s="470">
        <v>1776</v>
      </c>
      <c r="I1783" s="455">
        <f t="shared" ca="1" si="115"/>
        <v>401088800.68714696</v>
      </c>
      <c r="J1783" s="455">
        <f t="array" ref="J1783">IFERROR(INDEX('Retirement Calculator'!K:K,MATCH('Lorri 401b'!N1783,'Retirement Calculator'!A:A,0),0),0)</f>
        <v>0</v>
      </c>
      <c r="K1783" s="455">
        <f t="shared" ca="1" si="113"/>
        <v>1671203.3361964456</v>
      </c>
      <c r="L1783" s="455">
        <f t="shared" ca="1" si="114"/>
        <v>402760004.02334338</v>
      </c>
      <c r="M1783" s="471">
        <f t="shared" si="116"/>
        <v>0.05</v>
      </c>
      <c r="N1783" s="475">
        <f t="shared" si="117"/>
        <v>105313</v>
      </c>
    </row>
    <row r="1784" spans="7:14" ht="11.25" customHeight="1" x14ac:dyDescent="0.3">
      <c r="G1784" s="470"/>
      <c r="H1784" s="470">
        <v>1777</v>
      </c>
      <c r="I1784" s="455">
        <f t="shared" ca="1" si="115"/>
        <v>402760004.02334338</v>
      </c>
      <c r="J1784" s="455">
        <f t="array" ref="J1784">IFERROR(INDEX('Retirement Calculator'!K:K,MATCH('Lorri 401b'!N1784,'Retirement Calculator'!A:A,0),0),0)</f>
        <v>0</v>
      </c>
      <c r="K1784" s="455">
        <f t="shared" ca="1" si="113"/>
        <v>1678166.6834305974</v>
      </c>
      <c r="L1784" s="455">
        <f t="shared" ca="1" si="114"/>
        <v>404438170.706774</v>
      </c>
      <c r="M1784" s="471">
        <f t="shared" si="116"/>
        <v>0.05</v>
      </c>
      <c r="N1784" s="475">
        <f t="shared" si="117"/>
        <v>105344</v>
      </c>
    </row>
    <row r="1785" spans="7:14" ht="11.25" customHeight="1" x14ac:dyDescent="0.3">
      <c r="G1785" s="470"/>
      <c r="H1785" s="470">
        <v>1778</v>
      </c>
      <c r="I1785" s="455">
        <f t="shared" ca="1" si="115"/>
        <v>404438170.706774</v>
      </c>
      <c r="J1785" s="455">
        <f t="array" ref="J1785">IFERROR(INDEX('Retirement Calculator'!K:K,MATCH('Lorri 401b'!N1785,'Retirement Calculator'!A:A,0),0),0)</f>
        <v>0</v>
      </c>
      <c r="K1785" s="455">
        <f t="shared" ca="1" si="113"/>
        <v>1685159.0446115583</v>
      </c>
      <c r="L1785" s="455">
        <f t="shared" ca="1" si="114"/>
        <v>406123329.75138557</v>
      </c>
      <c r="M1785" s="471">
        <f t="shared" si="116"/>
        <v>0.05</v>
      </c>
      <c r="N1785" s="475">
        <f t="shared" si="117"/>
        <v>105374</v>
      </c>
    </row>
    <row r="1786" spans="7:14" ht="11.25" customHeight="1" x14ac:dyDescent="0.3">
      <c r="G1786" s="470"/>
      <c r="H1786" s="470">
        <v>1779</v>
      </c>
      <c r="I1786" s="455">
        <f t="shared" ca="1" si="115"/>
        <v>406123329.75138557</v>
      </c>
      <c r="J1786" s="455">
        <f t="array" ref="J1786">IFERROR(INDEX('Retirement Calculator'!K:K,MATCH('Lorri 401b'!N1786,'Retirement Calculator'!A:A,0),0),0)</f>
        <v>0</v>
      </c>
      <c r="K1786" s="455">
        <f t="shared" ca="1" si="113"/>
        <v>1692180.5406307732</v>
      </c>
      <c r="L1786" s="455">
        <f t="shared" ca="1" si="114"/>
        <v>407815510.29201633</v>
      </c>
      <c r="M1786" s="471">
        <f t="shared" si="116"/>
        <v>0.05</v>
      </c>
      <c r="N1786" s="475">
        <f t="shared" si="117"/>
        <v>105405</v>
      </c>
    </row>
    <row r="1787" spans="7:14" ht="11.25" customHeight="1" x14ac:dyDescent="0.3">
      <c r="G1787" s="470"/>
      <c r="H1787" s="470">
        <v>1780</v>
      </c>
      <c r="I1787" s="455">
        <f t="shared" ca="1" si="115"/>
        <v>407815510.29201633</v>
      </c>
      <c r="J1787" s="455">
        <f t="array" ref="J1787">IFERROR(INDEX('Retirement Calculator'!K:K,MATCH('Lorri 401b'!N1787,'Retirement Calculator'!A:A,0),0),0)</f>
        <v>0</v>
      </c>
      <c r="K1787" s="455">
        <f t="shared" ca="1" si="113"/>
        <v>1699231.2928834013</v>
      </c>
      <c r="L1787" s="455">
        <f t="shared" ca="1" si="114"/>
        <v>409514741.58489972</v>
      </c>
      <c r="M1787" s="471">
        <f t="shared" si="116"/>
        <v>0.05</v>
      </c>
      <c r="N1787" s="475">
        <f t="shared" si="117"/>
        <v>105436</v>
      </c>
    </row>
    <row r="1788" spans="7:14" ht="11.25" customHeight="1" x14ac:dyDescent="0.3">
      <c r="G1788" s="470"/>
      <c r="H1788" s="470">
        <v>1781</v>
      </c>
      <c r="I1788" s="455">
        <f t="shared" ca="1" si="115"/>
        <v>409514741.58489972</v>
      </c>
      <c r="J1788" s="455">
        <f t="array" ref="J1788">IFERROR(INDEX('Retirement Calculator'!K:K,MATCH('Lorri 401b'!N1788,'Retirement Calculator'!A:A,0),0),0)</f>
        <v>0</v>
      </c>
      <c r="K1788" s="455">
        <f t="shared" ca="1" si="113"/>
        <v>1706311.4232704155</v>
      </c>
      <c r="L1788" s="455">
        <f t="shared" ca="1" si="114"/>
        <v>411221053.00817013</v>
      </c>
      <c r="M1788" s="471">
        <f t="shared" si="116"/>
        <v>0.05</v>
      </c>
      <c r="N1788" s="475">
        <f t="shared" si="117"/>
        <v>105466</v>
      </c>
    </row>
    <row r="1789" spans="7:14" ht="11.25" customHeight="1" x14ac:dyDescent="0.3">
      <c r="G1789" s="470"/>
      <c r="H1789" s="470">
        <v>1782</v>
      </c>
      <c r="I1789" s="455">
        <f t="shared" ca="1" si="115"/>
        <v>411221053.00817013</v>
      </c>
      <c r="J1789" s="455">
        <f t="array" ref="J1789">IFERROR(INDEX('Retirement Calculator'!K:K,MATCH('Lorri 401b'!N1789,'Retirement Calculator'!A:A,0),0),0)</f>
        <v>0</v>
      </c>
      <c r="K1789" s="455">
        <f t="shared" ca="1" si="113"/>
        <v>1713421.0542007089</v>
      </c>
      <c r="L1789" s="455">
        <f t="shared" ca="1" si="114"/>
        <v>412934474.06237084</v>
      </c>
      <c r="M1789" s="471">
        <f t="shared" si="116"/>
        <v>0.05</v>
      </c>
      <c r="N1789" s="475">
        <f t="shared" si="117"/>
        <v>105497</v>
      </c>
    </row>
    <row r="1790" spans="7:14" ht="11.25" customHeight="1" x14ac:dyDescent="0.3">
      <c r="G1790" s="470"/>
      <c r="H1790" s="470">
        <v>1783</v>
      </c>
      <c r="I1790" s="455">
        <f t="shared" ca="1" si="115"/>
        <v>412934474.06237084</v>
      </c>
      <c r="J1790" s="455">
        <f t="array" ref="J1790">IFERROR(INDEX('Retirement Calculator'!K:K,MATCH('Lorri 401b'!N1790,'Retirement Calculator'!A:A,0),0),0)</f>
        <v>0</v>
      </c>
      <c r="K1790" s="455">
        <f t="shared" ca="1" si="113"/>
        <v>1720560.3085932117</v>
      </c>
      <c r="L1790" s="455">
        <f t="shared" ca="1" si="114"/>
        <v>414655034.37096405</v>
      </c>
      <c r="M1790" s="471">
        <f t="shared" si="116"/>
        <v>0.05</v>
      </c>
      <c r="N1790" s="475">
        <f t="shared" si="117"/>
        <v>105527</v>
      </c>
    </row>
    <row r="1791" spans="7:14" ht="11.25" customHeight="1" x14ac:dyDescent="0.3">
      <c r="G1791" s="470"/>
      <c r="H1791" s="470">
        <v>1784</v>
      </c>
      <c r="I1791" s="455">
        <f t="shared" ca="1" si="115"/>
        <v>414655034.37096405</v>
      </c>
      <c r="J1791" s="455">
        <f t="array" ref="J1791">IFERROR(INDEX('Retirement Calculator'!K:K,MATCH('Lorri 401b'!N1791,'Retirement Calculator'!A:A,0),0),0)</f>
        <v>0</v>
      </c>
      <c r="K1791" s="455">
        <f t="shared" ca="1" si="113"/>
        <v>1727729.3098790168</v>
      </c>
      <c r="L1791" s="455">
        <f t="shared" ca="1" si="114"/>
        <v>416382763.68084306</v>
      </c>
      <c r="M1791" s="471">
        <f t="shared" si="116"/>
        <v>0.05</v>
      </c>
      <c r="N1791" s="475">
        <f t="shared" si="117"/>
        <v>105558</v>
      </c>
    </row>
    <row r="1792" spans="7:14" ht="11.25" customHeight="1" x14ac:dyDescent="0.3">
      <c r="G1792" s="470"/>
      <c r="H1792" s="470">
        <v>1785</v>
      </c>
      <c r="I1792" s="455">
        <f t="shared" ca="1" si="115"/>
        <v>416382763.68084306</v>
      </c>
      <c r="J1792" s="455">
        <f t="array" ref="J1792">IFERROR(INDEX('Retirement Calculator'!K:K,MATCH('Lorri 401b'!N1792,'Retirement Calculator'!A:A,0),0),0)</f>
        <v>0</v>
      </c>
      <c r="K1792" s="455">
        <f t="shared" ca="1" si="113"/>
        <v>1734928.1820035127</v>
      </c>
      <c r="L1792" s="455">
        <f t="shared" ca="1" si="114"/>
        <v>418117691.86284655</v>
      </c>
      <c r="M1792" s="471">
        <f t="shared" si="116"/>
        <v>0.05</v>
      </c>
      <c r="N1792" s="475">
        <f t="shared" si="117"/>
        <v>105589</v>
      </c>
    </row>
    <row r="1793" spans="7:14" ht="11.25" customHeight="1" x14ac:dyDescent="0.3">
      <c r="G1793" s="470"/>
      <c r="H1793" s="470">
        <v>1786</v>
      </c>
      <c r="I1793" s="455">
        <f t="shared" ca="1" si="115"/>
        <v>418117691.86284655</v>
      </c>
      <c r="J1793" s="455">
        <f t="array" ref="J1793">IFERROR(INDEX('Retirement Calculator'!K:K,MATCH('Lorri 401b'!N1793,'Retirement Calculator'!A:A,0),0),0)</f>
        <v>0</v>
      </c>
      <c r="K1793" s="455">
        <f t="shared" ref="K1793:K2047" ca="1" si="118">IPMT(M1793/12,1,12,-I1793+J1793,,0)</f>
        <v>1742157.0494285272</v>
      </c>
      <c r="L1793" s="455">
        <f t="shared" ref="L1793:L2047" ca="1" si="119">I1793-J1793+K1793</f>
        <v>419859848.91227508</v>
      </c>
      <c r="M1793" s="471">
        <f t="shared" si="116"/>
        <v>0.05</v>
      </c>
      <c r="N1793" s="475">
        <f t="shared" si="117"/>
        <v>105617</v>
      </c>
    </row>
    <row r="1794" spans="7:14" ht="11.25" customHeight="1" x14ac:dyDescent="0.3">
      <c r="G1794" s="470"/>
      <c r="H1794" s="470">
        <v>1787</v>
      </c>
      <c r="I1794" s="455">
        <f t="shared" ref="I1794:I2048" ca="1" si="120">L1793</f>
        <v>419859848.91227508</v>
      </c>
      <c r="J1794" s="455">
        <f t="array" ref="J1794">IFERROR(INDEX('Retirement Calculator'!K:K,MATCH('Lorri 401b'!N1794,'Retirement Calculator'!A:A,0),0),0)</f>
        <v>0</v>
      </c>
      <c r="K1794" s="455">
        <f t="shared" ca="1" si="118"/>
        <v>1749416.0371344793</v>
      </c>
      <c r="L1794" s="455">
        <f t="shared" ca="1" si="119"/>
        <v>421609264.94940954</v>
      </c>
      <c r="M1794" s="471">
        <f t="shared" ref="M1794:M2048" si="121">M1793</f>
        <v>0.05</v>
      </c>
      <c r="N1794" s="475">
        <f t="shared" ref="N1794:N2048" si="122">EDATE(N1793,1)</f>
        <v>105648</v>
      </c>
    </row>
    <row r="1795" spans="7:14" ht="11.25" customHeight="1" x14ac:dyDescent="0.3">
      <c r="G1795" s="470"/>
      <c r="H1795" s="470">
        <v>1788</v>
      </c>
      <c r="I1795" s="455">
        <f t="shared" ca="1" si="120"/>
        <v>421609264.94940954</v>
      </c>
      <c r="J1795" s="455">
        <f t="array" ref="J1795">IFERROR(INDEX('Retirement Calculator'!K:K,MATCH('Lorri 401b'!N1795,'Retirement Calculator'!A:A,0),0),0)</f>
        <v>0</v>
      </c>
      <c r="K1795" s="455">
        <f t="shared" ca="1" si="118"/>
        <v>1756705.2706225398</v>
      </c>
      <c r="L1795" s="455">
        <f t="shared" ca="1" si="119"/>
        <v>423365970.2200321</v>
      </c>
      <c r="M1795" s="471">
        <f t="shared" si="121"/>
        <v>0.05</v>
      </c>
      <c r="N1795" s="475">
        <f t="shared" si="122"/>
        <v>105678</v>
      </c>
    </row>
    <row r="1796" spans="7:14" ht="11.25" customHeight="1" x14ac:dyDescent="0.3">
      <c r="G1796" s="470"/>
      <c r="H1796" s="470">
        <v>1789</v>
      </c>
      <c r="I1796" s="455">
        <f t="shared" ca="1" si="120"/>
        <v>423365970.2200321</v>
      </c>
      <c r="J1796" s="455">
        <f t="array" ref="J1796">IFERROR(INDEX('Retirement Calculator'!K:K,MATCH('Lorri 401b'!N1796,'Retirement Calculator'!A:A,0),0),0)</f>
        <v>0</v>
      </c>
      <c r="K1796" s="455">
        <f t="shared" ca="1" si="118"/>
        <v>1764024.8759168007</v>
      </c>
      <c r="L1796" s="455">
        <f t="shared" ca="1" si="119"/>
        <v>425129995.09594887</v>
      </c>
      <c r="M1796" s="471">
        <f t="shared" si="121"/>
        <v>0.05</v>
      </c>
      <c r="N1796" s="475">
        <f t="shared" si="122"/>
        <v>105709</v>
      </c>
    </row>
    <row r="1797" spans="7:14" ht="11.25" customHeight="1" x14ac:dyDescent="0.3">
      <c r="G1797" s="470"/>
      <c r="H1797" s="470">
        <v>1790</v>
      </c>
      <c r="I1797" s="455">
        <f t="shared" ca="1" si="120"/>
        <v>425129995.09594887</v>
      </c>
      <c r="J1797" s="455">
        <f t="array" ref="J1797">IFERROR(INDEX('Retirement Calculator'!K:K,MATCH('Lorri 401b'!N1797,'Retirement Calculator'!A:A,0),0),0)</f>
        <v>0</v>
      </c>
      <c r="K1797" s="455">
        <f t="shared" ca="1" si="118"/>
        <v>1771374.9795664533</v>
      </c>
      <c r="L1797" s="455">
        <f t="shared" ca="1" si="119"/>
        <v>426901370.07551533</v>
      </c>
      <c r="M1797" s="471">
        <f t="shared" si="121"/>
        <v>0.05</v>
      </c>
      <c r="N1797" s="475">
        <f t="shared" si="122"/>
        <v>105739</v>
      </c>
    </row>
    <row r="1798" spans="7:14" ht="11.25" customHeight="1" x14ac:dyDescent="0.3">
      <c r="G1798" s="470"/>
      <c r="H1798" s="470">
        <v>1791</v>
      </c>
      <c r="I1798" s="455">
        <f t="shared" ca="1" si="120"/>
        <v>426901370.07551533</v>
      </c>
      <c r="J1798" s="455">
        <f t="array" ref="J1798">IFERROR(INDEX('Retirement Calculator'!K:K,MATCH('Lorri 401b'!N1798,'Retirement Calculator'!A:A,0),0),0)</f>
        <v>0</v>
      </c>
      <c r="K1798" s="455">
        <f t="shared" ca="1" si="118"/>
        <v>1778755.7086479806</v>
      </c>
      <c r="L1798" s="455">
        <f t="shared" ca="1" si="119"/>
        <v>428680125.7841633</v>
      </c>
      <c r="M1798" s="471">
        <f t="shared" si="121"/>
        <v>0.05</v>
      </c>
      <c r="N1798" s="475">
        <f t="shared" si="122"/>
        <v>105770</v>
      </c>
    </row>
    <row r="1799" spans="7:14" ht="11.25" customHeight="1" x14ac:dyDescent="0.3">
      <c r="G1799" s="470"/>
      <c r="H1799" s="470">
        <v>1792</v>
      </c>
      <c r="I1799" s="455">
        <f t="shared" ca="1" si="120"/>
        <v>428680125.7841633</v>
      </c>
      <c r="J1799" s="455">
        <f t="array" ref="J1799">IFERROR(INDEX('Retirement Calculator'!K:K,MATCH('Lorri 401b'!N1799,'Retirement Calculator'!A:A,0),0),0)</f>
        <v>0</v>
      </c>
      <c r="K1799" s="455">
        <f t="shared" ca="1" si="118"/>
        <v>1786167.1907673471</v>
      </c>
      <c r="L1799" s="455">
        <f t="shared" ca="1" si="119"/>
        <v>430466292.97493064</v>
      </c>
      <c r="M1799" s="471">
        <f t="shared" si="121"/>
        <v>0.05</v>
      </c>
      <c r="N1799" s="475">
        <f t="shared" si="122"/>
        <v>105801</v>
      </c>
    </row>
    <row r="1800" spans="7:14" ht="11.25" customHeight="1" x14ac:dyDescent="0.3">
      <c r="G1800" s="470"/>
      <c r="H1800" s="470">
        <v>1793</v>
      </c>
      <c r="I1800" s="455">
        <f t="shared" ca="1" si="120"/>
        <v>430466292.97493064</v>
      </c>
      <c r="J1800" s="455">
        <f t="array" ref="J1800">IFERROR(INDEX('Retirement Calculator'!K:K,MATCH('Lorri 401b'!N1800,'Retirement Calculator'!A:A,0),0),0)</f>
        <v>0</v>
      </c>
      <c r="K1800" s="455">
        <f t="shared" ca="1" si="118"/>
        <v>1793609.5540622112</v>
      </c>
      <c r="L1800" s="455">
        <f t="shared" ca="1" si="119"/>
        <v>432259902.52899283</v>
      </c>
      <c r="M1800" s="471">
        <f t="shared" si="121"/>
        <v>0.05</v>
      </c>
      <c r="N1800" s="475">
        <f t="shared" si="122"/>
        <v>105831</v>
      </c>
    </row>
    <row r="1801" spans="7:14" ht="11.25" customHeight="1" x14ac:dyDescent="0.3">
      <c r="G1801" s="470"/>
      <c r="H1801" s="470">
        <v>1794</v>
      </c>
      <c r="I1801" s="455">
        <f t="shared" ca="1" si="120"/>
        <v>432259902.52899283</v>
      </c>
      <c r="J1801" s="455">
        <f t="array" ref="J1801">IFERROR(INDEX('Retirement Calculator'!K:K,MATCH('Lorri 401b'!N1801,'Retirement Calculator'!A:A,0),0),0)</f>
        <v>0</v>
      </c>
      <c r="K1801" s="455">
        <f t="shared" ca="1" si="118"/>
        <v>1801082.9272041367</v>
      </c>
      <c r="L1801" s="455">
        <f t="shared" ca="1" si="119"/>
        <v>434060985.45619696</v>
      </c>
      <c r="M1801" s="471">
        <f t="shared" si="121"/>
        <v>0.05</v>
      </c>
      <c r="N1801" s="475">
        <f t="shared" si="122"/>
        <v>105862</v>
      </c>
    </row>
    <row r="1802" spans="7:14" ht="11.25" customHeight="1" x14ac:dyDescent="0.3">
      <c r="G1802" s="470"/>
      <c r="H1802" s="470">
        <v>1795</v>
      </c>
      <c r="I1802" s="455">
        <f t="shared" ca="1" si="120"/>
        <v>434060985.45619696</v>
      </c>
      <c r="J1802" s="455">
        <f t="array" ref="J1802">IFERROR(INDEX('Retirement Calculator'!K:K,MATCH('Lorri 401b'!N1802,'Retirement Calculator'!A:A,0),0),0)</f>
        <v>0</v>
      </c>
      <c r="K1802" s="455">
        <f t="shared" ca="1" si="118"/>
        <v>1808587.4394008208</v>
      </c>
      <c r="L1802" s="455">
        <f t="shared" ca="1" si="119"/>
        <v>435869572.89559776</v>
      </c>
      <c r="M1802" s="471">
        <f t="shared" si="121"/>
        <v>0.05</v>
      </c>
      <c r="N1802" s="475">
        <f t="shared" si="122"/>
        <v>105892</v>
      </c>
    </row>
    <row r="1803" spans="7:14" ht="11.25" customHeight="1" x14ac:dyDescent="0.3">
      <c r="G1803" s="470"/>
      <c r="H1803" s="470">
        <v>1796</v>
      </c>
      <c r="I1803" s="455">
        <f t="shared" ca="1" si="120"/>
        <v>435869572.89559776</v>
      </c>
      <c r="J1803" s="455">
        <f t="array" ref="J1803">IFERROR(INDEX('Retirement Calculator'!K:K,MATCH('Lorri 401b'!N1803,'Retirement Calculator'!A:A,0),0),0)</f>
        <v>0</v>
      </c>
      <c r="K1803" s="455">
        <f t="shared" ca="1" si="118"/>
        <v>1816123.2203983243</v>
      </c>
      <c r="L1803" s="455">
        <f t="shared" ca="1" si="119"/>
        <v>437685696.11599606</v>
      </c>
      <c r="M1803" s="471">
        <f t="shared" si="121"/>
        <v>0.05</v>
      </c>
      <c r="N1803" s="475">
        <f t="shared" si="122"/>
        <v>105923</v>
      </c>
    </row>
    <row r="1804" spans="7:14" ht="11.25" customHeight="1" x14ac:dyDescent="0.3">
      <c r="G1804" s="470"/>
      <c r="H1804" s="470">
        <v>1797</v>
      </c>
      <c r="I1804" s="455">
        <f t="shared" ca="1" si="120"/>
        <v>437685696.11599606</v>
      </c>
      <c r="J1804" s="455">
        <f t="array" ref="J1804">IFERROR(INDEX('Retirement Calculator'!K:K,MATCH('Lorri 401b'!N1804,'Retirement Calculator'!A:A,0),0),0)</f>
        <v>0</v>
      </c>
      <c r="K1804" s="455">
        <f t="shared" ca="1" si="118"/>
        <v>1823690.400483317</v>
      </c>
      <c r="L1804" s="455">
        <f t="shared" ca="1" si="119"/>
        <v>439509386.51647937</v>
      </c>
      <c r="M1804" s="471">
        <f t="shared" si="121"/>
        <v>0.05</v>
      </c>
      <c r="N1804" s="475">
        <f t="shared" si="122"/>
        <v>105954</v>
      </c>
    </row>
    <row r="1805" spans="7:14" ht="11.25" customHeight="1" x14ac:dyDescent="0.3">
      <c r="G1805" s="470"/>
      <c r="H1805" s="470">
        <v>1798</v>
      </c>
      <c r="I1805" s="455">
        <f t="shared" ca="1" si="120"/>
        <v>439509386.51647937</v>
      </c>
      <c r="J1805" s="455">
        <f t="array" ref="J1805">IFERROR(INDEX('Retirement Calculator'!K:K,MATCH('Lorri 401b'!N1805,'Retirement Calculator'!A:A,0),0),0)</f>
        <v>0</v>
      </c>
      <c r="K1805" s="455">
        <f t="shared" ca="1" si="118"/>
        <v>1831289.1104853307</v>
      </c>
      <c r="L1805" s="455">
        <f t="shared" ca="1" si="119"/>
        <v>441340675.62696469</v>
      </c>
      <c r="M1805" s="471">
        <f t="shared" si="121"/>
        <v>0.05</v>
      </c>
      <c r="N1805" s="475">
        <f t="shared" si="122"/>
        <v>105982</v>
      </c>
    </row>
    <row r="1806" spans="7:14" ht="11.25" customHeight="1" x14ac:dyDescent="0.3">
      <c r="G1806" s="470"/>
      <c r="H1806" s="470">
        <v>1799</v>
      </c>
      <c r="I1806" s="455">
        <f t="shared" ca="1" si="120"/>
        <v>441340675.62696469</v>
      </c>
      <c r="J1806" s="455">
        <f t="array" ref="J1806">IFERROR(INDEX('Retirement Calculator'!K:K,MATCH('Lorri 401b'!N1806,'Retirement Calculator'!A:A,0),0),0)</f>
        <v>0</v>
      </c>
      <c r="K1806" s="455">
        <f t="shared" ca="1" si="118"/>
        <v>1838919.4817790196</v>
      </c>
      <c r="L1806" s="455">
        <f t="shared" ca="1" si="119"/>
        <v>443179595.10874373</v>
      </c>
      <c r="M1806" s="471">
        <f t="shared" si="121"/>
        <v>0.05</v>
      </c>
      <c r="N1806" s="475">
        <f t="shared" si="122"/>
        <v>106013</v>
      </c>
    </row>
    <row r="1807" spans="7:14" ht="11.25" customHeight="1" x14ac:dyDescent="0.3">
      <c r="G1807" s="470"/>
      <c r="H1807" s="470">
        <v>1800</v>
      </c>
      <c r="I1807" s="455">
        <f t="shared" ca="1" si="120"/>
        <v>443179595.10874373</v>
      </c>
      <c r="J1807" s="455">
        <f t="array" ref="J1807">IFERROR(INDEX('Retirement Calculator'!K:K,MATCH('Lorri 401b'!N1807,'Retirement Calculator'!A:A,0),0),0)</f>
        <v>0</v>
      </c>
      <c r="K1807" s="455">
        <f t="shared" ca="1" si="118"/>
        <v>1846581.6462864322</v>
      </c>
      <c r="L1807" s="455">
        <f t="shared" ca="1" si="119"/>
        <v>445026176.75503016</v>
      </c>
      <c r="M1807" s="471">
        <f t="shared" si="121"/>
        <v>0.05</v>
      </c>
      <c r="N1807" s="475">
        <f t="shared" si="122"/>
        <v>106043</v>
      </c>
    </row>
    <row r="1808" spans="7:14" ht="11.25" customHeight="1" x14ac:dyDescent="0.3">
      <c r="G1808" s="470"/>
      <c r="H1808" s="470">
        <v>1801</v>
      </c>
      <c r="I1808" s="455">
        <f t="shared" ca="1" si="120"/>
        <v>445026176.75503016</v>
      </c>
      <c r="J1808" s="455">
        <f t="array" ref="J1808">IFERROR(INDEX('Retirement Calculator'!K:K,MATCH('Lorri 401b'!N1808,'Retirement Calculator'!A:A,0),0),0)</f>
        <v>0</v>
      </c>
      <c r="K1808" s="455">
        <f t="shared" ca="1" si="118"/>
        <v>1854275.7364792924</v>
      </c>
      <c r="L1808" s="455">
        <f t="shared" ca="1" si="119"/>
        <v>446880452.49150944</v>
      </c>
      <c r="M1808" s="471">
        <f t="shared" si="121"/>
        <v>0.05</v>
      </c>
      <c r="N1808" s="475">
        <f t="shared" si="122"/>
        <v>106074</v>
      </c>
    </row>
    <row r="1809" spans="7:14" ht="11.25" customHeight="1" x14ac:dyDescent="0.3">
      <c r="G1809" s="470"/>
      <c r="H1809" s="470">
        <v>1802</v>
      </c>
      <c r="I1809" s="455">
        <f t="shared" ca="1" si="120"/>
        <v>446880452.49150944</v>
      </c>
      <c r="J1809" s="455">
        <f t="array" ref="J1809">IFERROR(INDEX('Retirement Calculator'!K:K,MATCH('Lorri 401b'!N1809,'Retirement Calculator'!A:A,0),0),0)</f>
        <v>0</v>
      </c>
      <c r="K1809" s="455">
        <f t="shared" ca="1" si="118"/>
        <v>1862001.8853812893</v>
      </c>
      <c r="L1809" s="455">
        <f t="shared" ca="1" si="119"/>
        <v>448742454.37689072</v>
      </c>
      <c r="M1809" s="471">
        <f t="shared" si="121"/>
        <v>0.05</v>
      </c>
      <c r="N1809" s="475">
        <f t="shared" si="122"/>
        <v>106104</v>
      </c>
    </row>
    <row r="1810" spans="7:14" ht="11.25" customHeight="1" x14ac:dyDescent="0.3">
      <c r="G1810" s="470"/>
      <c r="H1810" s="470">
        <v>1803</v>
      </c>
      <c r="I1810" s="455">
        <f t="shared" ca="1" si="120"/>
        <v>448742454.37689072</v>
      </c>
      <c r="J1810" s="455">
        <f t="array" ref="J1810">IFERROR(INDEX('Retirement Calculator'!K:K,MATCH('Lorri 401b'!N1810,'Retirement Calculator'!A:A,0),0),0)</f>
        <v>0</v>
      </c>
      <c r="K1810" s="455">
        <f t="shared" ca="1" si="118"/>
        <v>1869760.2265703781</v>
      </c>
      <c r="L1810" s="455">
        <f t="shared" ca="1" si="119"/>
        <v>450612214.60346109</v>
      </c>
      <c r="M1810" s="471">
        <f t="shared" si="121"/>
        <v>0.05</v>
      </c>
      <c r="N1810" s="475">
        <f t="shared" si="122"/>
        <v>106135</v>
      </c>
    </row>
    <row r="1811" spans="7:14" ht="11.25" customHeight="1" x14ac:dyDescent="0.3">
      <c r="G1811" s="470"/>
      <c r="H1811" s="470">
        <v>1804</v>
      </c>
      <c r="I1811" s="455">
        <f t="shared" ca="1" si="120"/>
        <v>450612214.60346109</v>
      </c>
      <c r="J1811" s="455">
        <f t="array" ref="J1811">IFERROR(INDEX('Retirement Calculator'!K:K,MATCH('Lorri 401b'!N1811,'Retirement Calculator'!A:A,0),0),0)</f>
        <v>0</v>
      </c>
      <c r="K1811" s="455">
        <f t="shared" ca="1" si="118"/>
        <v>1877550.8941810878</v>
      </c>
      <c r="L1811" s="455">
        <f t="shared" ca="1" si="119"/>
        <v>452489765.49764216</v>
      </c>
      <c r="M1811" s="471">
        <f t="shared" si="121"/>
        <v>0.05</v>
      </c>
      <c r="N1811" s="475">
        <f t="shared" si="122"/>
        <v>106166</v>
      </c>
    </row>
    <row r="1812" spans="7:14" ht="11.25" customHeight="1" x14ac:dyDescent="0.3">
      <c r="G1812" s="470"/>
      <c r="H1812" s="470">
        <v>1805</v>
      </c>
      <c r="I1812" s="455">
        <f t="shared" ca="1" si="120"/>
        <v>452489765.49764216</v>
      </c>
      <c r="J1812" s="455">
        <f t="array" ref="J1812">IFERROR(INDEX('Retirement Calculator'!K:K,MATCH('Lorri 401b'!N1812,'Retirement Calculator'!A:A,0),0),0)</f>
        <v>0</v>
      </c>
      <c r="K1812" s="455">
        <f t="shared" ca="1" si="118"/>
        <v>1885374.0229068424</v>
      </c>
      <c r="L1812" s="455">
        <f t="shared" ca="1" si="119"/>
        <v>454375139.520549</v>
      </c>
      <c r="M1812" s="471">
        <f t="shared" si="121"/>
        <v>0.05</v>
      </c>
      <c r="N1812" s="475">
        <f t="shared" si="122"/>
        <v>106196</v>
      </c>
    </row>
    <row r="1813" spans="7:14" ht="11.25" customHeight="1" x14ac:dyDescent="0.3">
      <c r="G1813" s="470"/>
      <c r="H1813" s="470">
        <v>1806</v>
      </c>
      <c r="I1813" s="455">
        <f t="shared" ca="1" si="120"/>
        <v>454375139.520549</v>
      </c>
      <c r="J1813" s="455">
        <f t="array" ref="J1813">IFERROR(INDEX('Retirement Calculator'!K:K,MATCH('Lorri 401b'!N1813,'Retirement Calculator'!A:A,0),0),0)</f>
        <v>0</v>
      </c>
      <c r="K1813" s="455">
        <f t="shared" ca="1" si="118"/>
        <v>1893229.7480022877</v>
      </c>
      <c r="L1813" s="455">
        <f t="shared" ca="1" si="119"/>
        <v>456268369.26855129</v>
      </c>
      <c r="M1813" s="471">
        <f t="shared" si="121"/>
        <v>0.05</v>
      </c>
      <c r="N1813" s="475">
        <f t="shared" si="122"/>
        <v>106227</v>
      </c>
    </row>
    <row r="1814" spans="7:14" ht="11.25" customHeight="1" x14ac:dyDescent="0.3">
      <c r="G1814" s="470"/>
      <c r="H1814" s="470">
        <v>1807</v>
      </c>
      <c r="I1814" s="455">
        <f t="shared" ca="1" si="120"/>
        <v>456268369.26855129</v>
      </c>
      <c r="J1814" s="455">
        <f t="array" ref="J1814">IFERROR(INDEX('Retirement Calculator'!K:K,MATCH('Lorri 401b'!N1814,'Retirement Calculator'!A:A,0),0),0)</f>
        <v>0</v>
      </c>
      <c r="K1814" s="455">
        <f t="shared" ca="1" si="118"/>
        <v>1901118.2052856302</v>
      </c>
      <c r="L1814" s="455">
        <f t="shared" ca="1" si="119"/>
        <v>458169487.4738369</v>
      </c>
      <c r="M1814" s="471">
        <f t="shared" si="121"/>
        <v>0.05</v>
      </c>
      <c r="N1814" s="475">
        <f t="shared" si="122"/>
        <v>106257</v>
      </c>
    </row>
    <row r="1815" spans="7:14" ht="11.25" customHeight="1" x14ac:dyDescent="0.3">
      <c r="G1815" s="470"/>
      <c r="H1815" s="470">
        <v>1808</v>
      </c>
      <c r="I1815" s="455">
        <f t="shared" ca="1" si="120"/>
        <v>458169487.4738369</v>
      </c>
      <c r="J1815" s="455">
        <f t="array" ref="J1815">IFERROR(INDEX('Retirement Calculator'!K:K,MATCH('Lorri 401b'!N1815,'Retirement Calculator'!A:A,0),0),0)</f>
        <v>0</v>
      </c>
      <c r="K1815" s="455">
        <f t="shared" ca="1" si="118"/>
        <v>1909039.5311409871</v>
      </c>
      <c r="L1815" s="455">
        <f t="shared" ca="1" si="119"/>
        <v>460078527.00497788</v>
      </c>
      <c r="M1815" s="471">
        <f t="shared" si="121"/>
        <v>0.05</v>
      </c>
      <c r="N1815" s="475">
        <f t="shared" si="122"/>
        <v>106288</v>
      </c>
    </row>
    <row r="1816" spans="7:14" ht="11.25" customHeight="1" x14ac:dyDescent="0.3">
      <c r="G1816" s="470"/>
      <c r="H1816" s="470">
        <v>1809</v>
      </c>
      <c r="I1816" s="455">
        <f t="shared" ca="1" si="120"/>
        <v>460078527.00497788</v>
      </c>
      <c r="J1816" s="455">
        <f t="array" ref="J1816">IFERROR(INDEX('Retirement Calculator'!K:K,MATCH('Lorri 401b'!N1816,'Retirement Calculator'!A:A,0),0),0)</f>
        <v>0</v>
      </c>
      <c r="K1816" s="455">
        <f t="shared" ca="1" si="118"/>
        <v>1916993.8625207411</v>
      </c>
      <c r="L1816" s="455">
        <f t="shared" ca="1" si="119"/>
        <v>461995520.86749864</v>
      </c>
      <c r="M1816" s="471">
        <f t="shared" si="121"/>
        <v>0.05</v>
      </c>
      <c r="N1816" s="475">
        <f t="shared" si="122"/>
        <v>106319</v>
      </c>
    </row>
    <row r="1817" spans="7:14" ht="11.25" customHeight="1" x14ac:dyDescent="0.3">
      <c r="G1817" s="470"/>
      <c r="H1817" s="470">
        <v>1810</v>
      </c>
      <c r="I1817" s="455">
        <f t="shared" ca="1" si="120"/>
        <v>461995520.86749864</v>
      </c>
      <c r="J1817" s="455">
        <f t="array" ref="J1817">IFERROR(INDEX('Retirement Calculator'!K:K,MATCH('Lorri 401b'!N1817,'Retirement Calculator'!A:A,0),0),0)</f>
        <v>0</v>
      </c>
      <c r="K1817" s="455">
        <f t="shared" ca="1" si="118"/>
        <v>1924981.336947911</v>
      </c>
      <c r="L1817" s="455">
        <f t="shared" ca="1" si="119"/>
        <v>463920502.20444655</v>
      </c>
      <c r="M1817" s="471">
        <f t="shared" si="121"/>
        <v>0.05</v>
      </c>
      <c r="N1817" s="475">
        <f t="shared" si="122"/>
        <v>106347</v>
      </c>
    </row>
    <row r="1818" spans="7:14" ht="11.25" customHeight="1" x14ac:dyDescent="0.3">
      <c r="G1818" s="470"/>
      <c r="H1818" s="470">
        <v>1811</v>
      </c>
      <c r="I1818" s="455">
        <f t="shared" ca="1" si="120"/>
        <v>463920502.20444655</v>
      </c>
      <c r="J1818" s="455">
        <f t="array" ref="J1818">IFERROR(INDEX('Retirement Calculator'!K:K,MATCH('Lorri 401b'!N1818,'Retirement Calculator'!A:A,0),0),0)</f>
        <v>0</v>
      </c>
      <c r="K1818" s="455">
        <f t="shared" ca="1" si="118"/>
        <v>1933002.0925185273</v>
      </c>
      <c r="L1818" s="455">
        <f t="shared" ca="1" si="119"/>
        <v>465853504.29696506</v>
      </c>
      <c r="M1818" s="471">
        <f t="shared" si="121"/>
        <v>0.05</v>
      </c>
      <c r="N1818" s="475">
        <f t="shared" si="122"/>
        <v>106378</v>
      </c>
    </row>
    <row r="1819" spans="7:14" ht="11.25" customHeight="1" x14ac:dyDescent="0.3">
      <c r="G1819" s="470"/>
      <c r="H1819" s="470">
        <v>1812</v>
      </c>
      <c r="I1819" s="455">
        <f t="shared" ca="1" si="120"/>
        <v>465853504.29696506</v>
      </c>
      <c r="J1819" s="455">
        <f t="array" ref="J1819">IFERROR(INDEX('Retirement Calculator'!K:K,MATCH('Lorri 401b'!N1819,'Retirement Calculator'!A:A,0),0),0)</f>
        <v>0</v>
      </c>
      <c r="K1819" s="455">
        <f t="shared" ca="1" si="118"/>
        <v>1941056.2679040213</v>
      </c>
      <c r="L1819" s="455">
        <f t="shared" ca="1" si="119"/>
        <v>467794560.56486911</v>
      </c>
      <c r="M1819" s="471">
        <f t="shared" si="121"/>
        <v>0.05</v>
      </c>
      <c r="N1819" s="475">
        <f t="shared" si="122"/>
        <v>106408</v>
      </c>
    </row>
    <row r="1820" spans="7:14" ht="11.25" customHeight="1" x14ac:dyDescent="0.3">
      <c r="G1820" s="470"/>
      <c r="H1820" s="470">
        <v>1813</v>
      </c>
      <c r="I1820" s="455">
        <f t="shared" ca="1" si="120"/>
        <v>467794560.56486911</v>
      </c>
      <c r="J1820" s="455">
        <f t="array" ref="J1820">IFERROR(INDEX('Retirement Calculator'!K:K,MATCH('Lorri 401b'!N1820,'Retirement Calculator'!A:A,0),0),0)</f>
        <v>0</v>
      </c>
      <c r="K1820" s="455">
        <f t="shared" ca="1" si="118"/>
        <v>1949144.0023536209</v>
      </c>
      <c r="L1820" s="455">
        <f t="shared" ca="1" si="119"/>
        <v>469743704.56722271</v>
      </c>
      <c r="M1820" s="471">
        <f t="shared" si="121"/>
        <v>0.05</v>
      </c>
      <c r="N1820" s="475">
        <f t="shared" si="122"/>
        <v>106439</v>
      </c>
    </row>
    <row r="1821" spans="7:14" ht="11.25" customHeight="1" x14ac:dyDescent="0.3">
      <c r="G1821" s="470"/>
      <c r="H1821" s="470">
        <v>1814</v>
      </c>
      <c r="I1821" s="455">
        <f t="shared" ca="1" si="120"/>
        <v>469743704.56722271</v>
      </c>
      <c r="J1821" s="455">
        <f t="array" ref="J1821">IFERROR(INDEX('Retirement Calculator'!K:K,MATCH('Lorri 401b'!N1821,'Retirement Calculator'!A:A,0),0),0)</f>
        <v>0</v>
      </c>
      <c r="K1821" s="455">
        <f t="shared" ca="1" si="118"/>
        <v>1957265.4356967611</v>
      </c>
      <c r="L1821" s="455">
        <f t="shared" ca="1" si="119"/>
        <v>471700970.0029195</v>
      </c>
      <c r="M1821" s="471">
        <f t="shared" si="121"/>
        <v>0.05</v>
      </c>
      <c r="N1821" s="475">
        <f t="shared" si="122"/>
        <v>106469</v>
      </c>
    </row>
    <row r="1822" spans="7:14" ht="11.25" customHeight="1" x14ac:dyDescent="0.3">
      <c r="G1822" s="470"/>
      <c r="H1822" s="470">
        <v>1815</v>
      </c>
      <c r="I1822" s="455">
        <f t="shared" ca="1" si="120"/>
        <v>471700970.0029195</v>
      </c>
      <c r="J1822" s="455">
        <f t="array" ref="J1822">IFERROR(INDEX('Retirement Calculator'!K:K,MATCH('Lorri 401b'!N1822,'Retirement Calculator'!A:A,0),0),0)</f>
        <v>0</v>
      </c>
      <c r="K1822" s="455">
        <f t="shared" ca="1" si="118"/>
        <v>1965420.7083454982</v>
      </c>
      <c r="L1822" s="455">
        <f t="shared" ca="1" si="119"/>
        <v>473666390.71126497</v>
      </c>
      <c r="M1822" s="471">
        <f t="shared" si="121"/>
        <v>0.05</v>
      </c>
      <c r="N1822" s="475">
        <f t="shared" si="122"/>
        <v>106500</v>
      </c>
    </row>
    <row r="1823" spans="7:14" ht="11.25" customHeight="1" x14ac:dyDescent="0.3">
      <c r="G1823" s="470"/>
      <c r="H1823" s="470">
        <v>1816</v>
      </c>
      <c r="I1823" s="455">
        <f t="shared" ca="1" si="120"/>
        <v>473666390.71126497</v>
      </c>
      <c r="J1823" s="455">
        <f t="array" ref="J1823">IFERROR(INDEX('Retirement Calculator'!K:K,MATCH('Lorri 401b'!N1823,'Retirement Calculator'!A:A,0),0),0)</f>
        <v>0</v>
      </c>
      <c r="K1823" s="455">
        <f t="shared" ca="1" si="118"/>
        <v>1973609.9612969372</v>
      </c>
      <c r="L1823" s="455">
        <f t="shared" ca="1" si="119"/>
        <v>475640000.67256188</v>
      </c>
      <c r="M1823" s="471">
        <f t="shared" si="121"/>
        <v>0.05</v>
      </c>
      <c r="N1823" s="475">
        <f t="shared" si="122"/>
        <v>106531</v>
      </c>
    </row>
    <row r="1824" spans="7:14" ht="11.25" customHeight="1" x14ac:dyDescent="0.3">
      <c r="G1824" s="470"/>
      <c r="H1824" s="470">
        <v>1817</v>
      </c>
      <c r="I1824" s="455">
        <f t="shared" ca="1" si="120"/>
        <v>475640000.67256188</v>
      </c>
      <c r="J1824" s="455">
        <f t="array" ref="J1824">IFERROR(INDEX('Retirement Calculator'!K:K,MATCH('Lorri 401b'!N1824,'Retirement Calculator'!A:A,0),0),0)</f>
        <v>0</v>
      </c>
      <c r="K1824" s="455">
        <f t="shared" ca="1" si="118"/>
        <v>1981833.3361356745</v>
      </c>
      <c r="L1824" s="455">
        <f t="shared" ca="1" si="119"/>
        <v>477621834.00869757</v>
      </c>
      <c r="M1824" s="471">
        <f t="shared" si="121"/>
        <v>0.05</v>
      </c>
      <c r="N1824" s="475">
        <f t="shared" si="122"/>
        <v>106561</v>
      </c>
    </row>
    <row r="1825" spans="7:14" ht="11.25" customHeight="1" x14ac:dyDescent="0.3">
      <c r="G1825" s="470"/>
      <c r="H1825" s="470">
        <v>1818</v>
      </c>
      <c r="I1825" s="455">
        <f t="shared" ca="1" si="120"/>
        <v>477621834.00869757</v>
      </c>
      <c r="J1825" s="455">
        <f t="array" ref="J1825">IFERROR(INDEX('Retirement Calculator'!K:K,MATCH('Lorri 401b'!N1825,'Retirement Calculator'!A:A,0),0),0)</f>
        <v>0</v>
      </c>
      <c r="K1825" s="455">
        <f t="shared" ca="1" si="118"/>
        <v>1990090.9750362395</v>
      </c>
      <c r="L1825" s="455">
        <f t="shared" ca="1" si="119"/>
        <v>479611924.98373383</v>
      </c>
      <c r="M1825" s="471">
        <f t="shared" si="121"/>
        <v>0.05</v>
      </c>
      <c r="N1825" s="475">
        <f t="shared" si="122"/>
        <v>106592</v>
      </c>
    </row>
    <row r="1826" spans="7:14" ht="11.25" customHeight="1" x14ac:dyDescent="0.3">
      <c r="G1826" s="470"/>
      <c r="H1826" s="470">
        <v>1819</v>
      </c>
      <c r="I1826" s="455">
        <f t="shared" ca="1" si="120"/>
        <v>479611924.98373383</v>
      </c>
      <c r="J1826" s="455">
        <f t="array" ref="J1826">IFERROR(INDEX('Retirement Calculator'!K:K,MATCH('Lorri 401b'!N1826,'Retirement Calculator'!A:A,0),0),0)</f>
        <v>0</v>
      </c>
      <c r="K1826" s="455">
        <f t="shared" ca="1" si="118"/>
        <v>1998383.0207655577</v>
      </c>
      <c r="L1826" s="455">
        <f t="shared" ca="1" si="119"/>
        <v>481610308.00449938</v>
      </c>
      <c r="M1826" s="471">
        <f t="shared" si="121"/>
        <v>0.05</v>
      </c>
      <c r="N1826" s="475">
        <f t="shared" si="122"/>
        <v>106622</v>
      </c>
    </row>
    <row r="1827" spans="7:14" ht="11.25" customHeight="1" x14ac:dyDescent="0.3">
      <c r="G1827" s="470"/>
      <c r="H1827" s="470">
        <v>1820</v>
      </c>
      <c r="I1827" s="455">
        <f t="shared" ca="1" si="120"/>
        <v>481610308.00449938</v>
      </c>
      <c r="J1827" s="455">
        <f t="array" ref="J1827">IFERROR(INDEX('Retirement Calculator'!K:K,MATCH('Lorri 401b'!N1827,'Retirement Calculator'!A:A,0),0),0)</f>
        <v>0</v>
      </c>
      <c r="K1827" s="455">
        <f t="shared" ca="1" si="118"/>
        <v>2006709.616685414</v>
      </c>
      <c r="L1827" s="455">
        <f t="shared" ca="1" si="119"/>
        <v>483617017.62118477</v>
      </c>
      <c r="M1827" s="471">
        <f t="shared" si="121"/>
        <v>0.05</v>
      </c>
      <c r="N1827" s="475">
        <f t="shared" si="122"/>
        <v>106653</v>
      </c>
    </row>
    <row r="1828" spans="7:14" ht="11.25" customHeight="1" x14ac:dyDescent="0.3">
      <c r="G1828" s="470"/>
      <c r="H1828" s="470">
        <v>1821</v>
      </c>
      <c r="I1828" s="455">
        <f t="shared" ca="1" si="120"/>
        <v>483617017.62118477</v>
      </c>
      <c r="J1828" s="455">
        <f t="array" ref="J1828">IFERROR(INDEX('Retirement Calculator'!K:K,MATCH('Lorri 401b'!N1828,'Retirement Calculator'!A:A,0),0),0)</f>
        <v>0</v>
      </c>
      <c r="K1828" s="455">
        <f t="shared" ca="1" si="118"/>
        <v>2015070.9067549366</v>
      </c>
      <c r="L1828" s="455">
        <f t="shared" ca="1" si="119"/>
        <v>485632088.52793968</v>
      </c>
      <c r="M1828" s="471">
        <f t="shared" si="121"/>
        <v>0.05</v>
      </c>
      <c r="N1828" s="475">
        <f t="shared" si="122"/>
        <v>106684</v>
      </c>
    </row>
    <row r="1829" spans="7:14" ht="11.25" customHeight="1" x14ac:dyDescent="0.3">
      <c r="G1829" s="470"/>
      <c r="H1829" s="470">
        <v>1822</v>
      </c>
      <c r="I1829" s="455">
        <f t="shared" ca="1" si="120"/>
        <v>485632088.52793968</v>
      </c>
      <c r="J1829" s="455">
        <f t="array" ref="J1829">IFERROR(INDEX('Retirement Calculator'!K:K,MATCH('Lorri 401b'!N1829,'Retirement Calculator'!A:A,0),0),0)</f>
        <v>0</v>
      </c>
      <c r="K1829" s="455">
        <f t="shared" ca="1" si="118"/>
        <v>2023467.035533082</v>
      </c>
      <c r="L1829" s="455">
        <f t="shared" ca="1" si="119"/>
        <v>487655555.56347275</v>
      </c>
      <c r="M1829" s="471">
        <f t="shared" si="121"/>
        <v>0.05</v>
      </c>
      <c r="N1829" s="475">
        <f t="shared" si="122"/>
        <v>106713</v>
      </c>
    </row>
    <row r="1830" spans="7:14" ht="11.25" customHeight="1" x14ac:dyDescent="0.3">
      <c r="G1830" s="470"/>
      <c r="H1830" s="470">
        <v>1823</v>
      </c>
      <c r="I1830" s="455">
        <f t="shared" ca="1" si="120"/>
        <v>487655555.56347275</v>
      </c>
      <c r="J1830" s="455">
        <f t="array" ref="J1830">IFERROR(INDEX('Retirement Calculator'!K:K,MATCH('Lorri 401b'!N1830,'Retirement Calculator'!A:A,0),0),0)</f>
        <v>0</v>
      </c>
      <c r="K1830" s="455">
        <f t="shared" ca="1" si="118"/>
        <v>2031898.1481811365</v>
      </c>
      <c r="L1830" s="455">
        <f t="shared" ca="1" si="119"/>
        <v>489687453.71165389</v>
      </c>
      <c r="M1830" s="471">
        <f t="shared" si="121"/>
        <v>0.05</v>
      </c>
      <c r="N1830" s="475">
        <f t="shared" si="122"/>
        <v>106744</v>
      </c>
    </row>
    <row r="1831" spans="7:14" ht="11.25" customHeight="1" x14ac:dyDescent="0.3">
      <c r="G1831" s="470"/>
      <c r="H1831" s="470">
        <v>1824</v>
      </c>
      <c r="I1831" s="455">
        <f t="shared" ca="1" si="120"/>
        <v>489687453.71165389</v>
      </c>
      <c r="J1831" s="455">
        <f t="array" ref="J1831">IFERROR(INDEX('Retirement Calculator'!K:K,MATCH('Lorri 401b'!N1831,'Retirement Calculator'!A:A,0),0),0)</f>
        <v>0</v>
      </c>
      <c r="K1831" s="455">
        <f t="shared" ca="1" si="118"/>
        <v>2040364.3904652249</v>
      </c>
      <c r="L1831" s="455">
        <f t="shared" ca="1" si="119"/>
        <v>491727818.10211909</v>
      </c>
      <c r="M1831" s="471">
        <f t="shared" si="121"/>
        <v>0.05</v>
      </c>
      <c r="N1831" s="475">
        <f t="shared" si="122"/>
        <v>106774</v>
      </c>
    </row>
    <row r="1832" spans="7:14" ht="11.25" customHeight="1" x14ac:dyDescent="0.3">
      <c r="G1832" s="470"/>
      <c r="H1832" s="470">
        <v>1825</v>
      </c>
      <c r="I1832" s="455">
        <f t="shared" ca="1" si="120"/>
        <v>491727818.10211909</v>
      </c>
      <c r="J1832" s="455">
        <f t="array" ref="J1832">IFERROR(INDEX('Retirement Calculator'!K:K,MATCH('Lorri 401b'!N1832,'Retirement Calculator'!A:A,0),0),0)</f>
        <v>0</v>
      </c>
      <c r="K1832" s="455">
        <f t="shared" ca="1" si="118"/>
        <v>2048865.9087588296</v>
      </c>
      <c r="L1832" s="455">
        <f t="shared" ca="1" si="119"/>
        <v>493776684.01087791</v>
      </c>
      <c r="M1832" s="471">
        <f t="shared" si="121"/>
        <v>0.05</v>
      </c>
      <c r="N1832" s="475">
        <f t="shared" si="122"/>
        <v>106805</v>
      </c>
    </row>
    <row r="1833" spans="7:14" ht="11.25" customHeight="1" x14ac:dyDescent="0.3">
      <c r="G1833" s="470"/>
      <c r="H1833" s="470">
        <v>1826</v>
      </c>
      <c r="I1833" s="455">
        <f t="shared" ca="1" si="120"/>
        <v>493776684.01087791</v>
      </c>
      <c r="J1833" s="455">
        <f t="array" ref="J1833">IFERROR(INDEX('Retirement Calculator'!K:K,MATCH('Lorri 401b'!N1833,'Retirement Calculator'!A:A,0),0),0)</f>
        <v>0</v>
      </c>
      <c r="K1833" s="455">
        <f t="shared" ca="1" si="118"/>
        <v>2057402.8500453248</v>
      </c>
      <c r="L1833" s="455">
        <f t="shared" ca="1" si="119"/>
        <v>495834086.86092323</v>
      </c>
      <c r="M1833" s="471">
        <f t="shared" si="121"/>
        <v>0.05</v>
      </c>
      <c r="N1833" s="475">
        <f t="shared" si="122"/>
        <v>106835</v>
      </c>
    </row>
    <row r="1834" spans="7:14" ht="11.25" customHeight="1" x14ac:dyDescent="0.3">
      <c r="G1834" s="470"/>
      <c r="H1834" s="470">
        <v>1827</v>
      </c>
      <c r="I1834" s="455">
        <f t="shared" ca="1" si="120"/>
        <v>495834086.86092323</v>
      </c>
      <c r="J1834" s="455">
        <f t="array" ref="J1834">IFERROR(INDEX('Retirement Calculator'!K:K,MATCH('Lorri 401b'!N1834,'Retirement Calculator'!A:A,0),0),0)</f>
        <v>0</v>
      </c>
      <c r="K1834" s="455">
        <f t="shared" ca="1" si="118"/>
        <v>2065975.3619205134</v>
      </c>
      <c r="L1834" s="455">
        <f t="shared" ca="1" si="119"/>
        <v>497900062.22284377</v>
      </c>
      <c r="M1834" s="471">
        <f t="shared" si="121"/>
        <v>0.05</v>
      </c>
      <c r="N1834" s="475">
        <f t="shared" si="122"/>
        <v>106866</v>
      </c>
    </row>
    <row r="1835" spans="7:14" ht="11.25" customHeight="1" x14ac:dyDescent="0.3">
      <c r="G1835" s="470"/>
      <c r="H1835" s="470">
        <v>1828</v>
      </c>
      <c r="I1835" s="455">
        <f t="shared" ca="1" si="120"/>
        <v>497900062.22284377</v>
      </c>
      <c r="J1835" s="455">
        <f t="array" ref="J1835">IFERROR(INDEX('Retirement Calculator'!K:K,MATCH('Lorri 401b'!N1835,'Retirement Calculator'!A:A,0),0),0)</f>
        <v>0</v>
      </c>
      <c r="K1835" s="455">
        <f t="shared" ca="1" si="118"/>
        <v>2074583.5925951824</v>
      </c>
      <c r="L1835" s="455">
        <f t="shared" ca="1" si="119"/>
        <v>499974645.81543893</v>
      </c>
      <c r="M1835" s="471">
        <f t="shared" si="121"/>
        <v>0.05</v>
      </c>
      <c r="N1835" s="475">
        <f t="shared" si="122"/>
        <v>106897</v>
      </c>
    </row>
    <row r="1836" spans="7:14" ht="11.25" customHeight="1" x14ac:dyDescent="0.3">
      <c r="G1836" s="470"/>
      <c r="H1836" s="470">
        <v>1829</v>
      </c>
      <c r="I1836" s="455">
        <f t="shared" ca="1" si="120"/>
        <v>499974645.81543893</v>
      </c>
      <c r="J1836" s="455">
        <f t="array" ref="J1836">IFERROR(INDEX('Retirement Calculator'!K:K,MATCH('Lorri 401b'!N1836,'Retirement Calculator'!A:A,0),0),0)</f>
        <v>0</v>
      </c>
      <c r="K1836" s="455">
        <f t="shared" ca="1" si="118"/>
        <v>2083227.6908976622</v>
      </c>
      <c r="L1836" s="455">
        <f t="shared" ca="1" si="119"/>
        <v>502057873.50633657</v>
      </c>
      <c r="M1836" s="471">
        <f t="shared" si="121"/>
        <v>0.05</v>
      </c>
      <c r="N1836" s="475">
        <f t="shared" si="122"/>
        <v>106927</v>
      </c>
    </row>
    <row r="1837" spans="7:14" ht="11.25" customHeight="1" x14ac:dyDescent="0.3">
      <c r="G1837" s="470"/>
      <c r="H1837" s="470">
        <v>1830</v>
      </c>
      <c r="I1837" s="455">
        <f t="shared" ca="1" si="120"/>
        <v>502057873.50633657</v>
      </c>
      <c r="J1837" s="455">
        <f t="array" ref="J1837">IFERROR(INDEX('Retirement Calculator'!K:K,MATCH('Lorri 401b'!N1837,'Retirement Calculator'!A:A,0),0),0)</f>
        <v>0</v>
      </c>
      <c r="K1837" s="455">
        <f t="shared" ca="1" si="118"/>
        <v>2091907.8062764027</v>
      </c>
      <c r="L1837" s="455">
        <f t="shared" ca="1" si="119"/>
        <v>504149781.31261295</v>
      </c>
      <c r="M1837" s="471">
        <f t="shared" si="121"/>
        <v>0.05</v>
      </c>
      <c r="N1837" s="475">
        <f t="shared" si="122"/>
        <v>106958</v>
      </c>
    </row>
    <row r="1838" spans="7:14" ht="11.25" customHeight="1" x14ac:dyDescent="0.3">
      <c r="G1838" s="470"/>
      <c r="H1838" s="470">
        <v>1831</v>
      </c>
      <c r="I1838" s="455">
        <f t="shared" ca="1" si="120"/>
        <v>504149781.31261295</v>
      </c>
      <c r="J1838" s="455">
        <f t="array" ref="J1838">IFERROR(INDEX('Retirement Calculator'!K:K,MATCH('Lorri 401b'!N1838,'Retirement Calculator'!A:A,0),0),0)</f>
        <v>0</v>
      </c>
      <c r="K1838" s="455">
        <f t="shared" ca="1" si="118"/>
        <v>2100624.0888025537</v>
      </c>
      <c r="L1838" s="455">
        <f t="shared" ca="1" si="119"/>
        <v>506250405.40141553</v>
      </c>
      <c r="M1838" s="471">
        <f t="shared" si="121"/>
        <v>0.05</v>
      </c>
      <c r="N1838" s="475">
        <f t="shared" si="122"/>
        <v>106988</v>
      </c>
    </row>
    <row r="1839" spans="7:14" ht="11.25" customHeight="1" x14ac:dyDescent="0.3">
      <c r="G1839" s="470"/>
      <c r="H1839" s="470">
        <v>1832</v>
      </c>
      <c r="I1839" s="455">
        <f t="shared" ca="1" si="120"/>
        <v>506250405.40141553</v>
      </c>
      <c r="J1839" s="455">
        <f t="array" ref="J1839">IFERROR(INDEX('Retirement Calculator'!K:K,MATCH('Lorri 401b'!N1839,'Retirement Calculator'!A:A,0),0),0)</f>
        <v>0</v>
      </c>
      <c r="K1839" s="455">
        <f t="shared" ca="1" si="118"/>
        <v>2109376.6891725645</v>
      </c>
      <c r="L1839" s="455">
        <f t="shared" ca="1" si="119"/>
        <v>508359782.09058809</v>
      </c>
      <c r="M1839" s="471">
        <f t="shared" si="121"/>
        <v>0.05</v>
      </c>
      <c r="N1839" s="475">
        <f t="shared" si="122"/>
        <v>107019</v>
      </c>
    </row>
    <row r="1840" spans="7:14" ht="11.25" customHeight="1" x14ac:dyDescent="0.3">
      <c r="G1840" s="470"/>
      <c r="H1840" s="470">
        <v>1833</v>
      </c>
      <c r="I1840" s="455">
        <f t="shared" ca="1" si="120"/>
        <v>508359782.09058809</v>
      </c>
      <c r="J1840" s="455">
        <f t="array" ref="J1840">IFERROR(INDEX('Retirement Calculator'!K:K,MATCH('Lorri 401b'!N1840,'Retirement Calculator'!A:A,0),0),0)</f>
        <v>0</v>
      </c>
      <c r="K1840" s="455">
        <f t="shared" ca="1" si="118"/>
        <v>2118165.7587107839</v>
      </c>
      <c r="L1840" s="455">
        <f t="shared" ca="1" si="119"/>
        <v>510477947.84929889</v>
      </c>
      <c r="M1840" s="471">
        <f t="shared" si="121"/>
        <v>0.05</v>
      </c>
      <c r="N1840" s="475">
        <f t="shared" si="122"/>
        <v>107050</v>
      </c>
    </row>
    <row r="1841" spans="7:14" ht="11.25" customHeight="1" x14ac:dyDescent="0.3">
      <c r="G1841" s="470"/>
      <c r="H1841" s="470">
        <v>1834</v>
      </c>
      <c r="I1841" s="455">
        <f t="shared" ca="1" si="120"/>
        <v>510477947.84929889</v>
      </c>
      <c r="J1841" s="455">
        <f t="array" ref="J1841">IFERROR(INDEX('Retirement Calculator'!K:K,MATCH('Lorri 401b'!N1841,'Retirement Calculator'!A:A,0),0),0)</f>
        <v>0</v>
      </c>
      <c r="K1841" s="455">
        <f t="shared" ca="1" si="118"/>
        <v>2126991.4493720788</v>
      </c>
      <c r="L1841" s="455">
        <f t="shared" ca="1" si="119"/>
        <v>512604939.29867095</v>
      </c>
      <c r="M1841" s="471">
        <f t="shared" si="121"/>
        <v>0.05</v>
      </c>
      <c r="N1841" s="475">
        <f t="shared" si="122"/>
        <v>107078</v>
      </c>
    </row>
    <row r="1842" spans="7:14" ht="11.25" customHeight="1" x14ac:dyDescent="0.3">
      <c r="G1842" s="470"/>
      <c r="H1842" s="470">
        <v>1835</v>
      </c>
      <c r="I1842" s="455">
        <f t="shared" ca="1" si="120"/>
        <v>512604939.29867095</v>
      </c>
      <c r="J1842" s="455">
        <f t="array" ref="J1842">IFERROR(INDEX('Retirement Calculator'!K:K,MATCH('Lorri 401b'!N1842,'Retirement Calculator'!A:A,0),0),0)</f>
        <v>0</v>
      </c>
      <c r="K1842" s="455">
        <f t="shared" ca="1" si="118"/>
        <v>2135853.9137444622</v>
      </c>
      <c r="L1842" s="455">
        <f t="shared" ca="1" si="119"/>
        <v>514740793.2124154</v>
      </c>
      <c r="M1842" s="471">
        <f t="shared" si="121"/>
        <v>0.05</v>
      </c>
      <c r="N1842" s="475">
        <f t="shared" si="122"/>
        <v>107109</v>
      </c>
    </row>
    <row r="1843" spans="7:14" ht="11.25" customHeight="1" x14ac:dyDescent="0.3">
      <c r="G1843" s="470"/>
      <c r="H1843" s="470">
        <v>1836</v>
      </c>
      <c r="I1843" s="455">
        <f t="shared" ca="1" si="120"/>
        <v>514740793.2124154</v>
      </c>
      <c r="J1843" s="455">
        <f t="array" ref="J1843">IFERROR(INDEX('Retirement Calculator'!K:K,MATCH('Lorri 401b'!N1843,'Retirement Calculator'!A:A,0),0),0)</f>
        <v>0</v>
      </c>
      <c r="K1843" s="455">
        <f t="shared" ca="1" si="118"/>
        <v>2144753.3050517309</v>
      </c>
      <c r="L1843" s="455">
        <f t="shared" ca="1" si="119"/>
        <v>516885546.51746714</v>
      </c>
      <c r="M1843" s="471">
        <f t="shared" si="121"/>
        <v>0.05</v>
      </c>
      <c r="N1843" s="475">
        <f t="shared" si="122"/>
        <v>107139</v>
      </c>
    </row>
    <row r="1844" spans="7:14" ht="11.25" customHeight="1" x14ac:dyDescent="0.3">
      <c r="G1844" s="470"/>
      <c r="H1844" s="470">
        <v>1837</v>
      </c>
      <c r="I1844" s="455">
        <f t="shared" ca="1" si="120"/>
        <v>516885546.51746714</v>
      </c>
      <c r="J1844" s="455">
        <f t="array" ref="J1844">IFERROR(INDEX('Retirement Calculator'!K:K,MATCH('Lorri 401b'!N1844,'Retirement Calculator'!A:A,0),0),0)</f>
        <v>0</v>
      </c>
      <c r="K1844" s="455">
        <f t="shared" ca="1" si="118"/>
        <v>2153689.7771561132</v>
      </c>
      <c r="L1844" s="455">
        <f t="shared" ca="1" si="119"/>
        <v>519039236.29462326</v>
      </c>
      <c r="M1844" s="471">
        <f t="shared" si="121"/>
        <v>0.05</v>
      </c>
      <c r="N1844" s="475">
        <f t="shared" si="122"/>
        <v>107170</v>
      </c>
    </row>
    <row r="1845" spans="7:14" ht="11.25" customHeight="1" x14ac:dyDescent="0.3">
      <c r="G1845" s="470"/>
      <c r="H1845" s="470">
        <v>1838</v>
      </c>
      <c r="I1845" s="455">
        <f t="shared" ca="1" si="120"/>
        <v>519039236.29462326</v>
      </c>
      <c r="J1845" s="455">
        <f t="array" ref="J1845">IFERROR(INDEX('Retirement Calculator'!K:K,MATCH('Lorri 401b'!N1845,'Retirement Calculator'!A:A,0),0),0)</f>
        <v>0</v>
      </c>
      <c r="K1845" s="455">
        <f t="shared" ca="1" si="118"/>
        <v>2162663.4845609302</v>
      </c>
      <c r="L1845" s="455">
        <f t="shared" ca="1" si="119"/>
        <v>521201899.77918416</v>
      </c>
      <c r="M1845" s="471">
        <f t="shared" si="121"/>
        <v>0.05</v>
      </c>
      <c r="N1845" s="475">
        <f t="shared" si="122"/>
        <v>107200</v>
      </c>
    </row>
    <row r="1846" spans="7:14" ht="11.25" customHeight="1" x14ac:dyDescent="0.3">
      <c r="G1846" s="470"/>
      <c r="H1846" s="470">
        <v>1839</v>
      </c>
      <c r="I1846" s="455">
        <f t="shared" ca="1" si="120"/>
        <v>521201899.77918416</v>
      </c>
      <c r="J1846" s="455">
        <f t="array" ref="J1846">IFERROR(INDEX('Retirement Calculator'!K:K,MATCH('Lorri 401b'!N1846,'Retirement Calculator'!A:A,0),0),0)</f>
        <v>0</v>
      </c>
      <c r="K1846" s="455">
        <f t="shared" ca="1" si="118"/>
        <v>2171674.5824132673</v>
      </c>
      <c r="L1846" s="455">
        <f t="shared" ca="1" si="119"/>
        <v>523373574.36159742</v>
      </c>
      <c r="M1846" s="471">
        <f t="shared" si="121"/>
        <v>0.05</v>
      </c>
      <c r="N1846" s="475">
        <f t="shared" si="122"/>
        <v>107231</v>
      </c>
    </row>
    <row r="1847" spans="7:14" ht="11.25" customHeight="1" x14ac:dyDescent="0.3">
      <c r="G1847" s="470"/>
      <c r="H1847" s="470">
        <v>1840</v>
      </c>
      <c r="I1847" s="455">
        <f t="shared" ca="1" si="120"/>
        <v>523373574.36159742</v>
      </c>
      <c r="J1847" s="455">
        <f t="array" ref="J1847">IFERROR(INDEX('Retirement Calculator'!K:K,MATCH('Lorri 401b'!N1847,'Retirement Calculator'!A:A,0),0),0)</f>
        <v>0</v>
      </c>
      <c r="K1847" s="455">
        <f t="shared" ca="1" si="118"/>
        <v>2180723.2265066556</v>
      </c>
      <c r="L1847" s="455">
        <f t="shared" ca="1" si="119"/>
        <v>525554297.58810407</v>
      </c>
      <c r="M1847" s="471">
        <f t="shared" si="121"/>
        <v>0.05</v>
      </c>
      <c r="N1847" s="475">
        <f t="shared" si="122"/>
        <v>107262</v>
      </c>
    </row>
    <row r="1848" spans="7:14" ht="11.25" customHeight="1" x14ac:dyDescent="0.3">
      <c r="G1848" s="470"/>
      <c r="H1848" s="470">
        <v>1841</v>
      </c>
      <c r="I1848" s="455">
        <f t="shared" ca="1" si="120"/>
        <v>525554297.58810407</v>
      </c>
      <c r="J1848" s="455">
        <f t="array" ref="J1848">IFERROR(INDEX('Retirement Calculator'!K:K,MATCH('Lorri 401b'!N1848,'Retirement Calculator'!A:A,0),0),0)</f>
        <v>0</v>
      </c>
      <c r="K1848" s="455">
        <f t="shared" ca="1" si="118"/>
        <v>2189809.5732837669</v>
      </c>
      <c r="L1848" s="455">
        <f t="shared" ca="1" si="119"/>
        <v>527744107.16138786</v>
      </c>
      <c r="M1848" s="471">
        <f t="shared" si="121"/>
        <v>0.05</v>
      </c>
      <c r="N1848" s="475">
        <f t="shared" si="122"/>
        <v>107292</v>
      </c>
    </row>
    <row r="1849" spans="7:14" ht="11.25" customHeight="1" x14ac:dyDescent="0.3">
      <c r="G1849" s="470"/>
      <c r="H1849" s="470">
        <v>1842</v>
      </c>
      <c r="I1849" s="455">
        <f t="shared" ca="1" si="120"/>
        <v>527744107.16138786</v>
      </c>
      <c r="J1849" s="455">
        <f t="array" ref="J1849">IFERROR(INDEX('Retirement Calculator'!K:K,MATCH('Lorri 401b'!N1849,'Retirement Calculator'!A:A,0),0),0)</f>
        <v>0</v>
      </c>
      <c r="K1849" s="455">
        <f t="shared" ca="1" si="118"/>
        <v>2198933.7798391161</v>
      </c>
      <c r="L1849" s="455">
        <f t="shared" ca="1" si="119"/>
        <v>529943040.94122696</v>
      </c>
      <c r="M1849" s="471">
        <f t="shared" si="121"/>
        <v>0.05</v>
      </c>
      <c r="N1849" s="475">
        <f t="shared" si="122"/>
        <v>107323</v>
      </c>
    </row>
    <row r="1850" spans="7:14" ht="11.25" customHeight="1" x14ac:dyDescent="0.3">
      <c r="G1850" s="470"/>
      <c r="H1850" s="470">
        <v>1843</v>
      </c>
      <c r="I1850" s="455">
        <f t="shared" ca="1" si="120"/>
        <v>529943040.94122696</v>
      </c>
      <c r="J1850" s="455">
        <f t="array" ref="J1850">IFERROR(INDEX('Retirement Calculator'!K:K,MATCH('Lorri 401b'!N1850,'Retirement Calculator'!A:A,0),0),0)</f>
        <v>0</v>
      </c>
      <c r="K1850" s="455">
        <f t="shared" ca="1" si="118"/>
        <v>2208096.0039217789</v>
      </c>
      <c r="L1850" s="455">
        <f t="shared" ca="1" si="119"/>
        <v>532151136.94514877</v>
      </c>
      <c r="M1850" s="471">
        <f t="shared" si="121"/>
        <v>0.05</v>
      </c>
      <c r="N1850" s="475">
        <f t="shared" si="122"/>
        <v>107353</v>
      </c>
    </row>
    <row r="1851" spans="7:14" ht="11.25" customHeight="1" x14ac:dyDescent="0.3">
      <c r="G1851" s="470"/>
      <c r="H1851" s="470">
        <v>1844</v>
      </c>
      <c r="I1851" s="455">
        <f t="shared" ca="1" si="120"/>
        <v>532151136.94514877</v>
      </c>
      <c r="J1851" s="455">
        <f t="array" ref="J1851">IFERROR(INDEX('Retirement Calculator'!K:K,MATCH('Lorri 401b'!N1851,'Retirement Calculator'!A:A,0),0),0)</f>
        <v>0</v>
      </c>
      <c r="K1851" s="455">
        <f t="shared" ca="1" si="118"/>
        <v>2217296.4039381198</v>
      </c>
      <c r="L1851" s="455">
        <f t="shared" ca="1" si="119"/>
        <v>534368433.34908688</v>
      </c>
      <c r="M1851" s="471">
        <f t="shared" si="121"/>
        <v>0.05</v>
      </c>
      <c r="N1851" s="475">
        <f t="shared" si="122"/>
        <v>107384</v>
      </c>
    </row>
    <row r="1852" spans="7:14" ht="11.25" customHeight="1" x14ac:dyDescent="0.3">
      <c r="G1852" s="470"/>
      <c r="H1852" s="470">
        <v>1845</v>
      </c>
      <c r="I1852" s="455">
        <f t="shared" ca="1" si="120"/>
        <v>534368433.34908688</v>
      </c>
      <c r="J1852" s="455">
        <f t="array" ref="J1852">IFERROR(INDEX('Retirement Calculator'!K:K,MATCH('Lorri 401b'!N1852,'Retirement Calculator'!A:A,0),0),0)</f>
        <v>0</v>
      </c>
      <c r="K1852" s="455">
        <f t="shared" ca="1" si="118"/>
        <v>2226535.1389545286</v>
      </c>
      <c r="L1852" s="455">
        <f t="shared" ca="1" si="119"/>
        <v>536594968.4880414</v>
      </c>
      <c r="M1852" s="471">
        <f t="shared" si="121"/>
        <v>0.05</v>
      </c>
      <c r="N1852" s="475">
        <f t="shared" si="122"/>
        <v>107415</v>
      </c>
    </row>
    <row r="1853" spans="7:14" ht="11.25" customHeight="1" x14ac:dyDescent="0.3">
      <c r="G1853" s="470"/>
      <c r="H1853" s="470">
        <v>1846</v>
      </c>
      <c r="I1853" s="455">
        <f t="shared" ca="1" si="120"/>
        <v>536594968.4880414</v>
      </c>
      <c r="J1853" s="455">
        <f t="array" ref="J1853">IFERROR(INDEX('Retirement Calculator'!K:K,MATCH('Lorri 401b'!N1853,'Retirement Calculator'!A:A,0),0),0)</f>
        <v>0</v>
      </c>
      <c r="K1853" s="455">
        <f t="shared" ca="1" si="118"/>
        <v>2235812.3687001723</v>
      </c>
      <c r="L1853" s="455">
        <f t="shared" ca="1" si="119"/>
        <v>538830780.85674155</v>
      </c>
      <c r="M1853" s="471">
        <f t="shared" si="121"/>
        <v>0.05</v>
      </c>
      <c r="N1853" s="475">
        <f t="shared" si="122"/>
        <v>107443</v>
      </c>
    </row>
    <row r="1854" spans="7:14" ht="11.25" customHeight="1" x14ac:dyDescent="0.3">
      <c r="G1854" s="470"/>
      <c r="H1854" s="470">
        <v>1847</v>
      </c>
      <c r="I1854" s="455">
        <f t="shared" ca="1" si="120"/>
        <v>538830780.85674155</v>
      </c>
      <c r="J1854" s="455">
        <f t="array" ref="J1854">IFERROR(INDEX('Retirement Calculator'!K:K,MATCH('Lorri 401b'!N1854,'Retirement Calculator'!A:A,0),0),0)</f>
        <v>0</v>
      </c>
      <c r="K1854" s="455">
        <f t="shared" ca="1" si="118"/>
        <v>2245128.2535697566</v>
      </c>
      <c r="L1854" s="455">
        <f t="shared" ca="1" si="119"/>
        <v>541075909.11031127</v>
      </c>
      <c r="M1854" s="471">
        <f t="shared" si="121"/>
        <v>0.05</v>
      </c>
      <c r="N1854" s="475">
        <f t="shared" si="122"/>
        <v>107474</v>
      </c>
    </row>
    <row r="1855" spans="7:14" ht="11.25" customHeight="1" x14ac:dyDescent="0.3">
      <c r="G1855" s="470"/>
      <c r="H1855" s="470">
        <v>1848</v>
      </c>
      <c r="I1855" s="455">
        <f t="shared" ca="1" si="120"/>
        <v>541075909.11031127</v>
      </c>
      <c r="J1855" s="455">
        <f t="array" ref="J1855">IFERROR(INDEX('Retirement Calculator'!K:K,MATCH('Lorri 401b'!N1855,'Retirement Calculator'!A:A,0),0),0)</f>
        <v>0</v>
      </c>
      <c r="K1855" s="455">
        <f t="shared" ca="1" si="118"/>
        <v>2254482.9546262971</v>
      </c>
      <c r="L1855" s="455">
        <f t="shared" ca="1" si="119"/>
        <v>543330392.06493759</v>
      </c>
      <c r="M1855" s="471">
        <f t="shared" si="121"/>
        <v>0.05</v>
      </c>
      <c r="N1855" s="475">
        <f t="shared" si="122"/>
        <v>107504</v>
      </c>
    </row>
    <row r="1856" spans="7:14" ht="11.25" customHeight="1" x14ac:dyDescent="0.3">
      <c r="G1856" s="470"/>
      <c r="H1856" s="470">
        <v>1849</v>
      </c>
      <c r="I1856" s="455">
        <f t="shared" ca="1" si="120"/>
        <v>543330392.06493759</v>
      </c>
      <c r="J1856" s="455">
        <f t="array" ref="J1856">IFERROR(INDEX('Retirement Calculator'!K:K,MATCH('Lorri 401b'!N1856,'Retirement Calculator'!A:A,0),0),0)</f>
        <v>0</v>
      </c>
      <c r="K1856" s="455">
        <f t="shared" ca="1" si="118"/>
        <v>2263876.6336039067</v>
      </c>
      <c r="L1856" s="455">
        <f t="shared" ca="1" si="119"/>
        <v>545594268.69854152</v>
      </c>
      <c r="M1856" s="471">
        <f t="shared" si="121"/>
        <v>0.05</v>
      </c>
      <c r="N1856" s="475">
        <f t="shared" si="122"/>
        <v>107535</v>
      </c>
    </row>
    <row r="1857" spans="7:14" ht="11.25" customHeight="1" x14ac:dyDescent="0.3">
      <c r="G1857" s="470"/>
      <c r="H1857" s="470">
        <v>1850</v>
      </c>
      <c r="I1857" s="455">
        <f t="shared" ca="1" si="120"/>
        <v>545594268.69854152</v>
      </c>
      <c r="J1857" s="455">
        <f t="array" ref="J1857">IFERROR(INDEX('Retirement Calculator'!K:K,MATCH('Lorri 401b'!N1857,'Retirement Calculator'!A:A,0),0),0)</f>
        <v>0</v>
      </c>
      <c r="K1857" s="455">
        <f t="shared" ca="1" si="118"/>
        <v>2273309.4529105895</v>
      </c>
      <c r="L1857" s="455">
        <f t="shared" ca="1" si="119"/>
        <v>547867578.15145206</v>
      </c>
      <c r="M1857" s="471">
        <f t="shared" si="121"/>
        <v>0.05</v>
      </c>
      <c r="N1857" s="475">
        <f t="shared" si="122"/>
        <v>107565</v>
      </c>
    </row>
    <row r="1858" spans="7:14" ht="11.25" customHeight="1" x14ac:dyDescent="0.3">
      <c r="G1858" s="470"/>
      <c r="H1858" s="470">
        <v>1851</v>
      </c>
      <c r="I1858" s="455">
        <f t="shared" ca="1" si="120"/>
        <v>547867578.15145206</v>
      </c>
      <c r="J1858" s="455">
        <f t="array" ref="J1858">IFERROR(INDEX('Retirement Calculator'!K:K,MATCH('Lorri 401b'!N1858,'Retirement Calculator'!A:A,0),0),0)</f>
        <v>0</v>
      </c>
      <c r="K1858" s="455">
        <f t="shared" ca="1" si="118"/>
        <v>2282781.5756310504</v>
      </c>
      <c r="L1858" s="455">
        <f t="shared" ca="1" si="119"/>
        <v>550150359.72708309</v>
      </c>
      <c r="M1858" s="471">
        <f t="shared" si="121"/>
        <v>0.05</v>
      </c>
      <c r="N1858" s="475">
        <f t="shared" si="122"/>
        <v>107596</v>
      </c>
    </row>
    <row r="1859" spans="7:14" ht="11.25" customHeight="1" x14ac:dyDescent="0.3">
      <c r="G1859" s="470"/>
      <c r="H1859" s="470">
        <v>1852</v>
      </c>
      <c r="I1859" s="455">
        <f t="shared" ca="1" si="120"/>
        <v>550150359.72708309</v>
      </c>
      <c r="J1859" s="455">
        <f t="array" ref="J1859">IFERROR(INDEX('Retirement Calculator'!K:K,MATCH('Lorri 401b'!N1859,'Retirement Calculator'!A:A,0),0),0)</f>
        <v>0</v>
      </c>
      <c r="K1859" s="455">
        <f t="shared" ca="1" si="118"/>
        <v>2292293.1655295128</v>
      </c>
      <c r="L1859" s="455">
        <f t="shared" ca="1" si="119"/>
        <v>552442652.89261258</v>
      </c>
      <c r="M1859" s="471">
        <f t="shared" si="121"/>
        <v>0.05</v>
      </c>
      <c r="N1859" s="475">
        <f t="shared" si="122"/>
        <v>107627</v>
      </c>
    </row>
    <row r="1860" spans="7:14" ht="11.25" customHeight="1" x14ac:dyDescent="0.3">
      <c r="G1860" s="470"/>
      <c r="H1860" s="470">
        <v>1853</v>
      </c>
      <c r="I1860" s="455">
        <f t="shared" ca="1" si="120"/>
        <v>552442652.89261258</v>
      </c>
      <c r="J1860" s="455">
        <f t="array" ref="J1860">IFERROR(INDEX('Retirement Calculator'!K:K,MATCH('Lorri 401b'!N1860,'Retirement Calculator'!A:A,0),0),0)</f>
        <v>0</v>
      </c>
      <c r="K1860" s="455">
        <f t="shared" ca="1" si="118"/>
        <v>2301844.3870525523</v>
      </c>
      <c r="L1860" s="455">
        <f t="shared" ca="1" si="119"/>
        <v>554744497.27966511</v>
      </c>
      <c r="M1860" s="471">
        <f t="shared" si="121"/>
        <v>0.05</v>
      </c>
      <c r="N1860" s="475">
        <f t="shared" si="122"/>
        <v>107657</v>
      </c>
    </row>
    <row r="1861" spans="7:14" ht="11.25" customHeight="1" x14ac:dyDescent="0.3">
      <c r="G1861" s="470"/>
      <c r="H1861" s="470">
        <v>1854</v>
      </c>
      <c r="I1861" s="455">
        <f t="shared" ca="1" si="120"/>
        <v>554744497.27966511</v>
      </c>
      <c r="J1861" s="455">
        <f t="array" ref="J1861">IFERROR(INDEX('Retirement Calculator'!K:K,MATCH('Lorri 401b'!N1861,'Retirement Calculator'!A:A,0),0),0)</f>
        <v>0</v>
      </c>
      <c r="K1861" s="455">
        <f t="shared" ca="1" si="118"/>
        <v>2311435.4053319381</v>
      </c>
      <c r="L1861" s="455">
        <f t="shared" ca="1" si="119"/>
        <v>557055932.68499708</v>
      </c>
      <c r="M1861" s="471">
        <f t="shared" si="121"/>
        <v>0.05</v>
      </c>
      <c r="N1861" s="475">
        <f t="shared" si="122"/>
        <v>107688</v>
      </c>
    </row>
    <row r="1862" spans="7:14" ht="11.25" customHeight="1" x14ac:dyDescent="0.3">
      <c r="G1862" s="470"/>
      <c r="H1862" s="470">
        <v>1855</v>
      </c>
      <c r="I1862" s="455">
        <f t="shared" ca="1" si="120"/>
        <v>557055932.68499708</v>
      </c>
      <c r="J1862" s="455">
        <f t="array" ref="J1862">IFERROR(INDEX('Retirement Calculator'!K:K,MATCH('Lorri 401b'!N1862,'Retirement Calculator'!A:A,0),0),0)</f>
        <v>0</v>
      </c>
      <c r="K1862" s="455">
        <f t="shared" ca="1" si="118"/>
        <v>2321066.3861874877</v>
      </c>
      <c r="L1862" s="455">
        <f t="shared" ca="1" si="119"/>
        <v>559376999.07118452</v>
      </c>
      <c r="M1862" s="471">
        <f t="shared" si="121"/>
        <v>0.05</v>
      </c>
      <c r="N1862" s="475">
        <f t="shared" si="122"/>
        <v>107718</v>
      </c>
    </row>
    <row r="1863" spans="7:14" ht="11.25" customHeight="1" x14ac:dyDescent="0.3">
      <c r="G1863" s="470"/>
      <c r="H1863" s="470">
        <v>1856</v>
      </c>
      <c r="I1863" s="455">
        <f t="shared" ca="1" si="120"/>
        <v>559376999.07118452</v>
      </c>
      <c r="J1863" s="455">
        <f t="array" ref="J1863">IFERROR(INDEX('Retirement Calculator'!K:K,MATCH('Lorri 401b'!N1863,'Retirement Calculator'!A:A,0),0),0)</f>
        <v>0</v>
      </c>
      <c r="K1863" s="455">
        <f t="shared" ca="1" si="118"/>
        <v>2330737.4961299356</v>
      </c>
      <c r="L1863" s="455">
        <f t="shared" ca="1" si="119"/>
        <v>561707736.56731451</v>
      </c>
      <c r="M1863" s="471">
        <f t="shared" si="121"/>
        <v>0.05</v>
      </c>
      <c r="N1863" s="475">
        <f t="shared" si="122"/>
        <v>107749</v>
      </c>
    </row>
    <row r="1864" spans="7:14" ht="11.25" customHeight="1" x14ac:dyDescent="0.3">
      <c r="G1864" s="470"/>
      <c r="H1864" s="470">
        <v>1857</v>
      </c>
      <c r="I1864" s="455">
        <f t="shared" ca="1" si="120"/>
        <v>561707736.56731451</v>
      </c>
      <c r="J1864" s="455">
        <f t="array" ref="J1864">IFERROR(INDEX('Retirement Calculator'!K:K,MATCH('Lorri 401b'!N1864,'Retirement Calculator'!A:A,0),0),0)</f>
        <v>0</v>
      </c>
      <c r="K1864" s="455">
        <f t="shared" ca="1" si="118"/>
        <v>2340448.9023638102</v>
      </c>
      <c r="L1864" s="455">
        <f t="shared" ca="1" si="119"/>
        <v>564048185.46967828</v>
      </c>
      <c r="M1864" s="471">
        <f t="shared" si="121"/>
        <v>0.05</v>
      </c>
      <c r="N1864" s="475">
        <f t="shared" si="122"/>
        <v>107780</v>
      </c>
    </row>
    <row r="1865" spans="7:14" ht="11.25" customHeight="1" x14ac:dyDescent="0.3">
      <c r="G1865" s="470"/>
      <c r="H1865" s="470">
        <v>1858</v>
      </c>
      <c r="I1865" s="455">
        <f t="shared" ca="1" si="120"/>
        <v>564048185.46967828</v>
      </c>
      <c r="J1865" s="455">
        <f t="array" ref="J1865">IFERROR(INDEX('Retirement Calculator'!K:K,MATCH('Lorri 401b'!N1865,'Retirement Calculator'!A:A,0),0),0)</f>
        <v>0</v>
      </c>
      <c r="K1865" s="455">
        <f t="shared" ca="1" si="118"/>
        <v>2350200.7727903263</v>
      </c>
      <c r="L1865" s="455">
        <f t="shared" ca="1" si="119"/>
        <v>566398386.2424686</v>
      </c>
      <c r="M1865" s="471">
        <f t="shared" si="121"/>
        <v>0.05</v>
      </c>
      <c r="N1865" s="475">
        <f t="shared" si="122"/>
        <v>107808</v>
      </c>
    </row>
    <row r="1866" spans="7:14" ht="11.25" customHeight="1" x14ac:dyDescent="0.3">
      <c r="G1866" s="470"/>
      <c r="H1866" s="470">
        <v>1859</v>
      </c>
      <c r="I1866" s="455">
        <f t="shared" ca="1" si="120"/>
        <v>566398386.2424686</v>
      </c>
      <c r="J1866" s="455">
        <f t="array" ref="J1866">IFERROR(INDEX('Retirement Calculator'!K:K,MATCH('Lorri 401b'!N1866,'Retirement Calculator'!A:A,0),0),0)</f>
        <v>0</v>
      </c>
      <c r="K1866" s="455">
        <f t="shared" ca="1" si="118"/>
        <v>2359993.2760102856</v>
      </c>
      <c r="L1866" s="455">
        <f t="shared" ca="1" si="119"/>
        <v>568758379.51847887</v>
      </c>
      <c r="M1866" s="471">
        <f t="shared" si="121"/>
        <v>0.05</v>
      </c>
      <c r="N1866" s="475">
        <f t="shared" si="122"/>
        <v>107839</v>
      </c>
    </row>
    <row r="1867" spans="7:14" ht="11.25" customHeight="1" x14ac:dyDescent="0.3">
      <c r="G1867" s="470"/>
      <c r="H1867" s="470">
        <v>1860</v>
      </c>
      <c r="I1867" s="455">
        <f t="shared" ca="1" si="120"/>
        <v>568758379.51847887</v>
      </c>
      <c r="J1867" s="455">
        <f t="array" ref="J1867">IFERROR(INDEX('Retirement Calculator'!K:K,MATCH('Lorri 401b'!N1867,'Retirement Calculator'!A:A,0),0),0)</f>
        <v>0</v>
      </c>
      <c r="K1867" s="455">
        <f t="shared" ca="1" si="118"/>
        <v>2369826.581326995</v>
      </c>
      <c r="L1867" s="455">
        <f t="shared" ca="1" si="119"/>
        <v>571128206.09980583</v>
      </c>
      <c r="M1867" s="471">
        <f t="shared" si="121"/>
        <v>0.05</v>
      </c>
      <c r="N1867" s="475">
        <f t="shared" si="122"/>
        <v>107869</v>
      </c>
    </row>
    <row r="1868" spans="7:14" ht="11.25" customHeight="1" x14ac:dyDescent="0.3">
      <c r="G1868" s="470"/>
      <c r="H1868" s="470">
        <v>1861</v>
      </c>
      <c r="I1868" s="455">
        <f t="shared" ca="1" si="120"/>
        <v>571128206.09980583</v>
      </c>
      <c r="J1868" s="455">
        <f t="array" ref="J1868">IFERROR(INDEX('Retirement Calculator'!K:K,MATCH('Lorri 401b'!N1868,'Retirement Calculator'!A:A,0),0),0)</f>
        <v>0</v>
      </c>
      <c r="K1868" s="455">
        <f t="shared" ca="1" si="118"/>
        <v>2379700.8587491908</v>
      </c>
      <c r="L1868" s="455">
        <f t="shared" ca="1" si="119"/>
        <v>573507906.95855498</v>
      </c>
      <c r="M1868" s="471">
        <f t="shared" si="121"/>
        <v>0.05</v>
      </c>
      <c r="N1868" s="475">
        <f t="shared" si="122"/>
        <v>107900</v>
      </c>
    </row>
    <row r="1869" spans="7:14" ht="11.25" customHeight="1" x14ac:dyDescent="0.3">
      <c r="G1869" s="470"/>
      <c r="H1869" s="470">
        <v>1862</v>
      </c>
      <c r="I1869" s="455">
        <f t="shared" ca="1" si="120"/>
        <v>573507906.95855498</v>
      </c>
      <c r="J1869" s="455">
        <f t="array" ref="J1869">IFERROR(INDEX('Retirement Calculator'!K:K,MATCH('Lorri 401b'!N1869,'Retirement Calculator'!A:A,0),0),0)</f>
        <v>0</v>
      </c>
      <c r="K1869" s="455">
        <f t="shared" ca="1" si="118"/>
        <v>2389616.2789939791</v>
      </c>
      <c r="L1869" s="455">
        <f t="shared" ca="1" si="119"/>
        <v>575897523.23754895</v>
      </c>
      <c r="M1869" s="471">
        <f t="shared" si="121"/>
        <v>0.05</v>
      </c>
      <c r="N1869" s="475">
        <f t="shared" si="122"/>
        <v>107930</v>
      </c>
    </row>
    <row r="1870" spans="7:14" ht="11.25" customHeight="1" x14ac:dyDescent="0.3">
      <c r="G1870" s="470"/>
      <c r="H1870" s="470">
        <v>1863</v>
      </c>
      <c r="I1870" s="455">
        <f t="shared" ca="1" si="120"/>
        <v>575897523.23754895</v>
      </c>
      <c r="J1870" s="455">
        <f t="array" ref="J1870">IFERROR(INDEX('Retirement Calculator'!K:K,MATCH('Lorri 401b'!N1870,'Retirement Calculator'!A:A,0),0),0)</f>
        <v>0</v>
      </c>
      <c r="K1870" s="455">
        <f t="shared" ca="1" si="118"/>
        <v>2399573.0134897875</v>
      </c>
      <c r="L1870" s="455">
        <f t="shared" ca="1" si="119"/>
        <v>578297096.25103879</v>
      </c>
      <c r="M1870" s="471">
        <f t="shared" si="121"/>
        <v>0.05</v>
      </c>
      <c r="N1870" s="475">
        <f t="shared" si="122"/>
        <v>107961</v>
      </c>
    </row>
    <row r="1871" spans="7:14" ht="11.25" customHeight="1" x14ac:dyDescent="0.3">
      <c r="G1871" s="470"/>
      <c r="H1871" s="470">
        <v>1864</v>
      </c>
      <c r="I1871" s="455">
        <f t="shared" ca="1" si="120"/>
        <v>578297096.25103879</v>
      </c>
      <c r="J1871" s="455">
        <f t="array" ref="J1871">IFERROR(INDEX('Retirement Calculator'!K:K,MATCH('Lorri 401b'!N1871,'Retirement Calculator'!A:A,0),0),0)</f>
        <v>0</v>
      </c>
      <c r="K1871" s="455">
        <f t="shared" ca="1" si="118"/>
        <v>2409571.2343793283</v>
      </c>
      <c r="L1871" s="455">
        <f t="shared" ca="1" si="119"/>
        <v>580706667.48541808</v>
      </c>
      <c r="M1871" s="471">
        <f t="shared" si="121"/>
        <v>0.05</v>
      </c>
      <c r="N1871" s="475">
        <f t="shared" si="122"/>
        <v>107992</v>
      </c>
    </row>
    <row r="1872" spans="7:14" ht="11.25" customHeight="1" x14ac:dyDescent="0.3">
      <c r="G1872" s="470"/>
      <c r="H1872" s="470">
        <v>1865</v>
      </c>
      <c r="I1872" s="455">
        <f t="shared" ca="1" si="120"/>
        <v>580706667.48541808</v>
      </c>
      <c r="J1872" s="455">
        <f t="array" ref="J1872">IFERROR(INDEX('Retirement Calculator'!K:K,MATCH('Lorri 401b'!N1872,'Retirement Calculator'!A:A,0),0),0)</f>
        <v>0</v>
      </c>
      <c r="K1872" s="455">
        <f t="shared" ca="1" si="118"/>
        <v>2419611.1145225754</v>
      </c>
      <c r="L1872" s="455">
        <f t="shared" ca="1" si="119"/>
        <v>583126278.59994066</v>
      </c>
      <c r="M1872" s="471">
        <f t="shared" si="121"/>
        <v>0.05</v>
      </c>
      <c r="N1872" s="475">
        <f t="shared" si="122"/>
        <v>108022</v>
      </c>
    </row>
    <row r="1873" spans="7:14" ht="11.25" customHeight="1" x14ac:dyDescent="0.3">
      <c r="G1873" s="470"/>
      <c r="H1873" s="470">
        <v>1866</v>
      </c>
      <c r="I1873" s="455">
        <f t="shared" ca="1" si="120"/>
        <v>583126278.59994066</v>
      </c>
      <c r="J1873" s="455">
        <f t="array" ref="J1873">IFERROR(INDEX('Retirement Calculator'!K:K,MATCH('Lorri 401b'!N1873,'Retirement Calculator'!A:A,0),0),0)</f>
        <v>0</v>
      </c>
      <c r="K1873" s="455">
        <f t="shared" ca="1" si="118"/>
        <v>2429692.8274997529</v>
      </c>
      <c r="L1873" s="455">
        <f t="shared" ca="1" si="119"/>
        <v>585555971.4274404</v>
      </c>
      <c r="M1873" s="471">
        <f t="shared" si="121"/>
        <v>0.05</v>
      </c>
      <c r="N1873" s="475">
        <f t="shared" si="122"/>
        <v>108053</v>
      </c>
    </row>
    <row r="1874" spans="7:14" ht="11.25" customHeight="1" x14ac:dyDescent="0.3">
      <c r="G1874" s="470"/>
      <c r="H1874" s="470">
        <v>1867</v>
      </c>
      <c r="I1874" s="455">
        <f t="shared" ca="1" si="120"/>
        <v>585555971.4274404</v>
      </c>
      <c r="J1874" s="455">
        <f t="array" ref="J1874">IFERROR(INDEX('Retirement Calculator'!K:K,MATCH('Lorri 401b'!N1874,'Retirement Calculator'!A:A,0),0),0)</f>
        <v>0</v>
      </c>
      <c r="K1874" s="455">
        <f t="shared" ca="1" si="118"/>
        <v>2439816.5476143351</v>
      </c>
      <c r="L1874" s="455">
        <f t="shared" ca="1" si="119"/>
        <v>587995787.97505474</v>
      </c>
      <c r="M1874" s="471">
        <f t="shared" si="121"/>
        <v>0.05</v>
      </c>
      <c r="N1874" s="475">
        <f t="shared" si="122"/>
        <v>108083</v>
      </c>
    </row>
    <row r="1875" spans="7:14" ht="11.25" customHeight="1" x14ac:dyDescent="0.3">
      <c r="G1875" s="470"/>
      <c r="H1875" s="470">
        <v>1868</v>
      </c>
      <c r="I1875" s="455">
        <f t="shared" ca="1" si="120"/>
        <v>587995787.97505474</v>
      </c>
      <c r="J1875" s="455">
        <f t="array" ref="J1875">IFERROR(INDEX('Retirement Calculator'!K:K,MATCH('Lorri 401b'!N1875,'Retirement Calculator'!A:A,0),0),0)</f>
        <v>0</v>
      </c>
      <c r="K1875" s="455">
        <f t="shared" ca="1" si="118"/>
        <v>2449982.4498960613</v>
      </c>
      <c r="L1875" s="455">
        <f t="shared" ca="1" si="119"/>
        <v>590445770.42495084</v>
      </c>
      <c r="M1875" s="471">
        <f t="shared" si="121"/>
        <v>0.05</v>
      </c>
      <c r="N1875" s="475">
        <f t="shared" si="122"/>
        <v>108114</v>
      </c>
    </row>
    <row r="1876" spans="7:14" ht="11.25" customHeight="1" x14ac:dyDescent="0.3">
      <c r="G1876" s="470"/>
      <c r="H1876" s="470">
        <v>1869</v>
      </c>
      <c r="I1876" s="455">
        <f t="shared" ca="1" si="120"/>
        <v>590445770.42495084</v>
      </c>
      <c r="J1876" s="455">
        <f t="array" ref="J1876">IFERROR(INDEX('Retirement Calculator'!K:K,MATCH('Lorri 401b'!N1876,'Retirement Calculator'!A:A,0),0),0)</f>
        <v>0</v>
      </c>
      <c r="K1876" s="455">
        <f t="shared" ca="1" si="118"/>
        <v>2460190.7101039616</v>
      </c>
      <c r="L1876" s="455">
        <f t="shared" ca="1" si="119"/>
        <v>592905961.13505483</v>
      </c>
      <c r="M1876" s="471">
        <f t="shared" si="121"/>
        <v>0.05</v>
      </c>
      <c r="N1876" s="475">
        <f t="shared" si="122"/>
        <v>108145</v>
      </c>
    </row>
    <row r="1877" spans="7:14" ht="11.25" customHeight="1" x14ac:dyDescent="0.3">
      <c r="G1877" s="470"/>
      <c r="H1877" s="470">
        <v>1870</v>
      </c>
      <c r="I1877" s="455">
        <f t="shared" ca="1" si="120"/>
        <v>592905961.13505483</v>
      </c>
      <c r="J1877" s="455">
        <f t="array" ref="J1877">IFERROR(INDEX('Retirement Calculator'!K:K,MATCH('Lorri 401b'!N1877,'Retirement Calculator'!A:A,0),0),0)</f>
        <v>0</v>
      </c>
      <c r="K1877" s="455">
        <f t="shared" ca="1" si="118"/>
        <v>2470441.5047293953</v>
      </c>
      <c r="L1877" s="455">
        <f t="shared" ca="1" si="119"/>
        <v>595376402.63978422</v>
      </c>
      <c r="M1877" s="471">
        <f t="shared" si="121"/>
        <v>0.05</v>
      </c>
      <c r="N1877" s="475">
        <f t="shared" si="122"/>
        <v>108174</v>
      </c>
    </row>
    <row r="1878" spans="7:14" ht="11.25" customHeight="1" x14ac:dyDescent="0.3">
      <c r="G1878" s="470"/>
      <c r="H1878" s="470">
        <v>1871</v>
      </c>
      <c r="I1878" s="455">
        <f t="shared" ca="1" si="120"/>
        <v>595376402.63978422</v>
      </c>
      <c r="J1878" s="455">
        <f t="array" ref="J1878">IFERROR(INDEX('Retirement Calculator'!K:K,MATCH('Lorri 401b'!N1878,'Retirement Calculator'!A:A,0),0),0)</f>
        <v>0</v>
      </c>
      <c r="K1878" s="455">
        <f t="shared" ca="1" si="118"/>
        <v>2480735.0109991007</v>
      </c>
      <c r="L1878" s="455">
        <f t="shared" ca="1" si="119"/>
        <v>597857137.6507833</v>
      </c>
      <c r="M1878" s="471">
        <f t="shared" si="121"/>
        <v>0.05</v>
      </c>
      <c r="N1878" s="475">
        <f t="shared" si="122"/>
        <v>108205</v>
      </c>
    </row>
    <row r="1879" spans="7:14" ht="11.25" customHeight="1" x14ac:dyDescent="0.3">
      <c r="G1879" s="470"/>
      <c r="H1879" s="470">
        <v>1872</v>
      </c>
      <c r="I1879" s="455">
        <f t="shared" ca="1" si="120"/>
        <v>597857137.6507833</v>
      </c>
      <c r="J1879" s="455">
        <f t="array" ref="J1879">IFERROR(INDEX('Retirement Calculator'!K:K,MATCH('Lorri 401b'!N1879,'Retirement Calculator'!A:A,0),0),0)</f>
        <v>0</v>
      </c>
      <c r="K1879" s="455">
        <f t="shared" ca="1" si="118"/>
        <v>2491071.4068782637</v>
      </c>
      <c r="L1879" s="455">
        <f t="shared" ca="1" si="119"/>
        <v>600348209.05766153</v>
      </c>
      <c r="M1879" s="471">
        <f t="shared" si="121"/>
        <v>0.05</v>
      </c>
      <c r="N1879" s="475">
        <f t="shared" si="122"/>
        <v>108235</v>
      </c>
    </row>
    <row r="1880" spans="7:14" ht="11.25" customHeight="1" x14ac:dyDescent="0.3">
      <c r="G1880" s="470"/>
      <c r="H1880" s="470">
        <v>1873</v>
      </c>
      <c r="I1880" s="455">
        <f t="shared" ca="1" si="120"/>
        <v>600348209.05766153</v>
      </c>
      <c r="J1880" s="455">
        <f t="array" ref="J1880">IFERROR(INDEX('Retirement Calculator'!K:K,MATCH('Lorri 401b'!N1880,'Retirement Calculator'!A:A,0),0),0)</f>
        <v>0</v>
      </c>
      <c r="K1880" s="455">
        <f t="shared" ca="1" si="118"/>
        <v>2501450.8710735897</v>
      </c>
      <c r="L1880" s="455">
        <f t="shared" ca="1" si="119"/>
        <v>602849659.92873514</v>
      </c>
      <c r="M1880" s="471">
        <f t="shared" si="121"/>
        <v>0.05</v>
      </c>
      <c r="N1880" s="475">
        <f t="shared" si="122"/>
        <v>108266</v>
      </c>
    </row>
    <row r="1881" spans="7:14" ht="11.25" customHeight="1" x14ac:dyDescent="0.3">
      <c r="G1881" s="470"/>
      <c r="H1881" s="470">
        <v>1874</v>
      </c>
      <c r="I1881" s="455">
        <f t="shared" ca="1" si="120"/>
        <v>602849659.92873514</v>
      </c>
      <c r="J1881" s="455">
        <f t="array" ref="J1881">IFERROR(INDEX('Retirement Calculator'!K:K,MATCH('Lorri 401b'!N1881,'Retirement Calculator'!A:A,0),0),0)</f>
        <v>0</v>
      </c>
      <c r="K1881" s="455">
        <f t="shared" ca="1" si="118"/>
        <v>2511873.5830363962</v>
      </c>
      <c r="L1881" s="455">
        <f t="shared" ca="1" si="119"/>
        <v>605361533.51177156</v>
      </c>
      <c r="M1881" s="471">
        <f t="shared" si="121"/>
        <v>0.05</v>
      </c>
      <c r="N1881" s="475">
        <f t="shared" si="122"/>
        <v>108296</v>
      </c>
    </row>
    <row r="1882" spans="7:14" ht="11.25" customHeight="1" x14ac:dyDescent="0.3">
      <c r="G1882" s="470"/>
      <c r="H1882" s="470">
        <v>1875</v>
      </c>
      <c r="I1882" s="455">
        <f t="shared" ca="1" si="120"/>
        <v>605361533.51177156</v>
      </c>
      <c r="J1882" s="455">
        <f t="array" ref="J1882">IFERROR(INDEX('Retirement Calculator'!K:K,MATCH('Lorri 401b'!N1882,'Retirement Calculator'!A:A,0),0),0)</f>
        <v>0</v>
      </c>
      <c r="K1882" s="455">
        <f t="shared" ca="1" si="118"/>
        <v>2522339.722965715</v>
      </c>
      <c r="L1882" s="455">
        <f t="shared" ca="1" si="119"/>
        <v>607883873.23473728</v>
      </c>
      <c r="M1882" s="471">
        <f t="shared" si="121"/>
        <v>0.05</v>
      </c>
      <c r="N1882" s="475">
        <f t="shared" si="122"/>
        <v>108327</v>
      </c>
    </row>
    <row r="1883" spans="7:14" ht="11.25" customHeight="1" x14ac:dyDescent="0.3">
      <c r="G1883" s="470"/>
      <c r="H1883" s="470">
        <v>1876</v>
      </c>
      <c r="I1883" s="455">
        <f t="shared" ca="1" si="120"/>
        <v>607883873.23473728</v>
      </c>
      <c r="J1883" s="455">
        <f t="array" ref="J1883">IFERROR(INDEX('Retirement Calculator'!K:K,MATCH('Lorri 401b'!N1883,'Retirement Calculator'!A:A,0),0),0)</f>
        <v>0</v>
      </c>
      <c r="K1883" s="455">
        <f t="shared" ca="1" si="118"/>
        <v>2532849.4718114054</v>
      </c>
      <c r="L1883" s="455">
        <f t="shared" ca="1" si="119"/>
        <v>610416722.70654869</v>
      </c>
      <c r="M1883" s="471">
        <f t="shared" si="121"/>
        <v>0.05</v>
      </c>
      <c r="N1883" s="475">
        <f t="shared" si="122"/>
        <v>108358</v>
      </c>
    </row>
    <row r="1884" spans="7:14" ht="11.25" customHeight="1" x14ac:dyDescent="0.3">
      <c r="G1884" s="470"/>
      <c r="H1884" s="470">
        <v>1877</v>
      </c>
      <c r="I1884" s="455">
        <f t="shared" ca="1" si="120"/>
        <v>610416722.70654869</v>
      </c>
      <c r="J1884" s="455">
        <f t="array" ref="J1884">IFERROR(INDEX('Retirement Calculator'!K:K,MATCH('Lorri 401b'!N1884,'Retirement Calculator'!A:A,0),0),0)</f>
        <v>0</v>
      </c>
      <c r="K1884" s="455">
        <f t="shared" ca="1" si="118"/>
        <v>2543403.0112772863</v>
      </c>
      <c r="L1884" s="455">
        <f t="shared" ca="1" si="119"/>
        <v>612960125.71782601</v>
      </c>
      <c r="M1884" s="471">
        <f t="shared" si="121"/>
        <v>0.05</v>
      </c>
      <c r="N1884" s="475">
        <f t="shared" si="122"/>
        <v>108388</v>
      </c>
    </row>
    <row r="1885" spans="7:14" ht="11.25" customHeight="1" x14ac:dyDescent="0.3">
      <c r="G1885" s="470"/>
      <c r="H1885" s="470">
        <v>1878</v>
      </c>
      <c r="I1885" s="455">
        <f t="shared" ca="1" si="120"/>
        <v>612960125.71782601</v>
      </c>
      <c r="J1885" s="455">
        <f t="array" ref="J1885">IFERROR(INDEX('Retirement Calculator'!K:K,MATCH('Lorri 401b'!N1885,'Retirement Calculator'!A:A,0),0),0)</f>
        <v>0</v>
      </c>
      <c r="K1885" s="455">
        <f t="shared" ca="1" si="118"/>
        <v>2554000.523824275</v>
      </c>
      <c r="L1885" s="455">
        <f t="shared" ca="1" si="119"/>
        <v>615514126.24165034</v>
      </c>
      <c r="M1885" s="471">
        <f t="shared" si="121"/>
        <v>0.05</v>
      </c>
      <c r="N1885" s="475">
        <f t="shared" si="122"/>
        <v>108419</v>
      </c>
    </row>
    <row r="1886" spans="7:14" ht="11.25" customHeight="1" x14ac:dyDescent="0.3">
      <c r="G1886" s="470"/>
      <c r="H1886" s="470">
        <v>1879</v>
      </c>
      <c r="I1886" s="455">
        <f t="shared" ca="1" si="120"/>
        <v>615514126.24165034</v>
      </c>
      <c r="J1886" s="455">
        <f t="array" ref="J1886">IFERROR(INDEX('Retirement Calculator'!K:K,MATCH('Lorri 401b'!N1886,'Retirement Calculator'!A:A,0),0),0)</f>
        <v>0</v>
      </c>
      <c r="K1886" s="455">
        <f t="shared" ca="1" si="118"/>
        <v>2564642.192673543</v>
      </c>
      <c r="L1886" s="455">
        <f t="shared" ca="1" si="119"/>
        <v>618078768.43432391</v>
      </c>
      <c r="M1886" s="471">
        <f t="shared" si="121"/>
        <v>0.05</v>
      </c>
      <c r="N1886" s="475">
        <f t="shared" si="122"/>
        <v>108449</v>
      </c>
    </row>
    <row r="1887" spans="7:14" ht="11.25" customHeight="1" x14ac:dyDescent="0.3">
      <c r="G1887" s="470"/>
      <c r="H1887" s="470">
        <v>1880</v>
      </c>
      <c r="I1887" s="455">
        <f t="shared" ca="1" si="120"/>
        <v>618078768.43432391</v>
      </c>
      <c r="J1887" s="455">
        <f t="array" ref="J1887">IFERROR(INDEX('Retirement Calculator'!K:K,MATCH('Lorri 401b'!N1887,'Retirement Calculator'!A:A,0),0),0)</f>
        <v>0</v>
      </c>
      <c r="K1887" s="455">
        <f t="shared" ca="1" si="118"/>
        <v>2575328.2018096829</v>
      </c>
      <c r="L1887" s="455">
        <f t="shared" ca="1" si="119"/>
        <v>620654096.63613355</v>
      </c>
      <c r="M1887" s="471">
        <f t="shared" si="121"/>
        <v>0.05</v>
      </c>
      <c r="N1887" s="475">
        <f t="shared" si="122"/>
        <v>108480</v>
      </c>
    </row>
    <row r="1888" spans="7:14" ht="11.25" customHeight="1" x14ac:dyDescent="0.3">
      <c r="G1888" s="470"/>
      <c r="H1888" s="470">
        <v>1881</v>
      </c>
      <c r="I1888" s="455">
        <f t="shared" ca="1" si="120"/>
        <v>620654096.63613355</v>
      </c>
      <c r="J1888" s="455">
        <f t="array" ref="J1888">IFERROR(INDEX('Retirement Calculator'!K:K,MATCH('Lorri 401b'!N1888,'Retirement Calculator'!A:A,0),0),0)</f>
        <v>0</v>
      </c>
      <c r="K1888" s="455">
        <f t="shared" ca="1" si="118"/>
        <v>2586058.7359838895</v>
      </c>
      <c r="L1888" s="455">
        <f t="shared" ca="1" si="119"/>
        <v>623240155.3721174</v>
      </c>
      <c r="M1888" s="471">
        <f t="shared" si="121"/>
        <v>0.05</v>
      </c>
      <c r="N1888" s="475">
        <f t="shared" si="122"/>
        <v>108511</v>
      </c>
    </row>
    <row r="1889" spans="7:14" ht="11.25" customHeight="1" x14ac:dyDescent="0.3">
      <c r="G1889" s="470"/>
      <c r="H1889" s="470">
        <v>1882</v>
      </c>
      <c r="I1889" s="455">
        <f t="shared" ca="1" si="120"/>
        <v>623240155.3721174</v>
      </c>
      <c r="J1889" s="455">
        <f t="array" ref="J1889">IFERROR(INDEX('Retirement Calculator'!K:K,MATCH('Lorri 401b'!N1889,'Retirement Calculator'!A:A,0),0),0)</f>
        <v>0</v>
      </c>
      <c r="K1889" s="455">
        <f t="shared" ca="1" si="118"/>
        <v>2596833.9807171556</v>
      </c>
      <c r="L1889" s="455">
        <f t="shared" ca="1" si="119"/>
        <v>625836989.35283458</v>
      </c>
      <c r="M1889" s="471">
        <f t="shared" si="121"/>
        <v>0.05</v>
      </c>
      <c r="N1889" s="475">
        <f t="shared" si="122"/>
        <v>108539</v>
      </c>
    </row>
    <row r="1890" spans="7:14" ht="11.25" customHeight="1" x14ac:dyDescent="0.3">
      <c r="G1890" s="470"/>
      <c r="H1890" s="470">
        <v>1883</v>
      </c>
      <c r="I1890" s="455">
        <f t="shared" ca="1" si="120"/>
        <v>625836989.35283458</v>
      </c>
      <c r="J1890" s="455">
        <f t="array" ref="J1890">IFERROR(INDEX('Retirement Calculator'!K:K,MATCH('Lorri 401b'!N1890,'Retirement Calculator'!A:A,0),0),0)</f>
        <v>0</v>
      </c>
      <c r="K1890" s="455">
        <f t="shared" ca="1" si="118"/>
        <v>2607654.1223034775</v>
      </c>
      <c r="L1890" s="455">
        <f t="shared" ca="1" si="119"/>
        <v>628444643.47513807</v>
      </c>
      <c r="M1890" s="471">
        <f t="shared" si="121"/>
        <v>0.05</v>
      </c>
      <c r="N1890" s="475">
        <f t="shared" si="122"/>
        <v>108570</v>
      </c>
    </row>
    <row r="1891" spans="7:14" ht="11.25" customHeight="1" x14ac:dyDescent="0.3">
      <c r="G1891" s="470"/>
      <c r="H1891" s="470">
        <v>1884</v>
      </c>
      <c r="I1891" s="455">
        <f t="shared" ca="1" si="120"/>
        <v>628444643.47513807</v>
      </c>
      <c r="J1891" s="455">
        <f t="array" ref="J1891">IFERROR(INDEX('Retirement Calculator'!K:K,MATCH('Lorri 401b'!N1891,'Retirement Calculator'!A:A,0),0),0)</f>
        <v>0</v>
      </c>
      <c r="K1891" s="455">
        <f t="shared" ca="1" si="118"/>
        <v>2618519.3478130754</v>
      </c>
      <c r="L1891" s="455">
        <f t="shared" ca="1" si="119"/>
        <v>631063162.8229512</v>
      </c>
      <c r="M1891" s="471">
        <f t="shared" si="121"/>
        <v>0.05</v>
      </c>
      <c r="N1891" s="475">
        <f t="shared" si="122"/>
        <v>108600</v>
      </c>
    </row>
    <row r="1892" spans="7:14" ht="11.25" customHeight="1" x14ac:dyDescent="0.3">
      <c r="G1892" s="470"/>
      <c r="H1892" s="470">
        <v>1885</v>
      </c>
      <c r="I1892" s="455">
        <f t="shared" ca="1" si="120"/>
        <v>631063162.8229512</v>
      </c>
      <c r="J1892" s="455">
        <f t="array" ref="J1892">IFERROR(INDEX('Retirement Calculator'!K:K,MATCH('Lorri 401b'!N1892,'Retirement Calculator'!A:A,0),0),0)</f>
        <v>0</v>
      </c>
      <c r="K1892" s="455">
        <f t="shared" ca="1" si="118"/>
        <v>2629429.8450956298</v>
      </c>
      <c r="L1892" s="455">
        <f t="shared" ca="1" si="119"/>
        <v>633692592.66804683</v>
      </c>
      <c r="M1892" s="471">
        <f t="shared" si="121"/>
        <v>0.05</v>
      </c>
      <c r="N1892" s="475">
        <f t="shared" si="122"/>
        <v>108631</v>
      </c>
    </row>
    <row r="1893" spans="7:14" ht="11.25" customHeight="1" x14ac:dyDescent="0.3">
      <c r="G1893" s="470"/>
      <c r="H1893" s="470">
        <v>1886</v>
      </c>
      <c r="I1893" s="455">
        <f t="shared" ca="1" si="120"/>
        <v>633692592.66804683</v>
      </c>
      <c r="J1893" s="455">
        <f t="array" ref="J1893">IFERROR(INDEX('Retirement Calculator'!K:K,MATCH('Lorri 401b'!N1893,'Retirement Calculator'!A:A,0),0),0)</f>
        <v>0</v>
      </c>
      <c r="K1893" s="455">
        <f t="shared" ca="1" si="118"/>
        <v>2640385.8027835283</v>
      </c>
      <c r="L1893" s="455">
        <f t="shared" ca="1" si="119"/>
        <v>636332978.47083032</v>
      </c>
      <c r="M1893" s="471">
        <f t="shared" si="121"/>
        <v>0.05</v>
      </c>
      <c r="N1893" s="475">
        <f t="shared" si="122"/>
        <v>108661</v>
      </c>
    </row>
    <row r="1894" spans="7:14" ht="11.25" customHeight="1" x14ac:dyDescent="0.3">
      <c r="G1894" s="470"/>
      <c r="H1894" s="470">
        <v>1887</v>
      </c>
      <c r="I1894" s="455">
        <f t="shared" ca="1" si="120"/>
        <v>636332978.47083032</v>
      </c>
      <c r="J1894" s="455">
        <f t="array" ref="J1894">IFERROR(INDEX('Retirement Calculator'!K:K,MATCH('Lorri 401b'!N1894,'Retirement Calculator'!A:A,0),0),0)</f>
        <v>0</v>
      </c>
      <c r="K1894" s="455">
        <f t="shared" ca="1" si="118"/>
        <v>2651387.4102951265</v>
      </c>
      <c r="L1894" s="455">
        <f t="shared" ca="1" si="119"/>
        <v>638984365.88112545</v>
      </c>
      <c r="M1894" s="471">
        <f t="shared" si="121"/>
        <v>0.05</v>
      </c>
      <c r="N1894" s="475">
        <f t="shared" si="122"/>
        <v>108692</v>
      </c>
    </row>
    <row r="1895" spans="7:14" ht="11.25" customHeight="1" x14ac:dyDescent="0.3">
      <c r="G1895" s="470"/>
      <c r="H1895" s="470">
        <v>1888</v>
      </c>
      <c r="I1895" s="455">
        <f t="shared" ca="1" si="120"/>
        <v>638984365.88112545</v>
      </c>
      <c r="J1895" s="455">
        <f t="array" ref="J1895">IFERROR(INDEX('Retirement Calculator'!K:K,MATCH('Lorri 401b'!N1895,'Retirement Calculator'!A:A,0),0),0)</f>
        <v>0</v>
      </c>
      <c r="K1895" s="455">
        <f t="shared" ca="1" si="118"/>
        <v>2662434.8578380225</v>
      </c>
      <c r="L1895" s="455">
        <f t="shared" ca="1" si="119"/>
        <v>641646800.73896348</v>
      </c>
      <c r="M1895" s="471">
        <f t="shared" si="121"/>
        <v>0.05</v>
      </c>
      <c r="N1895" s="475">
        <f t="shared" si="122"/>
        <v>108723</v>
      </c>
    </row>
    <row r="1896" spans="7:14" ht="11.25" customHeight="1" x14ac:dyDescent="0.3">
      <c r="G1896" s="470"/>
      <c r="H1896" s="470">
        <v>1889</v>
      </c>
      <c r="I1896" s="455">
        <f t="shared" ca="1" si="120"/>
        <v>641646800.73896348</v>
      </c>
      <c r="J1896" s="455">
        <f t="array" ref="J1896">IFERROR(INDEX('Retirement Calculator'!K:K,MATCH('Lorri 401b'!N1896,'Retirement Calculator'!A:A,0),0),0)</f>
        <v>0</v>
      </c>
      <c r="K1896" s="455">
        <f t="shared" ca="1" si="118"/>
        <v>2673528.3364123479</v>
      </c>
      <c r="L1896" s="455">
        <f t="shared" ca="1" si="119"/>
        <v>644320329.0753758</v>
      </c>
      <c r="M1896" s="471">
        <f t="shared" si="121"/>
        <v>0.05</v>
      </c>
      <c r="N1896" s="475">
        <f t="shared" si="122"/>
        <v>108753</v>
      </c>
    </row>
    <row r="1897" spans="7:14" ht="11.25" customHeight="1" x14ac:dyDescent="0.3">
      <c r="G1897" s="470"/>
      <c r="H1897" s="470">
        <v>1890</v>
      </c>
      <c r="I1897" s="455">
        <f t="shared" ca="1" si="120"/>
        <v>644320329.0753758</v>
      </c>
      <c r="J1897" s="455">
        <f t="array" ref="J1897">IFERROR(INDEX('Retirement Calculator'!K:K,MATCH('Lorri 401b'!N1897,'Retirement Calculator'!A:A,0),0),0)</f>
        <v>0</v>
      </c>
      <c r="K1897" s="455">
        <f t="shared" ca="1" si="118"/>
        <v>2684668.0378140658</v>
      </c>
      <c r="L1897" s="455">
        <f t="shared" ca="1" si="119"/>
        <v>647004997.11318982</v>
      </c>
      <c r="M1897" s="471">
        <f t="shared" si="121"/>
        <v>0.05</v>
      </c>
      <c r="N1897" s="475">
        <f t="shared" si="122"/>
        <v>108784</v>
      </c>
    </row>
    <row r="1898" spans="7:14" ht="11.25" customHeight="1" x14ac:dyDescent="0.3">
      <c r="G1898" s="470"/>
      <c r="H1898" s="470">
        <v>1891</v>
      </c>
      <c r="I1898" s="455">
        <f t="shared" ca="1" si="120"/>
        <v>647004997.11318982</v>
      </c>
      <c r="J1898" s="455">
        <f t="array" ref="J1898">IFERROR(INDEX('Retirement Calculator'!K:K,MATCH('Lorri 401b'!N1898,'Retirement Calculator'!A:A,0),0),0)</f>
        <v>0</v>
      </c>
      <c r="K1898" s="455">
        <f t="shared" ca="1" si="118"/>
        <v>2695854.1546382909</v>
      </c>
      <c r="L1898" s="455">
        <f t="shared" ca="1" si="119"/>
        <v>649700851.26782811</v>
      </c>
      <c r="M1898" s="471">
        <f t="shared" si="121"/>
        <v>0.05</v>
      </c>
      <c r="N1898" s="475">
        <f t="shared" si="122"/>
        <v>108814</v>
      </c>
    </row>
    <row r="1899" spans="7:14" ht="11.25" customHeight="1" x14ac:dyDescent="0.3">
      <c r="G1899" s="470"/>
      <c r="H1899" s="470">
        <v>1892</v>
      </c>
      <c r="I1899" s="455">
        <f t="shared" ca="1" si="120"/>
        <v>649700851.26782811</v>
      </c>
      <c r="J1899" s="455">
        <f t="array" ref="J1899">IFERROR(INDEX('Retirement Calculator'!K:K,MATCH('Lorri 401b'!N1899,'Retirement Calculator'!A:A,0),0),0)</f>
        <v>0</v>
      </c>
      <c r="K1899" s="455">
        <f t="shared" ca="1" si="118"/>
        <v>2707086.8802826172</v>
      </c>
      <c r="L1899" s="455">
        <f t="shared" ca="1" si="119"/>
        <v>652407938.14811075</v>
      </c>
      <c r="M1899" s="471">
        <f t="shared" si="121"/>
        <v>0.05</v>
      </c>
      <c r="N1899" s="475">
        <f t="shared" si="122"/>
        <v>108845</v>
      </c>
    </row>
    <row r="1900" spans="7:14" ht="11.25" customHeight="1" x14ac:dyDescent="0.3">
      <c r="G1900" s="470"/>
      <c r="H1900" s="470">
        <v>1893</v>
      </c>
      <c r="I1900" s="455">
        <f t="shared" ca="1" si="120"/>
        <v>652407938.14811075</v>
      </c>
      <c r="J1900" s="455">
        <f t="array" ref="J1900">IFERROR(INDEX('Retirement Calculator'!K:K,MATCH('Lorri 401b'!N1900,'Retirement Calculator'!A:A,0),0),0)</f>
        <v>0</v>
      </c>
      <c r="K1900" s="455">
        <f t="shared" ca="1" si="118"/>
        <v>2718366.4089504615</v>
      </c>
      <c r="L1900" s="455">
        <f t="shared" ca="1" si="119"/>
        <v>655126304.5570612</v>
      </c>
      <c r="M1900" s="471">
        <f t="shared" si="121"/>
        <v>0.05</v>
      </c>
      <c r="N1900" s="475">
        <f t="shared" si="122"/>
        <v>108876</v>
      </c>
    </row>
    <row r="1901" spans="7:14" ht="11.25" customHeight="1" x14ac:dyDescent="0.3">
      <c r="G1901" s="470"/>
      <c r="H1901" s="470">
        <v>1894</v>
      </c>
      <c r="I1901" s="455">
        <f t="shared" ca="1" si="120"/>
        <v>655126304.5570612</v>
      </c>
      <c r="J1901" s="455">
        <f t="array" ref="J1901">IFERROR(INDEX('Retirement Calculator'!K:K,MATCH('Lorri 401b'!N1901,'Retirement Calculator'!A:A,0),0),0)</f>
        <v>0</v>
      </c>
      <c r="K1901" s="455">
        <f t="shared" ca="1" si="118"/>
        <v>2729692.9356544218</v>
      </c>
      <c r="L1901" s="455">
        <f t="shared" ca="1" si="119"/>
        <v>657855997.4927156</v>
      </c>
      <c r="M1901" s="471">
        <f t="shared" si="121"/>
        <v>0.05</v>
      </c>
      <c r="N1901" s="475">
        <f t="shared" si="122"/>
        <v>108904</v>
      </c>
    </row>
    <row r="1902" spans="7:14" ht="11.25" customHeight="1" x14ac:dyDescent="0.3">
      <c r="G1902" s="470"/>
      <c r="H1902" s="470">
        <v>1895</v>
      </c>
      <c r="I1902" s="455">
        <f t="shared" ca="1" si="120"/>
        <v>657855997.4927156</v>
      </c>
      <c r="J1902" s="455">
        <f t="array" ref="J1902">IFERROR(INDEX('Retirement Calculator'!K:K,MATCH('Lorri 401b'!N1902,'Retirement Calculator'!A:A,0),0),0)</f>
        <v>0</v>
      </c>
      <c r="K1902" s="455">
        <f t="shared" ca="1" si="118"/>
        <v>2741066.6562196482</v>
      </c>
      <c r="L1902" s="455">
        <f t="shared" ca="1" si="119"/>
        <v>660597064.1489352</v>
      </c>
      <c r="M1902" s="471">
        <f t="shared" si="121"/>
        <v>0.05</v>
      </c>
      <c r="N1902" s="475">
        <f t="shared" si="122"/>
        <v>108935</v>
      </c>
    </row>
    <row r="1903" spans="7:14" ht="11.25" customHeight="1" x14ac:dyDescent="0.3">
      <c r="G1903" s="470"/>
      <c r="H1903" s="470">
        <v>1896</v>
      </c>
      <c r="I1903" s="455">
        <f t="shared" ca="1" si="120"/>
        <v>660597064.1489352</v>
      </c>
      <c r="J1903" s="455">
        <f t="array" ref="J1903">IFERROR(INDEX('Retirement Calculator'!K:K,MATCH('Lorri 401b'!N1903,'Retirement Calculator'!A:A,0),0),0)</f>
        <v>0</v>
      </c>
      <c r="K1903" s="455">
        <f t="shared" ca="1" si="118"/>
        <v>2752487.7672872301</v>
      </c>
      <c r="L1903" s="455">
        <f t="shared" ca="1" si="119"/>
        <v>663349551.91622245</v>
      </c>
      <c r="M1903" s="471">
        <f t="shared" si="121"/>
        <v>0.05</v>
      </c>
      <c r="N1903" s="475">
        <f t="shared" si="122"/>
        <v>108965</v>
      </c>
    </row>
    <row r="1904" spans="7:14" ht="11.25" customHeight="1" x14ac:dyDescent="0.3">
      <c r="G1904" s="470"/>
      <c r="H1904" s="470">
        <v>1897</v>
      </c>
      <c r="I1904" s="455">
        <f t="shared" ca="1" si="120"/>
        <v>663349551.91622245</v>
      </c>
      <c r="J1904" s="455">
        <f t="array" ref="J1904">IFERROR(INDEX('Retirement Calculator'!K:K,MATCH('Lorri 401b'!N1904,'Retirement Calculator'!A:A,0),0),0)</f>
        <v>0</v>
      </c>
      <c r="K1904" s="455">
        <f t="shared" ca="1" si="118"/>
        <v>2763956.4663175936</v>
      </c>
      <c r="L1904" s="455">
        <f t="shared" ca="1" si="119"/>
        <v>666113508.38253999</v>
      </c>
      <c r="M1904" s="471">
        <f t="shared" si="121"/>
        <v>0.05</v>
      </c>
      <c r="N1904" s="475">
        <f t="shared" si="122"/>
        <v>108996</v>
      </c>
    </row>
    <row r="1905" spans="7:14" ht="11.25" customHeight="1" x14ac:dyDescent="0.3">
      <c r="G1905" s="470"/>
      <c r="H1905" s="470">
        <v>1898</v>
      </c>
      <c r="I1905" s="455">
        <f t="shared" ca="1" si="120"/>
        <v>666113508.38253999</v>
      </c>
      <c r="J1905" s="455">
        <f t="array" ref="J1905">IFERROR(INDEX('Retirement Calculator'!K:K,MATCH('Lorri 401b'!N1905,'Retirement Calculator'!A:A,0),0),0)</f>
        <v>0</v>
      </c>
      <c r="K1905" s="455">
        <f t="shared" ca="1" si="118"/>
        <v>2775472.9515939164</v>
      </c>
      <c r="L1905" s="455">
        <f t="shared" ca="1" si="119"/>
        <v>668888981.33413386</v>
      </c>
      <c r="M1905" s="471">
        <f t="shared" si="121"/>
        <v>0.05</v>
      </c>
      <c r="N1905" s="475">
        <f t="shared" si="122"/>
        <v>109026</v>
      </c>
    </row>
    <row r="1906" spans="7:14" ht="11.25" customHeight="1" x14ac:dyDescent="0.3">
      <c r="G1906" s="470"/>
      <c r="H1906" s="470">
        <v>1899</v>
      </c>
      <c r="I1906" s="455">
        <f t="shared" ca="1" si="120"/>
        <v>668888981.33413386</v>
      </c>
      <c r="J1906" s="455">
        <f t="array" ref="J1906">IFERROR(INDEX('Retirement Calculator'!K:K,MATCH('Lorri 401b'!N1906,'Retirement Calculator'!A:A,0),0),0)</f>
        <v>0</v>
      </c>
      <c r="K1906" s="455">
        <f t="shared" ca="1" si="118"/>
        <v>2787037.4222255577</v>
      </c>
      <c r="L1906" s="455">
        <f t="shared" ca="1" si="119"/>
        <v>671676018.75635946</v>
      </c>
      <c r="M1906" s="471">
        <f t="shared" si="121"/>
        <v>0.05</v>
      </c>
      <c r="N1906" s="475">
        <f t="shared" si="122"/>
        <v>109057</v>
      </c>
    </row>
    <row r="1907" spans="7:14" ht="11.25" customHeight="1" x14ac:dyDescent="0.3">
      <c r="G1907" s="470"/>
      <c r="H1907" s="470">
        <v>1900</v>
      </c>
      <c r="I1907" s="455">
        <f t="shared" ca="1" si="120"/>
        <v>671676018.75635946</v>
      </c>
      <c r="J1907" s="455">
        <f t="array" ref="J1907">IFERROR(INDEX('Retirement Calculator'!K:K,MATCH('Lorri 401b'!N1907,'Retirement Calculator'!A:A,0),0),0)</f>
        <v>0</v>
      </c>
      <c r="K1907" s="455">
        <f t="shared" ca="1" si="118"/>
        <v>2798650.0781514975</v>
      </c>
      <c r="L1907" s="455">
        <f t="shared" ca="1" si="119"/>
        <v>674474668.83451092</v>
      </c>
      <c r="M1907" s="471">
        <f t="shared" si="121"/>
        <v>0.05</v>
      </c>
      <c r="N1907" s="475">
        <f t="shared" si="122"/>
        <v>109088</v>
      </c>
    </row>
    <row r="1908" spans="7:14" ht="11.25" customHeight="1" x14ac:dyDescent="0.3">
      <c r="G1908" s="470"/>
      <c r="H1908" s="470">
        <v>1901</v>
      </c>
      <c r="I1908" s="455">
        <f t="shared" ca="1" si="120"/>
        <v>674474668.83451092</v>
      </c>
      <c r="J1908" s="455">
        <f t="array" ref="J1908">IFERROR(INDEX('Retirement Calculator'!K:K,MATCH('Lorri 401b'!N1908,'Retirement Calculator'!A:A,0),0),0)</f>
        <v>0</v>
      </c>
      <c r="K1908" s="455">
        <f t="shared" ca="1" si="118"/>
        <v>2810311.1201437954</v>
      </c>
      <c r="L1908" s="455">
        <f t="shared" ca="1" si="119"/>
        <v>677284979.95465469</v>
      </c>
      <c r="M1908" s="471">
        <f t="shared" si="121"/>
        <v>0.05</v>
      </c>
      <c r="N1908" s="475">
        <f t="shared" si="122"/>
        <v>109118</v>
      </c>
    </row>
    <row r="1909" spans="7:14" ht="11.25" customHeight="1" x14ac:dyDescent="0.3">
      <c r="G1909" s="470"/>
      <c r="H1909" s="470">
        <v>1902</v>
      </c>
      <c r="I1909" s="455">
        <f t="shared" ca="1" si="120"/>
        <v>677284979.95465469</v>
      </c>
      <c r="J1909" s="455">
        <f t="array" ref="J1909">IFERROR(INDEX('Retirement Calculator'!K:K,MATCH('Lorri 401b'!N1909,'Retirement Calculator'!A:A,0),0),0)</f>
        <v>0</v>
      </c>
      <c r="K1909" s="455">
        <f t="shared" ca="1" si="118"/>
        <v>2822020.7498110612</v>
      </c>
      <c r="L1909" s="455">
        <f t="shared" ca="1" si="119"/>
        <v>680107000.70446575</v>
      </c>
      <c r="M1909" s="471">
        <f t="shared" si="121"/>
        <v>0.05</v>
      </c>
      <c r="N1909" s="475">
        <f t="shared" si="122"/>
        <v>109149</v>
      </c>
    </row>
    <row r="1910" spans="7:14" ht="11.25" customHeight="1" x14ac:dyDescent="0.3">
      <c r="G1910" s="470"/>
      <c r="H1910" s="470">
        <v>1903</v>
      </c>
      <c r="I1910" s="455">
        <f t="shared" ca="1" si="120"/>
        <v>680107000.70446575</v>
      </c>
      <c r="J1910" s="455">
        <f t="array" ref="J1910">IFERROR(INDEX('Retirement Calculator'!K:K,MATCH('Lorri 401b'!N1910,'Retirement Calculator'!A:A,0),0),0)</f>
        <v>0</v>
      </c>
      <c r="K1910" s="455">
        <f t="shared" ca="1" si="118"/>
        <v>2833779.1696019405</v>
      </c>
      <c r="L1910" s="455">
        <f t="shared" ca="1" si="119"/>
        <v>682940779.87406766</v>
      </c>
      <c r="M1910" s="471">
        <f t="shared" si="121"/>
        <v>0.05</v>
      </c>
      <c r="N1910" s="475">
        <f t="shared" si="122"/>
        <v>109179</v>
      </c>
    </row>
    <row r="1911" spans="7:14" ht="11.25" customHeight="1" x14ac:dyDescent="0.3">
      <c r="G1911" s="470"/>
      <c r="H1911" s="470">
        <v>1904</v>
      </c>
      <c r="I1911" s="455">
        <f t="shared" ca="1" si="120"/>
        <v>682940779.87406766</v>
      </c>
      <c r="J1911" s="455">
        <f t="array" ref="J1911">IFERROR(INDEX('Retirement Calculator'!K:K,MATCH('Lorri 401b'!N1911,'Retirement Calculator'!A:A,0),0),0)</f>
        <v>0</v>
      </c>
      <c r="K1911" s="455">
        <f t="shared" ca="1" si="118"/>
        <v>2845586.5828086152</v>
      </c>
      <c r="L1911" s="455">
        <f t="shared" ca="1" si="119"/>
        <v>685786366.45687628</v>
      </c>
      <c r="M1911" s="471">
        <f t="shared" si="121"/>
        <v>0.05</v>
      </c>
      <c r="N1911" s="475">
        <f t="shared" si="122"/>
        <v>109210</v>
      </c>
    </row>
    <row r="1912" spans="7:14" ht="11.25" customHeight="1" x14ac:dyDescent="0.3">
      <c r="G1912" s="470"/>
      <c r="H1912" s="470">
        <v>1905</v>
      </c>
      <c r="I1912" s="455">
        <f t="shared" ca="1" si="120"/>
        <v>685786366.45687628</v>
      </c>
      <c r="J1912" s="455">
        <f t="array" ref="J1912">IFERROR(INDEX('Retirement Calculator'!K:K,MATCH('Lorri 401b'!N1912,'Retirement Calculator'!A:A,0),0),0)</f>
        <v>0</v>
      </c>
      <c r="K1912" s="455">
        <f t="shared" ca="1" si="118"/>
        <v>2857443.1935703177</v>
      </c>
      <c r="L1912" s="455">
        <f t="shared" ca="1" si="119"/>
        <v>688643809.65044665</v>
      </c>
      <c r="M1912" s="471">
        <f t="shared" si="121"/>
        <v>0.05</v>
      </c>
      <c r="N1912" s="475">
        <f t="shared" si="122"/>
        <v>109241</v>
      </c>
    </row>
    <row r="1913" spans="7:14" ht="11.25" customHeight="1" x14ac:dyDescent="0.3">
      <c r="G1913" s="470"/>
      <c r="H1913" s="470">
        <v>1906</v>
      </c>
      <c r="I1913" s="455">
        <f t="shared" ca="1" si="120"/>
        <v>688643809.65044665</v>
      </c>
      <c r="J1913" s="455">
        <f t="array" ref="J1913">IFERROR(INDEX('Retirement Calculator'!K:K,MATCH('Lorri 401b'!N1913,'Retirement Calculator'!A:A,0),0),0)</f>
        <v>0</v>
      </c>
      <c r="K1913" s="455">
        <f t="shared" ca="1" si="118"/>
        <v>2869349.2068768609</v>
      </c>
      <c r="L1913" s="455">
        <f t="shared" ca="1" si="119"/>
        <v>691513158.85732353</v>
      </c>
      <c r="M1913" s="471">
        <f t="shared" si="121"/>
        <v>0.05</v>
      </c>
      <c r="N1913" s="475">
        <f t="shared" si="122"/>
        <v>109269</v>
      </c>
    </row>
    <row r="1914" spans="7:14" ht="11.25" customHeight="1" x14ac:dyDescent="0.3">
      <c r="G1914" s="470"/>
      <c r="H1914" s="470">
        <v>1907</v>
      </c>
      <c r="I1914" s="455">
        <f t="shared" ca="1" si="120"/>
        <v>691513158.85732353</v>
      </c>
      <c r="J1914" s="455">
        <f t="array" ref="J1914">IFERROR(INDEX('Retirement Calculator'!K:K,MATCH('Lorri 401b'!N1914,'Retirement Calculator'!A:A,0),0),0)</f>
        <v>0</v>
      </c>
      <c r="K1914" s="455">
        <f t="shared" ca="1" si="118"/>
        <v>2881304.8285721815</v>
      </c>
      <c r="L1914" s="455">
        <f t="shared" ca="1" si="119"/>
        <v>694394463.68589568</v>
      </c>
      <c r="M1914" s="471">
        <f t="shared" si="121"/>
        <v>0.05</v>
      </c>
      <c r="N1914" s="475">
        <f t="shared" si="122"/>
        <v>109300</v>
      </c>
    </row>
    <row r="1915" spans="7:14" ht="11.25" customHeight="1" x14ac:dyDescent="0.3">
      <c r="G1915" s="470"/>
      <c r="H1915" s="470">
        <v>1908</v>
      </c>
      <c r="I1915" s="455">
        <f t="shared" ca="1" si="120"/>
        <v>694394463.68589568</v>
      </c>
      <c r="J1915" s="455">
        <f t="array" ref="J1915">IFERROR(INDEX('Retirement Calculator'!K:K,MATCH('Lorri 401b'!N1915,'Retirement Calculator'!A:A,0),0),0)</f>
        <v>0</v>
      </c>
      <c r="K1915" s="455">
        <f t="shared" ca="1" si="118"/>
        <v>2893310.2653578985</v>
      </c>
      <c r="L1915" s="455">
        <f t="shared" ca="1" si="119"/>
        <v>697287773.95125353</v>
      </c>
      <c r="M1915" s="471">
        <f t="shared" si="121"/>
        <v>0.05</v>
      </c>
      <c r="N1915" s="475">
        <f t="shared" si="122"/>
        <v>109330</v>
      </c>
    </row>
    <row r="1916" spans="7:14" ht="11.25" customHeight="1" x14ac:dyDescent="0.3">
      <c r="G1916" s="470"/>
      <c r="H1916" s="470">
        <v>1909</v>
      </c>
      <c r="I1916" s="455">
        <f t="shared" ca="1" si="120"/>
        <v>697287773.95125353</v>
      </c>
      <c r="J1916" s="455">
        <f t="array" ref="J1916">IFERROR(INDEX('Retirement Calculator'!K:K,MATCH('Lorri 401b'!N1916,'Retirement Calculator'!A:A,0),0),0)</f>
        <v>0</v>
      </c>
      <c r="K1916" s="455">
        <f t="shared" ca="1" si="118"/>
        <v>2905365.7247968898</v>
      </c>
      <c r="L1916" s="455">
        <f t="shared" ca="1" si="119"/>
        <v>700193139.67605042</v>
      </c>
      <c r="M1916" s="471">
        <f t="shared" si="121"/>
        <v>0.05</v>
      </c>
      <c r="N1916" s="475">
        <f t="shared" si="122"/>
        <v>109361</v>
      </c>
    </row>
    <row r="1917" spans="7:14" ht="11.25" customHeight="1" x14ac:dyDescent="0.3">
      <c r="G1917" s="470"/>
      <c r="H1917" s="470">
        <v>1910</v>
      </c>
      <c r="I1917" s="455">
        <f t="shared" ca="1" si="120"/>
        <v>700193139.67605042</v>
      </c>
      <c r="J1917" s="455">
        <f t="array" ref="J1917">IFERROR(INDEX('Retirement Calculator'!K:K,MATCH('Lorri 401b'!N1917,'Retirement Calculator'!A:A,0),0),0)</f>
        <v>0</v>
      </c>
      <c r="K1917" s="455">
        <f t="shared" ca="1" si="118"/>
        <v>2917471.415316877</v>
      </c>
      <c r="L1917" s="455">
        <f t="shared" ca="1" si="119"/>
        <v>703110611.09136724</v>
      </c>
      <c r="M1917" s="471">
        <f t="shared" si="121"/>
        <v>0.05</v>
      </c>
      <c r="N1917" s="475">
        <f t="shared" si="122"/>
        <v>109391</v>
      </c>
    </row>
    <row r="1918" spans="7:14" ht="11.25" customHeight="1" x14ac:dyDescent="0.3">
      <c r="G1918" s="470"/>
      <c r="H1918" s="470">
        <v>1911</v>
      </c>
      <c r="I1918" s="455">
        <f t="shared" ca="1" si="120"/>
        <v>703110611.09136724</v>
      </c>
      <c r="J1918" s="455">
        <f t="array" ref="J1918">IFERROR(INDEX('Retirement Calculator'!K:K,MATCH('Lorri 401b'!N1918,'Retirement Calculator'!A:A,0),0),0)</f>
        <v>0</v>
      </c>
      <c r="K1918" s="455">
        <f t="shared" ca="1" si="118"/>
        <v>2929627.5462140301</v>
      </c>
      <c r="L1918" s="455">
        <f t="shared" ca="1" si="119"/>
        <v>706040238.63758123</v>
      </c>
      <c r="M1918" s="471">
        <f t="shared" si="121"/>
        <v>0.05</v>
      </c>
      <c r="N1918" s="475">
        <f t="shared" si="122"/>
        <v>109422</v>
      </c>
    </row>
    <row r="1919" spans="7:14" ht="11.25" customHeight="1" x14ac:dyDescent="0.3">
      <c r="G1919" s="470"/>
      <c r="H1919" s="470">
        <v>1912</v>
      </c>
      <c r="I1919" s="455">
        <f t="shared" ca="1" si="120"/>
        <v>706040238.63758123</v>
      </c>
      <c r="J1919" s="455">
        <f t="array" ref="J1919">IFERROR(INDEX('Retirement Calculator'!K:K,MATCH('Lorri 401b'!N1919,'Retirement Calculator'!A:A,0),0),0)</f>
        <v>0</v>
      </c>
      <c r="K1919" s="455">
        <f t="shared" ca="1" si="118"/>
        <v>2941834.3276565885</v>
      </c>
      <c r="L1919" s="455">
        <f t="shared" ca="1" si="119"/>
        <v>708982072.96523786</v>
      </c>
      <c r="M1919" s="471">
        <f t="shared" si="121"/>
        <v>0.05</v>
      </c>
      <c r="N1919" s="475">
        <f t="shared" si="122"/>
        <v>109453</v>
      </c>
    </row>
    <row r="1920" spans="7:14" ht="11.25" customHeight="1" x14ac:dyDescent="0.3">
      <c r="G1920" s="470"/>
      <c r="H1920" s="470">
        <v>1913</v>
      </c>
      <c r="I1920" s="455">
        <f t="shared" ca="1" si="120"/>
        <v>708982072.96523786</v>
      </c>
      <c r="J1920" s="455">
        <f t="array" ref="J1920">IFERROR(INDEX('Retirement Calculator'!K:K,MATCH('Lorri 401b'!N1920,'Retirement Calculator'!A:A,0),0),0)</f>
        <v>0</v>
      </c>
      <c r="K1920" s="455">
        <f t="shared" ca="1" si="118"/>
        <v>2954091.9706884911</v>
      </c>
      <c r="L1920" s="455">
        <f t="shared" ca="1" si="119"/>
        <v>711936164.93592632</v>
      </c>
      <c r="M1920" s="471">
        <f t="shared" si="121"/>
        <v>0.05</v>
      </c>
      <c r="N1920" s="475">
        <f t="shared" si="122"/>
        <v>109483</v>
      </c>
    </row>
    <row r="1921" spans="7:14" ht="11.25" customHeight="1" x14ac:dyDescent="0.3">
      <c r="G1921" s="470"/>
      <c r="H1921" s="470">
        <v>1914</v>
      </c>
      <c r="I1921" s="455">
        <f t="shared" ca="1" si="120"/>
        <v>711936164.93592632</v>
      </c>
      <c r="J1921" s="455">
        <f t="array" ref="J1921">IFERROR(INDEX('Retirement Calculator'!K:K,MATCH('Lorri 401b'!N1921,'Retirement Calculator'!A:A,0),0),0)</f>
        <v>0</v>
      </c>
      <c r="K1921" s="455">
        <f t="shared" ca="1" si="118"/>
        <v>2966400.6872330261</v>
      </c>
      <c r="L1921" s="455">
        <f t="shared" ca="1" si="119"/>
        <v>714902565.62315929</v>
      </c>
      <c r="M1921" s="471">
        <f t="shared" si="121"/>
        <v>0.05</v>
      </c>
      <c r="N1921" s="475">
        <f t="shared" si="122"/>
        <v>109514</v>
      </c>
    </row>
    <row r="1922" spans="7:14" ht="11.25" customHeight="1" x14ac:dyDescent="0.3">
      <c r="G1922" s="470"/>
      <c r="H1922" s="470">
        <v>1915</v>
      </c>
      <c r="I1922" s="455">
        <f t="shared" ca="1" si="120"/>
        <v>714902565.62315929</v>
      </c>
      <c r="J1922" s="455">
        <f t="array" ref="J1922">IFERROR(INDEX('Retirement Calculator'!K:K,MATCH('Lorri 401b'!N1922,'Retirement Calculator'!A:A,0),0),0)</f>
        <v>0</v>
      </c>
      <c r="K1922" s="455">
        <f t="shared" ca="1" si="118"/>
        <v>2978760.6900964971</v>
      </c>
      <c r="L1922" s="455">
        <f t="shared" ca="1" si="119"/>
        <v>717881326.31325579</v>
      </c>
      <c r="M1922" s="471">
        <f t="shared" si="121"/>
        <v>0.05</v>
      </c>
      <c r="N1922" s="475">
        <f t="shared" si="122"/>
        <v>109544</v>
      </c>
    </row>
    <row r="1923" spans="7:14" ht="11.25" customHeight="1" x14ac:dyDescent="0.3">
      <c r="G1923" s="470"/>
      <c r="H1923" s="470">
        <v>1916</v>
      </c>
      <c r="I1923" s="455">
        <f t="shared" ca="1" si="120"/>
        <v>717881326.31325579</v>
      </c>
      <c r="J1923" s="455">
        <f t="array" ref="J1923">IFERROR(INDEX('Retirement Calculator'!K:K,MATCH('Lorri 401b'!N1923,'Retirement Calculator'!A:A,0),0),0)</f>
        <v>0</v>
      </c>
      <c r="K1923" s="455">
        <f t="shared" ca="1" si="118"/>
        <v>2991172.1929718992</v>
      </c>
      <c r="L1923" s="455">
        <f t="shared" ca="1" si="119"/>
        <v>720872498.50622773</v>
      </c>
      <c r="M1923" s="471">
        <f t="shared" si="121"/>
        <v>0.05</v>
      </c>
      <c r="N1923" s="475">
        <f t="shared" si="122"/>
        <v>109575</v>
      </c>
    </row>
    <row r="1924" spans="7:14" ht="11.25" customHeight="1" x14ac:dyDescent="0.3">
      <c r="G1924" s="470"/>
      <c r="H1924" s="470">
        <v>1917</v>
      </c>
      <c r="I1924" s="455">
        <f t="shared" ca="1" si="120"/>
        <v>720872498.50622773</v>
      </c>
      <c r="J1924" s="455">
        <f t="array" ref="J1924">IFERROR(INDEX('Retirement Calculator'!K:K,MATCH('Lorri 401b'!N1924,'Retirement Calculator'!A:A,0),0),0)</f>
        <v>0</v>
      </c>
      <c r="K1924" s="455">
        <f t="shared" ca="1" si="118"/>
        <v>3003635.4104426154</v>
      </c>
      <c r="L1924" s="455">
        <f t="shared" ca="1" si="119"/>
        <v>723876133.91667032</v>
      </c>
      <c r="M1924" s="471">
        <f t="shared" si="121"/>
        <v>0.05</v>
      </c>
      <c r="N1924" s="475">
        <f t="shared" si="122"/>
        <v>109606</v>
      </c>
    </row>
    <row r="1925" spans="7:14" ht="11.25" customHeight="1" x14ac:dyDescent="0.3">
      <c r="G1925" s="470"/>
      <c r="H1925" s="470">
        <v>1918</v>
      </c>
      <c r="I1925" s="455">
        <f t="shared" ca="1" si="120"/>
        <v>723876133.91667032</v>
      </c>
      <c r="J1925" s="455">
        <f t="array" ref="J1925">IFERROR(INDEX('Retirement Calculator'!K:K,MATCH('Lorri 401b'!N1925,'Retirement Calculator'!A:A,0),0),0)</f>
        <v>0</v>
      </c>
      <c r="K1925" s="455">
        <f t="shared" ca="1" si="118"/>
        <v>3016150.5579861263</v>
      </c>
      <c r="L1925" s="455">
        <f t="shared" ca="1" si="119"/>
        <v>726892284.47465646</v>
      </c>
      <c r="M1925" s="471">
        <f t="shared" si="121"/>
        <v>0.05</v>
      </c>
      <c r="N1925" s="475">
        <f t="shared" si="122"/>
        <v>109634</v>
      </c>
    </row>
    <row r="1926" spans="7:14" ht="11.25" customHeight="1" x14ac:dyDescent="0.3">
      <c r="G1926" s="470"/>
      <c r="H1926" s="470">
        <v>1919</v>
      </c>
      <c r="I1926" s="455">
        <f t="shared" ca="1" si="120"/>
        <v>726892284.47465646</v>
      </c>
      <c r="J1926" s="455">
        <f t="array" ref="J1926">IFERROR(INDEX('Retirement Calculator'!K:K,MATCH('Lorri 401b'!N1926,'Retirement Calculator'!A:A,0),0),0)</f>
        <v>0</v>
      </c>
      <c r="K1926" s="455">
        <f t="shared" ca="1" si="118"/>
        <v>3028717.8519777353</v>
      </c>
      <c r="L1926" s="455">
        <f t="shared" ca="1" si="119"/>
        <v>729921002.32663417</v>
      </c>
      <c r="M1926" s="471">
        <f t="shared" si="121"/>
        <v>0.05</v>
      </c>
      <c r="N1926" s="475">
        <f t="shared" si="122"/>
        <v>109665</v>
      </c>
    </row>
    <row r="1927" spans="7:14" ht="11.25" customHeight="1" x14ac:dyDescent="0.3">
      <c r="G1927" s="470"/>
      <c r="H1927" s="470">
        <v>1920</v>
      </c>
      <c r="I1927" s="455">
        <f t="shared" ca="1" si="120"/>
        <v>729921002.32663417</v>
      </c>
      <c r="J1927" s="455">
        <f t="array" ref="J1927">IFERROR(INDEX('Retirement Calculator'!K:K,MATCH('Lorri 401b'!N1927,'Retirement Calculator'!A:A,0),0),0)</f>
        <v>0</v>
      </c>
      <c r="K1927" s="455">
        <f t="shared" ca="1" si="118"/>
        <v>3041337.509694309</v>
      </c>
      <c r="L1927" s="455">
        <f t="shared" ca="1" si="119"/>
        <v>732962339.83632851</v>
      </c>
      <c r="M1927" s="471">
        <f t="shared" si="121"/>
        <v>0.05</v>
      </c>
      <c r="N1927" s="475">
        <f t="shared" si="122"/>
        <v>109695</v>
      </c>
    </row>
    <row r="1928" spans="7:14" ht="11.25" customHeight="1" x14ac:dyDescent="0.3">
      <c r="G1928" s="470"/>
      <c r="H1928" s="470">
        <v>1921</v>
      </c>
      <c r="I1928" s="455">
        <f t="shared" ca="1" si="120"/>
        <v>732962339.83632851</v>
      </c>
      <c r="J1928" s="455">
        <f t="array" ref="J1928">IFERROR(INDEX('Retirement Calculator'!K:K,MATCH('Lorri 401b'!N1928,'Retirement Calculator'!A:A,0),0),0)</f>
        <v>0</v>
      </c>
      <c r="K1928" s="455">
        <f t="shared" ca="1" si="118"/>
        <v>3054009.7493180353</v>
      </c>
      <c r="L1928" s="455">
        <f t="shared" ca="1" si="119"/>
        <v>736016349.58564651</v>
      </c>
      <c r="M1928" s="471">
        <f t="shared" si="121"/>
        <v>0.05</v>
      </c>
      <c r="N1928" s="475">
        <f t="shared" si="122"/>
        <v>109726</v>
      </c>
    </row>
    <row r="1929" spans="7:14" ht="11.25" customHeight="1" x14ac:dyDescent="0.3">
      <c r="G1929" s="470"/>
      <c r="H1929" s="470">
        <v>1922</v>
      </c>
      <c r="I1929" s="455">
        <f t="shared" ca="1" si="120"/>
        <v>736016349.58564651</v>
      </c>
      <c r="J1929" s="455">
        <f t="array" ref="J1929">IFERROR(INDEX('Retirement Calculator'!K:K,MATCH('Lorri 401b'!N1929,'Retirement Calculator'!A:A,0),0),0)</f>
        <v>0</v>
      </c>
      <c r="K1929" s="455">
        <f t="shared" ca="1" si="118"/>
        <v>3066734.7899401938</v>
      </c>
      <c r="L1929" s="455">
        <f t="shared" ca="1" si="119"/>
        <v>739083084.37558675</v>
      </c>
      <c r="M1929" s="471">
        <f t="shared" si="121"/>
        <v>0.05</v>
      </c>
      <c r="N1929" s="475">
        <f t="shared" si="122"/>
        <v>109756</v>
      </c>
    </row>
    <row r="1930" spans="7:14" ht="11.25" customHeight="1" x14ac:dyDescent="0.3">
      <c r="G1930" s="470"/>
      <c r="H1930" s="470">
        <v>1923</v>
      </c>
      <c r="I1930" s="455">
        <f t="shared" ca="1" si="120"/>
        <v>739083084.37558675</v>
      </c>
      <c r="J1930" s="455">
        <f t="array" ref="J1930">IFERROR(INDEX('Retirement Calculator'!K:K,MATCH('Lorri 401b'!N1930,'Retirement Calculator'!A:A,0),0),0)</f>
        <v>0</v>
      </c>
      <c r="K1930" s="455">
        <f t="shared" ca="1" si="118"/>
        <v>3079512.8515649447</v>
      </c>
      <c r="L1930" s="455">
        <f t="shared" ca="1" si="119"/>
        <v>742162597.22715175</v>
      </c>
      <c r="M1930" s="471">
        <f t="shared" si="121"/>
        <v>0.05</v>
      </c>
      <c r="N1930" s="475">
        <f t="shared" si="122"/>
        <v>109787</v>
      </c>
    </row>
    <row r="1931" spans="7:14" ht="11.25" customHeight="1" x14ac:dyDescent="0.3">
      <c r="G1931" s="470"/>
      <c r="H1931" s="470">
        <v>1924</v>
      </c>
      <c r="I1931" s="455">
        <f t="shared" ca="1" si="120"/>
        <v>742162597.22715175</v>
      </c>
      <c r="J1931" s="455">
        <f t="array" ref="J1931">IFERROR(INDEX('Retirement Calculator'!K:K,MATCH('Lorri 401b'!N1931,'Retirement Calculator'!A:A,0),0),0)</f>
        <v>0</v>
      </c>
      <c r="K1931" s="455">
        <f t="shared" ca="1" si="118"/>
        <v>3092344.1551131322</v>
      </c>
      <c r="L1931" s="455">
        <f t="shared" ca="1" si="119"/>
        <v>745254941.38226485</v>
      </c>
      <c r="M1931" s="471">
        <f t="shared" si="121"/>
        <v>0.05</v>
      </c>
      <c r="N1931" s="475">
        <f t="shared" si="122"/>
        <v>109818</v>
      </c>
    </row>
    <row r="1932" spans="7:14" ht="11.25" customHeight="1" x14ac:dyDescent="0.3">
      <c r="G1932" s="470"/>
      <c r="H1932" s="470">
        <v>1925</v>
      </c>
      <c r="I1932" s="455">
        <f t="shared" ca="1" si="120"/>
        <v>745254941.38226485</v>
      </c>
      <c r="J1932" s="455">
        <f t="array" ref="J1932">IFERROR(INDEX('Retirement Calculator'!K:K,MATCH('Lorri 401b'!N1932,'Retirement Calculator'!A:A,0),0),0)</f>
        <v>0</v>
      </c>
      <c r="K1932" s="455">
        <f t="shared" ca="1" si="118"/>
        <v>3105228.9224261036</v>
      </c>
      <c r="L1932" s="455">
        <f t="shared" ca="1" si="119"/>
        <v>748360170.30469096</v>
      </c>
      <c r="M1932" s="471">
        <f t="shared" si="121"/>
        <v>0.05</v>
      </c>
      <c r="N1932" s="475">
        <f t="shared" si="122"/>
        <v>109848</v>
      </c>
    </row>
    <row r="1933" spans="7:14" ht="11.25" customHeight="1" x14ac:dyDescent="0.3">
      <c r="G1933" s="470"/>
      <c r="H1933" s="470">
        <v>1926</v>
      </c>
      <c r="I1933" s="455">
        <f t="shared" ca="1" si="120"/>
        <v>748360170.30469096</v>
      </c>
      <c r="J1933" s="455">
        <f t="array" ref="J1933">IFERROR(INDEX('Retirement Calculator'!K:K,MATCH('Lorri 401b'!N1933,'Retirement Calculator'!A:A,0),0),0)</f>
        <v>0</v>
      </c>
      <c r="K1933" s="455">
        <f t="shared" ca="1" si="118"/>
        <v>3118167.3762695454</v>
      </c>
      <c r="L1933" s="455">
        <f t="shared" ca="1" si="119"/>
        <v>751478337.68096054</v>
      </c>
      <c r="M1933" s="471">
        <f t="shared" si="121"/>
        <v>0.05</v>
      </c>
      <c r="N1933" s="475">
        <f t="shared" si="122"/>
        <v>109879</v>
      </c>
    </row>
    <row r="1934" spans="7:14" ht="11.25" customHeight="1" x14ac:dyDescent="0.3">
      <c r="G1934" s="470"/>
      <c r="H1934" s="470">
        <v>1927</v>
      </c>
      <c r="I1934" s="455">
        <f t="shared" ca="1" si="120"/>
        <v>751478337.68096054</v>
      </c>
      <c r="J1934" s="455">
        <f t="array" ref="J1934">IFERROR(INDEX('Retirement Calculator'!K:K,MATCH('Lorri 401b'!N1934,'Retirement Calculator'!A:A,0),0),0)</f>
        <v>0</v>
      </c>
      <c r="K1934" s="455">
        <f t="shared" ca="1" si="118"/>
        <v>3131159.7403373355</v>
      </c>
      <c r="L1934" s="455">
        <f t="shared" ca="1" si="119"/>
        <v>754609497.42129791</v>
      </c>
      <c r="M1934" s="471">
        <f t="shared" si="121"/>
        <v>0.05</v>
      </c>
      <c r="N1934" s="475">
        <f t="shared" si="122"/>
        <v>109909</v>
      </c>
    </row>
    <row r="1935" spans="7:14" ht="11.25" customHeight="1" x14ac:dyDescent="0.3">
      <c r="G1935" s="470"/>
      <c r="H1935" s="470">
        <v>1928</v>
      </c>
      <c r="I1935" s="455">
        <f t="shared" ca="1" si="120"/>
        <v>754609497.42129791</v>
      </c>
      <c r="J1935" s="455">
        <f t="array" ref="J1935">IFERROR(INDEX('Retirement Calculator'!K:K,MATCH('Lorri 401b'!N1935,'Retirement Calculator'!A:A,0),0),0)</f>
        <v>0</v>
      </c>
      <c r="K1935" s="455">
        <f t="shared" ca="1" si="118"/>
        <v>3144206.2392554078</v>
      </c>
      <c r="L1935" s="455">
        <f t="shared" ca="1" si="119"/>
        <v>757753703.66055334</v>
      </c>
      <c r="M1935" s="471">
        <f t="shared" si="121"/>
        <v>0.05</v>
      </c>
      <c r="N1935" s="475">
        <f t="shared" si="122"/>
        <v>109940</v>
      </c>
    </row>
    <row r="1936" spans="7:14" ht="11.25" customHeight="1" x14ac:dyDescent="0.3">
      <c r="G1936" s="470"/>
      <c r="H1936" s="470">
        <v>1929</v>
      </c>
      <c r="I1936" s="455">
        <f t="shared" ca="1" si="120"/>
        <v>757753703.66055334</v>
      </c>
      <c r="J1936" s="455">
        <f t="array" ref="J1936">IFERROR(INDEX('Retirement Calculator'!K:K,MATCH('Lorri 401b'!N1936,'Retirement Calculator'!A:A,0),0),0)</f>
        <v>0</v>
      </c>
      <c r="K1936" s="455">
        <f t="shared" ca="1" si="118"/>
        <v>3157307.0985856387</v>
      </c>
      <c r="L1936" s="455">
        <f t="shared" ca="1" si="119"/>
        <v>760911010.75913894</v>
      </c>
      <c r="M1936" s="471">
        <f t="shared" si="121"/>
        <v>0.05</v>
      </c>
      <c r="N1936" s="475">
        <f t="shared" si="122"/>
        <v>109971</v>
      </c>
    </row>
    <row r="1937" spans="7:14" ht="11.25" customHeight="1" x14ac:dyDescent="0.3">
      <c r="G1937" s="470"/>
      <c r="H1937" s="470">
        <v>1930</v>
      </c>
      <c r="I1937" s="455">
        <f t="shared" ca="1" si="120"/>
        <v>760911010.75913894</v>
      </c>
      <c r="J1937" s="455">
        <f t="array" ref="J1937">IFERROR(INDEX('Retirement Calculator'!K:K,MATCH('Lorri 401b'!N1937,'Retirement Calculator'!A:A,0),0),0)</f>
        <v>0</v>
      </c>
      <c r="K1937" s="455">
        <f t="shared" ca="1" si="118"/>
        <v>3170462.5448297458</v>
      </c>
      <c r="L1937" s="455">
        <f t="shared" ca="1" si="119"/>
        <v>764081473.30396867</v>
      </c>
      <c r="M1937" s="471">
        <f t="shared" si="121"/>
        <v>0.05</v>
      </c>
      <c r="N1937" s="475">
        <f t="shared" si="122"/>
        <v>109999</v>
      </c>
    </row>
    <row r="1938" spans="7:14" ht="11.25" customHeight="1" x14ac:dyDescent="0.3">
      <c r="G1938" s="470"/>
      <c r="H1938" s="470">
        <v>1931</v>
      </c>
      <c r="I1938" s="455">
        <f t="shared" ca="1" si="120"/>
        <v>764081473.30396867</v>
      </c>
      <c r="J1938" s="455">
        <f t="array" ref="J1938">IFERROR(INDEX('Retirement Calculator'!K:K,MATCH('Lorri 401b'!N1938,'Retirement Calculator'!A:A,0),0),0)</f>
        <v>0</v>
      </c>
      <c r="K1938" s="455">
        <f t="shared" ca="1" si="118"/>
        <v>3183672.8054332025</v>
      </c>
      <c r="L1938" s="455">
        <f t="shared" ca="1" si="119"/>
        <v>767265146.10940182</v>
      </c>
      <c r="M1938" s="471">
        <f t="shared" si="121"/>
        <v>0.05</v>
      </c>
      <c r="N1938" s="475">
        <f t="shared" si="122"/>
        <v>110030</v>
      </c>
    </row>
    <row r="1939" spans="7:14" ht="11.25" customHeight="1" x14ac:dyDescent="0.3">
      <c r="G1939" s="470"/>
      <c r="H1939" s="470">
        <v>1932</v>
      </c>
      <c r="I1939" s="455">
        <f t="shared" ca="1" si="120"/>
        <v>767265146.10940182</v>
      </c>
      <c r="J1939" s="455">
        <f t="array" ref="J1939">IFERROR(INDEX('Retirement Calculator'!K:K,MATCH('Lorri 401b'!N1939,'Retirement Calculator'!A:A,0),0),0)</f>
        <v>0</v>
      </c>
      <c r="K1939" s="455">
        <f t="shared" ca="1" si="118"/>
        <v>3196938.1087891744</v>
      </c>
      <c r="L1939" s="455">
        <f t="shared" ca="1" si="119"/>
        <v>770462084.21819103</v>
      </c>
      <c r="M1939" s="471">
        <f t="shared" si="121"/>
        <v>0.05</v>
      </c>
      <c r="N1939" s="475">
        <f t="shared" si="122"/>
        <v>110060</v>
      </c>
    </row>
    <row r="1940" spans="7:14" ht="11.25" customHeight="1" x14ac:dyDescent="0.3">
      <c r="G1940" s="470"/>
      <c r="H1940" s="470">
        <v>1933</v>
      </c>
      <c r="I1940" s="455">
        <f t="shared" ca="1" si="120"/>
        <v>770462084.21819103</v>
      </c>
      <c r="J1940" s="455">
        <f t="array" ref="J1940">IFERROR(INDEX('Retirement Calculator'!K:K,MATCH('Lorri 401b'!N1940,'Retirement Calculator'!A:A,0),0),0)</f>
        <v>0</v>
      </c>
      <c r="K1940" s="455">
        <f t="shared" ca="1" si="118"/>
        <v>3210258.6842424627</v>
      </c>
      <c r="L1940" s="455">
        <f t="shared" ca="1" si="119"/>
        <v>773672342.90243351</v>
      </c>
      <c r="M1940" s="471">
        <f t="shared" si="121"/>
        <v>0.05</v>
      </c>
      <c r="N1940" s="475">
        <f t="shared" si="122"/>
        <v>110091</v>
      </c>
    </row>
    <row r="1941" spans="7:14" ht="11.25" customHeight="1" x14ac:dyDescent="0.3">
      <c r="G1941" s="470"/>
      <c r="H1941" s="470">
        <v>1934</v>
      </c>
      <c r="I1941" s="455">
        <f t="shared" ca="1" si="120"/>
        <v>773672342.90243351</v>
      </c>
      <c r="J1941" s="455">
        <f t="array" ref="J1941">IFERROR(INDEX('Retirement Calculator'!K:K,MATCH('Lorri 401b'!N1941,'Retirement Calculator'!A:A,0),0),0)</f>
        <v>0</v>
      </c>
      <c r="K1941" s="455">
        <f t="shared" ca="1" si="118"/>
        <v>3223634.7620934728</v>
      </c>
      <c r="L1941" s="455">
        <f t="shared" ca="1" si="119"/>
        <v>776895977.66452694</v>
      </c>
      <c r="M1941" s="471">
        <f t="shared" si="121"/>
        <v>0.05</v>
      </c>
      <c r="N1941" s="475">
        <f t="shared" si="122"/>
        <v>110121</v>
      </c>
    </row>
    <row r="1942" spans="7:14" ht="11.25" customHeight="1" x14ac:dyDescent="0.3">
      <c r="G1942" s="470"/>
      <c r="H1942" s="470">
        <v>1935</v>
      </c>
      <c r="I1942" s="455">
        <f t="shared" ca="1" si="120"/>
        <v>776895977.66452694</v>
      </c>
      <c r="J1942" s="455">
        <f t="array" ref="J1942">IFERROR(INDEX('Retirement Calculator'!K:K,MATCH('Lorri 401b'!N1942,'Retirement Calculator'!A:A,0),0),0)</f>
        <v>0</v>
      </c>
      <c r="K1942" s="455">
        <f t="shared" ca="1" si="118"/>
        <v>3237066.5736021954</v>
      </c>
      <c r="L1942" s="455">
        <f t="shared" ca="1" si="119"/>
        <v>780133044.23812914</v>
      </c>
      <c r="M1942" s="471">
        <f t="shared" si="121"/>
        <v>0.05</v>
      </c>
      <c r="N1942" s="475">
        <f t="shared" si="122"/>
        <v>110152</v>
      </c>
    </row>
    <row r="1943" spans="7:14" ht="11.25" customHeight="1" x14ac:dyDescent="0.3">
      <c r="G1943" s="470"/>
      <c r="H1943" s="470">
        <v>1936</v>
      </c>
      <c r="I1943" s="455">
        <f t="shared" ca="1" si="120"/>
        <v>780133044.23812914</v>
      </c>
      <c r="J1943" s="455">
        <f t="array" ref="J1943">IFERROR(INDEX('Retirement Calculator'!K:K,MATCH('Lorri 401b'!N1943,'Retirement Calculator'!A:A,0),0),0)</f>
        <v>0</v>
      </c>
      <c r="K1943" s="455">
        <f t="shared" ca="1" si="118"/>
        <v>3250554.3509922046</v>
      </c>
      <c r="L1943" s="455">
        <f t="shared" ca="1" si="119"/>
        <v>783383598.58912134</v>
      </c>
      <c r="M1943" s="471">
        <f t="shared" si="121"/>
        <v>0.05</v>
      </c>
      <c r="N1943" s="475">
        <f t="shared" si="122"/>
        <v>110183</v>
      </c>
    </row>
    <row r="1944" spans="7:14" ht="11.25" customHeight="1" x14ac:dyDescent="0.3">
      <c r="G1944" s="470"/>
      <c r="H1944" s="470">
        <v>1937</v>
      </c>
      <c r="I1944" s="455">
        <f t="shared" ca="1" si="120"/>
        <v>783383598.58912134</v>
      </c>
      <c r="J1944" s="455">
        <f t="array" ref="J1944">IFERROR(INDEX('Retirement Calculator'!K:K,MATCH('Lorri 401b'!N1944,'Retirement Calculator'!A:A,0),0),0)</f>
        <v>0</v>
      </c>
      <c r="K1944" s="455">
        <f t="shared" ca="1" si="118"/>
        <v>3264098.3274546722</v>
      </c>
      <c r="L1944" s="455">
        <f t="shared" ca="1" si="119"/>
        <v>786647696.91657603</v>
      </c>
      <c r="M1944" s="471">
        <f t="shared" si="121"/>
        <v>0.05</v>
      </c>
      <c r="N1944" s="475">
        <f t="shared" si="122"/>
        <v>110213</v>
      </c>
    </row>
    <row r="1945" spans="7:14" ht="11.25" customHeight="1" x14ac:dyDescent="0.3">
      <c r="G1945" s="470"/>
      <c r="H1945" s="470">
        <v>1938</v>
      </c>
      <c r="I1945" s="455">
        <f t="shared" ca="1" si="120"/>
        <v>786647696.91657603</v>
      </c>
      <c r="J1945" s="455">
        <f t="array" ref="J1945">IFERROR(INDEX('Retirement Calculator'!K:K,MATCH('Lorri 401b'!N1945,'Retirement Calculator'!A:A,0),0),0)</f>
        <v>0</v>
      </c>
      <c r="K1945" s="455">
        <f t="shared" ca="1" si="118"/>
        <v>3277698.7371524</v>
      </c>
      <c r="L1945" s="455">
        <f t="shared" ca="1" si="119"/>
        <v>789925395.65372849</v>
      </c>
      <c r="M1945" s="471">
        <f t="shared" si="121"/>
        <v>0.05</v>
      </c>
      <c r="N1945" s="475">
        <f t="shared" si="122"/>
        <v>110244</v>
      </c>
    </row>
    <row r="1946" spans="7:14" ht="11.25" customHeight="1" x14ac:dyDescent="0.3">
      <c r="G1946" s="470"/>
      <c r="H1946" s="470">
        <v>1939</v>
      </c>
      <c r="I1946" s="455">
        <f t="shared" ca="1" si="120"/>
        <v>789925395.65372849</v>
      </c>
      <c r="J1946" s="455">
        <f t="array" ref="J1946">IFERROR(INDEX('Retirement Calculator'!K:K,MATCH('Lorri 401b'!N1946,'Retirement Calculator'!A:A,0),0),0)</f>
        <v>0</v>
      </c>
      <c r="K1946" s="455">
        <f t="shared" ca="1" si="118"/>
        <v>3291355.8152238685</v>
      </c>
      <c r="L1946" s="455">
        <f t="shared" ca="1" si="119"/>
        <v>793216751.4689523</v>
      </c>
      <c r="M1946" s="471">
        <f t="shared" si="121"/>
        <v>0.05</v>
      </c>
      <c r="N1946" s="475">
        <f t="shared" si="122"/>
        <v>110274</v>
      </c>
    </row>
    <row r="1947" spans="7:14" ht="11.25" customHeight="1" x14ac:dyDescent="0.3">
      <c r="G1947" s="470"/>
      <c r="H1947" s="470">
        <v>1940</v>
      </c>
      <c r="I1947" s="455">
        <f t="shared" ca="1" si="120"/>
        <v>793216751.4689523</v>
      </c>
      <c r="J1947" s="455">
        <f t="array" ref="J1947">IFERROR(INDEX('Retirement Calculator'!K:K,MATCH('Lorri 401b'!N1947,'Retirement Calculator'!A:A,0),0),0)</f>
        <v>0</v>
      </c>
      <c r="K1947" s="455">
        <f t="shared" ca="1" si="118"/>
        <v>3305069.7977873012</v>
      </c>
      <c r="L1947" s="455">
        <f t="shared" ca="1" si="119"/>
        <v>796521821.26673961</v>
      </c>
      <c r="M1947" s="471">
        <f t="shared" si="121"/>
        <v>0.05</v>
      </c>
      <c r="N1947" s="475">
        <f t="shared" si="122"/>
        <v>110305</v>
      </c>
    </row>
    <row r="1948" spans="7:14" ht="11.25" customHeight="1" x14ac:dyDescent="0.3">
      <c r="G1948" s="470"/>
      <c r="H1948" s="470">
        <v>1941</v>
      </c>
      <c r="I1948" s="455">
        <f t="shared" ca="1" si="120"/>
        <v>796521821.26673961</v>
      </c>
      <c r="J1948" s="455">
        <f t="array" ref="J1948">IFERROR(INDEX('Retirement Calculator'!K:K,MATCH('Lorri 401b'!N1948,'Retirement Calculator'!A:A,0),0),0)</f>
        <v>0</v>
      </c>
      <c r="K1948" s="455">
        <f t="shared" ca="1" si="118"/>
        <v>3318840.9219447481</v>
      </c>
      <c r="L1948" s="455">
        <f t="shared" ca="1" si="119"/>
        <v>799840662.18868434</v>
      </c>
      <c r="M1948" s="471">
        <f t="shared" si="121"/>
        <v>0.05</v>
      </c>
      <c r="N1948" s="475">
        <f t="shared" si="122"/>
        <v>110336</v>
      </c>
    </row>
    <row r="1949" spans="7:14" ht="11.25" customHeight="1" x14ac:dyDescent="0.3">
      <c r="G1949" s="470"/>
      <c r="H1949" s="470">
        <v>1942</v>
      </c>
      <c r="I1949" s="455">
        <f t="shared" ca="1" si="120"/>
        <v>799840662.18868434</v>
      </c>
      <c r="J1949" s="455">
        <f t="array" ref="J1949">IFERROR(INDEX('Retirement Calculator'!K:K,MATCH('Lorri 401b'!N1949,'Retirement Calculator'!A:A,0),0),0)</f>
        <v>0</v>
      </c>
      <c r="K1949" s="455">
        <f t="shared" ca="1" si="118"/>
        <v>3332669.4257861846</v>
      </c>
      <c r="L1949" s="455">
        <f t="shared" ca="1" si="119"/>
        <v>803173331.61447048</v>
      </c>
      <c r="M1949" s="471">
        <f t="shared" si="121"/>
        <v>0.05</v>
      </c>
      <c r="N1949" s="475">
        <f t="shared" si="122"/>
        <v>110364</v>
      </c>
    </row>
    <row r="1950" spans="7:14" ht="11.25" customHeight="1" x14ac:dyDescent="0.3">
      <c r="G1950" s="470"/>
      <c r="H1950" s="470">
        <v>1943</v>
      </c>
      <c r="I1950" s="455">
        <f t="shared" ca="1" si="120"/>
        <v>803173331.61447048</v>
      </c>
      <c r="J1950" s="455">
        <f t="array" ref="J1950">IFERROR(INDEX('Retirement Calculator'!K:K,MATCH('Lorri 401b'!N1950,'Retirement Calculator'!A:A,0),0),0)</f>
        <v>0</v>
      </c>
      <c r="K1950" s="455">
        <f t="shared" ca="1" si="118"/>
        <v>3346555.5483936272</v>
      </c>
      <c r="L1950" s="455">
        <f t="shared" ca="1" si="119"/>
        <v>806519887.16286409</v>
      </c>
      <c r="M1950" s="471">
        <f t="shared" si="121"/>
        <v>0.05</v>
      </c>
      <c r="N1950" s="475">
        <f t="shared" si="122"/>
        <v>110395</v>
      </c>
    </row>
    <row r="1951" spans="7:14" ht="11.25" customHeight="1" x14ac:dyDescent="0.3">
      <c r="G1951" s="470"/>
      <c r="H1951" s="470">
        <v>1944</v>
      </c>
      <c r="I1951" s="455">
        <f t="shared" ca="1" si="120"/>
        <v>806519887.16286409</v>
      </c>
      <c r="J1951" s="455">
        <f t="array" ref="J1951">IFERROR(INDEX('Retirement Calculator'!K:K,MATCH('Lorri 401b'!N1951,'Retirement Calculator'!A:A,0),0),0)</f>
        <v>0</v>
      </c>
      <c r="K1951" s="455">
        <f t="shared" ca="1" si="118"/>
        <v>3360499.5298452671</v>
      </c>
      <c r="L1951" s="455">
        <f t="shared" ca="1" si="119"/>
        <v>809880386.69270933</v>
      </c>
      <c r="M1951" s="471">
        <f t="shared" si="121"/>
        <v>0.05</v>
      </c>
      <c r="N1951" s="475">
        <f t="shared" si="122"/>
        <v>110425</v>
      </c>
    </row>
    <row r="1952" spans="7:14" ht="11.25" customHeight="1" x14ac:dyDescent="0.3">
      <c r="G1952" s="470"/>
      <c r="H1952" s="470">
        <v>1945</v>
      </c>
      <c r="I1952" s="455">
        <f t="shared" ca="1" si="120"/>
        <v>809880386.69270933</v>
      </c>
      <c r="J1952" s="455">
        <f t="array" ref="J1952">IFERROR(INDEX('Retirement Calculator'!K:K,MATCH('Lorri 401b'!N1952,'Retirement Calculator'!A:A,0),0),0)</f>
        <v>0</v>
      </c>
      <c r="K1952" s="455">
        <f t="shared" ca="1" si="118"/>
        <v>3374501.6112196222</v>
      </c>
      <c r="L1952" s="455">
        <f t="shared" ca="1" si="119"/>
        <v>813254888.30392897</v>
      </c>
      <c r="M1952" s="471">
        <f t="shared" si="121"/>
        <v>0.05</v>
      </c>
      <c r="N1952" s="475">
        <f t="shared" si="122"/>
        <v>110456</v>
      </c>
    </row>
    <row r="1953" spans="7:14" ht="11.25" customHeight="1" x14ac:dyDescent="0.3">
      <c r="G1953" s="470"/>
      <c r="H1953" s="470">
        <v>1946</v>
      </c>
      <c r="I1953" s="455">
        <f t="shared" ca="1" si="120"/>
        <v>813254888.30392897</v>
      </c>
      <c r="J1953" s="455">
        <f t="array" ref="J1953">IFERROR(INDEX('Retirement Calculator'!K:K,MATCH('Lorri 401b'!N1953,'Retirement Calculator'!A:A,0),0),0)</f>
        <v>0</v>
      </c>
      <c r="K1953" s="455">
        <f t="shared" ca="1" si="118"/>
        <v>3388562.0345997042</v>
      </c>
      <c r="L1953" s="455">
        <f t="shared" ca="1" si="119"/>
        <v>816643450.33852863</v>
      </c>
      <c r="M1953" s="471">
        <f t="shared" si="121"/>
        <v>0.05</v>
      </c>
      <c r="N1953" s="475">
        <f t="shared" si="122"/>
        <v>110486</v>
      </c>
    </row>
    <row r="1954" spans="7:14" ht="11.25" customHeight="1" x14ac:dyDescent="0.3">
      <c r="G1954" s="470"/>
      <c r="H1954" s="470">
        <v>1947</v>
      </c>
      <c r="I1954" s="455">
        <f t="shared" ca="1" si="120"/>
        <v>816643450.33852863</v>
      </c>
      <c r="J1954" s="455">
        <f t="array" ref="J1954">IFERROR(INDEX('Retirement Calculator'!K:K,MATCH('Lorri 401b'!N1954,'Retirement Calculator'!A:A,0),0),0)</f>
        <v>0</v>
      </c>
      <c r="K1954" s="455">
        <f t="shared" ca="1" si="118"/>
        <v>3402681.0430772025</v>
      </c>
      <c r="L1954" s="455">
        <f t="shared" ca="1" si="119"/>
        <v>820046131.38160586</v>
      </c>
      <c r="M1954" s="471">
        <f t="shared" si="121"/>
        <v>0.05</v>
      </c>
      <c r="N1954" s="475">
        <f t="shared" si="122"/>
        <v>110517</v>
      </c>
    </row>
    <row r="1955" spans="7:14" ht="11.25" customHeight="1" x14ac:dyDescent="0.3">
      <c r="G1955" s="470"/>
      <c r="H1955" s="470">
        <v>1948</v>
      </c>
      <c r="I1955" s="455">
        <f t="shared" ca="1" si="120"/>
        <v>820046131.38160586</v>
      </c>
      <c r="J1955" s="455">
        <f t="array" ref="J1955">IFERROR(INDEX('Retirement Calculator'!K:K,MATCH('Lorri 401b'!N1955,'Retirement Calculator'!A:A,0),0),0)</f>
        <v>0</v>
      </c>
      <c r="K1955" s="455">
        <f t="shared" ca="1" si="118"/>
        <v>3416858.8807566911</v>
      </c>
      <c r="L1955" s="455">
        <f t="shared" ca="1" si="119"/>
        <v>823462990.2623626</v>
      </c>
      <c r="M1955" s="471">
        <f t="shared" si="121"/>
        <v>0.05</v>
      </c>
      <c r="N1955" s="475">
        <f t="shared" si="122"/>
        <v>110548</v>
      </c>
    </row>
    <row r="1956" spans="7:14" ht="11.25" customHeight="1" x14ac:dyDescent="0.3">
      <c r="G1956" s="470"/>
      <c r="H1956" s="470">
        <v>1949</v>
      </c>
      <c r="I1956" s="455">
        <f t="shared" ca="1" si="120"/>
        <v>823462990.2623626</v>
      </c>
      <c r="J1956" s="455">
        <f t="array" ref="J1956">IFERROR(INDEX('Retirement Calculator'!K:K,MATCH('Lorri 401b'!N1956,'Retirement Calculator'!A:A,0),0),0)</f>
        <v>0</v>
      </c>
      <c r="K1956" s="455">
        <f t="shared" ca="1" si="118"/>
        <v>3431095.7927598441</v>
      </c>
      <c r="L1956" s="455">
        <f t="shared" ca="1" si="119"/>
        <v>826894086.05512249</v>
      </c>
      <c r="M1956" s="471">
        <f t="shared" si="121"/>
        <v>0.05</v>
      </c>
      <c r="N1956" s="475">
        <f t="shared" si="122"/>
        <v>110578</v>
      </c>
    </row>
    <row r="1957" spans="7:14" ht="11.25" customHeight="1" x14ac:dyDescent="0.3">
      <c r="G1957" s="470"/>
      <c r="H1957" s="470">
        <v>1950</v>
      </c>
      <c r="I1957" s="455">
        <f t="shared" ca="1" si="120"/>
        <v>826894086.05512249</v>
      </c>
      <c r="J1957" s="455">
        <f t="array" ref="J1957">IFERROR(INDEX('Retirement Calculator'!K:K,MATCH('Lorri 401b'!N1957,'Retirement Calculator'!A:A,0),0),0)</f>
        <v>0</v>
      </c>
      <c r="K1957" s="455">
        <f t="shared" ca="1" si="118"/>
        <v>3445392.0252296771</v>
      </c>
      <c r="L1957" s="455">
        <f t="shared" ca="1" si="119"/>
        <v>830339478.08035219</v>
      </c>
      <c r="M1957" s="471">
        <f t="shared" si="121"/>
        <v>0.05</v>
      </c>
      <c r="N1957" s="475">
        <f t="shared" si="122"/>
        <v>110609</v>
      </c>
    </row>
    <row r="1958" spans="7:14" ht="11.25" customHeight="1" x14ac:dyDescent="0.3">
      <c r="G1958" s="470"/>
      <c r="H1958" s="470">
        <v>1951</v>
      </c>
      <c r="I1958" s="455">
        <f t="shared" ca="1" si="120"/>
        <v>830339478.08035219</v>
      </c>
      <c r="J1958" s="455">
        <f t="array" ref="J1958">IFERROR(INDEX('Retirement Calculator'!K:K,MATCH('Lorri 401b'!N1958,'Retirement Calculator'!A:A,0),0),0)</f>
        <v>0</v>
      </c>
      <c r="K1958" s="455">
        <f t="shared" ca="1" si="118"/>
        <v>3459747.8253348009</v>
      </c>
      <c r="L1958" s="455">
        <f t="shared" ca="1" si="119"/>
        <v>833799225.90568697</v>
      </c>
      <c r="M1958" s="471">
        <f t="shared" si="121"/>
        <v>0.05</v>
      </c>
      <c r="N1958" s="475">
        <f t="shared" si="122"/>
        <v>110639</v>
      </c>
    </row>
    <row r="1959" spans="7:14" ht="11.25" customHeight="1" x14ac:dyDescent="0.3">
      <c r="G1959" s="470"/>
      <c r="H1959" s="470">
        <v>1952</v>
      </c>
      <c r="I1959" s="455">
        <f t="shared" ca="1" si="120"/>
        <v>833799225.90568697</v>
      </c>
      <c r="J1959" s="455">
        <f t="array" ref="J1959">IFERROR(INDEX('Retirement Calculator'!K:K,MATCH('Lorri 401b'!N1959,'Retirement Calculator'!A:A,0),0),0)</f>
        <v>0</v>
      </c>
      <c r="K1959" s="455">
        <f t="shared" ca="1" si="118"/>
        <v>3474163.4412736958</v>
      </c>
      <c r="L1959" s="455">
        <f t="shared" ca="1" si="119"/>
        <v>837273389.34696066</v>
      </c>
      <c r="M1959" s="471">
        <f t="shared" si="121"/>
        <v>0.05</v>
      </c>
      <c r="N1959" s="475">
        <f t="shared" si="122"/>
        <v>110670</v>
      </c>
    </row>
    <row r="1960" spans="7:14" ht="11.25" customHeight="1" x14ac:dyDescent="0.3">
      <c r="G1960" s="470"/>
      <c r="H1960" s="470">
        <v>1953</v>
      </c>
      <c r="I1960" s="455">
        <f t="shared" ca="1" si="120"/>
        <v>837273389.34696066</v>
      </c>
      <c r="J1960" s="455">
        <f t="array" ref="J1960">IFERROR(INDEX('Retirement Calculator'!K:K,MATCH('Lorri 401b'!N1960,'Retirement Calculator'!A:A,0),0),0)</f>
        <v>0</v>
      </c>
      <c r="K1960" s="455">
        <f t="shared" ca="1" si="118"/>
        <v>3488639.1222790023</v>
      </c>
      <c r="L1960" s="455">
        <f t="shared" ca="1" si="119"/>
        <v>840762028.46923971</v>
      </c>
      <c r="M1960" s="471">
        <f t="shared" si="121"/>
        <v>0.05</v>
      </c>
      <c r="N1960" s="475">
        <f t="shared" si="122"/>
        <v>110701</v>
      </c>
    </row>
    <row r="1961" spans="7:14" ht="11.25" customHeight="1" x14ac:dyDescent="0.3">
      <c r="G1961" s="470"/>
      <c r="H1961" s="470">
        <v>1954</v>
      </c>
      <c r="I1961" s="455">
        <f t="shared" ca="1" si="120"/>
        <v>840762028.46923971</v>
      </c>
      <c r="J1961" s="455">
        <f t="array" ref="J1961">IFERROR(INDEX('Retirement Calculator'!K:K,MATCH('Lorri 401b'!N1961,'Retirement Calculator'!A:A,0),0),0)</f>
        <v>0</v>
      </c>
      <c r="K1961" s="455">
        <f t="shared" ca="1" si="118"/>
        <v>3503175.1186218318</v>
      </c>
      <c r="L1961" s="455">
        <f t="shared" ca="1" si="119"/>
        <v>844265203.58786154</v>
      </c>
      <c r="M1961" s="471">
        <f t="shared" si="121"/>
        <v>0.05</v>
      </c>
      <c r="N1961" s="475">
        <f t="shared" si="122"/>
        <v>110729</v>
      </c>
    </row>
    <row r="1962" spans="7:14" ht="11.25" customHeight="1" x14ac:dyDescent="0.3">
      <c r="G1962" s="470"/>
      <c r="H1962" s="470">
        <v>1955</v>
      </c>
      <c r="I1962" s="455">
        <f t="shared" ca="1" si="120"/>
        <v>844265203.58786154</v>
      </c>
      <c r="J1962" s="455">
        <f t="array" ref="J1962">IFERROR(INDEX('Retirement Calculator'!K:K,MATCH('Lorri 401b'!N1962,'Retirement Calculator'!A:A,0),0),0)</f>
        <v>0</v>
      </c>
      <c r="K1962" s="455">
        <f t="shared" ca="1" si="118"/>
        <v>3517771.6816160893</v>
      </c>
      <c r="L1962" s="455">
        <f t="shared" ca="1" si="119"/>
        <v>847782975.26947761</v>
      </c>
      <c r="M1962" s="471">
        <f t="shared" si="121"/>
        <v>0.05</v>
      </c>
      <c r="N1962" s="475">
        <f t="shared" si="122"/>
        <v>110760</v>
      </c>
    </row>
    <row r="1963" spans="7:14" ht="11.25" customHeight="1" x14ac:dyDescent="0.3">
      <c r="G1963" s="470"/>
      <c r="H1963" s="470">
        <v>1956</v>
      </c>
      <c r="I1963" s="455">
        <f t="shared" ca="1" si="120"/>
        <v>847782975.26947761</v>
      </c>
      <c r="J1963" s="455">
        <f t="array" ref="J1963">IFERROR(INDEX('Retirement Calculator'!K:K,MATCH('Lorri 401b'!N1963,'Retirement Calculator'!A:A,0),0),0)</f>
        <v>0</v>
      </c>
      <c r="K1963" s="455">
        <f t="shared" ca="1" si="118"/>
        <v>3532429.0636228235</v>
      </c>
      <c r="L1963" s="455">
        <f t="shared" ca="1" si="119"/>
        <v>851315404.33310044</v>
      </c>
      <c r="M1963" s="471">
        <f t="shared" si="121"/>
        <v>0.05</v>
      </c>
      <c r="N1963" s="475">
        <f t="shared" si="122"/>
        <v>110790</v>
      </c>
    </row>
    <row r="1964" spans="7:14" ht="11.25" customHeight="1" x14ac:dyDescent="0.3">
      <c r="G1964" s="470"/>
      <c r="H1964" s="470">
        <v>1957</v>
      </c>
      <c r="I1964" s="455">
        <f t="shared" ca="1" si="120"/>
        <v>851315404.33310044</v>
      </c>
      <c r="J1964" s="455">
        <f t="array" ref="J1964">IFERROR(INDEX('Retirement Calculator'!K:K,MATCH('Lorri 401b'!N1964,'Retirement Calculator'!A:A,0),0),0)</f>
        <v>0</v>
      </c>
      <c r="K1964" s="455">
        <f t="shared" ca="1" si="118"/>
        <v>3547147.5180545845</v>
      </c>
      <c r="L1964" s="455">
        <f t="shared" ca="1" si="119"/>
        <v>854862551.85115504</v>
      </c>
      <c r="M1964" s="471">
        <f t="shared" si="121"/>
        <v>0.05</v>
      </c>
      <c r="N1964" s="475">
        <f t="shared" si="122"/>
        <v>110821</v>
      </c>
    </row>
    <row r="1965" spans="7:14" ht="11.25" customHeight="1" x14ac:dyDescent="0.3">
      <c r="G1965" s="470"/>
      <c r="H1965" s="470">
        <v>1958</v>
      </c>
      <c r="I1965" s="455">
        <f t="shared" ca="1" si="120"/>
        <v>854862551.85115504</v>
      </c>
      <c r="J1965" s="455">
        <f t="array" ref="J1965">IFERROR(INDEX('Retirement Calculator'!K:K,MATCH('Lorri 401b'!N1965,'Retirement Calculator'!A:A,0),0),0)</f>
        <v>0</v>
      </c>
      <c r="K1965" s="455">
        <f t="shared" ca="1" si="118"/>
        <v>3561927.2993798126</v>
      </c>
      <c r="L1965" s="455">
        <f t="shared" ca="1" si="119"/>
        <v>858424479.15053487</v>
      </c>
      <c r="M1965" s="471">
        <f t="shared" si="121"/>
        <v>0.05</v>
      </c>
      <c r="N1965" s="475">
        <f t="shared" si="122"/>
        <v>110851</v>
      </c>
    </row>
    <row r="1966" spans="7:14" ht="11.25" customHeight="1" x14ac:dyDescent="0.3">
      <c r="G1966" s="470"/>
      <c r="H1966" s="470">
        <v>1959</v>
      </c>
      <c r="I1966" s="455">
        <f t="shared" ca="1" si="120"/>
        <v>858424479.15053487</v>
      </c>
      <c r="J1966" s="455">
        <f t="array" ref="J1966">IFERROR(INDEX('Retirement Calculator'!K:K,MATCH('Lorri 401b'!N1966,'Retirement Calculator'!A:A,0),0),0)</f>
        <v>0</v>
      </c>
      <c r="K1966" s="455">
        <f t="shared" ca="1" si="118"/>
        <v>3576768.6631272291</v>
      </c>
      <c r="L1966" s="455">
        <f t="shared" ca="1" si="119"/>
        <v>862001247.81366205</v>
      </c>
      <c r="M1966" s="471">
        <f t="shared" si="121"/>
        <v>0.05</v>
      </c>
      <c r="N1966" s="475">
        <f t="shared" si="122"/>
        <v>110882</v>
      </c>
    </row>
    <row r="1967" spans="7:14" ht="11.25" customHeight="1" x14ac:dyDescent="0.3">
      <c r="G1967" s="470"/>
      <c r="H1967" s="470">
        <v>1960</v>
      </c>
      <c r="I1967" s="455">
        <f t="shared" ca="1" si="120"/>
        <v>862001247.81366205</v>
      </c>
      <c r="J1967" s="455">
        <f t="array" ref="J1967">IFERROR(INDEX('Retirement Calculator'!K:K,MATCH('Lorri 401b'!N1967,'Retirement Calculator'!A:A,0),0),0)</f>
        <v>0</v>
      </c>
      <c r="K1967" s="455">
        <f t="shared" ca="1" si="118"/>
        <v>3591671.8658902585</v>
      </c>
      <c r="L1967" s="455">
        <f t="shared" ca="1" si="119"/>
        <v>865592919.67955232</v>
      </c>
      <c r="M1967" s="471">
        <f t="shared" si="121"/>
        <v>0.05</v>
      </c>
      <c r="N1967" s="475">
        <f t="shared" si="122"/>
        <v>110913</v>
      </c>
    </row>
    <row r="1968" spans="7:14" ht="11.25" customHeight="1" x14ac:dyDescent="0.3">
      <c r="G1968" s="470"/>
      <c r="H1968" s="470">
        <v>1961</v>
      </c>
      <c r="I1968" s="455">
        <f t="shared" ca="1" si="120"/>
        <v>865592919.67955232</v>
      </c>
      <c r="J1968" s="455">
        <f t="array" ref="J1968">IFERROR(INDEX('Retirement Calculator'!K:K,MATCH('Lorri 401b'!N1968,'Retirement Calculator'!A:A,0),0),0)</f>
        <v>0</v>
      </c>
      <c r="K1968" s="455">
        <f t="shared" ca="1" si="118"/>
        <v>3606637.165331468</v>
      </c>
      <c r="L1968" s="455">
        <f t="shared" ca="1" si="119"/>
        <v>869199556.8448838</v>
      </c>
      <c r="M1968" s="471">
        <f t="shared" si="121"/>
        <v>0.05</v>
      </c>
      <c r="N1968" s="475">
        <f t="shared" si="122"/>
        <v>110943</v>
      </c>
    </row>
    <row r="1969" spans="7:14" ht="11.25" customHeight="1" x14ac:dyDescent="0.3">
      <c r="G1969" s="470"/>
      <c r="H1969" s="470">
        <v>1962</v>
      </c>
      <c r="I1969" s="455">
        <f t="shared" ca="1" si="120"/>
        <v>869199556.8448838</v>
      </c>
      <c r="J1969" s="455">
        <f t="array" ref="J1969">IFERROR(INDEX('Retirement Calculator'!K:K,MATCH('Lorri 401b'!N1969,'Retirement Calculator'!A:A,0),0),0)</f>
        <v>0</v>
      </c>
      <c r="K1969" s="455">
        <f t="shared" ca="1" si="118"/>
        <v>3621664.8201870159</v>
      </c>
      <c r="L1969" s="455">
        <f t="shared" ca="1" si="119"/>
        <v>872821221.66507077</v>
      </c>
      <c r="M1969" s="471">
        <f t="shared" si="121"/>
        <v>0.05</v>
      </c>
      <c r="N1969" s="475">
        <f t="shared" si="122"/>
        <v>110974</v>
      </c>
    </row>
    <row r="1970" spans="7:14" ht="11.25" customHeight="1" x14ac:dyDescent="0.3">
      <c r="G1970" s="470"/>
      <c r="H1970" s="470">
        <v>1963</v>
      </c>
      <c r="I1970" s="455">
        <f t="shared" ca="1" si="120"/>
        <v>872821221.66507077</v>
      </c>
      <c r="J1970" s="455">
        <f t="array" ref="J1970">IFERROR(INDEX('Retirement Calculator'!K:K,MATCH('Lorri 401b'!N1970,'Retirement Calculator'!A:A,0),0),0)</f>
        <v>0</v>
      </c>
      <c r="K1970" s="455">
        <f t="shared" ca="1" si="118"/>
        <v>3636755.0902711288</v>
      </c>
      <c r="L1970" s="455">
        <f t="shared" ca="1" si="119"/>
        <v>876457976.75534189</v>
      </c>
      <c r="M1970" s="471">
        <f t="shared" si="121"/>
        <v>0.05</v>
      </c>
      <c r="N1970" s="475">
        <f t="shared" si="122"/>
        <v>111004</v>
      </c>
    </row>
    <row r="1971" spans="7:14" ht="11.25" customHeight="1" x14ac:dyDescent="0.3">
      <c r="G1971" s="470"/>
      <c r="H1971" s="470">
        <v>1964</v>
      </c>
      <c r="I1971" s="455">
        <f t="shared" ca="1" si="120"/>
        <v>876457976.75534189</v>
      </c>
      <c r="J1971" s="455">
        <f t="array" ref="J1971">IFERROR(INDEX('Retirement Calculator'!K:K,MATCH('Lorri 401b'!N1971,'Retirement Calculator'!A:A,0),0),0)</f>
        <v>0</v>
      </c>
      <c r="K1971" s="455">
        <f t="shared" ca="1" si="118"/>
        <v>3651908.2364805918</v>
      </c>
      <c r="L1971" s="455">
        <f t="shared" ca="1" si="119"/>
        <v>880109884.99182248</v>
      </c>
      <c r="M1971" s="471">
        <f t="shared" si="121"/>
        <v>0.05</v>
      </c>
      <c r="N1971" s="475">
        <f t="shared" si="122"/>
        <v>111035</v>
      </c>
    </row>
    <row r="1972" spans="7:14" ht="11.25" customHeight="1" x14ac:dyDescent="0.3">
      <c r="G1972" s="470"/>
      <c r="H1972" s="470">
        <v>1965</v>
      </c>
      <c r="I1972" s="455">
        <f t="shared" ca="1" si="120"/>
        <v>880109884.99182248</v>
      </c>
      <c r="J1972" s="455">
        <f t="array" ref="J1972">IFERROR(INDEX('Retirement Calculator'!K:K,MATCH('Lorri 401b'!N1972,'Retirement Calculator'!A:A,0),0),0)</f>
        <v>0</v>
      </c>
      <c r="K1972" s="455">
        <f t="shared" ca="1" si="118"/>
        <v>3667124.5207992606</v>
      </c>
      <c r="L1972" s="455">
        <f t="shared" ca="1" si="119"/>
        <v>883777009.51262176</v>
      </c>
      <c r="M1972" s="471">
        <f t="shared" si="121"/>
        <v>0.05</v>
      </c>
      <c r="N1972" s="475">
        <f t="shared" si="122"/>
        <v>111066</v>
      </c>
    </row>
    <row r="1973" spans="7:14" ht="11.25" customHeight="1" x14ac:dyDescent="0.3">
      <c r="G1973" s="470"/>
      <c r="H1973" s="470">
        <v>1966</v>
      </c>
      <c r="I1973" s="455">
        <f t="shared" ca="1" si="120"/>
        <v>883777009.51262176</v>
      </c>
      <c r="J1973" s="455">
        <f t="array" ref="J1973">IFERROR(INDEX('Retirement Calculator'!K:K,MATCH('Lorri 401b'!N1973,'Retirement Calculator'!A:A,0),0),0)</f>
        <v>0</v>
      </c>
      <c r="K1973" s="455">
        <f t="shared" ca="1" si="118"/>
        <v>3682404.2063025907</v>
      </c>
      <c r="L1973" s="455">
        <f t="shared" ca="1" si="119"/>
        <v>887459413.7189244</v>
      </c>
      <c r="M1973" s="471">
        <f t="shared" si="121"/>
        <v>0.05</v>
      </c>
      <c r="N1973" s="475">
        <f t="shared" si="122"/>
        <v>111095</v>
      </c>
    </row>
    <row r="1974" spans="7:14" ht="11.25" customHeight="1" x14ac:dyDescent="0.3">
      <c r="G1974" s="470"/>
      <c r="H1974" s="470">
        <v>1967</v>
      </c>
      <c r="I1974" s="455">
        <f t="shared" ca="1" si="120"/>
        <v>887459413.7189244</v>
      </c>
      <c r="J1974" s="455">
        <f t="array" ref="J1974">IFERROR(INDEX('Retirement Calculator'!K:K,MATCH('Lorri 401b'!N1974,'Retirement Calculator'!A:A,0),0),0)</f>
        <v>0</v>
      </c>
      <c r="K1974" s="455">
        <f t="shared" ca="1" si="118"/>
        <v>3697747.5571621847</v>
      </c>
      <c r="L1974" s="455">
        <f t="shared" ca="1" si="119"/>
        <v>891157161.27608657</v>
      </c>
      <c r="M1974" s="471">
        <f t="shared" si="121"/>
        <v>0.05</v>
      </c>
      <c r="N1974" s="475">
        <f t="shared" si="122"/>
        <v>111126</v>
      </c>
    </row>
    <row r="1975" spans="7:14" ht="11.25" customHeight="1" x14ac:dyDescent="0.3">
      <c r="G1975" s="470"/>
      <c r="H1975" s="470">
        <v>1968</v>
      </c>
      <c r="I1975" s="455">
        <f t="shared" ca="1" si="120"/>
        <v>891157161.27608657</v>
      </c>
      <c r="J1975" s="455">
        <f t="array" ref="J1975">IFERROR(INDEX('Retirement Calculator'!K:K,MATCH('Lorri 401b'!N1975,'Retirement Calculator'!A:A,0),0),0)</f>
        <v>0</v>
      </c>
      <c r="K1975" s="455">
        <f t="shared" ca="1" si="118"/>
        <v>3713154.8386503607</v>
      </c>
      <c r="L1975" s="455">
        <f t="shared" ca="1" si="119"/>
        <v>894870316.11473691</v>
      </c>
      <c r="M1975" s="471">
        <f t="shared" si="121"/>
        <v>0.05</v>
      </c>
      <c r="N1975" s="475">
        <f t="shared" si="122"/>
        <v>111156</v>
      </c>
    </row>
    <row r="1976" spans="7:14" ht="11.25" customHeight="1" x14ac:dyDescent="0.3">
      <c r="G1976" s="470"/>
      <c r="H1976" s="470">
        <v>1969</v>
      </c>
      <c r="I1976" s="455">
        <f t="shared" ca="1" si="120"/>
        <v>894870316.11473691</v>
      </c>
      <c r="J1976" s="455">
        <f t="array" ref="J1976">IFERROR(INDEX('Retirement Calculator'!K:K,MATCH('Lorri 401b'!N1976,'Retirement Calculator'!A:A,0),0),0)</f>
        <v>0</v>
      </c>
      <c r="K1976" s="455">
        <f t="shared" ca="1" si="118"/>
        <v>3728626.3171447371</v>
      </c>
      <c r="L1976" s="455">
        <f t="shared" ca="1" si="119"/>
        <v>898598942.43188167</v>
      </c>
      <c r="M1976" s="471">
        <f t="shared" si="121"/>
        <v>0.05</v>
      </c>
      <c r="N1976" s="475">
        <f t="shared" si="122"/>
        <v>111187</v>
      </c>
    </row>
    <row r="1977" spans="7:14" ht="11.25" customHeight="1" x14ac:dyDescent="0.3">
      <c r="G1977" s="470"/>
      <c r="H1977" s="470">
        <v>1970</v>
      </c>
      <c r="I1977" s="455">
        <f t="shared" ca="1" si="120"/>
        <v>898598942.43188167</v>
      </c>
      <c r="J1977" s="455">
        <f t="array" ref="J1977">IFERROR(INDEX('Retirement Calculator'!K:K,MATCH('Lorri 401b'!N1977,'Retirement Calculator'!A:A,0),0),0)</f>
        <v>0</v>
      </c>
      <c r="K1977" s="455">
        <f t="shared" ca="1" si="118"/>
        <v>3744162.2601328404</v>
      </c>
      <c r="L1977" s="455">
        <f t="shared" ca="1" si="119"/>
        <v>902343104.69201446</v>
      </c>
      <c r="M1977" s="471">
        <f t="shared" si="121"/>
        <v>0.05</v>
      </c>
      <c r="N1977" s="475">
        <f t="shared" si="122"/>
        <v>111217</v>
      </c>
    </row>
    <row r="1978" spans="7:14" ht="11.25" customHeight="1" x14ac:dyDescent="0.3">
      <c r="G1978" s="470"/>
      <c r="H1978" s="470">
        <v>1971</v>
      </c>
      <c r="I1978" s="455">
        <f t="shared" ca="1" si="120"/>
        <v>902343104.69201446</v>
      </c>
      <c r="J1978" s="455">
        <f t="array" ref="J1978">IFERROR(INDEX('Retirement Calculator'!K:K,MATCH('Lorri 401b'!N1978,'Retirement Calculator'!A:A,0),0),0)</f>
        <v>0</v>
      </c>
      <c r="K1978" s="455">
        <f t="shared" ca="1" si="118"/>
        <v>3759762.9362167269</v>
      </c>
      <c r="L1978" s="455">
        <f t="shared" ca="1" si="119"/>
        <v>906102867.62823117</v>
      </c>
      <c r="M1978" s="471">
        <f t="shared" si="121"/>
        <v>0.05</v>
      </c>
      <c r="N1978" s="475">
        <f t="shared" si="122"/>
        <v>111248</v>
      </c>
    </row>
    <row r="1979" spans="7:14" ht="11.25" customHeight="1" x14ac:dyDescent="0.3">
      <c r="G1979" s="470"/>
      <c r="H1979" s="470">
        <v>1972</v>
      </c>
      <c r="I1979" s="455">
        <f t="shared" ca="1" si="120"/>
        <v>906102867.62823117</v>
      </c>
      <c r="J1979" s="455">
        <f t="array" ref="J1979">IFERROR(INDEX('Retirement Calculator'!K:K,MATCH('Lorri 401b'!N1979,'Retirement Calculator'!A:A,0),0),0)</f>
        <v>0</v>
      </c>
      <c r="K1979" s="455">
        <f t="shared" ca="1" si="118"/>
        <v>3775428.6151176305</v>
      </c>
      <c r="L1979" s="455">
        <f t="shared" ca="1" si="119"/>
        <v>909878296.24334884</v>
      </c>
      <c r="M1979" s="471">
        <f t="shared" si="121"/>
        <v>0.05</v>
      </c>
      <c r="N1979" s="475">
        <f t="shared" si="122"/>
        <v>111279</v>
      </c>
    </row>
    <row r="1980" spans="7:14" ht="11.25" customHeight="1" x14ac:dyDescent="0.3">
      <c r="G1980" s="470"/>
      <c r="H1980" s="470">
        <v>1973</v>
      </c>
      <c r="I1980" s="455">
        <f t="shared" ca="1" si="120"/>
        <v>909878296.24334884</v>
      </c>
      <c r="J1980" s="455">
        <f t="array" ref="J1980">IFERROR(INDEX('Retirement Calculator'!K:K,MATCH('Lorri 401b'!N1980,'Retirement Calculator'!A:A,0),0),0)</f>
        <v>0</v>
      </c>
      <c r="K1980" s="455">
        <f t="shared" ca="1" si="118"/>
        <v>3791159.5676806201</v>
      </c>
      <c r="L1980" s="455">
        <f t="shared" ca="1" si="119"/>
        <v>913669455.81102943</v>
      </c>
      <c r="M1980" s="471">
        <f t="shared" si="121"/>
        <v>0.05</v>
      </c>
      <c r="N1980" s="475">
        <f t="shared" si="122"/>
        <v>111309</v>
      </c>
    </row>
    <row r="1981" spans="7:14" ht="11.25" customHeight="1" x14ac:dyDescent="0.3">
      <c r="G1981" s="470"/>
      <c r="H1981" s="470">
        <v>1974</v>
      </c>
      <c r="I1981" s="455">
        <f t="shared" ca="1" si="120"/>
        <v>913669455.81102943</v>
      </c>
      <c r="J1981" s="455">
        <f t="array" ref="J1981">IFERROR(INDEX('Retirement Calculator'!K:K,MATCH('Lorri 401b'!N1981,'Retirement Calculator'!A:A,0),0),0)</f>
        <v>0</v>
      </c>
      <c r="K1981" s="455">
        <f t="shared" ca="1" si="118"/>
        <v>3806956.0658792891</v>
      </c>
      <c r="L1981" s="455">
        <f t="shared" ca="1" si="119"/>
        <v>917476411.87690878</v>
      </c>
      <c r="M1981" s="471">
        <f t="shared" si="121"/>
        <v>0.05</v>
      </c>
      <c r="N1981" s="475">
        <f t="shared" si="122"/>
        <v>111340</v>
      </c>
    </row>
    <row r="1982" spans="7:14" ht="11.25" customHeight="1" x14ac:dyDescent="0.3">
      <c r="G1982" s="470"/>
      <c r="H1982" s="470">
        <v>1975</v>
      </c>
      <c r="I1982" s="455">
        <f t="shared" ca="1" si="120"/>
        <v>917476411.87690878</v>
      </c>
      <c r="J1982" s="455">
        <f t="array" ref="J1982">IFERROR(INDEX('Retirement Calculator'!K:K,MATCH('Lorri 401b'!N1982,'Retirement Calculator'!A:A,0),0),0)</f>
        <v>0</v>
      </c>
      <c r="K1982" s="455">
        <f t="shared" ca="1" si="118"/>
        <v>3822818.382820453</v>
      </c>
      <c r="L1982" s="455">
        <f t="shared" ca="1" si="119"/>
        <v>921299230.25972927</v>
      </c>
      <c r="M1982" s="471">
        <f t="shared" si="121"/>
        <v>0.05</v>
      </c>
      <c r="N1982" s="475">
        <f t="shared" si="122"/>
        <v>111370</v>
      </c>
    </row>
    <row r="1983" spans="7:14" ht="11.25" customHeight="1" x14ac:dyDescent="0.3">
      <c r="G1983" s="470"/>
      <c r="H1983" s="470">
        <v>1976</v>
      </c>
      <c r="I1983" s="455">
        <f t="shared" ca="1" si="120"/>
        <v>921299230.25972927</v>
      </c>
      <c r="J1983" s="455">
        <f t="array" ref="J1983">IFERROR(INDEX('Retirement Calculator'!K:K,MATCH('Lorri 401b'!N1983,'Retirement Calculator'!A:A,0),0),0)</f>
        <v>0</v>
      </c>
      <c r="K1983" s="455">
        <f t="shared" ca="1" si="118"/>
        <v>3838746.7927488722</v>
      </c>
      <c r="L1983" s="455">
        <f t="shared" ca="1" si="119"/>
        <v>925137977.05247819</v>
      </c>
      <c r="M1983" s="471">
        <f t="shared" si="121"/>
        <v>0.05</v>
      </c>
      <c r="N1983" s="475">
        <f t="shared" si="122"/>
        <v>111401</v>
      </c>
    </row>
    <row r="1984" spans="7:14" ht="11.25" customHeight="1" x14ac:dyDescent="0.3">
      <c r="G1984" s="470"/>
      <c r="H1984" s="470">
        <v>1977</v>
      </c>
      <c r="I1984" s="455">
        <f t="shared" ca="1" si="120"/>
        <v>925137977.05247819</v>
      </c>
      <c r="J1984" s="455">
        <f t="array" ref="J1984">IFERROR(INDEX('Retirement Calculator'!K:K,MATCH('Lorri 401b'!N1984,'Retirement Calculator'!A:A,0),0),0)</f>
        <v>0</v>
      </c>
      <c r="K1984" s="455">
        <f t="shared" ca="1" si="118"/>
        <v>3854741.5710519925</v>
      </c>
      <c r="L1984" s="455">
        <f t="shared" ca="1" si="119"/>
        <v>928992718.62353015</v>
      </c>
      <c r="M1984" s="471">
        <f t="shared" si="121"/>
        <v>0.05</v>
      </c>
      <c r="N1984" s="475">
        <f t="shared" si="122"/>
        <v>111432</v>
      </c>
    </row>
    <row r="1985" spans="7:14" ht="11.25" customHeight="1" x14ac:dyDescent="0.3">
      <c r="G1985" s="470"/>
      <c r="H1985" s="470">
        <v>1978</v>
      </c>
      <c r="I1985" s="455">
        <f t="shared" ca="1" si="120"/>
        <v>928992718.62353015</v>
      </c>
      <c r="J1985" s="455">
        <f t="array" ref="J1985">IFERROR(INDEX('Retirement Calculator'!K:K,MATCH('Lorri 401b'!N1985,'Retirement Calculator'!A:A,0),0),0)</f>
        <v>0</v>
      </c>
      <c r="K1985" s="455">
        <f t="shared" ca="1" si="118"/>
        <v>3870802.9942647088</v>
      </c>
      <c r="L1985" s="455">
        <f t="shared" ca="1" si="119"/>
        <v>932863521.61779487</v>
      </c>
      <c r="M1985" s="471">
        <f t="shared" si="121"/>
        <v>0.05</v>
      </c>
      <c r="N1985" s="475">
        <f t="shared" si="122"/>
        <v>111460</v>
      </c>
    </row>
    <row r="1986" spans="7:14" ht="11.25" customHeight="1" x14ac:dyDescent="0.3">
      <c r="G1986" s="470"/>
      <c r="H1986" s="470">
        <v>1979</v>
      </c>
      <c r="I1986" s="455">
        <f t="shared" ca="1" si="120"/>
        <v>932863521.61779487</v>
      </c>
      <c r="J1986" s="455">
        <f t="array" ref="J1986">IFERROR(INDEX('Retirement Calculator'!K:K,MATCH('Lorri 401b'!N1986,'Retirement Calculator'!A:A,0),0),0)</f>
        <v>0</v>
      </c>
      <c r="K1986" s="455">
        <f t="shared" ca="1" si="118"/>
        <v>3886931.3400741452</v>
      </c>
      <c r="L1986" s="455">
        <f t="shared" ca="1" si="119"/>
        <v>936750452.95786905</v>
      </c>
      <c r="M1986" s="471">
        <f t="shared" si="121"/>
        <v>0.05</v>
      </c>
      <c r="N1986" s="475">
        <f t="shared" si="122"/>
        <v>111491</v>
      </c>
    </row>
    <row r="1987" spans="7:14" ht="11.25" customHeight="1" x14ac:dyDescent="0.3">
      <c r="G1987" s="470"/>
      <c r="H1987" s="470">
        <v>1980</v>
      </c>
      <c r="I1987" s="455">
        <f t="shared" ca="1" si="120"/>
        <v>936750452.95786905</v>
      </c>
      <c r="J1987" s="455">
        <f t="array" ref="J1987">IFERROR(INDEX('Retirement Calculator'!K:K,MATCH('Lorri 401b'!N1987,'Retirement Calculator'!A:A,0),0),0)</f>
        <v>0</v>
      </c>
      <c r="K1987" s="455">
        <f t="shared" ca="1" si="118"/>
        <v>3903126.8873244538</v>
      </c>
      <c r="L1987" s="455">
        <f t="shared" ca="1" si="119"/>
        <v>940653579.84519351</v>
      </c>
      <c r="M1987" s="471">
        <f t="shared" si="121"/>
        <v>0.05</v>
      </c>
      <c r="N1987" s="475">
        <f t="shared" si="122"/>
        <v>111521</v>
      </c>
    </row>
    <row r="1988" spans="7:14" ht="11.25" customHeight="1" x14ac:dyDescent="0.3">
      <c r="G1988" s="470"/>
      <c r="H1988" s="470">
        <v>1981</v>
      </c>
      <c r="I1988" s="455">
        <f t="shared" ca="1" si="120"/>
        <v>940653579.84519351</v>
      </c>
      <c r="J1988" s="455">
        <f t="array" ref="J1988">IFERROR(INDEX('Retirement Calculator'!K:K,MATCH('Lorri 401b'!N1988,'Retirement Calculator'!A:A,0),0),0)</f>
        <v>0</v>
      </c>
      <c r="K1988" s="455">
        <f t="shared" ca="1" si="118"/>
        <v>3919389.9160216395</v>
      </c>
      <c r="L1988" s="455">
        <f t="shared" ca="1" si="119"/>
        <v>944572969.76121509</v>
      </c>
      <c r="M1988" s="471">
        <f t="shared" si="121"/>
        <v>0.05</v>
      </c>
      <c r="N1988" s="475">
        <f t="shared" si="122"/>
        <v>111552</v>
      </c>
    </row>
    <row r="1989" spans="7:14" ht="11.25" customHeight="1" x14ac:dyDescent="0.3">
      <c r="G1989" s="470"/>
      <c r="H1989" s="470">
        <v>1982</v>
      </c>
      <c r="I1989" s="455">
        <f t="shared" ca="1" si="120"/>
        <v>944572969.76121509</v>
      </c>
      <c r="J1989" s="455">
        <f t="array" ref="J1989">IFERROR(INDEX('Retirement Calculator'!K:K,MATCH('Lorri 401b'!N1989,'Retirement Calculator'!A:A,0),0),0)</f>
        <v>0</v>
      </c>
      <c r="K1989" s="455">
        <f t="shared" ca="1" si="118"/>
        <v>3935720.707338396</v>
      </c>
      <c r="L1989" s="455">
        <f t="shared" ca="1" si="119"/>
        <v>948508690.46855354</v>
      </c>
      <c r="M1989" s="471">
        <f t="shared" si="121"/>
        <v>0.05</v>
      </c>
      <c r="N1989" s="475">
        <f t="shared" si="122"/>
        <v>111582</v>
      </c>
    </row>
    <row r="1990" spans="7:14" ht="11.25" customHeight="1" x14ac:dyDescent="0.3">
      <c r="G1990" s="470"/>
      <c r="H1990" s="470">
        <v>1983</v>
      </c>
      <c r="I1990" s="455">
        <f t="shared" ca="1" si="120"/>
        <v>948508690.46855354</v>
      </c>
      <c r="J1990" s="455">
        <f t="array" ref="J1990">IFERROR(INDEX('Retirement Calculator'!K:K,MATCH('Lorri 401b'!N1990,'Retirement Calculator'!A:A,0),0),0)</f>
        <v>0</v>
      </c>
      <c r="K1990" s="455">
        <f t="shared" ca="1" si="118"/>
        <v>3952119.5436189729</v>
      </c>
      <c r="L1990" s="455">
        <f t="shared" ca="1" si="119"/>
        <v>952460810.01217246</v>
      </c>
      <c r="M1990" s="471">
        <f t="shared" si="121"/>
        <v>0.05</v>
      </c>
      <c r="N1990" s="475">
        <f t="shared" si="122"/>
        <v>111613</v>
      </c>
    </row>
    <row r="1991" spans="7:14" ht="11.25" customHeight="1" x14ac:dyDescent="0.3">
      <c r="G1991" s="470"/>
      <c r="H1991" s="470">
        <v>1984</v>
      </c>
      <c r="I1991" s="455">
        <f t="shared" ca="1" si="120"/>
        <v>952460810.01217246</v>
      </c>
      <c r="J1991" s="455">
        <f t="array" ref="J1991">IFERROR(INDEX('Retirement Calculator'!K:K,MATCH('Lorri 401b'!N1991,'Retirement Calculator'!A:A,0),0),0)</f>
        <v>0</v>
      </c>
      <c r="K1991" s="455">
        <f t="shared" ca="1" si="118"/>
        <v>3968586.7083840519</v>
      </c>
      <c r="L1991" s="455">
        <f t="shared" ca="1" si="119"/>
        <v>956429396.7205565</v>
      </c>
      <c r="M1991" s="471">
        <f t="shared" si="121"/>
        <v>0.05</v>
      </c>
      <c r="N1991" s="475">
        <f t="shared" si="122"/>
        <v>111644</v>
      </c>
    </row>
    <row r="1992" spans="7:14" ht="11.25" customHeight="1" x14ac:dyDescent="0.3">
      <c r="G1992" s="470"/>
      <c r="H1992" s="470">
        <v>1985</v>
      </c>
      <c r="I1992" s="455">
        <f t="shared" ca="1" si="120"/>
        <v>956429396.7205565</v>
      </c>
      <c r="J1992" s="455">
        <f t="array" ref="J1992">IFERROR(INDEX('Retirement Calculator'!K:K,MATCH('Lorri 401b'!N1992,'Retirement Calculator'!A:A,0),0),0)</f>
        <v>0</v>
      </c>
      <c r="K1992" s="455">
        <f t="shared" ca="1" si="118"/>
        <v>3985122.4863356519</v>
      </c>
      <c r="L1992" s="455">
        <f t="shared" ca="1" si="119"/>
        <v>960414519.20689213</v>
      </c>
      <c r="M1992" s="471">
        <f t="shared" si="121"/>
        <v>0.05</v>
      </c>
      <c r="N1992" s="475">
        <f t="shared" si="122"/>
        <v>111674</v>
      </c>
    </row>
    <row r="1993" spans="7:14" ht="11.25" customHeight="1" x14ac:dyDescent="0.3">
      <c r="G1993" s="470"/>
      <c r="H1993" s="470">
        <v>1986</v>
      </c>
      <c r="I1993" s="455">
        <f t="shared" ca="1" si="120"/>
        <v>960414519.20689213</v>
      </c>
      <c r="J1993" s="455">
        <f t="array" ref="J1993">IFERROR(INDEX('Retirement Calculator'!K:K,MATCH('Lorri 401b'!N1993,'Retirement Calculator'!A:A,0),0),0)</f>
        <v>0</v>
      </c>
      <c r="K1993" s="455">
        <f t="shared" ca="1" si="118"/>
        <v>4001727.1633620504</v>
      </c>
      <c r="L1993" s="455">
        <f t="shared" ca="1" si="119"/>
        <v>964416246.37025416</v>
      </c>
      <c r="M1993" s="471">
        <f t="shared" si="121"/>
        <v>0.05</v>
      </c>
      <c r="N1993" s="475">
        <f t="shared" si="122"/>
        <v>111705</v>
      </c>
    </row>
    <row r="1994" spans="7:14" ht="11.25" customHeight="1" x14ac:dyDescent="0.3">
      <c r="G1994" s="470"/>
      <c r="H1994" s="470">
        <v>1987</v>
      </c>
      <c r="I1994" s="455">
        <f t="shared" ca="1" si="120"/>
        <v>964416246.37025416</v>
      </c>
      <c r="J1994" s="455">
        <f t="array" ref="J1994">IFERROR(INDEX('Retirement Calculator'!K:K,MATCH('Lorri 401b'!N1994,'Retirement Calculator'!A:A,0),0),0)</f>
        <v>0</v>
      </c>
      <c r="K1994" s="455">
        <f t="shared" ca="1" si="118"/>
        <v>4018401.0265427255</v>
      </c>
      <c r="L1994" s="455">
        <f t="shared" ca="1" si="119"/>
        <v>968434647.39679694</v>
      </c>
      <c r="M1994" s="471">
        <f t="shared" si="121"/>
        <v>0.05</v>
      </c>
      <c r="N1994" s="475">
        <f t="shared" si="122"/>
        <v>111735</v>
      </c>
    </row>
    <row r="1995" spans="7:14" ht="11.25" customHeight="1" x14ac:dyDescent="0.3">
      <c r="G1995" s="470"/>
      <c r="H1995" s="470">
        <v>1988</v>
      </c>
      <c r="I1995" s="455">
        <f t="shared" ca="1" si="120"/>
        <v>968434647.39679694</v>
      </c>
      <c r="J1995" s="455">
        <f t="array" ref="J1995">IFERROR(INDEX('Retirement Calculator'!K:K,MATCH('Lorri 401b'!N1995,'Retirement Calculator'!A:A,0),0),0)</f>
        <v>0</v>
      </c>
      <c r="K1995" s="455">
        <f t="shared" ca="1" si="118"/>
        <v>4035144.3641533209</v>
      </c>
      <c r="L1995" s="455">
        <f t="shared" ca="1" si="119"/>
        <v>972469791.76095021</v>
      </c>
      <c r="M1995" s="471">
        <f t="shared" si="121"/>
        <v>0.05</v>
      </c>
      <c r="N1995" s="475">
        <f t="shared" si="122"/>
        <v>111766</v>
      </c>
    </row>
    <row r="1996" spans="7:14" ht="11.25" customHeight="1" x14ac:dyDescent="0.3">
      <c r="G1996" s="470"/>
      <c r="H1996" s="470">
        <v>1989</v>
      </c>
      <c r="I1996" s="455">
        <f t="shared" ca="1" si="120"/>
        <v>972469791.76095021</v>
      </c>
      <c r="J1996" s="455">
        <f t="array" ref="J1996">IFERROR(INDEX('Retirement Calculator'!K:K,MATCH('Lorri 401b'!N1996,'Retirement Calculator'!A:A,0),0),0)</f>
        <v>0</v>
      </c>
      <c r="K1996" s="455">
        <f t="shared" ca="1" si="118"/>
        <v>4051957.4656706252</v>
      </c>
      <c r="L1996" s="455">
        <f t="shared" ca="1" si="119"/>
        <v>976521749.22662079</v>
      </c>
      <c r="M1996" s="471">
        <f t="shared" si="121"/>
        <v>0.05</v>
      </c>
      <c r="N1996" s="475">
        <f t="shared" si="122"/>
        <v>111797</v>
      </c>
    </row>
    <row r="1997" spans="7:14" ht="11.25" customHeight="1" x14ac:dyDescent="0.3">
      <c r="G1997" s="470"/>
      <c r="H1997" s="470">
        <v>1990</v>
      </c>
      <c r="I1997" s="455">
        <f t="shared" ca="1" si="120"/>
        <v>976521749.22662079</v>
      </c>
      <c r="J1997" s="455">
        <f t="array" ref="J1997">IFERROR(INDEX('Retirement Calculator'!K:K,MATCH('Lorri 401b'!N1997,'Retirement Calculator'!A:A,0),0),0)</f>
        <v>0</v>
      </c>
      <c r="K1997" s="455">
        <f t="shared" ca="1" si="118"/>
        <v>4068840.6217775866</v>
      </c>
      <c r="L1997" s="455">
        <f t="shared" ca="1" si="119"/>
        <v>980590589.84839833</v>
      </c>
      <c r="M1997" s="471">
        <f t="shared" si="121"/>
        <v>0.05</v>
      </c>
      <c r="N1997" s="475">
        <f t="shared" si="122"/>
        <v>111825</v>
      </c>
    </row>
    <row r="1998" spans="7:14" ht="11.25" customHeight="1" x14ac:dyDescent="0.3">
      <c r="G1998" s="470"/>
      <c r="H1998" s="470">
        <v>1991</v>
      </c>
      <c r="I1998" s="455">
        <f t="shared" ca="1" si="120"/>
        <v>980590589.84839833</v>
      </c>
      <c r="J1998" s="455">
        <f t="array" ref="J1998">IFERROR(INDEX('Retirement Calculator'!K:K,MATCH('Lorri 401b'!N1998,'Retirement Calculator'!A:A,0),0),0)</f>
        <v>0</v>
      </c>
      <c r="K1998" s="455">
        <f t="shared" ca="1" si="118"/>
        <v>4085794.1243683258</v>
      </c>
      <c r="L1998" s="455">
        <f t="shared" ca="1" si="119"/>
        <v>984676383.97276664</v>
      </c>
      <c r="M1998" s="471">
        <f t="shared" si="121"/>
        <v>0.05</v>
      </c>
      <c r="N1998" s="475">
        <f t="shared" si="122"/>
        <v>111856</v>
      </c>
    </row>
    <row r="1999" spans="7:14" ht="11.25" customHeight="1" x14ac:dyDescent="0.3">
      <c r="G1999" s="470"/>
      <c r="H1999" s="470">
        <v>1992</v>
      </c>
      <c r="I1999" s="455">
        <f t="shared" ca="1" si="120"/>
        <v>984676383.97276664</v>
      </c>
      <c r="J1999" s="455">
        <f t="array" ref="J1999">IFERROR(INDEX('Retirement Calculator'!K:K,MATCH('Lorri 401b'!N1999,'Retirement Calculator'!A:A,0),0),0)</f>
        <v>0</v>
      </c>
      <c r="K1999" s="455">
        <f t="shared" ca="1" si="118"/>
        <v>4102818.2665531943</v>
      </c>
      <c r="L1999" s="455">
        <f t="shared" ca="1" si="119"/>
        <v>988779202.2393198</v>
      </c>
      <c r="M1999" s="471">
        <f t="shared" si="121"/>
        <v>0.05</v>
      </c>
      <c r="N1999" s="475">
        <f t="shared" si="122"/>
        <v>111886</v>
      </c>
    </row>
    <row r="2000" spans="7:14" ht="11.25" customHeight="1" x14ac:dyDescent="0.3">
      <c r="G2000" s="470"/>
      <c r="H2000" s="470">
        <v>1993</v>
      </c>
      <c r="I2000" s="455">
        <f t="shared" ca="1" si="120"/>
        <v>988779202.2393198</v>
      </c>
      <c r="J2000" s="455">
        <f t="array" ref="J2000">IFERROR(INDEX('Retirement Calculator'!K:K,MATCH('Lorri 401b'!N2000,'Retirement Calculator'!A:A,0),0),0)</f>
        <v>0</v>
      </c>
      <c r="K2000" s="455">
        <f t="shared" ca="1" si="118"/>
        <v>4119913.3426638325</v>
      </c>
      <c r="L2000" s="455">
        <f t="shared" ca="1" si="119"/>
        <v>992899115.58198369</v>
      </c>
      <c r="M2000" s="471">
        <f t="shared" si="121"/>
        <v>0.05</v>
      </c>
      <c r="N2000" s="475">
        <f t="shared" si="122"/>
        <v>111917</v>
      </c>
    </row>
    <row r="2001" spans="7:14" ht="11.25" customHeight="1" x14ac:dyDescent="0.3">
      <c r="G2001" s="470"/>
      <c r="H2001" s="470">
        <v>1994</v>
      </c>
      <c r="I2001" s="455">
        <f t="shared" ca="1" si="120"/>
        <v>992899115.58198369</v>
      </c>
      <c r="J2001" s="455">
        <f t="array" ref="J2001">IFERROR(INDEX('Retirement Calculator'!K:K,MATCH('Lorri 401b'!N2001,'Retirement Calculator'!A:A,0),0),0)</f>
        <v>0</v>
      </c>
      <c r="K2001" s="455">
        <f t="shared" ca="1" si="118"/>
        <v>4137079.6482582651</v>
      </c>
      <c r="L2001" s="455">
        <f t="shared" ca="1" si="119"/>
        <v>997036195.23024189</v>
      </c>
      <c r="M2001" s="471">
        <f t="shared" si="121"/>
        <v>0.05</v>
      </c>
      <c r="N2001" s="475">
        <f t="shared" si="122"/>
        <v>111947</v>
      </c>
    </row>
    <row r="2002" spans="7:14" ht="11.25" customHeight="1" x14ac:dyDescent="0.3">
      <c r="G2002" s="470"/>
      <c r="H2002" s="470">
        <v>1995</v>
      </c>
      <c r="I2002" s="455">
        <f t="shared" ca="1" si="120"/>
        <v>997036195.23024189</v>
      </c>
      <c r="J2002" s="455">
        <f t="array" ref="J2002">IFERROR(INDEX('Retirement Calculator'!K:K,MATCH('Lorri 401b'!N2002,'Retirement Calculator'!A:A,0),0),0)</f>
        <v>0</v>
      </c>
      <c r="K2002" s="455">
        <f t="shared" ca="1" si="118"/>
        <v>4154317.4801260079</v>
      </c>
      <c r="L2002" s="455">
        <f t="shared" ca="1" si="119"/>
        <v>1001190512.7103679</v>
      </c>
      <c r="M2002" s="471">
        <f t="shared" si="121"/>
        <v>0.05</v>
      </c>
      <c r="N2002" s="475">
        <f t="shared" si="122"/>
        <v>111978</v>
      </c>
    </row>
    <row r="2003" spans="7:14" ht="11.25" customHeight="1" x14ac:dyDescent="0.3">
      <c r="G2003" s="470"/>
      <c r="H2003" s="470">
        <v>1996</v>
      </c>
      <c r="I2003" s="455">
        <f t="shared" ca="1" si="120"/>
        <v>1001190512.7103679</v>
      </c>
      <c r="J2003" s="455">
        <f t="array" ref="J2003">IFERROR(INDEX('Retirement Calculator'!K:K,MATCH('Lorri 401b'!N2003,'Retirement Calculator'!A:A,0),0),0)</f>
        <v>0</v>
      </c>
      <c r="K2003" s="455">
        <f t="shared" ca="1" si="118"/>
        <v>4171627.1362931994</v>
      </c>
      <c r="L2003" s="455">
        <f t="shared" ca="1" si="119"/>
        <v>1005362139.8466611</v>
      </c>
      <c r="M2003" s="471">
        <f t="shared" si="121"/>
        <v>0.05</v>
      </c>
      <c r="N2003" s="475">
        <f t="shared" si="122"/>
        <v>112009</v>
      </c>
    </row>
    <row r="2004" spans="7:14" ht="11.25" customHeight="1" x14ac:dyDescent="0.3">
      <c r="G2004" s="470"/>
      <c r="H2004" s="470">
        <v>1997</v>
      </c>
      <c r="I2004" s="455">
        <f t="shared" ca="1" si="120"/>
        <v>1005362139.8466611</v>
      </c>
      <c r="J2004" s="455">
        <f t="array" ref="J2004">IFERROR(INDEX('Retirement Calculator'!K:K,MATCH('Lorri 401b'!N2004,'Retirement Calculator'!A:A,0),0),0)</f>
        <v>0</v>
      </c>
      <c r="K2004" s="455">
        <f t="shared" ca="1" si="118"/>
        <v>4189008.9160277545</v>
      </c>
      <c r="L2004" s="455">
        <f t="shared" ca="1" si="119"/>
        <v>1009551148.7626889</v>
      </c>
      <c r="M2004" s="471">
        <f t="shared" si="121"/>
        <v>0.05</v>
      </c>
      <c r="N2004" s="475">
        <f t="shared" si="122"/>
        <v>112039</v>
      </c>
    </row>
    <row r="2005" spans="7:14" ht="11.25" customHeight="1" x14ac:dyDescent="0.3">
      <c r="G2005" s="470"/>
      <c r="H2005" s="470">
        <v>1998</v>
      </c>
      <c r="I2005" s="455">
        <f t="shared" ca="1" si="120"/>
        <v>1009551148.7626889</v>
      </c>
      <c r="J2005" s="455">
        <f t="array" ref="J2005">IFERROR(INDEX('Retirement Calculator'!K:K,MATCH('Lorri 401b'!N2005,'Retirement Calculator'!A:A,0),0),0)</f>
        <v>0</v>
      </c>
      <c r="K2005" s="455">
        <f t="shared" ca="1" si="118"/>
        <v>4206463.1198445372</v>
      </c>
      <c r="L2005" s="455">
        <f t="shared" ca="1" si="119"/>
        <v>1013757611.8825334</v>
      </c>
      <c r="M2005" s="471">
        <f t="shared" si="121"/>
        <v>0.05</v>
      </c>
      <c r="N2005" s="475">
        <f t="shared" si="122"/>
        <v>112070</v>
      </c>
    </row>
    <row r="2006" spans="7:14" ht="11.25" customHeight="1" x14ac:dyDescent="0.3">
      <c r="G2006" s="470"/>
      <c r="H2006" s="470">
        <v>1999</v>
      </c>
      <c r="I2006" s="455">
        <f t="shared" ca="1" si="120"/>
        <v>1013757611.8825334</v>
      </c>
      <c r="J2006" s="455">
        <f t="array" ref="J2006">IFERROR(INDEX('Retirement Calculator'!K:K,MATCH('Lorri 401b'!N2006,'Retirement Calculator'!A:A,0),0),0)</f>
        <v>0</v>
      </c>
      <c r="K2006" s="455">
        <f t="shared" ca="1" si="118"/>
        <v>4223990.0495105553</v>
      </c>
      <c r="L2006" s="455">
        <f t="shared" ca="1" si="119"/>
        <v>1017981601.932044</v>
      </c>
      <c r="M2006" s="471">
        <f t="shared" si="121"/>
        <v>0.05</v>
      </c>
      <c r="N2006" s="475">
        <f t="shared" si="122"/>
        <v>112100</v>
      </c>
    </row>
    <row r="2007" spans="7:14" ht="11.25" customHeight="1" x14ac:dyDescent="0.3">
      <c r="G2007" s="470"/>
      <c r="H2007" s="470">
        <v>2000</v>
      </c>
      <c r="I2007" s="455">
        <f t="shared" ca="1" si="120"/>
        <v>1017981601.932044</v>
      </c>
      <c r="J2007" s="455">
        <f t="array" ref="J2007">IFERROR(INDEX('Retirement Calculator'!K:K,MATCH('Lorri 401b'!N2007,'Retirement Calculator'!A:A,0),0),0)</f>
        <v>0</v>
      </c>
      <c r="K2007" s="455">
        <f t="shared" ca="1" si="118"/>
        <v>4241590.0080501838</v>
      </c>
      <c r="L2007" s="455">
        <f t="shared" ca="1" si="119"/>
        <v>1022223191.9400942</v>
      </c>
      <c r="M2007" s="471">
        <f t="shared" si="121"/>
        <v>0.05</v>
      </c>
      <c r="N2007" s="475">
        <f t="shared" si="122"/>
        <v>112131</v>
      </c>
    </row>
    <row r="2008" spans="7:14" ht="11.25" customHeight="1" x14ac:dyDescent="0.3">
      <c r="G2008" s="470"/>
      <c r="H2008" s="470">
        <v>2001</v>
      </c>
      <c r="I2008" s="455">
        <f t="shared" ca="1" si="120"/>
        <v>1022223191.9400942</v>
      </c>
      <c r="J2008" s="455">
        <f t="array" ref="J2008">IFERROR(INDEX('Retirement Calculator'!K:K,MATCH('Lorri 401b'!N2008,'Retirement Calculator'!A:A,0),0),0)</f>
        <v>0</v>
      </c>
      <c r="K2008" s="455">
        <f t="shared" ca="1" si="118"/>
        <v>4259263.2997503923</v>
      </c>
      <c r="L2008" s="455">
        <f t="shared" ca="1" si="119"/>
        <v>1026482455.2398447</v>
      </c>
      <c r="M2008" s="471">
        <f t="shared" si="121"/>
        <v>0.05</v>
      </c>
      <c r="N2008" s="475">
        <f t="shared" si="122"/>
        <v>112162</v>
      </c>
    </row>
    <row r="2009" spans="7:14" ht="11.25" customHeight="1" x14ac:dyDescent="0.3">
      <c r="G2009" s="470"/>
      <c r="H2009" s="470">
        <v>2002</v>
      </c>
      <c r="I2009" s="455">
        <f t="shared" ca="1" si="120"/>
        <v>1026482455.2398447</v>
      </c>
      <c r="J2009" s="455">
        <f t="array" ref="J2009">IFERROR(INDEX('Retirement Calculator'!K:K,MATCH('Lorri 401b'!N2009,'Retirement Calculator'!A:A,0),0),0)</f>
        <v>0</v>
      </c>
      <c r="K2009" s="455">
        <f t="shared" ca="1" si="118"/>
        <v>4277010.2301660199</v>
      </c>
      <c r="L2009" s="455">
        <f t="shared" ca="1" si="119"/>
        <v>1030759465.4700108</v>
      </c>
      <c r="M2009" s="471">
        <f t="shared" si="121"/>
        <v>0.05</v>
      </c>
      <c r="N2009" s="475">
        <f t="shared" si="122"/>
        <v>112190</v>
      </c>
    </row>
    <row r="2010" spans="7:14" ht="11.25" customHeight="1" x14ac:dyDescent="0.3">
      <c r="G2010" s="470"/>
      <c r="H2010" s="470">
        <v>2003</v>
      </c>
      <c r="I2010" s="455">
        <f t="shared" ca="1" si="120"/>
        <v>1030759465.4700108</v>
      </c>
      <c r="J2010" s="455">
        <f t="array" ref="J2010">IFERROR(INDEX('Retirement Calculator'!K:K,MATCH('Lorri 401b'!N2010,'Retirement Calculator'!A:A,0),0),0)</f>
        <v>0</v>
      </c>
      <c r="K2010" s="455">
        <f t="shared" ca="1" si="118"/>
        <v>4294831.1061250446</v>
      </c>
      <c r="L2010" s="455">
        <f t="shared" ca="1" si="119"/>
        <v>1035054296.5761358</v>
      </c>
      <c r="M2010" s="471">
        <f t="shared" si="121"/>
        <v>0.05</v>
      </c>
      <c r="N2010" s="475">
        <f t="shared" si="122"/>
        <v>112221</v>
      </c>
    </row>
    <row r="2011" spans="7:14" ht="11.25" customHeight="1" x14ac:dyDescent="0.3">
      <c r="G2011" s="470"/>
      <c r="H2011" s="470">
        <v>2004</v>
      </c>
      <c r="I2011" s="455">
        <f t="shared" ca="1" si="120"/>
        <v>1035054296.5761358</v>
      </c>
      <c r="J2011" s="455">
        <f t="array" ref="J2011">IFERROR(INDEX('Retirement Calculator'!K:K,MATCH('Lorri 401b'!N2011,'Retirement Calculator'!A:A,0),0),0)</f>
        <v>0</v>
      </c>
      <c r="K2011" s="455">
        <f t="shared" ca="1" si="118"/>
        <v>4312726.2357338993</v>
      </c>
      <c r="L2011" s="455">
        <f t="shared" ca="1" si="119"/>
        <v>1039367022.8118696</v>
      </c>
      <c r="M2011" s="471">
        <f t="shared" si="121"/>
        <v>0.05</v>
      </c>
      <c r="N2011" s="475">
        <f t="shared" si="122"/>
        <v>112251</v>
      </c>
    </row>
    <row r="2012" spans="7:14" ht="11.25" customHeight="1" x14ac:dyDescent="0.3">
      <c r="G2012" s="470"/>
      <c r="H2012" s="470">
        <v>2005</v>
      </c>
      <c r="I2012" s="455">
        <f t="shared" ca="1" si="120"/>
        <v>1039367022.8118696</v>
      </c>
      <c r="J2012" s="455">
        <f t="array" ref="J2012">IFERROR(INDEX('Retirement Calculator'!K:K,MATCH('Lorri 401b'!N2012,'Retirement Calculator'!A:A,0),0),0)</f>
        <v>0</v>
      </c>
      <c r="K2012" s="455">
        <f t="shared" ca="1" si="118"/>
        <v>4330695.9283827906</v>
      </c>
      <c r="L2012" s="455">
        <f t="shared" ca="1" si="119"/>
        <v>1043697718.7402524</v>
      </c>
      <c r="M2012" s="471">
        <f t="shared" si="121"/>
        <v>0.05</v>
      </c>
      <c r="N2012" s="475">
        <f t="shared" si="122"/>
        <v>112282</v>
      </c>
    </row>
    <row r="2013" spans="7:14" ht="11.25" customHeight="1" x14ac:dyDescent="0.3">
      <c r="G2013" s="470"/>
      <c r="H2013" s="470">
        <v>2006</v>
      </c>
      <c r="I2013" s="455">
        <f t="shared" ca="1" si="120"/>
        <v>1043697718.7402524</v>
      </c>
      <c r="J2013" s="455">
        <f t="array" ref="J2013">IFERROR(INDEX('Retirement Calculator'!K:K,MATCH('Lorri 401b'!N2013,'Retirement Calculator'!A:A,0),0),0)</f>
        <v>0</v>
      </c>
      <c r="K2013" s="455">
        <f t="shared" ca="1" si="118"/>
        <v>4348740.4947510511</v>
      </c>
      <c r="L2013" s="455">
        <f t="shared" ca="1" si="119"/>
        <v>1048046459.2350035</v>
      </c>
      <c r="M2013" s="471">
        <f t="shared" si="121"/>
        <v>0.05</v>
      </c>
      <c r="N2013" s="475">
        <f t="shared" si="122"/>
        <v>112312</v>
      </c>
    </row>
    <row r="2014" spans="7:14" ht="11.25" customHeight="1" x14ac:dyDescent="0.3">
      <c r="G2014" s="470"/>
      <c r="H2014" s="470">
        <v>2007</v>
      </c>
      <c r="I2014" s="455">
        <f t="shared" ca="1" si="120"/>
        <v>1048046459.2350035</v>
      </c>
      <c r="J2014" s="455">
        <f t="array" ref="J2014">IFERROR(INDEX('Retirement Calculator'!K:K,MATCH('Lorri 401b'!N2014,'Retirement Calculator'!A:A,0),0),0)</f>
        <v>0</v>
      </c>
      <c r="K2014" s="455">
        <f t="shared" ca="1" si="118"/>
        <v>4366860.246812514</v>
      </c>
      <c r="L2014" s="455">
        <f t="shared" ca="1" si="119"/>
        <v>1052413319.4818159</v>
      </c>
      <c r="M2014" s="471">
        <f t="shared" si="121"/>
        <v>0.05</v>
      </c>
      <c r="N2014" s="475">
        <f t="shared" si="122"/>
        <v>112343</v>
      </c>
    </row>
    <row r="2015" spans="7:14" ht="11.25" customHeight="1" x14ac:dyDescent="0.3">
      <c r="G2015" s="470"/>
      <c r="H2015" s="470">
        <v>2008</v>
      </c>
      <c r="I2015" s="455">
        <f t="shared" ca="1" si="120"/>
        <v>1052413319.4818159</v>
      </c>
      <c r="J2015" s="455">
        <f t="array" ref="J2015">IFERROR(INDEX('Retirement Calculator'!K:K,MATCH('Lorri 401b'!N2015,'Retirement Calculator'!A:A,0),0),0)</f>
        <v>0</v>
      </c>
      <c r="K2015" s="455">
        <f t="shared" ca="1" si="118"/>
        <v>4385055.4978409</v>
      </c>
      <c r="L2015" s="455">
        <f t="shared" ca="1" si="119"/>
        <v>1056798374.9796568</v>
      </c>
      <c r="M2015" s="471">
        <f t="shared" si="121"/>
        <v>0.05</v>
      </c>
      <c r="N2015" s="475">
        <f t="shared" si="122"/>
        <v>112374</v>
      </c>
    </row>
    <row r="2016" spans="7:14" ht="11.25" customHeight="1" x14ac:dyDescent="0.3">
      <c r="G2016" s="470"/>
      <c r="H2016" s="470">
        <v>2009</v>
      </c>
      <c r="I2016" s="455">
        <f t="shared" ca="1" si="120"/>
        <v>1056798374.9796568</v>
      </c>
      <c r="J2016" s="455">
        <f t="array" ref="J2016">IFERROR(INDEX('Retirement Calculator'!K:K,MATCH('Lorri 401b'!N2016,'Retirement Calculator'!A:A,0),0),0)</f>
        <v>0</v>
      </c>
      <c r="K2016" s="455">
        <f t="shared" ca="1" si="118"/>
        <v>4403326.5624152366</v>
      </c>
      <c r="L2016" s="455">
        <f t="shared" ca="1" si="119"/>
        <v>1061201701.5420721</v>
      </c>
      <c r="M2016" s="471">
        <f t="shared" si="121"/>
        <v>0.05</v>
      </c>
      <c r="N2016" s="475">
        <f t="shared" si="122"/>
        <v>112404</v>
      </c>
    </row>
    <row r="2017" spans="7:14" ht="11.25" customHeight="1" x14ac:dyDescent="0.3">
      <c r="G2017" s="470"/>
      <c r="H2017" s="470">
        <v>2010</v>
      </c>
      <c r="I2017" s="455">
        <f t="shared" ca="1" si="120"/>
        <v>1061201701.5420721</v>
      </c>
      <c r="J2017" s="455">
        <f t="array" ref="J2017">IFERROR(INDEX('Retirement Calculator'!K:K,MATCH('Lorri 401b'!N2017,'Retirement Calculator'!A:A,0),0),0)</f>
        <v>0</v>
      </c>
      <c r="K2017" s="455">
        <f t="shared" ca="1" si="118"/>
        <v>4421673.7564253006</v>
      </c>
      <c r="L2017" s="455">
        <f t="shared" ca="1" si="119"/>
        <v>1065623375.2984973</v>
      </c>
      <c r="M2017" s="471">
        <f t="shared" si="121"/>
        <v>0.05</v>
      </c>
      <c r="N2017" s="475">
        <f t="shared" si="122"/>
        <v>112435</v>
      </c>
    </row>
    <row r="2018" spans="7:14" ht="11.25" customHeight="1" x14ac:dyDescent="0.3">
      <c r="G2018" s="470"/>
      <c r="H2018" s="470">
        <v>2011</v>
      </c>
      <c r="I2018" s="455">
        <f t="shared" ca="1" si="120"/>
        <v>1065623375.2984973</v>
      </c>
      <c r="J2018" s="455">
        <f t="array" ref="J2018">IFERROR(INDEX('Retirement Calculator'!K:K,MATCH('Lorri 401b'!N2018,'Retirement Calculator'!A:A,0),0),0)</f>
        <v>0</v>
      </c>
      <c r="K2018" s="455">
        <f t="shared" ca="1" si="118"/>
        <v>4440097.3970770724</v>
      </c>
      <c r="L2018" s="455">
        <f t="shared" ca="1" si="119"/>
        <v>1070063472.6955744</v>
      </c>
      <c r="M2018" s="471">
        <f t="shared" si="121"/>
        <v>0.05</v>
      </c>
      <c r="N2018" s="475">
        <f t="shared" si="122"/>
        <v>112465</v>
      </c>
    </row>
    <row r="2019" spans="7:14" ht="11.25" customHeight="1" x14ac:dyDescent="0.3">
      <c r="G2019" s="470"/>
      <c r="H2019" s="470">
        <v>2012</v>
      </c>
      <c r="I2019" s="455">
        <f t="shared" ca="1" si="120"/>
        <v>1070063472.6955744</v>
      </c>
      <c r="J2019" s="455">
        <f t="array" ref="J2019">IFERROR(INDEX('Retirement Calculator'!K:K,MATCH('Lorri 401b'!N2019,'Retirement Calculator'!A:A,0),0),0)</f>
        <v>0</v>
      </c>
      <c r="K2019" s="455">
        <f t="shared" ca="1" si="118"/>
        <v>4458597.8028982263</v>
      </c>
      <c r="L2019" s="455">
        <f t="shared" ca="1" si="119"/>
        <v>1074522070.4984727</v>
      </c>
      <c r="M2019" s="471">
        <f t="shared" si="121"/>
        <v>0.05</v>
      </c>
      <c r="N2019" s="475">
        <f t="shared" si="122"/>
        <v>112496</v>
      </c>
    </row>
    <row r="2020" spans="7:14" ht="11.25" customHeight="1" x14ac:dyDescent="0.3">
      <c r="G2020" s="470"/>
      <c r="H2020" s="470">
        <v>2013</v>
      </c>
      <c r="I2020" s="455">
        <f t="shared" ca="1" si="120"/>
        <v>1074522070.4984727</v>
      </c>
      <c r="J2020" s="455">
        <f t="array" ref="J2020">IFERROR(INDEX('Retirement Calculator'!K:K,MATCH('Lorri 401b'!N2020,'Retirement Calculator'!A:A,0),0),0)</f>
        <v>0</v>
      </c>
      <c r="K2020" s="455">
        <f t="shared" ca="1" si="118"/>
        <v>4477175.2937436365</v>
      </c>
      <c r="L2020" s="455">
        <f t="shared" ca="1" si="119"/>
        <v>1078999245.7922163</v>
      </c>
      <c r="M2020" s="471">
        <f t="shared" si="121"/>
        <v>0.05</v>
      </c>
      <c r="N2020" s="475">
        <f t="shared" si="122"/>
        <v>112527</v>
      </c>
    </row>
    <row r="2021" spans="7:14" ht="11.25" customHeight="1" x14ac:dyDescent="0.3">
      <c r="G2021" s="470"/>
      <c r="H2021" s="470">
        <v>2014</v>
      </c>
      <c r="I2021" s="455">
        <f t="shared" ca="1" si="120"/>
        <v>1078999245.7922163</v>
      </c>
      <c r="J2021" s="455">
        <f t="array" ref="J2021">IFERROR(INDEX('Retirement Calculator'!K:K,MATCH('Lorri 401b'!N2021,'Retirement Calculator'!A:A,0),0),0)</f>
        <v>0</v>
      </c>
      <c r="K2021" s="455">
        <f t="shared" ca="1" si="118"/>
        <v>4495830.1908009015</v>
      </c>
      <c r="L2021" s="455">
        <f t="shared" ca="1" si="119"/>
        <v>1083495075.9830172</v>
      </c>
      <c r="M2021" s="471">
        <f t="shared" si="121"/>
        <v>0.05</v>
      </c>
      <c r="N2021" s="475">
        <f t="shared" si="122"/>
        <v>112556</v>
      </c>
    </row>
    <row r="2022" spans="7:14" ht="11.25" customHeight="1" x14ac:dyDescent="0.3">
      <c r="G2022" s="470"/>
      <c r="H2022" s="470">
        <v>2015</v>
      </c>
      <c r="I2022" s="455">
        <f t="shared" ca="1" si="120"/>
        <v>1083495075.9830172</v>
      </c>
      <c r="J2022" s="455">
        <f t="array" ref="J2022">IFERROR(INDEX('Retirement Calculator'!K:K,MATCH('Lorri 401b'!N2022,'Retirement Calculator'!A:A,0),0),0)</f>
        <v>0</v>
      </c>
      <c r="K2022" s="455">
        <f t="shared" ca="1" si="118"/>
        <v>4514562.8165959045</v>
      </c>
      <c r="L2022" s="455">
        <f t="shared" ca="1" si="119"/>
        <v>1088009638.799613</v>
      </c>
      <c r="M2022" s="471">
        <f t="shared" si="121"/>
        <v>0.05</v>
      </c>
      <c r="N2022" s="475">
        <f t="shared" si="122"/>
        <v>112587</v>
      </c>
    </row>
    <row r="2023" spans="7:14" ht="11.25" customHeight="1" x14ac:dyDescent="0.3">
      <c r="G2023" s="470"/>
      <c r="H2023" s="470">
        <v>2016</v>
      </c>
      <c r="I2023" s="455">
        <f t="shared" ca="1" si="120"/>
        <v>1088009638.799613</v>
      </c>
      <c r="J2023" s="455">
        <f t="array" ref="J2023">IFERROR(INDEX('Retirement Calculator'!K:K,MATCH('Lorri 401b'!N2023,'Retirement Calculator'!A:A,0),0),0)</f>
        <v>0</v>
      </c>
      <c r="K2023" s="455">
        <f t="shared" ca="1" si="118"/>
        <v>4533373.4949983871</v>
      </c>
      <c r="L2023" s="455">
        <f t="shared" ca="1" si="119"/>
        <v>1092543012.2946115</v>
      </c>
      <c r="M2023" s="471">
        <f t="shared" si="121"/>
        <v>0.05</v>
      </c>
      <c r="N2023" s="475">
        <f t="shared" si="122"/>
        <v>112617</v>
      </c>
    </row>
    <row r="2024" spans="7:14" ht="11.25" customHeight="1" x14ac:dyDescent="0.3">
      <c r="G2024" s="470"/>
      <c r="H2024" s="470">
        <v>2017</v>
      </c>
      <c r="I2024" s="455">
        <f t="shared" ca="1" si="120"/>
        <v>1092543012.2946115</v>
      </c>
      <c r="J2024" s="455">
        <f t="array" ref="J2024">IFERROR(INDEX('Retirement Calculator'!K:K,MATCH('Lorri 401b'!N2024,'Retirement Calculator'!A:A,0),0),0)</f>
        <v>0</v>
      </c>
      <c r="K2024" s="455">
        <f t="shared" ca="1" si="118"/>
        <v>4552262.5512275472</v>
      </c>
      <c r="L2024" s="455">
        <f t="shared" ca="1" si="119"/>
        <v>1097095274.845839</v>
      </c>
      <c r="M2024" s="471">
        <f t="shared" si="121"/>
        <v>0.05</v>
      </c>
      <c r="N2024" s="475">
        <f t="shared" si="122"/>
        <v>112648</v>
      </c>
    </row>
    <row r="2025" spans="7:14" ht="11.25" customHeight="1" x14ac:dyDescent="0.3">
      <c r="G2025" s="470"/>
      <c r="H2025" s="470">
        <v>2018</v>
      </c>
      <c r="I2025" s="455">
        <f t="shared" ca="1" si="120"/>
        <v>1097095274.845839</v>
      </c>
      <c r="J2025" s="455">
        <f t="array" ref="J2025">IFERROR(INDEX('Retirement Calculator'!K:K,MATCH('Lorri 401b'!N2025,'Retirement Calculator'!A:A,0),0),0)</f>
        <v>0</v>
      </c>
      <c r="K2025" s="455">
        <f t="shared" ca="1" si="118"/>
        <v>4571230.3118576622</v>
      </c>
      <c r="L2025" s="455">
        <f t="shared" ca="1" si="119"/>
        <v>1101666505.1576967</v>
      </c>
      <c r="M2025" s="471">
        <f t="shared" si="121"/>
        <v>0.05</v>
      </c>
      <c r="N2025" s="475">
        <f t="shared" si="122"/>
        <v>112678</v>
      </c>
    </row>
    <row r="2026" spans="7:14" ht="11.25" customHeight="1" x14ac:dyDescent="0.3">
      <c r="G2026" s="470"/>
      <c r="H2026" s="470">
        <v>2019</v>
      </c>
      <c r="I2026" s="455">
        <f t="shared" ca="1" si="120"/>
        <v>1101666505.1576967</v>
      </c>
      <c r="J2026" s="455">
        <f t="array" ref="J2026">IFERROR(INDEX('Retirement Calculator'!K:K,MATCH('Lorri 401b'!N2026,'Retirement Calculator'!A:A,0),0),0)</f>
        <v>0</v>
      </c>
      <c r="K2026" s="455">
        <f t="shared" ca="1" si="118"/>
        <v>4590277.1048237365</v>
      </c>
      <c r="L2026" s="455">
        <f t="shared" ca="1" si="119"/>
        <v>1106256782.2625206</v>
      </c>
      <c r="M2026" s="471">
        <f t="shared" si="121"/>
        <v>0.05</v>
      </c>
      <c r="N2026" s="475">
        <f t="shared" si="122"/>
        <v>112709</v>
      </c>
    </row>
    <row r="2027" spans="7:14" ht="11.25" customHeight="1" x14ac:dyDescent="0.3">
      <c r="G2027" s="470"/>
      <c r="H2027" s="470">
        <v>2020</v>
      </c>
      <c r="I2027" s="455">
        <f t="shared" ca="1" si="120"/>
        <v>1106256782.2625206</v>
      </c>
      <c r="J2027" s="455">
        <f t="array" ref="J2027">IFERROR(INDEX('Retirement Calculator'!K:K,MATCH('Lorri 401b'!N2027,'Retirement Calculator'!A:A,0),0),0)</f>
        <v>0</v>
      </c>
      <c r="K2027" s="455">
        <f t="shared" ca="1" si="118"/>
        <v>4609403.2594271693</v>
      </c>
      <c r="L2027" s="455">
        <f t="shared" ca="1" si="119"/>
        <v>1110866185.5219476</v>
      </c>
      <c r="M2027" s="471">
        <f t="shared" si="121"/>
        <v>0.05</v>
      </c>
      <c r="N2027" s="475">
        <f t="shared" si="122"/>
        <v>112740</v>
      </c>
    </row>
    <row r="2028" spans="7:14" ht="11.25" customHeight="1" x14ac:dyDescent="0.3">
      <c r="G2028" s="470"/>
      <c r="H2028" s="470">
        <v>2021</v>
      </c>
      <c r="I2028" s="455">
        <f t="shared" ca="1" si="120"/>
        <v>1110866185.5219476</v>
      </c>
      <c r="J2028" s="455">
        <f t="array" ref="J2028">IFERROR(INDEX('Retirement Calculator'!K:K,MATCH('Lorri 401b'!N2028,'Retirement Calculator'!A:A,0),0),0)</f>
        <v>0</v>
      </c>
      <c r="K2028" s="455">
        <f t="shared" ca="1" si="118"/>
        <v>4628609.1063414486</v>
      </c>
      <c r="L2028" s="455">
        <f t="shared" ca="1" si="119"/>
        <v>1115494794.628289</v>
      </c>
      <c r="M2028" s="471">
        <f t="shared" si="121"/>
        <v>0.05</v>
      </c>
      <c r="N2028" s="475">
        <f t="shared" si="122"/>
        <v>112770</v>
      </c>
    </row>
    <row r="2029" spans="7:14" ht="11.25" customHeight="1" x14ac:dyDescent="0.3">
      <c r="G2029" s="470"/>
      <c r="H2029" s="470">
        <v>2022</v>
      </c>
      <c r="I2029" s="455">
        <f t="shared" ca="1" si="120"/>
        <v>1115494794.628289</v>
      </c>
      <c r="J2029" s="455">
        <f t="array" ref="J2029">IFERROR(INDEX('Retirement Calculator'!K:K,MATCH('Lorri 401b'!N2029,'Retirement Calculator'!A:A,0),0),0)</f>
        <v>0</v>
      </c>
      <c r="K2029" s="455">
        <f t="shared" ca="1" si="118"/>
        <v>4647894.977617871</v>
      </c>
      <c r="L2029" s="455">
        <f t="shared" ca="1" si="119"/>
        <v>1120142689.605907</v>
      </c>
      <c r="M2029" s="471">
        <f t="shared" si="121"/>
        <v>0.05</v>
      </c>
      <c r="N2029" s="475">
        <f t="shared" si="122"/>
        <v>112801</v>
      </c>
    </row>
    <row r="2030" spans="7:14" ht="11.25" customHeight="1" x14ac:dyDescent="0.3">
      <c r="G2030" s="470"/>
      <c r="H2030" s="470">
        <v>2023</v>
      </c>
      <c r="I2030" s="455">
        <f t="shared" ca="1" si="120"/>
        <v>1120142689.605907</v>
      </c>
      <c r="J2030" s="455">
        <f t="array" ref="J2030">IFERROR(INDEX('Retirement Calculator'!K:K,MATCH('Lorri 401b'!N2030,'Retirement Calculator'!A:A,0),0),0)</f>
        <v>0</v>
      </c>
      <c r="K2030" s="455">
        <f t="shared" ca="1" si="118"/>
        <v>4667261.2066912791</v>
      </c>
      <c r="L2030" s="455">
        <f t="shared" ca="1" si="119"/>
        <v>1124809950.8125982</v>
      </c>
      <c r="M2030" s="471">
        <f t="shared" si="121"/>
        <v>0.05</v>
      </c>
      <c r="N2030" s="475">
        <f t="shared" si="122"/>
        <v>112831</v>
      </c>
    </row>
    <row r="2031" spans="7:14" ht="11.25" customHeight="1" x14ac:dyDescent="0.3">
      <c r="G2031" s="470"/>
      <c r="H2031" s="470">
        <v>2024</v>
      </c>
      <c r="I2031" s="455">
        <f t="shared" ca="1" si="120"/>
        <v>1124809950.8125982</v>
      </c>
      <c r="J2031" s="455">
        <f t="array" ref="J2031">IFERROR(INDEX('Retirement Calculator'!K:K,MATCH('Lorri 401b'!N2031,'Retirement Calculator'!A:A,0),0),0)</f>
        <v>0</v>
      </c>
      <c r="K2031" s="455">
        <f t="shared" ca="1" si="118"/>
        <v>4686708.128385826</v>
      </c>
      <c r="L2031" s="455">
        <f t="shared" ca="1" si="119"/>
        <v>1129496658.940984</v>
      </c>
      <c r="M2031" s="471">
        <f t="shared" si="121"/>
        <v>0.05</v>
      </c>
      <c r="N2031" s="475">
        <f t="shared" si="122"/>
        <v>112862</v>
      </c>
    </row>
    <row r="2032" spans="7:14" ht="11.25" customHeight="1" x14ac:dyDescent="0.3">
      <c r="G2032" s="470"/>
      <c r="H2032" s="470">
        <v>2025</v>
      </c>
      <c r="I2032" s="455">
        <f t="shared" ca="1" si="120"/>
        <v>1129496658.940984</v>
      </c>
      <c r="J2032" s="455">
        <f t="array" ref="J2032">IFERROR(INDEX('Retirement Calculator'!K:K,MATCH('Lorri 401b'!N2032,'Retirement Calculator'!A:A,0),0),0)</f>
        <v>0</v>
      </c>
      <c r="K2032" s="455">
        <f t="shared" ca="1" si="118"/>
        <v>4706236.0789207667</v>
      </c>
      <c r="L2032" s="455">
        <f t="shared" ca="1" si="119"/>
        <v>1134202895.0199049</v>
      </c>
      <c r="M2032" s="471">
        <f t="shared" si="121"/>
        <v>0.05</v>
      </c>
      <c r="N2032" s="475">
        <f t="shared" si="122"/>
        <v>112893</v>
      </c>
    </row>
    <row r="2033" spans="7:14" ht="11.25" customHeight="1" x14ac:dyDescent="0.3">
      <c r="G2033" s="470"/>
      <c r="H2033" s="470">
        <v>2026</v>
      </c>
      <c r="I2033" s="455">
        <f t="shared" ca="1" si="120"/>
        <v>1134202895.0199049</v>
      </c>
      <c r="J2033" s="455">
        <f t="array" ref="J2033">IFERROR(INDEX('Retirement Calculator'!K:K,MATCH('Lorri 401b'!N2033,'Retirement Calculator'!A:A,0),0),0)</f>
        <v>0</v>
      </c>
      <c r="K2033" s="455">
        <f t="shared" ca="1" si="118"/>
        <v>4725845.3959162701</v>
      </c>
      <c r="L2033" s="455">
        <f t="shared" ca="1" si="119"/>
        <v>1138928740.4158211</v>
      </c>
      <c r="M2033" s="471">
        <f t="shared" si="121"/>
        <v>0.05</v>
      </c>
      <c r="N2033" s="475">
        <f t="shared" si="122"/>
        <v>112921</v>
      </c>
    </row>
    <row r="2034" spans="7:14" ht="11.25" customHeight="1" x14ac:dyDescent="0.3">
      <c r="G2034" s="470"/>
      <c r="H2034" s="470">
        <v>2027</v>
      </c>
      <c r="I2034" s="455">
        <f t="shared" ca="1" si="120"/>
        <v>1138928740.4158211</v>
      </c>
      <c r="J2034" s="455">
        <f t="array" ref="J2034">IFERROR(INDEX('Retirement Calculator'!K:K,MATCH('Lorri 401b'!N2034,'Retirement Calculator'!A:A,0),0),0)</f>
        <v>0</v>
      </c>
      <c r="K2034" s="455">
        <f t="shared" ca="1" si="118"/>
        <v>4745536.4183992548</v>
      </c>
      <c r="L2034" s="455">
        <f t="shared" ca="1" si="119"/>
        <v>1143674276.8342204</v>
      </c>
      <c r="M2034" s="471">
        <f t="shared" si="121"/>
        <v>0.05</v>
      </c>
      <c r="N2034" s="475">
        <f t="shared" si="122"/>
        <v>112952</v>
      </c>
    </row>
    <row r="2035" spans="7:14" ht="11.25" customHeight="1" x14ac:dyDescent="0.3">
      <c r="G2035" s="470"/>
      <c r="H2035" s="470">
        <v>2028</v>
      </c>
      <c r="I2035" s="455">
        <f t="shared" ca="1" si="120"/>
        <v>1143674276.8342204</v>
      </c>
      <c r="J2035" s="455">
        <f t="array" ref="J2035">IFERROR(INDEX('Retirement Calculator'!K:K,MATCH('Lorri 401b'!N2035,'Retirement Calculator'!A:A,0),0),0)</f>
        <v>0</v>
      </c>
      <c r="K2035" s="455">
        <f t="shared" ca="1" si="118"/>
        <v>4765309.4868092518</v>
      </c>
      <c r="L2035" s="455">
        <f t="shared" ca="1" si="119"/>
        <v>1148439586.3210297</v>
      </c>
      <c r="M2035" s="471">
        <f t="shared" si="121"/>
        <v>0.05</v>
      </c>
      <c r="N2035" s="475">
        <f t="shared" si="122"/>
        <v>112982</v>
      </c>
    </row>
    <row r="2036" spans="7:14" ht="11.25" customHeight="1" x14ac:dyDescent="0.3">
      <c r="G2036" s="470"/>
      <c r="H2036" s="470">
        <v>2029</v>
      </c>
      <c r="I2036" s="455">
        <f t="shared" ca="1" si="120"/>
        <v>1148439586.3210297</v>
      </c>
      <c r="J2036" s="455">
        <f t="array" ref="J2036">IFERROR(INDEX('Retirement Calculator'!K:K,MATCH('Lorri 401b'!N2036,'Retirement Calculator'!A:A,0),0),0)</f>
        <v>0</v>
      </c>
      <c r="K2036" s="455">
        <f t="shared" ca="1" si="118"/>
        <v>4785164.9430042906</v>
      </c>
      <c r="L2036" s="455">
        <f t="shared" ca="1" si="119"/>
        <v>1153224751.264034</v>
      </c>
      <c r="M2036" s="471">
        <f t="shared" si="121"/>
        <v>0.05</v>
      </c>
      <c r="N2036" s="475">
        <f t="shared" si="122"/>
        <v>113013</v>
      </c>
    </row>
    <row r="2037" spans="7:14" ht="11.25" customHeight="1" x14ac:dyDescent="0.3">
      <c r="G2037" s="470"/>
      <c r="H2037" s="470">
        <v>2030</v>
      </c>
      <c r="I2037" s="455">
        <f t="shared" ca="1" si="120"/>
        <v>1153224751.264034</v>
      </c>
      <c r="J2037" s="455">
        <f t="array" ref="J2037">IFERROR(INDEX('Retirement Calculator'!K:K,MATCH('Lorri 401b'!N2037,'Retirement Calculator'!A:A,0),0),0)</f>
        <v>0</v>
      </c>
      <c r="K2037" s="455">
        <f t="shared" ca="1" si="118"/>
        <v>4805103.130266808</v>
      </c>
      <c r="L2037" s="455">
        <f t="shared" ca="1" si="119"/>
        <v>1158029854.3943009</v>
      </c>
      <c r="M2037" s="471">
        <f t="shared" si="121"/>
        <v>0.05</v>
      </c>
      <c r="N2037" s="475">
        <f t="shared" si="122"/>
        <v>113043</v>
      </c>
    </row>
    <row r="2038" spans="7:14" ht="11.25" customHeight="1" x14ac:dyDescent="0.3">
      <c r="G2038" s="470"/>
      <c r="H2038" s="470">
        <v>2031</v>
      </c>
      <c r="I2038" s="455">
        <f t="shared" ca="1" si="120"/>
        <v>1158029854.3943009</v>
      </c>
      <c r="J2038" s="455">
        <f t="array" ref="J2038">IFERROR(INDEX('Retirement Calculator'!K:K,MATCH('Lorri 401b'!N2038,'Retirement Calculator'!A:A,0),0),0)</f>
        <v>0</v>
      </c>
      <c r="K2038" s="455">
        <f t="shared" ca="1" si="118"/>
        <v>4825124.3933095876</v>
      </c>
      <c r="L2038" s="455">
        <f t="shared" ca="1" si="119"/>
        <v>1162854978.7876105</v>
      </c>
      <c r="M2038" s="471">
        <f t="shared" si="121"/>
        <v>0.05</v>
      </c>
      <c r="N2038" s="475">
        <f t="shared" si="122"/>
        <v>113074</v>
      </c>
    </row>
    <row r="2039" spans="7:14" ht="11.25" customHeight="1" x14ac:dyDescent="0.3">
      <c r="G2039" s="470"/>
      <c r="H2039" s="470">
        <v>2032</v>
      </c>
      <c r="I2039" s="455">
        <f t="shared" ca="1" si="120"/>
        <v>1162854978.7876105</v>
      </c>
      <c r="J2039" s="455">
        <f t="array" ref="J2039">IFERROR(INDEX('Retirement Calculator'!K:K,MATCH('Lorri 401b'!N2039,'Retirement Calculator'!A:A,0),0),0)</f>
        <v>0</v>
      </c>
      <c r="K2039" s="455">
        <f t="shared" ca="1" si="118"/>
        <v>4845229.0782817109</v>
      </c>
      <c r="L2039" s="455">
        <f t="shared" ca="1" si="119"/>
        <v>1167700207.8658922</v>
      </c>
      <c r="M2039" s="471">
        <f t="shared" si="121"/>
        <v>0.05</v>
      </c>
      <c r="N2039" s="475">
        <f t="shared" si="122"/>
        <v>113105</v>
      </c>
    </row>
    <row r="2040" spans="7:14" ht="11.25" customHeight="1" x14ac:dyDescent="0.3">
      <c r="G2040" s="470"/>
      <c r="H2040" s="470">
        <v>2033</v>
      </c>
      <c r="I2040" s="455">
        <f t="shared" ca="1" si="120"/>
        <v>1167700207.8658922</v>
      </c>
      <c r="J2040" s="455">
        <f t="array" ref="J2040">IFERROR(INDEX('Retirement Calculator'!K:K,MATCH('Lorri 401b'!N2040,'Retirement Calculator'!A:A,0),0),0)</f>
        <v>0</v>
      </c>
      <c r="K2040" s="455">
        <f t="shared" ca="1" si="118"/>
        <v>4865417.5327745508</v>
      </c>
      <c r="L2040" s="455">
        <f t="shared" ca="1" si="119"/>
        <v>1172565625.3986666</v>
      </c>
      <c r="M2040" s="471">
        <f t="shared" si="121"/>
        <v>0.05</v>
      </c>
      <c r="N2040" s="475">
        <f t="shared" si="122"/>
        <v>113135</v>
      </c>
    </row>
    <row r="2041" spans="7:14" ht="11.25" customHeight="1" x14ac:dyDescent="0.3">
      <c r="G2041" s="470"/>
      <c r="H2041" s="470">
        <v>2034</v>
      </c>
      <c r="I2041" s="455">
        <f t="shared" ca="1" si="120"/>
        <v>1172565625.3986666</v>
      </c>
      <c r="J2041" s="455">
        <f t="array" ref="J2041">IFERROR(INDEX('Retirement Calculator'!K:K,MATCH('Lorri 401b'!N2041,'Retirement Calculator'!A:A,0),0),0)</f>
        <v>0</v>
      </c>
      <c r="K2041" s="455">
        <f t="shared" ca="1" si="118"/>
        <v>4885690.1058277776</v>
      </c>
      <c r="L2041" s="455">
        <f t="shared" ca="1" si="119"/>
        <v>1177451315.5044944</v>
      </c>
      <c r="M2041" s="471">
        <f t="shared" si="121"/>
        <v>0.05</v>
      </c>
      <c r="N2041" s="475">
        <f t="shared" si="122"/>
        <v>113166</v>
      </c>
    </row>
    <row r="2042" spans="7:14" ht="11.25" customHeight="1" x14ac:dyDescent="0.3">
      <c r="G2042" s="470"/>
      <c r="H2042" s="470">
        <v>2035</v>
      </c>
      <c r="I2042" s="455">
        <f t="shared" ca="1" si="120"/>
        <v>1177451315.5044944</v>
      </c>
      <c r="J2042" s="455">
        <f t="array" ref="J2042">IFERROR(INDEX('Retirement Calculator'!K:K,MATCH('Lorri 401b'!N2042,'Retirement Calculator'!A:A,0),0),0)</f>
        <v>0</v>
      </c>
      <c r="K2042" s="455">
        <f t="shared" ca="1" si="118"/>
        <v>4906047.1479353933</v>
      </c>
      <c r="L2042" s="455">
        <f t="shared" ca="1" si="119"/>
        <v>1182357362.6524298</v>
      </c>
      <c r="M2042" s="471">
        <f t="shared" si="121"/>
        <v>0.05</v>
      </c>
      <c r="N2042" s="475">
        <f t="shared" si="122"/>
        <v>113196</v>
      </c>
    </row>
    <row r="2043" spans="7:14" ht="11.25" customHeight="1" x14ac:dyDescent="0.3">
      <c r="G2043" s="470"/>
      <c r="H2043" s="470">
        <v>2036</v>
      </c>
      <c r="I2043" s="455">
        <f t="shared" ca="1" si="120"/>
        <v>1182357362.6524298</v>
      </c>
      <c r="J2043" s="455">
        <f t="array" ref="J2043">IFERROR(INDEX('Retirement Calculator'!K:K,MATCH('Lorri 401b'!N2043,'Retirement Calculator'!A:A,0),0),0)</f>
        <v>0</v>
      </c>
      <c r="K2043" s="455">
        <f t="shared" ca="1" si="118"/>
        <v>4926489.0110517908</v>
      </c>
      <c r="L2043" s="455">
        <f t="shared" ca="1" si="119"/>
        <v>1187283851.6634817</v>
      </c>
      <c r="M2043" s="471">
        <f t="shared" si="121"/>
        <v>0.05</v>
      </c>
      <c r="N2043" s="475">
        <f t="shared" si="122"/>
        <v>113227</v>
      </c>
    </row>
    <row r="2044" spans="7:14" ht="11.25" customHeight="1" x14ac:dyDescent="0.3">
      <c r="G2044" s="470"/>
      <c r="H2044" s="470">
        <v>2037</v>
      </c>
      <c r="I2044" s="455">
        <f t="shared" ca="1" si="120"/>
        <v>1187283851.6634817</v>
      </c>
      <c r="J2044" s="455">
        <f t="array" ref="J2044">IFERROR(INDEX('Retirement Calculator'!K:K,MATCH('Lorri 401b'!N2044,'Retirement Calculator'!A:A,0),0),0)</f>
        <v>0</v>
      </c>
      <c r="K2044" s="455">
        <f t="shared" ca="1" si="118"/>
        <v>4947016.0485978406</v>
      </c>
      <c r="L2044" s="455">
        <f t="shared" ca="1" si="119"/>
        <v>1192230867.7120795</v>
      </c>
      <c r="M2044" s="471">
        <f t="shared" si="121"/>
        <v>0.05</v>
      </c>
      <c r="N2044" s="475">
        <f t="shared" si="122"/>
        <v>113258</v>
      </c>
    </row>
    <row r="2045" spans="7:14" ht="11.25" customHeight="1" x14ac:dyDescent="0.3">
      <c r="G2045" s="470"/>
      <c r="H2045" s="470">
        <v>2038</v>
      </c>
      <c r="I2045" s="455">
        <f t="shared" ca="1" si="120"/>
        <v>1192230867.7120795</v>
      </c>
      <c r="J2045" s="455">
        <f t="array" ref="J2045">IFERROR(INDEX('Retirement Calculator'!K:K,MATCH('Lorri 401b'!N2045,'Retirement Calculator'!A:A,0),0),0)</f>
        <v>0</v>
      </c>
      <c r="K2045" s="455">
        <f t="shared" ca="1" si="118"/>
        <v>4967628.615466998</v>
      </c>
      <c r="L2045" s="455">
        <f t="shared" ca="1" si="119"/>
        <v>1197198496.3275466</v>
      </c>
      <c r="M2045" s="471">
        <f t="shared" si="121"/>
        <v>0.05</v>
      </c>
      <c r="N2045" s="475">
        <f t="shared" si="122"/>
        <v>113286</v>
      </c>
    </row>
    <row r="2046" spans="7:14" ht="11.25" customHeight="1" x14ac:dyDescent="0.3">
      <c r="G2046" s="470"/>
      <c r="H2046" s="470">
        <v>2039</v>
      </c>
      <c r="I2046" s="455">
        <f t="shared" ca="1" si="120"/>
        <v>1197198496.3275466</v>
      </c>
      <c r="J2046" s="455">
        <f t="array" ref="J2046">IFERROR(INDEX('Retirement Calculator'!K:K,MATCH('Lorri 401b'!N2046,'Retirement Calculator'!A:A,0),0),0)</f>
        <v>0</v>
      </c>
      <c r="K2046" s="455">
        <f t="shared" ca="1" si="118"/>
        <v>4988327.0680314442</v>
      </c>
      <c r="L2046" s="455">
        <f t="shared" ca="1" si="119"/>
        <v>1202186823.3955781</v>
      </c>
      <c r="M2046" s="471">
        <f t="shared" si="121"/>
        <v>0.05</v>
      </c>
      <c r="N2046" s="475">
        <f t="shared" si="122"/>
        <v>113317</v>
      </c>
    </row>
    <row r="2047" spans="7:14" ht="11.25" customHeight="1" x14ac:dyDescent="0.3">
      <c r="G2047" s="470"/>
      <c r="H2047" s="470">
        <v>2040</v>
      </c>
      <c r="I2047" s="455">
        <f t="shared" ca="1" si="120"/>
        <v>1202186823.3955781</v>
      </c>
      <c r="J2047" s="455">
        <f t="array" ref="J2047">IFERROR(INDEX('Retirement Calculator'!K:K,MATCH('Lorri 401b'!N2047,'Retirement Calculator'!A:A,0),0),0)</f>
        <v>0</v>
      </c>
      <c r="K2047" s="455">
        <f t="shared" ca="1" si="118"/>
        <v>5009111.7641482418</v>
      </c>
      <c r="L2047" s="455">
        <f t="shared" ca="1" si="119"/>
        <v>1207195935.1597264</v>
      </c>
      <c r="M2047" s="471">
        <f t="shared" si="121"/>
        <v>0.05</v>
      </c>
      <c r="N2047" s="475">
        <f t="shared" si="122"/>
        <v>113347</v>
      </c>
    </row>
    <row r="2048" spans="7:14" ht="11.25" customHeight="1" x14ac:dyDescent="0.3">
      <c r="G2048" s="470"/>
      <c r="H2048" s="470">
        <v>2041</v>
      </c>
      <c r="I2048" s="455">
        <f t="shared" ca="1" si="120"/>
        <v>1207195935.1597264</v>
      </c>
      <c r="J2048" s="455">
        <f t="array" ref="J2048">IFERROR(INDEX('Retirement Calculator'!K:K,MATCH('Lorri 401b'!N2048,'Retirement Calculator'!A:A,0),0),0)</f>
        <v>0</v>
      </c>
      <c r="K2048" s="455">
        <f t="shared" ref="K2048:K2302" ca="1" si="123">IPMT(M2048/12,1,12,-I2048+J2048,,0)</f>
        <v>5029983.0631655268</v>
      </c>
      <c r="L2048" s="455">
        <f t="shared" ref="L2048:L2302" ca="1" si="124">I2048-J2048+K2048</f>
        <v>1212225918.2228918</v>
      </c>
      <c r="M2048" s="471">
        <f t="shared" si="121"/>
        <v>0.05</v>
      </c>
      <c r="N2048" s="475">
        <f t="shared" si="122"/>
        <v>113378</v>
      </c>
    </row>
    <row r="2049" spans="7:14" ht="11.25" customHeight="1" x14ac:dyDescent="0.3">
      <c r="G2049" s="470"/>
      <c r="H2049" s="470">
        <v>2042</v>
      </c>
      <c r="I2049" s="455">
        <f t="shared" ref="I2049:I2303" ca="1" si="125">L2048</f>
        <v>1212225918.2228918</v>
      </c>
      <c r="J2049" s="455">
        <f t="array" ref="J2049">IFERROR(INDEX('Retirement Calculator'!K:K,MATCH('Lorri 401b'!N2049,'Retirement Calculator'!A:A,0),0),0)</f>
        <v>0</v>
      </c>
      <c r="K2049" s="455">
        <f t="shared" ca="1" si="123"/>
        <v>5050941.325928716</v>
      </c>
      <c r="L2049" s="455">
        <f t="shared" ca="1" si="124"/>
        <v>1217276859.5488205</v>
      </c>
      <c r="M2049" s="471">
        <f t="shared" ref="M2049:M2303" si="126">M2048</f>
        <v>0.05</v>
      </c>
      <c r="N2049" s="475">
        <f t="shared" ref="N2049:N2303" si="127">EDATE(N2048,1)</f>
        <v>113408</v>
      </c>
    </row>
    <row r="2050" spans="7:14" ht="11.25" customHeight="1" x14ac:dyDescent="0.3">
      <c r="G2050" s="470"/>
      <c r="H2050" s="470">
        <v>2043</v>
      </c>
      <c r="I2050" s="455">
        <f t="shared" ca="1" si="125"/>
        <v>1217276859.5488205</v>
      </c>
      <c r="J2050" s="455">
        <f t="array" ref="J2050">IFERROR(INDEX('Retirement Calculator'!K:K,MATCH('Lorri 401b'!N2050,'Retirement Calculator'!A:A,0),0),0)</f>
        <v>0</v>
      </c>
      <c r="K2050" s="455">
        <f t="shared" ca="1" si="123"/>
        <v>5071986.9147867523</v>
      </c>
      <c r="L2050" s="455">
        <f t="shared" ca="1" si="124"/>
        <v>1222348846.4636073</v>
      </c>
      <c r="M2050" s="471">
        <f t="shared" si="126"/>
        <v>0.05</v>
      </c>
      <c r="N2050" s="475">
        <f t="shared" si="127"/>
        <v>113439</v>
      </c>
    </row>
    <row r="2051" spans="7:14" ht="11.25" customHeight="1" x14ac:dyDescent="0.3">
      <c r="G2051" s="470"/>
      <c r="H2051" s="470">
        <v>2044</v>
      </c>
      <c r="I2051" s="455">
        <f t="shared" ca="1" si="125"/>
        <v>1222348846.4636073</v>
      </c>
      <c r="J2051" s="455">
        <f t="array" ref="J2051">IFERROR(INDEX('Retirement Calculator'!K:K,MATCH('Lorri 401b'!N2051,'Retirement Calculator'!A:A,0),0),0)</f>
        <v>0</v>
      </c>
      <c r="K2051" s="455">
        <f t="shared" ca="1" si="123"/>
        <v>5093120.1935983635</v>
      </c>
      <c r="L2051" s="455">
        <f t="shared" ca="1" si="124"/>
        <v>1227441966.6572056</v>
      </c>
      <c r="M2051" s="471">
        <f t="shared" si="126"/>
        <v>0.05</v>
      </c>
      <c r="N2051" s="475">
        <f t="shared" si="127"/>
        <v>113470</v>
      </c>
    </row>
    <row r="2052" spans="7:14" ht="11.25" customHeight="1" x14ac:dyDescent="0.3">
      <c r="G2052" s="470"/>
      <c r="H2052" s="470">
        <v>2045</v>
      </c>
      <c r="I2052" s="455">
        <f t="shared" ca="1" si="125"/>
        <v>1227441966.6572056</v>
      </c>
      <c r="J2052" s="455">
        <f t="array" ref="J2052">IFERROR(INDEX('Retirement Calculator'!K:K,MATCH('Lorri 401b'!N2052,'Retirement Calculator'!A:A,0),0),0)</f>
        <v>0</v>
      </c>
      <c r="K2052" s="455">
        <f t="shared" ca="1" si="123"/>
        <v>5114341.527738357</v>
      </c>
      <c r="L2052" s="455">
        <f t="shared" ca="1" si="124"/>
        <v>1232556308.1849439</v>
      </c>
      <c r="M2052" s="471">
        <f t="shared" si="126"/>
        <v>0.05</v>
      </c>
      <c r="N2052" s="475">
        <f t="shared" si="127"/>
        <v>113500</v>
      </c>
    </row>
    <row r="2053" spans="7:14" ht="11.25" customHeight="1" x14ac:dyDescent="0.3">
      <c r="G2053" s="470"/>
      <c r="H2053" s="470">
        <v>2046</v>
      </c>
      <c r="I2053" s="455">
        <f t="shared" ca="1" si="125"/>
        <v>1232556308.1849439</v>
      </c>
      <c r="J2053" s="455">
        <f t="array" ref="J2053">IFERROR(INDEX('Retirement Calculator'!K:K,MATCH('Lorri 401b'!N2053,'Retirement Calculator'!A:A,0),0),0)</f>
        <v>0</v>
      </c>
      <c r="K2053" s="455">
        <f t="shared" ca="1" si="123"/>
        <v>5135651.2841039328</v>
      </c>
      <c r="L2053" s="455">
        <f t="shared" ca="1" si="124"/>
        <v>1237691959.4690478</v>
      </c>
      <c r="M2053" s="471">
        <f t="shared" si="126"/>
        <v>0.05</v>
      </c>
      <c r="N2053" s="475">
        <f t="shared" si="127"/>
        <v>113531</v>
      </c>
    </row>
    <row r="2054" spans="7:14" ht="11.25" customHeight="1" x14ac:dyDescent="0.3">
      <c r="G2054" s="470"/>
      <c r="H2054" s="470">
        <v>2047</v>
      </c>
      <c r="I2054" s="455">
        <f t="shared" ca="1" si="125"/>
        <v>1237691959.4690478</v>
      </c>
      <c r="J2054" s="455">
        <f t="array" ref="J2054">IFERROR(INDEX('Retirement Calculator'!K:K,MATCH('Lorri 401b'!N2054,'Retirement Calculator'!A:A,0),0),0)</f>
        <v>0</v>
      </c>
      <c r="K2054" s="455">
        <f t="shared" ca="1" si="123"/>
        <v>5157049.8311210321</v>
      </c>
      <c r="L2054" s="455">
        <f t="shared" ca="1" si="124"/>
        <v>1242849009.3001688</v>
      </c>
      <c r="M2054" s="471">
        <f t="shared" si="126"/>
        <v>0.05</v>
      </c>
      <c r="N2054" s="475">
        <f t="shared" si="127"/>
        <v>113561</v>
      </c>
    </row>
    <row r="2055" spans="7:14" ht="11.25" customHeight="1" x14ac:dyDescent="0.3">
      <c r="G2055" s="470"/>
      <c r="H2055" s="470">
        <v>2048</v>
      </c>
      <c r="I2055" s="455">
        <f t="shared" ca="1" si="125"/>
        <v>1242849009.3001688</v>
      </c>
      <c r="J2055" s="455">
        <f t="array" ref="J2055">IFERROR(INDEX('Retirement Calculator'!K:K,MATCH('Lorri 401b'!N2055,'Retirement Calculator'!A:A,0),0),0)</f>
        <v>0</v>
      </c>
      <c r="K2055" s="455">
        <f t="shared" ca="1" si="123"/>
        <v>5178537.5387507034</v>
      </c>
      <c r="L2055" s="455">
        <f t="shared" ca="1" si="124"/>
        <v>1248027546.8389194</v>
      </c>
      <c r="M2055" s="471">
        <f t="shared" si="126"/>
        <v>0.05</v>
      </c>
      <c r="N2055" s="475">
        <f t="shared" si="127"/>
        <v>113592</v>
      </c>
    </row>
    <row r="2056" spans="7:14" ht="11.25" customHeight="1" x14ac:dyDescent="0.3">
      <c r="G2056" s="470"/>
      <c r="H2056" s="470">
        <v>2049</v>
      </c>
      <c r="I2056" s="455">
        <f t="shared" ca="1" si="125"/>
        <v>1248027546.8389194</v>
      </c>
      <c r="J2056" s="455">
        <f t="array" ref="J2056">IFERROR(INDEX('Retirement Calculator'!K:K,MATCH('Lorri 401b'!N2056,'Retirement Calculator'!A:A,0),0),0)</f>
        <v>0</v>
      </c>
      <c r="K2056" s="455">
        <f t="shared" ca="1" si="123"/>
        <v>5200114.7784954971</v>
      </c>
      <c r="L2056" s="455">
        <f t="shared" ca="1" si="124"/>
        <v>1253227661.617415</v>
      </c>
      <c r="M2056" s="471">
        <f t="shared" si="126"/>
        <v>0.05</v>
      </c>
      <c r="N2056" s="475">
        <f t="shared" si="127"/>
        <v>113623</v>
      </c>
    </row>
    <row r="2057" spans="7:14" ht="11.25" customHeight="1" x14ac:dyDescent="0.3">
      <c r="G2057" s="470"/>
      <c r="H2057" s="470">
        <v>2050</v>
      </c>
      <c r="I2057" s="455">
        <f t="shared" ca="1" si="125"/>
        <v>1253227661.617415</v>
      </c>
      <c r="J2057" s="455">
        <f t="array" ref="J2057">IFERROR(INDEX('Retirement Calculator'!K:K,MATCH('Lorri 401b'!N2057,'Retirement Calculator'!A:A,0),0),0)</f>
        <v>0</v>
      </c>
      <c r="K2057" s="455">
        <f t="shared" ca="1" si="123"/>
        <v>5221781.9234058959</v>
      </c>
      <c r="L2057" s="455">
        <f t="shared" ca="1" si="124"/>
        <v>1258449443.5408208</v>
      </c>
      <c r="M2057" s="471">
        <f t="shared" si="126"/>
        <v>0.05</v>
      </c>
      <c r="N2057" s="475">
        <f t="shared" si="127"/>
        <v>113651</v>
      </c>
    </row>
    <row r="2058" spans="7:14" ht="11.25" customHeight="1" x14ac:dyDescent="0.3">
      <c r="G2058" s="470"/>
      <c r="H2058" s="470">
        <v>2051</v>
      </c>
      <c r="I2058" s="455">
        <f t="shared" ca="1" si="125"/>
        <v>1258449443.5408208</v>
      </c>
      <c r="J2058" s="455">
        <f t="array" ref="J2058">IFERROR(INDEX('Retirement Calculator'!K:K,MATCH('Lorri 401b'!N2058,'Retirement Calculator'!A:A,0),0),0)</f>
        <v>0</v>
      </c>
      <c r="K2058" s="455">
        <f t="shared" ca="1" si="123"/>
        <v>5243539.3480867539</v>
      </c>
      <c r="L2058" s="455">
        <f t="shared" ca="1" si="124"/>
        <v>1263692982.8889077</v>
      </c>
      <c r="M2058" s="471">
        <f t="shared" si="126"/>
        <v>0.05</v>
      </c>
      <c r="N2058" s="475">
        <f t="shared" si="127"/>
        <v>113682</v>
      </c>
    </row>
    <row r="2059" spans="7:14" ht="11.25" customHeight="1" x14ac:dyDescent="0.3">
      <c r="G2059" s="470"/>
      <c r="H2059" s="470">
        <v>2052</v>
      </c>
      <c r="I2059" s="455">
        <f t="shared" ca="1" si="125"/>
        <v>1263692982.8889077</v>
      </c>
      <c r="J2059" s="455">
        <f t="array" ref="J2059">IFERROR(INDEX('Retirement Calculator'!K:K,MATCH('Lorri 401b'!N2059,'Retirement Calculator'!A:A,0),0),0)</f>
        <v>0</v>
      </c>
      <c r="K2059" s="455">
        <f t="shared" ca="1" si="123"/>
        <v>5265387.4287037821</v>
      </c>
      <c r="L2059" s="455">
        <f t="shared" ca="1" si="124"/>
        <v>1268958370.3176115</v>
      </c>
      <c r="M2059" s="471">
        <f t="shared" si="126"/>
        <v>0.05</v>
      </c>
      <c r="N2059" s="475">
        <f t="shared" si="127"/>
        <v>113712</v>
      </c>
    </row>
    <row r="2060" spans="7:14" ht="11.25" customHeight="1" x14ac:dyDescent="0.3">
      <c r="G2060" s="470"/>
      <c r="H2060" s="470">
        <v>2053</v>
      </c>
      <c r="I2060" s="455">
        <f t="shared" ca="1" si="125"/>
        <v>1268958370.3176115</v>
      </c>
      <c r="J2060" s="455">
        <f t="array" ref="J2060">IFERROR(INDEX('Retirement Calculator'!K:K,MATCH('Lorri 401b'!N2060,'Retirement Calculator'!A:A,0),0),0)</f>
        <v>0</v>
      </c>
      <c r="K2060" s="455">
        <f t="shared" ca="1" si="123"/>
        <v>5287326.5429900475</v>
      </c>
      <c r="L2060" s="455">
        <f t="shared" ca="1" si="124"/>
        <v>1274245696.8606014</v>
      </c>
      <c r="M2060" s="471">
        <f t="shared" si="126"/>
        <v>0.05</v>
      </c>
      <c r="N2060" s="475">
        <f t="shared" si="127"/>
        <v>113743</v>
      </c>
    </row>
    <row r="2061" spans="7:14" ht="11.25" customHeight="1" x14ac:dyDescent="0.3">
      <c r="G2061" s="470"/>
      <c r="H2061" s="470">
        <v>2054</v>
      </c>
      <c r="I2061" s="455">
        <f t="shared" ca="1" si="125"/>
        <v>1274245696.8606014</v>
      </c>
      <c r="J2061" s="455">
        <f t="array" ref="J2061">IFERROR(INDEX('Retirement Calculator'!K:K,MATCH('Lorri 401b'!N2061,'Retirement Calculator'!A:A,0),0),0)</f>
        <v>0</v>
      </c>
      <c r="K2061" s="455">
        <f t="shared" ca="1" si="123"/>
        <v>5309357.0702525061</v>
      </c>
      <c r="L2061" s="455">
        <f t="shared" ca="1" si="124"/>
        <v>1279555053.9308538</v>
      </c>
      <c r="M2061" s="471">
        <f t="shared" si="126"/>
        <v>0.05</v>
      </c>
      <c r="N2061" s="475">
        <f t="shared" si="127"/>
        <v>113773</v>
      </c>
    </row>
    <row r="2062" spans="7:14" ht="11.25" customHeight="1" x14ac:dyDescent="0.3">
      <c r="G2062" s="470"/>
      <c r="H2062" s="470">
        <v>2055</v>
      </c>
      <c r="I2062" s="455">
        <f t="shared" ca="1" si="125"/>
        <v>1279555053.9308538</v>
      </c>
      <c r="J2062" s="455">
        <f t="array" ref="J2062">IFERROR(INDEX('Retirement Calculator'!K:K,MATCH('Lorri 401b'!N2062,'Retirement Calculator'!A:A,0),0),0)</f>
        <v>0</v>
      </c>
      <c r="K2062" s="455">
        <f t="shared" ca="1" si="123"/>
        <v>5331479.3913785573</v>
      </c>
      <c r="L2062" s="455">
        <f t="shared" ca="1" si="124"/>
        <v>1284886533.3222325</v>
      </c>
      <c r="M2062" s="471">
        <f t="shared" si="126"/>
        <v>0.05</v>
      </c>
      <c r="N2062" s="475">
        <f t="shared" si="127"/>
        <v>113804</v>
      </c>
    </row>
    <row r="2063" spans="7:14" ht="11.25" customHeight="1" x14ac:dyDescent="0.3">
      <c r="G2063" s="470"/>
      <c r="H2063" s="470">
        <v>2056</v>
      </c>
      <c r="I2063" s="455">
        <f t="shared" ca="1" si="125"/>
        <v>1284886533.3222325</v>
      </c>
      <c r="J2063" s="455">
        <f t="array" ref="J2063">IFERROR(INDEX('Retirement Calculator'!K:K,MATCH('Lorri 401b'!N2063,'Retirement Calculator'!A:A,0),0),0)</f>
        <v>0</v>
      </c>
      <c r="K2063" s="455">
        <f t="shared" ca="1" si="123"/>
        <v>5353693.8888426349</v>
      </c>
      <c r="L2063" s="455">
        <f t="shared" ca="1" si="124"/>
        <v>1290240227.2110751</v>
      </c>
      <c r="M2063" s="471">
        <f t="shared" si="126"/>
        <v>0.05</v>
      </c>
      <c r="N2063" s="475">
        <f t="shared" si="127"/>
        <v>113835</v>
      </c>
    </row>
    <row r="2064" spans="7:14" ht="11.25" customHeight="1" x14ac:dyDescent="0.3">
      <c r="G2064" s="470"/>
      <c r="H2064" s="470">
        <v>2057</v>
      </c>
      <c r="I2064" s="455">
        <f t="shared" ca="1" si="125"/>
        <v>1290240227.2110751</v>
      </c>
      <c r="J2064" s="455">
        <f t="array" ref="J2064">IFERROR(INDEX('Retirement Calculator'!K:K,MATCH('Lorri 401b'!N2064,'Retirement Calculator'!A:A,0),0),0)</f>
        <v>0</v>
      </c>
      <c r="K2064" s="455">
        <f t="shared" ca="1" si="123"/>
        <v>5376000.9467128124</v>
      </c>
      <c r="L2064" s="455">
        <f t="shared" ca="1" si="124"/>
        <v>1295616228.1577878</v>
      </c>
      <c r="M2064" s="471">
        <f t="shared" si="126"/>
        <v>0.05</v>
      </c>
      <c r="N2064" s="475">
        <f t="shared" si="127"/>
        <v>113865</v>
      </c>
    </row>
    <row r="2065" spans="7:14" ht="11.25" customHeight="1" x14ac:dyDescent="0.3">
      <c r="G2065" s="470"/>
      <c r="H2065" s="470">
        <v>2058</v>
      </c>
      <c r="I2065" s="455">
        <f t="shared" ca="1" si="125"/>
        <v>1295616228.1577878</v>
      </c>
      <c r="J2065" s="455">
        <f t="array" ref="J2065">IFERROR(INDEX('Retirement Calculator'!K:K,MATCH('Lorri 401b'!N2065,'Retirement Calculator'!A:A,0),0),0)</f>
        <v>0</v>
      </c>
      <c r="K2065" s="455">
        <f t="shared" ca="1" si="123"/>
        <v>5398400.9506574487</v>
      </c>
      <c r="L2065" s="455">
        <f t="shared" ca="1" si="124"/>
        <v>1301014629.1084452</v>
      </c>
      <c r="M2065" s="471">
        <f t="shared" si="126"/>
        <v>0.05</v>
      </c>
      <c r="N2065" s="475">
        <f t="shared" si="127"/>
        <v>113896</v>
      </c>
    </row>
    <row r="2066" spans="7:14" ht="11.25" customHeight="1" x14ac:dyDescent="0.3">
      <c r="G2066" s="470"/>
      <c r="H2066" s="470">
        <v>2059</v>
      </c>
      <c r="I2066" s="455">
        <f t="shared" ca="1" si="125"/>
        <v>1301014629.1084452</v>
      </c>
      <c r="J2066" s="455">
        <f t="array" ref="J2066">IFERROR(INDEX('Retirement Calculator'!K:K,MATCH('Lorri 401b'!N2066,'Retirement Calculator'!A:A,0),0),0)</f>
        <v>0</v>
      </c>
      <c r="K2066" s="455">
        <f t="shared" ca="1" si="123"/>
        <v>5420894.287951855</v>
      </c>
      <c r="L2066" s="455">
        <f t="shared" ca="1" si="124"/>
        <v>1306435523.3963971</v>
      </c>
      <c r="M2066" s="471">
        <f t="shared" si="126"/>
        <v>0.05</v>
      </c>
      <c r="N2066" s="475">
        <f t="shared" si="127"/>
        <v>113926</v>
      </c>
    </row>
    <row r="2067" spans="7:14" ht="11.25" customHeight="1" x14ac:dyDescent="0.3">
      <c r="G2067" s="470"/>
      <c r="H2067" s="470">
        <v>2060</v>
      </c>
      <c r="I2067" s="455">
        <f t="shared" ca="1" si="125"/>
        <v>1306435523.3963971</v>
      </c>
      <c r="J2067" s="455">
        <f t="array" ref="J2067">IFERROR(INDEX('Retirement Calculator'!K:K,MATCH('Lorri 401b'!N2067,'Retirement Calculator'!A:A,0),0),0)</f>
        <v>0</v>
      </c>
      <c r="K2067" s="455">
        <f t="shared" ca="1" si="123"/>
        <v>5443481.3474849882</v>
      </c>
      <c r="L2067" s="455">
        <f t="shared" ca="1" si="124"/>
        <v>1311879004.7438822</v>
      </c>
      <c r="M2067" s="471">
        <f t="shared" si="126"/>
        <v>0.05</v>
      </c>
      <c r="N2067" s="475">
        <f t="shared" si="127"/>
        <v>113957</v>
      </c>
    </row>
    <row r="2068" spans="7:14" ht="11.25" customHeight="1" x14ac:dyDescent="0.3">
      <c r="G2068" s="470"/>
      <c r="H2068" s="470">
        <v>2061</v>
      </c>
      <c r="I2068" s="455">
        <f t="shared" ca="1" si="125"/>
        <v>1311879004.7438822</v>
      </c>
      <c r="J2068" s="455">
        <f t="array" ref="J2068">IFERROR(INDEX('Retirement Calculator'!K:K,MATCH('Lorri 401b'!N2068,'Retirement Calculator'!A:A,0),0),0)</f>
        <v>0</v>
      </c>
      <c r="K2068" s="455">
        <f t="shared" ca="1" si="123"/>
        <v>5466162.5197661761</v>
      </c>
      <c r="L2068" s="455">
        <f t="shared" ca="1" si="124"/>
        <v>1317345167.2636483</v>
      </c>
      <c r="M2068" s="471">
        <f t="shared" si="126"/>
        <v>0.05</v>
      </c>
      <c r="N2068" s="475">
        <f t="shared" si="127"/>
        <v>113988</v>
      </c>
    </row>
    <row r="2069" spans="7:14" ht="11.25" customHeight="1" x14ac:dyDescent="0.3">
      <c r="G2069" s="470"/>
      <c r="H2069" s="470">
        <v>2062</v>
      </c>
      <c r="I2069" s="455">
        <f t="shared" ca="1" si="125"/>
        <v>1317345167.2636483</v>
      </c>
      <c r="J2069" s="455">
        <f t="array" ref="J2069">IFERROR(INDEX('Retirement Calculator'!K:K,MATCH('Lorri 401b'!N2069,'Retirement Calculator'!A:A,0),0),0)</f>
        <v>0</v>
      </c>
      <c r="K2069" s="455">
        <f t="shared" ca="1" si="123"/>
        <v>5488938.1969318679</v>
      </c>
      <c r="L2069" s="455">
        <f t="shared" ca="1" si="124"/>
        <v>1322834105.4605801</v>
      </c>
      <c r="M2069" s="471">
        <f t="shared" si="126"/>
        <v>0.05</v>
      </c>
      <c r="N2069" s="475">
        <f t="shared" si="127"/>
        <v>114017</v>
      </c>
    </row>
    <row r="2070" spans="7:14" ht="11.25" customHeight="1" x14ac:dyDescent="0.3">
      <c r="G2070" s="470"/>
      <c r="H2070" s="470">
        <v>2063</v>
      </c>
      <c r="I2070" s="455">
        <f t="shared" ca="1" si="125"/>
        <v>1322834105.4605801</v>
      </c>
      <c r="J2070" s="455">
        <f t="array" ref="J2070">IFERROR(INDEX('Retirement Calculator'!K:K,MATCH('Lorri 401b'!N2070,'Retirement Calculator'!A:A,0),0),0)</f>
        <v>0</v>
      </c>
      <c r="K2070" s="455">
        <f t="shared" ca="1" si="123"/>
        <v>5511808.7727524173</v>
      </c>
      <c r="L2070" s="455">
        <f t="shared" ca="1" si="124"/>
        <v>1328345914.2333326</v>
      </c>
      <c r="M2070" s="471">
        <f t="shared" si="126"/>
        <v>0.05</v>
      </c>
      <c r="N2070" s="475">
        <f t="shared" si="127"/>
        <v>114048</v>
      </c>
    </row>
    <row r="2071" spans="7:14" ht="11.25" customHeight="1" x14ac:dyDescent="0.3">
      <c r="G2071" s="470"/>
      <c r="H2071" s="470">
        <v>2064</v>
      </c>
      <c r="I2071" s="455">
        <f t="shared" ca="1" si="125"/>
        <v>1328345914.2333326</v>
      </c>
      <c r="J2071" s="455">
        <f t="array" ref="J2071">IFERROR(INDEX('Retirement Calculator'!K:K,MATCH('Lorri 401b'!N2071,'Retirement Calculator'!A:A,0),0),0)</f>
        <v>0</v>
      </c>
      <c r="K2071" s="455">
        <f t="shared" ca="1" si="123"/>
        <v>5534774.6426388863</v>
      </c>
      <c r="L2071" s="455">
        <f t="shared" ca="1" si="124"/>
        <v>1333880688.8759716</v>
      </c>
      <c r="M2071" s="471">
        <f t="shared" si="126"/>
        <v>0.05</v>
      </c>
      <c r="N2071" s="475">
        <f t="shared" si="127"/>
        <v>114078</v>
      </c>
    </row>
    <row r="2072" spans="7:14" ht="11.25" customHeight="1" x14ac:dyDescent="0.3">
      <c r="G2072" s="470"/>
      <c r="H2072" s="470">
        <v>2065</v>
      </c>
      <c r="I2072" s="455">
        <f t="shared" ca="1" si="125"/>
        <v>1333880688.8759716</v>
      </c>
      <c r="J2072" s="455">
        <f t="array" ref="J2072">IFERROR(INDEX('Retirement Calculator'!K:K,MATCH('Lorri 401b'!N2072,'Retirement Calculator'!A:A,0),0),0)</f>
        <v>0</v>
      </c>
      <c r="K2072" s="455">
        <f t="shared" ca="1" si="123"/>
        <v>5557836.2036498813</v>
      </c>
      <c r="L2072" s="455">
        <f t="shared" ca="1" si="124"/>
        <v>1339438525.0796216</v>
      </c>
      <c r="M2072" s="471">
        <f t="shared" si="126"/>
        <v>0.05</v>
      </c>
      <c r="N2072" s="475">
        <f t="shared" si="127"/>
        <v>114109</v>
      </c>
    </row>
    <row r="2073" spans="7:14" ht="11.25" customHeight="1" x14ac:dyDescent="0.3">
      <c r="G2073" s="470"/>
      <c r="H2073" s="470">
        <v>2066</v>
      </c>
      <c r="I2073" s="455">
        <f t="shared" ca="1" si="125"/>
        <v>1339438525.0796216</v>
      </c>
      <c r="J2073" s="455">
        <f t="array" ref="J2073">IFERROR(INDEX('Retirement Calculator'!K:K,MATCH('Lorri 401b'!N2073,'Retirement Calculator'!A:A,0),0),0)</f>
        <v>0</v>
      </c>
      <c r="K2073" s="455">
        <f t="shared" ca="1" si="123"/>
        <v>5580993.8544984227</v>
      </c>
      <c r="L2073" s="455">
        <f t="shared" ca="1" si="124"/>
        <v>1345019518.9341199</v>
      </c>
      <c r="M2073" s="471">
        <f t="shared" si="126"/>
        <v>0.05</v>
      </c>
      <c r="N2073" s="475">
        <f t="shared" si="127"/>
        <v>114139</v>
      </c>
    </row>
    <row r="2074" spans="7:14" ht="11.25" customHeight="1" x14ac:dyDescent="0.3">
      <c r="G2074" s="470"/>
      <c r="H2074" s="470">
        <v>2067</v>
      </c>
      <c r="I2074" s="455">
        <f t="shared" ca="1" si="125"/>
        <v>1345019518.9341199</v>
      </c>
      <c r="J2074" s="455">
        <f t="array" ref="J2074">IFERROR(INDEX('Retirement Calculator'!K:K,MATCH('Lorri 401b'!N2074,'Retirement Calculator'!A:A,0),0),0)</f>
        <v>0</v>
      </c>
      <c r="K2074" s="455">
        <f t="shared" ca="1" si="123"/>
        <v>5604247.9955588328</v>
      </c>
      <c r="L2074" s="455">
        <f t="shared" ca="1" si="124"/>
        <v>1350623766.9296787</v>
      </c>
      <c r="M2074" s="471">
        <f t="shared" si="126"/>
        <v>0.05</v>
      </c>
      <c r="N2074" s="475">
        <f t="shared" si="127"/>
        <v>114170</v>
      </c>
    </row>
    <row r="2075" spans="7:14" ht="11.25" customHeight="1" x14ac:dyDescent="0.3">
      <c r="G2075" s="470"/>
      <c r="H2075" s="470">
        <v>2068</v>
      </c>
      <c r="I2075" s="455">
        <f t="shared" ca="1" si="125"/>
        <v>1350623766.9296787</v>
      </c>
      <c r="J2075" s="455">
        <f t="array" ref="J2075">IFERROR(INDEX('Retirement Calculator'!K:K,MATCH('Lorri 401b'!N2075,'Retirement Calculator'!A:A,0),0),0)</f>
        <v>0</v>
      </c>
      <c r="K2075" s="455">
        <f t="shared" ca="1" si="123"/>
        <v>5627599.0288736615</v>
      </c>
      <c r="L2075" s="455">
        <f t="shared" ca="1" si="124"/>
        <v>1356251365.9585524</v>
      </c>
      <c r="M2075" s="471">
        <f t="shared" si="126"/>
        <v>0.05</v>
      </c>
      <c r="N2075" s="475">
        <f t="shared" si="127"/>
        <v>114201</v>
      </c>
    </row>
    <row r="2076" spans="7:14" ht="11.25" customHeight="1" x14ac:dyDescent="0.3">
      <c r="G2076" s="470"/>
      <c r="H2076" s="470">
        <v>2069</v>
      </c>
      <c r="I2076" s="455">
        <f t="shared" ca="1" si="125"/>
        <v>1356251365.9585524</v>
      </c>
      <c r="J2076" s="455">
        <f t="array" ref="J2076">IFERROR(INDEX('Retirement Calculator'!K:K,MATCH('Lorri 401b'!N2076,'Retirement Calculator'!A:A,0),0),0)</f>
        <v>0</v>
      </c>
      <c r="K2076" s="455">
        <f t="shared" ca="1" si="123"/>
        <v>5651047.3581606345</v>
      </c>
      <c r="L2076" s="455">
        <f t="shared" ca="1" si="124"/>
        <v>1361902413.3167131</v>
      </c>
      <c r="M2076" s="471">
        <f t="shared" si="126"/>
        <v>0.05</v>
      </c>
      <c r="N2076" s="475">
        <f t="shared" si="127"/>
        <v>114231</v>
      </c>
    </row>
    <row r="2077" spans="7:14" ht="11.25" customHeight="1" x14ac:dyDescent="0.3">
      <c r="G2077" s="470"/>
      <c r="H2077" s="470">
        <v>2070</v>
      </c>
      <c r="I2077" s="455">
        <f t="shared" ca="1" si="125"/>
        <v>1361902413.3167131</v>
      </c>
      <c r="J2077" s="455">
        <f t="array" ref="J2077">IFERROR(INDEX('Retirement Calculator'!K:K,MATCH('Lorri 401b'!N2077,'Retirement Calculator'!A:A,0),0),0)</f>
        <v>0</v>
      </c>
      <c r="K2077" s="455">
        <f t="shared" ca="1" si="123"/>
        <v>5674593.3888196377</v>
      </c>
      <c r="L2077" s="455">
        <f t="shared" ca="1" si="124"/>
        <v>1367577006.7055328</v>
      </c>
      <c r="M2077" s="471">
        <f t="shared" si="126"/>
        <v>0.05</v>
      </c>
      <c r="N2077" s="475">
        <f t="shared" si="127"/>
        <v>114262</v>
      </c>
    </row>
    <row r="2078" spans="7:14" ht="11.25" customHeight="1" x14ac:dyDescent="0.3">
      <c r="G2078" s="470"/>
      <c r="H2078" s="470">
        <v>2071</v>
      </c>
      <c r="I2078" s="455">
        <f t="shared" ca="1" si="125"/>
        <v>1367577006.7055328</v>
      </c>
      <c r="J2078" s="455">
        <f t="array" ref="J2078">IFERROR(INDEX('Retirement Calculator'!K:K,MATCH('Lorri 401b'!N2078,'Retirement Calculator'!A:A,0),0),0)</f>
        <v>0</v>
      </c>
      <c r="K2078" s="455">
        <f t="shared" ca="1" si="123"/>
        <v>5698237.5279397201</v>
      </c>
      <c r="L2078" s="455">
        <f t="shared" ca="1" si="124"/>
        <v>1373275244.2334726</v>
      </c>
      <c r="M2078" s="471">
        <f t="shared" si="126"/>
        <v>0.05</v>
      </c>
      <c r="N2078" s="475">
        <f t="shared" si="127"/>
        <v>114292</v>
      </c>
    </row>
    <row r="2079" spans="7:14" ht="11.25" customHeight="1" x14ac:dyDescent="0.3">
      <c r="G2079" s="470"/>
      <c r="H2079" s="470">
        <v>2072</v>
      </c>
      <c r="I2079" s="455">
        <f t="shared" ca="1" si="125"/>
        <v>1373275244.2334726</v>
      </c>
      <c r="J2079" s="455">
        <f t="array" ref="J2079">IFERROR(INDEX('Retirement Calculator'!K:K,MATCH('Lorri 401b'!N2079,'Retirement Calculator'!A:A,0),0),0)</f>
        <v>0</v>
      </c>
      <c r="K2079" s="455">
        <f t="shared" ca="1" si="123"/>
        <v>5721980.1843061354</v>
      </c>
      <c r="L2079" s="455">
        <f t="shared" ca="1" si="124"/>
        <v>1378997224.4177787</v>
      </c>
      <c r="M2079" s="471">
        <f t="shared" si="126"/>
        <v>0.05</v>
      </c>
      <c r="N2079" s="475">
        <f t="shared" si="127"/>
        <v>114323</v>
      </c>
    </row>
    <row r="2080" spans="7:14" ht="11.25" customHeight="1" x14ac:dyDescent="0.3">
      <c r="G2080" s="470"/>
      <c r="H2080" s="470">
        <v>2073</v>
      </c>
      <c r="I2080" s="455">
        <f t="shared" ca="1" si="125"/>
        <v>1378997224.4177787</v>
      </c>
      <c r="J2080" s="455">
        <f t="array" ref="J2080">IFERROR(INDEX('Retirement Calculator'!K:K,MATCH('Lorri 401b'!N2080,'Retirement Calculator'!A:A,0),0),0)</f>
        <v>0</v>
      </c>
      <c r="K2080" s="455">
        <f t="shared" ca="1" si="123"/>
        <v>5745821.7684074109</v>
      </c>
      <c r="L2080" s="455">
        <f t="shared" ca="1" si="124"/>
        <v>1384743046.1861861</v>
      </c>
      <c r="M2080" s="471">
        <f t="shared" si="126"/>
        <v>0.05</v>
      </c>
      <c r="N2080" s="475">
        <f t="shared" si="127"/>
        <v>114354</v>
      </c>
    </row>
    <row r="2081" spans="7:14" ht="11.25" customHeight="1" x14ac:dyDescent="0.3">
      <c r="G2081" s="470"/>
      <c r="H2081" s="470">
        <v>2074</v>
      </c>
      <c r="I2081" s="455">
        <f t="shared" ca="1" si="125"/>
        <v>1384743046.1861861</v>
      </c>
      <c r="J2081" s="455">
        <f t="array" ref="J2081">IFERROR(INDEX('Retirement Calculator'!K:K,MATCH('Lorri 401b'!N2081,'Retirement Calculator'!A:A,0),0),0)</f>
        <v>0</v>
      </c>
      <c r="K2081" s="455">
        <f t="shared" ca="1" si="123"/>
        <v>5769762.6924424423</v>
      </c>
      <c r="L2081" s="455">
        <f t="shared" ca="1" si="124"/>
        <v>1390512808.8786285</v>
      </c>
      <c r="M2081" s="471">
        <f t="shared" si="126"/>
        <v>0.05</v>
      </c>
      <c r="N2081" s="475">
        <f t="shared" si="127"/>
        <v>114382</v>
      </c>
    </row>
    <row r="2082" spans="7:14" ht="11.25" customHeight="1" x14ac:dyDescent="0.3">
      <c r="G2082" s="470"/>
      <c r="H2082" s="470">
        <v>2075</v>
      </c>
      <c r="I2082" s="455">
        <f t="shared" ca="1" si="125"/>
        <v>1390512808.8786285</v>
      </c>
      <c r="J2082" s="455">
        <f t="array" ref="J2082">IFERROR(INDEX('Retirement Calculator'!K:K,MATCH('Lorri 401b'!N2082,'Retirement Calculator'!A:A,0),0),0)</f>
        <v>0</v>
      </c>
      <c r="K2082" s="455">
        <f t="shared" ca="1" si="123"/>
        <v>5793803.3703276189</v>
      </c>
      <c r="L2082" s="455">
        <f t="shared" ca="1" si="124"/>
        <v>1396306612.2489562</v>
      </c>
      <c r="M2082" s="471">
        <f t="shared" si="126"/>
        <v>0.05</v>
      </c>
      <c r="N2082" s="475">
        <f t="shared" si="127"/>
        <v>114413</v>
      </c>
    </row>
    <row r="2083" spans="7:14" ht="11.25" customHeight="1" x14ac:dyDescent="0.3">
      <c r="G2083" s="470"/>
      <c r="H2083" s="470">
        <v>2076</v>
      </c>
      <c r="I2083" s="455">
        <f t="shared" ca="1" si="125"/>
        <v>1396306612.2489562</v>
      </c>
      <c r="J2083" s="455">
        <f t="array" ref="J2083">IFERROR(INDEX('Retirement Calculator'!K:K,MATCH('Lorri 401b'!N2083,'Retirement Calculator'!A:A,0),0),0)</f>
        <v>0</v>
      </c>
      <c r="K2083" s="455">
        <f t="shared" ca="1" si="123"/>
        <v>5817944.2177039841</v>
      </c>
      <c r="L2083" s="455">
        <f t="shared" ca="1" si="124"/>
        <v>1402124556.4666603</v>
      </c>
      <c r="M2083" s="471">
        <f t="shared" si="126"/>
        <v>0.05</v>
      </c>
      <c r="N2083" s="475">
        <f t="shared" si="127"/>
        <v>114443</v>
      </c>
    </row>
    <row r="2084" spans="7:14" ht="11.25" customHeight="1" x14ac:dyDescent="0.3">
      <c r="G2084" s="470"/>
      <c r="H2084" s="470">
        <v>2077</v>
      </c>
      <c r="I2084" s="455">
        <f t="shared" ca="1" si="125"/>
        <v>1402124556.4666603</v>
      </c>
      <c r="J2084" s="455">
        <f t="array" ref="J2084">IFERROR(INDEX('Retirement Calculator'!K:K,MATCH('Lorri 401b'!N2084,'Retirement Calculator'!A:A,0),0),0)</f>
        <v>0</v>
      </c>
      <c r="K2084" s="455">
        <f t="shared" ca="1" si="123"/>
        <v>5842185.6519444175</v>
      </c>
      <c r="L2084" s="455">
        <f t="shared" ca="1" si="124"/>
        <v>1407966742.1186047</v>
      </c>
      <c r="M2084" s="471">
        <f t="shared" si="126"/>
        <v>0.05</v>
      </c>
      <c r="N2084" s="475">
        <f t="shared" si="127"/>
        <v>114474</v>
      </c>
    </row>
    <row r="2085" spans="7:14" ht="11.25" customHeight="1" x14ac:dyDescent="0.3">
      <c r="G2085" s="470"/>
      <c r="H2085" s="470">
        <v>2078</v>
      </c>
      <c r="I2085" s="455">
        <f t="shared" ca="1" si="125"/>
        <v>1407966742.1186047</v>
      </c>
      <c r="J2085" s="455">
        <f t="array" ref="J2085">IFERROR(INDEX('Retirement Calculator'!K:K,MATCH('Lorri 401b'!N2085,'Retirement Calculator'!A:A,0),0),0)</f>
        <v>0</v>
      </c>
      <c r="K2085" s="455">
        <f t="shared" ca="1" si="123"/>
        <v>5866528.0921608526</v>
      </c>
      <c r="L2085" s="455">
        <f t="shared" ca="1" si="124"/>
        <v>1413833270.2107656</v>
      </c>
      <c r="M2085" s="471">
        <f t="shared" si="126"/>
        <v>0.05</v>
      </c>
      <c r="N2085" s="475">
        <f t="shared" si="127"/>
        <v>114504</v>
      </c>
    </row>
    <row r="2086" spans="7:14" ht="11.25" customHeight="1" x14ac:dyDescent="0.3">
      <c r="G2086" s="470"/>
      <c r="H2086" s="470">
        <v>2079</v>
      </c>
      <c r="I2086" s="455">
        <f t="shared" ca="1" si="125"/>
        <v>1413833270.2107656</v>
      </c>
      <c r="J2086" s="455">
        <f t="array" ref="J2086">IFERROR(INDEX('Retirement Calculator'!K:K,MATCH('Lorri 401b'!N2086,'Retirement Calculator'!A:A,0),0),0)</f>
        <v>0</v>
      </c>
      <c r="K2086" s="455">
        <f t="shared" ca="1" si="123"/>
        <v>5890971.9592115236</v>
      </c>
      <c r="L2086" s="455">
        <f t="shared" ca="1" si="124"/>
        <v>1419724242.1699772</v>
      </c>
      <c r="M2086" s="471">
        <f t="shared" si="126"/>
        <v>0.05</v>
      </c>
      <c r="N2086" s="475">
        <f t="shared" si="127"/>
        <v>114535</v>
      </c>
    </row>
    <row r="2087" spans="7:14" ht="11.25" customHeight="1" x14ac:dyDescent="0.3">
      <c r="G2087" s="470"/>
      <c r="H2087" s="470">
        <v>2080</v>
      </c>
      <c r="I2087" s="455">
        <f t="shared" ca="1" si="125"/>
        <v>1419724242.1699772</v>
      </c>
      <c r="J2087" s="455">
        <f t="array" ref="J2087">IFERROR(INDEX('Retirement Calculator'!K:K,MATCH('Lorri 401b'!N2087,'Retirement Calculator'!A:A,0),0),0)</f>
        <v>0</v>
      </c>
      <c r="K2087" s="455">
        <f t="shared" ca="1" si="123"/>
        <v>5915517.675708238</v>
      </c>
      <c r="L2087" s="455">
        <f t="shared" ca="1" si="124"/>
        <v>1425639759.8456855</v>
      </c>
      <c r="M2087" s="471">
        <f t="shared" si="126"/>
        <v>0.05</v>
      </c>
      <c r="N2087" s="475">
        <f t="shared" si="127"/>
        <v>114566</v>
      </c>
    </row>
    <row r="2088" spans="7:14" ht="11.25" customHeight="1" x14ac:dyDescent="0.3">
      <c r="G2088" s="470"/>
      <c r="H2088" s="470">
        <v>2081</v>
      </c>
      <c r="I2088" s="455">
        <f t="shared" ca="1" si="125"/>
        <v>1425639759.8456855</v>
      </c>
      <c r="J2088" s="455">
        <f t="array" ref="J2088">IFERROR(INDEX('Retirement Calculator'!K:K,MATCH('Lorri 401b'!N2088,'Retirement Calculator'!A:A,0),0),0)</f>
        <v>0</v>
      </c>
      <c r="K2088" s="455">
        <f t="shared" ca="1" si="123"/>
        <v>5940165.6660236893</v>
      </c>
      <c r="L2088" s="455">
        <f t="shared" ca="1" si="124"/>
        <v>1431579925.5117092</v>
      </c>
      <c r="M2088" s="471">
        <f t="shared" si="126"/>
        <v>0.05</v>
      </c>
      <c r="N2088" s="475">
        <f t="shared" si="127"/>
        <v>114596</v>
      </c>
    </row>
    <row r="2089" spans="7:14" ht="11.25" customHeight="1" x14ac:dyDescent="0.3">
      <c r="G2089" s="470"/>
      <c r="H2089" s="470">
        <v>2082</v>
      </c>
      <c r="I2089" s="455">
        <f t="shared" ca="1" si="125"/>
        <v>1431579925.5117092</v>
      </c>
      <c r="J2089" s="455">
        <f t="array" ref="J2089">IFERROR(INDEX('Retirement Calculator'!K:K,MATCH('Lorri 401b'!N2089,'Retirement Calculator'!A:A,0),0),0)</f>
        <v>0</v>
      </c>
      <c r="K2089" s="455">
        <f t="shared" ca="1" si="123"/>
        <v>5964916.3562987885</v>
      </c>
      <c r="L2089" s="455">
        <f t="shared" ca="1" si="124"/>
        <v>1437544841.8680079</v>
      </c>
      <c r="M2089" s="471">
        <f t="shared" si="126"/>
        <v>0.05</v>
      </c>
      <c r="N2089" s="475">
        <f t="shared" si="127"/>
        <v>114627</v>
      </c>
    </row>
    <row r="2090" spans="7:14" ht="11.25" customHeight="1" x14ac:dyDescent="0.3">
      <c r="G2090" s="470"/>
      <c r="H2090" s="470">
        <v>2083</v>
      </c>
      <c r="I2090" s="455">
        <f t="shared" ca="1" si="125"/>
        <v>1437544841.8680079</v>
      </c>
      <c r="J2090" s="455">
        <f t="array" ref="J2090">IFERROR(INDEX('Retirement Calculator'!K:K,MATCH('Lorri 401b'!N2090,'Retirement Calculator'!A:A,0),0),0)</f>
        <v>0</v>
      </c>
      <c r="K2090" s="455">
        <f t="shared" ca="1" si="123"/>
        <v>5989770.1744500324</v>
      </c>
      <c r="L2090" s="455">
        <f t="shared" ca="1" si="124"/>
        <v>1443534612.0424578</v>
      </c>
      <c r="M2090" s="471">
        <f t="shared" si="126"/>
        <v>0.05</v>
      </c>
      <c r="N2090" s="475">
        <f t="shared" si="127"/>
        <v>114657</v>
      </c>
    </row>
    <row r="2091" spans="7:14" ht="11.25" customHeight="1" x14ac:dyDescent="0.3">
      <c r="G2091" s="470"/>
      <c r="H2091" s="470">
        <v>2084</v>
      </c>
      <c r="I2091" s="455">
        <f t="shared" ca="1" si="125"/>
        <v>1443534612.0424578</v>
      </c>
      <c r="J2091" s="455">
        <f t="array" ref="J2091">IFERROR(INDEX('Retirement Calculator'!K:K,MATCH('Lorri 401b'!N2091,'Retirement Calculator'!A:A,0),0),0)</f>
        <v>0</v>
      </c>
      <c r="K2091" s="455">
        <f t="shared" ca="1" si="123"/>
        <v>6014727.5501769073</v>
      </c>
      <c r="L2091" s="455">
        <f t="shared" ca="1" si="124"/>
        <v>1449549339.5926347</v>
      </c>
      <c r="M2091" s="471">
        <f t="shared" si="126"/>
        <v>0.05</v>
      </c>
      <c r="N2091" s="475">
        <f t="shared" si="127"/>
        <v>114688</v>
      </c>
    </row>
    <row r="2092" spans="7:14" ht="11.25" customHeight="1" x14ac:dyDescent="0.3">
      <c r="G2092" s="470"/>
      <c r="H2092" s="470">
        <v>2085</v>
      </c>
      <c r="I2092" s="455">
        <f t="shared" ca="1" si="125"/>
        <v>1449549339.5926347</v>
      </c>
      <c r="J2092" s="455">
        <f t="array" ref="J2092">IFERROR(INDEX('Retirement Calculator'!K:K,MATCH('Lorri 401b'!N2092,'Retirement Calculator'!A:A,0),0),0)</f>
        <v>0</v>
      </c>
      <c r="K2092" s="455">
        <f t="shared" ca="1" si="123"/>
        <v>6039788.9149693111</v>
      </c>
      <c r="L2092" s="455">
        <f t="shared" ca="1" si="124"/>
        <v>1455589128.5076039</v>
      </c>
      <c r="M2092" s="471">
        <f t="shared" si="126"/>
        <v>0.05</v>
      </c>
      <c r="N2092" s="475">
        <f t="shared" si="127"/>
        <v>114719</v>
      </c>
    </row>
    <row r="2093" spans="7:14" ht="11.25" customHeight="1" x14ac:dyDescent="0.3">
      <c r="G2093" s="470"/>
      <c r="H2093" s="470">
        <v>2086</v>
      </c>
      <c r="I2093" s="455">
        <f t="shared" ca="1" si="125"/>
        <v>1455589128.5076039</v>
      </c>
      <c r="J2093" s="455">
        <f t="array" ref="J2093">IFERROR(INDEX('Retirement Calculator'!K:K,MATCH('Lorri 401b'!N2093,'Retirement Calculator'!A:A,0),0),0)</f>
        <v>0</v>
      </c>
      <c r="K2093" s="455">
        <f t="shared" ca="1" si="123"/>
        <v>6064954.7021150161</v>
      </c>
      <c r="L2093" s="455">
        <f t="shared" ca="1" si="124"/>
        <v>1461654083.2097189</v>
      </c>
      <c r="M2093" s="471">
        <f t="shared" si="126"/>
        <v>0.05</v>
      </c>
      <c r="N2093" s="475">
        <f t="shared" si="127"/>
        <v>114747</v>
      </c>
    </row>
    <row r="2094" spans="7:14" ht="11.25" customHeight="1" x14ac:dyDescent="0.3">
      <c r="G2094" s="470"/>
      <c r="H2094" s="470">
        <v>2087</v>
      </c>
      <c r="I2094" s="455">
        <f t="shared" ca="1" si="125"/>
        <v>1461654083.2097189</v>
      </c>
      <c r="J2094" s="455">
        <f t="array" ref="J2094">IFERROR(INDEX('Retirement Calculator'!K:K,MATCH('Lorri 401b'!N2094,'Retirement Calculator'!A:A,0),0),0)</f>
        <v>0</v>
      </c>
      <c r="K2094" s="455">
        <f t="shared" ca="1" si="123"/>
        <v>6090225.3467071624</v>
      </c>
      <c r="L2094" s="455">
        <f t="shared" ca="1" si="124"/>
        <v>1467744308.556426</v>
      </c>
      <c r="M2094" s="471">
        <f t="shared" si="126"/>
        <v>0.05</v>
      </c>
      <c r="N2094" s="475">
        <f t="shared" si="127"/>
        <v>114778</v>
      </c>
    </row>
    <row r="2095" spans="7:14" ht="11.25" customHeight="1" x14ac:dyDescent="0.3">
      <c r="G2095" s="470"/>
      <c r="H2095" s="470">
        <v>2088</v>
      </c>
      <c r="I2095" s="455">
        <f t="shared" ca="1" si="125"/>
        <v>1467744308.556426</v>
      </c>
      <c r="J2095" s="455">
        <f t="array" ref="J2095">IFERROR(INDEX('Retirement Calculator'!K:K,MATCH('Lorri 401b'!N2095,'Retirement Calculator'!A:A,0),0),0)</f>
        <v>0</v>
      </c>
      <c r="K2095" s="455">
        <f t="shared" ca="1" si="123"/>
        <v>6115601.2856517751</v>
      </c>
      <c r="L2095" s="455">
        <f t="shared" ca="1" si="124"/>
        <v>1473859909.8420777</v>
      </c>
      <c r="M2095" s="471">
        <f t="shared" si="126"/>
        <v>0.05</v>
      </c>
      <c r="N2095" s="475">
        <f t="shared" si="127"/>
        <v>114808</v>
      </c>
    </row>
    <row r="2096" spans="7:14" ht="11.25" customHeight="1" x14ac:dyDescent="0.3">
      <c r="G2096" s="470"/>
      <c r="H2096" s="470">
        <v>2089</v>
      </c>
      <c r="I2096" s="455">
        <f t="shared" ca="1" si="125"/>
        <v>1473859909.8420777</v>
      </c>
      <c r="J2096" s="455">
        <f t="array" ref="J2096">IFERROR(INDEX('Retirement Calculator'!K:K,MATCH('Lorri 401b'!N2096,'Retirement Calculator'!A:A,0),0),0)</f>
        <v>0</v>
      </c>
      <c r="K2096" s="455">
        <f t="shared" ca="1" si="123"/>
        <v>6141082.9576753238</v>
      </c>
      <c r="L2096" s="455">
        <f t="shared" ca="1" si="124"/>
        <v>1480000992.799753</v>
      </c>
      <c r="M2096" s="471">
        <f t="shared" si="126"/>
        <v>0.05</v>
      </c>
      <c r="N2096" s="475">
        <f t="shared" si="127"/>
        <v>114839</v>
      </c>
    </row>
    <row r="2097" spans="7:14" ht="11.25" customHeight="1" x14ac:dyDescent="0.3">
      <c r="G2097" s="470"/>
      <c r="H2097" s="470">
        <v>2090</v>
      </c>
      <c r="I2097" s="455">
        <f t="shared" ca="1" si="125"/>
        <v>1480000992.799753</v>
      </c>
      <c r="J2097" s="455">
        <f t="array" ref="J2097">IFERROR(INDEX('Retirement Calculator'!K:K,MATCH('Lorri 401b'!N2097,'Retirement Calculator'!A:A,0),0),0)</f>
        <v>0</v>
      </c>
      <c r="K2097" s="455">
        <f t="shared" ca="1" si="123"/>
        <v>6166670.8033323037</v>
      </c>
      <c r="L2097" s="455">
        <f t="shared" ca="1" si="124"/>
        <v>1486167663.6030853</v>
      </c>
      <c r="M2097" s="471">
        <f t="shared" si="126"/>
        <v>0.05</v>
      </c>
      <c r="N2097" s="475">
        <f t="shared" si="127"/>
        <v>114869</v>
      </c>
    </row>
    <row r="2098" spans="7:14" ht="11.25" customHeight="1" x14ac:dyDescent="0.3">
      <c r="G2098" s="470"/>
      <c r="H2098" s="470">
        <v>2091</v>
      </c>
      <c r="I2098" s="455">
        <f t="shared" ca="1" si="125"/>
        <v>1486167663.6030853</v>
      </c>
      <c r="J2098" s="455">
        <f t="array" ref="J2098">IFERROR(INDEX('Retirement Calculator'!K:K,MATCH('Lorri 401b'!N2098,'Retirement Calculator'!A:A,0),0),0)</f>
        <v>0</v>
      </c>
      <c r="K2098" s="455">
        <f t="shared" ca="1" si="123"/>
        <v>6192365.2650128556</v>
      </c>
      <c r="L2098" s="455">
        <f t="shared" ca="1" si="124"/>
        <v>1492360028.868098</v>
      </c>
      <c r="M2098" s="471">
        <f t="shared" si="126"/>
        <v>0.05</v>
      </c>
      <c r="N2098" s="475">
        <f t="shared" si="127"/>
        <v>114900</v>
      </c>
    </row>
    <row r="2099" spans="7:14" ht="11.25" customHeight="1" x14ac:dyDescent="0.3">
      <c r="G2099" s="470"/>
      <c r="H2099" s="470">
        <v>2092</v>
      </c>
      <c r="I2099" s="455">
        <f t="shared" ca="1" si="125"/>
        <v>1492360028.868098</v>
      </c>
      <c r="J2099" s="455">
        <f t="array" ref="J2099">IFERROR(INDEX('Retirement Calculator'!K:K,MATCH('Lorri 401b'!N2099,'Retirement Calculator'!A:A,0),0),0)</f>
        <v>0</v>
      </c>
      <c r="K2099" s="455">
        <f t="shared" ca="1" si="123"/>
        <v>6218166.7869504085</v>
      </c>
      <c r="L2099" s="455">
        <f t="shared" ca="1" si="124"/>
        <v>1498578195.6550484</v>
      </c>
      <c r="M2099" s="471">
        <f t="shared" si="126"/>
        <v>0.05</v>
      </c>
      <c r="N2099" s="475">
        <f t="shared" si="127"/>
        <v>114931</v>
      </c>
    </row>
    <row r="2100" spans="7:14" ht="11.25" customHeight="1" x14ac:dyDescent="0.3">
      <c r="G2100" s="470"/>
      <c r="H2100" s="470">
        <v>2093</v>
      </c>
      <c r="I2100" s="455">
        <f t="shared" ca="1" si="125"/>
        <v>1498578195.6550484</v>
      </c>
      <c r="J2100" s="455">
        <f t="array" ref="J2100">IFERROR(INDEX('Retirement Calculator'!K:K,MATCH('Lorri 401b'!N2100,'Retirement Calculator'!A:A,0),0),0)</f>
        <v>0</v>
      </c>
      <c r="K2100" s="455">
        <f t="shared" ca="1" si="123"/>
        <v>6244075.8152293684</v>
      </c>
      <c r="L2100" s="455">
        <f t="shared" ca="1" si="124"/>
        <v>1504822271.4702778</v>
      </c>
      <c r="M2100" s="471">
        <f t="shared" si="126"/>
        <v>0.05</v>
      </c>
      <c r="N2100" s="475">
        <f t="shared" si="127"/>
        <v>114961</v>
      </c>
    </row>
    <row r="2101" spans="7:14" ht="11.25" customHeight="1" x14ac:dyDescent="0.3">
      <c r="G2101" s="470"/>
      <c r="H2101" s="470">
        <v>2094</v>
      </c>
      <c r="I2101" s="455">
        <f t="shared" ca="1" si="125"/>
        <v>1504822271.4702778</v>
      </c>
      <c r="J2101" s="455">
        <f t="array" ref="J2101">IFERROR(INDEX('Retirement Calculator'!K:K,MATCH('Lorri 401b'!N2101,'Retirement Calculator'!A:A,0),0),0)</f>
        <v>0</v>
      </c>
      <c r="K2101" s="455">
        <f t="shared" ca="1" si="123"/>
        <v>6270092.797792824</v>
      </c>
      <c r="L2101" s="455">
        <f t="shared" ca="1" si="124"/>
        <v>1511092364.2680707</v>
      </c>
      <c r="M2101" s="471">
        <f t="shared" si="126"/>
        <v>0.05</v>
      </c>
      <c r="N2101" s="475">
        <f t="shared" si="127"/>
        <v>114992</v>
      </c>
    </row>
    <row r="2102" spans="7:14" ht="11.25" customHeight="1" x14ac:dyDescent="0.3">
      <c r="G2102" s="470"/>
      <c r="H2102" s="470">
        <v>2095</v>
      </c>
      <c r="I2102" s="455">
        <f t="shared" ca="1" si="125"/>
        <v>1511092364.2680707</v>
      </c>
      <c r="J2102" s="455">
        <f t="array" ref="J2102">IFERROR(INDEX('Retirement Calculator'!K:K,MATCH('Lorri 401b'!N2102,'Retirement Calculator'!A:A,0),0),0)</f>
        <v>0</v>
      </c>
      <c r="K2102" s="455">
        <f t="shared" ca="1" si="123"/>
        <v>6296218.1844502948</v>
      </c>
      <c r="L2102" s="455">
        <f t="shared" ca="1" si="124"/>
        <v>1517388582.4525211</v>
      </c>
      <c r="M2102" s="471">
        <f t="shared" si="126"/>
        <v>0.05</v>
      </c>
      <c r="N2102" s="475">
        <f t="shared" si="127"/>
        <v>115022</v>
      </c>
    </row>
    <row r="2103" spans="7:14" ht="11.25" customHeight="1" x14ac:dyDescent="0.3">
      <c r="G2103" s="470"/>
      <c r="H2103" s="470">
        <v>2096</v>
      </c>
      <c r="I2103" s="455">
        <f t="shared" ca="1" si="125"/>
        <v>1517388582.4525211</v>
      </c>
      <c r="J2103" s="455">
        <f t="array" ref="J2103">IFERROR(INDEX('Retirement Calculator'!K:K,MATCH('Lorri 401b'!N2103,'Retirement Calculator'!A:A,0),0),0)</f>
        <v>0</v>
      </c>
      <c r="K2103" s="455">
        <f t="shared" ca="1" si="123"/>
        <v>6322452.4268855043</v>
      </c>
      <c r="L2103" s="455">
        <f t="shared" ca="1" si="124"/>
        <v>1523711034.8794067</v>
      </c>
      <c r="M2103" s="471">
        <f t="shared" si="126"/>
        <v>0.05</v>
      </c>
      <c r="N2103" s="475">
        <f t="shared" si="127"/>
        <v>115053</v>
      </c>
    </row>
    <row r="2104" spans="7:14" ht="11.25" customHeight="1" x14ac:dyDescent="0.3">
      <c r="G2104" s="470"/>
      <c r="H2104" s="470">
        <v>2097</v>
      </c>
      <c r="I2104" s="455">
        <f t="shared" ca="1" si="125"/>
        <v>1523711034.8794067</v>
      </c>
      <c r="J2104" s="455">
        <f t="array" ref="J2104">IFERROR(INDEX('Retirement Calculator'!K:K,MATCH('Lorri 401b'!N2104,'Retirement Calculator'!A:A,0),0),0)</f>
        <v>0</v>
      </c>
      <c r="K2104" s="455">
        <f t="shared" ca="1" si="123"/>
        <v>6348795.9786641942</v>
      </c>
      <c r="L2104" s="455">
        <f t="shared" ca="1" si="124"/>
        <v>1530059830.8580709</v>
      </c>
      <c r="M2104" s="471">
        <f t="shared" si="126"/>
        <v>0.05</v>
      </c>
      <c r="N2104" s="475">
        <f t="shared" si="127"/>
        <v>115084</v>
      </c>
    </row>
    <row r="2105" spans="7:14" ht="11.25" customHeight="1" x14ac:dyDescent="0.3">
      <c r="G2105" s="470"/>
      <c r="H2105" s="470">
        <v>2098</v>
      </c>
      <c r="I2105" s="455">
        <f t="shared" ca="1" si="125"/>
        <v>1530059830.8580709</v>
      </c>
      <c r="J2105" s="455">
        <f t="array" ref="J2105">IFERROR(INDEX('Retirement Calculator'!K:K,MATCH('Lorri 401b'!N2105,'Retirement Calculator'!A:A,0),0),0)</f>
        <v>0</v>
      </c>
      <c r="K2105" s="455">
        <f t="shared" ca="1" si="123"/>
        <v>6375249.2952419622</v>
      </c>
      <c r="L2105" s="455">
        <f t="shared" ca="1" si="124"/>
        <v>1536435080.1533129</v>
      </c>
      <c r="M2105" s="471">
        <f t="shared" si="126"/>
        <v>0.05</v>
      </c>
      <c r="N2105" s="475">
        <f t="shared" si="127"/>
        <v>115112</v>
      </c>
    </row>
    <row r="2106" spans="7:14" ht="11.25" customHeight="1" x14ac:dyDescent="0.3">
      <c r="G2106" s="470"/>
      <c r="H2106" s="470">
        <v>2099</v>
      </c>
      <c r="I2106" s="455">
        <f t="shared" ca="1" si="125"/>
        <v>1536435080.1533129</v>
      </c>
      <c r="J2106" s="455">
        <f t="array" ref="J2106">IFERROR(INDEX('Retirement Calculator'!K:K,MATCH('Lorri 401b'!N2106,'Retirement Calculator'!A:A,0),0),0)</f>
        <v>0</v>
      </c>
      <c r="K2106" s="455">
        <f t="shared" ca="1" si="123"/>
        <v>6401812.8339721374</v>
      </c>
      <c r="L2106" s="455">
        <f t="shared" ca="1" si="124"/>
        <v>1542836892.9872851</v>
      </c>
      <c r="M2106" s="471">
        <f t="shared" si="126"/>
        <v>0.05</v>
      </c>
      <c r="N2106" s="475">
        <f t="shared" si="127"/>
        <v>115143</v>
      </c>
    </row>
    <row r="2107" spans="7:14" ht="11.25" customHeight="1" x14ac:dyDescent="0.3">
      <c r="G2107" s="470"/>
      <c r="H2107" s="470">
        <v>2100</v>
      </c>
      <c r="I2107" s="455">
        <f t="shared" ca="1" si="125"/>
        <v>1542836892.9872851</v>
      </c>
      <c r="J2107" s="455">
        <f t="array" ref="J2107">IFERROR(INDEX('Retirement Calculator'!K:K,MATCH('Lorri 401b'!N2107,'Retirement Calculator'!A:A,0),0),0)</f>
        <v>0</v>
      </c>
      <c r="K2107" s="455">
        <f t="shared" ca="1" si="123"/>
        <v>6428487.0541136879</v>
      </c>
      <c r="L2107" s="455">
        <f t="shared" ca="1" si="124"/>
        <v>1549265380.0413988</v>
      </c>
      <c r="M2107" s="471">
        <f t="shared" si="126"/>
        <v>0.05</v>
      </c>
      <c r="N2107" s="475">
        <f t="shared" si="127"/>
        <v>115173</v>
      </c>
    </row>
    <row r="2108" spans="7:14" ht="11.25" customHeight="1" x14ac:dyDescent="0.3">
      <c r="G2108" s="470"/>
      <c r="H2108" s="470">
        <v>2101</v>
      </c>
      <c r="I2108" s="455">
        <f t="shared" ca="1" si="125"/>
        <v>1549265380.0413988</v>
      </c>
      <c r="J2108" s="455">
        <f t="array" ref="J2108">IFERROR(INDEX('Retirement Calculator'!K:K,MATCH('Lorri 401b'!N2108,'Retirement Calculator'!A:A,0),0),0)</f>
        <v>0</v>
      </c>
      <c r="K2108" s="455">
        <f t="shared" ca="1" si="123"/>
        <v>6455272.4168391619</v>
      </c>
      <c r="L2108" s="455">
        <f t="shared" ca="1" si="124"/>
        <v>1555720652.4582379</v>
      </c>
      <c r="M2108" s="471">
        <f t="shared" si="126"/>
        <v>0.05</v>
      </c>
      <c r="N2108" s="475">
        <f t="shared" si="127"/>
        <v>115204</v>
      </c>
    </row>
    <row r="2109" spans="7:14" ht="11.25" customHeight="1" x14ac:dyDescent="0.3">
      <c r="G2109" s="470"/>
      <c r="H2109" s="470">
        <v>2102</v>
      </c>
      <c r="I2109" s="455">
        <f t="shared" ca="1" si="125"/>
        <v>1555720652.4582379</v>
      </c>
      <c r="J2109" s="455">
        <f t="array" ref="J2109">IFERROR(INDEX('Retirement Calculator'!K:K,MATCH('Lorri 401b'!N2109,'Retirement Calculator'!A:A,0),0),0)</f>
        <v>0</v>
      </c>
      <c r="K2109" s="455">
        <f t="shared" ca="1" si="123"/>
        <v>6482169.3852426577</v>
      </c>
      <c r="L2109" s="455">
        <f t="shared" ca="1" si="124"/>
        <v>1562202821.8434806</v>
      </c>
      <c r="M2109" s="471">
        <f t="shared" si="126"/>
        <v>0.05</v>
      </c>
      <c r="N2109" s="475">
        <f t="shared" si="127"/>
        <v>115234</v>
      </c>
    </row>
    <row r="2110" spans="7:14" ht="11.25" customHeight="1" x14ac:dyDescent="0.3">
      <c r="G2110" s="470"/>
      <c r="H2110" s="470">
        <v>2103</v>
      </c>
      <c r="I2110" s="455">
        <f t="shared" ca="1" si="125"/>
        <v>1562202821.8434806</v>
      </c>
      <c r="J2110" s="455">
        <f t="array" ref="J2110">IFERROR(INDEX('Retirement Calculator'!K:K,MATCH('Lorri 401b'!N2110,'Retirement Calculator'!A:A,0),0),0)</f>
        <v>0</v>
      </c>
      <c r="K2110" s="455">
        <f t="shared" ca="1" si="123"/>
        <v>6509178.4243478356</v>
      </c>
      <c r="L2110" s="455">
        <f t="shared" ca="1" si="124"/>
        <v>1568712000.2678285</v>
      </c>
      <c r="M2110" s="471">
        <f t="shared" si="126"/>
        <v>0.05</v>
      </c>
      <c r="N2110" s="475">
        <f t="shared" si="127"/>
        <v>115265</v>
      </c>
    </row>
    <row r="2111" spans="7:14" ht="11.25" customHeight="1" x14ac:dyDescent="0.3">
      <c r="G2111" s="470"/>
      <c r="H2111" s="470">
        <v>2104</v>
      </c>
      <c r="I2111" s="455">
        <f t="shared" ca="1" si="125"/>
        <v>1568712000.2678285</v>
      </c>
      <c r="J2111" s="455">
        <f t="array" ref="J2111">IFERROR(INDEX('Retirement Calculator'!K:K,MATCH('Lorri 401b'!N2111,'Retirement Calculator'!A:A,0),0),0)</f>
        <v>0</v>
      </c>
      <c r="K2111" s="455">
        <f t="shared" ca="1" si="123"/>
        <v>6536300.0011159517</v>
      </c>
      <c r="L2111" s="455">
        <f t="shared" ca="1" si="124"/>
        <v>1575248300.2689445</v>
      </c>
      <c r="M2111" s="471">
        <f t="shared" si="126"/>
        <v>0.05</v>
      </c>
      <c r="N2111" s="475">
        <f t="shared" si="127"/>
        <v>115296</v>
      </c>
    </row>
    <row r="2112" spans="7:14" ht="11.25" customHeight="1" x14ac:dyDescent="0.3">
      <c r="G2112" s="470"/>
      <c r="H2112" s="470">
        <v>2105</v>
      </c>
      <c r="I2112" s="455">
        <f t="shared" ca="1" si="125"/>
        <v>1575248300.2689445</v>
      </c>
      <c r="J2112" s="455">
        <f t="array" ref="J2112">IFERROR(INDEX('Retirement Calculator'!K:K,MATCH('Lorri 401b'!N2112,'Retirement Calculator'!A:A,0),0),0)</f>
        <v>0</v>
      </c>
      <c r="K2112" s="455">
        <f t="shared" ca="1" si="123"/>
        <v>6563534.5844539357</v>
      </c>
      <c r="L2112" s="455">
        <f t="shared" ca="1" si="124"/>
        <v>1581811834.8533983</v>
      </c>
      <c r="M2112" s="471">
        <f t="shared" si="126"/>
        <v>0.05</v>
      </c>
      <c r="N2112" s="475">
        <f t="shared" si="127"/>
        <v>115326</v>
      </c>
    </row>
    <row r="2113" spans="7:14" ht="11.25" customHeight="1" x14ac:dyDescent="0.3">
      <c r="G2113" s="470"/>
      <c r="H2113" s="470">
        <v>2106</v>
      </c>
      <c r="I2113" s="455">
        <f t="shared" ca="1" si="125"/>
        <v>1581811834.8533983</v>
      </c>
      <c r="J2113" s="455">
        <f t="array" ref="J2113">IFERROR(INDEX('Retirement Calculator'!K:K,MATCH('Lorri 401b'!N2113,'Retirement Calculator'!A:A,0),0),0)</f>
        <v>0</v>
      </c>
      <c r="K2113" s="455">
        <f t="shared" ca="1" si="123"/>
        <v>6590882.6452224925</v>
      </c>
      <c r="L2113" s="455">
        <f t="shared" ca="1" si="124"/>
        <v>1588402717.4986207</v>
      </c>
      <c r="M2113" s="471">
        <f t="shared" si="126"/>
        <v>0.05</v>
      </c>
      <c r="N2113" s="475">
        <f t="shared" si="127"/>
        <v>115357</v>
      </c>
    </row>
    <row r="2114" spans="7:14" ht="11.25" customHeight="1" x14ac:dyDescent="0.3">
      <c r="G2114" s="470"/>
      <c r="H2114" s="470">
        <v>2107</v>
      </c>
      <c r="I2114" s="455">
        <f t="shared" ca="1" si="125"/>
        <v>1588402717.4986207</v>
      </c>
      <c r="J2114" s="455">
        <f t="array" ref="J2114">IFERROR(INDEX('Retirement Calculator'!K:K,MATCH('Lorri 401b'!N2114,'Retirement Calculator'!A:A,0),0),0)</f>
        <v>0</v>
      </c>
      <c r="K2114" s="455">
        <f t="shared" ca="1" si="123"/>
        <v>6618344.6562442528</v>
      </c>
      <c r="L2114" s="455">
        <f t="shared" ca="1" si="124"/>
        <v>1595021062.154865</v>
      </c>
      <c r="M2114" s="471">
        <f t="shared" si="126"/>
        <v>0.05</v>
      </c>
      <c r="N2114" s="475">
        <f t="shared" si="127"/>
        <v>115387</v>
      </c>
    </row>
    <row r="2115" spans="7:14" ht="11.25" customHeight="1" x14ac:dyDescent="0.3">
      <c r="G2115" s="470"/>
      <c r="H2115" s="470">
        <v>2108</v>
      </c>
      <c r="I2115" s="455">
        <f t="shared" ca="1" si="125"/>
        <v>1595021062.154865</v>
      </c>
      <c r="J2115" s="455">
        <f t="array" ref="J2115">IFERROR(INDEX('Retirement Calculator'!K:K,MATCH('Lorri 401b'!N2115,'Retirement Calculator'!A:A,0),0),0)</f>
        <v>0</v>
      </c>
      <c r="K2115" s="455">
        <f t="shared" ca="1" si="123"/>
        <v>6645921.0923119374</v>
      </c>
      <c r="L2115" s="455">
        <f t="shared" ca="1" si="124"/>
        <v>1601666983.2471769</v>
      </c>
      <c r="M2115" s="471">
        <f t="shared" si="126"/>
        <v>0.05</v>
      </c>
      <c r="N2115" s="475">
        <f t="shared" si="127"/>
        <v>115418</v>
      </c>
    </row>
    <row r="2116" spans="7:14" ht="11.25" customHeight="1" x14ac:dyDescent="0.3">
      <c r="G2116" s="470"/>
      <c r="H2116" s="470">
        <v>2109</v>
      </c>
      <c r="I2116" s="455">
        <f t="shared" ca="1" si="125"/>
        <v>1601666983.2471769</v>
      </c>
      <c r="J2116" s="455">
        <f t="array" ref="J2116">IFERROR(INDEX('Retirement Calculator'!K:K,MATCH('Lorri 401b'!N2116,'Retirement Calculator'!A:A,0),0),0)</f>
        <v>0</v>
      </c>
      <c r="K2116" s="455">
        <f t="shared" ca="1" si="123"/>
        <v>6673612.4301965702</v>
      </c>
      <c r="L2116" s="455">
        <f t="shared" ca="1" si="124"/>
        <v>1608340595.6773734</v>
      </c>
      <c r="M2116" s="471">
        <f t="shared" si="126"/>
        <v>0.05</v>
      </c>
      <c r="N2116" s="475">
        <f t="shared" si="127"/>
        <v>115449</v>
      </c>
    </row>
    <row r="2117" spans="7:14" ht="11.25" customHeight="1" x14ac:dyDescent="0.3">
      <c r="G2117" s="470"/>
      <c r="H2117" s="470">
        <v>2110</v>
      </c>
      <c r="I2117" s="455">
        <f t="shared" ca="1" si="125"/>
        <v>1608340595.6773734</v>
      </c>
      <c r="J2117" s="455">
        <f t="array" ref="J2117">IFERROR(INDEX('Retirement Calculator'!K:K,MATCH('Lorri 401b'!N2117,'Retirement Calculator'!A:A,0),0),0)</f>
        <v>0</v>
      </c>
      <c r="K2117" s="455">
        <f t="shared" ca="1" si="123"/>
        <v>6701419.1486557228</v>
      </c>
      <c r="L2117" s="455">
        <f t="shared" ca="1" si="124"/>
        <v>1615042014.8260291</v>
      </c>
      <c r="M2117" s="471">
        <f t="shared" si="126"/>
        <v>0.05</v>
      </c>
      <c r="N2117" s="475">
        <f t="shared" si="127"/>
        <v>115478</v>
      </c>
    </row>
    <row r="2118" spans="7:14" ht="11.25" customHeight="1" x14ac:dyDescent="0.3">
      <c r="G2118" s="470"/>
      <c r="H2118" s="470">
        <v>2111</v>
      </c>
      <c r="I2118" s="455">
        <f t="shared" ca="1" si="125"/>
        <v>1615042014.8260291</v>
      </c>
      <c r="J2118" s="455">
        <f t="array" ref="J2118">IFERROR(INDEX('Retirement Calculator'!K:K,MATCH('Lorri 401b'!N2118,'Retirement Calculator'!A:A,0),0),0)</f>
        <v>0</v>
      </c>
      <c r="K2118" s="455">
        <f t="shared" ca="1" si="123"/>
        <v>6729341.7284417879</v>
      </c>
      <c r="L2118" s="455">
        <f t="shared" ca="1" si="124"/>
        <v>1621771356.5544708</v>
      </c>
      <c r="M2118" s="471">
        <f t="shared" si="126"/>
        <v>0.05</v>
      </c>
      <c r="N2118" s="475">
        <f t="shared" si="127"/>
        <v>115509</v>
      </c>
    </row>
    <row r="2119" spans="7:14" ht="11.25" customHeight="1" x14ac:dyDescent="0.3">
      <c r="G2119" s="470"/>
      <c r="H2119" s="470">
        <v>2112</v>
      </c>
      <c r="I2119" s="455">
        <f t="shared" ca="1" si="125"/>
        <v>1621771356.5544708</v>
      </c>
      <c r="J2119" s="455">
        <f t="array" ref="J2119">IFERROR(INDEX('Retirement Calculator'!K:K,MATCH('Lorri 401b'!N2119,'Retirement Calculator'!A:A,0),0),0)</f>
        <v>0</v>
      </c>
      <c r="K2119" s="455">
        <f t="shared" ca="1" si="123"/>
        <v>6757380.652310295</v>
      </c>
      <c r="L2119" s="455">
        <f t="shared" ca="1" si="124"/>
        <v>1628528737.2067811</v>
      </c>
      <c r="M2119" s="471">
        <f t="shared" si="126"/>
        <v>0.05</v>
      </c>
      <c r="N2119" s="475">
        <f t="shared" si="127"/>
        <v>115539</v>
      </c>
    </row>
    <row r="2120" spans="7:14" ht="11.25" customHeight="1" x14ac:dyDescent="0.3">
      <c r="G2120" s="470"/>
      <c r="H2120" s="470">
        <v>2113</v>
      </c>
      <c r="I2120" s="455">
        <f t="shared" ca="1" si="125"/>
        <v>1628528737.2067811</v>
      </c>
      <c r="J2120" s="455">
        <f t="array" ref="J2120">IFERROR(INDEX('Retirement Calculator'!K:K,MATCH('Lorri 401b'!N2120,'Retirement Calculator'!A:A,0),0),0)</f>
        <v>0</v>
      </c>
      <c r="K2120" s="455">
        <f t="shared" ca="1" si="123"/>
        <v>6785536.4050282547</v>
      </c>
      <c r="L2120" s="455">
        <f t="shared" ca="1" si="124"/>
        <v>1635314273.6118095</v>
      </c>
      <c r="M2120" s="471">
        <f t="shared" si="126"/>
        <v>0.05</v>
      </c>
      <c r="N2120" s="475">
        <f t="shared" si="127"/>
        <v>115570</v>
      </c>
    </row>
    <row r="2121" spans="7:14" ht="11.25" customHeight="1" x14ac:dyDescent="0.3">
      <c r="G2121" s="470"/>
      <c r="H2121" s="470">
        <v>2114</v>
      </c>
      <c r="I2121" s="455">
        <f t="shared" ca="1" si="125"/>
        <v>1635314273.6118095</v>
      </c>
      <c r="J2121" s="455">
        <f t="array" ref="J2121">IFERROR(INDEX('Retirement Calculator'!K:K,MATCH('Lorri 401b'!N2121,'Retirement Calculator'!A:A,0),0),0)</f>
        <v>0</v>
      </c>
      <c r="K2121" s="455">
        <f t="shared" ca="1" si="123"/>
        <v>6813809.4733825391</v>
      </c>
      <c r="L2121" s="455">
        <f t="shared" ca="1" si="124"/>
        <v>1642128083.085192</v>
      </c>
      <c r="M2121" s="471">
        <f t="shared" si="126"/>
        <v>0.05</v>
      </c>
      <c r="N2121" s="475">
        <f t="shared" si="127"/>
        <v>115600</v>
      </c>
    </row>
    <row r="2122" spans="7:14" ht="11.25" customHeight="1" x14ac:dyDescent="0.3">
      <c r="G2122" s="470"/>
      <c r="H2122" s="470">
        <v>2115</v>
      </c>
      <c r="I2122" s="455">
        <f t="shared" ca="1" si="125"/>
        <v>1642128083.085192</v>
      </c>
      <c r="J2122" s="455">
        <f t="array" ref="J2122">IFERROR(INDEX('Retirement Calculator'!K:K,MATCH('Lorri 401b'!N2122,'Retirement Calculator'!A:A,0),0),0)</f>
        <v>0</v>
      </c>
      <c r="K2122" s="455">
        <f t="shared" ca="1" si="123"/>
        <v>6842200.3461882994</v>
      </c>
      <c r="L2122" s="455">
        <f t="shared" ca="1" si="124"/>
        <v>1648970283.4313803</v>
      </c>
      <c r="M2122" s="471">
        <f t="shared" si="126"/>
        <v>0.05</v>
      </c>
      <c r="N2122" s="475">
        <f t="shared" si="127"/>
        <v>115631</v>
      </c>
    </row>
    <row r="2123" spans="7:14" ht="11.25" customHeight="1" x14ac:dyDescent="0.3">
      <c r="G2123" s="470"/>
      <c r="H2123" s="470">
        <v>2116</v>
      </c>
      <c r="I2123" s="455">
        <f t="shared" ca="1" si="125"/>
        <v>1648970283.4313803</v>
      </c>
      <c r="J2123" s="455">
        <f t="array" ref="J2123">IFERROR(INDEX('Retirement Calculator'!K:K,MATCH('Lorri 401b'!N2123,'Retirement Calculator'!A:A,0),0),0)</f>
        <v>0</v>
      </c>
      <c r="K2123" s="455">
        <f t="shared" ca="1" si="123"/>
        <v>6870709.5142974174</v>
      </c>
      <c r="L2123" s="455">
        <f t="shared" ca="1" si="124"/>
        <v>1655840992.9456778</v>
      </c>
      <c r="M2123" s="471">
        <f t="shared" si="126"/>
        <v>0.05</v>
      </c>
      <c r="N2123" s="475">
        <f t="shared" si="127"/>
        <v>115662</v>
      </c>
    </row>
    <row r="2124" spans="7:14" ht="11.25" customHeight="1" x14ac:dyDescent="0.3">
      <c r="G2124" s="470"/>
      <c r="H2124" s="470">
        <v>2117</v>
      </c>
      <c r="I2124" s="455">
        <f t="shared" ca="1" si="125"/>
        <v>1655840992.9456778</v>
      </c>
      <c r="J2124" s="455">
        <f t="array" ref="J2124">IFERROR(INDEX('Retirement Calculator'!K:K,MATCH('Lorri 401b'!N2124,'Retirement Calculator'!A:A,0),0),0)</f>
        <v>0</v>
      </c>
      <c r="K2124" s="455">
        <f t="shared" ca="1" si="123"/>
        <v>6899337.4706069902</v>
      </c>
      <c r="L2124" s="455">
        <f t="shared" ca="1" si="124"/>
        <v>1662740330.4162848</v>
      </c>
      <c r="M2124" s="471">
        <f t="shared" si="126"/>
        <v>0.05</v>
      </c>
      <c r="N2124" s="475">
        <f t="shared" si="127"/>
        <v>115692</v>
      </c>
    </row>
    <row r="2125" spans="7:14" ht="11.25" customHeight="1" x14ac:dyDescent="0.3">
      <c r="G2125" s="470"/>
      <c r="H2125" s="470">
        <v>2118</v>
      </c>
      <c r="I2125" s="455">
        <f t="shared" ca="1" si="125"/>
        <v>1662740330.4162848</v>
      </c>
      <c r="J2125" s="455">
        <f t="array" ref="J2125">IFERROR(INDEX('Retirement Calculator'!K:K,MATCH('Lorri 401b'!N2125,'Retirement Calculator'!A:A,0),0),0)</f>
        <v>0</v>
      </c>
      <c r="K2125" s="455">
        <f t="shared" ca="1" si="123"/>
        <v>6928084.7100678533</v>
      </c>
      <c r="L2125" s="455">
        <f t="shared" ca="1" si="124"/>
        <v>1669668415.1263525</v>
      </c>
      <c r="M2125" s="471">
        <f t="shared" si="126"/>
        <v>0.05</v>
      </c>
      <c r="N2125" s="475">
        <f t="shared" si="127"/>
        <v>115723</v>
      </c>
    </row>
    <row r="2126" spans="7:14" ht="11.25" customHeight="1" x14ac:dyDescent="0.3">
      <c r="G2126" s="470"/>
      <c r="H2126" s="470">
        <v>2119</v>
      </c>
      <c r="I2126" s="455">
        <f t="shared" ca="1" si="125"/>
        <v>1669668415.1263525</v>
      </c>
      <c r="J2126" s="455">
        <f t="array" ref="J2126">IFERROR(INDEX('Retirement Calculator'!K:K,MATCH('Lorri 401b'!N2126,'Retirement Calculator'!A:A,0),0),0)</f>
        <v>0</v>
      </c>
      <c r="K2126" s="455">
        <f t="shared" ca="1" si="123"/>
        <v>6956951.7296931352</v>
      </c>
      <c r="L2126" s="455">
        <f t="shared" ca="1" si="124"/>
        <v>1676625366.8560457</v>
      </c>
      <c r="M2126" s="471">
        <f t="shared" si="126"/>
        <v>0.05</v>
      </c>
      <c r="N2126" s="475">
        <f t="shared" si="127"/>
        <v>115753</v>
      </c>
    </row>
    <row r="2127" spans="7:14" ht="11.25" customHeight="1" x14ac:dyDescent="0.3">
      <c r="G2127" s="470"/>
      <c r="H2127" s="470">
        <v>2120</v>
      </c>
      <c r="I2127" s="455">
        <f t="shared" ca="1" si="125"/>
        <v>1676625366.8560457</v>
      </c>
      <c r="J2127" s="455">
        <f t="array" ref="J2127">IFERROR(INDEX('Retirement Calculator'!K:K,MATCH('Lorri 401b'!N2127,'Retirement Calculator'!A:A,0),0),0)</f>
        <v>0</v>
      </c>
      <c r="K2127" s="455">
        <f t="shared" ca="1" si="123"/>
        <v>6985939.0285668578</v>
      </c>
      <c r="L2127" s="455">
        <f t="shared" ca="1" si="124"/>
        <v>1683611305.8846126</v>
      </c>
      <c r="M2127" s="471">
        <f t="shared" si="126"/>
        <v>0.05</v>
      </c>
      <c r="N2127" s="475">
        <f t="shared" si="127"/>
        <v>115784</v>
      </c>
    </row>
    <row r="2128" spans="7:14" ht="11.25" customHeight="1" x14ac:dyDescent="0.3">
      <c r="G2128" s="470"/>
      <c r="H2128" s="470">
        <v>2121</v>
      </c>
      <c r="I2128" s="455">
        <f t="shared" ca="1" si="125"/>
        <v>1683611305.8846126</v>
      </c>
      <c r="J2128" s="455">
        <f t="array" ref="J2128">IFERROR(INDEX('Retirement Calculator'!K:K,MATCH('Lorri 401b'!N2128,'Retirement Calculator'!A:A,0),0),0)</f>
        <v>0</v>
      </c>
      <c r="K2128" s="455">
        <f t="shared" ca="1" si="123"/>
        <v>7015047.1078525512</v>
      </c>
      <c r="L2128" s="455">
        <f t="shared" ca="1" si="124"/>
        <v>1690626352.992465</v>
      </c>
      <c r="M2128" s="471">
        <f t="shared" si="126"/>
        <v>0.05</v>
      </c>
      <c r="N2128" s="475">
        <f t="shared" si="127"/>
        <v>115815</v>
      </c>
    </row>
    <row r="2129" spans="7:14" ht="11.25" customHeight="1" x14ac:dyDescent="0.3">
      <c r="G2129" s="470"/>
      <c r="H2129" s="470">
        <v>2122</v>
      </c>
      <c r="I2129" s="455">
        <f t="shared" ca="1" si="125"/>
        <v>1690626352.992465</v>
      </c>
      <c r="J2129" s="455">
        <f t="array" ref="J2129">IFERROR(INDEX('Retirement Calculator'!K:K,MATCH('Lorri 401b'!N2129,'Retirement Calculator'!A:A,0),0),0)</f>
        <v>0</v>
      </c>
      <c r="K2129" s="455">
        <f t="shared" ca="1" si="123"/>
        <v>7044276.4708019374</v>
      </c>
      <c r="L2129" s="455">
        <f t="shared" ca="1" si="124"/>
        <v>1697670629.4632668</v>
      </c>
      <c r="M2129" s="471">
        <f t="shared" si="126"/>
        <v>0.05</v>
      </c>
      <c r="N2129" s="475">
        <f t="shared" si="127"/>
        <v>115843</v>
      </c>
    </row>
    <row r="2130" spans="7:14" ht="11.25" customHeight="1" x14ac:dyDescent="0.3">
      <c r="G2130" s="470"/>
      <c r="H2130" s="470">
        <v>2123</v>
      </c>
      <c r="I2130" s="455">
        <f t="shared" ca="1" si="125"/>
        <v>1697670629.4632668</v>
      </c>
      <c r="J2130" s="455">
        <f t="array" ref="J2130">IFERROR(INDEX('Retirement Calculator'!K:K,MATCH('Lorri 401b'!N2130,'Retirement Calculator'!A:A,0),0),0)</f>
        <v>0</v>
      </c>
      <c r="K2130" s="455">
        <f t="shared" ca="1" si="123"/>
        <v>7073627.6227636123</v>
      </c>
      <c r="L2130" s="455">
        <f t="shared" ca="1" si="124"/>
        <v>1704744257.0860305</v>
      </c>
      <c r="M2130" s="471">
        <f t="shared" si="126"/>
        <v>0.05</v>
      </c>
      <c r="N2130" s="475">
        <f t="shared" si="127"/>
        <v>115874</v>
      </c>
    </row>
    <row r="2131" spans="7:14" ht="11.25" customHeight="1" x14ac:dyDescent="0.3">
      <c r="G2131" s="470"/>
      <c r="H2131" s="470">
        <v>2124</v>
      </c>
      <c r="I2131" s="455">
        <f t="shared" ca="1" si="125"/>
        <v>1704744257.0860305</v>
      </c>
      <c r="J2131" s="455">
        <f t="array" ref="J2131">IFERROR(INDEX('Retirement Calculator'!K:K,MATCH('Lorri 401b'!N2131,'Retirement Calculator'!A:A,0),0),0)</f>
        <v>0</v>
      </c>
      <c r="K2131" s="455">
        <f t="shared" ca="1" si="123"/>
        <v>7103101.0711917933</v>
      </c>
      <c r="L2131" s="455">
        <f t="shared" ca="1" si="124"/>
        <v>1711847358.1572223</v>
      </c>
      <c r="M2131" s="471">
        <f t="shared" si="126"/>
        <v>0.05</v>
      </c>
      <c r="N2131" s="475">
        <f t="shared" si="127"/>
        <v>115904</v>
      </c>
    </row>
    <row r="2132" spans="7:14" ht="11.25" customHeight="1" x14ac:dyDescent="0.3">
      <c r="G2132" s="470"/>
      <c r="H2132" s="470">
        <v>2125</v>
      </c>
      <c r="I2132" s="455">
        <f t="shared" ca="1" si="125"/>
        <v>1711847358.1572223</v>
      </c>
      <c r="J2132" s="455">
        <f t="array" ref="J2132">IFERROR(INDEX('Retirement Calculator'!K:K,MATCH('Lorri 401b'!N2132,'Retirement Calculator'!A:A,0),0),0)</f>
        <v>0</v>
      </c>
      <c r="K2132" s="455">
        <f t="shared" ca="1" si="123"/>
        <v>7132697.3256550916</v>
      </c>
      <c r="L2132" s="455">
        <f t="shared" ca="1" si="124"/>
        <v>1718980055.4828773</v>
      </c>
      <c r="M2132" s="471">
        <f t="shared" si="126"/>
        <v>0.05</v>
      </c>
      <c r="N2132" s="475">
        <f t="shared" si="127"/>
        <v>115935</v>
      </c>
    </row>
    <row r="2133" spans="7:14" ht="11.25" customHeight="1" x14ac:dyDescent="0.3">
      <c r="G2133" s="470"/>
      <c r="H2133" s="470">
        <v>2126</v>
      </c>
      <c r="I2133" s="455">
        <f t="shared" ca="1" si="125"/>
        <v>1718980055.4828773</v>
      </c>
      <c r="J2133" s="455">
        <f t="array" ref="J2133">IFERROR(INDEX('Retirement Calculator'!K:K,MATCH('Lorri 401b'!N2133,'Retirement Calculator'!A:A,0),0),0)</f>
        <v>0</v>
      </c>
      <c r="K2133" s="455">
        <f t="shared" ca="1" si="123"/>
        <v>7162416.8978453213</v>
      </c>
      <c r="L2133" s="455">
        <f t="shared" ca="1" si="124"/>
        <v>1726142472.3807225</v>
      </c>
      <c r="M2133" s="471">
        <f t="shared" si="126"/>
        <v>0.05</v>
      </c>
      <c r="N2133" s="475">
        <f t="shared" si="127"/>
        <v>115965</v>
      </c>
    </row>
    <row r="2134" spans="7:14" ht="11.25" customHeight="1" x14ac:dyDescent="0.3">
      <c r="G2134" s="470"/>
      <c r="H2134" s="470">
        <v>2127</v>
      </c>
      <c r="I2134" s="455">
        <f t="shared" ca="1" si="125"/>
        <v>1726142472.3807225</v>
      </c>
      <c r="J2134" s="455">
        <f t="array" ref="J2134">IFERROR(INDEX('Retirement Calculator'!K:K,MATCH('Lorri 401b'!N2134,'Retirement Calculator'!A:A,0),0),0)</f>
        <v>0</v>
      </c>
      <c r="K2134" s="455">
        <f t="shared" ca="1" si="123"/>
        <v>7192260.301586343</v>
      </c>
      <c r="L2134" s="455">
        <f t="shared" ca="1" si="124"/>
        <v>1733334732.6823089</v>
      </c>
      <c r="M2134" s="471">
        <f t="shared" si="126"/>
        <v>0.05</v>
      </c>
      <c r="N2134" s="475">
        <f t="shared" si="127"/>
        <v>115996</v>
      </c>
    </row>
    <row r="2135" spans="7:14" ht="11.25" customHeight="1" x14ac:dyDescent="0.3">
      <c r="G2135" s="470"/>
      <c r="H2135" s="470">
        <v>2128</v>
      </c>
      <c r="I2135" s="455">
        <f t="shared" ca="1" si="125"/>
        <v>1733334732.6823089</v>
      </c>
      <c r="J2135" s="455">
        <f t="array" ref="J2135">IFERROR(INDEX('Retirement Calculator'!K:K,MATCH('Lorri 401b'!N2135,'Retirement Calculator'!A:A,0),0),0)</f>
        <v>0</v>
      </c>
      <c r="K2135" s="455">
        <f t="shared" ca="1" si="123"/>
        <v>7222228.0528429551</v>
      </c>
      <c r="L2135" s="455">
        <f t="shared" ca="1" si="124"/>
        <v>1740556960.7351518</v>
      </c>
      <c r="M2135" s="471">
        <f t="shared" si="126"/>
        <v>0.05</v>
      </c>
      <c r="N2135" s="475">
        <f t="shared" si="127"/>
        <v>116027</v>
      </c>
    </row>
    <row r="2136" spans="7:14" ht="11.25" customHeight="1" x14ac:dyDescent="0.3">
      <c r="G2136" s="470"/>
      <c r="H2136" s="470">
        <v>2129</v>
      </c>
      <c r="I2136" s="455">
        <f t="shared" ca="1" si="125"/>
        <v>1740556960.7351518</v>
      </c>
      <c r="J2136" s="455">
        <f t="array" ref="J2136">IFERROR(INDEX('Retirement Calculator'!K:K,MATCH('Lorri 401b'!N2136,'Retirement Calculator'!A:A,0),0),0)</f>
        <v>0</v>
      </c>
      <c r="K2136" s="455">
        <f t="shared" ca="1" si="123"/>
        <v>7252320.6697298</v>
      </c>
      <c r="L2136" s="455">
        <f t="shared" ca="1" si="124"/>
        <v>1747809281.4048815</v>
      </c>
      <c r="M2136" s="471">
        <f t="shared" si="126"/>
        <v>0.05</v>
      </c>
      <c r="N2136" s="475">
        <f t="shared" si="127"/>
        <v>116057</v>
      </c>
    </row>
    <row r="2137" spans="7:14" ht="11.25" customHeight="1" x14ac:dyDescent="0.3">
      <c r="G2137" s="470"/>
      <c r="H2137" s="470">
        <v>2130</v>
      </c>
      <c r="I2137" s="455">
        <f t="shared" ca="1" si="125"/>
        <v>1747809281.4048815</v>
      </c>
      <c r="J2137" s="455">
        <f t="array" ref="J2137">IFERROR(INDEX('Retirement Calculator'!K:K,MATCH('Lorri 401b'!N2137,'Retirement Calculator'!A:A,0),0),0)</f>
        <v>0</v>
      </c>
      <c r="K2137" s="455">
        <f t="shared" ca="1" si="123"/>
        <v>7282538.6725203386</v>
      </c>
      <c r="L2137" s="455">
        <f t="shared" ca="1" si="124"/>
        <v>1755091820.0774019</v>
      </c>
      <c r="M2137" s="471">
        <f t="shared" si="126"/>
        <v>0.05</v>
      </c>
      <c r="N2137" s="475">
        <f t="shared" si="127"/>
        <v>116088</v>
      </c>
    </row>
    <row r="2138" spans="7:14" ht="11.25" customHeight="1" x14ac:dyDescent="0.3">
      <c r="G2138" s="470"/>
      <c r="H2138" s="470">
        <v>2131</v>
      </c>
      <c r="I2138" s="455">
        <f t="shared" ca="1" si="125"/>
        <v>1755091820.0774019</v>
      </c>
      <c r="J2138" s="455">
        <f t="array" ref="J2138">IFERROR(INDEX('Retirement Calculator'!K:K,MATCH('Lorri 401b'!N2138,'Retirement Calculator'!A:A,0),0),0)</f>
        <v>0</v>
      </c>
      <c r="K2138" s="455">
        <f t="shared" ca="1" si="123"/>
        <v>7312882.5836558407</v>
      </c>
      <c r="L2138" s="455">
        <f t="shared" ca="1" si="124"/>
        <v>1762404702.6610577</v>
      </c>
      <c r="M2138" s="471">
        <f t="shared" si="126"/>
        <v>0.05</v>
      </c>
      <c r="N2138" s="475">
        <f t="shared" si="127"/>
        <v>116118</v>
      </c>
    </row>
    <row r="2139" spans="7:14" ht="11.25" customHeight="1" x14ac:dyDescent="0.3">
      <c r="G2139" s="470"/>
      <c r="H2139" s="470">
        <v>2132</v>
      </c>
      <c r="I2139" s="455">
        <f t="shared" ca="1" si="125"/>
        <v>1762404702.6610577</v>
      </c>
      <c r="J2139" s="455">
        <f t="array" ref="J2139">IFERROR(INDEX('Retirement Calculator'!K:K,MATCH('Lorri 401b'!N2139,'Retirement Calculator'!A:A,0),0),0)</f>
        <v>0</v>
      </c>
      <c r="K2139" s="455">
        <f t="shared" ca="1" si="123"/>
        <v>7343352.9277544077</v>
      </c>
      <c r="L2139" s="455">
        <f t="shared" ca="1" si="124"/>
        <v>1769748055.5888121</v>
      </c>
      <c r="M2139" s="471">
        <f t="shared" si="126"/>
        <v>0.05</v>
      </c>
      <c r="N2139" s="475">
        <f t="shared" si="127"/>
        <v>116149</v>
      </c>
    </row>
    <row r="2140" spans="7:14" ht="11.25" customHeight="1" x14ac:dyDescent="0.3">
      <c r="G2140" s="470"/>
      <c r="H2140" s="470">
        <v>2133</v>
      </c>
      <c r="I2140" s="455">
        <f t="shared" ca="1" si="125"/>
        <v>1769748055.5888121</v>
      </c>
      <c r="J2140" s="455">
        <f t="array" ref="J2140">IFERROR(INDEX('Retirement Calculator'!K:K,MATCH('Lorri 401b'!N2140,'Retirement Calculator'!A:A,0),0),0)</f>
        <v>0</v>
      </c>
      <c r="K2140" s="455">
        <f t="shared" ca="1" si="123"/>
        <v>7373950.23162005</v>
      </c>
      <c r="L2140" s="455">
        <f t="shared" ca="1" si="124"/>
        <v>1777122005.8204322</v>
      </c>
      <c r="M2140" s="471">
        <f t="shared" si="126"/>
        <v>0.05</v>
      </c>
      <c r="N2140" s="475">
        <f t="shared" si="127"/>
        <v>116180</v>
      </c>
    </row>
    <row r="2141" spans="7:14" ht="11.25" customHeight="1" x14ac:dyDescent="0.3">
      <c r="G2141" s="470"/>
      <c r="H2141" s="470">
        <v>2134</v>
      </c>
      <c r="I2141" s="455">
        <f t="shared" ca="1" si="125"/>
        <v>1777122005.8204322</v>
      </c>
      <c r="J2141" s="455">
        <f t="array" ref="J2141">IFERROR(INDEX('Retirement Calculator'!K:K,MATCH('Lorri 401b'!N2141,'Retirement Calculator'!A:A,0),0),0)</f>
        <v>0</v>
      </c>
      <c r="K2141" s="455">
        <f t="shared" ca="1" si="123"/>
        <v>7404675.024251801</v>
      </c>
      <c r="L2141" s="455">
        <f t="shared" ca="1" si="124"/>
        <v>1784526680.8446839</v>
      </c>
      <c r="M2141" s="471">
        <f t="shared" si="126"/>
        <v>0.05</v>
      </c>
      <c r="N2141" s="475">
        <f t="shared" si="127"/>
        <v>116208</v>
      </c>
    </row>
    <row r="2142" spans="7:14" ht="11.25" customHeight="1" x14ac:dyDescent="0.3">
      <c r="G2142" s="470"/>
      <c r="H2142" s="470">
        <v>2135</v>
      </c>
      <c r="I2142" s="455">
        <f t="shared" ca="1" si="125"/>
        <v>1784526680.8446839</v>
      </c>
      <c r="J2142" s="455">
        <f t="array" ref="J2142">IFERROR(INDEX('Retirement Calculator'!K:K,MATCH('Lorri 401b'!N2142,'Retirement Calculator'!A:A,0),0),0)</f>
        <v>0</v>
      </c>
      <c r="K2142" s="455">
        <f t="shared" ca="1" si="123"/>
        <v>7435527.8368528495</v>
      </c>
      <c r="L2142" s="455">
        <f t="shared" ca="1" si="124"/>
        <v>1791962208.6815367</v>
      </c>
      <c r="M2142" s="471">
        <f t="shared" si="126"/>
        <v>0.05</v>
      </c>
      <c r="N2142" s="475">
        <f t="shared" si="127"/>
        <v>116239</v>
      </c>
    </row>
    <row r="2143" spans="7:14" ht="11.25" customHeight="1" x14ac:dyDescent="0.3">
      <c r="G2143" s="470"/>
      <c r="H2143" s="470">
        <v>2136</v>
      </c>
      <c r="I2143" s="455">
        <f t="shared" ca="1" si="125"/>
        <v>1791962208.6815367</v>
      </c>
      <c r="J2143" s="455">
        <f t="array" ref="J2143">IFERROR(INDEX('Retirement Calculator'!K:K,MATCH('Lorri 401b'!N2143,'Retirement Calculator'!A:A,0),0),0)</f>
        <v>0</v>
      </c>
      <c r="K2143" s="455">
        <f t="shared" ca="1" si="123"/>
        <v>7466509.2028397359</v>
      </c>
      <c r="L2143" s="455">
        <f t="shared" ca="1" si="124"/>
        <v>1799428717.8843765</v>
      </c>
      <c r="M2143" s="471">
        <f t="shared" si="126"/>
        <v>0.05</v>
      </c>
      <c r="N2143" s="475">
        <f t="shared" si="127"/>
        <v>116269</v>
      </c>
    </row>
    <row r="2144" spans="7:14" ht="11.25" customHeight="1" x14ac:dyDescent="0.3">
      <c r="G2144" s="470"/>
      <c r="H2144" s="470">
        <v>2137</v>
      </c>
      <c r="I2144" s="455">
        <f t="shared" ca="1" si="125"/>
        <v>1799428717.8843765</v>
      </c>
      <c r="J2144" s="455">
        <f t="array" ref="J2144">IFERROR(INDEX('Retirement Calculator'!K:K,MATCH('Lorri 401b'!N2144,'Retirement Calculator'!A:A,0),0),0)</f>
        <v>0</v>
      </c>
      <c r="K2144" s="455">
        <f t="shared" ca="1" si="123"/>
        <v>7497619.6578515694</v>
      </c>
      <c r="L2144" s="455">
        <f t="shared" ca="1" si="124"/>
        <v>1806926337.542228</v>
      </c>
      <c r="M2144" s="471">
        <f t="shared" si="126"/>
        <v>0.05</v>
      </c>
      <c r="N2144" s="475">
        <f t="shared" si="127"/>
        <v>116300</v>
      </c>
    </row>
    <row r="2145" spans="7:14" ht="11.25" customHeight="1" x14ac:dyDescent="0.3">
      <c r="G2145" s="470"/>
      <c r="H2145" s="470">
        <v>2138</v>
      </c>
      <c r="I2145" s="455">
        <f t="shared" ca="1" si="125"/>
        <v>1806926337.542228</v>
      </c>
      <c r="J2145" s="455">
        <f t="array" ref="J2145">IFERROR(INDEX('Retirement Calculator'!K:K,MATCH('Lorri 401b'!N2145,'Retirement Calculator'!A:A,0),0),0)</f>
        <v>0</v>
      </c>
      <c r="K2145" s="455">
        <f t="shared" ca="1" si="123"/>
        <v>7528859.7397592841</v>
      </c>
      <c r="L2145" s="455">
        <f t="shared" ca="1" si="124"/>
        <v>1814455197.2819872</v>
      </c>
      <c r="M2145" s="471">
        <f t="shared" si="126"/>
        <v>0.05</v>
      </c>
      <c r="N2145" s="475">
        <f t="shared" si="127"/>
        <v>116330</v>
      </c>
    </row>
    <row r="2146" spans="7:14" ht="11.25" customHeight="1" x14ac:dyDescent="0.3">
      <c r="G2146" s="470"/>
      <c r="H2146" s="470">
        <v>2139</v>
      </c>
      <c r="I2146" s="455">
        <f t="shared" ca="1" si="125"/>
        <v>1814455197.2819872</v>
      </c>
      <c r="J2146" s="455">
        <f t="array" ref="J2146">IFERROR(INDEX('Retirement Calculator'!K:K,MATCH('Lorri 401b'!N2146,'Retirement Calculator'!A:A,0),0),0)</f>
        <v>0</v>
      </c>
      <c r="K2146" s="455">
        <f t="shared" ca="1" si="123"/>
        <v>7560229.9886749461</v>
      </c>
      <c r="L2146" s="455">
        <f t="shared" ca="1" si="124"/>
        <v>1822015427.2706621</v>
      </c>
      <c r="M2146" s="471">
        <f t="shared" si="126"/>
        <v>0.05</v>
      </c>
      <c r="N2146" s="475">
        <f t="shared" si="127"/>
        <v>116361</v>
      </c>
    </row>
    <row r="2147" spans="7:14" ht="11.25" customHeight="1" x14ac:dyDescent="0.3">
      <c r="G2147" s="470"/>
      <c r="H2147" s="470">
        <v>2140</v>
      </c>
      <c r="I2147" s="455">
        <f t="shared" ca="1" si="125"/>
        <v>1822015427.2706621</v>
      </c>
      <c r="J2147" s="455">
        <f t="array" ref="J2147">IFERROR(INDEX('Retirement Calculator'!K:K,MATCH('Lorri 401b'!N2147,'Retirement Calculator'!A:A,0),0),0)</f>
        <v>0</v>
      </c>
      <c r="K2147" s="455">
        <f t="shared" ca="1" si="123"/>
        <v>7591730.9469610918</v>
      </c>
      <c r="L2147" s="455">
        <f t="shared" ca="1" si="124"/>
        <v>1829607158.2176232</v>
      </c>
      <c r="M2147" s="471">
        <f t="shared" si="126"/>
        <v>0.05</v>
      </c>
      <c r="N2147" s="475">
        <f t="shared" si="127"/>
        <v>116392</v>
      </c>
    </row>
    <row r="2148" spans="7:14" ht="11.25" customHeight="1" x14ac:dyDescent="0.3">
      <c r="G2148" s="470"/>
      <c r="H2148" s="470">
        <v>2141</v>
      </c>
      <c r="I2148" s="455">
        <f t="shared" ca="1" si="125"/>
        <v>1829607158.2176232</v>
      </c>
      <c r="J2148" s="455">
        <f t="array" ref="J2148">IFERROR(INDEX('Retirement Calculator'!K:K,MATCH('Lorri 401b'!N2148,'Retirement Calculator'!A:A,0),0),0)</f>
        <v>0</v>
      </c>
      <c r="K2148" s="455">
        <f t="shared" ca="1" si="123"/>
        <v>7623363.1592400959</v>
      </c>
      <c r="L2148" s="455">
        <f t="shared" ca="1" si="124"/>
        <v>1837230521.3768632</v>
      </c>
      <c r="M2148" s="471">
        <f t="shared" si="126"/>
        <v>0.05</v>
      </c>
      <c r="N2148" s="475">
        <f t="shared" si="127"/>
        <v>116422</v>
      </c>
    </row>
    <row r="2149" spans="7:14" ht="11.25" customHeight="1" x14ac:dyDescent="0.3">
      <c r="G2149" s="470"/>
      <c r="H2149" s="470">
        <v>2142</v>
      </c>
      <c r="I2149" s="455">
        <f t="shared" ca="1" si="125"/>
        <v>1837230521.3768632</v>
      </c>
      <c r="J2149" s="455">
        <f t="array" ref="J2149">IFERROR(INDEX('Retirement Calculator'!K:K,MATCH('Lorri 401b'!N2149,'Retirement Calculator'!A:A,0),0),0)</f>
        <v>0</v>
      </c>
      <c r="K2149" s="455">
        <f t="shared" ca="1" si="123"/>
        <v>7655127.1724035963</v>
      </c>
      <c r="L2149" s="455">
        <f t="shared" ca="1" si="124"/>
        <v>1844885648.5492668</v>
      </c>
      <c r="M2149" s="471">
        <f t="shared" si="126"/>
        <v>0.05</v>
      </c>
      <c r="N2149" s="475">
        <f t="shared" si="127"/>
        <v>116453</v>
      </c>
    </row>
    <row r="2150" spans="7:14" ht="11.25" customHeight="1" x14ac:dyDescent="0.3">
      <c r="G2150" s="470"/>
      <c r="H2150" s="470">
        <v>2143</v>
      </c>
      <c r="I2150" s="455">
        <f t="shared" ca="1" si="125"/>
        <v>1844885648.5492668</v>
      </c>
      <c r="J2150" s="455">
        <f t="array" ref="J2150">IFERROR(INDEX('Retirement Calculator'!K:K,MATCH('Lorri 401b'!N2150,'Retirement Calculator'!A:A,0),0),0)</f>
        <v>0</v>
      </c>
      <c r="K2150" s="455">
        <f t="shared" ca="1" si="123"/>
        <v>7687023.5356219448</v>
      </c>
      <c r="L2150" s="455">
        <f t="shared" ca="1" si="124"/>
        <v>1852572672.0848887</v>
      </c>
      <c r="M2150" s="471">
        <f t="shared" si="126"/>
        <v>0.05</v>
      </c>
      <c r="N2150" s="475">
        <f t="shared" si="127"/>
        <v>116483</v>
      </c>
    </row>
    <row r="2151" spans="7:14" ht="11.25" customHeight="1" x14ac:dyDescent="0.3">
      <c r="G2151" s="470"/>
      <c r="H2151" s="470">
        <v>2144</v>
      </c>
      <c r="I2151" s="455">
        <f t="shared" ca="1" si="125"/>
        <v>1852572672.0848887</v>
      </c>
      <c r="J2151" s="455">
        <f t="array" ref="J2151">IFERROR(INDEX('Retirement Calculator'!K:K,MATCH('Lorri 401b'!N2151,'Retirement Calculator'!A:A,0),0),0)</f>
        <v>0</v>
      </c>
      <c r="K2151" s="455">
        <f t="shared" ca="1" si="123"/>
        <v>7719052.8003537031</v>
      </c>
      <c r="L2151" s="455">
        <f t="shared" ca="1" si="124"/>
        <v>1860291724.8852425</v>
      </c>
      <c r="M2151" s="471">
        <f t="shared" si="126"/>
        <v>0.05</v>
      </c>
      <c r="N2151" s="475">
        <f t="shared" si="127"/>
        <v>116514</v>
      </c>
    </row>
    <row r="2152" spans="7:14" ht="11.25" customHeight="1" x14ac:dyDescent="0.3">
      <c r="G2152" s="470"/>
      <c r="H2152" s="470">
        <v>2145</v>
      </c>
      <c r="I2152" s="455">
        <f t="shared" ca="1" si="125"/>
        <v>1860291724.8852425</v>
      </c>
      <c r="J2152" s="455">
        <f t="array" ref="J2152">IFERROR(INDEX('Retirement Calculator'!K:K,MATCH('Lorri 401b'!N2152,'Retirement Calculator'!A:A,0),0),0)</f>
        <v>0</v>
      </c>
      <c r="K2152" s="455">
        <f t="shared" ca="1" si="123"/>
        <v>7751215.5203551771</v>
      </c>
      <c r="L2152" s="455">
        <f t="shared" ca="1" si="124"/>
        <v>1868042940.4055977</v>
      </c>
      <c r="M2152" s="471">
        <f t="shared" si="126"/>
        <v>0.05</v>
      </c>
      <c r="N2152" s="475">
        <f t="shared" si="127"/>
        <v>116545</v>
      </c>
    </row>
    <row r="2153" spans="7:14" ht="11.25" customHeight="1" x14ac:dyDescent="0.3">
      <c r="G2153" s="470"/>
      <c r="H2153" s="470">
        <v>2146</v>
      </c>
      <c r="I2153" s="455">
        <f t="shared" ca="1" si="125"/>
        <v>1868042940.4055977</v>
      </c>
      <c r="J2153" s="455">
        <f t="array" ref="J2153">IFERROR(INDEX('Retirement Calculator'!K:K,MATCH('Lorri 401b'!N2153,'Retirement Calculator'!A:A,0),0),0)</f>
        <v>0</v>
      </c>
      <c r="K2153" s="455">
        <f t="shared" ca="1" si="123"/>
        <v>7783512.2516899901</v>
      </c>
      <c r="L2153" s="455">
        <f t="shared" ca="1" si="124"/>
        <v>1875826452.6572876</v>
      </c>
      <c r="M2153" s="471">
        <f t="shared" si="126"/>
        <v>0.05</v>
      </c>
      <c r="N2153" s="475">
        <f t="shared" si="127"/>
        <v>116573</v>
      </c>
    </row>
    <row r="2154" spans="7:14" ht="11.25" customHeight="1" x14ac:dyDescent="0.3">
      <c r="G2154" s="470"/>
      <c r="H2154" s="470">
        <v>2147</v>
      </c>
      <c r="I2154" s="455">
        <f t="shared" ca="1" si="125"/>
        <v>1875826452.6572876</v>
      </c>
      <c r="J2154" s="455">
        <f t="array" ref="J2154">IFERROR(INDEX('Retirement Calculator'!K:K,MATCH('Lorri 401b'!N2154,'Retirement Calculator'!A:A,0),0),0)</f>
        <v>0</v>
      </c>
      <c r="K2154" s="455">
        <f t="shared" ca="1" si="123"/>
        <v>7815943.5527386991</v>
      </c>
      <c r="L2154" s="455">
        <f t="shared" ca="1" si="124"/>
        <v>1883642396.2100263</v>
      </c>
      <c r="M2154" s="471">
        <f t="shared" si="126"/>
        <v>0.05</v>
      </c>
      <c r="N2154" s="475">
        <f t="shared" si="127"/>
        <v>116604</v>
      </c>
    </row>
    <row r="2155" spans="7:14" ht="11.25" customHeight="1" x14ac:dyDescent="0.3">
      <c r="G2155" s="470"/>
      <c r="H2155" s="470">
        <v>2148</v>
      </c>
      <c r="I2155" s="455">
        <f t="shared" ca="1" si="125"/>
        <v>1883642396.2100263</v>
      </c>
      <c r="J2155" s="455">
        <f t="array" ref="J2155">IFERROR(INDEX('Retirement Calculator'!K:K,MATCH('Lorri 401b'!N2155,'Retirement Calculator'!A:A,0),0),0)</f>
        <v>0</v>
      </c>
      <c r="K2155" s="455">
        <f t="shared" ca="1" si="123"/>
        <v>7848509.9842084423</v>
      </c>
      <c r="L2155" s="455">
        <f t="shared" ca="1" si="124"/>
        <v>1891490906.1942346</v>
      </c>
      <c r="M2155" s="471">
        <f t="shared" si="126"/>
        <v>0.05</v>
      </c>
      <c r="N2155" s="475">
        <f t="shared" si="127"/>
        <v>116634</v>
      </c>
    </row>
    <row r="2156" spans="7:14" ht="11.25" customHeight="1" x14ac:dyDescent="0.3">
      <c r="G2156" s="470"/>
      <c r="H2156" s="470">
        <v>2149</v>
      </c>
      <c r="I2156" s="455">
        <f t="shared" ca="1" si="125"/>
        <v>1891490906.1942346</v>
      </c>
      <c r="J2156" s="455">
        <f t="array" ref="J2156">IFERROR(INDEX('Retirement Calculator'!K:K,MATCH('Lorri 401b'!N2156,'Retirement Calculator'!A:A,0),0),0)</f>
        <v>0</v>
      </c>
      <c r="K2156" s="455">
        <f t="shared" ca="1" si="123"/>
        <v>7881212.1091426443</v>
      </c>
      <c r="L2156" s="455">
        <f t="shared" ca="1" si="124"/>
        <v>1899372118.3033772</v>
      </c>
      <c r="M2156" s="471">
        <f t="shared" si="126"/>
        <v>0.05</v>
      </c>
      <c r="N2156" s="475">
        <f t="shared" si="127"/>
        <v>116665</v>
      </c>
    </row>
    <row r="2157" spans="7:14" ht="11.25" customHeight="1" x14ac:dyDescent="0.3">
      <c r="G2157" s="470"/>
      <c r="H2157" s="470">
        <v>2150</v>
      </c>
      <c r="I2157" s="455">
        <f t="shared" ca="1" si="125"/>
        <v>1899372118.3033772</v>
      </c>
      <c r="J2157" s="455">
        <f t="array" ref="J2157">IFERROR(INDEX('Retirement Calculator'!K:K,MATCH('Lorri 401b'!N2157,'Retirement Calculator'!A:A,0),0),0)</f>
        <v>0</v>
      </c>
      <c r="K2157" s="455">
        <f t="shared" ca="1" si="123"/>
        <v>7914050.4929307392</v>
      </c>
      <c r="L2157" s="455">
        <f t="shared" ca="1" si="124"/>
        <v>1907286168.7963078</v>
      </c>
      <c r="M2157" s="471">
        <f t="shared" si="126"/>
        <v>0.05</v>
      </c>
      <c r="N2157" s="475">
        <f t="shared" si="127"/>
        <v>116695</v>
      </c>
    </row>
    <row r="2158" spans="7:14" ht="11.25" customHeight="1" x14ac:dyDescent="0.3">
      <c r="G2158" s="470"/>
      <c r="H2158" s="470">
        <v>2151</v>
      </c>
      <c r="I2158" s="455">
        <f t="shared" ca="1" si="125"/>
        <v>1907286168.7963078</v>
      </c>
      <c r="J2158" s="455">
        <f t="array" ref="J2158">IFERROR(INDEX('Retirement Calculator'!K:K,MATCH('Lorri 401b'!N2158,'Retirement Calculator'!A:A,0),0),0)</f>
        <v>0</v>
      </c>
      <c r="K2158" s="455">
        <f t="shared" ca="1" si="123"/>
        <v>7947025.7033179486</v>
      </c>
      <c r="L2158" s="455">
        <f t="shared" ca="1" si="124"/>
        <v>1915233194.4996257</v>
      </c>
      <c r="M2158" s="471">
        <f t="shared" si="126"/>
        <v>0.05</v>
      </c>
      <c r="N2158" s="475">
        <f t="shared" si="127"/>
        <v>116726</v>
      </c>
    </row>
    <row r="2159" spans="7:14" ht="11.25" customHeight="1" x14ac:dyDescent="0.3">
      <c r="G2159" s="470"/>
      <c r="H2159" s="470">
        <v>2152</v>
      </c>
      <c r="I2159" s="455">
        <f t="shared" ca="1" si="125"/>
        <v>1915233194.4996257</v>
      </c>
      <c r="J2159" s="455">
        <f t="array" ref="J2159">IFERROR(INDEX('Retirement Calculator'!K:K,MATCH('Lorri 401b'!N2159,'Retirement Calculator'!A:A,0),0),0)</f>
        <v>0</v>
      </c>
      <c r="K2159" s="455">
        <f t="shared" ca="1" si="123"/>
        <v>7980138.3104151078</v>
      </c>
      <c r="L2159" s="455">
        <f t="shared" ca="1" si="124"/>
        <v>1923213332.8100407</v>
      </c>
      <c r="M2159" s="471">
        <f t="shared" si="126"/>
        <v>0.05</v>
      </c>
      <c r="N2159" s="475">
        <f t="shared" si="127"/>
        <v>116757</v>
      </c>
    </row>
    <row r="2160" spans="7:14" ht="11.25" customHeight="1" x14ac:dyDescent="0.3">
      <c r="G2160" s="470"/>
      <c r="H2160" s="470">
        <v>2153</v>
      </c>
      <c r="I2160" s="455">
        <f t="shared" ca="1" si="125"/>
        <v>1923213332.8100407</v>
      </c>
      <c r="J2160" s="455">
        <f t="array" ref="J2160">IFERROR(INDEX('Retirement Calculator'!K:K,MATCH('Lorri 401b'!N2160,'Retirement Calculator'!A:A,0),0),0)</f>
        <v>0</v>
      </c>
      <c r="K2160" s="455">
        <f t="shared" ca="1" si="123"/>
        <v>8013388.8867085017</v>
      </c>
      <c r="L2160" s="455">
        <f t="shared" ca="1" si="124"/>
        <v>1931226721.6967492</v>
      </c>
      <c r="M2160" s="471">
        <f t="shared" si="126"/>
        <v>0.05</v>
      </c>
      <c r="N2160" s="475">
        <f t="shared" si="127"/>
        <v>116787</v>
      </c>
    </row>
    <row r="2161" spans="7:14" ht="11.25" customHeight="1" x14ac:dyDescent="0.3">
      <c r="G2161" s="470"/>
      <c r="H2161" s="470">
        <v>2154</v>
      </c>
      <c r="I2161" s="455">
        <f t="shared" ca="1" si="125"/>
        <v>1931226721.6967492</v>
      </c>
      <c r="J2161" s="455">
        <f t="array" ref="J2161">IFERROR(INDEX('Retirement Calculator'!K:K,MATCH('Lorri 401b'!N2161,'Retirement Calculator'!A:A,0),0),0)</f>
        <v>0</v>
      </c>
      <c r="K2161" s="455">
        <f t="shared" ca="1" si="123"/>
        <v>8046778.0070697879</v>
      </c>
      <c r="L2161" s="455">
        <f t="shared" ca="1" si="124"/>
        <v>1939273499.703819</v>
      </c>
      <c r="M2161" s="471">
        <f t="shared" si="126"/>
        <v>0.05</v>
      </c>
      <c r="N2161" s="475">
        <f t="shared" si="127"/>
        <v>116818</v>
      </c>
    </row>
    <row r="2162" spans="7:14" ht="11.25" customHeight="1" x14ac:dyDescent="0.3">
      <c r="G2162" s="470"/>
      <c r="H2162" s="470">
        <v>2155</v>
      </c>
      <c r="I2162" s="455">
        <f t="shared" ca="1" si="125"/>
        <v>1939273499.703819</v>
      </c>
      <c r="J2162" s="455">
        <f t="array" ref="J2162">IFERROR(INDEX('Retirement Calculator'!K:K,MATCH('Lorri 401b'!N2162,'Retirement Calculator'!A:A,0),0),0)</f>
        <v>0</v>
      </c>
      <c r="K2162" s="455">
        <f t="shared" ca="1" si="123"/>
        <v>8080306.2487659138</v>
      </c>
      <c r="L2162" s="455">
        <f t="shared" ca="1" si="124"/>
        <v>1947353805.952585</v>
      </c>
      <c r="M2162" s="471">
        <f t="shared" si="126"/>
        <v>0.05</v>
      </c>
      <c r="N2162" s="475">
        <f t="shared" si="127"/>
        <v>116848</v>
      </c>
    </row>
    <row r="2163" spans="7:14" ht="11.25" customHeight="1" x14ac:dyDescent="0.3">
      <c r="G2163" s="470"/>
      <c r="H2163" s="470">
        <v>2156</v>
      </c>
      <c r="I2163" s="455">
        <f t="shared" ca="1" si="125"/>
        <v>1947353805.952585</v>
      </c>
      <c r="J2163" s="455">
        <f t="array" ref="J2163">IFERROR(INDEX('Retirement Calculator'!K:K,MATCH('Lorri 401b'!N2163,'Retirement Calculator'!A:A,0),0),0)</f>
        <v>0</v>
      </c>
      <c r="K2163" s="455">
        <f t="shared" ca="1" si="123"/>
        <v>8113974.1914691031</v>
      </c>
      <c r="L2163" s="455">
        <f t="shared" ca="1" si="124"/>
        <v>1955467780.1440542</v>
      </c>
      <c r="M2163" s="471">
        <f t="shared" si="126"/>
        <v>0.05</v>
      </c>
      <c r="N2163" s="475">
        <f t="shared" si="127"/>
        <v>116879</v>
      </c>
    </row>
    <row r="2164" spans="7:14" ht="11.25" customHeight="1" x14ac:dyDescent="0.3">
      <c r="G2164" s="470"/>
      <c r="H2164" s="470">
        <v>2157</v>
      </c>
      <c r="I2164" s="455">
        <f t="shared" ca="1" si="125"/>
        <v>1955467780.1440542</v>
      </c>
      <c r="J2164" s="455">
        <f t="array" ref="J2164">IFERROR(INDEX('Retirement Calculator'!K:K,MATCH('Lorri 401b'!N2164,'Retirement Calculator'!A:A,0),0),0)</f>
        <v>0</v>
      </c>
      <c r="K2164" s="455">
        <f t="shared" ca="1" si="123"/>
        <v>8147782.4172668913</v>
      </c>
      <c r="L2164" s="455">
        <f t="shared" ca="1" si="124"/>
        <v>1963615562.561321</v>
      </c>
      <c r="M2164" s="471">
        <f t="shared" si="126"/>
        <v>0.05</v>
      </c>
      <c r="N2164" s="475">
        <f t="shared" si="127"/>
        <v>116910</v>
      </c>
    </row>
    <row r="2165" spans="7:14" ht="11.25" customHeight="1" x14ac:dyDescent="0.3">
      <c r="G2165" s="470"/>
      <c r="H2165" s="470">
        <v>2158</v>
      </c>
      <c r="I2165" s="455">
        <f t="shared" ca="1" si="125"/>
        <v>1963615562.561321</v>
      </c>
      <c r="J2165" s="455">
        <f t="array" ref="J2165">IFERROR(INDEX('Retirement Calculator'!K:K,MATCH('Lorri 401b'!N2165,'Retirement Calculator'!A:A,0),0),0)</f>
        <v>0</v>
      </c>
      <c r="K2165" s="455">
        <f t="shared" ca="1" si="123"/>
        <v>8181731.5106721707</v>
      </c>
      <c r="L2165" s="455">
        <f t="shared" ca="1" si="124"/>
        <v>1971797294.0719931</v>
      </c>
      <c r="M2165" s="471">
        <f t="shared" si="126"/>
        <v>0.05</v>
      </c>
      <c r="N2165" s="475">
        <f t="shared" si="127"/>
        <v>116939</v>
      </c>
    </row>
    <row r="2166" spans="7:14" ht="11.25" customHeight="1" x14ac:dyDescent="0.3">
      <c r="G2166" s="470"/>
      <c r="H2166" s="470">
        <v>2159</v>
      </c>
      <c r="I2166" s="455">
        <f t="shared" ca="1" si="125"/>
        <v>1971797294.0719931</v>
      </c>
      <c r="J2166" s="455">
        <f t="array" ref="J2166">IFERROR(INDEX('Retirement Calculator'!K:K,MATCH('Lorri 401b'!N2166,'Retirement Calculator'!A:A,0),0),0)</f>
        <v>0</v>
      </c>
      <c r="K2166" s="455">
        <f t="shared" ca="1" si="123"/>
        <v>8215822.0586333042</v>
      </c>
      <c r="L2166" s="455">
        <f t="shared" ca="1" si="124"/>
        <v>1980013116.1306264</v>
      </c>
      <c r="M2166" s="471">
        <f t="shared" si="126"/>
        <v>0.05</v>
      </c>
      <c r="N2166" s="475">
        <f t="shared" si="127"/>
        <v>116970</v>
      </c>
    </row>
    <row r="2167" spans="7:14" ht="11.25" customHeight="1" x14ac:dyDescent="0.3">
      <c r="G2167" s="470"/>
      <c r="H2167" s="470">
        <v>2160</v>
      </c>
      <c r="I2167" s="455">
        <f t="shared" ca="1" si="125"/>
        <v>1980013116.1306264</v>
      </c>
      <c r="J2167" s="455">
        <f t="array" ref="J2167">IFERROR(INDEX('Retirement Calculator'!K:K,MATCH('Lorri 401b'!N2167,'Retirement Calculator'!A:A,0),0),0)</f>
        <v>0</v>
      </c>
      <c r="K2167" s="455">
        <f t="shared" ca="1" si="123"/>
        <v>8250054.6505442774</v>
      </c>
      <c r="L2167" s="455">
        <f t="shared" ca="1" si="124"/>
        <v>1988263170.7811706</v>
      </c>
      <c r="M2167" s="471">
        <f t="shared" si="126"/>
        <v>0.05</v>
      </c>
      <c r="N2167" s="475">
        <f t="shared" si="127"/>
        <v>117000</v>
      </c>
    </row>
    <row r="2168" spans="7:14" ht="11.25" customHeight="1" x14ac:dyDescent="0.3">
      <c r="G2168" s="470"/>
      <c r="H2168" s="470">
        <v>2161</v>
      </c>
      <c r="I2168" s="455">
        <f t="shared" ca="1" si="125"/>
        <v>1988263170.7811706</v>
      </c>
      <c r="J2168" s="455">
        <f t="array" ref="J2168">IFERROR(INDEX('Retirement Calculator'!K:K,MATCH('Lorri 401b'!N2168,'Retirement Calculator'!A:A,0),0),0)</f>
        <v>0</v>
      </c>
      <c r="K2168" s="455">
        <f t="shared" ca="1" si="123"/>
        <v>8284429.8782548774</v>
      </c>
      <c r="L2168" s="455">
        <f t="shared" ca="1" si="124"/>
        <v>1996547600.6594255</v>
      </c>
      <c r="M2168" s="471">
        <f t="shared" si="126"/>
        <v>0.05</v>
      </c>
      <c r="N2168" s="475">
        <f t="shared" si="127"/>
        <v>117031</v>
      </c>
    </row>
    <row r="2169" spans="7:14" ht="11.25" customHeight="1" x14ac:dyDescent="0.3">
      <c r="G2169" s="470"/>
      <c r="H2169" s="470">
        <v>2162</v>
      </c>
      <c r="I2169" s="455">
        <f t="shared" ca="1" si="125"/>
        <v>1996547600.6594255</v>
      </c>
      <c r="J2169" s="455">
        <f t="array" ref="J2169">IFERROR(INDEX('Retirement Calculator'!K:K,MATCH('Lorri 401b'!N2169,'Retirement Calculator'!A:A,0),0),0)</f>
        <v>0</v>
      </c>
      <c r="K2169" s="455">
        <f t="shared" ca="1" si="123"/>
        <v>8318948.3360809395</v>
      </c>
      <c r="L2169" s="455">
        <f t="shared" ca="1" si="124"/>
        <v>2004866548.9955065</v>
      </c>
      <c r="M2169" s="471">
        <f t="shared" si="126"/>
        <v>0.05</v>
      </c>
      <c r="N2169" s="475">
        <f t="shared" si="127"/>
        <v>117061</v>
      </c>
    </row>
    <row r="2170" spans="7:14" ht="11.25" customHeight="1" x14ac:dyDescent="0.3">
      <c r="G2170" s="470"/>
      <c r="H2170" s="470">
        <v>2163</v>
      </c>
      <c r="I2170" s="455">
        <f t="shared" ca="1" si="125"/>
        <v>2004866548.9955065</v>
      </c>
      <c r="J2170" s="455">
        <f t="array" ref="J2170">IFERROR(INDEX('Retirement Calculator'!K:K,MATCH('Lorri 401b'!N2170,'Retirement Calculator'!A:A,0),0),0)</f>
        <v>0</v>
      </c>
      <c r="K2170" s="455">
        <f t="shared" ca="1" si="123"/>
        <v>8353610.6208146112</v>
      </c>
      <c r="L2170" s="455">
        <f t="shared" ca="1" si="124"/>
        <v>2013220159.6163211</v>
      </c>
      <c r="M2170" s="471">
        <f t="shared" si="126"/>
        <v>0.05</v>
      </c>
      <c r="N2170" s="475">
        <f t="shared" si="127"/>
        <v>117092</v>
      </c>
    </row>
    <row r="2171" spans="7:14" ht="11.25" customHeight="1" x14ac:dyDescent="0.3">
      <c r="G2171" s="470"/>
      <c r="H2171" s="470">
        <v>2164</v>
      </c>
      <c r="I2171" s="455">
        <f t="shared" ca="1" si="125"/>
        <v>2013220159.6163211</v>
      </c>
      <c r="J2171" s="455">
        <f t="array" ref="J2171">IFERROR(INDEX('Retirement Calculator'!K:K,MATCH('Lorri 401b'!N2171,'Retirement Calculator'!A:A,0),0),0)</f>
        <v>0</v>
      </c>
      <c r="K2171" s="455">
        <f t="shared" ca="1" si="123"/>
        <v>8388417.3317346713</v>
      </c>
      <c r="L2171" s="455">
        <f t="shared" ca="1" si="124"/>
        <v>2021608576.9480557</v>
      </c>
      <c r="M2171" s="471">
        <f t="shared" si="126"/>
        <v>0.05</v>
      </c>
      <c r="N2171" s="475">
        <f t="shared" si="127"/>
        <v>117123</v>
      </c>
    </row>
    <row r="2172" spans="7:14" ht="11.25" customHeight="1" x14ac:dyDescent="0.3">
      <c r="G2172" s="470"/>
      <c r="H2172" s="470">
        <v>2165</v>
      </c>
      <c r="I2172" s="455">
        <f t="shared" ca="1" si="125"/>
        <v>2021608576.9480557</v>
      </c>
      <c r="J2172" s="455">
        <f t="array" ref="J2172">IFERROR(INDEX('Retirement Calculator'!K:K,MATCH('Lorri 401b'!N2172,'Retirement Calculator'!A:A,0),0),0)</f>
        <v>0</v>
      </c>
      <c r="K2172" s="455">
        <f t="shared" ca="1" si="123"/>
        <v>8423369.0706168991</v>
      </c>
      <c r="L2172" s="455">
        <f t="shared" ca="1" si="124"/>
        <v>2030031946.0186727</v>
      </c>
      <c r="M2172" s="471">
        <f t="shared" si="126"/>
        <v>0.05</v>
      </c>
      <c r="N2172" s="475">
        <f t="shared" si="127"/>
        <v>117153</v>
      </c>
    </row>
    <row r="2173" spans="7:14" ht="11.25" customHeight="1" x14ac:dyDescent="0.3">
      <c r="G2173" s="470"/>
      <c r="H2173" s="470">
        <v>2166</v>
      </c>
      <c r="I2173" s="455">
        <f t="shared" ca="1" si="125"/>
        <v>2030031946.0186727</v>
      </c>
      <c r="J2173" s="455">
        <f t="array" ref="J2173">IFERROR(INDEX('Retirement Calculator'!K:K,MATCH('Lorri 401b'!N2173,'Retirement Calculator'!A:A,0),0),0)</f>
        <v>0</v>
      </c>
      <c r="K2173" s="455">
        <f t="shared" ca="1" si="123"/>
        <v>8458466.441744471</v>
      </c>
      <c r="L2173" s="455">
        <f t="shared" ca="1" si="124"/>
        <v>2038490412.4604173</v>
      </c>
      <c r="M2173" s="471">
        <f t="shared" si="126"/>
        <v>0.05</v>
      </c>
      <c r="N2173" s="475">
        <f t="shared" si="127"/>
        <v>117184</v>
      </c>
    </row>
    <row r="2174" spans="7:14" ht="11.25" customHeight="1" x14ac:dyDescent="0.3">
      <c r="G2174" s="470"/>
      <c r="H2174" s="470">
        <v>2167</v>
      </c>
      <c r="I2174" s="455">
        <f t="shared" ca="1" si="125"/>
        <v>2038490412.4604173</v>
      </c>
      <c r="J2174" s="455">
        <f t="array" ref="J2174">IFERROR(INDEX('Retirement Calculator'!K:K,MATCH('Lorri 401b'!N2174,'Retirement Calculator'!A:A,0),0),0)</f>
        <v>0</v>
      </c>
      <c r="K2174" s="455">
        <f t="shared" ca="1" si="123"/>
        <v>8493710.051918406</v>
      </c>
      <c r="L2174" s="455">
        <f t="shared" ca="1" si="124"/>
        <v>2046984122.5123358</v>
      </c>
      <c r="M2174" s="471">
        <f t="shared" si="126"/>
        <v>0.05</v>
      </c>
      <c r="N2174" s="475">
        <f t="shared" si="127"/>
        <v>117214</v>
      </c>
    </row>
    <row r="2175" spans="7:14" ht="11.25" customHeight="1" x14ac:dyDescent="0.3">
      <c r="G2175" s="470"/>
      <c r="H2175" s="470">
        <v>2168</v>
      </c>
      <c r="I2175" s="455">
        <f t="shared" ca="1" si="125"/>
        <v>2046984122.5123358</v>
      </c>
      <c r="J2175" s="455">
        <f t="array" ref="J2175">IFERROR(INDEX('Retirement Calculator'!K:K,MATCH('Lorri 401b'!N2175,'Retirement Calculator'!A:A,0),0),0)</f>
        <v>0</v>
      </c>
      <c r="K2175" s="455">
        <f t="shared" ca="1" si="123"/>
        <v>8529100.5104680657</v>
      </c>
      <c r="L2175" s="455">
        <f t="shared" ca="1" si="124"/>
        <v>2055513223.0228038</v>
      </c>
      <c r="M2175" s="471">
        <f t="shared" si="126"/>
        <v>0.05</v>
      </c>
      <c r="N2175" s="475">
        <f t="shared" si="127"/>
        <v>117245</v>
      </c>
    </row>
    <row r="2176" spans="7:14" ht="11.25" customHeight="1" x14ac:dyDescent="0.3">
      <c r="G2176" s="470"/>
      <c r="H2176" s="470">
        <v>2169</v>
      </c>
      <c r="I2176" s="455">
        <f t="shared" ca="1" si="125"/>
        <v>2055513223.0228038</v>
      </c>
      <c r="J2176" s="455">
        <f t="array" ref="J2176">IFERROR(INDEX('Retirement Calculator'!K:K,MATCH('Lorri 401b'!N2176,'Retirement Calculator'!A:A,0),0),0)</f>
        <v>0</v>
      </c>
      <c r="K2176" s="455">
        <f t="shared" ca="1" si="123"/>
        <v>8564638.4292616807</v>
      </c>
      <c r="L2176" s="455">
        <f t="shared" ca="1" si="124"/>
        <v>2064077861.4520655</v>
      </c>
      <c r="M2176" s="471">
        <f t="shared" si="126"/>
        <v>0.05</v>
      </c>
      <c r="N2176" s="475">
        <f t="shared" si="127"/>
        <v>117276</v>
      </c>
    </row>
    <row r="2177" spans="7:14" ht="11.25" customHeight="1" x14ac:dyDescent="0.3">
      <c r="G2177" s="470"/>
      <c r="H2177" s="470">
        <v>2170</v>
      </c>
      <c r="I2177" s="455">
        <f t="shared" ca="1" si="125"/>
        <v>2064077861.4520655</v>
      </c>
      <c r="J2177" s="455">
        <f t="array" ref="J2177">IFERROR(INDEX('Retirement Calculator'!K:K,MATCH('Lorri 401b'!N2177,'Retirement Calculator'!A:A,0),0),0)</f>
        <v>0</v>
      </c>
      <c r="K2177" s="455">
        <f t="shared" ca="1" si="123"/>
        <v>8600324.422716938</v>
      </c>
      <c r="L2177" s="455">
        <f t="shared" ca="1" si="124"/>
        <v>2072678185.8747823</v>
      </c>
      <c r="M2177" s="471">
        <f t="shared" si="126"/>
        <v>0.05</v>
      </c>
      <c r="N2177" s="475">
        <f t="shared" si="127"/>
        <v>117304</v>
      </c>
    </row>
    <row r="2178" spans="7:14" ht="11.25" customHeight="1" x14ac:dyDescent="0.3">
      <c r="G2178" s="470"/>
      <c r="H2178" s="470">
        <v>2171</v>
      </c>
      <c r="I2178" s="455">
        <f t="shared" ca="1" si="125"/>
        <v>2072678185.8747823</v>
      </c>
      <c r="J2178" s="455">
        <f t="array" ref="J2178">IFERROR(INDEX('Retirement Calculator'!K:K,MATCH('Lorri 401b'!N2178,'Retirement Calculator'!A:A,0),0),0)</f>
        <v>0</v>
      </c>
      <c r="K2178" s="455">
        <f t="shared" ca="1" si="123"/>
        <v>8636159.1078115925</v>
      </c>
      <c r="L2178" s="455">
        <f t="shared" ca="1" si="124"/>
        <v>2081314344.982594</v>
      </c>
      <c r="M2178" s="471">
        <f t="shared" si="126"/>
        <v>0.05</v>
      </c>
      <c r="N2178" s="475">
        <f t="shared" si="127"/>
        <v>117335</v>
      </c>
    </row>
    <row r="2179" spans="7:14" ht="11.25" customHeight="1" x14ac:dyDescent="0.3">
      <c r="G2179" s="470"/>
      <c r="H2179" s="470">
        <v>2172</v>
      </c>
      <c r="I2179" s="455">
        <f t="shared" ca="1" si="125"/>
        <v>2081314344.982594</v>
      </c>
      <c r="J2179" s="455">
        <f t="array" ref="J2179">IFERROR(INDEX('Retirement Calculator'!K:K,MATCH('Lorri 401b'!N2179,'Retirement Calculator'!A:A,0),0),0)</f>
        <v>0</v>
      </c>
      <c r="K2179" s="455">
        <f t="shared" ca="1" si="123"/>
        <v>8672143.1040941421</v>
      </c>
      <c r="L2179" s="455">
        <f t="shared" ca="1" si="124"/>
        <v>2089986488.086688</v>
      </c>
      <c r="M2179" s="471">
        <f t="shared" si="126"/>
        <v>0.05</v>
      </c>
      <c r="N2179" s="475">
        <f t="shared" si="127"/>
        <v>117365</v>
      </c>
    </row>
    <row r="2180" spans="7:14" ht="11.25" customHeight="1" x14ac:dyDescent="0.3">
      <c r="G2180" s="470"/>
      <c r="H2180" s="470">
        <v>2173</v>
      </c>
      <c r="I2180" s="455">
        <f t="shared" ca="1" si="125"/>
        <v>2089986488.086688</v>
      </c>
      <c r="J2180" s="455">
        <f t="array" ref="J2180">IFERROR(INDEX('Retirement Calculator'!K:K,MATCH('Lorri 401b'!N2180,'Retirement Calculator'!A:A,0),0),0)</f>
        <v>0</v>
      </c>
      <c r="K2180" s="455">
        <f t="shared" ca="1" si="123"/>
        <v>8708277.0336945336</v>
      </c>
      <c r="L2180" s="455">
        <f t="shared" ca="1" si="124"/>
        <v>2098694765.1203825</v>
      </c>
      <c r="M2180" s="471">
        <f t="shared" si="126"/>
        <v>0.05</v>
      </c>
      <c r="N2180" s="475">
        <f t="shared" si="127"/>
        <v>117396</v>
      </c>
    </row>
    <row r="2181" spans="7:14" ht="11.25" customHeight="1" x14ac:dyDescent="0.3">
      <c r="G2181" s="470"/>
      <c r="H2181" s="470">
        <v>2174</v>
      </c>
      <c r="I2181" s="455">
        <f t="shared" ca="1" si="125"/>
        <v>2098694765.1203825</v>
      </c>
      <c r="J2181" s="455">
        <f t="array" ref="J2181">IFERROR(INDEX('Retirement Calculator'!K:K,MATCH('Lorri 401b'!N2181,'Retirement Calculator'!A:A,0),0),0)</f>
        <v>0</v>
      </c>
      <c r="K2181" s="455">
        <f t="shared" ca="1" si="123"/>
        <v>8744561.5213349275</v>
      </c>
      <c r="L2181" s="455">
        <f t="shared" ca="1" si="124"/>
        <v>2107439326.6417174</v>
      </c>
      <c r="M2181" s="471">
        <f t="shared" si="126"/>
        <v>0.05</v>
      </c>
      <c r="N2181" s="475">
        <f t="shared" si="127"/>
        <v>117426</v>
      </c>
    </row>
    <row r="2182" spans="7:14" ht="11.25" customHeight="1" x14ac:dyDescent="0.3">
      <c r="G2182" s="470"/>
      <c r="H2182" s="470">
        <v>2175</v>
      </c>
      <c r="I2182" s="455">
        <f t="shared" ca="1" si="125"/>
        <v>2107439326.6417174</v>
      </c>
      <c r="J2182" s="455">
        <f t="array" ref="J2182">IFERROR(INDEX('Retirement Calculator'!K:K,MATCH('Lorri 401b'!N2182,'Retirement Calculator'!A:A,0),0),0)</f>
        <v>0</v>
      </c>
      <c r="K2182" s="455">
        <f t="shared" ca="1" si="123"/>
        <v>8780997.1943404898</v>
      </c>
      <c r="L2182" s="455">
        <f t="shared" ca="1" si="124"/>
        <v>2116220323.8360579</v>
      </c>
      <c r="M2182" s="471">
        <f t="shared" si="126"/>
        <v>0.05</v>
      </c>
      <c r="N2182" s="475">
        <f t="shared" si="127"/>
        <v>117457</v>
      </c>
    </row>
    <row r="2183" spans="7:14" ht="11.25" customHeight="1" x14ac:dyDescent="0.3">
      <c r="G2183" s="470"/>
      <c r="H2183" s="470">
        <v>2176</v>
      </c>
      <c r="I2183" s="455">
        <f t="shared" ca="1" si="125"/>
        <v>2116220323.8360579</v>
      </c>
      <c r="J2183" s="455">
        <f t="array" ref="J2183">IFERROR(INDEX('Retirement Calculator'!K:K,MATCH('Lorri 401b'!N2183,'Retirement Calculator'!A:A,0),0),0)</f>
        <v>0</v>
      </c>
      <c r="K2183" s="455">
        <f t="shared" ca="1" si="123"/>
        <v>8817584.682650242</v>
      </c>
      <c r="L2183" s="455">
        <f t="shared" ca="1" si="124"/>
        <v>2125037908.5187082</v>
      </c>
      <c r="M2183" s="471">
        <f t="shared" si="126"/>
        <v>0.05</v>
      </c>
      <c r="N2183" s="475">
        <f t="shared" si="127"/>
        <v>117488</v>
      </c>
    </row>
    <row r="2184" spans="7:14" ht="11.25" customHeight="1" x14ac:dyDescent="0.3">
      <c r="G2184" s="470"/>
      <c r="H2184" s="470">
        <v>2177</v>
      </c>
      <c r="I2184" s="455">
        <f t="shared" ca="1" si="125"/>
        <v>2125037908.5187082</v>
      </c>
      <c r="J2184" s="455">
        <f t="array" ref="J2184">IFERROR(INDEX('Retirement Calculator'!K:K,MATCH('Lorri 401b'!N2184,'Retirement Calculator'!A:A,0),0),0)</f>
        <v>0</v>
      </c>
      <c r="K2184" s="455">
        <f t="shared" ca="1" si="123"/>
        <v>8854324.6188279502</v>
      </c>
      <c r="L2184" s="455">
        <f t="shared" ca="1" si="124"/>
        <v>2133892233.1375363</v>
      </c>
      <c r="M2184" s="471">
        <f t="shared" si="126"/>
        <v>0.05</v>
      </c>
      <c r="N2184" s="475">
        <f t="shared" si="127"/>
        <v>117518</v>
      </c>
    </row>
    <row r="2185" spans="7:14" ht="11.25" customHeight="1" x14ac:dyDescent="0.3">
      <c r="G2185" s="470"/>
      <c r="H2185" s="470">
        <v>2178</v>
      </c>
      <c r="I2185" s="455">
        <f t="shared" ca="1" si="125"/>
        <v>2133892233.1375363</v>
      </c>
      <c r="J2185" s="455">
        <f t="array" ref="J2185">IFERROR(INDEX('Retirement Calculator'!K:K,MATCH('Lorri 401b'!N2185,'Retirement Calculator'!A:A,0),0),0)</f>
        <v>0</v>
      </c>
      <c r="K2185" s="455">
        <f t="shared" ca="1" si="123"/>
        <v>8891217.6380730681</v>
      </c>
      <c r="L2185" s="455">
        <f t="shared" ca="1" si="124"/>
        <v>2142783450.7756093</v>
      </c>
      <c r="M2185" s="471">
        <f t="shared" si="126"/>
        <v>0.05</v>
      </c>
      <c r="N2185" s="475">
        <f t="shared" si="127"/>
        <v>117549</v>
      </c>
    </row>
    <row r="2186" spans="7:14" ht="11.25" customHeight="1" x14ac:dyDescent="0.3">
      <c r="G2186" s="470"/>
      <c r="H2186" s="470">
        <v>2179</v>
      </c>
      <c r="I2186" s="455">
        <f t="shared" ca="1" si="125"/>
        <v>2142783450.7756093</v>
      </c>
      <c r="J2186" s="455">
        <f t="array" ref="J2186">IFERROR(INDEX('Retirement Calculator'!K:K,MATCH('Lorri 401b'!N2186,'Retirement Calculator'!A:A,0),0),0)</f>
        <v>0</v>
      </c>
      <c r="K2186" s="455">
        <f t="shared" ca="1" si="123"/>
        <v>8928264.3782317042</v>
      </c>
      <c r="L2186" s="455">
        <f t="shared" ca="1" si="124"/>
        <v>2151711715.153841</v>
      </c>
      <c r="M2186" s="471">
        <f t="shared" si="126"/>
        <v>0.05</v>
      </c>
      <c r="N2186" s="475">
        <f t="shared" si="127"/>
        <v>117579</v>
      </c>
    </row>
    <row r="2187" spans="7:14" ht="11.25" customHeight="1" x14ac:dyDescent="0.3">
      <c r="G2187" s="470"/>
      <c r="H2187" s="470">
        <v>2180</v>
      </c>
      <c r="I2187" s="455">
        <f t="shared" ca="1" si="125"/>
        <v>2151711715.153841</v>
      </c>
      <c r="J2187" s="455">
        <f t="array" ref="J2187">IFERROR(INDEX('Retirement Calculator'!K:K,MATCH('Lorri 401b'!N2187,'Retirement Calculator'!A:A,0),0),0)</f>
        <v>0</v>
      </c>
      <c r="K2187" s="455">
        <f t="shared" ca="1" si="123"/>
        <v>8965465.4798076712</v>
      </c>
      <c r="L2187" s="455">
        <f t="shared" ca="1" si="124"/>
        <v>2160677180.6336489</v>
      </c>
      <c r="M2187" s="471">
        <f t="shared" si="126"/>
        <v>0.05</v>
      </c>
      <c r="N2187" s="475">
        <f t="shared" si="127"/>
        <v>117610</v>
      </c>
    </row>
    <row r="2188" spans="7:14" ht="11.25" customHeight="1" x14ac:dyDescent="0.3">
      <c r="G2188" s="470"/>
      <c r="H2188" s="470">
        <v>2181</v>
      </c>
      <c r="I2188" s="455">
        <f t="shared" ca="1" si="125"/>
        <v>2160677180.6336489</v>
      </c>
      <c r="J2188" s="455">
        <f t="array" ref="J2188">IFERROR(INDEX('Retirement Calculator'!K:K,MATCH('Lorri 401b'!N2188,'Retirement Calculator'!A:A,0),0),0)</f>
        <v>0</v>
      </c>
      <c r="K2188" s="455">
        <f t="shared" ca="1" si="123"/>
        <v>9002821.5859735366</v>
      </c>
      <c r="L2188" s="455">
        <f t="shared" ca="1" si="124"/>
        <v>2169680002.2196226</v>
      </c>
      <c r="M2188" s="471">
        <f t="shared" si="126"/>
        <v>0.05</v>
      </c>
      <c r="N2188" s="475">
        <f t="shared" si="127"/>
        <v>117641</v>
      </c>
    </row>
    <row r="2189" spans="7:14" ht="11.25" customHeight="1" x14ac:dyDescent="0.3">
      <c r="G2189" s="470"/>
      <c r="H2189" s="470">
        <v>2182</v>
      </c>
      <c r="I2189" s="455">
        <f t="shared" ca="1" si="125"/>
        <v>2169680002.2196226</v>
      </c>
      <c r="J2189" s="455">
        <f t="array" ref="J2189">IFERROR(INDEX('Retirement Calculator'!K:K,MATCH('Lorri 401b'!N2189,'Retirement Calculator'!A:A,0),0),0)</f>
        <v>0</v>
      </c>
      <c r="K2189" s="455">
        <f t="shared" ca="1" si="123"/>
        <v>9040333.3425817601</v>
      </c>
      <c r="L2189" s="455">
        <f t="shared" ca="1" si="124"/>
        <v>2178720335.5622044</v>
      </c>
      <c r="M2189" s="471">
        <f t="shared" si="126"/>
        <v>0.05</v>
      </c>
      <c r="N2189" s="475">
        <f t="shared" si="127"/>
        <v>117669</v>
      </c>
    </row>
    <row r="2190" spans="7:14" ht="11.25" customHeight="1" x14ac:dyDescent="0.3">
      <c r="G2190" s="470"/>
      <c r="H2190" s="470">
        <v>2183</v>
      </c>
      <c r="I2190" s="455">
        <f t="shared" ca="1" si="125"/>
        <v>2178720335.5622044</v>
      </c>
      <c r="J2190" s="455">
        <f t="array" ref="J2190">IFERROR(INDEX('Retirement Calculator'!K:K,MATCH('Lorri 401b'!N2190,'Retirement Calculator'!A:A,0),0),0)</f>
        <v>0</v>
      </c>
      <c r="K2190" s="455">
        <f t="shared" ca="1" si="123"/>
        <v>9078001.3981758505</v>
      </c>
      <c r="L2190" s="455">
        <f t="shared" ca="1" si="124"/>
        <v>2187798336.9603801</v>
      </c>
      <c r="M2190" s="471">
        <f t="shared" si="126"/>
        <v>0.05</v>
      </c>
      <c r="N2190" s="475">
        <f t="shared" si="127"/>
        <v>117700</v>
      </c>
    </row>
    <row r="2191" spans="7:14" ht="11.25" customHeight="1" x14ac:dyDescent="0.3">
      <c r="G2191" s="470"/>
      <c r="H2191" s="470">
        <v>2184</v>
      </c>
      <c r="I2191" s="455">
        <f t="shared" ca="1" si="125"/>
        <v>2187798336.9603801</v>
      </c>
      <c r="J2191" s="455">
        <f t="array" ref="J2191">IFERROR(INDEX('Retirement Calculator'!K:K,MATCH('Lorri 401b'!N2191,'Retirement Calculator'!A:A,0),0),0)</f>
        <v>0</v>
      </c>
      <c r="K2191" s="455">
        <f t="shared" ca="1" si="123"/>
        <v>9115826.4040015843</v>
      </c>
      <c r="L2191" s="455">
        <f t="shared" ca="1" si="124"/>
        <v>2196914163.3643818</v>
      </c>
      <c r="M2191" s="471">
        <f t="shared" si="126"/>
        <v>0.05</v>
      </c>
      <c r="N2191" s="475">
        <f t="shared" si="127"/>
        <v>117730</v>
      </c>
    </row>
    <row r="2192" spans="7:14" ht="11.25" customHeight="1" x14ac:dyDescent="0.3">
      <c r="G2192" s="470"/>
      <c r="H2192" s="470">
        <v>2185</v>
      </c>
      <c r="I2192" s="455">
        <f t="shared" ca="1" si="125"/>
        <v>2196914163.3643818</v>
      </c>
      <c r="J2192" s="455">
        <f t="array" ref="J2192">IFERROR(INDEX('Retirement Calculator'!K:K,MATCH('Lorri 401b'!N2192,'Retirement Calculator'!A:A,0),0),0)</f>
        <v>0</v>
      </c>
      <c r="K2192" s="455">
        <f t="shared" ca="1" si="123"/>
        <v>9153809.0140182581</v>
      </c>
      <c r="L2192" s="455">
        <f t="shared" ca="1" si="124"/>
        <v>2206067972.3783998</v>
      </c>
      <c r="M2192" s="471">
        <f t="shared" si="126"/>
        <v>0.05</v>
      </c>
      <c r="N2192" s="475">
        <f t="shared" si="127"/>
        <v>117761</v>
      </c>
    </row>
    <row r="2193" spans="7:14" ht="11.25" customHeight="1" x14ac:dyDescent="0.3">
      <c r="G2193" s="470"/>
      <c r="H2193" s="470">
        <v>2186</v>
      </c>
      <c r="I2193" s="455">
        <f t="shared" ca="1" si="125"/>
        <v>2206067972.3783998</v>
      </c>
      <c r="J2193" s="455">
        <f t="array" ref="J2193">IFERROR(INDEX('Retirement Calculator'!K:K,MATCH('Lorri 401b'!N2193,'Retirement Calculator'!A:A,0),0),0)</f>
        <v>0</v>
      </c>
      <c r="K2193" s="455">
        <f t="shared" ca="1" si="123"/>
        <v>9191949.8849099986</v>
      </c>
      <c r="L2193" s="455">
        <f t="shared" ca="1" si="124"/>
        <v>2215259922.26331</v>
      </c>
      <c r="M2193" s="471">
        <f t="shared" si="126"/>
        <v>0.05</v>
      </c>
      <c r="N2193" s="475">
        <f t="shared" si="127"/>
        <v>117791</v>
      </c>
    </row>
    <row r="2194" spans="7:14" ht="11.25" customHeight="1" x14ac:dyDescent="0.3">
      <c r="G2194" s="470"/>
      <c r="H2194" s="470">
        <v>2187</v>
      </c>
      <c r="I2194" s="455">
        <f t="shared" ca="1" si="125"/>
        <v>2215259922.26331</v>
      </c>
      <c r="J2194" s="455">
        <f t="array" ref="J2194">IFERROR(INDEX('Retirement Calculator'!K:K,MATCH('Lorri 401b'!N2194,'Retirement Calculator'!A:A,0),0),0)</f>
        <v>0</v>
      </c>
      <c r="K2194" s="455">
        <f t="shared" ca="1" si="123"/>
        <v>9230249.6760971248</v>
      </c>
      <c r="L2194" s="455">
        <f t="shared" ca="1" si="124"/>
        <v>2224490171.9394069</v>
      </c>
      <c r="M2194" s="471">
        <f t="shared" si="126"/>
        <v>0.05</v>
      </c>
      <c r="N2194" s="475">
        <f t="shared" si="127"/>
        <v>117822</v>
      </c>
    </row>
    <row r="2195" spans="7:14" ht="11.25" customHeight="1" x14ac:dyDescent="0.3">
      <c r="G2195" s="470"/>
      <c r="H2195" s="470">
        <v>2188</v>
      </c>
      <c r="I2195" s="455">
        <f t="shared" ca="1" si="125"/>
        <v>2224490171.9394069</v>
      </c>
      <c r="J2195" s="455">
        <f t="array" ref="J2195">IFERROR(INDEX('Retirement Calculator'!K:K,MATCH('Lorri 401b'!N2195,'Retirement Calculator'!A:A,0),0),0)</f>
        <v>0</v>
      </c>
      <c r="K2195" s="455">
        <f t="shared" ca="1" si="123"/>
        <v>9268709.0497475285</v>
      </c>
      <c r="L2195" s="455">
        <f t="shared" ca="1" si="124"/>
        <v>2233758880.9891543</v>
      </c>
      <c r="M2195" s="471">
        <f t="shared" si="126"/>
        <v>0.05</v>
      </c>
      <c r="N2195" s="475">
        <f t="shared" si="127"/>
        <v>117853</v>
      </c>
    </row>
    <row r="2196" spans="7:14" ht="11.25" customHeight="1" x14ac:dyDescent="0.3">
      <c r="G2196" s="470"/>
      <c r="H2196" s="470">
        <v>2189</v>
      </c>
      <c r="I2196" s="455">
        <f t="shared" ca="1" si="125"/>
        <v>2233758880.9891543</v>
      </c>
      <c r="J2196" s="455">
        <f t="array" ref="J2196">IFERROR(INDEX('Retirement Calculator'!K:K,MATCH('Lorri 401b'!N2196,'Retirement Calculator'!A:A,0),0),0)</f>
        <v>0</v>
      </c>
      <c r="K2196" s="455">
        <f t="shared" ca="1" si="123"/>
        <v>9307328.6707881428</v>
      </c>
      <c r="L2196" s="455">
        <f t="shared" ca="1" si="124"/>
        <v>2243066209.6599426</v>
      </c>
      <c r="M2196" s="471">
        <f t="shared" si="126"/>
        <v>0.05</v>
      </c>
      <c r="N2196" s="475">
        <f t="shared" si="127"/>
        <v>117883</v>
      </c>
    </row>
    <row r="2197" spans="7:14" ht="11.25" customHeight="1" x14ac:dyDescent="0.3">
      <c r="G2197" s="470"/>
      <c r="H2197" s="470">
        <v>2190</v>
      </c>
      <c r="I2197" s="455">
        <f t="shared" ca="1" si="125"/>
        <v>2243066209.6599426</v>
      </c>
      <c r="J2197" s="455">
        <f t="array" ref="J2197">IFERROR(INDEX('Retirement Calculator'!K:K,MATCH('Lorri 401b'!N2197,'Retirement Calculator'!A:A,0),0),0)</f>
        <v>0</v>
      </c>
      <c r="K2197" s="455">
        <f t="shared" ca="1" si="123"/>
        <v>9346109.2069164272</v>
      </c>
      <c r="L2197" s="455">
        <f t="shared" ca="1" si="124"/>
        <v>2252412318.866859</v>
      </c>
      <c r="M2197" s="471">
        <f t="shared" si="126"/>
        <v>0.05</v>
      </c>
      <c r="N2197" s="475">
        <f t="shared" si="127"/>
        <v>117914</v>
      </c>
    </row>
    <row r="2198" spans="7:14" ht="11.25" customHeight="1" x14ac:dyDescent="0.3">
      <c r="G2198" s="470"/>
      <c r="H2198" s="470">
        <v>2191</v>
      </c>
      <c r="I2198" s="455">
        <f t="shared" ca="1" si="125"/>
        <v>2252412318.866859</v>
      </c>
      <c r="J2198" s="455">
        <f t="array" ref="J2198">IFERROR(INDEX('Retirement Calculator'!K:K,MATCH('Lorri 401b'!N2198,'Retirement Calculator'!A:A,0),0),0)</f>
        <v>0</v>
      </c>
      <c r="K2198" s="455">
        <f t="shared" ca="1" si="123"/>
        <v>9385051.3286119122</v>
      </c>
      <c r="L2198" s="455">
        <f t="shared" ca="1" si="124"/>
        <v>2261797370.1954708</v>
      </c>
      <c r="M2198" s="471">
        <f t="shared" si="126"/>
        <v>0.05</v>
      </c>
      <c r="N2198" s="475">
        <f t="shared" si="127"/>
        <v>117944</v>
      </c>
    </row>
    <row r="2199" spans="7:14" ht="11.25" customHeight="1" x14ac:dyDescent="0.3">
      <c r="G2199" s="470"/>
      <c r="H2199" s="470">
        <v>2192</v>
      </c>
      <c r="I2199" s="455">
        <f t="shared" ca="1" si="125"/>
        <v>2261797370.1954708</v>
      </c>
      <c r="J2199" s="455">
        <f t="array" ref="J2199">IFERROR(INDEX('Retirement Calculator'!K:K,MATCH('Lorri 401b'!N2199,'Retirement Calculator'!A:A,0),0),0)</f>
        <v>0</v>
      </c>
      <c r="K2199" s="455">
        <f t="shared" ca="1" si="123"/>
        <v>9424155.7091477942</v>
      </c>
      <c r="L2199" s="455">
        <f t="shared" ca="1" si="124"/>
        <v>2271221525.9046187</v>
      </c>
      <c r="M2199" s="471">
        <f t="shared" si="126"/>
        <v>0.05</v>
      </c>
      <c r="N2199" s="475">
        <f t="shared" si="127"/>
        <v>117975</v>
      </c>
    </row>
    <row r="2200" spans="7:14" ht="11.25" customHeight="1" x14ac:dyDescent="0.3">
      <c r="G2200" s="470"/>
      <c r="H2200" s="470">
        <v>2193</v>
      </c>
      <c r="I2200" s="455">
        <f t="shared" ca="1" si="125"/>
        <v>2271221525.9046187</v>
      </c>
      <c r="J2200" s="455">
        <f t="array" ref="J2200">IFERROR(INDEX('Retirement Calculator'!K:K,MATCH('Lorri 401b'!N2200,'Retirement Calculator'!A:A,0),0),0)</f>
        <v>0</v>
      </c>
      <c r="K2200" s="455">
        <f t="shared" ca="1" si="123"/>
        <v>9463423.0246025771</v>
      </c>
      <c r="L2200" s="455">
        <f t="shared" ca="1" si="124"/>
        <v>2280684948.9292212</v>
      </c>
      <c r="M2200" s="471">
        <f t="shared" si="126"/>
        <v>0.05</v>
      </c>
      <c r="N2200" s="475">
        <f t="shared" si="127"/>
        <v>118006</v>
      </c>
    </row>
    <row r="2201" spans="7:14" ht="11.25" customHeight="1" x14ac:dyDescent="0.3">
      <c r="G2201" s="470"/>
      <c r="H2201" s="470">
        <v>2194</v>
      </c>
      <c r="I2201" s="455">
        <f t="shared" ca="1" si="125"/>
        <v>2280684948.9292212</v>
      </c>
      <c r="J2201" s="455">
        <f t="array" ref="J2201">IFERROR(INDEX('Retirement Calculator'!K:K,MATCH('Lorri 401b'!N2201,'Retirement Calculator'!A:A,0),0),0)</f>
        <v>0</v>
      </c>
      <c r="K2201" s="455">
        <f t="shared" ca="1" si="123"/>
        <v>9502853.9538717549</v>
      </c>
      <c r="L2201" s="455">
        <f t="shared" ca="1" si="124"/>
        <v>2290187802.8830929</v>
      </c>
      <c r="M2201" s="471">
        <f t="shared" si="126"/>
        <v>0.05</v>
      </c>
      <c r="N2201" s="475">
        <f t="shared" si="127"/>
        <v>118034</v>
      </c>
    </row>
    <row r="2202" spans="7:14" ht="11.25" customHeight="1" x14ac:dyDescent="0.3">
      <c r="G2202" s="470"/>
      <c r="H2202" s="470">
        <v>2195</v>
      </c>
      <c r="I2202" s="455">
        <f t="shared" ca="1" si="125"/>
        <v>2290187802.8830929</v>
      </c>
      <c r="J2202" s="455">
        <f t="array" ref="J2202">IFERROR(INDEX('Retirement Calculator'!K:K,MATCH('Lorri 401b'!N2202,'Retirement Calculator'!A:A,0),0),0)</f>
        <v>0</v>
      </c>
      <c r="K2202" s="455">
        <f t="shared" ca="1" si="123"/>
        <v>9542449.1786795538</v>
      </c>
      <c r="L2202" s="455">
        <f t="shared" ca="1" si="124"/>
        <v>2299730252.0617723</v>
      </c>
      <c r="M2202" s="471">
        <f t="shared" si="126"/>
        <v>0.05</v>
      </c>
      <c r="N2202" s="475">
        <f t="shared" si="127"/>
        <v>118065</v>
      </c>
    </row>
    <row r="2203" spans="7:14" ht="11.25" customHeight="1" x14ac:dyDescent="0.3">
      <c r="G2203" s="470"/>
      <c r="H2203" s="470">
        <v>2196</v>
      </c>
      <c r="I2203" s="455">
        <f t="shared" ca="1" si="125"/>
        <v>2299730252.0617723</v>
      </c>
      <c r="J2203" s="455">
        <f t="array" ref="J2203">IFERROR(INDEX('Retirement Calculator'!K:K,MATCH('Lorri 401b'!N2203,'Retirement Calculator'!A:A,0),0),0)</f>
        <v>0</v>
      </c>
      <c r="K2203" s="455">
        <f t="shared" ca="1" si="123"/>
        <v>9582209.3835907187</v>
      </c>
      <c r="L2203" s="455">
        <f t="shared" ca="1" si="124"/>
        <v>2309312461.445363</v>
      </c>
      <c r="M2203" s="471">
        <f t="shared" si="126"/>
        <v>0.05</v>
      </c>
      <c r="N2203" s="475">
        <f t="shared" si="127"/>
        <v>118095</v>
      </c>
    </row>
    <row r="2204" spans="7:14" ht="11.25" customHeight="1" x14ac:dyDescent="0.3">
      <c r="G2204" s="470"/>
      <c r="H2204" s="470">
        <v>2197</v>
      </c>
      <c r="I2204" s="455">
        <f t="shared" ca="1" si="125"/>
        <v>2309312461.445363</v>
      </c>
      <c r="J2204" s="455">
        <f t="array" ref="J2204">IFERROR(INDEX('Retirement Calculator'!K:K,MATCH('Lorri 401b'!N2204,'Retirement Calculator'!A:A,0),0),0)</f>
        <v>0</v>
      </c>
      <c r="K2204" s="455">
        <f t="shared" ca="1" si="123"/>
        <v>9622135.2560223453</v>
      </c>
      <c r="L2204" s="455">
        <f t="shared" ca="1" si="124"/>
        <v>2318934596.7013855</v>
      </c>
      <c r="M2204" s="471">
        <f t="shared" si="126"/>
        <v>0.05</v>
      </c>
      <c r="N2204" s="475">
        <f t="shared" si="127"/>
        <v>118126</v>
      </c>
    </row>
    <row r="2205" spans="7:14" ht="11.25" customHeight="1" x14ac:dyDescent="0.3">
      <c r="G2205" s="470"/>
      <c r="H2205" s="470">
        <v>2198</v>
      </c>
      <c r="I2205" s="455">
        <f t="shared" ca="1" si="125"/>
        <v>2318934596.7013855</v>
      </c>
      <c r="J2205" s="455">
        <f t="array" ref="J2205">IFERROR(INDEX('Retirement Calculator'!K:K,MATCH('Lorri 401b'!N2205,'Retirement Calculator'!A:A,0),0),0)</f>
        <v>0</v>
      </c>
      <c r="K2205" s="455">
        <f t="shared" ca="1" si="123"/>
        <v>9662227.4862557724</v>
      </c>
      <c r="L2205" s="455">
        <f t="shared" ca="1" si="124"/>
        <v>2328596824.1876411</v>
      </c>
      <c r="M2205" s="471">
        <f t="shared" si="126"/>
        <v>0.05</v>
      </c>
      <c r="N2205" s="475">
        <f t="shared" si="127"/>
        <v>118156</v>
      </c>
    </row>
    <row r="2206" spans="7:14" ht="11.25" customHeight="1" x14ac:dyDescent="0.3">
      <c r="G2206" s="470"/>
      <c r="H2206" s="470">
        <v>2199</v>
      </c>
      <c r="I2206" s="455">
        <f t="shared" ca="1" si="125"/>
        <v>2328596824.1876411</v>
      </c>
      <c r="J2206" s="455">
        <f t="array" ref="J2206">IFERROR(INDEX('Retirement Calculator'!K:K,MATCH('Lorri 401b'!N2206,'Retirement Calculator'!A:A,0),0),0)</f>
        <v>0</v>
      </c>
      <c r="K2206" s="455">
        <f t="shared" ca="1" si="123"/>
        <v>9702486.7674485054</v>
      </c>
      <c r="L2206" s="455">
        <f t="shared" ca="1" si="124"/>
        <v>2338299310.9550896</v>
      </c>
      <c r="M2206" s="471">
        <f t="shared" si="126"/>
        <v>0.05</v>
      </c>
      <c r="N2206" s="475">
        <f t="shared" si="127"/>
        <v>118187</v>
      </c>
    </row>
    <row r="2207" spans="7:14" ht="11.25" customHeight="1" x14ac:dyDescent="0.3">
      <c r="G2207" s="470"/>
      <c r="H2207" s="470">
        <v>2200</v>
      </c>
      <c r="I2207" s="455">
        <f t="shared" ca="1" si="125"/>
        <v>2338299310.9550896</v>
      </c>
      <c r="J2207" s="455">
        <f t="array" ref="J2207">IFERROR(INDEX('Retirement Calculator'!K:K,MATCH('Lorri 401b'!N2207,'Retirement Calculator'!A:A,0),0),0)</f>
        <v>0</v>
      </c>
      <c r="K2207" s="455">
        <f t="shared" ca="1" si="123"/>
        <v>9742913.7956462055</v>
      </c>
      <c r="L2207" s="455">
        <f t="shared" ca="1" si="124"/>
        <v>2348042224.7507358</v>
      </c>
      <c r="M2207" s="471">
        <f t="shared" si="126"/>
        <v>0.05</v>
      </c>
      <c r="N2207" s="475">
        <f t="shared" si="127"/>
        <v>118218</v>
      </c>
    </row>
    <row r="2208" spans="7:14" ht="11.25" customHeight="1" x14ac:dyDescent="0.3">
      <c r="G2208" s="470"/>
      <c r="H2208" s="470">
        <v>2201</v>
      </c>
      <c r="I2208" s="455">
        <f t="shared" ca="1" si="125"/>
        <v>2348042224.7507358</v>
      </c>
      <c r="J2208" s="455">
        <f t="array" ref="J2208">IFERROR(INDEX('Retirement Calculator'!K:K,MATCH('Lorri 401b'!N2208,'Retirement Calculator'!A:A,0),0),0)</f>
        <v>0</v>
      </c>
      <c r="K2208" s="455">
        <f t="shared" ca="1" si="123"/>
        <v>9783509.2697947323</v>
      </c>
      <c r="L2208" s="455">
        <f t="shared" ca="1" si="124"/>
        <v>2357825734.0205307</v>
      </c>
      <c r="M2208" s="471">
        <f t="shared" si="126"/>
        <v>0.05</v>
      </c>
      <c r="N2208" s="475">
        <f t="shared" si="127"/>
        <v>118248</v>
      </c>
    </row>
    <row r="2209" spans="7:14" ht="11.25" customHeight="1" x14ac:dyDescent="0.3">
      <c r="G2209" s="470"/>
      <c r="H2209" s="470">
        <v>2202</v>
      </c>
      <c r="I2209" s="455">
        <f t="shared" ca="1" si="125"/>
        <v>2357825734.0205307</v>
      </c>
      <c r="J2209" s="455">
        <f t="array" ref="J2209">IFERROR(INDEX('Retirement Calculator'!K:K,MATCH('Lorri 401b'!N2209,'Retirement Calculator'!A:A,0),0),0)</f>
        <v>0</v>
      </c>
      <c r="K2209" s="455">
        <f t="shared" ca="1" si="123"/>
        <v>9824273.8917522114</v>
      </c>
      <c r="L2209" s="455">
        <f t="shared" ca="1" si="124"/>
        <v>2367650007.9122829</v>
      </c>
      <c r="M2209" s="471">
        <f t="shared" si="126"/>
        <v>0.05</v>
      </c>
      <c r="N2209" s="475">
        <f t="shared" si="127"/>
        <v>118279</v>
      </c>
    </row>
    <row r="2210" spans="7:14" ht="11.25" customHeight="1" x14ac:dyDescent="0.3">
      <c r="G2210" s="470"/>
      <c r="H2210" s="470">
        <v>2203</v>
      </c>
      <c r="I2210" s="455">
        <f t="shared" ca="1" si="125"/>
        <v>2367650007.9122829</v>
      </c>
      <c r="J2210" s="455">
        <f t="array" ref="J2210">IFERROR(INDEX('Retirement Calculator'!K:K,MATCH('Lorri 401b'!N2210,'Retirement Calculator'!A:A,0),0),0)</f>
        <v>0</v>
      </c>
      <c r="K2210" s="455">
        <f t="shared" ca="1" si="123"/>
        <v>9865208.3663011789</v>
      </c>
      <c r="L2210" s="455">
        <f t="shared" ca="1" si="124"/>
        <v>2377515216.278584</v>
      </c>
      <c r="M2210" s="471">
        <f t="shared" si="126"/>
        <v>0.05</v>
      </c>
      <c r="N2210" s="475">
        <f t="shared" si="127"/>
        <v>118309</v>
      </c>
    </row>
    <row r="2211" spans="7:14" ht="11.25" customHeight="1" x14ac:dyDescent="0.3">
      <c r="G2211" s="470"/>
      <c r="H2211" s="470">
        <v>2204</v>
      </c>
      <c r="I2211" s="455">
        <f t="shared" ca="1" si="125"/>
        <v>2377515216.278584</v>
      </c>
      <c r="J2211" s="455">
        <f t="array" ref="J2211">IFERROR(INDEX('Retirement Calculator'!K:K,MATCH('Lorri 401b'!N2211,'Retirement Calculator'!A:A,0),0),0)</f>
        <v>0</v>
      </c>
      <c r="K2211" s="455">
        <f t="shared" ca="1" si="123"/>
        <v>9906313.4011607673</v>
      </c>
      <c r="L2211" s="455">
        <f t="shared" ca="1" si="124"/>
        <v>2387421529.6797447</v>
      </c>
      <c r="M2211" s="471">
        <f t="shared" si="126"/>
        <v>0.05</v>
      </c>
      <c r="N2211" s="475">
        <f t="shared" si="127"/>
        <v>118340</v>
      </c>
    </row>
    <row r="2212" spans="7:14" ht="11.25" customHeight="1" x14ac:dyDescent="0.3">
      <c r="G2212" s="470"/>
      <c r="H2212" s="470">
        <v>2205</v>
      </c>
      <c r="I2212" s="455">
        <f t="shared" ca="1" si="125"/>
        <v>2387421529.6797447</v>
      </c>
      <c r="J2212" s="455">
        <f t="array" ref="J2212">IFERROR(INDEX('Retirement Calculator'!K:K,MATCH('Lorri 401b'!N2212,'Retirement Calculator'!A:A,0),0),0)</f>
        <v>0</v>
      </c>
      <c r="K2212" s="455">
        <f t="shared" ca="1" si="123"/>
        <v>9947589.7069989368</v>
      </c>
      <c r="L2212" s="455">
        <f t="shared" ca="1" si="124"/>
        <v>2397369119.3867435</v>
      </c>
      <c r="M2212" s="471">
        <f t="shared" si="126"/>
        <v>0.05</v>
      </c>
      <c r="N2212" s="475">
        <f t="shared" si="127"/>
        <v>118371</v>
      </c>
    </row>
    <row r="2213" spans="7:14" ht="11.25" customHeight="1" x14ac:dyDescent="0.3">
      <c r="G2213" s="470"/>
      <c r="H2213" s="470">
        <v>2206</v>
      </c>
      <c r="I2213" s="455">
        <f t="shared" ca="1" si="125"/>
        <v>2397369119.3867435</v>
      </c>
      <c r="J2213" s="455">
        <f t="array" ref="J2213">IFERROR(INDEX('Retirement Calculator'!K:K,MATCH('Lorri 401b'!N2213,'Retirement Calculator'!A:A,0),0),0)</f>
        <v>0</v>
      </c>
      <c r="K2213" s="455">
        <f t="shared" ca="1" si="123"/>
        <v>9989037.9974447638</v>
      </c>
      <c r="L2213" s="455">
        <f t="shared" ca="1" si="124"/>
        <v>2407358157.3841882</v>
      </c>
      <c r="M2213" s="471">
        <f t="shared" si="126"/>
        <v>0.05</v>
      </c>
      <c r="N2213" s="475">
        <f t="shared" si="127"/>
        <v>118400</v>
      </c>
    </row>
    <row r="2214" spans="7:14" ht="11.25" customHeight="1" x14ac:dyDescent="0.3">
      <c r="G2214" s="470"/>
      <c r="H2214" s="470">
        <v>2207</v>
      </c>
      <c r="I2214" s="455">
        <f t="shared" ca="1" si="125"/>
        <v>2407358157.3841882</v>
      </c>
      <c r="J2214" s="455">
        <f t="array" ref="J2214">IFERROR(INDEX('Retirement Calculator'!K:K,MATCH('Lorri 401b'!N2214,'Retirement Calculator'!A:A,0),0),0)</f>
        <v>0</v>
      </c>
      <c r="K2214" s="455">
        <f t="shared" ca="1" si="123"/>
        <v>10030658.989100784</v>
      </c>
      <c r="L2214" s="455">
        <f t="shared" ca="1" si="124"/>
        <v>2417388816.3732891</v>
      </c>
      <c r="M2214" s="471">
        <f t="shared" si="126"/>
        <v>0.05</v>
      </c>
      <c r="N2214" s="475">
        <f t="shared" si="127"/>
        <v>118431</v>
      </c>
    </row>
    <row r="2215" spans="7:14" ht="11.25" customHeight="1" x14ac:dyDescent="0.3">
      <c r="G2215" s="470"/>
      <c r="H2215" s="470">
        <v>2208</v>
      </c>
      <c r="I2215" s="455">
        <f t="shared" ca="1" si="125"/>
        <v>2417388816.3732891</v>
      </c>
      <c r="J2215" s="455">
        <f t="array" ref="J2215">IFERROR(INDEX('Retirement Calculator'!K:K,MATCH('Lorri 401b'!N2215,'Retirement Calculator'!A:A,0),0),0)</f>
        <v>0</v>
      </c>
      <c r="K2215" s="455">
        <f t="shared" ca="1" si="123"/>
        <v>10072453.401555371</v>
      </c>
      <c r="L2215" s="455">
        <f t="shared" ca="1" si="124"/>
        <v>2427461269.7748446</v>
      </c>
      <c r="M2215" s="471">
        <f t="shared" si="126"/>
        <v>0.05</v>
      </c>
      <c r="N2215" s="475">
        <f t="shared" si="127"/>
        <v>118461</v>
      </c>
    </row>
    <row r="2216" spans="7:14" ht="11.25" customHeight="1" x14ac:dyDescent="0.3">
      <c r="G2216" s="470"/>
      <c r="H2216" s="470">
        <v>2209</v>
      </c>
      <c r="I2216" s="455">
        <f t="shared" ca="1" si="125"/>
        <v>2427461269.7748446</v>
      </c>
      <c r="J2216" s="455">
        <f t="array" ref="J2216">IFERROR(INDEX('Retirement Calculator'!K:K,MATCH('Lorri 401b'!N2216,'Retirement Calculator'!A:A,0),0),0)</f>
        <v>0</v>
      </c>
      <c r="K2216" s="455">
        <f t="shared" ca="1" si="123"/>
        <v>10114421.957395187</v>
      </c>
      <c r="L2216" s="455">
        <f t="shared" ca="1" si="124"/>
        <v>2437575691.7322397</v>
      </c>
      <c r="M2216" s="471">
        <f t="shared" si="126"/>
        <v>0.05</v>
      </c>
      <c r="N2216" s="475">
        <f t="shared" si="127"/>
        <v>118492</v>
      </c>
    </row>
    <row r="2217" spans="7:14" ht="11.25" customHeight="1" x14ac:dyDescent="0.3">
      <c r="G2217" s="470"/>
      <c r="H2217" s="470">
        <v>2210</v>
      </c>
      <c r="I2217" s="455">
        <f t="shared" ca="1" si="125"/>
        <v>2437575691.7322397</v>
      </c>
      <c r="J2217" s="455">
        <f t="array" ref="J2217">IFERROR(INDEX('Retirement Calculator'!K:K,MATCH('Lorri 401b'!N2217,'Retirement Calculator'!A:A,0),0),0)</f>
        <v>0</v>
      </c>
      <c r="K2217" s="455">
        <f t="shared" ca="1" si="123"/>
        <v>10156565.382217666</v>
      </c>
      <c r="L2217" s="455">
        <f t="shared" ca="1" si="124"/>
        <v>2447732257.1144576</v>
      </c>
      <c r="M2217" s="471">
        <f t="shared" si="126"/>
        <v>0.05</v>
      </c>
      <c r="N2217" s="475">
        <f t="shared" si="127"/>
        <v>118522</v>
      </c>
    </row>
    <row r="2218" spans="7:14" ht="11.25" customHeight="1" x14ac:dyDescent="0.3">
      <c r="G2218" s="470"/>
      <c r="H2218" s="470">
        <v>2211</v>
      </c>
      <c r="I2218" s="455">
        <f t="shared" ca="1" si="125"/>
        <v>2447732257.1144576</v>
      </c>
      <c r="J2218" s="455">
        <f t="array" ref="J2218">IFERROR(INDEX('Retirement Calculator'!K:K,MATCH('Lorri 401b'!N2218,'Retirement Calculator'!A:A,0),0),0)</f>
        <v>0</v>
      </c>
      <c r="K2218" s="455">
        <f t="shared" ca="1" si="123"/>
        <v>10198884.404643573</v>
      </c>
      <c r="L2218" s="455">
        <f t="shared" ca="1" si="124"/>
        <v>2457931141.5191011</v>
      </c>
      <c r="M2218" s="471">
        <f t="shared" si="126"/>
        <v>0.05</v>
      </c>
      <c r="N2218" s="475">
        <f t="shared" si="127"/>
        <v>118553</v>
      </c>
    </row>
    <row r="2219" spans="7:14" ht="11.25" customHeight="1" x14ac:dyDescent="0.3">
      <c r="G2219" s="470"/>
      <c r="H2219" s="470">
        <v>2212</v>
      </c>
      <c r="I2219" s="455">
        <f t="shared" ca="1" si="125"/>
        <v>2457931141.5191011</v>
      </c>
      <c r="J2219" s="455">
        <f t="array" ref="J2219">IFERROR(INDEX('Retirement Calculator'!K:K,MATCH('Lorri 401b'!N2219,'Retirement Calculator'!A:A,0),0),0)</f>
        <v>0</v>
      </c>
      <c r="K2219" s="455">
        <f t="shared" ca="1" si="123"/>
        <v>10241379.756329589</v>
      </c>
      <c r="L2219" s="455">
        <f t="shared" ca="1" si="124"/>
        <v>2468172521.2754307</v>
      </c>
      <c r="M2219" s="471">
        <f t="shared" si="126"/>
        <v>0.05</v>
      </c>
      <c r="N2219" s="475">
        <f t="shared" si="127"/>
        <v>118584</v>
      </c>
    </row>
    <row r="2220" spans="7:14" ht="11.25" customHeight="1" x14ac:dyDescent="0.3">
      <c r="G2220" s="470"/>
      <c r="H2220" s="470">
        <v>2213</v>
      </c>
      <c r="I2220" s="455">
        <f t="shared" ca="1" si="125"/>
        <v>2468172521.2754307</v>
      </c>
      <c r="J2220" s="455">
        <f t="array" ref="J2220">IFERROR(INDEX('Retirement Calculator'!K:K,MATCH('Lorri 401b'!N2220,'Retirement Calculator'!A:A,0),0),0)</f>
        <v>0</v>
      </c>
      <c r="K2220" s="455">
        <f t="shared" ca="1" si="123"/>
        <v>10284052.17198096</v>
      </c>
      <c r="L2220" s="455">
        <f t="shared" ca="1" si="124"/>
        <v>2478456573.4474115</v>
      </c>
      <c r="M2220" s="471">
        <f t="shared" si="126"/>
        <v>0.05</v>
      </c>
      <c r="N2220" s="475">
        <f t="shared" si="127"/>
        <v>118614</v>
      </c>
    </row>
    <row r="2221" spans="7:14" ht="11.25" customHeight="1" x14ac:dyDescent="0.3">
      <c r="G2221" s="470"/>
      <c r="H2221" s="470">
        <v>2214</v>
      </c>
      <c r="I2221" s="455">
        <f t="shared" ca="1" si="125"/>
        <v>2478456573.4474115</v>
      </c>
      <c r="J2221" s="455">
        <f t="array" ref="J2221">IFERROR(INDEX('Retirement Calculator'!K:K,MATCH('Lorri 401b'!N2221,'Retirement Calculator'!A:A,0),0),0)</f>
        <v>0</v>
      </c>
      <c r="K2221" s="455">
        <f t="shared" ca="1" si="123"/>
        <v>10326902.389364215</v>
      </c>
      <c r="L2221" s="455">
        <f t="shared" ca="1" si="124"/>
        <v>2488783475.8367758</v>
      </c>
      <c r="M2221" s="471">
        <f t="shared" si="126"/>
        <v>0.05</v>
      </c>
      <c r="N2221" s="475">
        <f t="shared" si="127"/>
        <v>118645</v>
      </c>
    </row>
    <row r="2222" spans="7:14" ht="11.25" customHeight="1" x14ac:dyDescent="0.3">
      <c r="G2222" s="470"/>
      <c r="H2222" s="470">
        <v>2215</v>
      </c>
      <c r="I2222" s="455">
        <f t="shared" ca="1" si="125"/>
        <v>2488783475.8367758</v>
      </c>
      <c r="J2222" s="455">
        <f t="array" ref="J2222">IFERROR(INDEX('Retirement Calculator'!K:K,MATCH('Lorri 401b'!N2222,'Retirement Calculator'!A:A,0),0),0)</f>
        <v>0</v>
      </c>
      <c r="K2222" s="455">
        <f t="shared" ca="1" si="123"/>
        <v>10369931.149319898</v>
      </c>
      <c r="L2222" s="455">
        <f t="shared" ca="1" si="124"/>
        <v>2499153406.9860959</v>
      </c>
      <c r="M2222" s="471">
        <f t="shared" si="126"/>
        <v>0.05</v>
      </c>
      <c r="N2222" s="475">
        <f t="shared" si="127"/>
        <v>118675</v>
      </c>
    </row>
    <row r="2223" spans="7:14" ht="11.25" customHeight="1" x14ac:dyDescent="0.3">
      <c r="G2223" s="470"/>
      <c r="H2223" s="470">
        <v>2216</v>
      </c>
      <c r="I2223" s="455">
        <f t="shared" ca="1" si="125"/>
        <v>2499153406.9860959</v>
      </c>
      <c r="J2223" s="455">
        <f t="array" ref="J2223">IFERROR(INDEX('Retirement Calculator'!K:K,MATCH('Lorri 401b'!N2223,'Retirement Calculator'!A:A,0),0),0)</f>
        <v>0</v>
      </c>
      <c r="K2223" s="455">
        <f t="shared" ca="1" si="123"/>
        <v>10413139.195775399</v>
      </c>
      <c r="L2223" s="455">
        <f t="shared" ca="1" si="124"/>
        <v>2509566546.1818714</v>
      </c>
      <c r="M2223" s="471">
        <f t="shared" si="126"/>
        <v>0.05</v>
      </c>
      <c r="N2223" s="475">
        <f t="shared" si="127"/>
        <v>118706</v>
      </c>
    </row>
    <row r="2224" spans="7:14" ht="11.25" customHeight="1" x14ac:dyDescent="0.3">
      <c r="G2224" s="470"/>
      <c r="H2224" s="470">
        <v>2217</v>
      </c>
      <c r="I2224" s="455">
        <f t="shared" ca="1" si="125"/>
        <v>2509566546.1818714</v>
      </c>
      <c r="J2224" s="455">
        <f t="array" ref="J2224">IFERROR(INDEX('Retirement Calculator'!K:K,MATCH('Lorri 401b'!N2224,'Retirement Calculator'!A:A,0),0),0)</f>
        <v>0</v>
      </c>
      <c r="K2224" s="455">
        <f t="shared" ca="1" si="123"/>
        <v>10456527.275757797</v>
      </c>
      <c r="L2224" s="455">
        <f t="shared" ca="1" si="124"/>
        <v>2520023073.4576292</v>
      </c>
      <c r="M2224" s="471">
        <f t="shared" si="126"/>
        <v>0.05</v>
      </c>
      <c r="N2224" s="475">
        <f t="shared" si="127"/>
        <v>118737</v>
      </c>
    </row>
    <row r="2225" spans="7:14" ht="11.25" customHeight="1" x14ac:dyDescent="0.3">
      <c r="G2225" s="470"/>
      <c r="H2225" s="470">
        <v>2218</v>
      </c>
      <c r="I2225" s="455">
        <f t="shared" ca="1" si="125"/>
        <v>2520023073.4576292</v>
      </c>
      <c r="J2225" s="455">
        <f t="array" ref="J2225">IFERROR(INDEX('Retirement Calculator'!K:K,MATCH('Lorri 401b'!N2225,'Retirement Calculator'!A:A,0),0),0)</f>
        <v>0</v>
      </c>
      <c r="K2225" s="455">
        <f t="shared" ca="1" si="123"/>
        <v>10500096.139406789</v>
      </c>
      <c r="L2225" s="455">
        <f t="shared" ca="1" si="124"/>
        <v>2530523169.5970359</v>
      </c>
      <c r="M2225" s="471">
        <f t="shared" si="126"/>
        <v>0.05</v>
      </c>
      <c r="N2225" s="475">
        <f t="shared" si="127"/>
        <v>118765</v>
      </c>
    </row>
    <row r="2226" spans="7:14" ht="11.25" customHeight="1" x14ac:dyDescent="0.3">
      <c r="G2226" s="470"/>
      <c r="H2226" s="470">
        <v>2219</v>
      </c>
      <c r="I2226" s="455">
        <f t="shared" ca="1" si="125"/>
        <v>2530523169.5970359</v>
      </c>
      <c r="J2226" s="455">
        <f t="array" ref="J2226">IFERROR(INDEX('Retirement Calculator'!K:K,MATCH('Lorri 401b'!N2226,'Retirement Calculator'!A:A,0),0),0)</f>
        <v>0</v>
      </c>
      <c r="K2226" s="455">
        <f t="shared" ca="1" si="123"/>
        <v>10543846.53998765</v>
      </c>
      <c r="L2226" s="455">
        <f t="shared" ca="1" si="124"/>
        <v>2541067016.1370234</v>
      </c>
      <c r="M2226" s="471">
        <f t="shared" si="126"/>
        <v>0.05</v>
      </c>
      <c r="N2226" s="475">
        <f t="shared" si="127"/>
        <v>118796</v>
      </c>
    </row>
    <row r="2227" spans="7:14" ht="11.25" customHeight="1" x14ac:dyDescent="0.3">
      <c r="G2227" s="470"/>
      <c r="H2227" s="470">
        <v>2220</v>
      </c>
      <c r="I2227" s="455">
        <f t="shared" ca="1" si="125"/>
        <v>2541067016.1370234</v>
      </c>
      <c r="J2227" s="455">
        <f t="array" ref="J2227">IFERROR(INDEX('Retirement Calculator'!K:K,MATCH('Lorri 401b'!N2227,'Retirement Calculator'!A:A,0),0),0)</f>
        <v>0</v>
      </c>
      <c r="K2227" s="455">
        <f t="shared" ca="1" si="123"/>
        <v>10587779.233904265</v>
      </c>
      <c r="L2227" s="455">
        <f t="shared" ca="1" si="124"/>
        <v>2551654795.3709278</v>
      </c>
      <c r="M2227" s="471">
        <f t="shared" si="126"/>
        <v>0.05</v>
      </c>
      <c r="N2227" s="475">
        <f t="shared" si="127"/>
        <v>118826</v>
      </c>
    </row>
    <row r="2228" spans="7:14" ht="11.25" customHeight="1" x14ac:dyDescent="0.3">
      <c r="G2228" s="470"/>
      <c r="H2228" s="470">
        <v>2221</v>
      </c>
      <c r="I2228" s="455">
        <f t="shared" ca="1" si="125"/>
        <v>2551654795.3709278</v>
      </c>
      <c r="J2228" s="455">
        <f t="array" ref="J2228">IFERROR(INDEX('Retirement Calculator'!K:K,MATCH('Lorri 401b'!N2228,'Retirement Calculator'!A:A,0),0),0)</f>
        <v>0</v>
      </c>
      <c r="K2228" s="455">
        <f t="shared" ca="1" si="123"/>
        <v>10631894.9807122</v>
      </c>
      <c r="L2228" s="455">
        <f t="shared" ca="1" si="124"/>
        <v>2562286690.3516402</v>
      </c>
      <c r="M2228" s="471">
        <f t="shared" si="126"/>
        <v>0.05</v>
      </c>
      <c r="N2228" s="475">
        <f t="shared" si="127"/>
        <v>118857</v>
      </c>
    </row>
    <row r="2229" spans="7:14" ht="11.25" customHeight="1" x14ac:dyDescent="0.3">
      <c r="G2229" s="470"/>
      <c r="H2229" s="470">
        <v>2222</v>
      </c>
      <c r="I2229" s="455">
        <f t="shared" ca="1" si="125"/>
        <v>2562286690.3516402</v>
      </c>
      <c r="J2229" s="455">
        <f t="array" ref="J2229">IFERROR(INDEX('Retirement Calculator'!K:K,MATCH('Lorri 401b'!N2229,'Retirement Calculator'!A:A,0),0),0)</f>
        <v>0</v>
      </c>
      <c r="K2229" s="455">
        <f t="shared" ca="1" si="123"/>
        <v>10676194.543131834</v>
      </c>
      <c r="L2229" s="455">
        <f t="shared" ca="1" si="124"/>
        <v>2572962884.8947721</v>
      </c>
      <c r="M2229" s="471">
        <f t="shared" si="126"/>
        <v>0.05</v>
      </c>
      <c r="N2229" s="475">
        <f t="shared" si="127"/>
        <v>118887</v>
      </c>
    </row>
    <row r="2230" spans="7:14" ht="11.25" customHeight="1" x14ac:dyDescent="0.3">
      <c r="G2230" s="470"/>
      <c r="H2230" s="470">
        <v>2223</v>
      </c>
      <c r="I2230" s="455">
        <f t="shared" ca="1" si="125"/>
        <v>2572962884.8947721</v>
      </c>
      <c r="J2230" s="455">
        <f t="array" ref="J2230">IFERROR(INDEX('Retirement Calculator'!K:K,MATCH('Lorri 401b'!N2230,'Retirement Calculator'!A:A,0),0),0)</f>
        <v>0</v>
      </c>
      <c r="K2230" s="455">
        <f t="shared" ca="1" si="123"/>
        <v>10720678.68706155</v>
      </c>
      <c r="L2230" s="455">
        <f t="shared" ca="1" si="124"/>
        <v>2583683563.5818338</v>
      </c>
      <c r="M2230" s="471">
        <f t="shared" si="126"/>
        <v>0.05</v>
      </c>
      <c r="N2230" s="475">
        <f t="shared" si="127"/>
        <v>118918</v>
      </c>
    </row>
    <row r="2231" spans="7:14" ht="11.25" customHeight="1" x14ac:dyDescent="0.3">
      <c r="G2231" s="470"/>
      <c r="H2231" s="470">
        <v>2224</v>
      </c>
      <c r="I2231" s="455">
        <f t="shared" ca="1" si="125"/>
        <v>2583683563.5818338</v>
      </c>
      <c r="J2231" s="455">
        <f t="array" ref="J2231">IFERROR(INDEX('Retirement Calculator'!K:K,MATCH('Lorri 401b'!N2231,'Retirement Calculator'!A:A,0),0),0)</f>
        <v>0</v>
      </c>
      <c r="K2231" s="455">
        <f t="shared" ca="1" si="123"/>
        <v>10765348.181590974</v>
      </c>
      <c r="L2231" s="455">
        <f t="shared" ca="1" si="124"/>
        <v>2594448911.7634249</v>
      </c>
      <c r="M2231" s="471">
        <f t="shared" si="126"/>
        <v>0.05</v>
      </c>
      <c r="N2231" s="475">
        <f t="shared" si="127"/>
        <v>118949</v>
      </c>
    </row>
    <row r="2232" spans="7:14" ht="11.25" customHeight="1" x14ac:dyDescent="0.3">
      <c r="G2232" s="470"/>
      <c r="H2232" s="470">
        <v>2225</v>
      </c>
      <c r="I2232" s="455">
        <f t="shared" ca="1" si="125"/>
        <v>2594448911.7634249</v>
      </c>
      <c r="J2232" s="455">
        <f t="array" ref="J2232">IFERROR(INDEX('Retirement Calculator'!K:K,MATCH('Lorri 401b'!N2232,'Retirement Calculator'!A:A,0),0),0)</f>
        <v>0</v>
      </c>
      <c r="K2232" s="455">
        <f t="shared" ca="1" si="123"/>
        <v>10810203.79901427</v>
      </c>
      <c r="L2232" s="455">
        <f t="shared" ca="1" si="124"/>
        <v>2605259115.562439</v>
      </c>
      <c r="M2232" s="471">
        <f t="shared" si="126"/>
        <v>0.05</v>
      </c>
      <c r="N2232" s="475">
        <f t="shared" si="127"/>
        <v>118979</v>
      </c>
    </row>
    <row r="2233" spans="7:14" ht="11.25" customHeight="1" x14ac:dyDescent="0.3">
      <c r="G2233" s="470"/>
      <c r="H2233" s="470">
        <v>2226</v>
      </c>
      <c r="I2233" s="455">
        <f t="shared" ca="1" si="125"/>
        <v>2605259115.562439</v>
      </c>
      <c r="J2233" s="455">
        <f t="array" ref="J2233">IFERROR(INDEX('Retirement Calculator'!K:K,MATCH('Lorri 401b'!N2233,'Retirement Calculator'!A:A,0),0),0)</f>
        <v>0</v>
      </c>
      <c r="K2233" s="455">
        <f t="shared" ca="1" si="123"/>
        <v>10855246.314843496</v>
      </c>
      <c r="L2233" s="455">
        <f t="shared" ca="1" si="124"/>
        <v>2616114361.8772826</v>
      </c>
      <c r="M2233" s="471">
        <f t="shared" si="126"/>
        <v>0.05</v>
      </c>
      <c r="N2233" s="475">
        <f t="shared" si="127"/>
        <v>119010</v>
      </c>
    </row>
    <row r="2234" spans="7:14" ht="11.25" customHeight="1" x14ac:dyDescent="0.3">
      <c r="G2234" s="470"/>
      <c r="H2234" s="470">
        <v>2227</v>
      </c>
      <c r="I2234" s="455">
        <f t="shared" ca="1" si="125"/>
        <v>2616114361.8772826</v>
      </c>
      <c r="J2234" s="455">
        <f t="array" ref="J2234">IFERROR(INDEX('Retirement Calculator'!K:K,MATCH('Lorri 401b'!N2234,'Retirement Calculator'!A:A,0),0),0)</f>
        <v>0</v>
      </c>
      <c r="K2234" s="455">
        <f t="shared" ca="1" si="123"/>
        <v>10900476.507822011</v>
      </c>
      <c r="L2234" s="455">
        <f t="shared" ca="1" si="124"/>
        <v>2627014838.3851047</v>
      </c>
      <c r="M2234" s="471">
        <f t="shared" si="126"/>
        <v>0.05</v>
      </c>
      <c r="N2234" s="475">
        <f t="shared" si="127"/>
        <v>119040</v>
      </c>
    </row>
    <row r="2235" spans="7:14" ht="11.25" customHeight="1" x14ac:dyDescent="0.3">
      <c r="G2235" s="470"/>
      <c r="H2235" s="470">
        <v>2228</v>
      </c>
      <c r="I2235" s="455">
        <f t="shared" ca="1" si="125"/>
        <v>2627014838.3851047</v>
      </c>
      <c r="J2235" s="455">
        <f t="array" ref="J2235">IFERROR(INDEX('Retirement Calculator'!K:K,MATCH('Lorri 401b'!N2235,'Retirement Calculator'!A:A,0),0),0)</f>
        <v>0</v>
      </c>
      <c r="K2235" s="455">
        <f t="shared" ca="1" si="123"/>
        <v>10945895.159937937</v>
      </c>
      <c r="L2235" s="455">
        <f t="shared" ca="1" si="124"/>
        <v>2637960733.5450425</v>
      </c>
      <c r="M2235" s="471">
        <f t="shared" si="126"/>
        <v>0.05</v>
      </c>
      <c r="N2235" s="475">
        <f t="shared" si="127"/>
        <v>119071</v>
      </c>
    </row>
    <row r="2236" spans="7:14" ht="11.25" customHeight="1" x14ac:dyDescent="0.3">
      <c r="G2236" s="470"/>
      <c r="H2236" s="470">
        <v>2229</v>
      </c>
      <c r="I2236" s="455">
        <f t="shared" ca="1" si="125"/>
        <v>2637960733.5450425</v>
      </c>
      <c r="J2236" s="455">
        <f t="array" ref="J2236">IFERROR(INDEX('Retirement Calculator'!K:K,MATCH('Lorri 401b'!N2236,'Retirement Calculator'!A:A,0),0),0)</f>
        <v>0</v>
      </c>
      <c r="K2236" s="455">
        <f t="shared" ca="1" si="123"/>
        <v>10991503.056437677</v>
      </c>
      <c r="L2236" s="455">
        <f t="shared" ca="1" si="124"/>
        <v>2648952236.60148</v>
      </c>
      <c r="M2236" s="471">
        <f t="shared" si="126"/>
        <v>0.05</v>
      </c>
      <c r="N2236" s="475">
        <f t="shared" si="127"/>
        <v>119102</v>
      </c>
    </row>
    <row r="2237" spans="7:14" ht="11.25" customHeight="1" x14ac:dyDescent="0.3">
      <c r="G2237" s="470"/>
      <c r="H2237" s="470">
        <v>2230</v>
      </c>
      <c r="I2237" s="455">
        <f t="shared" ca="1" si="125"/>
        <v>2648952236.60148</v>
      </c>
      <c r="J2237" s="455">
        <f t="array" ref="J2237">IFERROR(INDEX('Retirement Calculator'!K:K,MATCH('Lorri 401b'!N2237,'Retirement Calculator'!A:A,0),0),0)</f>
        <v>0</v>
      </c>
      <c r="K2237" s="455">
        <f t="shared" ca="1" si="123"/>
        <v>11037300.985839499</v>
      </c>
      <c r="L2237" s="455">
        <f t="shared" ca="1" si="124"/>
        <v>2659989537.5873194</v>
      </c>
      <c r="M2237" s="471">
        <f t="shared" si="126"/>
        <v>0.05</v>
      </c>
      <c r="N2237" s="475">
        <f t="shared" si="127"/>
        <v>119130</v>
      </c>
    </row>
    <row r="2238" spans="7:14" ht="11.25" customHeight="1" x14ac:dyDescent="0.3">
      <c r="G2238" s="470"/>
      <c r="H2238" s="470">
        <v>2231</v>
      </c>
      <c r="I2238" s="455">
        <f t="shared" ca="1" si="125"/>
        <v>2659989537.5873194</v>
      </c>
      <c r="J2238" s="455">
        <f t="array" ref="J2238">IFERROR(INDEX('Retirement Calculator'!K:K,MATCH('Lorri 401b'!N2238,'Retirement Calculator'!A:A,0),0),0)</f>
        <v>0</v>
      </c>
      <c r="K2238" s="455">
        <f t="shared" ca="1" si="123"/>
        <v>11083289.739947164</v>
      </c>
      <c r="L2238" s="455">
        <f t="shared" ca="1" si="124"/>
        <v>2671072827.3272667</v>
      </c>
      <c r="M2238" s="471">
        <f t="shared" si="126"/>
        <v>0.05</v>
      </c>
      <c r="N2238" s="475">
        <f t="shared" si="127"/>
        <v>119161</v>
      </c>
    </row>
    <row r="2239" spans="7:14" ht="11.25" customHeight="1" x14ac:dyDescent="0.3">
      <c r="G2239" s="470"/>
      <c r="H2239" s="470">
        <v>2232</v>
      </c>
      <c r="I2239" s="455">
        <f t="shared" ca="1" si="125"/>
        <v>2671072827.3272667</v>
      </c>
      <c r="J2239" s="455">
        <f t="array" ref="J2239">IFERROR(INDEX('Retirement Calculator'!K:K,MATCH('Lorri 401b'!N2239,'Retirement Calculator'!A:A,0),0),0)</f>
        <v>0</v>
      </c>
      <c r="K2239" s="455">
        <f t="shared" ca="1" si="123"/>
        <v>11129470.113863612</v>
      </c>
      <c r="L2239" s="455">
        <f t="shared" ca="1" si="124"/>
        <v>2682202297.4411302</v>
      </c>
      <c r="M2239" s="471">
        <f t="shared" si="126"/>
        <v>0.05</v>
      </c>
      <c r="N2239" s="475">
        <f t="shared" si="127"/>
        <v>119191</v>
      </c>
    </row>
    <row r="2240" spans="7:14" ht="11.25" customHeight="1" x14ac:dyDescent="0.3">
      <c r="G2240" s="470"/>
      <c r="H2240" s="470">
        <v>2233</v>
      </c>
      <c r="I2240" s="455">
        <f t="shared" ca="1" si="125"/>
        <v>2682202297.4411302</v>
      </c>
      <c r="J2240" s="455">
        <f t="array" ref="J2240">IFERROR(INDEX('Retirement Calculator'!K:K,MATCH('Lorri 401b'!N2240,'Retirement Calculator'!A:A,0),0),0)</f>
        <v>0</v>
      </c>
      <c r="K2240" s="455">
        <f t="shared" ca="1" si="123"/>
        <v>11175842.906004708</v>
      </c>
      <c r="L2240" s="455">
        <f t="shared" ca="1" si="124"/>
        <v>2693378140.3471351</v>
      </c>
      <c r="M2240" s="471">
        <f t="shared" si="126"/>
        <v>0.05</v>
      </c>
      <c r="N2240" s="475">
        <f t="shared" si="127"/>
        <v>119222</v>
      </c>
    </row>
    <row r="2241" spans="7:14" ht="11.25" customHeight="1" x14ac:dyDescent="0.3">
      <c r="G2241" s="470"/>
      <c r="H2241" s="470">
        <v>2234</v>
      </c>
      <c r="I2241" s="455">
        <f t="shared" ca="1" si="125"/>
        <v>2693378140.3471351</v>
      </c>
      <c r="J2241" s="455">
        <f t="array" ref="J2241">IFERROR(INDEX('Retirement Calculator'!K:K,MATCH('Lorri 401b'!N2241,'Retirement Calculator'!A:A,0),0),0)</f>
        <v>0</v>
      </c>
      <c r="K2241" s="455">
        <f t="shared" ca="1" si="123"/>
        <v>11222408.918113062</v>
      </c>
      <c r="L2241" s="455">
        <f t="shared" ca="1" si="124"/>
        <v>2704600549.2652483</v>
      </c>
      <c r="M2241" s="471">
        <f t="shared" si="126"/>
        <v>0.05</v>
      </c>
      <c r="N2241" s="475">
        <f t="shared" si="127"/>
        <v>119252</v>
      </c>
    </row>
    <row r="2242" spans="7:14" ht="11.25" customHeight="1" x14ac:dyDescent="0.3">
      <c r="G2242" s="470"/>
      <c r="H2242" s="470">
        <v>2235</v>
      </c>
      <c r="I2242" s="455">
        <f t="shared" ca="1" si="125"/>
        <v>2704600549.2652483</v>
      </c>
      <c r="J2242" s="455">
        <f t="array" ref="J2242">IFERROR(INDEX('Retirement Calculator'!K:K,MATCH('Lorri 401b'!N2242,'Retirement Calculator'!A:A,0),0),0)</f>
        <v>0</v>
      </c>
      <c r="K2242" s="455">
        <f t="shared" ca="1" si="123"/>
        <v>11269168.955271868</v>
      </c>
      <c r="L2242" s="455">
        <f t="shared" ca="1" si="124"/>
        <v>2715869718.22052</v>
      </c>
      <c r="M2242" s="471">
        <f t="shared" si="126"/>
        <v>0.05</v>
      </c>
      <c r="N2242" s="475">
        <f t="shared" si="127"/>
        <v>119283</v>
      </c>
    </row>
    <row r="2243" spans="7:14" ht="11.25" customHeight="1" x14ac:dyDescent="0.3">
      <c r="G2243" s="470"/>
      <c r="H2243" s="470">
        <v>2236</v>
      </c>
      <c r="I2243" s="455">
        <f t="shared" ca="1" si="125"/>
        <v>2715869718.22052</v>
      </c>
      <c r="J2243" s="455">
        <f t="array" ref="J2243">IFERROR(INDEX('Retirement Calculator'!K:K,MATCH('Lorri 401b'!N2243,'Retirement Calculator'!A:A,0),0),0)</f>
        <v>0</v>
      </c>
      <c r="K2243" s="455">
        <f t="shared" ca="1" si="123"/>
        <v>11316123.825918833</v>
      </c>
      <c r="L2243" s="455">
        <f t="shared" ca="1" si="124"/>
        <v>2727185842.0464387</v>
      </c>
      <c r="M2243" s="471">
        <f t="shared" si="126"/>
        <v>0.05</v>
      </c>
      <c r="N2243" s="475">
        <f t="shared" si="127"/>
        <v>119314</v>
      </c>
    </row>
    <row r="2244" spans="7:14" ht="11.25" customHeight="1" x14ac:dyDescent="0.3">
      <c r="G2244" s="470"/>
      <c r="H2244" s="470">
        <v>2237</v>
      </c>
      <c r="I2244" s="455">
        <f t="shared" ca="1" si="125"/>
        <v>2727185842.0464387</v>
      </c>
      <c r="J2244" s="455">
        <f t="array" ref="J2244">IFERROR(INDEX('Retirement Calculator'!K:K,MATCH('Lorri 401b'!N2244,'Retirement Calculator'!A:A,0),0),0)</f>
        <v>0</v>
      </c>
      <c r="K2244" s="455">
        <f t="shared" ca="1" si="123"/>
        <v>11363274.34186016</v>
      </c>
      <c r="L2244" s="455">
        <f t="shared" ca="1" si="124"/>
        <v>2738549116.388299</v>
      </c>
      <c r="M2244" s="471">
        <f t="shared" si="126"/>
        <v>0.05</v>
      </c>
      <c r="N2244" s="475">
        <f t="shared" si="127"/>
        <v>119344</v>
      </c>
    </row>
    <row r="2245" spans="7:14" ht="11.25" customHeight="1" x14ac:dyDescent="0.3">
      <c r="G2245" s="470"/>
      <c r="H2245" s="470">
        <v>2238</v>
      </c>
      <c r="I2245" s="455">
        <f t="shared" ca="1" si="125"/>
        <v>2738549116.388299</v>
      </c>
      <c r="J2245" s="455">
        <f t="array" ref="J2245">IFERROR(INDEX('Retirement Calculator'!K:K,MATCH('Lorri 401b'!N2245,'Retirement Calculator'!A:A,0),0),0)</f>
        <v>0</v>
      </c>
      <c r="K2245" s="455">
        <f t="shared" ca="1" si="123"/>
        <v>11410621.318284579</v>
      </c>
      <c r="L2245" s="455">
        <f t="shared" ca="1" si="124"/>
        <v>2749959737.7065835</v>
      </c>
      <c r="M2245" s="471">
        <f t="shared" si="126"/>
        <v>0.05</v>
      </c>
      <c r="N2245" s="475">
        <f t="shared" si="127"/>
        <v>119375</v>
      </c>
    </row>
    <row r="2246" spans="7:14" ht="11.25" customHeight="1" x14ac:dyDescent="0.3">
      <c r="G2246" s="470"/>
      <c r="H2246" s="470">
        <v>2239</v>
      </c>
      <c r="I2246" s="455">
        <f t="shared" ca="1" si="125"/>
        <v>2749959737.7065835</v>
      </c>
      <c r="J2246" s="455">
        <f t="array" ref="J2246">IFERROR(INDEX('Retirement Calculator'!K:K,MATCH('Lorri 401b'!N2246,'Retirement Calculator'!A:A,0),0),0)</f>
        <v>0</v>
      </c>
      <c r="K2246" s="455">
        <f t="shared" ca="1" si="123"/>
        <v>11458165.573777432</v>
      </c>
      <c r="L2246" s="455">
        <f t="shared" ca="1" si="124"/>
        <v>2761417903.2803607</v>
      </c>
      <c r="M2246" s="471">
        <f t="shared" si="126"/>
        <v>0.05</v>
      </c>
      <c r="N2246" s="475">
        <f t="shared" si="127"/>
        <v>119405</v>
      </c>
    </row>
    <row r="2247" spans="7:14" ht="11.25" customHeight="1" x14ac:dyDescent="0.3">
      <c r="G2247" s="470"/>
      <c r="H2247" s="470">
        <v>2240</v>
      </c>
      <c r="I2247" s="455">
        <f t="shared" ca="1" si="125"/>
        <v>2761417903.2803607</v>
      </c>
      <c r="J2247" s="455">
        <f t="array" ref="J2247">IFERROR(INDEX('Retirement Calculator'!K:K,MATCH('Lorri 401b'!N2247,'Retirement Calculator'!A:A,0),0),0)</f>
        <v>0</v>
      </c>
      <c r="K2247" s="455">
        <f t="shared" ca="1" si="123"/>
        <v>11505907.930334836</v>
      </c>
      <c r="L2247" s="455">
        <f t="shared" ca="1" si="124"/>
        <v>2772923811.2106957</v>
      </c>
      <c r="M2247" s="471">
        <f t="shared" si="126"/>
        <v>0.05</v>
      </c>
      <c r="N2247" s="475">
        <f t="shared" si="127"/>
        <v>119436</v>
      </c>
    </row>
    <row r="2248" spans="7:14" ht="11.25" customHeight="1" x14ac:dyDescent="0.3">
      <c r="G2248" s="470"/>
      <c r="H2248" s="470">
        <v>2241</v>
      </c>
      <c r="I2248" s="455">
        <f t="shared" ca="1" si="125"/>
        <v>2772923811.2106957</v>
      </c>
      <c r="J2248" s="455">
        <f t="array" ref="J2248">IFERROR(INDEX('Retirement Calculator'!K:K,MATCH('Lorri 401b'!N2248,'Retirement Calculator'!A:A,0),0),0)</f>
        <v>0</v>
      </c>
      <c r="K2248" s="455">
        <f t="shared" ca="1" si="123"/>
        <v>11553849.213377899</v>
      </c>
      <c r="L2248" s="455">
        <f t="shared" ca="1" si="124"/>
        <v>2784477660.4240737</v>
      </c>
      <c r="M2248" s="471">
        <f t="shared" si="126"/>
        <v>0.05</v>
      </c>
      <c r="N2248" s="475">
        <f t="shared" si="127"/>
        <v>119467</v>
      </c>
    </row>
    <row r="2249" spans="7:14" ht="11.25" customHeight="1" x14ac:dyDescent="0.3">
      <c r="G2249" s="470"/>
      <c r="H2249" s="470">
        <v>2242</v>
      </c>
      <c r="I2249" s="455">
        <f t="shared" ca="1" si="125"/>
        <v>2784477660.4240737</v>
      </c>
      <c r="J2249" s="455">
        <f t="array" ref="J2249">IFERROR(INDEX('Retirement Calculator'!K:K,MATCH('Lorri 401b'!N2249,'Retirement Calculator'!A:A,0),0),0)</f>
        <v>0</v>
      </c>
      <c r="K2249" s="455">
        <f t="shared" ca="1" si="123"/>
        <v>11601990.251766974</v>
      </c>
      <c r="L2249" s="455">
        <f t="shared" ca="1" si="124"/>
        <v>2796079650.6758409</v>
      </c>
      <c r="M2249" s="471">
        <f t="shared" si="126"/>
        <v>0.05</v>
      </c>
      <c r="N2249" s="475">
        <f t="shared" si="127"/>
        <v>119495</v>
      </c>
    </row>
    <row r="2250" spans="7:14" ht="11.25" customHeight="1" x14ac:dyDescent="0.3">
      <c r="G2250" s="470"/>
      <c r="H2250" s="470">
        <v>2243</v>
      </c>
      <c r="I2250" s="455">
        <f t="shared" ca="1" si="125"/>
        <v>2796079650.6758409</v>
      </c>
      <c r="J2250" s="455">
        <f t="array" ref="J2250">IFERROR(INDEX('Retirement Calculator'!K:K,MATCH('Lorri 401b'!N2250,'Retirement Calculator'!A:A,0),0),0)</f>
        <v>0</v>
      </c>
      <c r="K2250" s="455">
        <f t="shared" ca="1" si="123"/>
        <v>11650331.877816003</v>
      </c>
      <c r="L2250" s="455">
        <f t="shared" ca="1" si="124"/>
        <v>2807729982.5536571</v>
      </c>
      <c r="M2250" s="471">
        <f t="shared" si="126"/>
        <v>0.05</v>
      </c>
      <c r="N2250" s="475">
        <f t="shared" si="127"/>
        <v>119526</v>
      </c>
    </row>
    <row r="2251" spans="7:14" ht="11.25" customHeight="1" x14ac:dyDescent="0.3">
      <c r="G2251" s="470"/>
      <c r="H2251" s="470">
        <v>2244</v>
      </c>
      <c r="I2251" s="455">
        <f t="shared" ca="1" si="125"/>
        <v>2807729982.5536571</v>
      </c>
      <c r="J2251" s="455">
        <f t="array" ref="J2251">IFERROR(INDEX('Retirement Calculator'!K:K,MATCH('Lorri 401b'!N2251,'Retirement Calculator'!A:A,0),0),0)</f>
        <v>0</v>
      </c>
      <c r="K2251" s="455">
        <f t="shared" ca="1" si="123"/>
        <v>11698874.927306904</v>
      </c>
      <c r="L2251" s="455">
        <f t="shared" ca="1" si="124"/>
        <v>2819428857.4809642</v>
      </c>
      <c r="M2251" s="471">
        <f t="shared" si="126"/>
        <v>0.05</v>
      </c>
      <c r="N2251" s="475">
        <f t="shared" si="127"/>
        <v>119556</v>
      </c>
    </row>
    <row r="2252" spans="7:14" ht="11.25" customHeight="1" x14ac:dyDescent="0.3">
      <c r="G2252" s="470"/>
      <c r="H2252" s="470">
        <v>2245</v>
      </c>
      <c r="I2252" s="455">
        <f t="shared" ca="1" si="125"/>
        <v>2819428857.4809642</v>
      </c>
      <c r="J2252" s="455">
        <f t="array" ref="J2252">IFERROR(INDEX('Retirement Calculator'!K:K,MATCH('Lorri 401b'!N2252,'Retirement Calculator'!A:A,0),0),0)</f>
        <v>0</v>
      </c>
      <c r="K2252" s="455">
        <f t="shared" ca="1" si="123"/>
        <v>11747620.239504017</v>
      </c>
      <c r="L2252" s="455">
        <f t="shared" ca="1" si="124"/>
        <v>2831176477.720468</v>
      </c>
      <c r="M2252" s="471">
        <f t="shared" si="126"/>
        <v>0.05</v>
      </c>
      <c r="N2252" s="475">
        <f t="shared" si="127"/>
        <v>119587</v>
      </c>
    </row>
    <row r="2253" spans="7:14" ht="11.25" customHeight="1" x14ac:dyDescent="0.3">
      <c r="G2253" s="470"/>
      <c r="H2253" s="470">
        <v>2246</v>
      </c>
      <c r="I2253" s="455">
        <f t="shared" ca="1" si="125"/>
        <v>2831176477.720468</v>
      </c>
      <c r="J2253" s="455">
        <f t="array" ref="J2253">IFERROR(INDEX('Retirement Calculator'!K:K,MATCH('Lorri 401b'!N2253,'Retirement Calculator'!A:A,0),0),0)</f>
        <v>0</v>
      </c>
      <c r="K2253" s="455">
        <f t="shared" ca="1" si="123"/>
        <v>11796568.657168617</v>
      </c>
      <c r="L2253" s="455">
        <f t="shared" ca="1" si="124"/>
        <v>2842973046.3776364</v>
      </c>
      <c r="M2253" s="471">
        <f t="shared" si="126"/>
        <v>0.05</v>
      </c>
      <c r="N2253" s="475">
        <f t="shared" si="127"/>
        <v>119617</v>
      </c>
    </row>
    <row r="2254" spans="7:14" ht="11.25" customHeight="1" x14ac:dyDescent="0.3">
      <c r="G2254" s="470"/>
      <c r="H2254" s="470">
        <v>2247</v>
      </c>
      <c r="I2254" s="455">
        <f t="shared" ca="1" si="125"/>
        <v>2842973046.3776364</v>
      </c>
      <c r="J2254" s="455">
        <f t="array" ref="J2254">IFERROR(INDEX('Retirement Calculator'!K:K,MATCH('Lorri 401b'!N2254,'Retirement Calculator'!A:A,0),0),0)</f>
        <v>0</v>
      </c>
      <c r="K2254" s="455">
        <f t="shared" ca="1" si="123"/>
        <v>11845721.026573485</v>
      </c>
      <c r="L2254" s="455">
        <f t="shared" ca="1" si="124"/>
        <v>2854818767.4042101</v>
      </c>
      <c r="M2254" s="471">
        <f t="shared" si="126"/>
        <v>0.05</v>
      </c>
      <c r="N2254" s="475">
        <f t="shared" si="127"/>
        <v>119648</v>
      </c>
    </row>
    <row r="2255" spans="7:14" ht="11.25" customHeight="1" x14ac:dyDescent="0.3">
      <c r="G2255" s="470"/>
      <c r="H2255" s="470">
        <v>2248</v>
      </c>
      <c r="I2255" s="455">
        <f t="shared" ca="1" si="125"/>
        <v>2854818767.4042101</v>
      </c>
      <c r="J2255" s="455">
        <f t="array" ref="J2255">IFERROR(INDEX('Retirement Calculator'!K:K,MATCH('Lorri 401b'!N2255,'Retirement Calculator'!A:A,0),0),0)</f>
        <v>0</v>
      </c>
      <c r="K2255" s="455">
        <f t="shared" ca="1" si="123"/>
        <v>11895078.197517542</v>
      </c>
      <c r="L2255" s="455">
        <f t="shared" ca="1" si="124"/>
        <v>2866713845.6017275</v>
      </c>
      <c r="M2255" s="471">
        <f t="shared" si="126"/>
        <v>0.05</v>
      </c>
      <c r="N2255" s="475">
        <f t="shared" si="127"/>
        <v>119679</v>
      </c>
    </row>
    <row r="2256" spans="7:14" ht="11.25" customHeight="1" x14ac:dyDescent="0.3">
      <c r="G2256" s="470"/>
      <c r="H2256" s="470">
        <v>2249</v>
      </c>
      <c r="I2256" s="455">
        <f t="shared" ca="1" si="125"/>
        <v>2866713845.6017275</v>
      </c>
      <c r="J2256" s="455">
        <f t="array" ref="J2256">IFERROR(INDEX('Retirement Calculator'!K:K,MATCH('Lorri 401b'!N2256,'Retirement Calculator'!A:A,0),0),0)</f>
        <v>0</v>
      </c>
      <c r="K2256" s="455">
        <f t="shared" ca="1" si="123"/>
        <v>11944641.023340531</v>
      </c>
      <c r="L2256" s="455">
        <f t="shared" ca="1" si="124"/>
        <v>2878658486.6250682</v>
      </c>
      <c r="M2256" s="471">
        <f t="shared" si="126"/>
        <v>0.05</v>
      </c>
      <c r="N2256" s="475">
        <f t="shared" si="127"/>
        <v>119709</v>
      </c>
    </row>
    <row r="2257" spans="7:14" ht="11.25" customHeight="1" x14ac:dyDescent="0.3">
      <c r="G2257" s="470"/>
      <c r="H2257" s="470">
        <v>2250</v>
      </c>
      <c r="I2257" s="455">
        <f t="shared" ca="1" si="125"/>
        <v>2878658486.6250682</v>
      </c>
      <c r="J2257" s="455">
        <f t="array" ref="J2257">IFERROR(INDEX('Retirement Calculator'!K:K,MATCH('Lorri 401b'!N2257,'Retirement Calculator'!A:A,0),0),0)</f>
        <v>0</v>
      </c>
      <c r="K2257" s="455">
        <f t="shared" ca="1" si="123"/>
        <v>11994410.360937783</v>
      </c>
      <c r="L2257" s="455">
        <f t="shared" ca="1" si="124"/>
        <v>2890652896.9860058</v>
      </c>
      <c r="M2257" s="471">
        <f t="shared" si="126"/>
        <v>0.05</v>
      </c>
      <c r="N2257" s="475">
        <f t="shared" si="127"/>
        <v>119740</v>
      </c>
    </row>
    <row r="2258" spans="7:14" ht="11.25" customHeight="1" x14ac:dyDescent="0.3">
      <c r="G2258" s="470"/>
      <c r="H2258" s="470">
        <v>2251</v>
      </c>
      <c r="I2258" s="455">
        <f t="shared" ca="1" si="125"/>
        <v>2890652896.9860058</v>
      </c>
      <c r="J2258" s="455">
        <f t="array" ref="J2258">IFERROR(INDEX('Retirement Calculator'!K:K,MATCH('Lorri 401b'!N2258,'Retirement Calculator'!A:A,0),0),0)</f>
        <v>0</v>
      </c>
      <c r="K2258" s="455">
        <f t="shared" ca="1" si="123"/>
        <v>12044387.070775025</v>
      </c>
      <c r="L2258" s="455">
        <f t="shared" ca="1" si="124"/>
        <v>2902697284.0567808</v>
      </c>
      <c r="M2258" s="471">
        <f t="shared" si="126"/>
        <v>0.05</v>
      </c>
      <c r="N2258" s="475">
        <f t="shared" si="127"/>
        <v>119770</v>
      </c>
    </row>
    <row r="2259" spans="7:14" ht="11.25" customHeight="1" x14ac:dyDescent="0.3">
      <c r="G2259" s="470"/>
      <c r="H2259" s="470">
        <v>2252</v>
      </c>
      <c r="I2259" s="455">
        <f t="shared" ca="1" si="125"/>
        <v>2902697284.0567808</v>
      </c>
      <c r="J2259" s="455">
        <f t="array" ref="J2259">IFERROR(INDEX('Retirement Calculator'!K:K,MATCH('Lorri 401b'!N2259,'Retirement Calculator'!A:A,0),0),0)</f>
        <v>0</v>
      </c>
      <c r="K2259" s="455">
        <f t="shared" ca="1" si="123"/>
        <v>12094572.016903253</v>
      </c>
      <c r="L2259" s="455">
        <f t="shared" ca="1" si="124"/>
        <v>2914791856.0736842</v>
      </c>
      <c r="M2259" s="471">
        <f t="shared" si="126"/>
        <v>0.05</v>
      </c>
      <c r="N2259" s="475">
        <f t="shared" si="127"/>
        <v>119801</v>
      </c>
    </row>
    <row r="2260" spans="7:14" ht="11.25" customHeight="1" x14ac:dyDescent="0.3">
      <c r="G2260" s="470"/>
      <c r="H2260" s="470">
        <v>2253</v>
      </c>
      <c r="I2260" s="455">
        <f t="shared" ca="1" si="125"/>
        <v>2914791856.0736842</v>
      </c>
      <c r="J2260" s="455">
        <f t="array" ref="J2260">IFERROR(INDEX('Retirement Calculator'!K:K,MATCH('Lorri 401b'!N2260,'Retirement Calculator'!A:A,0),0),0)</f>
        <v>0</v>
      </c>
      <c r="K2260" s="455">
        <f t="shared" ca="1" si="123"/>
        <v>12144966.066973684</v>
      </c>
      <c r="L2260" s="455">
        <f t="shared" ca="1" si="124"/>
        <v>2926936822.1406579</v>
      </c>
      <c r="M2260" s="471">
        <f t="shared" si="126"/>
        <v>0.05</v>
      </c>
      <c r="N2260" s="475">
        <f t="shared" si="127"/>
        <v>119832</v>
      </c>
    </row>
    <row r="2261" spans="7:14" ht="11.25" customHeight="1" x14ac:dyDescent="0.3">
      <c r="G2261" s="470"/>
      <c r="H2261" s="470">
        <v>2254</v>
      </c>
      <c r="I2261" s="455">
        <f t="shared" ca="1" si="125"/>
        <v>2926936822.1406579</v>
      </c>
      <c r="J2261" s="455">
        <f t="array" ref="J2261">IFERROR(INDEX('Retirement Calculator'!K:K,MATCH('Lorri 401b'!N2261,'Retirement Calculator'!A:A,0),0),0)</f>
        <v>0</v>
      </c>
      <c r="K2261" s="455">
        <f t="shared" ca="1" si="123"/>
        <v>12195570.092252741</v>
      </c>
      <c r="L2261" s="455">
        <f t="shared" ca="1" si="124"/>
        <v>2939132392.2329106</v>
      </c>
      <c r="M2261" s="471">
        <f t="shared" si="126"/>
        <v>0.05</v>
      </c>
      <c r="N2261" s="475">
        <f t="shared" si="127"/>
        <v>119861</v>
      </c>
    </row>
    <row r="2262" spans="7:14" ht="11.25" customHeight="1" x14ac:dyDescent="0.3">
      <c r="G2262" s="470"/>
      <c r="H2262" s="470">
        <v>2255</v>
      </c>
      <c r="I2262" s="455">
        <f t="shared" ca="1" si="125"/>
        <v>2939132392.2329106</v>
      </c>
      <c r="J2262" s="455">
        <f t="array" ref="J2262">IFERROR(INDEX('Retirement Calculator'!K:K,MATCH('Lorri 401b'!N2262,'Retirement Calculator'!A:A,0),0),0)</f>
        <v>0</v>
      </c>
      <c r="K2262" s="455">
        <f t="shared" ca="1" si="123"/>
        <v>12246384.967637127</v>
      </c>
      <c r="L2262" s="455">
        <f t="shared" ca="1" si="124"/>
        <v>2951378777.2005477</v>
      </c>
      <c r="M2262" s="471">
        <f t="shared" si="126"/>
        <v>0.05</v>
      </c>
      <c r="N2262" s="475">
        <f t="shared" si="127"/>
        <v>119892</v>
      </c>
    </row>
    <row r="2263" spans="7:14" ht="11.25" customHeight="1" x14ac:dyDescent="0.3">
      <c r="G2263" s="470"/>
      <c r="H2263" s="470">
        <v>2256</v>
      </c>
      <c r="I2263" s="455">
        <f t="shared" ca="1" si="125"/>
        <v>2951378777.2005477</v>
      </c>
      <c r="J2263" s="455">
        <f t="array" ref="J2263">IFERROR(INDEX('Retirement Calculator'!K:K,MATCH('Lorri 401b'!N2263,'Retirement Calculator'!A:A,0),0),0)</f>
        <v>0</v>
      </c>
      <c r="K2263" s="455">
        <f t="shared" ca="1" si="123"/>
        <v>12297411.571668949</v>
      </c>
      <c r="L2263" s="455">
        <f t="shared" ca="1" si="124"/>
        <v>2963676188.7722168</v>
      </c>
      <c r="M2263" s="471">
        <f t="shared" si="126"/>
        <v>0.05</v>
      </c>
      <c r="N2263" s="475">
        <f t="shared" si="127"/>
        <v>119922</v>
      </c>
    </row>
    <row r="2264" spans="7:14" ht="11.25" customHeight="1" x14ac:dyDescent="0.3">
      <c r="G2264" s="470"/>
      <c r="H2264" s="470">
        <v>2257</v>
      </c>
      <c r="I2264" s="455">
        <f t="shared" ca="1" si="125"/>
        <v>2963676188.7722168</v>
      </c>
      <c r="J2264" s="455">
        <f t="array" ref="J2264">IFERROR(INDEX('Retirement Calculator'!K:K,MATCH('Lorri 401b'!N2264,'Retirement Calculator'!A:A,0),0),0)</f>
        <v>0</v>
      </c>
      <c r="K2264" s="455">
        <f t="shared" ca="1" si="123"/>
        <v>12348650.786550904</v>
      </c>
      <c r="L2264" s="455">
        <f t="shared" ca="1" si="124"/>
        <v>2976024839.5587678</v>
      </c>
      <c r="M2264" s="471">
        <f t="shared" si="126"/>
        <v>0.05</v>
      </c>
      <c r="N2264" s="475">
        <f t="shared" si="127"/>
        <v>119953</v>
      </c>
    </row>
    <row r="2265" spans="7:14" ht="11.25" customHeight="1" x14ac:dyDescent="0.3">
      <c r="G2265" s="470"/>
      <c r="H2265" s="470">
        <v>2258</v>
      </c>
      <c r="I2265" s="455">
        <f t="shared" ca="1" si="125"/>
        <v>2976024839.5587678</v>
      </c>
      <c r="J2265" s="455">
        <f t="array" ref="J2265">IFERROR(INDEX('Retirement Calculator'!K:K,MATCH('Lorri 401b'!N2265,'Retirement Calculator'!A:A,0),0),0)</f>
        <v>0</v>
      </c>
      <c r="K2265" s="455">
        <f t="shared" ca="1" si="123"/>
        <v>12400103.498161532</v>
      </c>
      <c r="L2265" s="455">
        <f t="shared" ca="1" si="124"/>
        <v>2988424943.0569291</v>
      </c>
      <c r="M2265" s="471">
        <f t="shared" si="126"/>
        <v>0.05</v>
      </c>
      <c r="N2265" s="475">
        <f t="shared" si="127"/>
        <v>119983</v>
      </c>
    </row>
    <row r="2266" spans="7:14" ht="11.25" customHeight="1" x14ac:dyDescent="0.3">
      <c r="G2266" s="470"/>
      <c r="H2266" s="470">
        <v>2259</v>
      </c>
      <c r="I2266" s="455">
        <f t="shared" ca="1" si="125"/>
        <v>2988424943.0569291</v>
      </c>
      <c r="J2266" s="455">
        <f t="array" ref="J2266">IFERROR(INDEX('Retirement Calculator'!K:K,MATCH('Lorri 401b'!N2266,'Retirement Calculator'!A:A,0),0),0)</f>
        <v>0</v>
      </c>
      <c r="K2266" s="455">
        <f t="shared" ca="1" si="123"/>
        <v>12451770.596070537</v>
      </c>
      <c r="L2266" s="455">
        <f t="shared" ca="1" si="124"/>
        <v>3000876713.6529999</v>
      </c>
      <c r="M2266" s="471">
        <f t="shared" si="126"/>
        <v>0.05</v>
      </c>
      <c r="N2266" s="475">
        <f t="shared" si="127"/>
        <v>120014</v>
      </c>
    </row>
    <row r="2267" spans="7:14" ht="11.25" customHeight="1" x14ac:dyDescent="0.3">
      <c r="G2267" s="470"/>
      <c r="H2267" s="470">
        <v>2260</v>
      </c>
      <c r="I2267" s="455">
        <f t="shared" ca="1" si="125"/>
        <v>3000876713.6529999</v>
      </c>
      <c r="J2267" s="455">
        <f t="array" ref="J2267">IFERROR(INDEX('Retirement Calculator'!K:K,MATCH('Lorri 401b'!N2267,'Retirement Calculator'!A:A,0),0),0)</f>
        <v>0</v>
      </c>
      <c r="K2267" s="455">
        <f t="shared" ca="1" si="123"/>
        <v>12503652.973554166</v>
      </c>
      <c r="L2267" s="455">
        <f t="shared" ca="1" si="124"/>
        <v>3013380366.626554</v>
      </c>
      <c r="M2267" s="471">
        <f t="shared" si="126"/>
        <v>0.05</v>
      </c>
      <c r="N2267" s="475">
        <f t="shared" si="127"/>
        <v>120045</v>
      </c>
    </row>
    <row r="2268" spans="7:14" ht="11.25" customHeight="1" x14ac:dyDescent="0.3">
      <c r="G2268" s="470"/>
      <c r="H2268" s="470">
        <v>2261</v>
      </c>
      <c r="I2268" s="455">
        <f t="shared" ca="1" si="125"/>
        <v>3013380366.626554</v>
      </c>
      <c r="J2268" s="455">
        <f t="array" ref="J2268">IFERROR(INDEX('Retirement Calculator'!K:K,MATCH('Lorri 401b'!N2268,'Retirement Calculator'!A:A,0),0),0)</f>
        <v>0</v>
      </c>
      <c r="K2268" s="455">
        <f t="shared" ca="1" si="123"/>
        <v>12555751.527610641</v>
      </c>
      <c r="L2268" s="455">
        <f t="shared" ca="1" si="124"/>
        <v>3025936118.1541648</v>
      </c>
      <c r="M2268" s="471">
        <f t="shared" si="126"/>
        <v>0.05</v>
      </c>
      <c r="N2268" s="475">
        <f t="shared" si="127"/>
        <v>120075</v>
      </c>
    </row>
    <row r="2269" spans="7:14" ht="11.25" customHeight="1" x14ac:dyDescent="0.3">
      <c r="G2269" s="470"/>
      <c r="H2269" s="470">
        <v>2262</v>
      </c>
      <c r="I2269" s="455">
        <f t="shared" ca="1" si="125"/>
        <v>3025936118.1541648</v>
      </c>
      <c r="J2269" s="455">
        <f t="array" ref="J2269">IFERROR(INDEX('Retirement Calculator'!K:K,MATCH('Lorri 401b'!N2269,'Retirement Calculator'!A:A,0),0),0)</f>
        <v>0</v>
      </c>
      <c r="K2269" s="455">
        <f t="shared" ca="1" si="123"/>
        <v>12608067.158975687</v>
      </c>
      <c r="L2269" s="455">
        <f t="shared" ca="1" si="124"/>
        <v>3038544185.3131404</v>
      </c>
      <c r="M2269" s="471">
        <f t="shared" si="126"/>
        <v>0.05</v>
      </c>
      <c r="N2269" s="475">
        <f t="shared" si="127"/>
        <v>120106</v>
      </c>
    </row>
    <row r="2270" spans="7:14" ht="11.25" customHeight="1" x14ac:dyDescent="0.3">
      <c r="G2270" s="470"/>
      <c r="H2270" s="470">
        <v>2263</v>
      </c>
      <c r="I2270" s="455">
        <f t="shared" ca="1" si="125"/>
        <v>3038544185.3131404</v>
      </c>
      <c r="J2270" s="455">
        <f t="array" ref="J2270">IFERROR(INDEX('Retirement Calculator'!K:K,MATCH('Lorri 401b'!N2270,'Retirement Calculator'!A:A,0),0),0)</f>
        <v>0</v>
      </c>
      <c r="K2270" s="455">
        <f t="shared" ca="1" si="123"/>
        <v>12660600.772138085</v>
      </c>
      <c r="L2270" s="455">
        <f t="shared" ca="1" si="124"/>
        <v>3051204786.0852785</v>
      </c>
      <c r="M2270" s="471">
        <f t="shared" si="126"/>
        <v>0.05</v>
      </c>
      <c r="N2270" s="475">
        <f t="shared" si="127"/>
        <v>120136</v>
      </c>
    </row>
    <row r="2271" spans="7:14" ht="11.25" customHeight="1" x14ac:dyDescent="0.3">
      <c r="G2271" s="470"/>
      <c r="H2271" s="470">
        <v>2264</v>
      </c>
      <c r="I2271" s="455">
        <f t="shared" ca="1" si="125"/>
        <v>3051204786.0852785</v>
      </c>
      <c r="J2271" s="455">
        <f t="array" ref="J2271">IFERROR(INDEX('Retirement Calculator'!K:K,MATCH('Lorri 401b'!N2271,'Retirement Calculator'!A:A,0),0),0)</f>
        <v>0</v>
      </c>
      <c r="K2271" s="455">
        <f t="shared" ca="1" si="123"/>
        <v>12713353.275355328</v>
      </c>
      <c r="L2271" s="455">
        <f t="shared" ca="1" si="124"/>
        <v>3063918139.3606339</v>
      </c>
      <c r="M2271" s="471">
        <f t="shared" si="126"/>
        <v>0.05</v>
      </c>
      <c r="N2271" s="475">
        <f t="shared" si="127"/>
        <v>120167</v>
      </c>
    </row>
    <row r="2272" spans="7:14" ht="11.25" customHeight="1" x14ac:dyDescent="0.3">
      <c r="G2272" s="470"/>
      <c r="H2272" s="470">
        <v>2265</v>
      </c>
      <c r="I2272" s="455">
        <f t="shared" ca="1" si="125"/>
        <v>3063918139.3606339</v>
      </c>
      <c r="J2272" s="455">
        <f t="array" ref="J2272">IFERROR(INDEX('Retirement Calculator'!K:K,MATCH('Lorri 401b'!N2272,'Retirement Calculator'!A:A,0),0),0)</f>
        <v>0</v>
      </c>
      <c r="K2272" s="455">
        <f t="shared" ca="1" si="123"/>
        <v>12766325.580669308</v>
      </c>
      <c r="L2272" s="455">
        <f t="shared" ca="1" si="124"/>
        <v>3076684464.9413033</v>
      </c>
      <c r="M2272" s="471">
        <f t="shared" si="126"/>
        <v>0.05</v>
      </c>
      <c r="N2272" s="475">
        <f t="shared" si="127"/>
        <v>120198</v>
      </c>
    </row>
    <row r="2273" spans="7:14" ht="11.25" customHeight="1" x14ac:dyDescent="0.3">
      <c r="G2273" s="470"/>
      <c r="H2273" s="470">
        <v>2266</v>
      </c>
      <c r="I2273" s="455">
        <f t="shared" ca="1" si="125"/>
        <v>3076684464.9413033</v>
      </c>
      <c r="J2273" s="455">
        <f t="array" ref="J2273">IFERROR(INDEX('Retirement Calculator'!K:K,MATCH('Lorri 401b'!N2273,'Retirement Calculator'!A:A,0),0),0)</f>
        <v>0</v>
      </c>
      <c r="K2273" s="455">
        <f t="shared" ca="1" si="123"/>
        <v>12819518.603922097</v>
      </c>
      <c r="L2273" s="455">
        <f t="shared" ca="1" si="124"/>
        <v>3089503983.5452251</v>
      </c>
      <c r="M2273" s="471">
        <f t="shared" si="126"/>
        <v>0.05</v>
      </c>
      <c r="N2273" s="475">
        <f t="shared" si="127"/>
        <v>120226</v>
      </c>
    </row>
    <row r="2274" spans="7:14" ht="11.25" customHeight="1" x14ac:dyDescent="0.3">
      <c r="G2274" s="470"/>
      <c r="H2274" s="470">
        <v>2267</v>
      </c>
      <c r="I2274" s="455">
        <f t="shared" ca="1" si="125"/>
        <v>3089503983.5452251</v>
      </c>
      <c r="J2274" s="455">
        <f t="array" ref="J2274">IFERROR(INDEX('Retirement Calculator'!K:K,MATCH('Lorri 401b'!N2274,'Retirement Calculator'!A:A,0),0),0)</f>
        <v>0</v>
      </c>
      <c r="K2274" s="455">
        <f t="shared" ca="1" si="123"/>
        <v>12872933.264771771</v>
      </c>
      <c r="L2274" s="455">
        <f t="shared" ca="1" si="124"/>
        <v>3102376916.8099971</v>
      </c>
      <c r="M2274" s="471">
        <f t="shared" si="126"/>
        <v>0.05</v>
      </c>
      <c r="N2274" s="475">
        <f t="shared" si="127"/>
        <v>120257</v>
      </c>
    </row>
    <row r="2275" spans="7:14" ht="11.25" customHeight="1" x14ac:dyDescent="0.3">
      <c r="G2275" s="470"/>
      <c r="H2275" s="470">
        <v>2268</v>
      </c>
      <c r="I2275" s="455">
        <f t="shared" ca="1" si="125"/>
        <v>3102376916.8099971</v>
      </c>
      <c r="J2275" s="455">
        <f t="array" ref="J2275">IFERROR(INDEX('Retirement Calculator'!K:K,MATCH('Lorri 401b'!N2275,'Retirement Calculator'!A:A,0),0),0)</f>
        <v>0</v>
      </c>
      <c r="K2275" s="455">
        <f t="shared" ca="1" si="123"/>
        <v>12926570.486708321</v>
      </c>
      <c r="L2275" s="455">
        <f t="shared" ca="1" si="124"/>
        <v>3115303487.2967052</v>
      </c>
      <c r="M2275" s="471">
        <f t="shared" si="126"/>
        <v>0.05</v>
      </c>
      <c r="N2275" s="475">
        <f t="shared" si="127"/>
        <v>120287</v>
      </c>
    </row>
    <row r="2276" spans="7:14" ht="11.25" customHeight="1" x14ac:dyDescent="0.3">
      <c r="G2276" s="470"/>
      <c r="H2276" s="470">
        <v>2269</v>
      </c>
      <c r="I2276" s="455">
        <f t="shared" ca="1" si="125"/>
        <v>3115303487.2967052</v>
      </c>
      <c r="J2276" s="455">
        <f t="array" ref="J2276">IFERROR(INDEX('Retirement Calculator'!K:K,MATCH('Lorri 401b'!N2276,'Retirement Calculator'!A:A,0),0),0)</f>
        <v>0</v>
      </c>
      <c r="K2276" s="455">
        <f t="shared" ca="1" si="123"/>
        <v>12980431.197069606</v>
      </c>
      <c r="L2276" s="455">
        <f t="shared" ca="1" si="124"/>
        <v>3128283918.4937749</v>
      </c>
      <c r="M2276" s="471">
        <f t="shared" si="126"/>
        <v>0.05</v>
      </c>
      <c r="N2276" s="475">
        <f t="shared" si="127"/>
        <v>120318</v>
      </c>
    </row>
    <row r="2277" spans="7:14" ht="11.25" customHeight="1" x14ac:dyDescent="0.3">
      <c r="G2277" s="470"/>
      <c r="H2277" s="470">
        <v>2270</v>
      </c>
      <c r="I2277" s="455">
        <f t="shared" ca="1" si="125"/>
        <v>3128283918.4937749</v>
      </c>
      <c r="J2277" s="455">
        <f t="array" ref="J2277">IFERROR(INDEX('Retirement Calculator'!K:K,MATCH('Lorri 401b'!N2277,'Retirement Calculator'!A:A,0),0),0)</f>
        <v>0</v>
      </c>
      <c r="K2277" s="455">
        <f t="shared" ca="1" si="123"/>
        <v>13034516.327057395</v>
      </c>
      <c r="L2277" s="455">
        <f t="shared" ca="1" si="124"/>
        <v>3141318434.8208323</v>
      </c>
      <c r="M2277" s="471">
        <f t="shared" si="126"/>
        <v>0.05</v>
      </c>
      <c r="N2277" s="475">
        <f t="shared" si="127"/>
        <v>120348</v>
      </c>
    </row>
    <row r="2278" spans="7:14" ht="11.25" customHeight="1" x14ac:dyDescent="0.3">
      <c r="G2278" s="470"/>
      <c r="H2278" s="470">
        <v>2271</v>
      </c>
      <c r="I2278" s="455">
        <f t="shared" ca="1" si="125"/>
        <v>3141318434.8208323</v>
      </c>
      <c r="J2278" s="455">
        <f t="array" ref="J2278">IFERROR(INDEX('Retirement Calculator'!K:K,MATCH('Lorri 401b'!N2278,'Retirement Calculator'!A:A,0),0),0)</f>
        <v>0</v>
      </c>
      <c r="K2278" s="455">
        <f t="shared" ca="1" si="123"/>
        <v>13088826.811753467</v>
      </c>
      <c r="L2278" s="455">
        <f t="shared" ca="1" si="124"/>
        <v>3154407261.6325855</v>
      </c>
      <c r="M2278" s="471">
        <f t="shared" si="126"/>
        <v>0.05</v>
      </c>
      <c r="N2278" s="475">
        <f t="shared" si="127"/>
        <v>120379</v>
      </c>
    </row>
    <row r="2279" spans="7:14" ht="11.25" customHeight="1" x14ac:dyDescent="0.3">
      <c r="G2279" s="470"/>
      <c r="H2279" s="470">
        <v>2272</v>
      </c>
      <c r="I2279" s="455">
        <f t="shared" ca="1" si="125"/>
        <v>3154407261.6325855</v>
      </c>
      <c r="J2279" s="455">
        <f t="array" ref="J2279">IFERROR(INDEX('Retirement Calculator'!K:K,MATCH('Lorri 401b'!N2279,'Retirement Calculator'!A:A,0),0),0)</f>
        <v>0</v>
      </c>
      <c r="K2279" s="455">
        <f t="shared" ca="1" si="123"/>
        <v>13143363.590135774</v>
      </c>
      <c r="L2279" s="455">
        <f t="shared" ca="1" si="124"/>
        <v>3167550625.2227211</v>
      </c>
      <c r="M2279" s="471">
        <f t="shared" si="126"/>
        <v>0.05</v>
      </c>
      <c r="N2279" s="475">
        <f t="shared" si="127"/>
        <v>120410</v>
      </c>
    </row>
    <row r="2280" spans="7:14" ht="11.25" customHeight="1" x14ac:dyDescent="0.3">
      <c r="G2280" s="470"/>
      <c r="H2280" s="470">
        <v>2273</v>
      </c>
      <c r="I2280" s="455">
        <f t="shared" ca="1" si="125"/>
        <v>3167550625.2227211</v>
      </c>
      <c r="J2280" s="455">
        <f t="array" ref="J2280">IFERROR(INDEX('Retirement Calculator'!K:K,MATCH('Lorri 401b'!N2280,'Retirement Calculator'!A:A,0),0),0)</f>
        <v>0</v>
      </c>
      <c r="K2280" s="455">
        <f t="shared" ca="1" si="123"/>
        <v>13198127.605094671</v>
      </c>
      <c r="L2280" s="455">
        <f t="shared" ca="1" si="124"/>
        <v>3180748752.827816</v>
      </c>
      <c r="M2280" s="471">
        <f t="shared" si="126"/>
        <v>0.05</v>
      </c>
      <c r="N2280" s="475">
        <f t="shared" si="127"/>
        <v>120440</v>
      </c>
    </row>
    <row r="2281" spans="7:14" ht="11.25" customHeight="1" x14ac:dyDescent="0.3">
      <c r="G2281" s="470"/>
      <c r="H2281" s="470">
        <v>2274</v>
      </c>
      <c r="I2281" s="455">
        <f t="shared" ca="1" si="125"/>
        <v>3180748752.827816</v>
      </c>
      <c r="J2281" s="455">
        <f t="array" ref="J2281">IFERROR(INDEX('Retirement Calculator'!K:K,MATCH('Lorri 401b'!N2281,'Retirement Calculator'!A:A,0),0),0)</f>
        <v>0</v>
      </c>
      <c r="K2281" s="455">
        <f t="shared" ca="1" si="123"/>
        <v>13253119.803449234</v>
      </c>
      <c r="L2281" s="455">
        <f t="shared" ca="1" si="124"/>
        <v>3194001872.6312652</v>
      </c>
      <c r="M2281" s="471">
        <f t="shared" si="126"/>
        <v>0.05</v>
      </c>
      <c r="N2281" s="475">
        <f t="shared" si="127"/>
        <v>120471</v>
      </c>
    </row>
    <row r="2282" spans="7:14" ht="11.25" customHeight="1" x14ac:dyDescent="0.3">
      <c r="G2282" s="470"/>
      <c r="H2282" s="470">
        <v>2275</v>
      </c>
      <c r="I2282" s="455">
        <f t="shared" ca="1" si="125"/>
        <v>3194001872.6312652</v>
      </c>
      <c r="J2282" s="455">
        <f t="array" ref="J2282">IFERROR(INDEX('Retirement Calculator'!K:K,MATCH('Lorri 401b'!N2282,'Retirement Calculator'!A:A,0),0),0)</f>
        <v>0</v>
      </c>
      <c r="K2282" s="455">
        <f t="shared" ca="1" si="123"/>
        <v>13308341.135963604</v>
      </c>
      <c r="L2282" s="455">
        <f t="shared" ca="1" si="124"/>
        <v>3207310213.7672286</v>
      </c>
      <c r="M2282" s="471">
        <f t="shared" si="126"/>
        <v>0.05</v>
      </c>
      <c r="N2282" s="475">
        <f t="shared" si="127"/>
        <v>120501</v>
      </c>
    </row>
    <row r="2283" spans="7:14" ht="11.25" customHeight="1" x14ac:dyDescent="0.3">
      <c r="G2283" s="470"/>
      <c r="H2283" s="470">
        <v>2276</v>
      </c>
      <c r="I2283" s="455">
        <f t="shared" ca="1" si="125"/>
        <v>3207310213.7672286</v>
      </c>
      <c r="J2283" s="455">
        <f t="array" ref="J2283">IFERROR(INDEX('Retirement Calculator'!K:K,MATCH('Lorri 401b'!N2283,'Retirement Calculator'!A:A,0),0),0)</f>
        <v>0</v>
      </c>
      <c r="K2283" s="455">
        <f t="shared" ca="1" si="123"/>
        <v>13363792.557363452</v>
      </c>
      <c r="L2283" s="455">
        <f t="shared" ca="1" si="124"/>
        <v>3220674006.3245921</v>
      </c>
      <c r="M2283" s="471">
        <f t="shared" si="126"/>
        <v>0.05</v>
      </c>
      <c r="N2283" s="475">
        <f t="shared" si="127"/>
        <v>120532</v>
      </c>
    </row>
    <row r="2284" spans="7:14" ht="11.25" customHeight="1" x14ac:dyDescent="0.3">
      <c r="G2284" s="470"/>
      <c r="H2284" s="470">
        <v>2277</v>
      </c>
      <c r="I2284" s="455">
        <f t="shared" ca="1" si="125"/>
        <v>3220674006.3245921</v>
      </c>
      <c r="J2284" s="455">
        <f t="array" ref="J2284">IFERROR(INDEX('Retirement Calculator'!K:K,MATCH('Lorri 401b'!N2284,'Retirement Calculator'!A:A,0),0),0)</f>
        <v>0</v>
      </c>
      <c r="K2284" s="455">
        <f t="shared" ca="1" si="123"/>
        <v>13419475.026352467</v>
      </c>
      <c r="L2284" s="455">
        <f t="shared" ca="1" si="124"/>
        <v>3234093481.3509445</v>
      </c>
      <c r="M2284" s="471">
        <f t="shared" si="126"/>
        <v>0.05</v>
      </c>
      <c r="N2284" s="475">
        <f t="shared" si="127"/>
        <v>120563</v>
      </c>
    </row>
    <row r="2285" spans="7:14" ht="11.25" customHeight="1" x14ac:dyDescent="0.3">
      <c r="G2285" s="470"/>
      <c r="H2285" s="470">
        <v>2278</v>
      </c>
      <c r="I2285" s="455">
        <f t="shared" ca="1" si="125"/>
        <v>3234093481.3509445</v>
      </c>
      <c r="J2285" s="455">
        <f t="array" ref="J2285">IFERROR(INDEX('Retirement Calculator'!K:K,MATCH('Lorri 401b'!N2285,'Retirement Calculator'!A:A,0),0),0)</f>
        <v>0</v>
      </c>
      <c r="K2285" s="455">
        <f t="shared" ca="1" si="123"/>
        <v>13475389.505628936</v>
      </c>
      <c r="L2285" s="455">
        <f t="shared" ca="1" si="124"/>
        <v>3247568870.8565736</v>
      </c>
      <c r="M2285" s="471">
        <f t="shared" si="126"/>
        <v>0.05</v>
      </c>
      <c r="N2285" s="475">
        <f t="shared" si="127"/>
        <v>120591</v>
      </c>
    </row>
    <row r="2286" spans="7:14" ht="11.25" customHeight="1" x14ac:dyDescent="0.3">
      <c r="G2286" s="470"/>
      <c r="H2286" s="470">
        <v>2279</v>
      </c>
      <c r="I2286" s="455">
        <f t="shared" ca="1" si="125"/>
        <v>3247568870.8565736</v>
      </c>
      <c r="J2286" s="455">
        <f t="array" ref="J2286">IFERROR(INDEX('Retirement Calculator'!K:K,MATCH('Lorri 401b'!N2286,'Retirement Calculator'!A:A,0),0),0)</f>
        <v>0</v>
      </c>
      <c r="K2286" s="455">
        <f t="shared" ca="1" si="123"/>
        <v>13531536.961902389</v>
      </c>
      <c r="L2286" s="455">
        <f t="shared" ca="1" si="124"/>
        <v>3261100407.8184762</v>
      </c>
      <c r="M2286" s="471">
        <f t="shared" si="126"/>
        <v>0.05</v>
      </c>
      <c r="N2286" s="475">
        <f t="shared" si="127"/>
        <v>120622</v>
      </c>
    </row>
    <row r="2287" spans="7:14" ht="11.25" customHeight="1" x14ac:dyDescent="0.3">
      <c r="G2287" s="470"/>
      <c r="H2287" s="470">
        <v>2280</v>
      </c>
      <c r="I2287" s="455">
        <f t="shared" ca="1" si="125"/>
        <v>3261100407.8184762</v>
      </c>
      <c r="J2287" s="455">
        <f t="array" ref="J2287">IFERROR(INDEX('Retirement Calculator'!K:K,MATCH('Lorri 401b'!N2287,'Retirement Calculator'!A:A,0),0),0)</f>
        <v>0</v>
      </c>
      <c r="K2287" s="455">
        <f t="shared" ca="1" si="123"/>
        <v>13587918.365910318</v>
      </c>
      <c r="L2287" s="455">
        <f t="shared" ca="1" si="124"/>
        <v>3274688326.1843867</v>
      </c>
      <c r="M2287" s="471">
        <f t="shared" si="126"/>
        <v>0.05</v>
      </c>
      <c r="N2287" s="475">
        <f t="shared" si="127"/>
        <v>120652</v>
      </c>
    </row>
    <row r="2288" spans="7:14" ht="11.25" customHeight="1" x14ac:dyDescent="0.3">
      <c r="G2288" s="470"/>
      <c r="H2288" s="470">
        <v>2281</v>
      </c>
      <c r="I2288" s="455">
        <f t="shared" ca="1" si="125"/>
        <v>3274688326.1843867</v>
      </c>
      <c r="J2288" s="455">
        <f t="array" ref="J2288">IFERROR(INDEX('Retirement Calculator'!K:K,MATCH('Lorri 401b'!N2288,'Retirement Calculator'!A:A,0),0),0)</f>
        <v>0</v>
      </c>
      <c r="K2288" s="455">
        <f t="shared" ca="1" si="123"/>
        <v>13644534.692434944</v>
      </c>
      <c r="L2288" s="455">
        <f t="shared" ca="1" si="124"/>
        <v>3288332860.8768215</v>
      </c>
      <c r="M2288" s="471">
        <f t="shared" si="126"/>
        <v>0.05</v>
      </c>
      <c r="N2288" s="475">
        <f t="shared" si="127"/>
        <v>120683</v>
      </c>
    </row>
    <row r="2289" spans="7:14" ht="11.25" customHeight="1" x14ac:dyDescent="0.3">
      <c r="G2289" s="470"/>
      <c r="H2289" s="470">
        <v>2282</v>
      </c>
      <c r="I2289" s="455">
        <f t="shared" ca="1" si="125"/>
        <v>3288332860.8768215</v>
      </c>
      <c r="J2289" s="455">
        <f t="array" ref="J2289">IFERROR(INDEX('Retirement Calculator'!K:K,MATCH('Lorri 401b'!N2289,'Retirement Calculator'!A:A,0),0),0)</f>
        <v>0</v>
      </c>
      <c r="K2289" s="455">
        <f t="shared" ca="1" si="123"/>
        <v>13701386.92032009</v>
      </c>
      <c r="L2289" s="455">
        <f t="shared" ca="1" si="124"/>
        <v>3302034247.7971416</v>
      </c>
      <c r="M2289" s="471">
        <f t="shared" si="126"/>
        <v>0.05</v>
      </c>
      <c r="N2289" s="475">
        <f t="shared" si="127"/>
        <v>120713</v>
      </c>
    </row>
    <row r="2290" spans="7:14" ht="11.25" customHeight="1" x14ac:dyDescent="0.3">
      <c r="G2290" s="470"/>
      <c r="H2290" s="470">
        <v>2283</v>
      </c>
      <c r="I2290" s="455">
        <f t="shared" ca="1" si="125"/>
        <v>3302034247.7971416</v>
      </c>
      <c r="J2290" s="455">
        <f t="array" ref="J2290">IFERROR(INDEX('Retirement Calculator'!K:K,MATCH('Lorri 401b'!N2290,'Retirement Calculator'!A:A,0),0),0)</f>
        <v>0</v>
      </c>
      <c r="K2290" s="455">
        <f t="shared" ca="1" si="123"/>
        <v>13758476.032488089</v>
      </c>
      <c r="L2290" s="455">
        <f t="shared" ca="1" si="124"/>
        <v>3315792723.8296294</v>
      </c>
      <c r="M2290" s="471">
        <f t="shared" si="126"/>
        <v>0.05</v>
      </c>
      <c r="N2290" s="475">
        <f t="shared" si="127"/>
        <v>120744</v>
      </c>
    </row>
    <row r="2291" spans="7:14" ht="11.25" customHeight="1" x14ac:dyDescent="0.3">
      <c r="G2291" s="470"/>
      <c r="H2291" s="470">
        <v>2284</v>
      </c>
      <c r="I2291" s="455">
        <f t="shared" ca="1" si="125"/>
        <v>3315792723.8296294</v>
      </c>
      <c r="J2291" s="455">
        <f t="array" ref="J2291">IFERROR(INDEX('Retirement Calculator'!K:K,MATCH('Lorri 401b'!N2291,'Retirement Calculator'!A:A,0),0),0)</f>
        <v>0</v>
      </c>
      <c r="K2291" s="455">
        <f t="shared" ca="1" si="123"/>
        <v>13815803.015956789</v>
      </c>
      <c r="L2291" s="455">
        <f t="shared" ca="1" si="124"/>
        <v>3329608526.8455863</v>
      </c>
      <c r="M2291" s="471">
        <f t="shared" si="126"/>
        <v>0.05</v>
      </c>
      <c r="N2291" s="475">
        <f t="shared" si="127"/>
        <v>120775</v>
      </c>
    </row>
    <row r="2292" spans="7:14" ht="11.25" customHeight="1" x14ac:dyDescent="0.3">
      <c r="G2292" s="470"/>
      <c r="H2292" s="470">
        <v>2285</v>
      </c>
      <c r="I2292" s="455">
        <f t="shared" ca="1" si="125"/>
        <v>3329608526.8455863</v>
      </c>
      <c r="J2292" s="455">
        <f t="array" ref="J2292">IFERROR(INDEX('Retirement Calculator'!K:K,MATCH('Lorri 401b'!N2292,'Retirement Calculator'!A:A,0),0),0)</f>
        <v>0</v>
      </c>
      <c r="K2292" s="455">
        <f t="shared" ca="1" si="123"/>
        <v>13873368.86185661</v>
      </c>
      <c r="L2292" s="455">
        <f t="shared" ca="1" si="124"/>
        <v>3343481895.7074428</v>
      </c>
      <c r="M2292" s="471">
        <f t="shared" si="126"/>
        <v>0.05</v>
      </c>
      <c r="N2292" s="475">
        <f t="shared" si="127"/>
        <v>120805</v>
      </c>
    </row>
    <row r="2293" spans="7:14" ht="11.25" customHeight="1" x14ac:dyDescent="0.3">
      <c r="G2293" s="470"/>
      <c r="H2293" s="470">
        <v>2286</v>
      </c>
      <c r="I2293" s="455">
        <f t="shared" ca="1" si="125"/>
        <v>3343481895.7074428</v>
      </c>
      <c r="J2293" s="455">
        <f t="array" ref="J2293">IFERROR(INDEX('Retirement Calculator'!K:K,MATCH('Lorri 401b'!N2293,'Retirement Calculator'!A:A,0),0),0)</f>
        <v>0</v>
      </c>
      <c r="K2293" s="455">
        <f t="shared" ca="1" si="123"/>
        <v>13931174.565447679</v>
      </c>
      <c r="L2293" s="455">
        <f t="shared" ca="1" si="124"/>
        <v>3357413070.2728906</v>
      </c>
      <c r="M2293" s="471">
        <f t="shared" si="126"/>
        <v>0.05</v>
      </c>
      <c r="N2293" s="475">
        <f t="shared" si="127"/>
        <v>120836</v>
      </c>
    </row>
    <row r="2294" spans="7:14" ht="11.25" customHeight="1" x14ac:dyDescent="0.3">
      <c r="G2294" s="470"/>
      <c r="H2294" s="470">
        <v>2287</v>
      </c>
      <c r="I2294" s="455">
        <f t="shared" ca="1" si="125"/>
        <v>3357413070.2728906</v>
      </c>
      <c r="J2294" s="455">
        <f t="array" ref="J2294">IFERROR(INDEX('Retirement Calculator'!K:K,MATCH('Lorri 401b'!N2294,'Retirement Calculator'!A:A,0),0),0)</f>
        <v>0</v>
      </c>
      <c r="K2294" s="455">
        <f t="shared" ca="1" si="123"/>
        <v>13989221.126137044</v>
      </c>
      <c r="L2294" s="455">
        <f t="shared" ca="1" si="124"/>
        <v>3371402291.3990278</v>
      </c>
      <c r="M2294" s="471">
        <f t="shared" si="126"/>
        <v>0.05</v>
      </c>
      <c r="N2294" s="475">
        <f t="shared" si="127"/>
        <v>120866</v>
      </c>
    </row>
    <row r="2295" spans="7:14" ht="11.25" customHeight="1" x14ac:dyDescent="0.3">
      <c r="G2295" s="470"/>
      <c r="H2295" s="470">
        <v>2288</v>
      </c>
      <c r="I2295" s="455">
        <f t="shared" ca="1" si="125"/>
        <v>3371402291.3990278</v>
      </c>
      <c r="J2295" s="455">
        <f t="array" ref="J2295">IFERROR(INDEX('Retirement Calculator'!K:K,MATCH('Lorri 401b'!N2295,'Retirement Calculator'!A:A,0),0),0)</f>
        <v>0</v>
      </c>
      <c r="K2295" s="455">
        <f t="shared" ca="1" si="123"/>
        <v>14047509.547495952</v>
      </c>
      <c r="L2295" s="455">
        <f t="shared" ca="1" si="124"/>
        <v>3385449800.9465237</v>
      </c>
      <c r="M2295" s="471">
        <f t="shared" si="126"/>
        <v>0.05</v>
      </c>
      <c r="N2295" s="475">
        <f t="shared" si="127"/>
        <v>120897</v>
      </c>
    </row>
    <row r="2296" spans="7:14" ht="11.25" customHeight="1" x14ac:dyDescent="0.3">
      <c r="G2296" s="470"/>
      <c r="H2296" s="470">
        <v>2289</v>
      </c>
      <c r="I2296" s="455">
        <f t="shared" ca="1" si="125"/>
        <v>3385449800.9465237</v>
      </c>
      <c r="J2296" s="455">
        <f t="array" ref="J2296">IFERROR(INDEX('Retirement Calculator'!K:K,MATCH('Lorri 401b'!N2296,'Retirement Calculator'!A:A,0),0),0)</f>
        <v>0</v>
      </c>
      <c r="K2296" s="455">
        <f t="shared" ca="1" si="123"/>
        <v>14106040.837277181</v>
      </c>
      <c r="L2296" s="455">
        <f t="shared" ca="1" si="124"/>
        <v>3399555841.7838011</v>
      </c>
      <c r="M2296" s="471">
        <f t="shared" si="126"/>
        <v>0.05</v>
      </c>
      <c r="N2296" s="475">
        <f t="shared" si="127"/>
        <v>120928</v>
      </c>
    </row>
    <row r="2297" spans="7:14" ht="11.25" customHeight="1" x14ac:dyDescent="0.3">
      <c r="G2297" s="470"/>
      <c r="H2297" s="470">
        <v>2290</v>
      </c>
      <c r="I2297" s="455">
        <f t="shared" ca="1" si="125"/>
        <v>3399555841.7838011</v>
      </c>
      <c r="J2297" s="455">
        <f t="array" ref="J2297">IFERROR(INDEX('Retirement Calculator'!K:K,MATCH('Lorri 401b'!N2297,'Retirement Calculator'!A:A,0),0),0)</f>
        <v>0</v>
      </c>
      <c r="K2297" s="455">
        <f t="shared" ca="1" si="123"/>
        <v>14164816.007432505</v>
      </c>
      <c r="L2297" s="455">
        <f t="shared" ca="1" si="124"/>
        <v>3413720657.7912335</v>
      </c>
      <c r="M2297" s="471">
        <f t="shared" si="126"/>
        <v>0.05</v>
      </c>
      <c r="N2297" s="475">
        <f t="shared" si="127"/>
        <v>120956</v>
      </c>
    </row>
    <row r="2298" spans="7:14" ht="11.25" customHeight="1" x14ac:dyDescent="0.3">
      <c r="G2298" s="470"/>
      <c r="H2298" s="470">
        <v>2291</v>
      </c>
      <c r="I2298" s="455">
        <f t="shared" ca="1" si="125"/>
        <v>3413720657.7912335</v>
      </c>
      <c r="J2298" s="455">
        <f t="array" ref="J2298">IFERROR(INDEX('Retirement Calculator'!K:K,MATCH('Lorri 401b'!N2298,'Retirement Calculator'!A:A,0),0),0)</f>
        <v>0</v>
      </c>
      <c r="K2298" s="455">
        <f t="shared" ca="1" si="123"/>
        <v>14223836.07413014</v>
      </c>
      <c r="L2298" s="455">
        <f t="shared" ca="1" si="124"/>
        <v>3427944493.8653636</v>
      </c>
      <c r="M2298" s="471">
        <f t="shared" si="126"/>
        <v>0.05</v>
      </c>
      <c r="N2298" s="475">
        <f t="shared" si="127"/>
        <v>120987</v>
      </c>
    </row>
    <row r="2299" spans="7:14" ht="11.25" customHeight="1" x14ac:dyDescent="0.3">
      <c r="G2299" s="470"/>
      <c r="H2299" s="470">
        <v>2292</v>
      </c>
      <c r="I2299" s="455">
        <f t="shared" ca="1" si="125"/>
        <v>3427944493.8653636</v>
      </c>
      <c r="J2299" s="455">
        <f t="array" ref="J2299">IFERROR(INDEX('Retirement Calculator'!K:K,MATCH('Lorri 401b'!N2299,'Retirement Calculator'!A:A,0),0),0)</f>
        <v>0</v>
      </c>
      <c r="K2299" s="455">
        <f t="shared" ca="1" si="123"/>
        <v>14283102.057772348</v>
      </c>
      <c r="L2299" s="455">
        <f t="shared" ca="1" si="124"/>
        <v>3442227595.9231358</v>
      </c>
      <c r="M2299" s="471">
        <f t="shared" si="126"/>
        <v>0.05</v>
      </c>
      <c r="N2299" s="475">
        <f t="shared" si="127"/>
        <v>121017</v>
      </c>
    </row>
    <row r="2300" spans="7:14" ht="11.25" customHeight="1" x14ac:dyDescent="0.3">
      <c r="G2300" s="470"/>
      <c r="H2300" s="470">
        <v>2293</v>
      </c>
      <c r="I2300" s="455">
        <f t="shared" ca="1" si="125"/>
        <v>3442227595.9231358</v>
      </c>
      <c r="J2300" s="455">
        <f t="array" ref="J2300">IFERROR(INDEX('Retirement Calculator'!K:K,MATCH('Lorri 401b'!N2300,'Retirement Calculator'!A:A,0),0),0)</f>
        <v>0</v>
      </c>
      <c r="K2300" s="455">
        <f t="shared" ca="1" si="123"/>
        <v>14342614.983013066</v>
      </c>
      <c r="L2300" s="455">
        <f t="shared" ca="1" si="124"/>
        <v>3456570210.9061489</v>
      </c>
      <c r="M2300" s="471">
        <f t="shared" si="126"/>
        <v>0.05</v>
      </c>
      <c r="N2300" s="475">
        <f t="shared" si="127"/>
        <v>121048</v>
      </c>
    </row>
    <row r="2301" spans="7:14" ht="11.25" customHeight="1" x14ac:dyDescent="0.3">
      <c r="G2301" s="470"/>
      <c r="H2301" s="470">
        <v>2294</v>
      </c>
      <c r="I2301" s="455">
        <f t="shared" ca="1" si="125"/>
        <v>3456570210.9061489</v>
      </c>
      <c r="J2301" s="455">
        <f t="array" ref="J2301">IFERROR(INDEX('Retirement Calculator'!K:K,MATCH('Lorri 401b'!N2301,'Retirement Calculator'!A:A,0),0),0)</f>
        <v>0</v>
      </c>
      <c r="K2301" s="455">
        <f t="shared" ca="1" si="123"/>
        <v>14402375.878775623</v>
      </c>
      <c r="L2301" s="455">
        <f t="shared" ca="1" si="124"/>
        <v>3470972586.7849245</v>
      </c>
      <c r="M2301" s="471">
        <f t="shared" si="126"/>
        <v>0.05</v>
      </c>
      <c r="N2301" s="475">
        <f t="shared" si="127"/>
        <v>121078</v>
      </c>
    </row>
    <row r="2302" spans="7:14" ht="11.25" customHeight="1" x14ac:dyDescent="0.3">
      <c r="G2302" s="470"/>
      <c r="H2302" s="470">
        <v>2295</v>
      </c>
      <c r="I2302" s="455">
        <f t="shared" ca="1" si="125"/>
        <v>3470972586.7849245</v>
      </c>
      <c r="J2302" s="455">
        <f t="array" ref="J2302">IFERROR(INDEX('Retirement Calculator'!K:K,MATCH('Lorri 401b'!N2302,'Retirement Calculator'!A:A,0),0),0)</f>
        <v>0</v>
      </c>
      <c r="K2302" s="455">
        <f t="shared" ca="1" si="123"/>
        <v>14462385.77827052</v>
      </c>
      <c r="L2302" s="455">
        <f t="shared" ca="1" si="124"/>
        <v>3485434972.5631952</v>
      </c>
      <c r="M2302" s="471">
        <f t="shared" si="126"/>
        <v>0.05</v>
      </c>
      <c r="N2302" s="475">
        <f t="shared" si="127"/>
        <v>121109</v>
      </c>
    </row>
    <row r="2303" spans="7:14" ht="11.25" customHeight="1" x14ac:dyDescent="0.3">
      <c r="G2303" s="470"/>
      <c r="H2303" s="470">
        <v>2296</v>
      </c>
      <c r="I2303" s="455">
        <f t="shared" ca="1" si="125"/>
        <v>3485434972.5631952</v>
      </c>
      <c r="J2303" s="455">
        <f t="array" ref="J2303">IFERROR(INDEX('Retirement Calculator'!K:K,MATCH('Lorri 401b'!N2303,'Retirement Calculator'!A:A,0),0),0)</f>
        <v>0</v>
      </c>
      <c r="K2303" s="455">
        <f t="shared" ref="K2303:K2557" ca="1" si="128">IPMT(M2303/12,1,12,-I2303+J2303,,0)</f>
        <v>14522645.719013313</v>
      </c>
      <c r="L2303" s="455">
        <f t="shared" ref="L2303:L2557" ca="1" si="129">I2303-J2303+K2303</f>
        <v>3499957618.2822084</v>
      </c>
      <c r="M2303" s="471">
        <f t="shared" si="126"/>
        <v>0.05</v>
      </c>
      <c r="N2303" s="475">
        <f t="shared" si="127"/>
        <v>121140</v>
      </c>
    </row>
    <row r="2304" spans="7:14" ht="11.25" customHeight="1" x14ac:dyDescent="0.3">
      <c r="G2304" s="470"/>
      <c r="H2304" s="470">
        <v>2297</v>
      </c>
      <c r="I2304" s="455">
        <f t="shared" ref="I2304:I2558" ca="1" si="130">L2303</f>
        <v>3499957618.2822084</v>
      </c>
      <c r="J2304" s="455">
        <f t="array" ref="J2304">IFERROR(INDEX('Retirement Calculator'!K:K,MATCH('Lorri 401b'!N2304,'Retirement Calculator'!A:A,0),0),0)</f>
        <v>0</v>
      </c>
      <c r="K2304" s="455">
        <f t="shared" ca="1" si="128"/>
        <v>14583156.742842535</v>
      </c>
      <c r="L2304" s="455">
        <f t="shared" ca="1" si="129"/>
        <v>3514540775.0250511</v>
      </c>
      <c r="M2304" s="471">
        <f t="shared" ref="M2304:M2558" si="131">M2303</f>
        <v>0.05</v>
      </c>
      <c r="N2304" s="475">
        <f t="shared" ref="N2304:N2558" si="132">EDATE(N2303,1)</f>
        <v>121170</v>
      </c>
    </row>
    <row r="2305" spans="7:14" ht="11.25" customHeight="1" x14ac:dyDescent="0.3">
      <c r="G2305" s="470"/>
      <c r="H2305" s="470">
        <v>2298</v>
      </c>
      <c r="I2305" s="455">
        <f t="shared" ca="1" si="130"/>
        <v>3514540775.0250511</v>
      </c>
      <c r="J2305" s="455">
        <f t="array" ref="J2305">IFERROR(INDEX('Retirement Calculator'!K:K,MATCH('Lorri 401b'!N2305,'Retirement Calculator'!A:A,0),0),0)</f>
        <v>0</v>
      </c>
      <c r="K2305" s="455">
        <f t="shared" ca="1" si="128"/>
        <v>14643919.895937713</v>
      </c>
      <c r="L2305" s="455">
        <f t="shared" ca="1" si="129"/>
        <v>3529184694.920989</v>
      </c>
      <c r="M2305" s="471">
        <f t="shared" si="131"/>
        <v>0.05</v>
      </c>
      <c r="N2305" s="475">
        <f t="shared" si="132"/>
        <v>121201</v>
      </c>
    </row>
    <row r="2306" spans="7:14" ht="11.25" customHeight="1" x14ac:dyDescent="0.3">
      <c r="G2306" s="470"/>
      <c r="H2306" s="470">
        <v>2299</v>
      </c>
      <c r="I2306" s="455">
        <f t="shared" ca="1" si="130"/>
        <v>3529184694.920989</v>
      </c>
      <c r="J2306" s="455">
        <f t="array" ref="J2306">IFERROR(INDEX('Retirement Calculator'!K:K,MATCH('Lorri 401b'!N2306,'Retirement Calculator'!A:A,0),0),0)</f>
        <v>0</v>
      </c>
      <c r="K2306" s="455">
        <f t="shared" ca="1" si="128"/>
        <v>14704936.228837455</v>
      </c>
      <c r="L2306" s="455">
        <f t="shared" ca="1" si="129"/>
        <v>3543889631.1498265</v>
      </c>
      <c r="M2306" s="471">
        <f t="shared" si="131"/>
        <v>0.05</v>
      </c>
      <c r="N2306" s="475">
        <f t="shared" si="132"/>
        <v>121231</v>
      </c>
    </row>
    <row r="2307" spans="7:14" ht="11.25" customHeight="1" x14ac:dyDescent="0.3">
      <c r="G2307" s="470"/>
      <c r="H2307" s="470">
        <v>2300</v>
      </c>
      <c r="I2307" s="455">
        <f t="shared" ca="1" si="130"/>
        <v>3543889631.1498265</v>
      </c>
      <c r="J2307" s="455">
        <f t="array" ref="J2307">IFERROR(INDEX('Retirement Calculator'!K:K,MATCH('Lorri 401b'!N2307,'Retirement Calculator'!A:A,0),0),0)</f>
        <v>0</v>
      </c>
      <c r="K2307" s="455">
        <f t="shared" ca="1" si="128"/>
        <v>14766206.796457611</v>
      </c>
      <c r="L2307" s="455">
        <f t="shared" ca="1" si="129"/>
        <v>3558655837.9462843</v>
      </c>
      <c r="M2307" s="471">
        <f t="shared" si="131"/>
        <v>0.05</v>
      </c>
      <c r="N2307" s="475">
        <f t="shared" si="132"/>
        <v>121262</v>
      </c>
    </row>
    <row r="2308" spans="7:14" ht="11.25" customHeight="1" x14ac:dyDescent="0.3">
      <c r="G2308" s="470"/>
      <c r="H2308" s="470">
        <v>2301</v>
      </c>
      <c r="I2308" s="455">
        <f t="shared" ca="1" si="130"/>
        <v>3558655837.9462843</v>
      </c>
      <c r="J2308" s="455">
        <f t="array" ref="J2308">IFERROR(INDEX('Retirement Calculator'!K:K,MATCH('Lorri 401b'!N2308,'Retirement Calculator'!A:A,0),0),0)</f>
        <v>0</v>
      </c>
      <c r="K2308" s="455">
        <f t="shared" ca="1" si="128"/>
        <v>14827732.65810952</v>
      </c>
      <c r="L2308" s="455">
        <f t="shared" ca="1" si="129"/>
        <v>3573483570.604394</v>
      </c>
      <c r="M2308" s="471">
        <f t="shared" si="131"/>
        <v>0.05</v>
      </c>
      <c r="N2308" s="475">
        <f t="shared" si="132"/>
        <v>121293</v>
      </c>
    </row>
    <row r="2309" spans="7:14" ht="11.25" customHeight="1" x14ac:dyDescent="0.3">
      <c r="G2309" s="470"/>
      <c r="H2309" s="470">
        <v>2302</v>
      </c>
      <c r="I2309" s="455">
        <f t="shared" ca="1" si="130"/>
        <v>3573483570.604394</v>
      </c>
      <c r="J2309" s="455">
        <f t="array" ref="J2309">IFERROR(INDEX('Retirement Calculator'!K:K,MATCH('Lorri 401b'!N2309,'Retirement Calculator'!A:A,0),0),0)</f>
        <v>0</v>
      </c>
      <c r="K2309" s="455">
        <f t="shared" ca="1" si="128"/>
        <v>14889514.877518307</v>
      </c>
      <c r="L2309" s="455">
        <f t="shared" ca="1" si="129"/>
        <v>3588373085.4819121</v>
      </c>
      <c r="M2309" s="471">
        <f t="shared" si="131"/>
        <v>0.05</v>
      </c>
      <c r="N2309" s="475">
        <f t="shared" si="132"/>
        <v>121322</v>
      </c>
    </row>
    <row r="2310" spans="7:14" ht="11.25" customHeight="1" x14ac:dyDescent="0.3">
      <c r="G2310" s="470"/>
      <c r="H2310" s="470">
        <v>2303</v>
      </c>
      <c r="I2310" s="455">
        <f t="shared" ca="1" si="130"/>
        <v>3588373085.4819121</v>
      </c>
      <c r="J2310" s="455">
        <f t="array" ref="J2310">IFERROR(INDEX('Retirement Calculator'!K:K,MATCH('Lorri 401b'!N2310,'Retirement Calculator'!A:A,0),0),0)</f>
        <v>0</v>
      </c>
      <c r="K2310" s="455">
        <f t="shared" ca="1" si="128"/>
        <v>14951554.522841301</v>
      </c>
      <c r="L2310" s="455">
        <f t="shared" ca="1" si="129"/>
        <v>3603324640.0047536</v>
      </c>
      <c r="M2310" s="471">
        <f t="shared" si="131"/>
        <v>0.05</v>
      </c>
      <c r="N2310" s="475">
        <f t="shared" si="132"/>
        <v>121353</v>
      </c>
    </row>
    <row r="2311" spans="7:14" ht="11.25" customHeight="1" x14ac:dyDescent="0.3">
      <c r="G2311" s="470"/>
      <c r="H2311" s="470">
        <v>2304</v>
      </c>
      <c r="I2311" s="455">
        <f t="shared" ca="1" si="130"/>
        <v>3603324640.0047536</v>
      </c>
      <c r="J2311" s="455">
        <f t="array" ref="J2311">IFERROR(INDEX('Retirement Calculator'!K:K,MATCH('Lorri 401b'!N2311,'Retirement Calculator'!A:A,0),0),0)</f>
        <v>0</v>
      </c>
      <c r="K2311" s="455">
        <f t="shared" ca="1" si="128"/>
        <v>15013852.666686473</v>
      </c>
      <c r="L2311" s="455">
        <f t="shared" ca="1" si="129"/>
        <v>3618338492.6714401</v>
      </c>
      <c r="M2311" s="471">
        <f t="shared" si="131"/>
        <v>0.05</v>
      </c>
      <c r="N2311" s="475">
        <f t="shared" si="132"/>
        <v>121383</v>
      </c>
    </row>
    <row r="2312" spans="7:14" ht="11.25" customHeight="1" x14ac:dyDescent="0.3">
      <c r="G2312" s="470"/>
      <c r="H2312" s="470">
        <v>2305</v>
      </c>
      <c r="I2312" s="455">
        <f t="shared" ca="1" si="130"/>
        <v>3618338492.6714401</v>
      </c>
      <c r="J2312" s="455">
        <f t="array" ref="J2312">IFERROR(INDEX('Retirement Calculator'!K:K,MATCH('Lorri 401b'!N2312,'Retirement Calculator'!A:A,0),0),0)</f>
        <v>0</v>
      </c>
      <c r="K2312" s="455">
        <f t="shared" ca="1" si="128"/>
        <v>15076410.386130998</v>
      </c>
      <c r="L2312" s="455">
        <f t="shared" ca="1" si="129"/>
        <v>3633414903.0575709</v>
      </c>
      <c r="M2312" s="471">
        <f t="shared" si="131"/>
        <v>0.05</v>
      </c>
      <c r="N2312" s="475">
        <f t="shared" si="132"/>
        <v>121414</v>
      </c>
    </row>
    <row r="2313" spans="7:14" ht="11.25" customHeight="1" x14ac:dyDescent="0.3">
      <c r="G2313" s="470"/>
      <c r="H2313" s="470">
        <v>2306</v>
      </c>
      <c r="I2313" s="455">
        <f t="shared" ca="1" si="130"/>
        <v>3633414903.0575709</v>
      </c>
      <c r="J2313" s="455">
        <f t="array" ref="J2313">IFERROR(INDEX('Retirement Calculator'!K:K,MATCH('Lorri 401b'!N2313,'Retirement Calculator'!A:A,0),0),0)</f>
        <v>0</v>
      </c>
      <c r="K2313" s="455">
        <f t="shared" ca="1" si="128"/>
        <v>15139228.76273988</v>
      </c>
      <c r="L2313" s="455">
        <f t="shared" ca="1" si="129"/>
        <v>3648554131.8203106</v>
      </c>
      <c r="M2313" s="471">
        <f t="shared" si="131"/>
        <v>0.05</v>
      </c>
      <c r="N2313" s="475">
        <f t="shared" si="132"/>
        <v>121444</v>
      </c>
    </row>
    <row r="2314" spans="7:14" ht="11.25" customHeight="1" x14ac:dyDescent="0.3">
      <c r="G2314" s="470"/>
      <c r="H2314" s="470">
        <v>2307</v>
      </c>
      <c r="I2314" s="455">
        <f t="shared" ca="1" si="130"/>
        <v>3648554131.8203106</v>
      </c>
      <c r="J2314" s="455">
        <f t="array" ref="J2314">IFERROR(INDEX('Retirement Calculator'!K:K,MATCH('Lorri 401b'!N2314,'Retirement Calculator'!A:A,0),0),0)</f>
        <v>0</v>
      </c>
      <c r="K2314" s="455">
        <f t="shared" ca="1" si="128"/>
        <v>15202308.882584628</v>
      </c>
      <c r="L2314" s="455">
        <f t="shared" ca="1" si="129"/>
        <v>3663756440.7028952</v>
      </c>
      <c r="M2314" s="471">
        <f t="shared" si="131"/>
        <v>0.05</v>
      </c>
      <c r="N2314" s="475">
        <f t="shared" si="132"/>
        <v>121475</v>
      </c>
    </row>
    <row r="2315" spans="7:14" ht="11.25" customHeight="1" x14ac:dyDescent="0.3">
      <c r="G2315" s="470"/>
      <c r="H2315" s="470">
        <v>2308</v>
      </c>
      <c r="I2315" s="455">
        <f t="shared" ca="1" si="130"/>
        <v>3663756440.7028952</v>
      </c>
      <c r="J2315" s="455">
        <f t="array" ref="J2315">IFERROR(INDEX('Retirement Calculator'!K:K,MATCH('Lorri 401b'!N2315,'Retirement Calculator'!A:A,0),0),0)</f>
        <v>0</v>
      </c>
      <c r="K2315" s="455">
        <f t="shared" ca="1" si="128"/>
        <v>15265651.836262062</v>
      </c>
      <c r="L2315" s="455">
        <f t="shared" ca="1" si="129"/>
        <v>3679022092.5391574</v>
      </c>
      <c r="M2315" s="471">
        <f t="shared" si="131"/>
        <v>0.05</v>
      </c>
      <c r="N2315" s="475">
        <f t="shared" si="132"/>
        <v>121506</v>
      </c>
    </row>
    <row r="2316" spans="7:14" ht="11.25" customHeight="1" x14ac:dyDescent="0.3">
      <c r="G2316" s="470"/>
      <c r="H2316" s="470">
        <v>2309</v>
      </c>
      <c r="I2316" s="455">
        <f t="shared" ca="1" si="130"/>
        <v>3679022092.5391574</v>
      </c>
      <c r="J2316" s="455">
        <f t="array" ref="J2316">IFERROR(INDEX('Retirement Calculator'!K:K,MATCH('Lorri 401b'!N2316,'Retirement Calculator'!A:A,0),0),0)</f>
        <v>0</v>
      </c>
      <c r="K2316" s="455">
        <f t="shared" ca="1" si="128"/>
        <v>15329258.718913155</v>
      </c>
      <c r="L2316" s="455">
        <f t="shared" ca="1" si="129"/>
        <v>3694351351.2580705</v>
      </c>
      <c r="M2316" s="471">
        <f t="shared" si="131"/>
        <v>0.05</v>
      </c>
      <c r="N2316" s="475">
        <f t="shared" si="132"/>
        <v>121536</v>
      </c>
    </row>
    <row r="2317" spans="7:14" ht="11.25" customHeight="1" x14ac:dyDescent="0.3">
      <c r="G2317" s="470"/>
      <c r="H2317" s="470">
        <v>2310</v>
      </c>
      <c r="I2317" s="455">
        <f t="shared" ca="1" si="130"/>
        <v>3694351351.2580705</v>
      </c>
      <c r="J2317" s="455">
        <f t="array" ref="J2317">IFERROR(INDEX('Retirement Calculator'!K:K,MATCH('Lorri 401b'!N2317,'Retirement Calculator'!A:A,0),0),0)</f>
        <v>0</v>
      </c>
      <c r="K2317" s="455">
        <f t="shared" ca="1" si="128"/>
        <v>15393130.630241958</v>
      </c>
      <c r="L2317" s="455">
        <f t="shared" ca="1" si="129"/>
        <v>3709744481.8883123</v>
      </c>
      <c r="M2317" s="471">
        <f t="shared" si="131"/>
        <v>0.05</v>
      </c>
      <c r="N2317" s="475">
        <f t="shared" si="132"/>
        <v>121567</v>
      </c>
    </row>
    <row r="2318" spans="7:14" ht="11.25" customHeight="1" x14ac:dyDescent="0.3">
      <c r="G2318" s="470"/>
      <c r="H2318" s="470">
        <v>2311</v>
      </c>
      <c r="I2318" s="455">
        <f t="shared" ca="1" si="130"/>
        <v>3709744481.8883123</v>
      </c>
      <c r="J2318" s="455">
        <f t="array" ref="J2318">IFERROR(INDEX('Retirement Calculator'!K:K,MATCH('Lorri 401b'!N2318,'Retirement Calculator'!A:A,0),0),0)</f>
        <v>0</v>
      </c>
      <c r="K2318" s="455">
        <f t="shared" ca="1" si="128"/>
        <v>15457268.674534634</v>
      </c>
      <c r="L2318" s="455">
        <f t="shared" ca="1" si="129"/>
        <v>3725201750.5628471</v>
      </c>
      <c r="M2318" s="471">
        <f t="shared" si="131"/>
        <v>0.05</v>
      </c>
      <c r="N2318" s="475">
        <f t="shared" si="132"/>
        <v>121597</v>
      </c>
    </row>
    <row r="2319" spans="7:14" ht="11.25" customHeight="1" x14ac:dyDescent="0.3">
      <c r="G2319" s="470"/>
      <c r="H2319" s="470">
        <v>2312</v>
      </c>
      <c r="I2319" s="455">
        <f t="shared" ca="1" si="130"/>
        <v>3725201750.5628471</v>
      </c>
      <c r="J2319" s="455">
        <f t="array" ref="J2319">IFERROR(INDEX('Retirement Calculator'!K:K,MATCH('Lorri 401b'!N2319,'Retirement Calculator'!A:A,0),0),0)</f>
        <v>0</v>
      </c>
      <c r="K2319" s="455">
        <f t="shared" ca="1" si="128"/>
        <v>15521673.960678529</v>
      </c>
      <c r="L2319" s="455">
        <f t="shared" ca="1" si="129"/>
        <v>3740723424.5235257</v>
      </c>
      <c r="M2319" s="471">
        <f t="shared" si="131"/>
        <v>0.05</v>
      </c>
      <c r="N2319" s="475">
        <f t="shared" si="132"/>
        <v>121628</v>
      </c>
    </row>
    <row r="2320" spans="7:14" ht="11.25" customHeight="1" x14ac:dyDescent="0.3">
      <c r="G2320" s="470"/>
      <c r="H2320" s="470">
        <v>2313</v>
      </c>
      <c r="I2320" s="455">
        <f t="shared" ca="1" si="130"/>
        <v>3740723424.5235257</v>
      </c>
      <c r="J2320" s="455">
        <f t="array" ref="J2320">IFERROR(INDEX('Retirement Calculator'!K:K,MATCH('Lorri 401b'!N2320,'Retirement Calculator'!A:A,0),0),0)</f>
        <v>0</v>
      </c>
      <c r="K2320" s="455">
        <f t="shared" ca="1" si="128"/>
        <v>15586347.602181355</v>
      </c>
      <c r="L2320" s="455">
        <f t="shared" ca="1" si="129"/>
        <v>3756309772.1257071</v>
      </c>
      <c r="M2320" s="471">
        <f t="shared" si="131"/>
        <v>0.05</v>
      </c>
      <c r="N2320" s="475">
        <f t="shared" si="132"/>
        <v>121659</v>
      </c>
    </row>
    <row r="2321" spans="7:14" ht="11.25" customHeight="1" x14ac:dyDescent="0.3">
      <c r="G2321" s="470"/>
      <c r="H2321" s="470">
        <v>2314</v>
      </c>
      <c r="I2321" s="455">
        <f t="shared" ca="1" si="130"/>
        <v>3756309772.1257071</v>
      </c>
      <c r="J2321" s="455">
        <f t="array" ref="J2321">IFERROR(INDEX('Retirement Calculator'!K:K,MATCH('Lorri 401b'!N2321,'Retirement Calculator'!A:A,0),0),0)</f>
        <v>0</v>
      </c>
      <c r="K2321" s="455">
        <f t="shared" ca="1" si="128"/>
        <v>15651290.717190446</v>
      </c>
      <c r="L2321" s="455">
        <f t="shared" ca="1" si="129"/>
        <v>3771961062.8428974</v>
      </c>
      <c r="M2321" s="471">
        <f t="shared" si="131"/>
        <v>0.05</v>
      </c>
      <c r="N2321" s="475">
        <f t="shared" si="132"/>
        <v>121687</v>
      </c>
    </row>
    <row r="2322" spans="7:14" ht="11.25" customHeight="1" x14ac:dyDescent="0.3">
      <c r="G2322" s="470"/>
      <c r="H2322" s="470">
        <v>2315</v>
      </c>
      <c r="I2322" s="455">
        <f t="shared" ca="1" si="130"/>
        <v>3771961062.8428974</v>
      </c>
      <c r="J2322" s="455">
        <f t="array" ref="J2322">IFERROR(INDEX('Retirement Calculator'!K:K,MATCH('Lorri 401b'!N2322,'Retirement Calculator'!A:A,0),0),0)</f>
        <v>0</v>
      </c>
      <c r="K2322" s="455">
        <f t="shared" ca="1" si="128"/>
        <v>15716504.428512072</v>
      </c>
      <c r="L2322" s="455">
        <f t="shared" ca="1" si="129"/>
        <v>3787677567.2714095</v>
      </c>
      <c r="M2322" s="471">
        <f t="shared" si="131"/>
        <v>0.05</v>
      </c>
      <c r="N2322" s="475">
        <f t="shared" si="132"/>
        <v>121718</v>
      </c>
    </row>
    <row r="2323" spans="7:14" ht="11.25" customHeight="1" x14ac:dyDescent="0.3">
      <c r="G2323" s="470"/>
      <c r="H2323" s="470">
        <v>2316</v>
      </c>
      <c r="I2323" s="455">
        <f t="shared" ca="1" si="130"/>
        <v>3787677567.2714095</v>
      </c>
      <c r="J2323" s="455">
        <f t="array" ref="J2323">IFERROR(INDEX('Retirement Calculator'!K:K,MATCH('Lorri 401b'!N2323,'Retirement Calculator'!A:A,0),0),0)</f>
        <v>0</v>
      </c>
      <c r="K2323" s="455">
        <f t="shared" ca="1" si="128"/>
        <v>15781989.86363087</v>
      </c>
      <c r="L2323" s="455">
        <f t="shared" ca="1" si="129"/>
        <v>3803459557.1350403</v>
      </c>
      <c r="M2323" s="471">
        <f t="shared" si="131"/>
        <v>0.05</v>
      </c>
      <c r="N2323" s="475">
        <f t="shared" si="132"/>
        <v>121748</v>
      </c>
    </row>
    <row r="2324" spans="7:14" ht="11.25" customHeight="1" x14ac:dyDescent="0.3">
      <c r="G2324" s="470"/>
      <c r="H2324" s="470">
        <v>2317</v>
      </c>
      <c r="I2324" s="455">
        <f t="shared" ca="1" si="130"/>
        <v>3803459557.1350403</v>
      </c>
      <c r="J2324" s="455">
        <f t="array" ref="J2324">IFERROR(INDEX('Retirement Calculator'!K:K,MATCH('Lorri 401b'!N2324,'Retirement Calculator'!A:A,0),0),0)</f>
        <v>0</v>
      </c>
      <c r="K2324" s="455">
        <f t="shared" ca="1" si="128"/>
        <v>15847748.154729335</v>
      </c>
      <c r="L2324" s="455">
        <f t="shared" ca="1" si="129"/>
        <v>3819307305.2897696</v>
      </c>
      <c r="M2324" s="471">
        <f t="shared" si="131"/>
        <v>0.05</v>
      </c>
      <c r="N2324" s="475">
        <f t="shared" si="132"/>
        <v>121779</v>
      </c>
    </row>
    <row r="2325" spans="7:14" ht="11.25" customHeight="1" x14ac:dyDescent="0.3">
      <c r="G2325" s="470"/>
      <c r="H2325" s="470">
        <v>2318</v>
      </c>
      <c r="I2325" s="455">
        <f t="shared" ca="1" si="130"/>
        <v>3819307305.2897696</v>
      </c>
      <c r="J2325" s="455">
        <f t="array" ref="J2325">IFERROR(INDEX('Retirement Calculator'!K:K,MATCH('Lorri 401b'!N2325,'Retirement Calculator'!A:A,0),0),0)</f>
        <v>0</v>
      </c>
      <c r="K2325" s="455">
        <f t="shared" ca="1" si="128"/>
        <v>15913780.438707376</v>
      </c>
      <c r="L2325" s="455">
        <f t="shared" ca="1" si="129"/>
        <v>3835221085.728477</v>
      </c>
      <c r="M2325" s="471">
        <f t="shared" si="131"/>
        <v>0.05</v>
      </c>
      <c r="N2325" s="475">
        <f t="shared" si="132"/>
        <v>121809</v>
      </c>
    </row>
    <row r="2326" spans="7:14" ht="11.25" customHeight="1" x14ac:dyDescent="0.3">
      <c r="G2326" s="470"/>
      <c r="H2326" s="470">
        <v>2319</v>
      </c>
      <c r="I2326" s="455">
        <f t="shared" ca="1" si="130"/>
        <v>3835221085.728477</v>
      </c>
      <c r="J2326" s="455">
        <f t="array" ref="J2326">IFERROR(INDEX('Retirement Calculator'!K:K,MATCH('Lorri 401b'!N2326,'Retirement Calculator'!A:A,0),0),0)</f>
        <v>0</v>
      </c>
      <c r="K2326" s="455">
        <f t="shared" ca="1" si="128"/>
        <v>15980087.85720199</v>
      </c>
      <c r="L2326" s="455">
        <f t="shared" ca="1" si="129"/>
        <v>3851201173.5856791</v>
      </c>
      <c r="M2326" s="471">
        <f t="shared" si="131"/>
        <v>0.05</v>
      </c>
      <c r="N2326" s="475">
        <f t="shared" si="132"/>
        <v>121840</v>
      </c>
    </row>
    <row r="2327" spans="7:14" ht="11.25" customHeight="1" x14ac:dyDescent="0.3">
      <c r="G2327" s="470"/>
      <c r="H2327" s="470">
        <v>2320</v>
      </c>
      <c r="I2327" s="455">
        <f t="shared" ca="1" si="130"/>
        <v>3851201173.5856791</v>
      </c>
      <c r="J2327" s="455">
        <f t="array" ref="J2327">IFERROR(INDEX('Retirement Calculator'!K:K,MATCH('Lorri 401b'!N2327,'Retirement Calculator'!A:A,0),0),0)</f>
        <v>0</v>
      </c>
      <c r="K2327" s="455">
        <f t="shared" ca="1" si="128"/>
        <v>16046671.556606995</v>
      </c>
      <c r="L2327" s="455">
        <f t="shared" ca="1" si="129"/>
        <v>3867247845.1422858</v>
      </c>
      <c r="M2327" s="471">
        <f t="shared" si="131"/>
        <v>0.05</v>
      </c>
      <c r="N2327" s="475">
        <f t="shared" si="132"/>
        <v>121871</v>
      </c>
    </row>
    <row r="2328" spans="7:14" ht="11.25" customHeight="1" x14ac:dyDescent="0.3">
      <c r="G2328" s="470"/>
      <c r="H2328" s="470">
        <v>2321</v>
      </c>
      <c r="I2328" s="455">
        <f t="shared" ca="1" si="130"/>
        <v>3867247845.1422858</v>
      </c>
      <c r="J2328" s="455">
        <f t="array" ref="J2328">IFERROR(INDEX('Retirement Calculator'!K:K,MATCH('Lorri 401b'!N2328,'Retirement Calculator'!A:A,0),0),0)</f>
        <v>0</v>
      </c>
      <c r="K2328" s="455">
        <f t="shared" ca="1" si="128"/>
        <v>16113532.688092859</v>
      </c>
      <c r="L2328" s="455">
        <f t="shared" ca="1" si="129"/>
        <v>3883361377.8303785</v>
      </c>
      <c r="M2328" s="471">
        <f t="shared" si="131"/>
        <v>0.05</v>
      </c>
      <c r="N2328" s="475">
        <f t="shared" si="132"/>
        <v>121901</v>
      </c>
    </row>
    <row r="2329" spans="7:14" ht="11.25" customHeight="1" x14ac:dyDescent="0.3">
      <c r="G2329" s="470"/>
      <c r="H2329" s="470">
        <v>2322</v>
      </c>
      <c r="I2329" s="455">
        <f t="shared" ca="1" si="130"/>
        <v>3883361377.8303785</v>
      </c>
      <c r="J2329" s="455">
        <f t="array" ref="J2329">IFERROR(INDEX('Retirement Calculator'!K:K,MATCH('Lorri 401b'!N2329,'Retirement Calculator'!A:A,0),0),0)</f>
        <v>0</v>
      </c>
      <c r="K2329" s="455">
        <f t="shared" ca="1" si="128"/>
        <v>16180672.407626579</v>
      </c>
      <c r="L2329" s="455">
        <f t="shared" ca="1" si="129"/>
        <v>3899542050.2380052</v>
      </c>
      <c r="M2329" s="471">
        <f t="shared" si="131"/>
        <v>0.05</v>
      </c>
      <c r="N2329" s="475">
        <f t="shared" si="132"/>
        <v>121932</v>
      </c>
    </row>
    <row r="2330" spans="7:14" ht="11.25" customHeight="1" x14ac:dyDescent="0.3">
      <c r="G2330" s="470"/>
      <c r="H2330" s="470">
        <v>2323</v>
      </c>
      <c r="I2330" s="455">
        <f t="shared" ca="1" si="130"/>
        <v>3899542050.2380052</v>
      </c>
      <c r="J2330" s="455">
        <f t="array" ref="J2330">IFERROR(INDEX('Retirement Calculator'!K:K,MATCH('Lorri 401b'!N2330,'Retirement Calculator'!A:A,0),0),0)</f>
        <v>0</v>
      </c>
      <c r="K2330" s="455">
        <f t="shared" ca="1" si="128"/>
        <v>16248091.875991687</v>
      </c>
      <c r="L2330" s="455">
        <f t="shared" ca="1" si="129"/>
        <v>3915790142.113997</v>
      </c>
      <c r="M2330" s="471">
        <f t="shared" si="131"/>
        <v>0.05</v>
      </c>
      <c r="N2330" s="475">
        <f t="shared" si="132"/>
        <v>121962</v>
      </c>
    </row>
    <row r="2331" spans="7:14" ht="11.25" customHeight="1" x14ac:dyDescent="0.3">
      <c r="G2331" s="470"/>
      <c r="H2331" s="470">
        <v>2324</v>
      </c>
      <c r="I2331" s="455">
        <f t="shared" ca="1" si="130"/>
        <v>3915790142.113997</v>
      </c>
      <c r="J2331" s="455">
        <f t="array" ref="J2331">IFERROR(INDEX('Retirement Calculator'!K:K,MATCH('Lorri 401b'!N2331,'Retirement Calculator'!A:A,0),0),0)</f>
        <v>0</v>
      </c>
      <c r="K2331" s="455">
        <f t="shared" ca="1" si="128"/>
        <v>16315792.258808322</v>
      </c>
      <c r="L2331" s="455">
        <f t="shared" ca="1" si="129"/>
        <v>3932105934.3728051</v>
      </c>
      <c r="M2331" s="471">
        <f t="shared" si="131"/>
        <v>0.05</v>
      </c>
      <c r="N2331" s="475">
        <f t="shared" si="132"/>
        <v>121993</v>
      </c>
    </row>
    <row r="2332" spans="7:14" ht="11.25" customHeight="1" x14ac:dyDescent="0.3">
      <c r="G2332" s="470"/>
      <c r="H2332" s="470">
        <v>2325</v>
      </c>
      <c r="I2332" s="455">
        <f t="shared" ca="1" si="130"/>
        <v>3932105934.3728051</v>
      </c>
      <c r="J2332" s="455">
        <f t="array" ref="J2332">IFERROR(INDEX('Retirement Calculator'!K:K,MATCH('Lorri 401b'!N2332,'Retirement Calculator'!A:A,0),0),0)</f>
        <v>0</v>
      </c>
      <c r="K2332" s="455">
        <f t="shared" ca="1" si="128"/>
        <v>16383774.726553354</v>
      </c>
      <c r="L2332" s="455">
        <f t="shared" ca="1" si="129"/>
        <v>3948489709.0993586</v>
      </c>
      <c r="M2332" s="471">
        <f t="shared" si="131"/>
        <v>0.05</v>
      </c>
      <c r="N2332" s="475">
        <f t="shared" si="132"/>
        <v>122024</v>
      </c>
    </row>
    <row r="2333" spans="7:14" ht="11.25" customHeight="1" x14ac:dyDescent="0.3">
      <c r="G2333" s="470"/>
      <c r="H2333" s="470">
        <v>2326</v>
      </c>
      <c r="I2333" s="455">
        <f t="shared" ca="1" si="130"/>
        <v>3948489709.0993586</v>
      </c>
      <c r="J2333" s="455">
        <f t="array" ref="J2333">IFERROR(INDEX('Retirement Calculator'!K:K,MATCH('Lorri 401b'!N2333,'Retirement Calculator'!A:A,0),0),0)</f>
        <v>0</v>
      </c>
      <c r="K2333" s="455">
        <f t="shared" ca="1" si="128"/>
        <v>16452040.454580661</v>
      </c>
      <c r="L2333" s="455">
        <f t="shared" ca="1" si="129"/>
        <v>3964941749.5539393</v>
      </c>
      <c r="M2333" s="471">
        <f t="shared" si="131"/>
        <v>0.05</v>
      </c>
      <c r="N2333" s="475">
        <f t="shared" si="132"/>
        <v>122052</v>
      </c>
    </row>
    <row r="2334" spans="7:14" ht="11.25" customHeight="1" x14ac:dyDescent="0.3">
      <c r="G2334" s="470"/>
      <c r="H2334" s="470">
        <v>2327</v>
      </c>
      <c r="I2334" s="455">
        <f t="shared" ca="1" si="130"/>
        <v>3964941749.5539393</v>
      </c>
      <c r="J2334" s="455">
        <f t="array" ref="J2334">IFERROR(INDEX('Retirement Calculator'!K:K,MATCH('Lorri 401b'!N2334,'Retirement Calculator'!A:A,0),0),0)</f>
        <v>0</v>
      </c>
      <c r="K2334" s="455">
        <f t="shared" ca="1" si="128"/>
        <v>16520590.623141414</v>
      </c>
      <c r="L2334" s="455">
        <f t="shared" ca="1" si="129"/>
        <v>3981462340.1770806</v>
      </c>
      <c r="M2334" s="471">
        <f t="shared" si="131"/>
        <v>0.05</v>
      </c>
      <c r="N2334" s="475">
        <f t="shared" si="132"/>
        <v>122083</v>
      </c>
    </row>
    <row r="2335" spans="7:14" ht="11.25" customHeight="1" x14ac:dyDescent="0.3">
      <c r="G2335" s="470"/>
      <c r="H2335" s="470">
        <v>2328</v>
      </c>
      <c r="I2335" s="455">
        <f t="shared" ca="1" si="130"/>
        <v>3981462340.1770806</v>
      </c>
      <c r="J2335" s="455">
        <f t="array" ref="J2335">IFERROR(INDEX('Retirement Calculator'!K:K,MATCH('Lorri 401b'!N2335,'Retirement Calculator'!A:A,0),0),0)</f>
        <v>0</v>
      </c>
      <c r="K2335" s="455">
        <f t="shared" ca="1" si="128"/>
        <v>16589426.417404503</v>
      </c>
      <c r="L2335" s="455">
        <f t="shared" ca="1" si="129"/>
        <v>3998051766.5944853</v>
      </c>
      <c r="M2335" s="471">
        <f t="shared" si="131"/>
        <v>0.05</v>
      </c>
      <c r="N2335" s="475">
        <f t="shared" si="132"/>
        <v>122113</v>
      </c>
    </row>
    <row r="2336" spans="7:14" ht="11.25" customHeight="1" x14ac:dyDescent="0.3">
      <c r="G2336" s="470"/>
      <c r="H2336" s="470">
        <v>2329</v>
      </c>
      <c r="I2336" s="455">
        <f t="shared" ca="1" si="130"/>
        <v>3998051766.5944853</v>
      </c>
      <c r="J2336" s="455">
        <f t="array" ref="J2336">IFERROR(INDEX('Retirement Calculator'!K:K,MATCH('Lorri 401b'!N2336,'Retirement Calculator'!A:A,0),0),0)</f>
        <v>0</v>
      </c>
      <c r="K2336" s="455">
        <f t="shared" ca="1" si="128"/>
        <v>16658549.027477022</v>
      </c>
      <c r="L2336" s="455">
        <f t="shared" ca="1" si="129"/>
        <v>4014710315.6219621</v>
      </c>
      <c r="M2336" s="471">
        <f t="shared" si="131"/>
        <v>0.05</v>
      </c>
      <c r="N2336" s="475">
        <f t="shared" si="132"/>
        <v>122144</v>
      </c>
    </row>
    <row r="2337" spans="7:14" ht="11.25" customHeight="1" x14ac:dyDescent="0.3">
      <c r="G2337" s="470"/>
      <c r="H2337" s="470">
        <v>2330</v>
      </c>
      <c r="I2337" s="455">
        <f t="shared" ca="1" si="130"/>
        <v>4014710315.6219621</v>
      </c>
      <c r="J2337" s="455">
        <f t="array" ref="J2337">IFERROR(INDEX('Retirement Calculator'!K:K,MATCH('Lorri 401b'!N2337,'Retirement Calculator'!A:A,0),0),0)</f>
        <v>0</v>
      </c>
      <c r="K2337" s="455">
        <f t="shared" ca="1" si="128"/>
        <v>16727959.648424841</v>
      </c>
      <c r="L2337" s="455">
        <f t="shared" ca="1" si="129"/>
        <v>4031438275.2703867</v>
      </c>
      <c r="M2337" s="471">
        <f t="shared" si="131"/>
        <v>0.05</v>
      </c>
      <c r="N2337" s="475">
        <f t="shared" si="132"/>
        <v>122174</v>
      </c>
    </row>
    <row r="2338" spans="7:14" ht="11.25" customHeight="1" x14ac:dyDescent="0.3">
      <c r="G2338" s="470"/>
      <c r="H2338" s="470">
        <v>2331</v>
      </c>
      <c r="I2338" s="455">
        <f t="shared" ca="1" si="130"/>
        <v>4031438275.2703867</v>
      </c>
      <c r="J2338" s="455">
        <f t="array" ref="J2338">IFERROR(INDEX('Retirement Calculator'!K:K,MATCH('Lorri 401b'!N2338,'Retirement Calculator'!A:A,0),0),0)</f>
        <v>0</v>
      </c>
      <c r="K2338" s="455">
        <f t="shared" ca="1" si="128"/>
        <v>16797659.480293278</v>
      </c>
      <c r="L2338" s="455">
        <f t="shared" ca="1" si="129"/>
        <v>4048235934.75068</v>
      </c>
      <c r="M2338" s="471">
        <f t="shared" si="131"/>
        <v>0.05</v>
      </c>
      <c r="N2338" s="475">
        <f t="shared" si="132"/>
        <v>122205</v>
      </c>
    </row>
    <row r="2339" spans="7:14" ht="11.25" customHeight="1" x14ac:dyDescent="0.3">
      <c r="G2339" s="470"/>
      <c r="H2339" s="470">
        <v>2332</v>
      </c>
      <c r="I2339" s="455">
        <f t="shared" ca="1" si="130"/>
        <v>4048235934.75068</v>
      </c>
      <c r="J2339" s="455">
        <f t="array" ref="J2339">IFERROR(INDEX('Retirement Calculator'!K:K,MATCH('Lorri 401b'!N2339,'Retirement Calculator'!A:A,0),0),0)</f>
        <v>0</v>
      </c>
      <c r="K2339" s="455">
        <f t="shared" ca="1" si="128"/>
        <v>16867649.728127833</v>
      </c>
      <c r="L2339" s="455">
        <f t="shared" ca="1" si="129"/>
        <v>4065103584.4788079</v>
      </c>
      <c r="M2339" s="471">
        <f t="shared" si="131"/>
        <v>0.05</v>
      </c>
      <c r="N2339" s="475">
        <f t="shared" si="132"/>
        <v>122236</v>
      </c>
    </row>
    <row r="2340" spans="7:14" ht="11.25" customHeight="1" x14ac:dyDescent="0.3">
      <c r="G2340" s="470"/>
      <c r="H2340" s="470">
        <v>2333</v>
      </c>
      <c r="I2340" s="455">
        <f t="shared" ca="1" si="130"/>
        <v>4065103584.4788079</v>
      </c>
      <c r="J2340" s="455">
        <f t="array" ref="J2340">IFERROR(INDEX('Retirement Calculator'!K:K,MATCH('Lorri 401b'!N2340,'Retirement Calculator'!A:A,0),0),0)</f>
        <v>0</v>
      </c>
      <c r="K2340" s="455">
        <f t="shared" ca="1" si="128"/>
        <v>16937931.601995032</v>
      </c>
      <c r="L2340" s="455">
        <f t="shared" ca="1" si="129"/>
        <v>4082041516.0808029</v>
      </c>
      <c r="M2340" s="471">
        <f t="shared" si="131"/>
        <v>0.05</v>
      </c>
      <c r="N2340" s="475">
        <f t="shared" si="132"/>
        <v>122266</v>
      </c>
    </row>
    <row r="2341" spans="7:14" ht="11.25" customHeight="1" x14ac:dyDescent="0.3">
      <c r="G2341" s="470"/>
      <c r="H2341" s="470">
        <v>2334</v>
      </c>
      <c r="I2341" s="455">
        <f t="shared" ca="1" si="130"/>
        <v>4082041516.0808029</v>
      </c>
      <c r="J2341" s="455">
        <f t="array" ref="J2341">IFERROR(INDEX('Retirement Calculator'!K:K,MATCH('Lorri 401b'!N2341,'Retirement Calculator'!A:A,0),0),0)</f>
        <v>0</v>
      </c>
      <c r="K2341" s="455">
        <f t="shared" ca="1" si="128"/>
        <v>17008506.317003347</v>
      </c>
      <c r="L2341" s="455">
        <f t="shared" ca="1" si="129"/>
        <v>4099050022.3978062</v>
      </c>
      <c r="M2341" s="471">
        <f t="shared" si="131"/>
        <v>0.05</v>
      </c>
      <c r="N2341" s="475">
        <f t="shared" si="132"/>
        <v>122297</v>
      </c>
    </row>
    <row r="2342" spans="7:14" ht="11.25" customHeight="1" x14ac:dyDescent="0.3">
      <c r="G2342" s="470"/>
      <c r="H2342" s="470">
        <v>2335</v>
      </c>
      <c r="I2342" s="455">
        <f t="shared" ca="1" si="130"/>
        <v>4099050022.3978062</v>
      </c>
      <c r="J2342" s="455">
        <f t="array" ref="J2342">IFERROR(INDEX('Retirement Calculator'!K:K,MATCH('Lorri 401b'!N2342,'Retirement Calculator'!A:A,0),0),0)</f>
        <v>0</v>
      </c>
      <c r="K2342" s="455">
        <f t="shared" ca="1" si="128"/>
        <v>17079375.093324192</v>
      </c>
      <c r="L2342" s="455">
        <f t="shared" ca="1" si="129"/>
        <v>4116129397.4911304</v>
      </c>
      <c r="M2342" s="471">
        <f t="shared" si="131"/>
        <v>0.05</v>
      </c>
      <c r="N2342" s="475">
        <f t="shared" si="132"/>
        <v>122327</v>
      </c>
    </row>
    <row r="2343" spans="7:14" ht="11.25" customHeight="1" x14ac:dyDescent="0.3">
      <c r="G2343" s="470"/>
      <c r="H2343" s="470">
        <v>2336</v>
      </c>
      <c r="I2343" s="455">
        <f t="shared" ca="1" si="130"/>
        <v>4116129397.4911304</v>
      </c>
      <c r="J2343" s="455">
        <f t="array" ref="J2343">IFERROR(INDEX('Retirement Calculator'!K:K,MATCH('Lorri 401b'!N2343,'Retirement Calculator'!A:A,0),0),0)</f>
        <v>0</v>
      </c>
      <c r="K2343" s="455">
        <f t="shared" ca="1" si="128"/>
        <v>17150539.156213041</v>
      </c>
      <c r="L2343" s="455">
        <f t="shared" ca="1" si="129"/>
        <v>4133279936.6473432</v>
      </c>
      <c r="M2343" s="471">
        <f t="shared" si="131"/>
        <v>0.05</v>
      </c>
      <c r="N2343" s="475">
        <f t="shared" si="132"/>
        <v>122358</v>
      </c>
    </row>
    <row r="2344" spans="7:14" ht="11.25" customHeight="1" x14ac:dyDescent="0.3">
      <c r="G2344" s="470"/>
      <c r="H2344" s="470">
        <v>2337</v>
      </c>
      <c r="I2344" s="455">
        <f t="shared" ca="1" si="130"/>
        <v>4133279936.6473432</v>
      </c>
      <c r="J2344" s="455">
        <f t="array" ref="J2344">IFERROR(INDEX('Retirement Calculator'!K:K,MATCH('Lorri 401b'!N2344,'Retirement Calculator'!A:A,0),0),0)</f>
        <v>0</v>
      </c>
      <c r="K2344" s="455">
        <f t="shared" ca="1" si="128"/>
        <v>17221999.736030597</v>
      </c>
      <c r="L2344" s="455">
        <f t="shared" ca="1" si="129"/>
        <v>4150501936.3833737</v>
      </c>
      <c r="M2344" s="471">
        <f t="shared" si="131"/>
        <v>0.05</v>
      </c>
      <c r="N2344" s="475">
        <f t="shared" si="132"/>
        <v>122389</v>
      </c>
    </row>
    <row r="2345" spans="7:14" ht="11.25" customHeight="1" x14ac:dyDescent="0.3">
      <c r="G2345" s="470"/>
      <c r="H2345" s="470">
        <v>2338</v>
      </c>
      <c r="I2345" s="455">
        <f t="shared" ca="1" si="130"/>
        <v>4150501936.3833737</v>
      </c>
      <c r="J2345" s="455">
        <f t="array" ref="J2345">IFERROR(INDEX('Retirement Calculator'!K:K,MATCH('Lorri 401b'!N2345,'Retirement Calculator'!A:A,0),0),0)</f>
        <v>0</v>
      </c>
      <c r="K2345" s="455">
        <f t="shared" ca="1" si="128"/>
        <v>17293758.068264056</v>
      </c>
      <c r="L2345" s="455">
        <f t="shared" ca="1" si="129"/>
        <v>4167795694.4516377</v>
      </c>
      <c r="M2345" s="471">
        <f t="shared" si="131"/>
        <v>0.05</v>
      </c>
      <c r="N2345" s="475">
        <f t="shared" si="132"/>
        <v>122417</v>
      </c>
    </row>
    <row r="2346" spans="7:14" ht="11.25" customHeight="1" x14ac:dyDescent="0.3">
      <c r="G2346" s="470"/>
      <c r="H2346" s="470">
        <v>2339</v>
      </c>
      <c r="I2346" s="455">
        <f t="shared" ca="1" si="130"/>
        <v>4167795694.4516377</v>
      </c>
      <c r="J2346" s="455">
        <f t="array" ref="J2346">IFERROR(INDEX('Retirement Calculator'!K:K,MATCH('Lorri 401b'!N2346,'Retirement Calculator'!A:A,0),0),0)</f>
        <v>0</v>
      </c>
      <c r="K2346" s="455">
        <f t="shared" ca="1" si="128"/>
        <v>17365815.393548489</v>
      </c>
      <c r="L2346" s="455">
        <f t="shared" ca="1" si="129"/>
        <v>4185161509.8451862</v>
      </c>
      <c r="M2346" s="471">
        <f t="shared" si="131"/>
        <v>0.05</v>
      </c>
      <c r="N2346" s="475">
        <f t="shared" si="132"/>
        <v>122448</v>
      </c>
    </row>
    <row r="2347" spans="7:14" ht="11.25" customHeight="1" x14ac:dyDescent="0.3">
      <c r="G2347" s="470"/>
      <c r="H2347" s="470">
        <v>2340</v>
      </c>
      <c r="I2347" s="455">
        <f t="shared" ca="1" si="130"/>
        <v>4185161509.8451862</v>
      </c>
      <c r="J2347" s="455">
        <f t="array" ref="J2347">IFERROR(INDEX('Retirement Calculator'!K:K,MATCH('Lorri 401b'!N2347,'Retirement Calculator'!A:A,0),0),0)</f>
        <v>0</v>
      </c>
      <c r="K2347" s="455">
        <f t="shared" ca="1" si="128"/>
        <v>17438172.957688279</v>
      </c>
      <c r="L2347" s="455">
        <f t="shared" ca="1" si="129"/>
        <v>4202599682.8028746</v>
      </c>
      <c r="M2347" s="471">
        <f t="shared" si="131"/>
        <v>0.05</v>
      </c>
      <c r="N2347" s="475">
        <f t="shared" si="132"/>
        <v>122478</v>
      </c>
    </row>
    <row r="2348" spans="7:14" ht="11.25" customHeight="1" x14ac:dyDescent="0.3">
      <c r="G2348" s="470"/>
      <c r="H2348" s="470">
        <v>2341</v>
      </c>
      <c r="I2348" s="455">
        <f t="shared" ca="1" si="130"/>
        <v>4202599682.8028746</v>
      </c>
      <c r="J2348" s="455">
        <f t="array" ref="J2348">IFERROR(INDEX('Retirement Calculator'!K:K,MATCH('Lorri 401b'!N2348,'Retirement Calculator'!A:A,0),0),0)</f>
        <v>0</v>
      </c>
      <c r="K2348" s="455">
        <f t="shared" ca="1" si="128"/>
        <v>17510832.011678644</v>
      </c>
      <c r="L2348" s="455">
        <f t="shared" ca="1" si="129"/>
        <v>4220110514.8145533</v>
      </c>
      <c r="M2348" s="471">
        <f t="shared" si="131"/>
        <v>0.05</v>
      </c>
      <c r="N2348" s="475">
        <f t="shared" si="132"/>
        <v>122509</v>
      </c>
    </row>
    <row r="2349" spans="7:14" ht="11.25" customHeight="1" x14ac:dyDescent="0.3">
      <c r="G2349" s="470"/>
      <c r="H2349" s="470">
        <v>2342</v>
      </c>
      <c r="I2349" s="455">
        <f t="shared" ca="1" si="130"/>
        <v>4220110514.8145533</v>
      </c>
      <c r="J2349" s="455">
        <f t="array" ref="J2349">IFERROR(INDEX('Retirement Calculator'!K:K,MATCH('Lorri 401b'!N2349,'Retirement Calculator'!A:A,0),0),0)</f>
        <v>0</v>
      </c>
      <c r="K2349" s="455">
        <f t="shared" ca="1" si="128"/>
        <v>17583793.811727304</v>
      </c>
      <c r="L2349" s="455">
        <f t="shared" ca="1" si="129"/>
        <v>4237694308.6262808</v>
      </c>
      <c r="M2349" s="471">
        <f t="shared" si="131"/>
        <v>0.05</v>
      </c>
      <c r="N2349" s="475">
        <f t="shared" si="132"/>
        <v>122539</v>
      </c>
    </row>
    <row r="2350" spans="7:14" ht="11.25" customHeight="1" x14ac:dyDescent="0.3">
      <c r="G2350" s="470"/>
      <c r="H2350" s="470">
        <v>2343</v>
      </c>
      <c r="I2350" s="455">
        <f t="shared" ca="1" si="130"/>
        <v>4237694308.6262808</v>
      </c>
      <c r="J2350" s="455">
        <f t="array" ref="J2350">IFERROR(INDEX('Retirement Calculator'!K:K,MATCH('Lorri 401b'!N2350,'Retirement Calculator'!A:A,0),0),0)</f>
        <v>0</v>
      </c>
      <c r="K2350" s="455">
        <f t="shared" ca="1" si="128"/>
        <v>17657059.61927617</v>
      </c>
      <c r="L2350" s="455">
        <f t="shared" ca="1" si="129"/>
        <v>4255351368.2455568</v>
      </c>
      <c r="M2350" s="471">
        <f t="shared" si="131"/>
        <v>0.05</v>
      </c>
      <c r="N2350" s="475">
        <f t="shared" si="132"/>
        <v>122570</v>
      </c>
    </row>
    <row r="2351" spans="7:14" ht="11.25" customHeight="1" x14ac:dyDescent="0.3">
      <c r="G2351" s="470"/>
      <c r="H2351" s="470">
        <v>2344</v>
      </c>
      <c r="I2351" s="455">
        <f t="shared" ca="1" si="130"/>
        <v>4255351368.2455568</v>
      </c>
      <c r="J2351" s="455">
        <f t="array" ref="J2351">IFERROR(INDEX('Retirement Calculator'!K:K,MATCH('Lorri 401b'!N2351,'Retirement Calculator'!A:A,0),0),0)</f>
        <v>0</v>
      </c>
      <c r="K2351" s="455">
        <f t="shared" ca="1" si="128"/>
        <v>17730630.701023154</v>
      </c>
      <c r="L2351" s="455">
        <f t="shared" ca="1" si="129"/>
        <v>4273081998.9465799</v>
      </c>
      <c r="M2351" s="471">
        <f t="shared" si="131"/>
        <v>0.05</v>
      </c>
      <c r="N2351" s="475">
        <f t="shared" si="132"/>
        <v>122601</v>
      </c>
    </row>
    <row r="2352" spans="7:14" ht="11.25" customHeight="1" x14ac:dyDescent="0.3">
      <c r="G2352" s="470"/>
      <c r="H2352" s="470">
        <v>2345</v>
      </c>
      <c r="I2352" s="455">
        <f t="shared" ca="1" si="130"/>
        <v>4273081998.9465799</v>
      </c>
      <c r="J2352" s="455">
        <f t="array" ref="J2352">IFERROR(INDEX('Retirement Calculator'!K:K,MATCH('Lorri 401b'!N2352,'Retirement Calculator'!A:A,0),0),0)</f>
        <v>0</v>
      </c>
      <c r="K2352" s="455">
        <f t="shared" ca="1" si="128"/>
        <v>17804508.328944083</v>
      </c>
      <c r="L2352" s="455">
        <f t="shared" ca="1" si="129"/>
        <v>4290886507.2755241</v>
      </c>
      <c r="M2352" s="471">
        <f t="shared" si="131"/>
        <v>0.05</v>
      </c>
      <c r="N2352" s="475">
        <f t="shared" si="132"/>
        <v>122631</v>
      </c>
    </row>
    <row r="2353" spans="7:14" ht="11.25" customHeight="1" x14ac:dyDescent="0.3">
      <c r="G2353" s="470"/>
      <c r="H2353" s="470">
        <v>2346</v>
      </c>
      <c r="I2353" s="455">
        <f t="shared" ca="1" si="130"/>
        <v>4290886507.2755241</v>
      </c>
      <c r="J2353" s="455">
        <f t="array" ref="J2353">IFERROR(INDEX('Retirement Calculator'!K:K,MATCH('Lorri 401b'!N2353,'Retirement Calculator'!A:A,0),0),0)</f>
        <v>0</v>
      </c>
      <c r="K2353" s="455">
        <f t="shared" ca="1" si="128"/>
        <v>17878693.780314684</v>
      </c>
      <c r="L2353" s="455">
        <f t="shared" ca="1" si="129"/>
        <v>4308765201.0558386</v>
      </c>
      <c r="M2353" s="471">
        <f t="shared" si="131"/>
        <v>0.05</v>
      </c>
      <c r="N2353" s="475">
        <f t="shared" si="132"/>
        <v>122662</v>
      </c>
    </row>
    <row r="2354" spans="7:14" ht="11.25" customHeight="1" x14ac:dyDescent="0.3">
      <c r="G2354" s="470"/>
      <c r="H2354" s="470">
        <v>2347</v>
      </c>
      <c r="I2354" s="455">
        <f t="shared" ca="1" si="130"/>
        <v>4308765201.0558386</v>
      </c>
      <c r="J2354" s="455">
        <f t="array" ref="J2354">IFERROR(INDEX('Retirement Calculator'!K:K,MATCH('Lorri 401b'!N2354,'Retirement Calculator'!A:A,0),0),0)</f>
        <v>0</v>
      </c>
      <c r="K2354" s="455">
        <f t="shared" ca="1" si="128"/>
        <v>17953188.337732662</v>
      </c>
      <c r="L2354" s="455">
        <f t="shared" ca="1" si="129"/>
        <v>4326718389.3935709</v>
      </c>
      <c r="M2354" s="471">
        <f t="shared" si="131"/>
        <v>0.05</v>
      </c>
      <c r="N2354" s="475">
        <f t="shared" si="132"/>
        <v>122692</v>
      </c>
    </row>
    <row r="2355" spans="7:14" ht="11.25" customHeight="1" x14ac:dyDescent="0.3">
      <c r="G2355" s="470"/>
      <c r="H2355" s="470">
        <v>2348</v>
      </c>
      <c r="I2355" s="455">
        <f t="shared" ca="1" si="130"/>
        <v>4326718389.3935709</v>
      </c>
      <c r="J2355" s="455">
        <f t="array" ref="J2355">IFERROR(INDEX('Retirement Calculator'!K:K,MATCH('Lorri 401b'!N2355,'Retirement Calculator'!A:A,0),0),0)</f>
        <v>0</v>
      </c>
      <c r="K2355" s="455">
        <f t="shared" ca="1" si="128"/>
        <v>18027993.289139878</v>
      </c>
      <c r="L2355" s="455">
        <f t="shared" ca="1" si="129"/>
        <v>4344746382.6827106</v>
      </c>
      <c r="M2355" s="471">
        <f t="shared" si="131"/>
        <v>0.05</v>
      </c>
      <c r="N2355" s="475">
        <f t="shared" si="132"/>
        <v>122723</v>
      </c>
    </row>
    <row r="2356" spans="7:14" ht="11.25" customHeight="1" x14ac:dyDescent="0.3">
      <c r="G2356" s="470"/>
      <c r="H2356" s="470">
        <v>2349</v>
      </c>
      <c r="I2356" s="455">
        <f t="shared" ca="1" si="130"/>
        <v>4344746382.6827106</v>
      </c>
      <c r="J2356" s="455">
        <f t="array" ref="J2356">IFERROR(INDEX('Retirement Calculator'!K:K,MATCH('Lorri 401b'!N2356,'Retirement Calculator'!A:A,0),0),0)</f>
        <v>0</v>
      </c>
      <c r="K2356" s="455">
        <f t="shared" ca="1" si="128"/>
        <v>18103109.927844629</v>
      </c>
      <c r="L2356" s="455">
        <f t="shared" ca="1" si="129"/>
        <v>4362849492.6105556</v>
      </c>
      <c r="M2356" s="471">
        <f t="shared" si="131"/>
        <v>0.05</v>
      </c>
      <c r="N2356" s="475">
        <f t="shared" si="132"/>
        <v>122754</v>
      </c>
    </row>
    <row r="2357" spans="7:14" ht="11.25" customHeight="1" x14ac:dyDescent="0.3">
      <c r="G2357" s="470"/>
      <c r="H2357" s="470">
        <v>2350</v>
      </c>
      <c r="I2357" s="455">
        <f t="shared" ca="1" si="130"/>
        <v>4362849492.6105556</v>
      </c>
      <c r="J2357" s="455">
        <f t="array" ref="J2357">IFERROR(INDEX('Retirement Calculator'!K:K,MATCH('Lorri 401b'!N2357,'Retirement Calculator'!A:A,0),0),0)</f>
        <v>0</v>
      </c>
      <c r="K2357" s="455">
        <f t="shared" ca="1" si="128"/>
        <v>18178539.552543983</v>
      </c>
      <c r="L2357" s="455">
        <f t="shared" ca="1" si="129"/>
        <v>4381028032.1630993</v>
      </c>
      <c r="M2357" s="471">
        <f t="shared" si="131"/>
        <v>0.05</v>
      </c>
      <c r="N2357" s="475">
        <f t="shared" si="132"/>
        <v>122783</v>
      </c>
    </row>
    <row r="2358" spans="7:14" ht="11.25" customHeight="1" x14ac:dyDescent="0.3">
      <c r="G2358" s="470"/>
      <c r="H2358" s="470">
        <v>2351</v>
      </c>
      <c r="I2358" s="455">
        <f t="shared" ca="1" si="130"/>
        <v>4381028032.1630993</v>
      </c>
      <c r="J2358" s="455">
        <f t="array" ref="J2358">IFERROR(INDEX('Retirement Calculator'!K:K,MATCH('Lorri 401b'!N2358,'Retirement Calculator'!A:A,0),0),0)</f>
        <v>0</v>
      </c>
      <c r="K2358" s="455">
        <f t="shared" ca="1" si="128"/>
        <v>18254283.467346247</v>
      </c>
      <c r="L2358" s="455">
        <f t="shared" ca="1" si="129"/>
        <v>4399282315.6304455</v>
      </c>
      <c r="M2358" s="471">
        <f t="shared" si="131"/>
        <v>0.05</v>
      </c>
      <c r="N2358" s="475">
        <f t="shared" si="132"/>
        <v>122814</v>
      </c>
    </row>
    <row r="2359" spans="7:14" ht="11.25" customHeight="1" x14ac:dyDescent="0.3">
      <c r="G2359" s="470"/>
      <c r="H2359" s="470">
        <v>2352</v>
      </c>
      <c r="I2359" s="455">
        <f t="shared" ca="1" si="130"/>
        <v>4399282315.6304455</v>
      </c>
      <c r="J2359" s="455">
        <f t="array" ref="J2359">IFERROR(INDEX('Retirement Calculator'!K:K,MATCH('Lorri 401b'!N2359,'Retirement Calculator'!A:A,0),0),0)</f>
        <v>0</v>
      </c>
      <c r="K2359" s="455">
        <f t="shared" ca="1" si="128"/>
        <v>18330342.981793523</v>
      </c>
      <c r="L2359" s="455">
        <f t="shared" ca="1" si="129"/>
        <v>4417612658.6122389</v>
      </c>
      <c r="M2359" s="471">
        <f t="shared" si="131"/>
        <v>0.05</v>
      </c>
      <c r="N2359" s="475">
        <f t="shared" si="132"/>
        <v>122844</v>
      </c>
    </row>
    <row r="2360" spans="7:14" ht="11.25" customHeight="1" x14ac:dyDescent="0.3">
      <c r="G2360" s="470"/>
      <c r="H2360" s="470">
        <v>2353</v>
      </c>
      <c r="I2360" s="455">
        <f t="shared" ca="1" si="130"/>
        <v>4417612658.6122389</v>
      </c>
      <c r="J2360" s="455">
        <f t="array" ref="J2360">IFERROR(INDEX('Retirement Calculator'!K:K,MATCH('Lorri 401b'!N2360,'Retirement Calculator'!A:A,0),0),0)</f>
        <v>0</v>
      </c>
      <c r="K2360" s="455">
        <f t="shared" ca="1" si="128"/>
        <v>18406719.410884328</v>
      </c>
      <c r="L2360" s="455">
        <f t="shared" ca="1" si="129"/>
        <v>4436019378.0231228</v>
      </c>
      <c r="M2360" s="471">
        <f t="shared" si="131"/>
        <v>0.05</v>
      </c>
      <c r="N2360" s="475">
        <f t="shared" si="132"/>
        <v>122875</v>
      </c>
    </row>
    <row r="2361" spans="7:14" ht="11.25" customHeight="1" x14ac:dyDescent="0.3">
      <c r="G2361" s="470"/>
      <c r="H2361" s="470">
        <v>2354</v>
      </c>
      <c r="I2361" s="455">
        <f t="shared" ca="1" si="130"/>
        <v>4436019378.0231228</v>
      </c>
      <c r="J2361" s="455">
        <f t="array" ref="J2361">IFERROR(INDEX('Retirement Calculator'!K:K,MATCH('Lorri 401b'!N2361,'Retirement Calculator'!A:A,0),0),0)</f>
        <v>0</v>
      </c>
      <c r="K2361" s="455">
        <f t="shared" ca="1" si="128"/>
        <v>18483414.075096346</v>
      </c>
      <c r="L2361" s="455">
        <f t="shared" ca="1" si="129"/>
        <v>4454502792.0982189</v>
      </c>
      <c r="M2361" s="471">
        <f t="shared" si="131"/>
        <v>0.05</v>
      </c>
      <c r="N2361" s="475">
        <f t="shared" si="132"/>
        <v>122905</v>
      </c>
    </row>
    <row r="2362" spans="7:14" ht="11.25" customHeight="1" x14ac:dyDescent="0.3">
      <c r="G2362" s="470"/>
      <c r="H2362" s="470">
        <v>2355</v>
      </c>
      <c r="I2362" s="455">
        <f t="shared" ca="1" si="130"/>
        <v>4454502792.0982189</v>
      </c>
      <c r="J2362" s="455">
        <f t="array" ref="J2362">IFERROR(INDEX('Retirement Calculator'!K:K,MATCH('Lorri 401b'!N2362,'Retirement Calculator'!A:A,0),0),0)</f>
        <v>0</v>
      </c>
      <c r="K2362" s="455">
        <f t="shared" ca="1" si="128"/>
        <v>18560428.300409246</v>
      </c>
      <c r="L2362" s="455">
        <f t="shared" ca="1" si="129"/>
        <v>4473063220.3986282</v>
      </c>
      <c r="M2362" s="471">
        <f t="shared" si="131"/>
        <v>0.05</v>
      </c>
      <c r="N2362" s="475">
        <f t="shared" si="132"/>
        <v>122936</v>
      </c>
    </row>
    <row r="2363" spans="7:14" ht="11.25" customHeight="1" x14ac:dyDescent="0.3">
      <c r="G2363" s="470"/>
      <c r="H2363" s="470">
        <v>2356</v>
      </c>
      <c r="I2363" s="455">
        <f t="shared" ca="1" si="130"/>
        <v>4473063220.3986282</v>
      </c>
      <c r="J2363" s="455">
        <f t="array" ref="J2363">IFERROR(INDEX('Retirement Calculator'!K:K,MATCH('Lorri 401b'!N2363,'Retirement Calculator'!A:A,0),0),0)</f>
        <v>0</v>
      </c>
      <c r="K2363" s="455">
        <f t="shared" ca="1" si="128"/>
        <v>18637763.418327618</v>
      </c>
      <c r="L2363" s="455">
        <f t="shared" ca="1" si="129"/>
        <v>4491700983.8169556</v>
      </c>
      <c r="M2363" s="471">
        <f t="shared" si="131"/>
        <v>0.05</v>
      </c>
      <c r="N2363" s="475">
        <f t="shared" si="132"/>
        <v>122967</v>
      </c>
    </row>
    <row r="2364" spans="7:14" ht="11.25" customHeight="1" x14ac:dyDescent="0.3">
      <c r="G2364" s="470"/>
      <c r="H2364" s="470">
        <v>2357</v>
      </c>
      <c r="I2364" s="455">
        <f t="shared" ca="1" si="130"/>
        <v>4491700983.8169556</v>
      </c>
      <c r="J2364" s="455">
        <f t="array" ref="J2364">IFERROR(INDEX('Retirement Calculator'!K:K,MATCH('Lorri 401b'!N2364,'Retirement Calculator'!A:A,0),0),0)</f>
        <v>0</v>
      </c>
      <c r="K2364" s="455">
        <f t="shared" ca="1" si="128"/>
        <v>18715420.76590398</v>
      </c>
      <c r="L2364" s="455">
        <f t="shared" ca="1" si="129"/>
        <v>4510416404.58286</v>
      </c>
      <c r="M2364" s="471">
        <f t="shared" si="131"/>
        <v>0.05</v>
      </c>
      <c r="N2364" s="475">
        <f t="shared" si="132"/>
        <v>122997</v>
      </c>
    </row>
    <row r="2365" spans="7:14" ht="11.25" customHeight="1" x14ac:dyDescent="0.3">
      <c r="G2365" s="470"/>
      <c r="H2365" s="470">
        <v>2358</v>
      </c>
      <c r="I2365" s="455">
        <f t="shared" ca="1" si="130"/>
        <v>4510416404.58286</v>
      </c>
      <c r="J2365" s="455">
        <f t="array" ref="J2365">IFERROR(INDEX('Retirement Calculator'!K:K,MATCH('Lorri 401b'!N2365,'Retirement Calculator'!A:A,0),0),0)</f>
        <v>0</v>
      </c>
      <c r="K2365" s="455">
        <f t="shared" ca="1" si="128"/>
        <v>18793401.685761917</v>
      </c>
      <c r="L2365" s="455">
        <f t="shared" ca="1" si="129"/>
        <v>4529209806.2686214</v>
      </c>
      <c r="M2365" s="471">
        <f t="shared" si="131"/>
        <v>0.05</v>
      </c>
      <c r="N2365" s="475">
        <f t="shared" si="132"/>
        <v>123028</v>
      </c>
    </row>
    <row r="2366" spans="7:14" ht="11.25" customHeight="1" x14ac:dyDescent="0.3">
      <c r="G2366" s="470"/>
      <c r="H2366" s="470">
        <v>2359</v>
      </c>
      <c r="I2366" s="455">
        <f t="shared" ca="1" si="130"/>
        <v>4529209806.2686214</v>
      </c>
      <c r="J2366" s="455">
        <f t="array" ref="J2366">IFERROR(INDEX('Retirement Calculator'!K:K,MATCH('Lorri 401b'!N2366,'Retirement Calculator'!A:A,0),0),0)</f>
        <v>0</v>
      </c>
      <c r="K2366" s="455">
        <f t="shared" ca="1" si="128"/>
        <v>18871707.526119255</v>
      </c>
      <c r="L2366" s="455">
        <f t="shared" ca="1" si="129"/>
        <v>4548081513.7947407</v>
      </c>
      <c r="M2366" s="471">
        <f t="shared" si="131"/>
        <v>0.05</v>
      </c>
      <c r="N2366" s="475">
        <f t="shared" si="132"/>
        <v>123058</v>
      </c>
    </row>
    <row r="2367" spans="7:14" ht="11.25" customHeight="1" x14ac:dyDescent="0.3">
      <c r="G2367" s="470"/>
      <c r="H2367" s="470">
        <v>2360</v>
      </c>
      <c r="I2367" s="455">
        <f t="shared" ca="1" si="130"/>
        <v>4548081513.7947407</v>
      </c>
      <c r="J2367" s="455">
        <f t="array" ref="J2367">IFERROR(INDEX('Retirement Calculator'!K:K,MATCH('Lorri 401b'!N2367,'Retirement Calculator'!A:A,0),0),0)</f>
        <v>0</v>
      </c>
      <c r="K2367" s="455">
        <f t="shared" ca="1" si="128"/>
        <v>18950339.640811421</v>
      </c>
      <c r="L2367" s="455">
        <f t="shared" ca="1" si="129"/>
        <v>4567031853.4355516</v>
      </c>
      <c r="M2367" s="471">
        <f t="shared" si="131"/>
        <v>0.05</v>
      </c>
      <c r="N2367" s="475">
        <f t="shared" si="132"/>
        <v>123089</v>
      </c>
    </row>
    <row r="2368" spans="7:14" ht="11.25" customHeight="1" x14ac:dyDescent="0.3">
      <c r="G2368" s="470"/>
      <c r="H2368" s="470">
        <v>2361</v>
      </c>
      <c r="I2368" s="455">
        <f t="shared" ca="1" si="130"/>
        <v>4567031853.4355516</v>
      </c>
      <c r="J2368" s="455">
        <f t="array" ref="J2368">IFERROR(INDEX('Retirement Calculator'!K:K,MATCH('Lorri 401b'!N2368,'Retirement Calculator'!A:A,0),0),0)</f>
        <v>0</v>
      </c>
      <c r="K2368" s="455">
        <f t="shared" ca="1" si="128"/>
        <v>19029299.389314797</v>
      </c>
      <c r="L2368" s="455">
        <f t="shared" ca="1" si="129"/>
        <v>4586061152.8248663</v>
      </c>
      <c r="M2368" s="471">
        <f t="shared" si="131"/>
        <v>0.05</v>
      </c>
      <c r="N2368" s="475">
        <f t="shared" si="132"/>
        <v>123120</v>
      </c>
    </row>
    <row r="2369" spans="7:14" ht="11.25" customHeight="1" x14ac:dyDescent="0.3">
      <c r="G2369" s="470"/>
      <c r="H2369" s="470">
        <v>2362</v>
      </c>
      <c r="I2369" s="455">
        <f t="shared" ca="1" si="130"/>
        <v>4586061152.8248663</v>
      </c>
      <c r="J2369" s="455">
        <f t="array" ref="J2369">IFERROR(INDEX('Retirement Calculator'!K:K,MATCH('Lorri 401b'!N2369,'Retirement Calculator'!A:A,0),0),0)</f>
        <v>0</v>
      </c>
      <c r="K2369" s="455">
        <f t="shared" ca="1" si="128"/>
        <v>19108588.136770274</v>
      </c>
      <c r="L2369" s="455">
        <f t="shared" ca="1" si="129"/>
        <v>4605169740.9616365</v>
      </c>
      <c r="M2369" s="471">
        <f t="shared" si="131"/>
        <v>0.05</v>
      </c>
      <c r="N2369" s="475">
        <f t="shared" si="132"/>
        <v>123148</v>
      </c>
    </row>
    <row r="2370" spans="7:14" ht="11.25" customHeight="1" x14ac:dyDescent="0.3">
      <c r="G2370" s="470"/>
      <c r="H2370" s="470">
        <v>2363</v>
      </c>
      <c r="I2370" s="455">
        <f t="shared" ca="1" si="130"/>
        <v>4605169740.9616365</v>
      </c>
      <c r="J2370" s="455">
        <f t="array" ref="J2370">IFERROR(INDEX('Retirement Calculator'!K:K,MATCH('Lorri 401b'!N2370,'Retirement Calculator'!A:A,0),0),0)</f>
        <v>0</v>
      </c>
      <c r="K2370" s="455">
        <f t="shared" ca="1" si="128"/>
        <v>19188207.254006818</v>
      </c>
      <c r="L2370" s="455">
        <f t="shared" ca="1" si="129"/>
        <v>4624357948.2156429</v>
      </c>
      <c r="M2370" s="471">
        <f t="shared" si="131"/>
        <v>0.05</v>
      </c>
      <c r="N2370" s="475">
        <f t="shared" si="132"/>
        <v>123179</v>
      </c>
    </row>
    <row r="2371" spans="7:14" ht="11.25" customHeight="1" x14ac:dyDescent="0.3">
      <c r="G2371" s="470"/>
      <c r="H2371" s="470">
        <v>2364</v>
      </c>
      <c r="I2371" s="455">
        <f t="shared" ca="1" si="130"/>
        <v>4624357948.2156429</v>
      </c>
      <c r="J2371" s="455">
        <f t="array" ref="J2371">IFERROR(INDEX('Retirement Calculator'!K:K,MATCH('Lorri 401b'!N2371,'Retirement Calculator'!A:A,0),0),0)</f>
        <v>0</v>
      </c>
      <c r="K2371" s="455">
        <f t="shared" ca="1" si="128"/>
        <v>19268158.117565177</v>
      </c>
      <c r="L2371" s="455">
        <f t="shared" ca="1" si="129"/>
        <v>4643626106.3332081</v>
      </c>
      <c r="M2371" s="471">
        <f t="shared" si="131"/>
        <v>0.05</v>
      </c>
      <c r="N2371" s="475">
        <f t="shared" si="132"/>
        <v>123209</v>
      </c>
    </row>
    <row r="2372" spans="7:14" ht="11.25" customHeight="1" x14ac:dyDescent="0.3">
      <c r="G2372" s="470"/>
      <c r="H2372" s="470">
        <v>2365</v>
      </c>
      <c r="I2372" s="455">
        <f t="shared" ca="1" si="130"/>
        <v>4643626106.3332081</v>
      </c>
      <c r="J2372" s="455">
        <f t="array" ref="J2372">IFERROR(INDEX('Retirement Calculator'!K:K,MATCH('Lorri 401b'!N2372,'Retirement Calculator'!A:A,0),0),0)</f>
        <v>0</v>
      </c>
      <c r="K2372" s="455">
        <f t="shared" ca="1" si="128"/>
        <v>19348442.109721702</v>
      </c>
      <c r="L2372" s="455">
        <f t="shared" ca="1" si="129"/>
        <v>4662974548.4429302</v>
      </c>
      <c r="M2372" s="471">
        <f t="shared" si="131"/>
        <v>0.05</v>
      </c>
      <c r="N2372" s="475">
        <f t="shared" si="132"/>
        <v>123240</v>
      </c>
    </row>
    <row r="2373" spans="7:14" ht="11.25" customHeight="1" x14ac:dyDescent="0.3">
      <c r="G2373" s="470"/>
      <c r="H2373" s="470">
        <v>2366</v>
      </c>
      <c r="I2373" s="455">
        <f t="shared" ca="1" si="130"/>
        <v>4662974548.4429302</v>
      </c>
      <c r="J2373" s="455">
        <f t="array" ref="J2373">IFERROR(INDEX('Retirement Calculator'!K:K,MATCH('Lorri 401b'!N2373,'Retirement Calculator'!A:A,0),0),0)</f>
        <v>0</v>
      </c>
      <c r="K2373" s="455">
        <f t="shared" ca="1" si="128"/>
        <v>19429060.61851221</v>
      </c>
      <c r="L2373" s="455">
        <f t="shared" ca="1" si="129"/>
        <v>4682403609.0614424</v>
      </c>
      <c r="M2373" s="471">
        <f t="shared" si="131"/>
        <v>0.05</v>
      </c>
      <c r="N2373" s="475">
        <f t="shared" si="132"/>
        <v>123270</v>
      </c>
    </row>
    <row r="2374" spans="7:14" ht="11.25" customHeight="1" x14ac:dyDescent="0.3">
      <c r="G2374" s="470"/>
      <c r="H2374" s="470">
        <v>2367</v>
      </c>
      <c r="I2374" s="455">
        <f t="shared" ca="1" si="130"/>
        <v>4682403609.0614424</v>
      </c>
      <c r="J2374" s="455">
        <f t="array" ref="J2374">IFERROR(INDEX('Retirement Calculator'!K:K,MATCH('Lorri 401b'!N2374,'Retirement Calculator'!A:A,0),0),0)</f>
        <v>0</v>
      </c>
      <c r="K2374" s="455">
        <f t="shared" ca="1" si="128"/>
        <v>19510015.037756011</v>
      </c>
      <c r="L2374" s="455">
        <f t="shared" ca="1" si="129"/>
        <v>4701913624.0991983</v>
      </c>
      <c r="M2374" s="471">
        <f t="shared" si="131"/>
        <v>0.05</v>
      </c>
      <c r="N2374" s="475">
        <f t="shared" si="132"/>
        <v>123301</v>
      </c>
    </row>
    <row r="2375" spans="7:14" ht="11.25" customHeight="1" x14ac:dyDescent="0.3">
      <c r="G2375" s="470"/>
      <c r="H2375" s="470">
        <v>2368</v>
      </c>
      <c r="I2375" s="455">
        <f t="shared" ca="1" si="130"/>
        <v>4701913624.0991983</v>
      </c>
      <c r="J2375" s="455">
        <f t="array" ref="J2375">IFERROR(INDEX('Retirement Calculator'!K:K,MATCH('Lorri 401b'!N2375,'Retirement Calculator'!A:A,0),0),0)</f>
        <v>0</v>
      </c>
      <c r="K2375" s="455">
        <f t="shared" ca="1" si="128"/>
        <v>19591306.767079994</v>
      </c>
      <c r="L2375" s="455">
        <f t="shared" ca="1" si="129"/>
        <v>4721504930.8662786</v>
      </c>
      <c r="M2375" s="471">
        <f t="shared" si="131"/>
        <v>0.05</v>
      </c>
      <c r="N2375" s="475">
        <f t="shared" si="132"/>
        <v>123332</v>
      </c>
    </row>
    <row r="2376" spans="7:14" ht="11.25" customHeight="1" x14ac:dyDescent="0.3">
      <c r="G2376" s="470"/>
      <c r="H2376" s="470">
        <v>2369</v>
      </c>
      <c r="I2376" s="455">
        <f t="shared" ca="1" si="130"/>
        <v>4721504930.8662786</v>
      </c>
      <c r="J2376" s="455">
        <f t="array" ref="J2376">IFERROR(INDEX('Retirement Calculator'!K:K,MATCH('Lorri 401b'!N2376,'Retirement Calculator'!A:A,0),0),0)</f>
        <v>0</v>
      </c>
      <c r="K2376" s="455">
        <f t="shared" ca="1" si="128"/>
        <v>19672937.211942829</v>
      </c>
      <c r="L2376" s="455">
        <f t="shared" ca="1" si="129"/>
        <v>4741177868.0782213</v>
      </c>
      <c r="M2376" s="471">
        <f t="shared" si="131"/>
        <v>0.05</v>
      </c>
      <c r="N2376" s="475">
        <f t="shared" si="132"/>
        <v>123362</v>
      </c>
    </row>
    <row r="2377" spans="7:14" ht="11.25" customHeight="1" x14ac:dyDescent="0.3">
      <c r="G2377" s="470"/>
      <c r="H2377" s="470">
        <v>2370</v>
      </c>
      <c r="I2377" s="455">
        <f t="shared" ca="1" si="130"/>
        <v>4741177868.0782213</v>
      </c>
      <c r="J2377" s="455">
        <f t="array" ref="J2377">IFERROR(INDEX('Retirement Calculator'!K:K,MATCH('Lorri 401b'!N2377,'Retirement Calculator'!A:A,0),0),0)</f>
        <v>0</v>
      </c>
      <c r="K2377" s="455">
        <f t="shared" ca="1" si="128"/>
        <v>19754907.783659257</v>
      </c>
      <c r="L2377" s="455">
        <f t="shared" ca="1" si="129"/>
        <v>4760932775.8618803</v>
      </c>
      <c r="M2377" s="471">
        <f t="shared" si="131"/>
        <v>0.05</v>
      </c>
      <c r="N2377" s="475">
        <f t="shared" si="132"/>
        <v>123393</v>
      </c>
    </row>
    <row r="2378" spans="7:14" ht="11.25" customHeight="1" x14ac:dyDescent="0.3">
      <c r="G2378" s="470"/>
      <c r="H2378" s="470">
        <v>2371</v>
      </c>
      <c r="I2378" s="455">
        <f t="shared" ca="1" si="130"/>
        <v>4760932775.8618803</v>
      </c>
      <c r="J2378" s="455">
        <f t="array" ref="J2378">IFERROR(INDEX('Retirement Calculator'!K:K,MATCH('Lorri 401b'!N2378,'Retirement Calculator'!A:A,0),0),0)</f>
        <v>0</v>
      </c>
      <c r="K2378" s="455">
        <f t="shared" ca="1" si="128"/>
        <v>19837219.899424501</v>
      </c>
      <c r="L2378" s="455">
        <f t="shared" ca="1" si="129"/>
        <v>4780769995.7613049</v>
      </c>
      <c r="M2378" s="471">
        <f t="shared" si="131"/>
        <v>0.05</v>
      </c>
      <c r="N2378" s="475">
        <f t="shared" si="132"/>
        <v>123423</v>
      </c>
    </row>
    <row r="2379" spans="7:14" ht="11.25" customHeight="1" x14ac:dyDescent="0.3">
      <c r="G2379" s="470"/>
      <c r="H2379" s="470">
        <v>2372</v>
      </c>
      <c r="I2379" s="455">
        <f t="shared" ca="1" si="130"/>
        <v>4780769995.7613049</v>
      </c>
      <c r="J2379" s="455">
        <f t="array" ref="J2379">IFERROR(INDEX('Retirement Calculator'!K:K,MATCH('Lorri 401b'!N2379,'Retirement Calculator'!A:A,0),0),0)</f>
        <v>0</v>
      </c>
      <c r="K2379" s="455">
        <f t="shared" ca="1" si="128"/>
        <v>19919874.982338771</v>
      </c>
      <c r="L2379" s="455">
        <f t="shared" ca="1" si="129"/>
        <v>4800689870.7436438</v>
      </c>
      <c r="M2379" s="471">
        <f t="shared" si="131"/>
        <v>0.05</v>
      </c>
      <c r="N2379" s="475">
        <f t="shared" si="132"/>
        <v>123454</v>
      </c>
    </row>
    <row r="2380" spans="7:14" ht="11.25" customHeight="1" x14ac:dyDescent="0.3">
      <c r="G2380" s="470"/>
      <c r="H2380" s="470">
        <v>2373</v>
      </c>
      <c r="I2380" s="455">
        <f t="shared" ca="1" si="130"/>
        <v>4800689870.7436438</v>
      </c>
      <c r="J2380" s="455">
        <f t="array" ref="J2380">IFERROR(INDEX('Retirement Calculator'!K:K,MATCH('Lorri 401b'!N2380,'Retirement Calculator'!A:A,0),0),0)</f>
        <v>0</v>
      </c>
      <c r="K2380" s="455">
        <f t="shared" ca="1" si="128"/>
        <v>20002874.46143185</v>
      </c>
      <c r="L2380" s="455">
        <f t="shared" ca="1" si="129"/>
        <v>4820692745.2050753</v>
      </c>
      <c r="M2380" s="471">
        <f t="shared" si="131"/>
        <v>0.05</v>
      </c>
      <c r="N2380" s="475">
        <f t="shared" si="132"/>
        <v>123485</v>
      </c>
    </row>
    <row r="2381" spans="7:14" ht="11.25" customHeight="1" x14ac:dyDescent="0.3">
      <c r="G2381" s="470"/>
      <c r="H2381" s="470">
        <v>2374</v>
      </c>
      <c r="I2381" s="455">
        <f t="shared" ca="1" si="130"/>
        <v>4820692745.2050753</v>
      </c>
      <c r="J2381" s="455">
        <f t="array" ref="J2381">IFERROR(INDEX('Retirement Calculator'!K:K,MATCH('Lorri 401b'!N2381,'Retirement Calculator'!A:A,0),0),0)</f>
        <v>0</v>
      </c>
      <c r="K2381" s="455">
        <f t="shared" ca="1" si="128"/>
        <v>20086219.771687813</v>
      </c>
      <c r="L2381" s="455">
        <f t="shared" ca="1" si="129"/>
        <v>4840778964.9767628</v>
      </c>
      <c r="M2381" s="471">
        <f t="shared" si="131"/>
        <v>0.05</v>
      </c>
      <c r="N2381" s="475">
        <f t="shared" si="132"/>
        <v>123513</v>
      </c>
    </row>
    <row r="2382" spans="7:14" ht="11.25" customHeight="1" x14ac:dyDescent="0.3">
      <c r="G2382" s="470"/>
      <c r="H2382" s="470">
        <v>2375</v>
      </c>
      <c r="I2382" s="455">
        <f t="shared" ca="1" si="130"/>
        <v>4840778964.9767628</v>
      </c>
      <c r="J2382" s="455">
        <f t="array" ref="J2382">IFERROR(INDEX('Retirement Calculator'!K:K,MATCH('Lorri 401b'!N2382,'Retirement Calculator'!A:A,0),0),0)</f>
        <v>0</v>
      </c>
      <c r="K2382" s="455">
        <f t="shared" ca="1" si="128"/>
        <v>20169912.354069844</v>
      </c>
      <c r="L2382" s="455">
        <f t="shared" ca="1" si="129"/>
        <v>4860948877.3308325</v>
      </c>
      <c r="M2382" s="471">
        <f t="shared" si="131"/>
        <v>0.05</v>
      </c>
      <c r="N2382" s="475">
        <f t="shared" si="132"/>
        <v>123544</v>
      </c>
    </row>
    <row r="2383" spans="7:14" ht="11.25" customHeight="1" x14ac:dyDescent="0.3">
      <c r="G2383" s="470"/>
      <c r="H2383" s="470">
        <v>2376</v>
      </c>
      <c r="I2383" s="455">
        <f t="shared" ca="1" si="130"/>
        <v>4860948877.3308325</v>
      </c>
      <c r="J2383" s="455">
        <f t="array" ref="J2383">IFERROR(INDEX('Retirement Calculator'!K:K,MATCH('Lorri 401b'!N2383,'Retirement Calculator'!A:A,0),0),0)</f>
        <v>0</v>
      </c>
      <c r="K2383" s="455">
        <f t="shared" ca="1" si="128"/>
        <v>20253953.655545134</v>
      </c>
      <c r="L2383" s="455">
        <f t="shared" ca="1" si="129"/>
        <v>4881202830.9863777</v>
      </c>
      <c r="M2383" s="471">
        <f t="shared" si="131"/>
        <v>0.05</v>
      </c>
      <c r="N2383" s="475">
        <f t="shared" si="132"/>
        <v>123574</v>
      </c>
    </row>
    <row r="2384" spans="7:14" ht="11.25" customHeight="1" x14ac:dyDescent="0.3">
      <c r="G2384" s="470"/>
      <c r="H2384" s="470">
        <v>2377</v>
      </c>
      <c r="I2384" s="455">
        <f t="shared" ca="1" si="130"/>
        <v>4881202830.9863777</v>
      </c>
      <c r="J2384" s="455">
        <f t="array" ref="J2384">IFERROR(INDEX('Retirement Calculator'!K:K,MATCH('Lorri 401b'!N2384,'Retirement Calculator'!A:A,0),0),0)</f>
        <v>0</v>
      </c>
      <c r="K2384" s="455">
        <f t="shared" ca="1" si="128"/>
        <v>20338345.129109908</v>
      </c>
      <c r="L2384" s="455">
        <f t="shared" ca="1" si="129"/>
        <v>4901541176.1154881</v>
      </c>
      <c r="M2384" s="471">
        <f t="shared" si="131"/>
        <v>0.05</v>
      </c>
      <c r="N2384" s="475">
        <f t="shared" si="132"/>
        <v>123605</v>
      </c>
    </row>
    <row r="2385" spans="7:14" ht="11.25" customHeight="1" x14ac:dyDescent="0.3">
      <c r="G2385" s="470"/>
      <c r="H2385" s="470">
        <v>2378</v>
      </c>
      <c r="I2385" s="455">
        <f t="shared" ca="1" si="130"/>
        <v>4901541176.1154881</v>
      </c>
      <c r="J2385" s="455">
        <f t="array" ref="J2385">IFERROR(INDEX('Retirement Calculator'!K:K,MATCH('Lorri 401b'!N2385,'Retirement Calculator'!A:A,0),0),0)</f>
        <v>0</v>
      </c>
      <c r="K2385" s="455">
        <f t="shared" ca="1" si="128"/>
        <v>20423088.233814534</v>
      </c>
      <c r="L2385" s="455">
        <f t="shared" ca="1" si="129"/>
        <v>4921964264.3493023</v>
      </c>
      <c r="M2385" s="471">
        <f t="shared" si="131"/>
        <v>0.05</v>
      </c>
      <c r="N2385" s="475">
        <f t="shared" si="132"/>
        <v>123635</v>
      </c>
    </row>
    <row r="2386" spans="7:14" ht="11.25" customHeight="1" x14ac:dyDescent="0.3">
      <c r="G2386" s="470"/>
      <c r="H2386" s="470">
        <v>2379</v>
      </c>
      <c r="I2386" s="455">
        <f t="shared" ca="1" si="130"/>
        <v>4921964264.3493023</v>
      </c>
      <c r="J2386" s="455">
        <f t="array" ref="J2386">IFERROR(INDEX('Retirement Calculator'!K:K,MATCH('Lorri 401b'!N2386,'Retirement Calculator'!A:A,0),0),0)</f>
        <v>0</v>
      </c>
      <c r="K2386" s="455">
        <f t="shared" ca="1" si="128"/>
        <v>20508184.43478876</v>
      </c>
      <c r="L2386" s="455">
        <f t="shared" ca="1" si="129"/>
        <v>4942472448.784091</v>
      </c>
      <c r="M2386" s="471">
        <f t="shared" si="131"/>
        <v>0.05</v>
      </c>
      <c r="N2386" s="475">
        <f t="shared" si="132"/>
        <v>123666</v>
      </c>
    </row>
    <row r="2387" spans="7:14" ht="11.25" customHeight="1" x14ac:dyDescent="0.3">
      <c r="G2387" s="470"/>
      <c r="H2387" s="470">
        <v>2380</v>
      </c>
      <c r="I2387" s="455">
        <f t="shared" ca="1" si="130"/>
        <v>4942472448.784091</v>
      </c>
      <c r="J2387" s="455">
        <f t="array" ref="J2387">IFERROR(INDEX('Retirement Calculator'!K:K,MATCH('Lorri 401b'!N2387,'Retirement Calculator'!A:A,0),0),0)</f>
        <v>0</v>
      </c>
      <c r="K2387" s="455">
        <f t="shared" ca="1" si="128"/>
        <v>20593635.203267045</v>
      </c>
      <c r="L2387" s="455">
        <f t="shared" ca="1" si="129"/>
        <v>4963066083.9873581</v>
      </c>
      <c r="M2387" s="471">
        <f t="shared" si="131"/>
        <v>0.05</v>
      </c>
      <c r="N2387" s="475">
        <f t="shared" si="132"/>
        <v>123697</v>
      </c>
    </row>
    <row r="2388" spans="7:14" ht="11.25" customHeight="1" x14ac:dyDescent="0.3">
      <c r="G2388" s="470"/>
      <c r="H2388" s="470">
        <v>2381</v>
      </c>
      <c r="I2388" s="455">
        <f t="shared" ca="1" si="130"/>
        <v>4963066083.9873581</v>
      </c>
      <c r="J2388" s="455">
        <f t="array" ref="J2388">IFERROR(INDEX('Retirement Calculator'!K:K,MATCH('Lorri 401b'!N2388,'Retirement Calculator'!A:A,0),0),0)</f>
        <v>0</v>
      </c>
      <c r="K2388" s="455">
        <f t="shared" ca="1" si="128"/>
        <v>20679442.01661399</v>
      </c>
      <c r="L2388" s="455">
        <f t="shared" ca="1" si="129"/>
        <v>4983745526.0039721</v>
      </c>
      <c r="M2388" s="471">
        <f t="shared" si="131"/>
        <v>0.05</v>
      </c>
      <c r="N2388" s="475">
        <f t="shared" si="132"/>
        <v>123727</v>
      </c>
    </row>
    <row r="2389" spans="7:14" ht="11.25" customHeight="1" x14ac:dyDescent="0.3">
      <c r="G2389" s="470"/>
      <c r="H2389" s="470">
        <v>2382</v>
      </c>
      <c r="I2389" s="455">
        <f t="shared" ca="1" si="130"/>
        <v>4983745526.0039721</v>
      </c>
      <c r="J2389" s="455">
        <f t="array" ref="J2389">IFERROR(INDEX('Retirement Calculator'!K:K,MATCH('Lorri 401b'!N2389,'Retirement Calculator'!A:A,0),0),0)</f>
        <v>0</v>
      </c>
      <c r="K2389" s="455">
        <f t="shared" ca="1" si="128"/>
        <v>20765606.358349882</v>
      </c>
      <c r="L2389" s="455">
        <f t="shared" ca="1" si="129"/>
        <v>5004511132.3623219</v>
      </c>
      <c r="M2389" s="471">
        <f t="shared" si="131"/>
        <v>0.05</v>
      </c>
      <c r="N2389" s="475">
        <f t="shared" si="132"/>
        <v>123758</v>
      </c>
    </row>
    <row r="2390" spans="7:14" ht="11.25" customHeight="1" x14ac:dyDescent="0.3">
      <c r="G2390" s="470"/>
      <c r="H2390" s="470">
        <v>2383</v>
      </c>
      <c r="I2390" s="455">
        <f t="shared" ca="1" si="130"/>
        <v>5004511132.3623219</v>
      </c>
      <c r="J2390" s="455">
        <f t="array" ref="J2390">IFERROR(INDEX('Retirement Calculator'!K:K,MATCH('Lorri 401b'!N2390,'Retirement Calculator'!A:A,0),0),0)</f>
        <v>0</v>
      </c>
      <c r="K2390" s="455">
        <f t="shared" ca="1" si="128"/>
        <v>20852129.718176343</v>
      </c>
      <c r="L2390" s="455">
        <f t="shared" ca="1" si="129"/>
        <v>5025363262.0804977</v>
      </c>
      <c r="M2390" s="471">
        <f t="shared" si="131"/>
        <v>0.05</v>
      </c>
      <c r="N2390" s="475">
        <f t="shared" si="132"/>
        <v>123788</v>
      </c>
    </row>
    <row r="2391" spans="7:14" ht="11.25" customHeight="1" x14ac:dyDescent="0.3">
      <c r="G2391" s="470"/>
      <c r="H2391" s="470">
        <v>2384</v>
      </c>
      <c r="I2391" s="455">
        <f t="shared" ca="1" si="130"/>
        <v>5025363262.0804977</v>
      </c>
      <c r="J2391" s="455">
        <f t="array" ref="J2391">IFERROR(INDEX('Retirement Calculator'!K:K,MATCH('Lorri 401b'!N2391,'Retirement Calculator'!A:A,0),0),0)</f>
        <v>0</v>
      </c>
      <c r="K2391" s="455">
        <f t="shared" ca="1" si="128"/>
        <v>20939013.592002075</v>
      </c>
      <c r="L2391" s="455">
        <f t="shared" ca="1" si="129"/>
        <v>5046302275.6724997</v>
      </c>
      <c r="M2391" s="471">
        <f t="shared" si="131"/>
        <v>0.05</v>
      </c>
      <c r="N2391" s="475">
        <f t="shared" si="132"/>
        <v>123819</v>
      </c>
    </row>
    <row r="2392" spans="7:14" ht="11.25" customHeight="1" x14ac:dyDescent="0.3">
      <c r="G2392" s="470"/>
      <c r="H2392" s="470">
        <v>2385</v>
      </c>
      <c r="I2392" s="455">
        <f t="shared" ca="1" si="130"/>
        <v>5046302275.6724997</v>
      </c>
      <c r="J2392" s="455">
        <f t="array" ref="J2392">IFERROR(INDEX('Retirement Calculator'!K:K,MATCH('Lorri 401b'!N2392,'Retirement Calculator'!A:A,0),0),0)</f>
        <v>0</v>
      </c>
      <c r="K2392" s="455">
        <f t="shared" ca="1" si="128"/>
        <v>21026259.481968749</v>
      </c>
      <c r="L2392" s="455">
        <f t="shared" ca="1" si="129"/>
        <v>5067328535.1544685</v>
      </c>
      <c r="M2392" s="471">
        <f t="shared" si="131"/>
        <v>0.05</v>
      </c>
      <c r="N2392" s="475">
        <f t="shared" si="132"/>
        <v>123850</v>
      </c>
    </row>
    <row r="2393" spans="7:14" ht="11.25" customHeight="1" x14ac:dyDescent="0.3">
      <c r="G2393" s="470"/>
      <c r="H2393" s="470">
        <v>2386</v>
      </c>
      <c r="I2393" s="455">
        <f t="shared" ca="1" si="130"/>
        <v>5067328535.1544685</v>
      </c>
      <c r="J2393" s="455">
        <f t="array" ref="J2393">IFERROR(INDEX('Retirement Calculator'!K:K,MATCH('Lorri 401b'!N2393,'Retirement Calculator'!A:A,0),0),0)</f>
        <v>0</v>
      </c>
      <c r="K2393" s="455">
        <f t="shared" ca="1" si="128"/>
        <v>21113868.89647695</v>
      </c>
      <c r="L2393" s="455">
        <f t="shared" ca="1" si="129"/>
        <v>5088442404.0509453</v>
      </c>
      <c r="M2393" s="471">
        <f t="shared" si="131"/>
        <v>0.05</v>
      </c>
      <c r="N2393" s="475">
        <f t="shared" si="132"/>
        <v>123878</v>
      </c>
    </row>
    <row r="2394" spans="7:14" ht="11.25" customHeight="1" x14ac:dyDescent="0.3">
      <c r="G2394" s="470"/>
      <c r="H2394" s="470">
        <v>2387</v>
      </c>
      <c r="I2394" s="455">
        <f t="shared" ca="1" si="130"/>
        <v>5088442404.0509453</v>
      </c>
      <c r="J2394" s="455">
        <f t="array" ref="J2394">IFERROR(INDEX('Retirement Calculator'!K:K,MATCH('Lorri 401b'!N2394,'Retirement Calculator'!A:A,0),0),0)</f>
        <v>0</v>
      </c>
      <c r="K2394" s="455">
        <f t="shared" ca="1" si="128"/>
        <v>21201843.350212272</v>
      </c>
      <c r="L2394" s="455">
        <f t="shared" ca="1" si="129"/>
        <v>5109644247.4011574</v>
      </c>
      <c r="M2394" s="471">
        <f t="shared" si="131"/>
        <v>0.05</v>
      </c>
      <c r="N2394" s="475">
        <f t="shared" si="132"/>
        <v>123909</v>
      </c>
    </row>
    <row r="2395" spans="7:14" ht="11.25" customHeight="1" x14ac:dyDescent="0.3">
      <c r="G2395" s="470"/>
      <c r="H2395" s="470">
        <v>2388</v>
      </c>
      <c r="I2395" s="455">
        <f t="shared" ca="1" si="130"/>
        <v>5109644247.4011574</v>
      </c>
      <c r="J2395" s="455">
        <f t="array" ref="J2395">IFERROR(INDEX('Retirement Calculator'!K:K,MATCH('Lorri 401b'!N2395,'Retirement Calculator'!A:A,0),0),0)</f>
        <v>0</v>
      </c>
      <c r="K2395" s="455">
        <f t="shared" ca="1" si="128"/>
        <v>21290184.36417149</v>
      </c>
      <c r="L2395" s="455">
        <f t="shared" ca="1" si="129"/>
        <v>5130934431.7653284</v>
      </c>
      <c r="M2395" s="471">
        <f t="shared" si="131"/>
        <v>0.05</v>
      </c>
      <c r="N2395" s="475">
        <f t="shared" si="132"/>
        <v>123939</v>
      </c>
    </row>
    <row r="2396" spans="7:14" ht="11.25" customHeight="1" x14ac:dyDescent="0.3">
      <c r="G2396" s="470"/>
      <c r="H2396" s="470">
        <v>2389</v>
      </c>
      <c r="I2396" s="455">
        <f t="shared" ca="1" si="130"/>
        <v>5130934431.7653284</v>
      </c>
      <c r="J2396" s="455">
        <f t="array" ref="J2396">IFERROR(INDEX('Retirement Calculator'!K:K,MATCH('Lorri 401b'!N2396,'Retirement Calculator'!A:A,0),0),0)</f>
        <v>0</v>
      </c>
      <c r="K2396" s="455">
        <f t="shared" ca="1" si="128"/>
        <v>21378893.465688869</v>
      </c>
      <c r="L2396" s="455">
        <f t="shared" ca="1" si="129"/>
        <v>5152313325.2310171</v>
      </c>
      <c r="M2396" s="471">
        <f t="shared" si="131"/>
        <v>0.05</v>
      </c>
      <c r="N2396" s="475">
        <f t="shared" si="132"/>
        <v>123970</v>
      </c>
    </row>
    <row r="2397" spans="7:14" ht="11.25" customHeight="1" x14ac:dyDescent="0.3">
      <c r="G2397" s="470"/>
      <c r="H2397" s="470">
        <v>2390</v>
      </c>
      <c r="I2397" s="455">
        <f t="shared" ca="1" si="130"/>
        <v>5152313325.2310171</v>
      </c>
      <c r="J2397" s="455">
        <f t="array" ref="J2397">IFERROR(INDEX('Retirement Calculator'!K:K,MATCH('Lorri 401b'!N2397,'Retirement Calculator'!A:A,0),0),0)</f>
        <v>0</v>
      </c>
      <c r="K2397" s="455">
        <f t="shared" ca="1" si="128"/>
        <v>21467972.18846257</v>
      </c>
      <c r="L2397" s="455">
        <f t="shared" ca="1" si="129"/>
        <v>5173781297.4194794</v>
      </c>
      <c r="M2397" s="471">
        <f t="shared" si="131"/>
        <v>0.05</v>
      </c>
      <c r="N2397" s="475">
        <f t="shared" si="132"/>
        <v>124000</v>
      </c>
    </row>
    <row r="2398" spans="7:14" ht="11.25" customHeight="1" x14ac:dyDescent="0.3">
      <c r="G2398" s="470"/>
      <c r="H2398" s="470">
        <v>2391</v>
      </c>
      <c r="I2398" s="455">
        <f t="shared" ca="1" si="130"/>
        <v>5173781297.4194794</v>
      </c>
      <c r="J2398" s="455">
        <f t="array" ref="J2398">IFERROR(INDEX('Retirement Calculator'!K:K,MATCH('Lorri 401b'!N2398,'Retirement Calculator'!A:A,0),0),0)</f>
        <v>0</v>
      </c>
      <c r="K2398" s="455">
        <f t="shared" ca="1" si="128"/>
        <v>21557422.072581165</v>
      </c>
      <c r="L2398" s="455">
        <f t="shared" ca="1" si="129"/>
        <v>5195338719.4920607</v>
      </c>
      <c r="M2398" s="471">
        <f t="shared" si="131"/>
        <v>0.05</v>
      </c>
      <c r="N2398" s="475">
        <f t="shared" si="132"/>
        <v>124031</v>
      </c>
    </row>
    <row r="2399" spans="7:14" ht="11.25" customHeight="1" x14ac:dyDescent="0.3">
      <c r="G2399" s="470"/>
      <c r="H2399" s="470">
        <v>2392</v>
      </c>
      <c r="I2399" s="455">
        <f t="shared" ca="1" si="130"/>
        <v>5195338719.4920607</v>
      </c>
      <c r="J2399" s="455">
        <f t="array" ref="J2399">IFERROR(INDEX('Retirement Calculator'!K:K,MATCH('Lorri 401b'!N2399,'Retirement Calculator'!A:A,0),0),0)</f>
        <v>0</v>
      </c>
      <c r="K2399" s="455">
        <f t="shared" ca="1" si="128"/>
        <v>21647244.664550252</v>
      </c>
      <c r="L2399" s="455">
        <f t="shared" ca="1" si="129"/>
        <v>5216985964.1566105</v>
      </c>
      <c r="M2399" s="471">
        <f t="shared" si="131"/>
        <v>0.05</v>
      </c>
      <c r="N2399" s="475">
        <f t="shared" si="132"/>
        <v>124062</v>
      </c>
    </row>
    <row r="2400" spans="7:14" ht="11.25" customHeight="1" x14ac:dyDescent="0.3">
      <c r="G2400" s="470"/>
      <c r="H2400" s="470">
        <v>2393</v>
      </c>
      <c r="I2400" s="455">
        <f t="shared" ca="1" si="130"/>
        <v>5216985964.1566105</v>
      </c>
      <c r="J2400" s="455">
        <f t="array" ref="J2400">IFERROR(INDEX('Retirement Calculator'!K:K,MATCH('Lorri 401b'!N2400,'Retirement Calculator'!A:A,0),0),0)</f>
        <v>0</v>
      </c>
      <c r="K2400" s="455">
        <f t="shared" ca="1" si="128"/>
        <v>21737441.51731921</v>
      </c>
      <c r="L2400" s="455">
        <f t="shared" ca="1" si="129"/>
        <v>5238723405.6739302</v>
      </c>
      <c r="M2400" s="471">
        <f t="shared" si="131"/>
        <v>0.05</v>
      </c>
      <c r="N2400" s="475">
        <f t="shared" si="132"/>
        <v>124092</v>
      </c>
    </row>
    <row r="2401" spans="7:14" ht="11.25" customHeight="1" x14ac:dyDescent="0.3">
      <c r="G2401" s="470"/>
      <c r="H2401" s="470">
        <v>2394</v>
      </c>
      <c r="I2401" s="455">
        <f t="shared" ca="1" si="130"/>
        <v>5238723405.6739302</v>
      </c>
      <c r="J2401" s="455">
        <f t="array" ref="J2401">IFERROR(INDEX('Retirement Calculator'!K:K,MATCH('Lorri 401b'!N2401,'Retirement Calculator'!A:A,0),0),0)</f>
        <v>0</v>
      </c>
      <c r="K2401" s="455">
        <f t="shared" ca="1" si="128"/>
        <v>21828014.190308042</v>
      </c>
      <c r="L2401" s="455">
        <f t="shared" ca="1" si="129"/>
        <v>5260551419.8642378</v>
      </c>
      <c r="M2401" s="471">
        <f t="shared" si="131"/>
        <v>0.05</v>
      </c>
      <c r="N2401" s="475">
        <f t="shared" si="132"/>
        <v>124123</v>
      </c>
    </row>
    <row r="2402" spans="7:14" ht="11.25" customHeight="1" x14ac:dyDescent="0.3">
      <c r="G2402" s="470"/>
      <c r="H2402" s="470">
        <v>2395</v>
      </c>
      <c r="I2402" s="455">
        <f t="shared" ca="1" si="130"/>
        <v>5260551419.8642378</v>
      </c>
      <c r="J2402" s="455">
        <f t="array" ref="J2402">IFERROR(INDEX('Retirement Calculator'!K:K,MATCH('Lorri 401b'!N2402,'Retirement Calculator'!A:A,0),0),0)</f>
        <v>0</v>
      </c>
      <c r="K2402" s="455">
        <f t="shared" ca="1" si="128"/>
        <v>21918964.249434322</v>
      </c>
      <c r="L2402" s="455">
        <f t="shared" ca="1" si="129"/>
        <v>5282470384.1136723</v>
      </c>
      <c r="M2402" s="471">
        <f t="shared" si="131"/>
        <v>0.05</v>
      </c>
      <c r="N2402" s="475">
        <f t="shared" si="132"/>
        <v>124153</v>
      </c>
    </row>
    <row r="2403" spans="7:14" ht="11.25" customHeight="1" x14ac:dyDescent="0.3">
      <c r="G2403" s="470"/>
      <c r="H2403" s="470">
        <v>2396</v>
      </c>
      <c r="I2403" s="455">
        <f t="shared" ca="1" si="130"/>
        <v>5282470384.1136723</v>
      </c>
      <c r="J2403" s="455">
        <f t="array" ref="J2403">IFERROR(INDEX('Retirement Calculator'!K:K,MATCH('Lorri 401b'!N2403,'Retirement Calculator'!A:A,0),0),0)</f>
        <v>0</v>
      </c>
      <c r="K2403" s="455">
        <f t="shared" ca="1" si="128"/>
        <v>22010293.267140299</v>
      </c>
      <c r="L2403" s="455">
        <f t="shared" ca="1" si="129"/>
        <v>5304480677.3808126</v>
      </c>
      <c r="M2403" s="471">
        <f t="shared" si="131"/>
        <v>0.05</v>
      </c>
      <c r="N2403" s="475">
        <f t="shared" si="132"/>
        <v>124184</v>
      </c>
    </row>
    <row r="2404" spans="7:14" ht="11.25" customHeight="1" x14ac:dyDescent="0.3">
      <c r="G2404" s="470"/>
      <c r="H2404" s="470">
        <v>2397</v>
      </c>
      <c r="I2404" s="455">
        <f t="shared" ca="1" si="130"/>
        <v>5304480677.3808126</v>
      </c>
      <c r="J2404" s="455">
        <f t="array" ref="J2404">IFERROR(INDEX('Retirement Calculator'!K:K,MATCH('Lorri 401b'!N2404,'Retirement Calculator'!A:A,0),0),0)</f>
        <v>0</v>
      </c>
      <c r="K2404" s="455">
        <f t="shared" ca="1" si="128"/>
        <v>22102002.822420053</v>
      </c>
      <c r="L2404" s="455">
        <f t="shared" ca="1" si="129"/>
        <v>5326582680.2032328</v>
      </c>
      <c r="M2404" s="471">
        <f t="shared" si="131"/>
        <v>0.05</v>
      </c>
      <c r="N2404" s="475">
        <f t="shared" si="132"/>
        <v>124215</v>
      </c>
    </row>
    <row r="2405" spans="7:14" ht="11.25" customHeight="1" x14ac:dyDescent="0.3">
      <c r="G2405" s="470"/>
      <c r="H2405" s="470">
        <v>2398</v>
      </c>
      <c r="I2405" s="455">
        <f t="shared" ca="1" si="130"/>
        <v>5326582680.2032328</v>
      </c>
      <c r="J2405" s="455">
        <f t="array" ref="J2405">IFERROR(INDEX('Retirement Calculator'!K:K,MATCH('Lorri 401b'!N2405,'Retirement Calculator'!A:A,0),0),0)</f>
        <v>0</v>
      </c>
      <c r="K2405" s="455">
        <f t="shared" ca="1" si="128"/>
        <v>22194094.500846803</v>
      </c>
      <c r="L2405" s="455">
        <f t="shared" ca="1" si="129"/>
        <v>5348776774.7040796</v>
      </c>
      <c r="M2405" s="471">
        <f t="shared" si="131"/>
        <v>0.05</v>
      </c>
      <c r="N2405" s="475">
        <f t="shared" si="132"/>
        <v>124244</v>
      </c>
    </row>
    <row r="2406" spans="7:14" ht="11.25" customHeight="1" x14ac:dyDescent="0.3">
      <c r="G2406" s="470"/>
      <c r="H2406" s="470">
        <v>2399</v>
      </c>
      <c r="I2406" s="455">
        <f t="shared" ca="1" si="130"/>
        <v>5348776774.7040796</v>
      </c>
      <c r="J2406" s="455">
        <f t="array" ref="J2406">IFERROR(INDEX('Retirement Calculator'!K:K,MATCH('Lorri 401b'!N2406,'Retirement Calculator'!A:A,0),0),0)</f>
        <v>0</v>
      </c>
      <c r="K2406" s="455">
        <f t="shared" ca="1" si="128"/>
        <v>22286569.894600332</v>
      </c>
      <c r="L2406" s="455">
        <f t="shared" ca="1" si="129"/>
        <v>5371063344.5986795</v>
      </c>
      <c r="M2406" s="471">
        <f t="shared" si="131"/>
        <v>0.05</v>
      </c>
      <c r="N2406" s="475">
        <f t="shared" si="132"/>
        <v>124275</v>
      </c>
    </row>
    <row r="2407" spans="7:14" ht="11.25" customHeight="1" x14ac:dyDescent="0.3">
      <c r="G2407" s="470"/>
      <c r="H2407" s="470">
        <v>2400</v>
      </c>
      <c r="I2407" s="455">
        <f t="shared" ca="1" si="130"/>
        <v>5371063344.5986795</v>
      </c>
      <c r="J2407" s="455">
        <f t="array" ref="J2407">IFERROR(INDEX('Retirement Calculator'!K:K,MATCH('Lorri 401b'!N2407,'Retirement Calculator'!A:A,0),0),0)</f>
        <v>0</v>
      </c>
      <c r="K2407" s="455">
        <f t="shared" ca="1" si="128"/>
        <v>22379430.602494497</v>
      </c>
      <c r="L2407" s="455">
        <f t="shared" ca="1" si="129"/>
        <v>5393442775.2011738</v>
      </c>
      <c r="M2407" s="471">
        <f t="shared" si="131"/>
        <v>0.05</v>
      </c>
      <c r="N2407" s="475">
        <f t="shared" si="132"/>
        <v>124305</v>
      </c>
    </row>
    <row r="2408" spans="7:14" ht="11.25" customHeight="1" x14ac:dyDescent="0.3">
      <c r="G2408" s="470"/>
      <c r="H2408" s="470">
        <v>2401</v>
      </c>
      <c r="I2408" s="455">
        <f t="shared" ca="1" si="130"/>
        <v>5393442775.2011738</v>
      </c>
      <c r="J2408" s="455">
        <f t="array" ref="J2408">IFERROR(INDEX('Retirement Calculator'!K:K,MATCH('Lorri 401b'!N2408,'Retirement Calculator'!A:A,0),0),0)</f>
        <v>0</v>
      </c>
      <c r="K2408" s="455">
        <f t="shared" ca="1" si="128"/>
        <v>22472678.230004892</v>
      </c>
      <c r="L2408" s="455">
        <f t="shared" ca="1" si="129"/>
        <v>5415915453.431179</v>
      </c>
      <c r="M2408" s="471">
        <f t="shared" si="131"/>
        <v>0.05</v>
      </c>
      <c r="N2408" s="475">
        <f t="shared" si="132"/>
        <v>124336</v>
      </c>
    </row>
    <row r="2409" spans="7:14" ht="11.25" customHeight="1" x14ac:dyDescent="0.3">
      <c r="G2409" s="470"/>
      <c r="H2409" s="470">
        <v>2402</v>
      </c>
      <c r="I2409" s="455">
        <f t="shared" ca="1" si="130"/>
        <v>5415915453.431179</v>
      </c>
      <c r="J2409" s="455">
        <f t="array" ref="J2409">IFERROR(INDEX('Retirement Calculator'!K:K,MATCH('Lorri 401b'!N2409,'Retirement Calculator'!A:A,0),0),0)</f>
        <v>0</v>
      </c>
      <c r="K2409" s="455">
        <f t="shared" ca="1" si="128"/>
        <v>22566314.38929658</v>
      </c>
      <c r="L2409" s="455">
        <f t="shared" ca="1" si="129"/>
        <v>5438481767.8204756</v>
      </c>
      <c r="M2409" s="471">
        <f t="shared" si="131"/>
        <v>0.05</v>
      </c>
      <c r="N2409" s="475">
        <f t="shared" si="132"/>
        <v>124366</v>
      </c>
    </row>
    <row r="2410" spans="7:14" ht="11.25" customHeight="1" x14ac:dyDescent="0.3">
      <c r="G2410" s="470"/>
      <c r="H2410" s="470">
        <v>2403</v>
      </c>
      <c r="I2410" s="455">
        <f t="shared" ca="1" si="130"/>
        <v>5438481767.8204756</v>
      </c>
      <c r="J2410" s="455">
        <f t="array" ref="J2410">IFERROR(INDEX('Retirement Calculator'!K:K,MATCH('Lorri 401b'!N2410,'Retirement Calculator'!A:A,0),0),0)</f>
        <v>0</v>
      </c>
      <c r="K2410" s="455">
        <f t="shared" ca="1" si="128"/>
        <v>22660340.69925198</v>
      </c>
      <c r="L2410" s="455">
        <f t="shared" ca="1" si="129"/>
        <v>5461142108.5197277</v>
      </c>
      <c r="M2410" s="471">
        <f t="shared" si="131"/>
        <v>0.05</v>
      </c>
      <c r="N2410" s="475">
        <f t="shared" si="132"/>
        <v>124397</v>
      </c>
    </row>
    <row r="2411" spans="7:14" ht="11.25" customHeight="1" x14ac:dyDescent="0.3">
      <c r="G2411" s="470"/>
      <c r="H2411" s="470">
        <v>2404</v>
      </c>
      <c r="I2411" s="455">
        <f t="shared" ca="1" si="130"/>
        <v>5461142108.5197277</v>
      </c>
      <c r="J2411" s="455">
        <f t="array" ref="J2411">IFERROR(INDEX('Retirement Calculator'!K:K,MATCH('Lorri 401b'!N2411,'Retirement Calculator'!A:A,0),0),0)</f>
        <v>0</v>
      </c>
      <c r="K2411" s="455">
        <f t="shared" ca="1" si="128"/>
        <v>22754758.785498865</v>
      </c>
      <c r="L2411" s="455">
        <f t="shared" ca="1" si="129"/>
        <v>5483896867.3052263</v>
      </c>
      <c r="M2411" s="471">
        <f t="shared" si="131"/>
        <v>0.05</v>
      </c>
      <c r="N2411" s="475">
        <f t="shared" si="132"/>
        <v>124428</v>
      </c>
    </row>
    <row r="2412" spans="7:14" ht="11.25" customHeight="1" x14ac:dyDescent="0.3">
      <c r="G2412" s="470"/>
      <c r="H2412" s="470">
        <v>2405</v>
      </c>
      <c r="I2412" s="455">
        <f t="shared" ca="1" si="130"/>
        <v>5483896867.3052263</v>
      </c>
      <c r="J2412" s="455">
        <f t="array" ref="J2412">IFERROR(INDEX('Retirement Calculator'!K:K,MATCH('Lorri 401b'!N2412,'Retirement Calculator'!A:A,0),0),0)</f>
        <v>0</v>
      </c>
      <c r="K2412" s="455">
        <f t="shared" ca="1" si="128"/>
        <v>22849570.280438442</v>
      </c>
      <c r="L2412" s="455">
        <f t="shared" ca="1" si="129"/>
        <v>5506746437.5856647</v>
      </c>
      <c r="M2412" s="471">
        <f t="shared" si="131"/>
        <v>0.05</v>
      </c>
      <c r="N2412" s="475">
        <f t="shared" si="132"/>
        <v>124458</v>
      </c>
    </row>
    <row r="2413" spans="7:14" ht="11.25" customHeight="1" x14ac:dyDescent="0.3">
      <c r="G2413" s="470"/>
      <c r="H2413" s="470">
        <v>2406</v>
      </c>
      <c r="I2413" s="455">
        <f t="shared" ca="1" si="130"/>
        <v>5506746437.5856647</v>
      </c>
      <c r="J2413" s="455">
        <f t="array" ref="J2413">IFERROR(INDEX('Retirement Calculator'!K:K,MATCH('Lorri 401b'!N2413,'Retirement Calculator'!A:A,0),0),0)</f>
        <v>0</v>
      </c>
      <c r="K2413" s="455">
        <f t="shared" ca="1" si="128"/>
        <v>22944776.823273603</v>
      </c>
      <c r="L2413" s="455">
        <f t="shared" ca="1" si="129"/>
        <v>5529691214.4089384</v>
      </c>
      <c r="M2413" s="471">
        <f t="shared" si="131"/>
        <v>0.05</v>
      </c>
      <c r="N2413" s="475">
        <f t="shared" si="132"/>
        <v>124489</v>
      </c>
    </row>
    <row r="2414" spans="7:14" ht="11.25" customHeight="1" x14ac:dyDescent="0.3">
      <c r="G2414" s="470"/>
      <c r="H2414" s="470">
        <v>2407</v>
      </c>
      <c r="I2414" s="455">
        <f t="shared" ca="1" si="130"/>
        <v>5529691214.4089384</v>
      </c>
      <c r="J2414" s="455">
        <f t="array" ref="J2414">IFERROR(INDEX('Retirement Calculator'!K:K,MATCH('Lorri 401b'!N2414,'Retirement Calculator'!A:A,0),0),0)</f>
        <v>0</v>
      </c>
      <c r="K2414" s="455">
        <f t="shared" ca="1" si="128"/>
        <v>23040380.060037244</v>
      </c>
      <c r="L2414" s="455">
        <f t="shared" ca="1" si="129"/>
        <v>5552731594.468976</v>
      </c>
      <c r="M2414" s="471">
        <f t="shared" si="131"/>
        <v>0.05</v>
      </c>
      <c r="N2414" s="475">
        <f t="shared" si="132"/>
        <v>124519</v>
      </c>
    </row>
    <row r="2415" spans="7:14" ht="11.25" customHeight="1" x14ac:dyDescent="0.3">
      <c r="G2415" s="470"/>
      <c r="H2415" s="470">
        <v>2408</v>
      </c>
      <c r="I2415" s="455">
        <f t="shared" ca="1" si="130"/>
        <v>5552731594.468976</v>
      </c>
      <c r="J2415" s="455">
        <f t="array" ref="J2415">IFERROR(INDEX('Retirement Calculator'!K:K,MATCH('Lorri 401b'!N2415,'Retirement Calculator'!A:A,0),0),0)</f>
        <v>0</v>
      </c>
      <c r="K2415" s="455">
        <f t="shared" ca="1" si="128"/>
        <v>23136381.643620733</v>
      </c>
      <c r="L2415" s="455">
        <f t="shared" ca="1" si="129"/>
        <v>5575867976.1125965</v>
      </c>
      <c r="M2415" s="471">
        <f t="shared" si="131"/>
        <v>0.05</v>
      </c>
      <c r="N2415" s="475">
        <f t="shared" si="132"/>
        <v>124550</v>
      </c>
    </row>
    <row r="2416" spans="7:14" ht="11.25" customHeight="1" x14ac:dyDescent="0.3">
      <c r="G2416" s="470"/>
      <c r="H2416" s="470">
        <v>2409</v>
      </c>
      <c r="I2416" s="455">
        <f t="shared" ca="1" si="130"/>
        <v>5575867976.1125965</v>
      </c>
      <c r="J2416" s="455">
        <f t="array" ref="J2416">IFERROR(INDEX('Retirement Calculator'!K:K,MATCH('Lorri 401b'!N2416,'Retirement Calculator'!A:A,0),0),0)</f>
        <v>0</v>
      </c>
      <c r="K2416" s="455">
        <f t="shared" ca="1" si="128"/>
        <v>23232783.233802486</v>
      </c>
      <c r="L2416" s="455">
        <f t="shared" ca="1" si="129"/>
        <v>5599100759.3463993</v>
      </c>
      <c r="M2416" s="471">
        <f t="shared" si="131"/>
        <v>0.05</v>
      </c>
      <c r="N2416" s="475">
        <f t="shared" si="132"/>
        <v>124581</v>
      </c>
    </row>
    <row r="2417" spans="7:14" ht="11.25" customHeight="1" x14ac:dyDescent="0.3">
      <c r="G2417" s="470"/>
      <c r="H2417" s="470">
        <v>2410</v>
      </c>
      <c r="I2417" s="455">
        <f t="shared" ca="1" si="130"/>
        <v>5599100759.3463993</v>
      </c>
      <c r="J2417" s="455">
        <f t="array" ref="J2417">IFERROR(INDEX('Retirement Calculator'!K:K,MATCH('Lorri 401b'!N2417,'Retirement Calculator'!A:A,0),0),0)</f>
        <v>0</v>
      </c>
      <c r="K2417" s="455">
        <f t="shared" ca="1" si="128"/>
        <v>23329586.497276664</v>
      </c>
      <c r="L2417" s="455">
        <f t="shared" ca="1" si="129"/>
        <v>5622430345.8436756</v>
      </c>
      <c r="M2417" s="471">
        <f t="shared" si="131"/>
        <v>0.05</v>
      </c>
      <c r="N2417" s="475">
        <f t="shared" si="132"/>
        <v>124609</v>
      </c>
    </row>
    <row r="2418" spans="7:14" ht="11.25" customHeight="1" x14ac:dyDescent="0.3">
      <c r="G2418" s="470"/>
      <c r="H2418" s="470">
        <v>2411</v>
      </c>
      <c r="I2418" s="455">
        <f t="shared" ca="1" si="130"/>
        <v>5622430345.8436756</v>
      </c>
      <c r="J2418" s="455">
        <f t="array" ref="J2418">IFERROR(INDEX('Retirement Calculator'!K:K,MATCH('Lorri 401b'!N2418,'Retirement Calculator'!A:A,0),0),0)</f>
        <v>0</v>
      </c>
      <c r="K2418" s="455">
        <f t="shared" ca="1" si="128"/>
        <v>23426793.107681982</v>
      </c>
      <c r="L2418" s="455">
        <f t="shared" ca="1" si="129"/>
        <v>5645857138.9513578</v>
      </c>
      <c r="M2418" s="471">
        <f t="shared" si="131"/>
        <v>0.05</v>
      </c>
      <c r="N2418" s="475">
        <f t="shared" si="132"/>
        <v>124640</v>
      </c>
    </row>
    <row r="2419" spans="7:14" ht="11.25" customHeight="1" x14ac:dyDescent="0.3">
      <c r="G2419" s="470"/>
      <c r="H2419" s="470">
        <v>2412</v>
      </c>
      <c r="I2419" s="455">
        <f t="shared" ca="1" si="130"/>
        <v>5645857138.9513578</v>
      </c>
      <c r="J2419" s="455">
        <f t="array" ref="J2419">IFERROR(INDEX('Retirement Calculator'!K:K,MATCH('Lorri 401b'!N2419,'Retirement Calculator'!A:A,0),0),0)</f>
        <v>0</v>
      </c>
      <c r="K2419" s="455">
        <f t="shared" ca="1" si="128"/>
        <v>23524404.745630659</v>
      </c>
      <c r="L2419" s="455">
        <f t="shared" ca="1" si="129"/>
        <v>5669381543.6969881</v>
      </c>
      <c r="M2419" s="471">
        <f t="shared" si="131"/>
        <v>0.05</v>
      </c>
      <c r="N2419" s="475">
        <f t="shared" si="132"/>
        <v>124670</v>
      </c>
    </row>
    <row r="2420" spans="7:14" ht="11.25" customHeight="1" x14ac:dyDescent="0.3">
      <c r="G2420" s="470"/>
      <c r="H2420" s="470">
        <v>2413</v>
      </c>
      <c r="I2420" s="455">
        <f t="shared" ca="1" si="130"/>
        <v>5669381543.6969881</v>
      </c>
      <c r="J2420" s="455">
        <f t="array" ref="J2420">IFERROR(INDEX('Retirement Calculator'!K:K,MATCH('Lorri 401b'!N2420,'Retirement Calculator'!A:A,0),0),0)</f>
        <v>0</v>
      </c>
      <c r="K2420" s="455">
        <f t="shared" ca="1" si="128"/>
        <v>23622423.098737448</v>
      </c>
      <c r="L2420" s="455">
        <f t="shared" ca="1" si="129"/>
        <v>5693003966.7957258</v>
      </c>
      <c r="M2420" s="471">
        <f t="shared" si="131"/>
        <v>0.05</v>
      </c>
      <c r="N2420" s="475">
        <f t="shared" si="132"/>
        <v>124701</v>
      </c>
    </row>
    <row r="2421" spans="7:14" ht="11.25" customHeight="1" x14ac:dyDescent="0.3">
      <c r="G2421" s="470"/>
      <c r="H2421" s="470">
        <v>2414</v>
      </c>
      <c r="I2421" s="455">
        <f t="shared" ca="1" si="130"/>
        <v>5693003966.7957258</v>
      </c>
      <c r="J2421" s="455">
        <f t="array" ref="J2421">IFERROR(INDEX('Retirement Calculator'!K:K,MATCH('Lorri 401b'!N2421,'Retirement Calculator'!A:A,0),0),0)</f>
        <v>0</v>
      </c>
      <c r="K2421" s="455">
        <f t="shared" ca="1" si="128"/>
        <v>23720849.861648858</v>
      </c>
      <c r="L2421" s="455">
        <f t="shared" ca="1" si="129"/>
        <v>5716724816.6573744</v>
      </c>
      <c r="M2421" s="471">
        <f t="shared" si="131"/>
        <v>0.05</v>
      </c>
      <c r="N2421" s="475">
        <f t="shared" si="132"/>
        <v>124731</v>
      </c>
    </row>
    <row r="2422" spans="7:14" ht="11.25" customHeight="1" x14ac:dyDescent="0.3">
      <c r="G2422" s="470"/>
      <c r="H2422" s="470">
        <v>2415</v>
      </c>
      <c r="I2422" s="455">
        <f t="shared" ca="1" si="130"/>
        <v>5716724816.6573744</v>
      </c>
      <c r="J2422" s="455">
        <f t="array" ref="J2422">IFERROR(INDEX('Retirement Calculator'!K:K,MATCH('Lorri 401b'!N2422,'Retirement Calculator'!A:A,0),0),0)</f>
        <v>0</v>
      </c>
      <c r="K2422" s="455">
        <f t="shared" ca="1" si="128"/>
        <v>23819686.736072391</v>
      </c>
      <c r="L2422" s="455">
        <f t="shared" ca="1" si="129"/>
        <v>5740544503.3934469</v>
      </c>
      <c r="M2422" s="471">
        <f t="shared" si="131"/>
        <v>0.05</v>
      </c>
      <c r="N2422" s="475">
        <f t="shared" si="132"/>
        <v>124762</v>
      </c>
    </row>
    <row r="2423" spans="7:14" ht="11.25" customHeight="1" x14ac:dyDescent="0.3">
      <c r="G2423" s="470"/>
      <c r="H2423" s="470">
        <v>2416</v>
      </c>
      <c r="I2423" s="455">
        <f t="shared" ca="1" si="130"/>
        <v>5740544503.3934469</v>
      </c>
      <c r="J2423" s="455">
        <f t="array" ref="J2423">IFERROR(INDEX('Retirement Calculator'!K:K,MATCH('Lorri 401b'!N2423,'Retirement Calculator'!A:A,0),0),0)</f>
        <v>0</v>
      </c>
      <c r="K2423" s="455">
        <f t="shared" ca="1" si="128"/>
        <v>23918935.43080603</v>
      </c>
      <c r="L2423" s="455">
        <f t="shared" ca="1" si="129"/>
        <v>5764463438.8242531</v>
      </c>
      <c r="M2423" s="471">
        <f t="shared" si="131"/>
        <v>0.05</v>
      </c>
      <c r="N2423" s="475">
        <f t="shared" si="132"/>
        <v>124793</v>
      </c>
    </row>
    <row r="2424" spans="7:14" ht="11.25" customHeight="1" x14ac:dyDescent="0.3">
      <c r="G2424" s="470"/>
      <c r="H2424" s="470">
        <v>2417</v>
      </c>
      <c r="I2424" s="455">
        <f t="shared" ca="1" si="130"/>
        <v>5764463438.8242531</v>
      </c>
      <c r="J2424" s="455">
        <f t="array" ref="J2424">IFERROR(INDEX('Retirement Calculator'!K:K,MATCH('Lorri 401b'!N2424,'Retirement Calculator'!A:A,0),0),0)</f>
        <v>0</v>
      </c>
      <c r="K2424" s="455">
        <f t="shared" ca="1" si="128"/>
        <v>24018597.661767721</v>
      </c>
      <c r="L2424" s="455">
        <f t="shared" ca="1" si="129"/>
        <v>5788482036.486021</v>
      </c>
      <c r="M2424" s="471">
        <f t="shared" si="131"/>
        <v>0.05</v>
      </c>
      <c r="N2424" s="475">
        <f t="shared" si="132"/>
        <v>124823</v>
      </c>
    </row>
    <row r="2425" spans="7:14" ht="11.25" customHeight="1" x14ac:dyDescent="0.3">
      <c r="G2425" s="470"/>
      <c r="H2425" s="470">
        <v>2418</v>
      </c>
      <c r="I2425" s="455">
        <f t="shared" ca="1" si="130"/>
        <v>5788482036.486021</v>
      </c>
      <c r="J2425" s="455">
        <f t="array" ref="J2425">IFERROR(INDEX('Retirement Calculator'!K:K,MATCH('Lorri 401b'!N2425,'Retirement Calculator'!A:A,0),0),0)</f>
        <v>0</v>
      </c>
      <c r="K2425" s="455">
        <f t="shared" ca="1" si="128"/>
        <v>24118675.152025089</v>
      </c>
      <c r="L2425" s="455">
        <f t="shared" ca="1" si="129"/>
        <v>5812600711.6380463</v>
      </c>
      <c r="M2425" s="471">
        <f t="shared" si="131"/>
        <v>0.05</v>
      </c>
      <c r="N2425" s="475">
        <f t="shared" si="132"/>
        <v>124854</v>
      </c>
    </row>
    <row r="2426" spans="7:14" ht="11.25" customHeight="1" x14ac:dyDescent="0.3">
      <c r="G2426" s="470"/>
      <c r="H2426" s="470">
        <v>2419</v>
      </c>
      <c r="I2426" s="455">
        <f t="shared" ca="1" si="130"/>
        <v>5812600711.6380463</v>
      </c>
      <c r="J2426" s="455">
        <f t="array" ref="J2426">IFERROR(INDEX('Retirement Calculator'!K:K,MATCH('Lorri 401b'!N2426,'Retirement Calculator'!A:A,0),0),0)</f>
        <v>0</v>
      </c>
      <c r="K2426" s="455">
        <f t="shared" ca="1" si="128"/>
        <v>24219169.631825194</v>
      </c>
      <c r="L2426" s="455">
        <f t="shared" ca="1" si="129"/>
        <v>5836819881.2698717</v>
      </c>
      <c r="M2426" s="471">
        <f t="shared" si="131"/>
        <v>0.05</v>
      </c>
      <c r="N2426" s="475">
        <f t="shared" si="132"/>
        <v>124884</v>
      </c>
    </row>
    <row r="2427" spans="7:14" ht="11.25" customHeight="1" x14ac:dyDescent="0.3">
      <c r="G2427" s="470"/>
      <c r="H2427" s="470">
        <v>2420</v>
      </c>
      <c r="I2427" s="455">
        <f t="shared" ca="1" si="130"/>
        <v>5836819881.2698717</v>
      </c>
      <c r="J2427" s="455">
        <f t="array" ref="J2427">IFERROR(INDEX('Retirement Calculator'!K:K,MATCH('Lorri 401b'!N2427,'Retirement Calculator'!A:A,0),0),0)</f>
        <v>0</v>
      </c>
      <c r="K2427" s="455">
        <f t="shared" ca="1" si="128"/>
        <v>24320082.838624466</v>
      </c>
      <c r="L2427" s="455">
        <f t="shared" ca="1" si="129"/>
        <v>5861139964.1084957</v>
      </c>
      <c r="M2427" s="471">
        <f t="shared" si="131"/>
        <v>0.05</v>
      </c>
      <c r="N2427" s="475">
        <f t="shared" si="132"/>
        <v>124915</v>
      </c>
    </row>
    <row r="2428" spans="7:14" ht="11.25" customHeight="1" x14ac:dyDescent="0.3">
      <c r="G2428" s="470"/>
      <c r="H2428" s="470">
        <v>2421</v>
      </c>
      <c r="I2428" s="455">
        <f t="shared" ca="1" si="130"/>
        <v>5861139964.1084957</v>
      </c>
      <c r="J2428" s="455">
        <f t="array" ref="J2428">IFERROR(INDEX('Retirement Calculator'!K:K,MATCH('Lorri 401b'!N2428,'Retirement Calculator'!A:A,0),0),0)</f>
        <v>0</v>
      </c>
      <c r="K2428" s="455">
        <f t="shared" ca="1" si="128"/>
        <v>24421416.517118733</v>
      </c>
      <c r="L2428" s="455">
        <f t="shared" ca="1" si="129"/>
        <v>5885561380.6256142</v>
      </c>
      <c r="M2428" s="471">
        <f t="shared" si="131"/>
        <v>0.05</v>
      </c>
      <c r="N2428" s="475">
        <f t="shared" si="132"/>
        <v>124946</v>
      </c>
    </row>
    <row r="2429" spans="7:14" ht="11.25" customHeight="1" x14ac:dyDescent="0.3">
      <c r="G2429" s="470"/>
      <c r="H2429" s="470">
        <v>2422</v>
      </c>
      <c r="I2429" s="455">
        <f t="shared" ca="1" si="130"/>
        <v>5885561380.6256142</v>
      </c>
      <c r="J2429" s="455">
        <f t="array" ref="J2429">IFERROR(INDEX('Retirement Calculator'!K:K,MATCH('Lorri 401b'!N2429,'Retirement Calculator'!A:A,0),0),0)</f>
        <v>0</v>
      </c>
      <c r="K2429" s="455">
        <f t="shared" ca="1" si="128"/>
        <v>24523172.419273391</v>
      </c>
      <c r="L2429" s="455">
        <f t="shared" ca="1" si="129"/>
        <v>5910084553.0448875</v>
      </c>
      <c r="M2429" s="471">
        <f t="shared" si="131"/>
        <v>0.05</v>
      </c>
      <c r="N2429" s="475">
        <f t="shared" si="132"/>
        <v>124974</v>
      </c>
    </row>
    <row r="2430" spans="7:14" ht="11.25" customHeight="1" x14ac:dyDescent="0.3">
      <c r="G2430" s="470"/>
      <c r="H2430" s="470">
        <v>2423</v>
      </c>
      <c r="I2430" s="455">
        <f t="shared" ca="1" si="130"/>
        <v>5910084553.0448875</v>
      </c>
      <c r="J2430" s="455">
        <f t="array" ref="J2430">IFERROR(INDEX('Retirement Calculator'!K:K,MATCH('Lorri 401b'!N2430,'Retirement Calculator'!A:A,0),0),0)</f>
        <v>0</v>
      </c>
      <c r="K2430" s="455">
        <f t="shared" ca="1" si="128"/>
        <v>24625352.304353699</v>
      </c>
      <c r="L2430" s="455">
        <f t="shared" ca="1" si="129"/>
        <v>5934709905.3492413</v>
      </c>
      <c r="M2430" s="471">
        <f t="shared" si="131"/>
        <v>0.05</v>
      </c>
      <c r="N2430" s="475">
        <f t="shared" si="132"/>
        <v>125005</v>
      </c>
    </row>
    <row r="2431" spans="7:14" ht="11.25" customHeight="1" x14ac:dyDescent="0.3">
      <c r="G2431" s="470"/>
      <c r="H2431" s="470">
        <v>2424</v>
      </c>
      <c r="I2431" s="455">
        <f t="shared" ca="1" si="130"/>
        <v>5934709905.3492413</v>
      </c>
      <c r="J2431" s="455">
        <f t="array" ref="J2431">IFERROR(INDEX('Retirement Calculator'!K:K,MATCH('Lorri 401b'!N2431,'Retirement Calculator'!A:A,0),0),0)</f>
        <v>0</v>
      </c>
      <c r="K2431" s="455">
        <f t="shared" ca="1" si="128"/>
        <v>24727957.938955173</v>
      </c>
      <c r="L2431" s="455">
        <f t="shared" ca="1" si="129"/>
        <v>5959437863.2881966</v>
      </c>
      <c r="M2431" s="471">
        <f t="shared" si="131"/>
        <v>0.05</v>
      </c>
      <c r="N2431" s="475">
        <f t="shared" si="132"/>
        <v>125035</v>
      </c>
    </row>
    <row r="2432" spans="7:14" ht="11.25" customHeight="1" x14ac:dyDescent="0.3">
      <c r="G2432" s="470"/>
      <c r="H2432" s="470">
        <v>2425</v>
      </c>
      <c r="I2432" s="455">
        <f t="shared" ca="1" si="130"/>
        <v>5959437863.2881966</v>
      </c>
      <c r="J2432" s="455">
        <f t="array" ref="J2432">IFERROR(INDEX('Retirement Calculator'!K:K,MATCH('Lorri 401b'!N2432,'Retirement Calculator'!A:A,0),0),0)</f>
        <v>0</v>
      </c>
      <c r="K2432" s="455">
        <f t="shared" ca="1" si="128"/>
        <v>24830991.097034153</v>
      </c>
      <c r="L2432" s="455">
        <f t="shared" ca="1" si="129"/>
        <v>5984268854.385231</v>
      </c>
      <c r="M2432" s="471">
        <f t="shared" si="131"/>
        <v>0.05</v>
      </c>
      <c r="N2432" s="475">
        <f t="shared" si="132"/>
        <v>125066</v>
      </c>
    </row>
    <row r="2433" spans="7:14" ht="11.25" customHeight="1" x14ac:dyDescent="0.3">
      <c r="G2433" s="470"/>
      <c r="H2433" s="470">
        <v>2426</v>
      </c>
      <c r="I2433" s="455">
        <f t="shared" ca="1" si="130"/>
        <v>5984268854.385231</v>
      </c>
      <c r="J2433" s="455">
        <f t="array" ref="J2433">IFERROR(INDEX('Retirement Calculator'!K:K,MATCH('Lorri 401b'!N2433,'Retirement Calculator'!A:A,0),0),0)</f>
        <v>0</v>
      </c>
      <c r="K2433" s="455">
        <f t="shared" ca="1" si="128"/>
        <v>24934453.559938461</v>
      </c>
      <c r="L2433" s="455">
        <f t="shared" ca="1" si="129"/>
        <v>6009203307.9451694</v>
      </c>
      <c r="M2433" s="471">
        <f t="shared" si="131"/>
        <v>0.05</v>
      </c>
      <c r="N2433" s="475">
        <f t="shared" si="132"/>
        <v>125096</v>
      </c>
    </row>
    <row r="2434" spans="7:14" ht="11.25" customHeight="1" x14ac:dyDescent="0.3">
      <c r="G2434" s="470"/>
      <c r="H2434" s="470">
        <v>2427</v>
      </c>
      <c r="I2434" s="455">
        <f t="shared" ca="1" si="130"/>
        <v>6009203307.9451694</v>
      </c>
      <c r="J2434" s="455">
        <f t="array" ref="J2434">IFERROR(INDEX('Retirement Calculator'!K:K,MATCH('Lorri 401b'!N2434,'Retirement Calculator'!A:A,0),0),0)</f>
        <v>0</v>
      </c>
      <c r="K2434" s="455">
        <f t="shared" ca="1" si="128"/>
        <v>25038347.116438206</v>
      </c>
      <c r="L2434" s="455">
        <f t="shared" ca="1" si="129"/>
        <v>6034241655.0616074</v>
      </c>
      <c r="M2434" s="471">
        <f t="shared" si="131"/>
        <v>0.05</v>
      </c>
      <c r="N2434" s="475">
        <f t="shared" si="132"/>
        <v>125127</v>
      </c>
    </row>
    <row r="2435" spans="7:14" ht="11.25" customHeight="1" x14ac:dyDescent="0.3">
      <c r="G2435" s="470"/>
      <c r="H2435" s="470">
        <v>2428</v>
      </c>
      <c r="I2435" s="455">
        <f t="shared" ca="1" si="130"/>
        <v>6034241655.0616074</v>
      </c>
      <c r="J2435" s="455">
        <f t="array" ref="J2435">IFERROR(INDEX('Retirement Calculator'!K:K,MATCH('Lorri 401b'!N2435,'Retirement Calculator'!A:A,0),0),0)</f>
        <v>0</v>
      </c>
      <c r="K2435" s="455">
        <f t="shared" ca="1" si="128"/>
        <v>25142673.562756699</v>
      </c>
      <c r="L2435" s="455">
        <f t="shared" ca="1" si="129"/>
        <v>6059384328.6243639</v>
      </c>
      <c r="M2435" s="471">
        <f t="shared" si="131"/>
        <v>0.05</v>
      </c>
      <c r="N2435" s="475">
        <f t="shared" si="132"/>
        <v>125158</v>
      </c>
    </row>
    <row r="2436" spans="7:14" ht="11.25" customHeight="1" x14ac:dyDescent="0.3">
      <c r="G2436" s="470"/>
      <c r="H2436" s="470">
        <v>2429</v>
      </c>
      <c r="I2436" s="455">
        <f t="shared" ca="1" si="130"/>
        <v>6059384328.6243639</v>
      </c>
      <c r="J2436" s="455">
        <f t="array" ref="J2436">IFERROR(INDEX('Retirement Calculator'!K:K,MATCH('Lorri 401b'!N2436,'Retirement Calculator'!A:A,0),0),0)</f>
        <v>0</v>
      </c>
      <c r="K2436" s="455">
        <f t="shared" ca="1" si="128"/>
        <v>25247434.702601515</v>
      </c>
      <c r="L2436" s="455">
        <f t="shared" ca="1" si="129"/>
        <v>6084631763.3269653</v>
      </c>
      <c r="M2436" s="471">
        <f t="shared" si="131"/>
        <v>0.05</v>
      </c>
      <c r="N2436" s="475">
        <f t="shared" si="132"/>
        <v>125188</v>
      </c>
    </row>
    <row r="2437" spans="7:14" ht="11.25" customHeight="1" x14ac:dyDescent="0.3">
      <c r="G2437" s="470"/>
      <c r="H2437" s="470">
        <v>2430</v>
      </c>
      <c r="I2437" s="455">
        <f t="shared" ca="1" si="130"/>
        <v>6084631763.3269653</v>
      </c>
      <c r="J2437" s="455">
        <f t="array" ref="J2437">IFERROR(INDEX('Retirement Calculator'!K:K,MATCH('Lorri 401b'!N2437,'Retirement Calculator'!A:A,0),0),0)</f>
        <v>0</v>
      </c>
      <c r="K2437" s="455">
        <f t="shared" ca="1" si="128"/>
        <v>25352632.347195689</v>
      </c>
      <c r="L2437" s="455">
        <f t="shared" ca="1" si="129"/>
        <v>6109984395.674161</v>
      </c>
      <c r="M2437" s="471">
        <f t="shared" si="131"/>
        <v>0.05</v>
      </c>
      <c r="N2437" s="475">
        <f t="shared" si="132"/>
        <v>125219</v>
      </c>
    </row>
    <row r="2438" spans="7:14" ht="11.25" customHeight="1" x14ac:dyDescent="0.3">
      <c r="G2438" s="470"/>
      <c r="H2438" s="470">
        <v>2431</v>
      </c>
      <c r="I2438" s="455">
        <f t="shared" ca="1" si="130"/>
        <v>6109984395.674161</v>
      </c>
      <c r="J2438" s="455">
        <f t="array" ref="J2438">IFERROR(INDEX('Retirement Calculator'!K:K,MATCH('Lorri 401b'!N2438,'Retirement Calculator'!A:A,0),0),0)</f>
        <v>0</v>
      </c>
      <c r="K2438" s="455">
        <f t="shared" ca="1" si="128"/>
        <v>25458268.315309003</v>
      </c>
      <c r="L2438" s="455">
        <f t="shared" ca="1" si="129"/>
        <v>6135442663.9894695</v>
      </c>
      <c r="M2438" s="471">
        <f t="shared" si="131"/>
        <v>0.05</v>
      </c>
      <c r="N2438" s="475">
        <f t="shared" si="132"/>
        <v>125249</v>
      </c>
    </row>
    <row r="2439" spans="7:14" ht="11.25" customHeight="1" x14ac:dyDescent="0.3">
      <c r="G2439" s="470"/>
      <c r="H2439" s="470">
        <v>2432</v>
      </c>
      <c r="I2439" s="455">
        <f t="shared" ca="1" si="130"/>
        <v>6135442663.9894695</v>
      </c>
      <c r="J2439" s="455">
        <f t="array" ref="J2439">IFERROR(INDEX('Retirement Calculator'!K:K,MATCH('Lorri 401b'!N2439,'Retirement Calculator'!A:A,0),0),0)</f>
        <v>0</v>
      </c>
      <c r="K2439" s="455">
        <f t="shared" ca="1" si="128"/>
        <v>25564344.433289457</v>
      </c>
      <c r="L2439" s="455">
        <f t="shared" ca="1" si="129"/>
        <v>6161007008.4227591</v>
      </c>
      <c r="M2439" s="471">
        <f t="shared" si="131"/>
        <v>0.05</v>
      </c>
      <c r="N2439" s="475">
        <f t="shared" si="132"/>
        <v>125280</v>
      </c>
    </row>
    <row r="2440" spans="7:14" ht="11.25" customHeight="1" x14ac:dyDescent="0.3">
      <c r="G2440" s="470"/>
      <c r="H2440" s="470">
        <v>2433</v>
      </c>
      <c r="I2440" s="455">
        <f t="shared" ca="1" si="130"/>
        <v>6161007008.4227591</v>
      </c>
      <c r="J2440" s="455">
        <f t="array" ref="J2440">IFERROR(INDEX('Retirement Calculator'!K:K,MATCH('Lorri 401b'!N2440,'Retirement Calculator'!A:A,0),0),0)</f>
        <v>0</v>
      </c>
      <c r="K2440" s="455">
        <f t="shared" ca="1" si="128"/>
        <v>25670862.535094827</v>
      </c>
      <c r="L2440" s="455">
        <f t="shared" ca="1" si="129"/>
        <v>6186677870.9578543</v>
      </c>
      <c r="M2440" s="471">
        <f t="shared" si="131"/>
        <v>0.05</v>
      </c>
      <c r="N2440" s="475">
        <f t="shared" si="132"/>
        <v>125311</v>
      </c>
    </row>
    <row r="2441" spans="7:14" ht="11.25" customHeight="1" x14ac:dyDescent="0.3">
      <c r="G2441" s="470"/>
      <c r="H2441" s="470">
        <v>2434</v>
      </c>
      <c r="I2441" s="455">
        <f t="shared" ca="1" si="130"/>
        <v>6186677870.9578543</v>
      </c>
      <c r="J2441" s="455">
        <f t="array" ref="J2441">IFERROR(INDEX('Retirement Calculator'!K:K,MATCH('Lorri 401b'!N2441,'Retirement Calculator'!A:A,0),0),0)</f>
        <v>0</v>
      </c>
      <c r="K2441" s="455">
        <f t="shared" ca="1" si="128"/>
        <v>25777824.462324392</v>
      </c>
      <c r="L2441" s="455">
        <f t="shared" ca="1" si="129"/>
        <v>6212455695.4201784</v>
      </c>
      <c r="M2441" s="471">
        <f t="shared" si="131"/>
        <v>0.05</v>
      </c>
      <c r="N2441" s="475">
        <f t="shared" si="132"/>
        <v>125339</v>
      </c>
    </row>
    <row r="2442" spans="7:14" ht="11.25" customHeight="1" x14ac:dyDescent="0.3">
      <c r="G2442" s="470"/>
      <c r="H2442" s="470">
        <v>2435</v>
      </c>
      <c r="I2442" s="455">
        <f t="shared" ca="1" si="130"/>
        <v>6212455695.4201784</v>
      </c>
      <c r="J2442" s="455">
        <f t="array" ref="J2442">IFERROR(INDEX('Retirement Calculator'!K:K,MATCH('Lorri 401b'!N2442,'Retirement Calculator'!A:A,0),0),0)</f>
        <v>0</v>
      </c>
      <c r="K2442" s="455">
        <f t="shared" ca="1" si="128"/>
        <v>25885232.064250745</v>
      </c>
      <c r="L2442" s="455">
        <f t="shared" ca="1" si="129"/>
        <v>6238340927.4844294</v>
      </c>
      <c r="M2442" s="471">
        <f t="shared" si="131"/>
        <v>0.05</v>
      </c>
      <c r="N2442" s="475">
        <f t="shared" si="132"/>
        <v>125370</v>
      </c>
    </row>
    <row r="2443" spans="7:14" ht="11.25" customHeight="1" x14ac:dyDescent="0.3">
      <c r="G2443" s="470"/>
      <c r="H2443" s="470">
        <v>2436</v>
      </c>
      <c r="I2443" s="455">
        <f t="shared" ca="1" si="130"/>
        <v>6238340927.4844294</v>
      </c>
      <c r="J2443" s="455">
        <f t="array" ref="J2443">IFERROR(INDEX('Retirement Calculator'!K:K,MATCH('Lorri 401b'!N2443,'Retirement Calculator'!A:A,0),0),0)</f>
        <v>0</v>
      </c>
      <c r="K2443" s="455">
        <f t="shared" ca="1" si="128"/>
        <v>25993087.197851788</v>
      </c>
      <c r="L2443" s="455">
        <f t="shared" ca="1" si="129"/>
        <v>6264334014.6822815</v>
      </c>
      <c r="M2443" s="471">
        <f t="shared" si="131"/>
        <v>0.05</v>
      </c>
      <c r="N2443" s="475">
        <f t="shared" si="132"/>
        <v>125400</v>
      </c>
    </row>
    <row r="2444" spans="7:14" ht="11.25" customHeight="1" x14ac:dyDescent="0.3">
      <c r="G2444" s="470"/>
      <c r="H2444" s="470">
        <v>2437</v>
      </c>
      <c r="I2444" s="455">
        <f t="shared" ca="1" si="130"/>
        <v>6264334014.6822815</v>
      </c>
      <c r="J2444" s="455">
        <f t="array" ref="J2444">IFERROR(INDEX('Retirement Calculator'!K:K,MATCH('Lorri 401b'!N2444,'Retirement Calculator'!A:A,0),0),0)</f>
        <v>0</v>
      </c>
      <c r="K2444" s="455">
        <f t="shared" ca="1" si="128"/>
        <v>26101391.727842838</v>
      </c>
      <c r="L2444" s="455">
        <f t="shared" ca="1" si="129"/>
        <v>6290435406.4101248</v>
      </c>
      <c r="M2444" s="471">
        <f t="shared" si="131"/>
        <v>0.05</v>
      </c>
      <c r="N2444" s="475">
        <f t="shared" si="132"/>
        <v>125431</v>
      </c>
    </row>
    <row r="2445" spans="7:14" ht="11.25" customHeight="1" x14ac:dyDescent="0.3">
      <c r="G2445" s="470"/>
      <c r="H2445" s="470">
        <v>2438</v>
      </c>
      <c r="I2445" s="455">
        <f t="shared" ca="1" si="130"/>
        <v>6290435406.4101248</v>
      </c>
      <c r="J2445" s="455">
        <f t="array" ref="J2445">IFERROR(INDEX('Retirement Calculator'!K:K,MATCH('Lorri 401b'!N2445,'Retirement Calculator'!A:A,0),0),0)</f>
        <v>0</v>
      </c>
      <c r="K2445" s="455">
        <f t="shared" ca="1" si="128"/>
        <v>26210147.526708852</v>
      </c>
      <c r="L2445" s="455">
        <f t="shared" ca="1" si="129"/>
        <v>6316645553.9368334</v>
      </c>
      <c r="M2445" s="471">
        <f t="shared" si="131"/>
        <v>0.05</v>
      </c>
      <c r="N2445" s="475">
        <f t="shared" si="132"/>
        <v>125461</v>
      </c>
    </row>
    <row r="2446" spans="7:14" ht="11.25" customHeight="1" x14ac:dyDescent="0.3">
      <c r="G2446" s="470"/>
      <c r="H2446" s="470">
        <v>2439</v>
      </c>
      <c r="I2446" s="455">
        <f t="shared" ca="1" si="130"/>
        <v>6316645553.9368334</v>
      </c>
      <c r="J2446" s="455">
        <f t="array" ref="J2446">IFERROR(INDEX('Retirement Calculator'!K:K,MATCH('Lorri 401b'!N2446,'Retirement Calculator'!A:A,0),0),0)</f>
        <v>0</v>
      </c>
      <c r="K2446" s="455">
        <f t="shared" ca="1" si="128"/>
        <v>26319356.474736806</v>
      </c>
      <c r="L2446" s="455">
        <f t="shared" ca="1" si="129"/>
        <v>6342964910.4115705</v>
      </c>
      <c r="M2446" s="471">
        <f t="shared" si="131"/>
        <v>0.05</v>
      </c>
      <c r="N2446" s="475">
        <f t="shared" si="132"/>
        <v>125492</v>
      </c>
    </row>
    <row r="2447" spans="7:14" ht="11.25" customHeight="1" x14ac:dyDescent="0.3">
      <c r="G2447" s="470"/>
      <c r="H2447" s="470">
        <v>2440</v>
      </c>
      <c r="I2447" s="455">
        <f t="shared" ca="1" si="130"/>
        <v>6342964910.4115705</v>
      </c>
      <c r="J2447" s="455">
        <f t="array" ref="J2447">IFERROR(INDEX('Retirement Calculator'!K:K,MATCH('Lorri 401b'!N2447,'Retirement Calculator'!A:A,0),0),0)</f>
        <v>0</v>
      </c>
      <c r="K2447" s="455">
        <f t="shared" ca="1" si="128"/>
        <v>26429020.46004821</v>
      </c>
      <c r="L2447" s="455">
        <f t="shared" ca="1" si="129"/>
        <v>6369393930.8716192</v>
      </c>
      <c r="M2447" s="471">
        <f t="shared" si="131"/>
        <v>0.05</v>
      </c>
      <c r="N2447" s="475">
        <f t="shared" si="132"/>
        <v>125523</v>
      </c>
    </row>
    <row r="2448" spans="7:14" ht="11.25" customHeight="1" x14ac:dyDescent="0.3">
      <c r="G2448" s="470"/>
      <c r="H2448" s="470">
        <v>2441</v>
      </c>
      <c r="I2448" s="455">
        <f t="shared" ca="1" si="130"/>
        <v>6369393930.8716192</v>
      </c>
      <c r="J2448" s="455">
        <f t="array" ref="J2448">IFERROR(INDEX('Retirement Calculator'!K:K,MATCH('Lorri 401b'!N2448,'Retirement Calculator'!A:A,0),0),0)</f>
        <v>0</v>
      </c>
      <c r="K2448" s="455">
        <f t="shared" ca="1" si="128"/>
        <v>26539141.378631748</v>
      </c>
      <c r="L2448" s="455">
        <f t="shared" ca="1" si="129"/>
        <v>6395933072.2502508</v>
      </c>
      <c r="M2448" s="471">
        <f t="shared" si="131"/>
        <v>0.05</v>
      </c>
      <c r="N2448" s="475">
        <f t="shared" si="132"/>
        <v>125553</v>
      </c>
    </row>
    <row r="2449" spans="7:14" ht="11.25" customHeight="1" x14ac:dyDescent="0.3">
      <c r="G2449" s="470"/>
      <c r="H2449" s="470">
        <v>2442</v>
      </c>
      <c r="I2449" s="455">
        <f t="shared" ca="1" si="130"/>
        <v>6395933072.2502508</v>
      </c>
      <c r="J2449" s="455">
        <f t="array" ref="J2449">IFERROR(INDEX('Retirement Calculator'!K:K,MATCH('Lorri 401b'!N2449,'Retirement Calculator'!A:A,0),0),0)</f>
        <v>0</v>
      </c>
      <c r="K2449" s="455">
        <f t="shared" ca="1" si="128"/>
        <v>26649721.134376045</v>
      </c>
      <c r="L2449" s="455">
        <f t="shared" ca="1" si="129"/>
        <v>6422582793.3846264</v>
      </c>
      <c r="M2449" s="471">
        <f t="shared" si="131"/>
        <v>0.05</v>
      </c>
      <c r="N2449" s="475">
        <f t="shared" si="132"/>
        <v>125584</v>
      </c>
    </row>
    <row r="2450" spans="7:14" ht="11.25" customHeight="1" x14ac:dyDescent="0.3">
      <c r="G2450" s="470"/>
      <c r="H2450" s="470">
        <v>2443</v>
      </c>
      <c r="I2450" s="455">
        <f t="shared" ca="1" si="130"/>
        <v>6422582793.3846264</v>
      </c>
      <c r="J2450" s="455">
        <f t="array" ref="J2450">IFERROR(INDEX('Retirement Calculator'!K:K,MATCH('Lorri 401b'!N2450,'Retirement Calculator'!A:A,0),0),0)</f>
        <v>0</v>
      </c>
      <c r="K2450" s="455">
        <f t="shared" ca="1" si="128"/>
        <v>26760761.639102608</v>
      </c>
      <c r="L2450" s="455">
        <f t="shared" ca="1" si="129"/>
        <v>6449343555.0237293</v>
      </c>
      <c r="M2450" s="471">
        <f t="shared" si="131"/>
        <v>0.05</v>
      </c>
      <c r="N2450" s="475">
        <f t="shared" si="132"/>
        <v>125614</v>
      </c>
    </row>
    <row r="2451" spans="7:14" ht="11.25" customHeight="1" x14ac:dyDescent="0.3">
      <c r="G2451" s="470"/>
      <c r="H2451" s="470">
        <v>2444</v>
      </c>
      <c r="I2451" s="455">
        <f t="shared" ca="1" si="130"/>
        <v>6449343555.0237293</v>
      </c>
      <c r="J2451" s="455">
        <f t="array" ref="J2451">IFERROR(INDEX('Retirement Calculator'!K:K,MATCH('Lorri 401b'!N2451,'Retirement Calculator'!A:A,0),0),0)</f>
        <v>0</v>
      </c>
      <c r="K2451" s="455">
        <f t="shared" ca="1" si="128"/>
        <v>26872264.812598873</v>
      </c>
      <c r="L2451" s="455">
        <f t="shared" ca="1" si="129"/>
        <v>6476215819.8363285</v>
      </c>
      <c r="M2451" s="471">
        <f t="shared" si="131"/>
        <v>0.05</v>
      </c>
      <c r="N2451" s="475">
        <f t="shared" si="132"/>
        <v>125645</v>
      </c>
    </row>
    <row r="2452" spans="7:14" ht="11.25" customHeight="1" x14ac:dyDescent="0.3">
      <c r="G2452" s="470"/>
      <c r="H2452" s="470">
        <v>2445</v>
      </c>
      <c r="I2452" s="455">
        <f t="shared" ca="1" si="130"/>
        <v>6476215819.8363285</v>
      </c>
      <c r="J2452" s="455">
        <f t="array" ref="J2452">IFERROR(INDEX('Retirement Calculator'!K:K,MATCH('Lorri 401b'!N2452,'Retirement Calculator'!A:A,0),0),0)</f>
        <v>0</v>
      </c>
      <c r="K2452" s="455">
        <f t="shared" ca="1" si="128"/>
        <v>26984232.582651369</v>
      </c>
      <c r="L2452" s="455">
        <f t="shared" ca="1" si="129"/>
        <v>6503200052.4189796</v>
      </c>
      <c r="M2452" s="471">
        <f t="shared" si="131"/>
        <v>0.05</v>
      </c>
      <c r="N2452" s="475">
        <f t="shared" si="132"/>
        <v>125676</v>
      </c>
    </row>
    <row r="2453" spans="7:14" ht="11.25" customHeight="1" x14ac:dyDescent="0.3">
      <c r="G2453" s="470"/>
      <c r="H2453" s="470">
        <v>2446</v>
      </c>
      <c r="I2453" s="455">
        <f t="shared" ca="1" si="130"/>
        <v>6503200052.4189796</v>
      </c>
      <c r="J2453" s="455">
        <f t="array" ref="J2453">IFERROR(INDEX('Retirement Calculator'!K:K,MATCH('Lorri 401b'!N2453,'Retirement Calculator'!A:A,0),0),0)</f>
        <v>0</v>
      </c>
      <c r="K2453" s="455">
        <f t="shared" ca="1" si="128"/>
        <v>27096666.885079082</v>
      </c>
      <c r="L2453" s="455">
        <f t="shared" ca="1" si="129"/>
        <v>6530296719.304059</v>
      </c>
      <c r="M2453" s="471">
        <f t="shared" si="131"/>
        <v>0.05</v>
      </c>
      <c r="N2453" s="475">
        <f t="shared" si="132"/>
        <v>125705</v>
      </c>
    </row>
    <row r="2454" spans="7:14" ht="11.25" customHeight="1" x14ac:dyDescent="0.3">
      <c r="G2454" s="470"/>
      <c r="H2454" s="470">
        <v>2447</v>
      </c>
      <c r="I2454" s="455">
        <f t="shared" ca="1" si="130"/>
        <v>6530296719.304059</v>
      </c>
      <c r="J2454" s="455">
        <f t="array" ref="J2454">IFERROR(INDEX('Retirement Calculator'!K:K,MATCH('Lorri 401b'!N2454,'Retirement Calculator'!A:A,0),0),0)</f>
        <v>0</v>
      </c>
      <c r="K2454" s="455">
        <f t="shared" ca="1" si="128"/>
        <v>27209569.663766913</v>
      </c>
      <c r="L2454" s="455">
        <f t="shared" ca="1" si="129"/>
        <v>6557506288.9678259</v>
      </c>
      <c r="M2454" s="471">
        <f t="shared" si="131"/>
        <v>0.05</v>
      </c>
      <c r="N2454" s="475">
        <f t="shared" si="132"/>
        <v>125736</v>
      </c>
    </row>
    <row r="2455" spans="7:14" ht="11.25" customHeight="1" x14ac:dyDescent="0.3">
      <c r="G2455" s="470"/>
      <c r="H2455" s="470">
        <v>2448</v>
      </c>
      <c r="I2455" s="455">
        <f t="shared" ca="1" si="130"/>
        <v>6557506288.9678259</v>
      </c>
      <c r="J2455" s="455">
        <f t="array" ref="J2455">IFERROR(INDEX('Retirement Calculator'!K:K,MATCH('Lorri 401b'!N2455,'Retirement Calculator'!A:A,0),0),0)</f>
        <v>0</v>
      </c>
      <c r="K2455" s="455">
        <f t="shared" ca="1" si="128"/>
        <v>27322942.870699275</v>
      </c>
      <c r="L2455" s="455">
        <f t="shared" ca="1" si="129"/>
        <v>6584829231.8385248</v>
      </c>
      <c r="M2455" s="471">
        <f t="shared" si="131"/>
        <v>0.05</v>
      </c>
      <c r="N2455" s="475">
        <f t="shared" si="132"/>
        <v>125766</v>
      </c>
    </row>
    <row r="2456" spans="7:14" ht="11.25" customHeight="1" x14ac:dyDescent="0.3">
      <c r="G2456" s="470"/>
      <c r="H2456" s="470">
        <v>2449</v>
      </c>
      <c r="I2456" s="455">
        <f t="shared" ca="1" si="130"/>
        <v>6584829231.8385248</v>
      </c>
      <c r="J2456" s="455">
        <f t="array" ref="J2456">IFERROR(INDEX('Retirement Calculator'!K:K,MATCH('Lorri 401b'!N2456,'Retirement Calculator'!A:A,0),0),0)</f>
        <v>0</v>
      </c>
      <c r="K2456" s="455">
        <f t="shared" ca="1" si="128"/>
        <v>27436788.465993851</v>
      </c>
      <c r="L2456" s="455">
        <f t="shared" ca="1" si="129"/>
        <v>6612266020.3045187</v>
      </c>
      <c r="M2456" s="471">
        <f t="shared" si="131"/>
        <v>0.05</v>
      </c>
      <c r="N2456" s="475">
        <f t="shared" si="132"/>
        <v>125797</v>
      </c>
    </row>
    <row r="2457" spans="7:14" ht="11.25" customHeight="1" x14ac:dyDescent="0.3">
      <c r="G2457" s="470"/>
      <c r="H2457" s="470">
        <v>2450</v>
      </c>
      <c r="I2457" s="455">
        <f t="shared" ca="1" si="130"/>
        <v>6612266020.3045187</v>
      </c>
      <c r="J2457" s="455">
        <f t="array" ref="J2457">IFERROR(INDEX('Retirement Calculator'!K:K,MATCH('Lorri 401b'!N2457,'Retirement Calculator'!A:A,0),0),0)</f>
        <v>0</v>
      </c>
      <c r="K2457" s="455">
        <f t="shared" ca="1" si="128"/>
        <v>27551108.417935494</v>
      </c>
      <c r="L2457" s="455">
        <f t="shared" ca="1" si="129"/>
        <v>6639817128.7224541</v>
      </c>
      <c r="M2457" s="471">
        <f t="shared" si="131"/>
        <v>0.05</v>
      </c>
      <c r="N2457" s="475">
        <f t="shared" si="132"/>
        <v>125827</v>
      </c>
    </row>
    <row r="2458" spans="7:14" ht="11.25" customHeight="1" x14ac:dyDescent="0.3">
      <c r="G2458" s="470"/>
      <c r="H2458" s="470">
        <v>2451</v>
      </c>
      <c r="I2458" s="455">
        <f t="shared" ca="1" si="130"/>
        <v>6639817128.7224541</v>
      </c>
      <c r="J2458" s="455">
        <f t="array" ref="J2458">IFERROR(INDEX('Retirement Calculator'!K:K,MATCH('Lorri 401b'!N2458,'Retirement Calculator'!A:A,0),0),0)</f>
        <v>0</v>
      </c>
      <c r="K2458" s="455">
        <f t="shared" ca="1" si="128"/>
        <v>27665904.703010224</v>
      </c>
      <c r="L2458" s="455">
        <f t="shared" ca="1" si="129"/>
        <v>6667483033.4254646</v>
      </c>
      <c r="M2458" s="471">
        <f t="shared" si="131"/>
        <v>0.05</v>
      </c>
      <c r="N2458" s="475">
        <f t="shared" si="132"/>
        <v>125858</v>
      </c>
    </row>
    <row r="2459" spans="7:14" ht="11.25" customHeight="1" x14ac:dyDescent="0.3">
      <c r="G2459" s="470"/>
      <c r="H2459" s="470">
        <v>2452</v>
      </c>
      <c r="I2459" s="455">
        <f t="shared" ca="1" si="130"/>
        <v>6667483033.4254646</v>
      </c>
      <c r="J2459" s="455">
        <f t="array" ref="J2459">IFERROR(INDEX('Retirement Calculator'!K:K,MATCH('Lorri 401b'!N2459,'Retirement Calculator'!A:A,0),0),0)</f>
        <v>0</v>
      </c>
      <c r="K2459" s="455">
        <f t="shared" ca="1" si="128"/>
        <v>27781179.305939436</v>
      </c>
      <c r="L2459" s="455">
        <f t="shared" ca="1" si="129"/>
        <v>6695264212.7314043</v>
      </c>
      <c r="M2459" s="471">
        <f t="shared" si="131"/>
        <v>0.05</v>
      </c>
      <c r="N2459" s="475">
        <f t="shared" si="132"/>
        <v>125889</v>
      </c>
    </row>
    <row r="2460" spans="7:14" ht="11.25" customHeight="1" x14ac:dyDescent="0.3">
      <c r="G2460" s="470"/>
      <c r="H2460" s="470">
        <v>2453</v>
      </c>
      <c r="I2460" s="455">
        <f t="shared" ca="1" si="130"/>
        <v>6695264212.7314043</v>
      </c>
      <c r="J2460" s="455">
        <f t="array" ref="J2460">IFERROR(INDEX('Retirement Calculator'!K:K,MATCH('Lorri 401b'!N2460,'Retirement Calculator'!A:A,0),0),0)</f>
        <v>0</v>
      </c>
      <c r="K2460" s="455">
        <f t="shared" ca="1" si="128"/>
        <v>27896934.219714183</v>
      </c>
      <c r="L2460" s="455">
        <f t="shared" ca="1" si="129"/>
        <v>6723161146.9511185</v>
      </c>
      <c r="M2460" s="471">
        <f t="shared" si="131"/>
        <v>0.05</v>
      </c>
      <c r="N2460" s="475">
        <f t="shared" si="132"/>
        <v>125919</v>
      </c>
    </row>
    <row r="2461" spans="7:14" ht="11.25" customHeight="1" x14ac:dyDescent="0.3">
      <c r="G2461" s="470"/>
      <c r="H2461" s="470">
        <v>2454</v>
      </c>
      <c r="I2461" s="455">
        <f t="shared" ca="1" si="130"/>
        <v>6723161146.9511185</v>
      </c>
      <c r="J2461" s="455">
        <f t="array" ref="J2461">IFERROR(INDEX('Retirement Calculator'!K:K,MATCH('Lorri 401b'!N2461,'Retirement Calculator'!A:A,0),0),0)</f>
        <v>0</v>
      </c>
      <c r="K2461" s="455">
        <f t="shared" ca="1" si="128"/>
        <v>28013171.44562966</v>
      </c>
      <c r="L2461" s="455">
        <f t="shared" ca="1" si="129"/>
        <v>6751174318.3967485</v>
      </c>
      <c r="M2461" s="471">
        <f t="shared" si="131"/>
        <v>0.05</v>
      </c>
      <c r="N2461" s="475">
        <f t="shared" si="132"/>
        <v>125950</v>
      </c>
    </row>
    <row r="2462" spans="7:14" ht="11.25" customHeight="1" x14ac:dyDescent="0.3">
      <c r="G2462" s="470"/>
      <c r="H2462" s="470">
        <v>2455</v>
      </c>
      <c r="I2462" s="455">
        <f t="shared" ca="1" si="130"/>
        <v>6751174318.3967485</v>
      </c>
      <c r="J2462" s="455">
        <f t="array" ref="J2462">IFERROR(INDEX('Retirement Calculator'!K:K,MATCH('Lorri 401b'!N2462,'Retirement Calculator'!A:A,0),0),0)</f>
        <v>0</v>
      </c>
      <c r="K2462" s="455">
        <f t="shared" ca="1" si="128"/>
        <v>28129892.993319791</v>
      </c>
      <c r="L2462" s="455">
        <f t="shared" ca="1" si="129"/>
        <v>6779304211.3900681</v>
      </c>
      <c r="M2462" s="471">
        <f t="shared" si="131"/>
        <v>0.05</v>
      </c>
      <c r="N2462" s="475">
        <f t="shared" si="132"/>
        <v>125980</v>
      </c>
    </row>
    <row r="2463" spans="7:14" ht="11.25" customHeight="1" x14ac:dyDescent="0.3">
      <c r="G2463" s="470"/>
      <c r="H2463" s="470">
        <v>2456</v>
      </c>
      <c r="I2463" s="455">
        <f t="shared" ca="1" si="130"/>
        <v>6779304211.3900681</v>
      </c>
      <c r="J2463" s="455">
        <f t="array" ref="J2463">IFERROR(INDEX('Retirement Calculator'!K:K,MATCH('Lorri 401b'!N2463,'Retirement Calculator'!A:A,0),0),0)</f>
        <v>0</v>
      </c>
      <c r="K2463" s="455">
        <f t="shared" ca="1" si="128"/>
        <v>28247100.880791955</v>
      </c>
      <c r="L2463" s="455">
        <f t="shared" ca="1" si="129"/>
        <v>6807551312.2708597</v>
      </c>
      <c r="M2463" s="471">
        <f t="shared" si="131"/>
        <v>0.05</v>
      </c>
      <c r="N2463" s="475">
        <f t="shared" si="132"/>
        <v>126011</v>
      </c>
    </row>
    <row r="2464" spans="7:14" ht="11.25" customHeight="1" x14ac:dyDescent="0.3">
      <c r="G2464" s="470"/>
      <c r="H2464" s="470">
        <v>2457</v>
      </c>
      <c r="I2464" s="455">
        <f t="shared" ca="1" si="130"/>
        <v>6807551312.2708597</v>
      </c>
      <c r="J2464" s="455">
        <f t="array" ref="J2464">IFERROR(INDEX('Retirement Calculator'!K:K,MATCH('Lorri 401b'!N2464,'Retirement Calculator'!A:A,0),0),0)</f>
        <v>0</v>
      </c>
      <c r="K2464" s="455">
        <f t="shared" ca="1" si="128"/>
        <v>28364797.134461913</v>
      </c>
      <c r="L2464" s="455">
        <f t="shared" ca="1" si="129"/>
        <v>6835916109.4053221</v>
      </c>
      <c r="M2464" s="471">
        <f t="shared" si="131"/>
        <v>0.05</v>
      </c>
      <c r="N2464" s="475">
        <f t="shared" si="132"/>
        <v>126042</v>
      </c>
    </row>
    <row r="2465" spans="7:14" ht="11.25" customHeight="1" x14ac:dyDescent="0.3">
      <c r="G2465" s="470"/>
      <c r="H2465" s="470">
        <v>2458</v>
      </c>
      <c r="I2465" s="455">
        <f t="shared" ca="1" si="130"/>
        <v>6835916109.4053221</v>
      </c>
      <c r="J2465" s="455">
        <f t="array" ref="J2465">IFERROR(INDEX('Retirement Calculator'!K:K,MATCH('Lorri 401b'!N2465,'Retirement Calculator'!A:A,0),0),0)</f>
        <v>0</v>
      </c>
      <c r="K2465" s="455">
        <f t="shared" ca="1" si="128"/>
        <v>28482983.789188843</v>
      </c>
      <c r="L2465" s="455">
        <f t="shared" ca="1" si="129"/>
        <v>6864399093.1945105</v>
      </c>
      <c r="M2465" s="471">
        <f t="shared" si="131"/>
        <v>0.05</v>
      </c>
      <c r="N2465" s="475">
        <f t="shared" si="132"/>
        <v>126070</v>
      </c>
    </row>
    <row r="2466" spans="7:14" ht="11.25" customHeight="1" x14ac:dyDescent="0.3">
      <c r="G2466" s="470"/>
      <c r="H2466" s="470">
        <v>2459</v>
      </c>
      <c r="I2466" s="455">
        <f t="shared" ca="1" si="130"/>
        <v>6864399093.1945105</v>
      </c>
      <c r="J2466" s="455">
        <f t="array" ref="J2466">IFERROR(INDEX('Retirement Calculator'!K:K,MATCH('Lorri 401b'!N2466,'Retirement Calculator'!A:A,0),0),0)</f>
        <v>0</v>
      </c>
      <c r="K2466" s="455">
        <f t="shared" ca="1" si="128"/>
        <v>28601662.888310462</v>
      </c>
      <c r="L2466" s="455">
        <f t="shared" ca="1" si="129"/>
        <v>6893000756.0828209</v>
      </c>
      <c r="M2466" s="471">
        <f t="shared" si="131"/>
        <v>0.05</v>
      </c>
      <c r="N2466" s="475">
        <f t="shared" si="132"/>
        <v>126101</v>
      </c>
    </row>
    <row r="2467" spans="7:14" ht="11.25" customHeight="1" x14ac:dyDescent="0.3">
      <c r="G2467" s="470"/>
      <c r="H2467" s="470">
        <v>2460</v>
      </c>
      <c r="I2467" s="455">
        <f t="shared" ca="1" si="130"/>
        <v>6893000756.0828209</v>
      </c>
      <c r="J2467" s="455">
        <f t="array" ref="J2467">IFERROR(INDEX('Retirement Calculator'!K:K,MATCH('Lorri 401b'!N2467,'Retirement Calculator'!A:A,0),0),0)</f>
        <v>0</v>
      </c>
      <c r="K2467" s="455">
        <f t="shared" ca="1" si="128"/>
        <v>28720836.483678419</v>
      </c>
      <c r="L2467" s="455">
        <f t="shared" ca="1" si="129"/>
        <v>6921721592.5664997</v>
      </c>
      <c r="M2467" s="471">
        <f t="shared" si="131"/>
        <v>0.05</v>
      </c>
      <c r="N2467" s="475">
        <f t="shared" si="132"/>
        <v>126131</v>
      </c>
    </row>
    <row r="2468" spans="7:14" ht="11.25" customHeight="1" x14ac:dyDescent="0.3">
      <c r="G2468" s="470"/>
      <c r="H2468" s="470">
        <v>2461</v>
      </c>
      <c r="I2468" s="455">
        <f t="shared" ca="1" si="130"/>
        <v>6921721592.5664997</v>
      </c>
      <c r="J2468" s="455">
        <f t="array" ref="J2468">IFERROR(INDEX('Retirement Calculator'!K:K,MATCH('Lorri 401b'!N2468,'Retirement Calculator'!A:A,0),0),0)</f>
        <v>0</v>
      </c>
      <c r="K2468" s="455">
        <f t="shared" ca="1" si="128"/>
        <v>28840506.635693751</v>
      </c>
      <c r="L2468" s="455">
        <f t="shared" ca="1" si="129"/>
        <v>6950562099.2021933</v>
      </c>
      <c r="M2468" s="471">
        <f t="shared" si="131"/>
        <v>0.05</v>
      </c>
      <c r="N2468" s="475">
        <f t="shared" si="132"/>
        <v>126162</v>
      </c>
    </row>
    <row r="2469" spans="7:14" ht="11.25" customHeight="1" x14ac:dyDescent="0.3">
      <c r="G2469" s="470"/>
      <c r="H2469" s="470">
        <v>2462</v>
      </c>
      <c r="I2469" s="455">
        <f t="shared" ca="1" si="130"/>
        <v>6950562099.2021933</v>
      </c>
      <c r="J2469" s="455">
        <f t="array" ref="J2469">IFERROR(INDEX('Retirement Calculator'!K:K,MATCH('Lorri 401b'!N2469,'Retirement Calculator'!A:A,0),0),0)</f>
        <v>0</v>
      </c>
      <c r="K2469" s="455">
        <f t="shared" ca="1" si="128"/>
        <v>28960675.413342472</v>
      </c>
      <c r="L2469" s="455">
        <f t="shared" ca="1" si="129"/>
        <v>6979522774.6155357</v>
      </c>
      <c r="M2469" s="471">
        <f t="shared" si="131"/>
        <v>0.05</v>
      </c>
      <c r="N2469" s="475">
        <f t="shared" si="132"/>
        <v>126192</v>
      </c>
    </row>
    <row r="2470" spans="7:14" ht="11.25" customHeight="1" x14ac:dyDescent="0.3">
      <c r="G2470" s="470"/>
      <c r="H2470" s="470">
        <v>2463</v>
      </c>
      <c r="I2470" s="455">
        <f t="shared" ca="1" si="130"/>
        <v>6979522774.6155357</v>
      </c>
      <c r="J2470" s="455">
        <f t="array" ref="J2470">IFERROR(INDEX('Retirement Calculator'!K:K,MATCH('Lorri 401b'!N2470,'Retirement Calculator'!A:A,0),0),0)</f>
        <v>0</v>
      </c>
      <c r="K2470" s="455">
        <f t="shared" ca="1" si="128"/>
        <v>29081344.894231394</v>
      </c>
      <c r="L2470" s="455">
        <f t="shared" ca="1" si="129"/>
        <v>7008604119.5097675</v>
      </c>
      <c r="M2470" s="471">
        <f t="shared" si="131"/>
        <v>0.05</v>
      </c>
      <c r="N2470" s="475">
        <f t="shared" si="132"/>
        <v>126223</v>
      </c>
    </row>
    <row r="2471" spans="7:14" ht="11.25" customHeight="1" x14ac:dyDescent="0.3">
      <c r="G2471" s="470"/>
      <c r="H2471" s="470">
        <v>2464</v>
      </c>
      <c r="I2471" s="455">
        <f t="shared" ca="1" si="130"/>
        <v>7008604119.5097675</v>
      </c>
      <c r="J2471" s="455">
        <f t="array" ref="J2471">IFERROR(INDEX('Retirement Calculator'!K:K,MATCH('Lorri 401b'!N2471,'Retirement Calculator'!A:A,0),0),0)</f>
        <v>0</v>
      </c>
      <c r="K2471" s="455">
        <f t="shared" ca="1" si="128"/>
        <v>29202517.164624028</v>
      </c>
      <c r="L2471" s="455">
        <f t="shared" ca="1" si="129"/>
        <v>7037806636.6743917</v>
      </c>
      <c r="M2471" s="471">
        <f t="shared" si="131"/>
        <v>0.05</v>
      </c>
      <c r="N2471" s="475">
        <f t="shared" si="132"/>
        <v>126254</v>
      </c>
    </row>
    <row r="2472" spans="7:14" ht="11.25" customHeight="1" x14ac:dyDescent="0.3">
      <c r="G2472" s="470"/>
      <c r="H2472" s="470">
        <v>2465</v>
      </c>
      <c r="I2472" s="455">
        <f t="shared" ca="1" si="130"/>
        <v>7037806636.6743917</v>
      </c>
      <c r="J2472" s="455">
        <f t="array" ref="J2472">IFERROR(INDEX('Retirement Calculator'!K:K,MATCH('Lorri 401b'!N2472,'Retirement Calculator'!A:A,0),0),0)</f>
        <v>0</v>
      </c>
      <c r="K2472" s="455">
        <f t="shared" ca="1" si="128"/>
        <v>29324194.319476631</v>
      </c>
      <c r="L2472" s="455">
        <f t="shared" ca="1" si="129"/>
        <v>7067130830.9938688</v>
      </c>
      <c r="M2472" s="471">
        <f t="shared" si="131"/>
        <v>0.05</v>
      </c>
      <c r="N2472" s="475">
        <f t="shared" si="132"/>
        <v>126284</v>
      </c>
    </row>
    <row r="2473" spans="7:14" ht="11.25" customHeight="1" x14ac:dyDescent="0.3">
      <c r="G2473" s="470"/>
      <c r="H2473" s="470">
        <v>2466</v>
      </c>
      <c r="I2473" s="455">
        <f t="shared" ca="1" si="130"/>
        <v>7067130830.9938688</v>
      </c>
      <c r="J2473" s="455">
        <f t="array" ref="J2473">IFERROR(INDEX('Retirement Calculator'!K:K,MATCH('Lorri 401b'!N2473,'Retirement Calculator'!A:A,0),0),0)</f>
        <v>0</v>
      </c>
      <c r="K2473" s="455">
        <f t="shared" ca="1" si="128"/>
        <v>29446378.462474454</v>
      </c>
      <c r="L2473" s="455">
        <f t="shared" ca="1" si="129"/>
        <v>7096577209.4563437</v>
      </c>
      <c r="M2473" s="471">
        <f t="shared" si="131"/>
        <v>0.05</v>
      </c>
      <c r="N2473" s="475">
        <f t="shared" si="132"/>
        <v>126315</v>
      </c>
    </row>
    <row r="2474" spans="7:14" ht="11.25" customHeight="1" x14ac:dyDescent="0.3">
      <c r="G2474" s="470"/>
      <c r="H2474" s="470">
        <v>2467</v>
      </c>
      <c r="I2474" s="455">
        <f t="shared" ca="1" si="130"/>
        <v>7096577209.4563437</v>
      </c>
      <c r="J2474" s="455">
        <f t="array" ref="J2474">IFERROR(INDEX('Retirement Calculator'!K:K,MATCH('Lorri 401b'!N2474,'Retirement Calculator'!A:A,0),0),0)</f>
        <v>0</v>
      </c>
      <c r="K2474" s="455">
        <f t="shared" ca="1" si="128"/>
        <v>29569071.706068099</v>
      </c>
      <c r="L2474" s="455">
        <f t="shared" ca="1" si="129"/>
        <v>7126146281.1624117</v>
      </c>
      <c r="M2474" s="471">
        <f t="shared" si="131"/>
        <v>0.05</v>
      </c>
      <c r="N2474" s="475">
        <f t="shared" si="132"/>
        <v>126345</v>
      </c>
    </row>
    <row r="2475" spans="7:14" ht="11.25" customHeight="1" x14ac:dyDescent="0.3">
      <c r="G2475" s="470"/>
      <c r="H2475" s="470">
        <v>2468</v>
      </c>
      <c r="I2475" s="455">
        <f t="shared" ca="1" si="130"/>
        <v>7126146281.1624117</v>
      </c>
      <c r="J2475" s="455">
        <f t="array" ref="J2475">IFERROR(INDEX('Retirement Calculator'!K:K,MATCH('Lorri 401b'!N2475,'Retirement Calculator'!A:A,0),0),0)</f>
        <v>0</v>
      </c>
      <c r="K2475" s="455">
        <f t="shared" ca="1" si="128"/>
        <v>29692276.171510044</v>
      </c>
      <c r="L2475" s="455">
        <f t="shared" ca="1" si="129"/>
        <v>7155838557.3339214</v>
      </c>
      <c r="M2475" s="471">
        <f t="shared" si="131"/>
        <v>0.05</v>
      </c>
      <c r="N2475" s="475">
        <f t="shared" si="132"/>
        <v>126376</v>
      </c>
    </row>
    <row r="2476" spans="7:14" ht="11.25" customHeight="1" x14ac:dyDescent="0.3">
      <c r="G2476" s="470"/>
      <c r="H2476" s="470">
        <v>2469</v>
      </c>
      <c r="I2476" s="455">
        <f t="shared" ca="1" si="130"/>
        <v>7155838557.3339214</v>
      </c>
      <c r="J2476" s="455">
        <f t="array" ref="J2476">IFERROR(INDEX('Retirement Calculator'!K:K,MATCH('Lorri 401b'!N2476,'Retirement Calculator'!A:A,0),0),0)</f>
        <v>0</v>
      </c>
      <c r="K2476" s="455">
        <f t="shared" ca="1" si="128"/>
        <v>29815993.988891337</v>
      </c>
      <c r="L2476" s="455">
        <f t="shared" ca="1" si="129"/>
        <v>7185654551.322813</v>
      </c>
      <c r="M2476" s="471">
        <f t="shared" si="131"/>
        <v>0.05</v>
      </c>
      <c r="N2476" s="475">
        <f t="shared" si="132"/>
        <v>126407</v>
      </c>
    </row>
    <row r="2477" spans="7:14" ht="11.25" customHeight="1" x14ac:dyDescent="0.3">
      <c r="G2477" s="470"/>
      <c r="H2477" s="470">
        <v>2470</v>
      </c>
      <c r="I2477" s="455">
        <f t="shared" ca="1" si="130"/>
        <v>7185654551.322813</v>
      </c>
      <c r="J2477" s="455">
        <f t="array" ref="J2477">IFERROR(INDEX('Retirement Calculator'!K:K,MATCH('Lorri 401b'!N2477,'Retirement Calculator'!A:A,0),0),0)</f>
        <v>0</v>
      </c>
      <c r="K2477" s="455">
        <f t="shared" ca="1" si="128"/>
        <v>29940227.297178388</v>
      </c>
      <c r="L2477" s="455">
        <f t="shared" ca="1" si="129"/>
        <v>7215594778.6199913</v>
      </c>
      <c r="M2477" s="471">
        <f t="shared" si="131"/>
        <v>0.05</v>
      </c>
      <c r="N2477" s="475">
        <f t="shared" si="132"/>
        <v>126435</v>
      </c>
    </row>
    <row r="2478" spans="7:14" ht="11.25" customHeight="1" x14ac:dyDescent="0.3">
      <c r="G2478" s="470"/>
      <c r="H2478" s="470">
        <v>2471</v>
      </c>
      <c r="I2478" s="455">
        <f t="shared" ca="1" si="130"/>
        <v>7215594778.6199913</v>
      </c>
      <c r="J2478" s="455">
        <f t="array" ref="J2478">IFERROR(INDEX('Retirement Calculator'!K:K,MATCH('Lorri 401b'!N2478,'Retirement Calculator'!A:A,0),0),0)</f>
        <v>0</v>
      </c>
      <c r="K2478" s="455">
        <f t="shared" ca="1" si="128"/>
        <v>30064978.244249959</v>
      </c>
      <c r="L2478" s="455">
        <f t="shared" ca="1" si="129"/>
        <v>7245659756.8642416</v>
      </c>
      <c r="M2478" s="471">
        <f t="shared" si="131"/>
        <v>0.05</v>
      </c>
      <c r="N2478" s="475">
        <f t="shared" si="132"/>
        <v>126466</v>
      </c>
    </row>
    <row r="2479" spans="7:14" ht="11.25" customHeight="1" x14ac:dyDescent="0.3">
      <c r="G2479" s="470"/>
      <c r="H2479" s="470">
        <v>2472</v>
      </c>
      <c r="I2479" s="455">
        <f t="shared" ca="1" si="130"/>
        <v>7245659756.8642416</v>
      </c>
      <c r="J2479" s="455">
        <f t="array" ref="J2479">IFERROR(INDEX('Retirement Calculator'!K:K,MATCH('Lorri 401b'!N2479,'Retirement Calculator'!A:A,0),0),0)</f>
        <v>0</v>
      </c>
      <c r="K2479" s="455">
        <f t="shared" ca="1" si="128"/>
        <v>30190248.986934338</v>
      </c>
      <c r="L2479" s="455">
        <f t="shared" ca="1" si="129"/>
        <v>7275850005.8511763</v>
      </c>
      <c r="M2479" s="471">
        <f t="shared" si="131"/>
        <v>0.05</v>
      </c>
      <c r="N2479" s="475">
        <f t="shared" si="132"/>
        <v>126496</v>
      </c>
    </row>
    <row r="2480" spans="7:14" ht="11.25" customHeight="1" x14ac:dyDescent="0.3">
      <c r="G2480" s="470"/>
      <c r="H2480" s="470">
        <v>2473</v>
      </c>
      <c r="I2480" s="455">
        <f t="shared" ca="1" si="130"/>
        <v>7275850005.8511763</v>
      </c>
      <c r="J2480" s="455">
        <f t="array" ref="J2480">IFERROR(INDEX('Retirement Calculator'!K:K,MATCH('Lorri 401b'!N2480,'Retirement Calculator'!A:A,0),0),0)</f>
        <v>0</v>
      </c>
      <c r="K2480" s="455">
        <f t="shared" ca="1" si="128"/>
        <v>30316041.691046566</v>
      </c>
      <c r="L2480" s="455">
        <f t="shared" ca="1" si="129"/>
        <v>7306166047.542223</v>
      </c>
      <c r="M2480" s="471">
        <f t="shared" si="131"/>
        <v>0.05</v>
      </c>
      <c r="N2480" s="475">
        <f t="shared" si="132"/>
        <v>126527</v>
      </c>
    </row>
    <row r="2481" spans="7:14" ht="11.25" customHeight="1" x14ac:dyDescent="0.3">
      <c r="G2481" s="470"/>
      <c r="H2481" s="470">
        <v>2474</v>
      </c>
      <c r="I2481" s="455">
        <f t="shared" ca="1" si="130"/>
        <v>7306166047.542223</v>
      </c>
      <c r="J2481" s="455">
        <f t="array" ref="J2481">IFERROR(INDEX('Retirement Calculator'!K:K,MATCH('Lorri 401b'!N2481,'Retirement Calculator'!A:A,0),0),0)</f>
        <v>0</v>
      </c>
      <c r="K2481" s="455">
        <f t="shared" ca="1" si="128"/>
        <v>30442358.531425927</v>
      </c>
      <c r="L2481" s="455">
        <f t="shared" ca="1" si="129"/>
        <v>7336608406.0736485</v>
      </c>
      <c r="M2481" s="471">
        <f t="shared" si="131"/>
        <v>0.05</v>
      </c>
      <c r="N2481" s="475">
        <f t="shared" si="132"/>
        <v>126557</v>
      </c>
    </row>
    <row r="2482" spans="7:14" ht="11.25" customHeight="1" x14ac:dyDescent="0.3">
      <c r="G2482" s="470"/>
      <c r="H2482" s="470">
        <v>2475</v>
      </c>
      <c r="I2482" s="455">
        <f t="shared" ca="1" si="130"/>
        <v>7336608406.0736485</v>
      </c>
      <c r="J2482" s="455">
        <f t="array" ref="J2482">IFERROR(INDEX('Retirement Calculator'!K:K,MATCH('Lorri 401b'!N2482,'Retirement Calculator'!A:A,0),0),0)</f>
        <v>0</v>
      </c>
      <c r="K2482" s="455">
        <f t="shared" ca="1" si="128"/>
        <v>30569201.691973533</v>
      </c>
      <c r="L2482" s="455">
        <f t="shared" ca="1" si="129"/>
        <v>7367177607.7656221</v>
      </c>
      <c r="M2482" s="471">
        <f t="shared" si="131"/>
        <v>0.05</v>
      </c>
      <c r="N2482" s="475">
        <f t="shared" si="132"/>
        <v>126588</v>
      </c>
    </row>
    <row r="2483" spans="7:14" ht="11.25" customHeight="1" x14ac:dyDescent="0.3">
      <c r="G2483" s="470"/>
      <c r="H2483" s="470">
        <v>2476</v>
      </c>
      <c r="I2483" s="455">
        <f t="shared" ca="1" si="130"/>
        <v>7367177607.7656221</v>
      </c>
      <c r="J2483" s="455">
        <f t="array" ref="J2483">IFERROR(INDEX('Retirement Calculator'!K:K,MATCH('Lorri 401b'!N2483,'Retirement Calculator'!A:A,0),0),0)</f>
        <v>0</v>
      </c>
      <c r="K2483" s="455">
        <f t="shared" ca="1" si="128"/>
        <v>30696573.365690093</v>
      </c>
      <c r="L2483" s="455">
        <f t="shared" ca="1" si="129"/>
        <v>7397874181.1313124</v>
      </c>
      <c r="M2483" s="471">
        <f t="shared" si="131"/>
        <v>0.05</v>
      </c>
      <c r="N2483" s="475">
        <f t="shared" si="132"/>
        <v>126619</v>
      </c>
    </row>
    <row r="2484" spans="7:14" ht="11.25" customHeight="1" x14ac:dyDescent="0.3">
      <c r="G2484" s="470"/>
      <c r="H2484" s="470">
        <v>2477</v>
      </c>
      <c r="I2484" s="455">
        <f t="shared" ca="1" si="130"/>
        <v>7397874181.1313124</v>
      </c>
      <c r="J2484" s="455">
        <f t="array" ref="J2484">IFERROR(INDEX('Retirement Calculator'!K:K,MATCH('Lorri 401b'!N2484,'Retirement Calculator'!A:A,0),0),0)</f>
        <v>0</v>
      </c>
      <c r="K2484" s="455">
        <f t="shared" ca="1" si="128"/>
        <v>30824475.754713804</v>
      </c>
      <c r="L2484" s="455">
        <f t="shared" ca="1" si="129"/>
        <v>7428698656.8860264</v>
      </c>
      <c r="M2484" s="471">
        <f t="shared" si="131"/>
        <v>0.05</v>
      </c>
      <c r="N2484" s="475">
        <f t="shared" si="132"/>
        <v>126649</v>
      </c>
    </row>
    <row r="2485" spans="7:14" ht="11.25" customHeight="1" x14ac:dyDescent="0.3">
      <c r="G2485" s="470"/>
      <c r="H2485" s="470">
        <v>2478</v>
      </c>
      <c r="I2485" s="455">
        <f t="shared" ca="1" si="130"/>
        <v>7428698656.8860264</v>
      </c>
      <c r="J2485" s="455">
        <f t="array" ref="J2485">IFERROR(INDEX('Retirement Calculator'!K:K,MATCH('Lorri 401b'!N2485,'Retirement Calculator'!A:A,0),0),0)</f>
        <v>0</v>
      </c>
      <c r="K2485" s="455">
        <f t="shared" ca="1" si="128"/>
        <v>30952911.070358444</v>
      </c>
      <c r="L2485" s="455">
        <f t="shared" ca="1" si="129"/>
        <v>7459651567.9563847</v>
      </c>
      <c r="M2485" s="471">
        <f t="shared" si="131"/>
        <v>0.05</v>
      </c>
      <c r="N2485" s="475">
        <f t="shared" si="132"/>
        <v>126680</v>
      </c>
    </row>
    <row r="2486" spans="7:14" ht="11.25" customHeight="1" x14ac:dyDescent="0.3">
      <c r="G2486" s="470"/>
      <c r="H2486" s="470">
        <v>2479</v>
      </c>
      <c r="I2486" s="455">
        <f t="shared" ca="1" si="130"/>
        <v>7459651567.9563847</v>
      </c>
      <c r="J2486" s="455">
        <f t="array" ref="J2486">IFERROR(INDEX('Retirement Calculator'!K:K,MATCH('Lorri 401b'!N2486,'Retirement Calculator'!A:A,0),0),0)</f>
        <v>0</v>
      </c>
      <c r="K2486" s="455">
        <f t="shared" ca="1" si="128"/>
        <v>31081881.533151601</v>
      </c>
      <c r="L2486" s="455">
        <f t="shared" ca="1" si="129"/>
        <v>7490733449.4895363</v>
      </c>
      <c r="M2486" s="471">
        <f t="shared" si="131"/>
        <v>0.05</v>
      </c>
      <c r="N2486" s="475">
        <f t="shared" si="132"/>
        <v>126710</v>
      </c>
    </row>
    <row r="2487" spans="7:14" ht="11.25" customHeight="1" x14ac:dyDescent="0.3">
      <c r="G2487" s="470"/>
      <c r="H2487" s="470">
        <v>2480</v>
      </c>
      <c r="I2487" s="455">
        <f t="shared" ca="1" si="130"/>
        <v>7490733449.4895363</v>
      </c>
      <c r="J2487" s="455">
        <f t="array" ref="J2487">IFERROR(INDEX('Retirement Calculator'!K:K,MATCH('Lorri 401b'!N2487,'Retirement Calculator'!A:A,0),0),0)</f>
        <v>0</v>
      </c>
      <c r="K2487" s="455">
        <f t="shared" ca="1" si="128"/>
        <v>31211389.372873068</v>
      </c>
      <c r="L2487" s="455">
        <f t="shared" ca="1" si="129"/>
        <v>7521944838.8624096</v>
      </c>
      <c r="M2487" s="471">
        <f t="shared" si="131"/>
        <v>0.05</v>
      </c>
      <c r="N2487" s="475">
        <f t="shared" si="132"/>
        <v>126741</v>
      </c>
    </row>
    <row r="2488" spans="7:14" ht="11.25" customHeight="1" x14ac:dyDescent="0.3">
      <c r="G2488" s="470"/>
      <c r="H2488" s="470">
        <v>2481</v>
      </c>
      <c r="I2488" s="455">
        <f t="shared" ca="1" si="130"/>
        <v>7521944838.8624096</v>
      </c>
      <c r="J2488" s="455">
        <f t="array" ref="J2488">IFERROR(INDEX('Retirement Calculator'!K:K,MATCH('Lorri 401b'!N2488,'Retirement Calculator'!A:A,0),0),0)</f>
        <v>0</v>
      </c>
      <c r="K2488" s="455">
        <f t="shared" ca="1" si="128"/>
        <v>31341436.828593373</v>
      </c>
      <c r="L2488" s="455">
        <f t="shared" ca="1" si="129"/>
        <v>7553286275.6910028</v>
      </c>
      <c r="M2488" s="471">
        <f t="shared" si="131"/>
        <v>0.05</v>
      </c>
      <c r="N2488" s="475">
        <f t="shared" si="132"/>
        <v>126772</v>
      </c>
    </row>
    <row r="2489" spans="7:14" ht="11.25" customHeight="1" x14ac:dyDescent="0.3">
      <c r="G2489" s="470"/>
      <c r="H2489" s="470">
        <v>2482</v>
      </c>
      <c r="I2489" s="455">
        <f t="shared" ca="1" si="130"/>
        <v>7553286275.6910028</v>
      </c>
      <c r="J2489" s="455">
        <f t="array" ref="J2489">IFERROR(INDEX('Retirement Calculator'!K:K,MATCH('Lorri 401b'!N2489,'Retirement Calculator'!A:A,0),0),0)</f>
        <v>0</v>
      </c>
      <c r="K2489" s="455">
        <f t="shared" ca="1" si="128"/>
        <v>31472026.148712512</v>
      </c>
      <c r="L2489" s="455">
        <f t="shared" ca="1" si="129"/>
        <v>7584758301.839715</v>
      </c>
      <c r="M2489" s="471">
        <f t="shared" si="131"/>
        <v>0.05</v>
      </c>
      <c r="N2489" s="475">
        <f t="shared" si="132"/>
        <v>126800</v>
      </c>
    </row>
    <row r="2490" spans="7:14" ht="11.25" customHeight="1" x14ac:dyDescent="0.3">
      <c r="G2490" s="470"/>
      <c r="H2490" s="470">
        <v>2483</v>
      </c>
      <c r="I2490" s="455">
        <f t="shared" ca="1" si="130"/>
        <v>7584758301.839715</v>
      </c>
      <c r="J2490" s="455">
        <f t="array" ref="J2490">IFERROR(INDEX('Retirement Calculator'!K:K,MATCH('Lorri 401b'!N2490,'Retirement Calculator'!A:A,0),0),0)</f>
        <v>0</v>
      </c>
      <c r="K2490" s="455">
        <f t="shared" ca="1" si="128"/>
        <v>31603159.590998817</v>
      </c>
      <c r="L2490" s="455">
        <f t="shared" ca="1" si="129"/>
        <v>7616361461.4307137</v>
      </c>
      <c r="M2490" s="471">
        <f t="shared" si="131"/>
        <v>0.05</v>
      </c>
      <c r="N2490" s="475">
        <f t="shared" si="132"/>
        <v>126831</v>
      </c>
    </row>
    <row r="2491" spans="7:14" ht="11.25" customHeight="1" x14ac:dyDescent="0.3">
      <c r="G2491" s="470"/>
      <c r="H2491" s="470">
        <v>2484</v>
      </c>
      <c r="I2491" s="455">
        <f t="shared" ca="1" si="130"/>
        <v>7616361461.4307137</v>
      </c>
      <c r="J2491" s="455">
        <f t="array" ref="J2491">IFERROR(INDEX('Retirement Calculator'!K:K,MATCH('Lorri 401b'!N2491,'Retirement Calculator'!A:A,0),0),0)</f>
        <v>0</v>
      </c>
      <c r="K2491" s="455">
        <f t="shared" ca="1" si="128"/>
        <v>31734839.422627971</v>
      </c>
      <c r="L2491" s="455">
        <f t="shared" ca="1" si="129"/>
        <v>7648096300.8533421</v>
      </c>
      <c r="M2491" s="471">
        <f t="shared" si="131"/>
        <v>0.05</v>
      </c>
      <c r="N2491" s="475">
        <f t="shared" si="132"/>
        <v>126861</v>
      </c>
    </row>
    <row r="2492" spans="7:14" ht="11.25" customHeight="1" x14ac:dyDescent="0.3">
      <c r="G2492" s="470"/>
      <c r="H2492" s="470">
        <v>2485</v>
      </c>
      <c r="I2492" s="455">
        <f t="shared" ca="1" si="130"/>
        <v>7648096300.8533421</v>
      </c>
      <c r="J2492" s="455">
        <f t="array" ref="J2492">IFERROR(INDEX('Retirement Calculator'!K:K,MATCH('Lorri 401b'!N2492,'Retirement Calculator'!A:A,0),0),0)</f>
        <v>0</v>
      </c>
      <c r="K2492" s="455">
        <f t="shared" ca="1" si="128"/>
        <v>31867067.920222253</v>
      </c>
      <c r="L2492" s="455">
        <f t="shared" ca="1" si="129"/>
        <v>7679963368.7735643</v>
      </c>
      <c r="M2492" s="471">
        <f t="shared" si="131"/>
        <v>0.05</v>
      </c>
      <c r="N2492" s="475">
        <f t="shared" si="132"/>
        <v>126892</v>
      </c>
    </row>
    <row r="2493" spans="7:14" ht="11.25" customHeight="1" x14ac:dyDescent="0.3">
      <c r="G2493" s="470"/>
      <c r="H2493" s="470">
        <v>2486</v>
      </c>
      <c r="I2493" s="455">
        <f t="shared" ca="1" si="130"/>
        <v>7679963368.7735643</v>
      </c>
      <c r="J2493" s="455">
        <f t="array" ref="J2493">IFERROR(INDEX('Retirement Calculator'!K:K,MATCH('Lorri 401b'!N2493,'Retirement Calculator'!A:A,0),0),0)</f>
        <v>0</v>
      </c>
      <c r="K2493" s="455">
        <f t="shared" ca="1" si="128"/>
        <v>31999847.369889848</v>
      </c>
      <c r="L2493" s="455">
        <f t="shared" ca="1" si="129"/>
        <v>7711963216.1434546</v>
      </c>
      <c r="M2493" s="471">
        <f t="shared" si="131"/>
        <v>0.05</v>
      </c>
      <c r="N2493" s="475">
        <f t="shared" si="132"/>
        <v>126922</v>
      </c>
    </row>
    <row r="2494" spans="7:14" ht="11.25" customHeight="1" x14ac:dyDescent="0.3">
      <c r="G2494" s="470"/>
      <c r="H2494" s="470">
        <v>2487</v>
      </c>
      <c r="I2494" s="455">
        <f t="shared" ca="1" si="130"/>
        <v>7711963216.1434546</v>
      </c>
      <c r="J2494" s="455">
        <f t="array" ref="J2494">IFERROR(INDEX('Retirement Calculator'!K:K,MATCH('Lorri 401b'!N2494,'Retirement Calculator'!A:A,0),0),0)</f>
        <v>0</v>
      </c>
      <c r="K2494" s="455">
        <f t="shared" ca="1" si="128"/>
        <v>32133180.067264393</v>
      </c>
      <c r="L2494" s="455">
        <f t="shared" ca="1" si="129"/>
        <v>7744096396.2107191</v>
      </c>
      <c r="M2494" s="471">
        <f t="shared" si="131"/>
        <v>0.05</v>
      </c>
      <c r="N2494" s="475">
        <f t="shared" si="132"/>
        <v>126953</v>
      </c>
    </row>
    <row r="2495" spans="7:14" ht="11.25" customHeight="1" x14ac:dyDescent="0.3">
      <c r="G2495" s="470"/>
      <c r="H2495" s="470">
        <v>2488</v>
      </c>
      <c r="I2495" s="455">
        <f t="shared" ca="1" si="130"/>
        <v>7744096396.2107191</v>
      </c>
      <c r="J2495" s="455">
        <f t="array" ref="J2495">IFERROR(INDEX('Retirement Calculator'!K:K,MATCH('Lorri 401b'!N2495,'Retirement Calculator'!A:A,0),0),0)</f>
        <v>0</v>
      </c>
      <c r="K2495" s="455">
        <f t="shared" ca="1" si="128"/>
        <v>32267068.317544665</v>
      </c>
      <c r="L2495" s="455">
        <f t="shared" ca="1" si="129"/>
        <v>7776363464.528264</v>
      </c>
      <c r="M2495" s="471">
        <f t="shared" si="131"/>
        <v>0.05</v>
      </c>
      <c r="N2495" s="475">
        <f t="shared" si="132"/>
        <v>126984</v>
      </c>
    </row>
    <row r="2496" spans="7:14" ht="11.25" customHeight="1" x14ac:dyDescent="0.3">
      <c r="G2496" s="470"/>
      <c r="H2496" s="470">
        <v>2489</v>
      </c>
      <c r="I2496" s="455">
        <f t="shared" ca="1" si="130"/>
        <v>7776363464.528264</v>
      </c>
      <c r="J2496" s="455">
        <f t="array" ref="J2496">IFERROR(INDEX('Retirement Calculator'!K:K,MATCH('Lorri 401b'!N2496,'Retirement Calculator'!A:A,0),0),0)</f>
        <v>0</v>
      </c>
      <c r="K2496" s="455">
        <f t="shared" ca="1" si="128"/>
        <v>32401514.435534429</v>
      </c>
      <c r="L2496" s="455">
        <f t="shared" ca="1" si="129"/>
        <v>7808764978.9637985</v>
      </c>
      <c r="M2496" s="471">
        <f t="shared" si="131"/>
        <v>0.05</v>
      </c>
      <c r="N2496" s="475">
        <f t="shared" si="132"/>
        <v>127014</v>
      </c>
    </row>
    <row r="2497" spans="7:14" ht="11.25" customHeight="1" x14ac:dyDescent="0.3">
      <c r="G2497" s="470"/>
      <c r="H2497" s="470">
        <v>2490</v>
      </c>
      <c r="I2497" s="455">
        <f t="shared" ca="1" si="130"/>
        <v>7808764978.9637985</v>
      </c>
      <c r="J2497" s="455">
        <f t="array" ref="J2497">IFERROR(INDEX('Retirement Calculator'!K:K,MATCH('Lorri 401b'!N2497,'Retirement Calculator'!A:A,0),0),0)</f>
        <v>0</v>
      </c>
      <c r="K2497" s="455">
        <f t="shared" ca="1" si="128"/>
        <v>32536520.745682489</v>
      </c>
      <c r="L2497" s="455">
        <f t="shared" ca="1" si="129"/>
        <v>7841301499.7094812</v>
      </c>
      <c r="M2497" s="471">
        <f t="shared" si="131"/>
        <v>0.05</v>
      </c>
      <c r="N2497" s="475">
        <f t="shared" si="132"/>
        <v>127045</v>
      </c>
    </row>
    <row r="2498" spans="7:14" ht="11.25" customHeight="1" x14ac:dyDescent="0.3">
      <c r="G2498" s="470"/>
      <c r="H2498" s="470">
        <v>2491</v>
      </c>
      <c r="I2498" s="455">
        <f t="shared" ca="1" si="130"/>
        <v>7841301499.7094812</v>
      </c>
      <c r="J2498" s="455">
        <f t="array" ref="J2498">IFERROR(INDEX('Retirement Calculator'!K:K,MATCH('Lorri 401b'!N2498,'Retirement Calculator'!A:A,0),0),0)</f>
        <v>0</v>
      </c>
      <c r="K2498" s="455">
        <f t="shared" ca="1" si="128"/>
        <v>32672089.582122836</v>
      </c>
      <c r="L2498" s="455">
        <f t="shared" ca="1" si="129"/>
        <v>7873973589.291604</v>
      </c>
      <c r="M2498" s="471">
        <f t="shared" si="131"/>
        <v>0.05</v>
      </c>
      <c r="N2498" s="475">
        <f t="shared" si="132"/>
        <v>127075</v>
      </c>
    </row>
    <row r="2499" spans="7:14" ht="11.25" customHeight="1" x14ac:dyDescent="0.3">
      <c r="G2499" s="470"/>
      <c r="H2499" s="470">
        <v>2492</v>
      </c>
      <c r="I2499" s="455">
        <f t="shared" ca="1" si="130"/>
        <v>7873973589.291604</v>
      </c>
      <c r="J2499" s="455">
        <f t="array" ref="J2499">IFERROR(INDEX('Retirement Calculator'!K:K,MATCH('Lorri 401b'!N2499,'Retirement Calculator'!A:A,0),0),0)</f>
        <v>0</v>
      </c>
      <c r="K2499" s="455">
        <f t="shared" ca="1" si="128"/>
        <v>32808223.288715016</v>
      </c>
      <c r="L2499" s="455">
        <f t="shared" ca="1" si="129"/>
        <v>7906781812.5803194</v>
      </c>
      <c r="M2499" s="471">
        <f t="shared" si="131"/>
        <v>0.05</v>
      </c>
      <c r="N2499" s="475">
        <f t="shared" si="132"/>
        <v>127106</v>
      </c>
    </row>
    <row r="2500" spans="7:14" ht="11.25" customHeight="1" x14ac:dyDescent="0.3">
      <c r="G2500" s="470"/>
      <c r="H2500" s="470">
        <v>2493</v>
      </c>
      <c r="I2500" s="455">
        <f t="shared" ca="1" si="130"/>
        <v>7906781812.5803194</v>
      </c>
      <c r="J2500" s="455">
        <f t="array" ref="J2500">IFERROR(INDEX('Retirement Calculator'!K:K,MATCH('Lorri 401b'!N2500,'Retirement Calculator'!A:A,0),0),0)</f>
        <v>0</v>
      </c>
      <c r="K2500" s="455">
        <f t="shared" ca="1" si="128"/>
        <v>32944924.219084665</v>
      </c>
      <c r="L2500" s="455">
        <f t="shared" ca="1" si="129"/>
        <v>7939726736.7994041</v>
      </c>
      <c r="M2500" s="471">
        <f t="shared" si="131"/>
        <v>0.05</v>
      </c>
      <c r="N2500" s="475">
        <f t="shared" si="132"/>
        <v>127137</v>
      </c>
    </row>
    <row r="2501" spans="7:14" ht="11.25" customHeight="1" x14ac:dyDescent="0.3">
      <c r="G2501" s="470"/>
      <c r="H2501" s="470">
        <v>2494</v>
      </c>
      <c r="I2501" s="455">
        <f t="shared" ca="1" si="130"/>
        <v>7939726736.7994041</v>
      </c>
      <c r="J2501" s="455">
        <f t="array" ref="J2501">IFERROR(INDEX('Retirement Calculator'!K:K,MATCH('Lorri 401b'!N2501,'Retirement Calculator'!A:A,0),0),0)</f>
        <v>0</v>
      </c>
      <c r="K2501" s="455">
        <f t="shared" ca="1" si="128"/>
        <v>33082194.736664183</v>
      </c>
      <c r="L2501" s="455">
        <f t="shared" ca="1" si="129"/>
        <v>7972808931.536068</v>
      </c>
      <c r="M2501" s="471">
        <f t="shared" si="131"/>
        <v>0.05</v>
      </c>
      <c r="N2501" s="475">
        <f t="shared" si="132"/>
        <v>127166</v>
      </c>
    </row>
    <row r="2502" spans="7:14" ht="11.25" customHeight="1" x14ac:dyDescent="0.3">
      <c r="G2502" s="470"/>
      <c r="H2502" s="470">
        <v>2495</v>
      </c>
      <c r="I2502" s="455">
        <f t="shared" ca="1" si="130"/>
        <v>7972808931.536068</v>
      </c>
      <c r="J2502" s="455">
        <f t="array" ref="J2502">IFERROR(INDEX('Retirement Calculator'!K:K,MATCH('Lorri 401b'!N2502,'Retirement Calculator'!A:A,0),0),0)</f>
        <v>0</v>
      </c>
      <c r="K2502" s="455">
        <f t="shared" ca="1" si="128"/>
        <v>33220037.214733612</v>
      </c>
      <c r="L2502" s="455">
        <f t="shared" ca="1" si="129"/>
        <v>8006028968.750802</v>
      </c>
      <c r="M2502" s="471">
        <f t="shared" si="131"/>
        <v>0.05</v>
      </c>
      <c r="N2502" s="475">
        <f t="shared" si="132"/>
        <v>127197</v>
      </c>
    </row>
    <row r="2503" spans="7:14" ht="11.25" customHeight="1" x14ac:dyDescent="0.3">
      <c r="G2503" s="470"/>
      <c r="H2503" s="470">
        <v>2496</v>
      </c>
      <c r="I2503" s="455">
        <f t="shared" ca="1" si="130"/>
        <v>8006028968.750802</v>
      </c>
      <c r="J2503" s="455">
        <f t="array" ref="J2503">IFERROR(INDEX('Retirement Calculator'!K:K,MATCH('Lorri 401b'!N2503,'Retirement Calculator'!A:A,0),0),0)</f>
        <v>0</v>
      </c>
      <c r="K2503" s="455">
        <f t="shared" ca="1" si="128"/>
        <v>33358454.036461674</v>
      </c>
      <c r="L2503" s="455">
        <f t="shared" ca="1" si="129"/>
        <v>8039387422.7872639</v>
      </c>
      <c r="M2503" s="471">
        <f t="shared" si="131"/>
        <v>0.05</v>
      </c>
      <c r="N2503" s="475">
        <f t="shared" si="132"/>
        <v>127227</v>
      </c>
    </row>
    <row r="2504" spans="7:14" ht="11.25" customHeight="1" x14ac:dyDescent="0.3">
      <c r="G2504" s="470"/>
      <c r="H2504" s="470">
        <v>2497</v>
      </c>
      <c r="I2504" s="455">
        <f t="shared" ca="1" si="130"/>
        <v>8039387422.7872639</v>
      </c>
      <c r="J2504" s="455">
        <f t="array" ref="J2504">IFERROR(INDEX('Retirement Calculator'!K:K,MATCH('Lorri 401b'!N2504,'Retirement Calculator'!A:A,0),0),0)</f>
        <v>0</v>
      </c>
      <c r="K2504" s="455">
        <f t="shared" ca="1" si="128"/>
        <v>33497447.594946936</v>
      </c>
      <c r="L2504" s="455">
        <f t="shared" ca="1" si="129"/>
        <v>8072884870.3822107</v>
      </c>
      <c r="M2504" s="471">
        <f t="shared" si="131"/>
        <v>0.05</v>
      </c>
      <c r="N2504" s="475">
        <f t="shared" si="132"/>
        <v>127258</v>
      </c>
    </row>
    <row r="2505" spans="7:14" ht="11.25" customHeight="1" x14ac:dyDescent="0.3">
      <c r="G2505" s="470"/>
      <c r="H2505" s="470">
        <v>2498</v>
      </c>
      <c r="I2505" s="455">
        <f t="shared" ca="1" si="130"/>
        <v>8072884870.3822107</v>
      </c>
      <c r="J2505" s="455">
        <f t="array" ref="J2505">IFERROR(INDEX('Retirement Calculator'!K:K,MATCH('Lorri 401b'!N2505,'Retirement Calculator'!A:A,0),0),0)</f>
        <v>0</v>
      </c>
      <c r="K2505" s="455">
        <f t="shared" ca="1" si="128"/>
        <v>33637020.293259211</v>
      </c>
      <c r="L2505" s="455">
        <f t="shared" ca="1" si="129"/>
        <v>8106521890.6754704</v>
      </c>
      <c r="M2505" s="471">
        <f t="shared" si="131"/>
        <v>0.05</v>
      </c>
      <c r="N2505" s="475">
        <f t="shared" si="132"/>
        <v>127288</v>
      </c>
    </row>
    <row r="2506" spans="7:14" ht="11.25" customHeight="1" x14ac:dyDescent="0.3">
      <c r="G2506" s="470"/>
      <c r="H2506" s="470">
        <v>2499</v>
      </c>
      <c r="I2506" s="455">
        <f t="shared" ca="1" si="130"/>
        <v>8106521890.6754704</v>
      </c>
      <c r="J2506" s="455">
        <f t="array" ref="J2506">IFERROR(INDEX('Retirement Calculator'!K:K,MATCH('Lorri 401b'!N2506,'Retirement Calculator'!A:A,0),0),0)</f>
        <v>0</v>
      </c>
      <c r="K2506" s="455">
        <f t="shared" ca="1" si="128"/>
        <v>33777174.544481128</v>
      </c>
      <c r="L2506" s="455">
        <f t="shared" ca="1" si="129"/>
        <v>8140299065.2199516</v>
      </c>
      <c r="M2506" s="471">
        <f t="shared" si="131"/>
        <v>0.05</v>
      </c>
      <c r="N2506" s="475">
        <f t="shared" si="132"/>
        <v>127319</v>
      </c>
    </row>
    <row r="2507" spans="7:14" ht="11.25" customHeight="1" x14ac:dyDescent="0.3">
      <c r="G2507" s="470"/>
      <c r="H2507" s="470">
        <v>2500</v>
      </c>
      <c r="I2507" s="455">
        <f t="shared" ca="1" si="130"/>
        <v>8140299065.2199516</v>
      </c>
      <c r="J2507" s="455">
        <f t="array" ref="J2507">IFERROR(INDEX('Retirement Calculator'!K:K,MATCH('Lorri 401b'!N2507,'Retirement Calculator'!A:A,0),0),0)</f>
        <v>0</v>
      </c>
      <c r="K2507" s="455">
        <f t="shared" ca="1" si="128"/>
        <v>33917912.771749794</v>
      </c>
      <c r="L2507" s="455">
        <f t="shared" ca="1" si="129"/>
        <v>8174216977.9917011</v>
      </c>
      <c r="M2507" s="471">
        <f t="shared" si="131"/>
        <v>0.05</v>
      </c>
      <c r="N2507" s="475">
        <f t="shared" si="132"/>
        <v>127350</v>
      </c>
    </row>
    <row r="2508" spans="7:14" ht="11.25" customHeight="1" x14ac:dyDescent="0.3">
      <c r="G2508" s="470"/>
      <c r="H2508" s="470">
        <v>2501</v>
      </c>
      <c r="I2508" s="455">
        <f t="shared" ca="1" si="130"/>
        <v>8174216977.9917011</v>
      </c>
      <c r="J2508" s="455">
        <f t="array" ref="J2508">IFERROR(INDEX('Retirement Calculator'!K:K,MATCH('Lorri 401b'!N2508,'Retirement Calculator'!A:A,0),0),0)</f>
        <v>0</v>
      </c>
      <c r="K2508" s="455">
        <f t="shared" ca="1" si="128"/>
        <v>34059237.408298753</v>
      </c>
      <c r="L2508" s="455">
        <f t="shared" ca="1" si="129"/>
        <v>8208276215.3999996</v>
      </c>
      <c r="M2508" s="471">
        <f t="shared" si="131"/>
        <v>0.05</v>
      </c>
      <c r="N2508" s="475">
        <f t="shared" si="132"/>
        <v>127380</v>
      </c>
    </row>
    <row r="2509" spans="7:14" ht="11.25" customHeight="1" x14ac:dyDescent="0.3">
      <c r="G2509" s="470"/>
      <c r="H2509" s="470">
        <v>2502</v>
      </c>
      <c r="I2509" s="455">
        <f t="shared" ca="1" si="130"/>
        <v>8208276215.3999996</v>
      </c>
      <c r="J2509" s="455">
        <f t="array" ref="J2509">IFERROR(INDEX('Retirement Calculator'!K:K,MATCH('Lorri 401b'!N2509,'Retirement Calculator'!A:A,0),0),0)</f>
        <v>0</v>
      </c>
      <c r="K2509" s="455">
        <f t="shared" ca="1" si="128"/>
        <v>34201150.897500001</v>
      </c>
      <c r="L2509" s="455">
        <f t="shared" ca="1" si="129"/>
        <v>8242477366.2974997</v>
      </c>
      <c r="M2509" s="471">
        <f t="shared" si="131"/>
        <v>0.05</v>
      </c>
      <c r="N2509" s="475">
        <f t="shared" si="132"/>
        <v>127411</v>
      </c>
    </row>
    <row r="2510" spans="7:14" ht="11.25" customHeight="1" x14ac:dyDescent="0.3">
      <c r="G2510" s="470"/>
      <c r="H2510" s="470">
        <v>2503</v>
      </c>
      <c r="I2510" s="455">
        <f t="shared" ca="1" si="130"/>
        <v>8242477366.2974997</v>
      </c>
      <c r="J2510" s="455">
        <f t="array" ref="J2510">IFERROR(INDEX('Retirement Calculator'!K:K,MATCH('Lorri 401b'!N2510,'Retirement Calculator'!A:A,0),0),0)</f>
        <v>0</v>
      </c>
      <c r="K2510" s="455">
        <f t="shared" ca="1" si="128"/>
        <v>34343655.692906246</v>
      </c>
      <c r="L2510" s="455">
        <f t="shared" ca="1" si="129"/>
        <v>8276821021.990406</v>
      </c>
      <c r="M2510" s="471">
        <f t="shared" si="131"/>
        <v>0.05</v>
      </c>
      <c r="N2510" s="475">
        <f t="shared" si="132"/>
        <v>127441</v>
      </c>
    </row>
    <row r="2511" spans="7:14" ht="11.25" customHeight="1" x14ac:dyDescent="0.3">
      <c r="G2511" s="470"/>
      <c r="H2511" s="470">
        <v>2504</v>
      </c>
      <c r="I2511" s="455">
        <f t="shared" ca="1" si="130"/>
        <v>8276821021.990406</v>
      </c>
      <c r="J2511" s="455">
        <f t="array" ref="J2511">IFERROR(INDEX('Retirement Calculator'!K:K,MATCH('Lorri 401b'!N2511,'Retirement Calculator'!A:A,0),0),0)</f>
        <v>0</v>
      </c>
      <c r="K2511" s="455">
        <f t="shared" ca="1" si="128"/>
        <v>34486754.25829336</v>
      </c>
      <c r="L2511" s="455">
        <f t="shared" ca="1" si="129"/>
        <v>8311307776.2486992</v>
      </c>
      <c r="M2511" s="471">
        <f t="shared" si="131"/>
        <v>0.05</v>
      </c>
      <c r="N2511" s="475">
        <f t="shared" si="132"/>
        <v>127472</v>
      </c>
    </row>
    <row r="2512" spans="7:14" ht="11.25" customHeight="1" x14ac:dyDescent="0.3">
      <c r="G2512" s="470"/>
      <c r="H2512" s="470">
        <v>2505</v>
      </c>
      <c r="I2512" s="455">
        <f t="shared" ca="1" si="130"/>
        <v>8311307776.2486992</v>
      </c>
      <c r="J2512" s="455">
        <f t="array" ref="J2512">IFERROR(INDEX('Retirement Calculator'!K:K,MATCH('Lorri 401b'!N2512,'Retirement Calculator'!A:A,0),0),0)</f>
        <v>0</v>
      </c>
      <c r="K2512" s="455">
        <f t="shared" ca="1" si="128"/>
        <v>34630449.067702912</v>
      </c>
      <c r="L2512" s="455">
        <f t="shared" ca="1" si="129"/>
        <v>8345938225.3164024</v>
      </c>
      <c r="M2512" s="471">
        <f t="shared" si="131"/>
        <v>0.05</v>
      </c>
      <c r="N2512" s="475">
        <f t="shared" si="132"/>
        <v>127503</v>
      </c>
    </row>
    <row r="2513" spans="7:14" ht="11.25" customHeight="1" x14ac:dyDescent="0.3">
      <c r="G2513" s="470"/>
      <c r="H2513" s="470">
        <v>2506</v>
      </c>
      <c r="I2513" s="455">
        <f t="shared" ca="1" si="130"/>
        <v>8345938225.3164024</v>
      </c>
      <c r="J2513" s="455">
        <f t="array" ref="J2513">IFERROR(INDEX('Retirement Calculator'!K:K,MATCH('Lorri 401b'!N2513,'Retirement Calculator'!A:A,0),0),0)</f>
        <v>0</v>
      </c>
      <c r="K2513" s="455">
        <f t="shared" ca="1" si="128"/>
        <v>34774742.605485007</v>
      </c>
      <c r="L2513" s="455">
        <f t="shared" ca="1" si="129"/>
        <v>8380712967.9218874</v>
      </c>
      <c r="M2513" s="471">
        <f t="shared" si="131"/>
        <v>0.05</v>
      </c>
      <c r="N2513" s="475">
        <f t="shared" si="132"/>
        <v>127531</v>
      </c>
    </row>
    <row r="2514" spans="7:14" ht="11.25" customHeight="1" x14ac:dyDescent="0.3">
      <c r="G2514" s="470"/>
      <c r="H2514" s="470">
        <v>2507</v>
      </c>
      <c r="I2514" s="455">
        <f t="shared" ca="1" si="130"/>
        <v>8380712967.9218874</v>
      </c>
      <c r="J2514" s="455">
        <f t="array" ref="J2514">IFERROR(INDEX('Retirement Calculator'!K:K,MATCH('Lorri 401b'!N2514,'Retirement Calculator'!A:A,0),0),0)</f>
        <v>0</v>
      </c>
      <c r="K2514" s="455">
        <f t="shared" ca="1" si="128"/>
        <v>34919637.366341196</v>
      </c>
      <c r="L2514" s="455">
        <f t="shared" ca="1" si="129"/>
        <v>8415632605.288229</v>
      </c>
      <c r="M2514" s="471">
        <f t="shared" si="131"/>
        <v>0.05</v>
      </c>
      <c r="N2514" s="475">
        <f t="shared" si="132"/>
        <v>127562</v>
      </c>
    </row>
    <row r="2515" spans="7:14" ht="11.25" customHeight="1" x14ac:dyDescent="0.3">
      <c r="G2515" s="470"/>
      <c r="H2515" s="470">
        <v>2508</v>
      </c>
      <c r="I2515" s="455">
        <f t="shared" ca="1" si="130"/>
        <v>8415632605.288229</v>
      </c>
      <c r="J2515" s="455">
        <f t="array" ref="J2515">IFERROR(INDEX('Retirement Calculator'!K:K,MATCH('Lorri 401b'!N2515,'Retirement Calculator'!A:A,0),0),0)</f>
        <v>0</v>
      </c>
      <c r="K2515" s="455">
        <f t="shared" ca="1" si="128"/>
        <v>35065135.855367623</v>
      </c>
      <c r="L2515" s="455">
        <f t="shared" ca="1" si="129"/>
        <v>8450697741.1435966</v>
      </c>
      <c r="M2515" s="471">
        <f t="shared" si="131"/>
        <v>0.05</v>
      </c>
      <c r="N2515" s="475">
        <f t="shared" si="132"/>
        <v>127592</v>
      </c>
    </row>
    <row r="2516" spans="7:14" ht="11.25" customHeight="1" x14ac:dyDescent="0.3">
      <c r="G2516" s="470"/>
      <c r="H2516" s="470">
        <v>2509</v>
      </c>
      <c r="I2516" s="455">
        <f t="shared" ca="1" si="130"/>
        <v>8450697741.1435966</v>
      </c>
      <c r="J2516" s="455">
        <f t="array" ref="J2516">IFERROR(INDEX('Retirement Calculator'!K:K,MATCH('Lorri 401b'!N2516,'Retirement Calculator'!A:A,0),0),0)</f>
        <v>0</v>
      </c>
      <c r="K2516" s="455">
        <f t="shared" ca="1" si="128"/>
        <v>35211240.588098317</v>
      </c>
      <c r="L2516" s="455">
        <f t="shared" ca="1" si="129"/>
        <v>8485908981.7316952</v>
      </c>
      <c r="M2516" s="471">
        <f t="shared" si="131"/>
        <v>0.05</v>
      </c>
      <c r="N2516" s="475">
        <f t="shared" si="132"/>
        <v>127623</v>
      </c>
    </row>
    <row r="2517" spans="7:14" ht="11.25" customHeight="1" x14ac:dyDescent="0.3">
      <c r="G2517" s="470"/>
      <c r="H2517" s="470">
        <v>2510</v>
      </c>
      <c r="I2517" s="455">
        <f t="shared" ca="1" si="130"/>
        <v>8485908981.7316952</v>
      </c>
      <c r="J2517" s="455">
        <f t="array" ref="J2517">IFERROR(INDEX('Retirement Calculator'!K:K,MATCH('Lorri 401b'!N2517,'Retirement Calculator'!A:A,0),0),0)</f>
        <v>0</v>
      </c>
      <c r="K2517" s="455">
        <f t="shared" ca="1" si="128"/>
        <v>35357954.090548731</v>
      </c>
      <c r="L2517" s="455">
        <f t="shared" ca="1" si="129"/>
        <v>8521266935.8222437</v>
      </c>
      <c r="M2517" s="471">
        <f t="shared" si="131"/>
        <v>0.05</v>
      </c>
      <c r="N2517" s="475">
        <f t="shared" si="132"/>
        <v>127653</v>
      </c>
    </row>
    <row r="2518" spans="7:14" ht="11.25" customHeight="1" x14ac:dyDescent="0.3">
      <c r="G2518" s="470"/>
      <c r="H2518" s="470">
        <v>2511</v>
      </c>
      <c r="I2518" s="455">
        <f t="shared" ca="1" si="130"/>
        <v>8521266935.8222437</v>
      </c>
      <c r="J2518" s="455">
        <f t="array" ref="J2518">IFERROR(INDEX('Retirement Calculator'!K:K,MATCH('Lorri 401b'!N2518,'Retirement Calculator'!A:A,0),0),0)</f>
        <v>0</v>
      </c>
      <c r="K2518" s="455">
        <f t="shared" ca="1" si="128"/>
        <v>35505278.899259344</v>
      </c>
      <c r="L2518" s="455">
        <f t="shared" ca="1" si="129"/>
        <v>8556772214.7215033</v>
      </c>
      <c r="M2518" s="471">
        <f t="shared" si="131"/>
        <v>0.05</v>
      </c>
      <c r="N2518" s="475">
        <f t="shared" si="132"/>
        <v>127684</v>
      </c>
    </row>
    <row r="2519" spans="7:14" ht="11.25" customHeight="1" x14ac:dyDescent="0.3">
      <c r="G2519" s="470"/>
      <c r="H2519" s="470">
        <v>2512</v>
      </c>
      <c r="I2519" s="455">
        <f t="shared" ca="1" si="130"/>
        <v>8556772214.7215033</v>
      </c>
      <c r="J2519" s="455">
        <f t="array" ref="J2519">IFERROR(INDEX('Retirement Calculator'!K:K,MATCH('Lorri 401b'!N2519,'Retirement Calculator'!A:A,0),0),0)</f>
        <v>0</v>
      </c>
      <c r="K2519" s="455">
        <f t="shared" ca="1" si="128"/>
        <v>35653217.561339602</v>
      </c>
      <c r="L2519" s="455">
        <f t="shared" ca="1" si="129"/>
        <v>8592425432.2828426</v>
      </c>
      <c r="M2519" s="471">
        <f t="shared" si="131"/>
        <v>0.05</v>
      </c>
      <c r="N2519" s="475">
        <f t="shared" si="132"/>
        <v>127715</v>
      </c>
    </row>
    <row r="2520" spans="7:14" ht="11.25" customHeight="1" x14ac:dyDescent="0.3">
      <c r="G2520" s="470"/>
      <c r="H2520" s="470">
        <v>2513</v>
      </c>
      <c r="I2520" s="455">
        <f t="shared" ca="1" si="130"/>
        <v>8592425432.2828426</v>
      </c>
      <c r="J2520" s="455">
        <f t="array" ref="J2520">IFERROR(INDEX('Retirement Calculator'!K:K,MATCH('Lorri 401b'!N2520,'Retirement Calculator'!A:A,0),0),0)</f>
        <v>0</v>
      </c>
      <c r="K2520" s="455">
        <f t="shared" ca="1" si="128"/>
        <v>35801772.634511843</v>
      </c>
      <c r="L2520" s="455">
        <f t="shared" ca="1" si="129"/>
        <v>8628227204.9173546</v>
      </c>
      <c r="M2520" s="471">
        <f t="shared" si="131"/>
        <v>0.05</v>
      </c>
      <c r="N2520" s="475">
        <f t="shared" si="132"/>
        <v>127745</v>
      </c>
    </row>
    <row r="2521" spans="7:14" ht="11.25" customHeight="1" x14ac:dyDescent="0.3">
      <c r="G2521" s="470"/>
      <c r="H2521" s="470">
        <v>2514</v>
      </c>
      <c r="I2521" s="455">
        <f t="shared" ca="1" si="130"/>
        <v>8628227204.9173546</v>
      </c>
      <c r="J2521" s="455">
        <f t="array" ref="J2521">IFERROR(INDEX('Retirement Calculator'!K:K,MATCH('Lorri 401b'!N2521,'Retirement Calculator'!A:A,0),0),0)</f>
        <v>0</v>
      </c>
      <c r="K2521" s="455">
        <f t="shared" ca="1" si="128"/>
        <v>35950946.687155642</v>
      </c>
      <c r="L2521" s="455">
        <f t="shared" ca="1" si="129"/>
        <v>8664178151.6045094</v>
      </c>
      <c r="M2521" s="471">
        <f t="shared" si="131"/>
        <v>0.05</v>
      </c>
      <c r="N2521" s="475">
        <f t="shared" si="132"/>
        <v>127776</v>
      </c>
    </row>
    <row r="2522" spans="7:14" ht="11.25" customHeight="1" x14ac:dyDescent="0.3">
      <c r="G2522" s="470"/>
      <c r="H2522" s="470">
        <v>2515</v>
      </c>
      <c r="I2522" s="455">
        <f t="shared" ca="1" si="130"/>
        <v>8664178151.6045094</v>
      </c>
      <c r="J2522" s="455">
        <f t="array" ref="J2522">IFERROR(INDEX('Retirement Calculator'!K:K,MATCH('Lorri 401b'!N2522,'Retirement Calculator'!A:A,0),0),0)</f>
        <v>0</v>
      </c>
      <c r="K2522" s="455">
        <f t="shared" ca="1" si="128"/>
        <v>36100742.298352122</v>
      </c>
      <c r="L2522" s="455">
        <f t="shared" ca="1" si="129"/>
        <v>8700278893.9028606</v>
      </c>
      <c r="M2522" s="471">
        <f t="shared" si="131"/>
        <v>0.05</v>
      </c>
      <c r="N2522" s="475">
        <f t="shared" si="132"/>
        <v>127806</v>
      </c>
    </row>
    <row r="2523" spans="7:14" ht="11.25" customHeight="1" x14ac:dyDescent="0.3">
      <c r="G2523" s="470"/>
      <c r="H2523" s="470">
        <v>2516</v>
      </c>
      <c r="I2523" s="455">
        <f t="shared" ca="1" si="130"/>
        <v>8700278893.9028606</v>
      </c>
      <c r="J2523" s="455">
        <f t="array" ref="J2523">IFERROR(INDEX('Retirement Calculator'!K:K,MATCH('Lorri 401b'!N2523,'Retirement Calculator'!A:A,0),0),0)</f>
        <v>0</v>
      </c>
      <c r="K2523" s="455">
        <f t="shared" ca="1" si="128"/>
        <v>36251162.057928585</v>
      </c>
      <c r="L2523" s="455">
        <f t="shared" ca="1" si="129"/>
        <v>8736530055.9607887</v>
      </c>
      <c r="M2523" s="471">
        <f t="shared" si="131"/>
        <v>0.05</v>
      </c>
      <c r="N2523" s="475">
        <f t="shared" si="132"/>
        <v>127837</v>
      </c>
    </row>
    <row r="2524" spans="7:14" ht="11.25" customHeight="1" x14ac:dyDescent="0.3">
      <c r="G2524" s="470"/>
      <c r="H2524" s="470">
        <v>2517</v>
      </c>
      <c r="I2524" s="455">
        <f t="shared" ca="1" si="130"/>
        <v>8736530055.9607887</v>
      </c>
      <c r="J2524" s="455">
        <f t="array" ref="J2524">IFERROR(INDEX('Retirement Calculator'!K:K,MATCH('Lorri 401b'!N2524,'Retirement Calculator'!A:A,0),0),0)</f>
        <v>0</v>
      </c>
      <c r="K2524" s="455">
        <f t="shared" ca="1" si="128"/>
        <v>36402208.566503286</v>
      </c>
      <c r="L2524" s="455">
        <f t="shared" ca="1" si="129"/>
        <v>8772932264.5272923</v>
      </c>
      <c r="M2524" s="471">
        <f t="shared" si="131"/>
        <v>0.05</v>
      </c>
      <c r="N2524" s="475">
        <f t="shared" si="132"/>
        <v>127868</v>
      </c>
    </row>
    <row r="2525" spans="7:14" ht="11.25" customHeight="1" x14ac:dyDescent="0.3">
      <c r="G2525" s="470"/>
      <c r="H2525" s="470">
        <v>2518</v>
      </c>
      <c r="I2525" s="455">
        <f t="shared" ca="1" si="130"/>
        <v>8772932264.5272923</v>
      </c>
      <c r="J2525" s="455">
        <f t="array" ref="J2525">IFERROR(INDEX('Retirement Calculator'!K:K,MATCH('Lorri 401b'!N2525,'Retirement Calculator'!A:A,0),0),0)</f>
        <v>0</v>
      </c>
      <c r="K2525" s="455">
        <f t="shared" ca="1" si="128"/>
        <v>36553884.435530387</v>
      </c>
      <c r="L2525" s="455">
        <f t="shared" ca="1" si="129"/>
        <v>8809486148.962822</v>
      </c>
      <c r="M2525" s="471">
        <f t="shared" si="131"/>
        <v>0.05</v>
      </c>
      <c r="N2525" s="475">
        <f t="shared" si="132"/>
        <v>127896</v>
      </c>
    </row>
    <row r="2526" spans="7:14" ht="11.25" customHeight="1" x14ac:dyDescent="0.3">
      <c r="G2526" s="470"/>
      <c r="H2526" s="470">
        <v>2519</v>
      </c>
      <c r="I2526" s="455">
        <f t="shared" ca="1" si="130"/>
        <v>8809486148.962822</v>
      </c>
      <c r="J2526" s="455">
        <f t="array" ref="J2526">IFERROR(INDEX('Retirement Calculator'!K:K,MATCH('Lorri 401b'!N2526,'Retirement Calculator'!A:A,0),0),0)</f>
        <v>0</v>
      </c>
      <c r="K2526" s="455">
        <f t="shared" ca="1" si="128"/>
        <v>36706192.287345089</v>
      </c>
      <c r="L2526" s="455">
        <f t="shared" ca="1" si="129"/>
        <v>8846192341.2501678</v>
      </c>
      <c r="M2526" s="471">
        <f t="shared" si="131"/>
        <v>0.05</v>
      </c>
      <c r="N2526" s="475">
        <f t="shared" si="132"/>
        <v>127927</v>
      </c>
    </row>
    <row r="2527" spans="7:14" ht="11.25" customHeight="1" x14ac:dyDescent="0.3">
      <c r="G2527" s="470"/>
      <c r="H2527" s="470">
        <v>2520</v>
      </c>
      <c r="I2527" s="455">
        <f t="shared" ca="1" si="130"/>
        <v>8846192341.2501678</v>
      </c>
      <c r="J2527" s="455">
        <f t="array" ref="J2527">IFERROR(INDEX('Retirement Calculator'!K:K,MATCH('Lorri 401b'!N2527,'Retirement Calculator'!A:A,0),0),0)</f>
        <v>0</v>
      </c>
      <c r="K2527" s="455">
        <f t="shared" ca="1" si="128"/>
        <v>36859134.755209029</v>
      </c>
      <c r="L2527" s="455">
        <f t="shared" ca="1" si="129"/>
        <v>8883051476.0053768</v>
      </c>
      <c r="M2527" s="471">
        <f t="shared" si="131"/>
        <v>0.05</v>
      </c>
      <c r="N2527" s="475">
        <f t="shared" si="132"/>
        <v>127957</v>
      </c>
    </row>
    <row r="2528" spans="7:14" ht="11.25" customHeight="1" x14ac:dyDescent="0.3">
      <c r="G2528" s="470"/>
      <c r="H2528" s="470">
        <v>2521</v>
      </c>
      <c r="I2528" s="455">
        <f t="shared" ca="1" si="130"/>
        <v>8883051476.0053768</v>
      </c>
      <c r="J2528" s="455">
        <f t="array" ref="J2528">IFERROR(INDEX('Retirement Calculator'!K:K,MATCH('Lorri 401b'!N2528,'Retirement Calculator'!A:A,0),0),0)</f>
        <v>0</v>
      </c>
      <c r="K2528" s="455">
        <f t="shared" ca="1" si="128"/>
        <v>37012714.483355738</v>
      </c>
      <c r="L2528" s="455">
        <f t="shared" ca="1" si="129"/>
        <v>8920064190.4887333</v>
      </c>
      <c r="M2528" s="471">
        <f t="shared" si="131"/>
        <v>0.05</v>
      </c>
      <c r="N2528" s="475">
        <f t="shared" si="132"/>
        <v>127988</v>
      </c>
    </row>
    <row r="2529" spans="7:14" ht="11.25" customHeight="1" x14ac:dyDescent="0.3">
      <c r="G2529" s="470"/>
      <c r="H2529" s="470">
        <v>2522</v>
      </c>
      <c r="I2529" s="455">
        <f t="shared" ca="1" si="130"/>
        <v>8920064190.4887333</v>
      </c>
      <c r="J2529" s="455">
        <f t="array" ref="J2529">IFERROR(INDEX('Retirement Calculator'!K:K,MATCH('Lorri 401b'!N2529,'Retirement Calculator'!A:A,0),0),0)</f>
        <v>0</v>
      </c>
      <c r="K2529" s="455">
        <f t="shared" ca="1" si="128"/>
        <v>37166934.127036385</v>
      </c>
      <c r="L2529" s="455">
        <f t="shared" ca="1" si="129"/>
        <v>8957231124.6157703</v>
      </c>
      <c r="M2529" s="471">
        <f t="shared" si="131"/>
        <v>0.05</v>
      </c>
      <c r="N2529" s="475">
        <f t="shared" si="132"/>
        <v>128018</v>
      </c>
    </row>
    <row r="2530" spans="7:14" ht="11.25" customHeight="1" x14ac:dyDescent="0.3">
      <c r="G2530" s="470"/>
      <c r="H2530" s="470">
        <v>2523</v>
      </c>
      <c r="I2530" s="455">
        <f t="shared" ca="1" si="130"/>
        <v>8957231124.6157703</v>
      </c>
      <c r="J2530" s="455">
        <f t="array" ref="J2530">IFERROR(INDEX('Retirement Calculator'!K:K,MATCH('Lorri 401b'!N2530,'Retirement Calculator'!A:A,0),0),0)</f>
        <v>0</v>
      </c>
      <c r="K2530" s="455">
        <f t="shared" ca="1" si="128"/>
        <v>37321796.352565706</v>
      </c>
      <c r="L2530" s="455">
        <f t="shared" ca="1" si="129"/>
        <v>8994552920.9683361</v>
      </c>
      <c r="M2530" s="471">
        <f t="shared" si="131"/>
        <v>0.05</v>
      </c>
      <c r="N2530" s="475">
        <f t="shared" si="132"/>
        <v>128049</v>
      </c>
    </row>
    <row r="2531" spans="7:14" ht="11.25" customHeight="1" x14ac:dyDescent="0.3">
      <c r="G2531" s="470"/>
      <c r="H2531" s="470">
        <v>2524</v>
      </c>
      <c r="I2531" s="455">
        <f t="shared" ca="1" si="130"/>
        <v>8994552920.9683361</v>
      </c>
      <c r="J2531" s="455">
        <f t="array" ref="J2531">IFERROR(INDEX('Retirement Calculator'!K:K,MATCH('Lorri 401b'!N2531,'Retirement Calculator'!A:A,0),0),0)</f>
        <v>0</v>
      </c>
      <c r="K2531" s="455">
        <f t="shared" ca="1" si="128"/>
        <v>37477303.837368064</v>
      </c>
      <c r="L2531" s="455">
        <f t="shared" ca="1" si="129"/>
        <v>9032030224.8057041</v>
      </c>
      <c r="M2531" s="471">
        <f t="shared" si="131"/>
        <v>0.05</v>
      </c>
      <c r="N2531" s="475">
        <f t="shared" si="132"/>
        <v>128080</v>
      </c>
    </row>
    <row r="2532" spans="7:14" ht="11.25" customHeight="1" x14ac:dyDescent="0.3">
      <c r="G2532" s="470"/>
      <c r="H2532" s="470">
        <v>2525</v>
      </c>
      <c r="I2532" s="455">
        <f t="shared" ca="1" si="130"/>
        <v>9032030224.8057041</v>
      </c>
      <c r="J2532" s="455">
        <f t="array" ref="J2532">IFERROR(INDEX('Retirement Calculator'!K:K,MATCH('Lorri 401b'!N2532,'Retirement Calculator'!A:A,0),0),0)</f>
        <v>0</v>
      </c>
      <c r="K2532" s="455">
        <f t="shared" ca="1" si="128"/>
        <v>37633459.270023763</v>
      </c>
      <c r="L2532" s="455">
        <f t="shared" ca="1" si="129"/>
        <v>9069663684.0757275</v>
      </c>
      <c r="M2532" s="471">
        <f t="shared" si="131"/>
        <v>0.05</v>
      </c>
      <c r="N2532" s="475">
        <f t="shared" si="132"/>
        <v>128110</v>
      </c>
    </row>
    <row r="2533" spans="7:14" ht="11.25" customHeight="1" x14ac:dyDescent="0.3">
      <c r="G2533" s="470"/>
      <c r="H2533" s="470">
        <v>2526</v>
      </c>
      <c r="I2533" s="455">
        <f t="shared" ca="1" si="130"/>
        <v>9069663684.0757275</v>
      </c>
      <c r="J2533" s="455">
        <f t="array" ref="J2533">IFERROR(INDEX('Retirement Calculator'!K:K,MATCH('Lorri 401b'!N2533,'Retirement Calculator'!A:A,0),0),0)</f>
        <v>0</v>
      </c>
      <c r="K2533" s="455">
        <f t="shared" ca="1" si="128"/>
        <v>37790265.350315534</v>
      </c>
      <c r="L2533" s="455">
        <f t="shared" ca="1" si="129"/>
        <v>9107453949.4260426</v>
      </c>
      <c r="M2533" s="471">
        <f t="shared" si="131"/>
        <v>0.05</v>
      </c>
      <c r="N2533" s="475">
        <f t="shared" si="132"/>
        <v>128141</v>
      </c>
    </row>
    <row r="2534" spans="7:14" ht="11.25" customHeight="1" x14ac:dyDescent="0.3">
      <c r="G2534" s="470"/>
      <c r="H2534" s="470">
        <v>2527</v>
      </c>
      <c r="I2534" s="455">
        <f t="shared" ca="1" si="130"/>
        <v>9107453949.4260426</v>
      </c>
      <c r="J2534" s="455">
        <f t="array" ref="J2534">IFERROR(INDEX('Retirement Calculator'!K:K,MATCH('Lorri 401b'!N2534,'Retirement Calculator'!A:A,0),0),0)</f>
        <v>0</v>
      </c>
      <c r="K2534" s="455">
        <f t="shared" ca="1" si="128"/>
        <v>37947724.789275177</v>
      </c>
      <c r="L2534" s="455">
        <f t="shared" ca="1" si="129"/>
        <v>9145401674.2153187</v>
      </c>
      <c r="M2534" s="471">
        <f t="shared" si="131"/>
        <v>0.05</v>
      </c>
      <c r="N2534" s="475">
        <f t="shared" si="132"/>
        <v>128171</v>
      </c>
    </row>
    <row r="2535" spans="7:14" ht="11.25" customHeight="1" x14ac:dyDescent="0.3">
      <c r="G2535" s="470"/>
      <c r="H2535" s="470">
        <v>2528</v>
      </c>
      <c r="I2535" s="455">
        <f t="shared" ca="1" si="130"/>
        <v>9145401674.2153187</v>
      </c>
      <c r="J2535" s="455">
        <f t="array" ref="J2535">IFERROR(INDEX('Retirement Calculator'!K:K,MATCH('Lorri 401b'!N2535,'Retirement Calculator'!A:A,0),0),0)</f>
        <v>0</v>
      </c>
      <c r="K2535" s="455">
        <f t="shared" ca="1" si="128"/>
        <v>38105840.309230492</v>
      </c>
      <c r="L2535" s="455">
        <f t="shared" ca="1" si="129"/>
        <v>9183507514.5245495</v>
      </c>
      <c r="M2535" s="471">
        <f t="shared" si="131"/>
        <v>0.05</v>
      </c>
      <c r="N2535" s="475">
        <f t="shared" si="132"/>
        <v>128202</v>
      </c>
    </row>
    <row r="2536" spans="7:14" ht="11.25" customHeight="1" x14ac:dyDescent="0.3">
      <c r="G2536" s="470"/>
      <c r="H2536" s="470">
        <v>2529</v>
      </c>
      <c r="I2536" s="455">
        <f t="shared" ca="1" si="130"/>
        <v>9183507514.5245495</v>
      </c>
      <c r="J2536" s="455">
        <f t="array" ref="J2536">IFERROR(INDEX('Retirement Calculator'!K:K,MATCH('Lorri 401b'!N2536,'Retirement Calculator'!A:A,0),0),0)</f>
        <v>0</v>
      </c>
      <c r="K2536" s="455">
        <f t="shared" ca="1" si="128"/>
        <v>38264614.643852286</v>
      </c>
      <c r="L2536" s="455">
        <f t="shared" ca="1" si="129"/>
        <v>9221772129.1684017</v>
      </c>
      <c r="M2536" s="471">
        <f t="shared" si="131"/>
        <v>0.05</v>
      </c>
      <c r="N2536" s="475">
        <f t="shared" si="132"/>
        <v>128233</v>
      </c>
    </row>
    <row r="2537" spans="7:14" ht="11.25" customHeight="1" x14ac:dyDescent="0.3">
      <c r="G2537" s="470"/>
      <c r="H2537" s="470">
        <v>2530</v>
      </c>
      <c r="I2537" s="455">
        <f t="shared" ca="1" si="130"/>
        <v>9221772129.1684017</v>
      </c>
      <c r="J2537" s="455">
        <f t="array" ref="J2537">IFERROR(INDEX('Retirement Calculator'!K:K,MATCH('Lorri 401b'!N2537,'Retirement Calculator'!A:A,0),0),0)</f>
        <v>0</v>
      </c>
      <c r="K2537" s="455">
        <f t="shared" ca="1" si="128"/>
        <v>38424050.538201675</v>
      </c>
      <c r="L2537" s="455">
        <f t="shared" ca="1" si="129"/>
        <v>9260196179.706604</v>
      </c>
      <c r="M2537" s="471">
        <f t="shared" si="131"/>
        <v>0.05</v>
      </c>
      <c r="N2537" s="475">
        <f t="shared" si="132"/>
        <v>128261</v>
      </c>
    </row>
    <row r="2538" spans="7:14" ht="11.25" customHeight="1" x14ac:dyDescent="0.3">
      <c r="G2538" s="470"/>
      <c r="H2538" s="470">
        <v>2531</v>
      </c>
      <c r="I2538" s="455">
        <f t="shared" ca="1" si="130"/>
        <v>9260196179.706604</v>
      </c>
      <c r="J2538" s="455">
        <f t="array" ref="J2538">IFERROR(INDEX('Retirement Calculator'!K:K,MATCH('Lorri 401b'!N2538,'Retirement Calculator'!A:A,0),0),0)</f>
        <v>0</v>
      </c>
      <c r="K2538" s="455">
        <f t="shared" ca="1" si="128"/>
        <v>38584150.748777516</v>
      </c>
      <c r="L2538" s="455">
        <f t="shared" ca="1" si="129"/>
        <v>9298780330.4553814</v>
      </c>
      <c r="M2538" s="471">
        <f t="shared" si="131"/>
        <v>0.05</v>
      </c>
      <c r="N2538" s="475">
        <f t="shared" si="132"/>
        <v>128292</v>
      </c>
    </row>
    <row r="2539" spans="7:14" ht="11.25" customHeight="1" x14ac:dyDescent="0.3">
      <c r="G2539" s="470"/>
      <c r="H2539" s="470">
        <v>2532</v>
      </c>
      <c r="I2539" s="455">
        <f t="shared" ca="1" si="130"/>
        <v>9298780330.4553814</v>
      </c>
      <c r="J2539" s="455">
        <f t="array" ref="J2539">IFERROR(INDEX('Retirement Calculator'!K:K,MATCH('Lorri 401b'!N2539,'Retirement Calculator'!A:A,0),0),0)</f>
        <v>0</v>
      </c>
      <c r="K2539" s="455">
        <f t="shared" ca="1" si="128"/>
        <v>38744918.043564089</v>
      </c>
      <c r="L2539" s="455">
        <f t="shared" ca="1" si="129"/>
        <v>9337525248.4989452</v>
      </c>
      <c r="M2539" s="471">
        <f t="shared" si="131"/>
        <v>0.05</v>
      </c>
      <c r="N2539" s="475">
        <f t="shared" si="132"/>
        <v>128322</v>
      </c>
    </row>
    <row r="2540" spans="7:14" ht="11.25" customHeight="1" x14ac:dyDescent="0.3">
      <c r="G2540" s="470"/>
      <c r="H2540" s="470">
        <v>2533</v>
      </c>
      <c r="I2540" s="455">
        <f t="shared" ca="1" si="130"/>
        <v>9337525248.4989452</v>
      </c>
      <c r="J2540" s="455">
        <f t="array" ref="J2540">IFERROR(INDEX('Retirement Calculator'!K:K,MATCH('Lorri 401b'!N2540,'Retirement Calculator'!A:A,0),0),0)</f>
        <v>0</v>
      </c>
      <c r="K2540" s="455">
        <f t="shared" ca="1" si="128"/>
        <v>38906355.202078938</v>
      </c>
      <c r="L2540" s="455">
        <f t="shared" ca="1" si="129"/>
        <v>9376431603.701025</v>
      </c>
      <c r="M2540" s="471">
        <f t="shared" si="131"/>
        <v>0.05</v>
      </c>
      <c r="N2540" s="475">
        <f t="shared" si="132"/>
        <v>128353</v>
      </c>
    </row>
    <row r="2541" spans="7:14" ht="11.25" customHeight="1" x14ac:dyDescent="0.3">
      <c r="G2541" s="470"/>
      <c r="H2541" s="470">
        <v>2534</v>
      </c>
      <c r="I2541" s="455">
        <f t="shared" ca="1" si="130"/>
        <v>9376431603.701025</v>
      </c>
      <c r="J2541" s="455">
        <f t="array" ref="J2541">IFERROR(INDEX('Retirement Calculator'!K:K,MATCH('Lorri 401b'!N2541,'Retirement Calculator'!A:A,0),0),0)</f>
        <v>0</v>
      </c>
      <c r="K2541" s="455">
        <f t="shared" ca="1" si="128"/>
        <v>39068465.015420936</v>
      </c>
      <c r="L2541" s="455">
        <f t="shared" ca="1" si="129"/>
        <v>9415500068.7164459</v>
      </c>
      <c r="M2541" s="471">
        <f t="shared" si="131"/>
        <v>0.05</v>
      </c>
      <c r="N2541" s="475">
        <f t="shared" si="132"/>
        <v>128383</v>
      </c>
    </row>
    <row r="2542" spans="7:14" ht="11.25" customHeight="1" x14ac:dyDescent="0.3">
      <c r="G2542" s="470"/>
      <c r="H2542" s="470">
        <v>2535</v>
      </c>
      <c r="I2542" s="455">
        <f t="shared" ca="1" si="130"/>
        <v>9415500068.7164459</v>
      </c>
      <c r="J2542" s="455">
        <f t="array" ref="J2542">IFERROR(INDEX('Retirement Calculator'!K:K,MATCH('Lorri 401b'!N2542,'Retirement Calculator'!A:A,0),0),0)</f>
        <v>0</v>
      </c>
      <c r="K2542" s="455">
        <f t="shared" ca="1" si="128"/>
        <v>39231250.286318526</v>
      </c>
      <c r="L2542" s="455">
        <f t="shared" ca="1" si="129"/>
        <v>9454731319.0027637</v>
      </c>
      <c r="M2542" s="471">
        <f t="shared" si="131"/>
        <v>0.05</v>
      </c>
      <c r="N2542" s="475">
        <f t="shared" si="132"/>
        <v>128414</v>
      </c>
    </row>
    <row r="2543" spans="7:14" ht="11.25" customHeight="1" x14ac:dyDescent="0.3">
      <c r="G2543" s="470"/>
      <c r="H2543" s="470">
        <v>2536</v>
      </c>
      <c r="I2543" s="455">
        <f t="shared" ca="1" si="130"/>
        <v>9454731319.0027637</v>
      </c>
      <c r="J2543" s="455">
        <f t="array" ref="J2543">IFERROR(INDEX('Retirement Calculator'!K:K,MATCH('Lorri 401b'!N2543,'Retirement Calculator'!A:A,0),0),0)</f>
        <v>0</v>
      </c>
      <c r="K2543" s="455">
        <f t="shared" ca="1" si="128"/>
        <v>39394713.829178184</v>
      </c>
      <c r="L2543" s="455">
        <f t="shared" ca="1" si="129"/>
        <v>9494126032.8319416</v>
      </c>
      <c r="M2543" s="471">
        <f t="shared" si="131"/>
        <v>0.05</v>
      </c>
      <c r="N2543" s="475">
        <f t="shared" si="132"/>
        <v>128445</v>
      </c>
    </row>
    <row r="2544" spans="7:14" ht="11.25" customHeight="1" x14ac:dyDescent="0.3">
      <c r="G2544" s="470"/>
      <c r="H2544" s="470">
        <v>2537</v>
      </c>
      <c r="I2544" s="455">
        <f t="shared" ca="1" si="130"/>
        <v>9494126032.8319416</v>
      </c>
      <c r="J2544" s="455">
        <f t="array" ref="J2544">IFERROR(INDEX('Retirement Calculator'!K:K,MATCH('Lorri 401b'!N2544,'Retirement Calculator'!A:A,0),0),0)</f>
        <v>0</v>
      </c>
      <c r="K2544" s="455">
        <f t="shared" ca="1" si="128"/>
        <v>39558858.470133089</v>
      </c>
      <c r="L2544" s="455">
        <f t="shared" ca="1" si="129"/>
        <v>9533684891.3020744</v>
      </c>
      <c r="M2544" s="471">
        <f t="shared" si="131"/>
        <v>0.05</v>
      </c>
      <c r="N2544" s="475">
        <f t="shared" si="132"/>
        <v>128475</v>
      </c>
    </row>
    <row r="2545" spans="7:14" ht="11.25" customHeight="1" x14ac:dyDescent="0.3">
      <c r="G2545" s="470"/>
      <c r="H2545" s="470">
        <v>2538</v>
      </c>
      <c r="I2545" s="455">
        <f t="shared" ca="1" si="130"/>
        <v>9533684891.3020744</v>
      </c>
      <c r="J2545" s="455">
        <f t="array" ref="J2545">IFERROR(INDEX('Retirement Calculator'!K:K,MATCH('Lorri 401b'!N2545,'Retirement Calculator'!A:A,0),0),0)</f>
        <v>0</v>
      </c>
      <c r="K2545" s="455">
        <f t="shared" ca="1" si="128"/>
        <v>39723687.047091976</v>
      </c>
      <c r="L2545" s="455">
        <f t="shared" ca="1" si="129"/>
        <v>9573408578.3491669</v>
      </c>
      <c r="M2545" s="471">
        <f t="shared" si="131"/>
        <v>0.05</v>
      </c>
      <c r="N2545" s="475">
        <f t="shared" si="132"/>
        <v>128506</v>
      </c>
    </row>
    <row r="2546" spans="7:14" ht="11.25" customHeight="1" x14ac:dyDescent="0.3">
      <c r="G2546" s="470"/>
      <c r="H2546" s="470">
        <v>2539</v>
      </c>
      <c r="I2546" s="455">
        <f t="shared" ca="1" si="130"/>
        <v>9573408578.3491669</v>
      </c>
      <c r="J2546" s="455">
        <f t="array" ref="J2546">IFERROR(INDEX('Retirement Calculator'!K:K,MATCH('Lorri 401b'!N2546,'Retirement Calculator'!A:A,0),0),0)</f>
        <v>0</v>
      </c>
      <c r="K2546" s="455">
        <f t="shared" ca="1" si="128"/>
        <v>39889202.409788191</v>
      </c>
      <c r="L2546" s="455">
        <f t="shared" ca="1" si="129"/>
        <v>9613297780.758955</v>
      </c>
      <c r="M2546" s="471">
        <f t="shared" si="131"/>
        <v>0.05</v>
      </c>
      <c r="N2546" s="475">
        <f t="shared" si="132"/>
        <v>128536</v>
      </c>
    </row>
    <row r="2547" spans="7:14" ht="11.25" customHeight="1" x14ac:dyDescent="0.3">
      <c r="G2547" s="470"/>
      <c r="H2547" s="470">
        <v>2540</v>
      </c>
      <c r="I2547" s="455">
        <f t="shared" ca="1" si="130"/>
        <v>9613297780.758955</v>
      </c>
      <c r="J2547" s="455">
        <f t="array" ref="J2547">IFERROR(INDEX('Retirement Calculator'!K:K,MATCH('Lorri 401b'!N2547,'Retirement Calculator'!A:A,0),0),0)</f>
        <v>0</v>
      </c>
      <c r="K2547" s="455">
        <f t="shared" ca="1" si="128"/>
        <v>40055407.419828981</v>
      </c>
      <c r="L2547" s="455">
        <f t="shared" ca="1" si="129"/>
        <v>9653353188.1787834</v>
      </c>
      <c r="M2547" s="471">
        <f t="shared" si="131"/>
        <v>0.05</v>
      </c>
      <c r="N2547" s="475">
        <f t="shared" si="132"/>
        <v>128567</v>
      </c>
    </row>
    <row r="2548" spans="7:14" ht="11.25" customHeight="1" x14ac:dyDescent="0.3">
      <c r="G2548" s="470"/>
      <c r="H2548" s="470">
        <v>2541</v>
      </c>
      <c r="I2548" s="455">
        <f t="shared" ca="1" si="130"/>
        <v>9653353188.1787834</v>
      </c>
      <c r="J2548" s="455">
        <f t="array" ref="J2548">IFERROR(INDEX('Retirement Calculator'!K:K,MATCH('Lorri 401b'!N2548,'Retirement Calculator'!A:A,0),0),0)</f>
        <v>0</v>
      </c>
      <c r="K2548" s="455">
        <f t="shared" ca="1" si="128"/>
        <v>40222304.950744927</v>
      </c>
      <c r="L2548" s="455">
        <f t="shared" ca="1" si="129"/>
        <v>9693575493.129528</v>
      </c>
      <c r="M2548" s="471">
        <f t="shared" si="131"/>
        <v>0.05</v>
      </c>
      <c r="N2548" s="475">
        <f t="shared" si="132"/>
        <v>128598</v>
      </c>
    </row>
    <row r="2549" spans="7:14" ht="11.25" customHeight="1" x14ac:dyDescent="0.3">
      <c r="G2549" s="470"/>
      <c r="H2549" s="470">
        <v>2542</v>
      </c>
      <c r="I2549" s="455">
        <f t="shared" ca="1" si="130"/>
        <v>9693575493.129528</v>
      </c>
      <c r="J2549" s="455">
        <f t="array" ref="J2549">IFERROR(INDEX('Retirement Calculator'!K:K,MATCH('Lorri 401b'!N2549,'Retirement Calculator'!A:A,0),0),0)</f>
        <v>0</v>
      </c>
      <c r="K2549" s="455">
        <f t="shared" ca="1" si="128"/>
        <v>40389897.888039701</v>
      </c>
      <c r="L2549" s="455">
        <f t="shared" ca="1" si="129"/>
        <v>9733965391.0175686</v>
      </c>
      <c r="M2549" s="471">
        <f t="shared" si="131"/>
        <v>0.05</v>
      </c>
      <c r="N2549" s="475">
        <f t="shared" si="132"/>
        <v>128627</v>
      </c>
    </row>
    <row r="2550" spans="7:14" ht="11.25" customHeight="1" x14ac:dyDescent="0.3">
      <c r="G2550" s="470"/>
      <c r="H2550" s="470">
        <v>2543</v>
      </c>
      <c r="I2550" s="455">
        <f t="shared" ca="1" si="130"/>
        <v>9733965391.0175686</v>
      </c>
      <c r="J2550" s="455">
        <f t="array" ref="J2550">IFERROR(INDEX('Retirement Calculator'!K:K,MATCH('Lorri 401b'!N2550,'Retirement Calculator'!A:A,0),0),0)</f>
        <v>0</v>
      </c>
      <c r="K2550" s="455">
        <f t="shared" ca="1" si="128"/>
        <v>40558189.129239872</v>
      </c>
      <c r="L2550" s="455">
        <f t="shared" ca="1" si="129"/>
        <v>9774523580.1468086</v>
      </c>
      <c r="M2550" s="471">
        <f t="shared" si="131"/>
        <v>0.05</v>
      </c>
      <c r="N2550" s="475">
        <f t="shared" si="132"/>
        <v>128658</v>
      </c>
    </row>
    <row r="2551" spans="7:14" ht="11.25" customHeight="1" x14ac:dyDescent="0.3">
      <c r="G2551" s="470"/>
      <c r="H2551" s="470">
        <v>2544</v>
      </c>
      <c r="I2551" s="455">
        <f t="shared" ca="1" si="130"/>
        <v>9774523580.1468086</v>
      </c>
      <c r="J2551" s="455">
        <f t="array" ref="J2551">IFERROR(INDEX('Retirement Calculator'!K:K,MATCH('Lorri 401b'!N2551,'Retirement Calculator'!A:A,0),0),0)</f>
        <v>0</v>
      </c>
      <c r="K2551" s="455">
        <f t="shared" ca="1" si="128"/>
        <v>40727181.583945036</v>
      </c>
      <c r="L2551" s="455">
        <f t="shared" ca="1" si="129"/>
        <v>9815250761.7307529</v>
      </c>
      <c r="M2551" s="471">
        <f t="shared" si="131"/>
        <v>0.05</v>
      </c>
      <c r="N2551" s="475">
        <f t="shared" si="132"/>
        <v>128688</v>
      </c>
    </row>
    <row r="2552" spans="7:14" ht="11.25" customHeight="1" x14ac:dyDescent="0.3">
      <c r="G2552" s="470"/>
      <c r="H2552" s="470">
        <v>2545</v>
      </c>
      <c r="I2552" s="455">
        <f t="shared" ca="1" si="130"/>
        <v>9815250761.7307529</v>
      </c>
      <c r="J2552" s="455">
        <f t="array" ref="J2552">IFERROR(INDEX('Retirement Calculator'!K:K,MATCH('Lorri 401b'!N2552,'Retirement Calculator'!A:A,0),0),0)</f>
        <v>0</v>
      </c>
      <c r="K2552" s="455">
        <f t="shared" ca="1" si="128"/>
        <v>40896878.173878133</v>
      </c>
      <c r="L2552" s="455">
        <f t="shared" ca="1" si="129"/>
        <v>9856147639.9046307</v>
      </c>
      <c r="M2552" s="471">
        <f t="shared" si="131"/>
        <v>0.05</v>
      </c>
      <c r="N2552" s="475">
        <f t="shared" si="132"/>
        <v>128719</v>
      </c>
    </row>
    <row r="2553" spans="7:14" ht="11.25" customHeight="1" x14ac:dyDescent="0.3">
      <c r="G2553" s="470"/>
      <c r="H2553" s="470">
        <v>2546</v>
      </c>
      <c r="I2553" s="455">
        <f t="shared" ca="1" si="130"/>
        <v>9856147639.9046307</v>
      </c>
      <c r="J2553" s="455">
        <f t="array" ref="J2553">IFERROR(INDEX('Retirement Calculator'!K:K,MATCH('Lorri 401b'!N2553,'Retirement Calculator'!A:A,0),0),0)</f>
        <v>0</v>
      </c>
      <c r="K2553" s="455">
        <f t="shared" ca="1" si="128"/>
        <v>41067281.832935959</v>
      </c>
      <c r="L2553" s="455">
        <f t="shared" ca="1" si="129"/>
        <v>9897214921.737566</v>
      </c>
      <c r="M2553" s="471">
        <f t="shared" si="131"/>
        <v>0.05</v>
      </c>
      <c r="N2553" s="475">
        <f t="shared" si="132"/>
        <v>128749</v>
      </c>
    </row>
    <row r="2554" spans="7:14" ht="11.25" customHeight="1" x14ac:dyDescent="0.3">
      <c r="G2554" s="470"/>
      <c r="H2554" s="470">
        <v>2547</v>
      </c>
      <c r="I2554" s="455">
        <f t="shared" ca="1" si="130"/>
        <v>9897214921.737566</v>
      </c>
      <c r="J2554" s="455">
        <f t="array" ref="J2554">IFERROR(INDEX('Retirement Calculator'!K:K,MATCH('Lorri 401b'!N2554,'Retirement Calculator'!A:A,0),0),0)</f>
        <v>0</v>
      </c>
      <c r="K2554" s="455">
        <f t="shared" ca="1" si="128"/>
        <v>41238395.507239856</v>
      </c>
      <c r="L2554" s="455">
        <f t="shared" ca="1" si="129"/>
        <v>9938453317.2448063</v>
      </c>
      <c r="M2554" s="471">
        <f t="shared" si="131"/>
        <v>0.05</v>
      </c>
      <c r="N2554" s="475">
        <f t="shared" si="132"/>
        <v>128780</v>
      </c>
    </row>
    <row r="2555" spans="7:14" ht="11.25" customHeight="1" x14ac:dyDescent="0.3">
      <c r="G2555" s="470"/>
      <c r="H2555" s="470">
        <v>2548</v>
      </c>
      <c r="I2555" s="455">
        <f t="shared" ca="1" si="130"/>
        <v>9938453317.2448063</v>
      </c>
      <c r="J2555" s="455">
        <f t="array" ref="J2555">IFERROR(INDEX('Retirement Calculator'!K:K,MATCH('Lorri 401b'!N2555,'Retirement Calculator'!A:A,0),0),0)</f>
        <v>0</v>
      </c>
      <c r="K2555" s="455">
        <f t="shared" ca="1" si="128"/>
        <v>41410222.15518669</v>
      </c>
      <c r="L2555" s="455">
        <f t="shared" ca="1" si="129"/>
        <v>9979863539.3999939</v>
      </c>
      <c r="M2555" s="471">
        <f t="shared" si="131"/>
        <v>0.05</v>
      </c>
      <c r="N2555" s="475">
        <f t="shared" si="132"/>
        <v>128811</v>
      </c>
    </row>
    <row r="2556" spans="7:14" ht="11.25" customHeight="1" x14ac:dyDescent="0.3">
      <c r="G2556" s="470"/>
      <c r="H2556" s="470">
        <v>2549</v>
      </c>
      <c r="I2556" s="455">
        <f t="shared" ca="1" si="130"/>
        <v>9979863539.3999939</v>
      </c>
      <c r="J2556" s="455">
        <f t="array" ref="J2556">IFERROR(INDEX('Retirement Calculator'!K:K,MATCH('Lorri 401b'!N2556,'Retirement Calculator'!A:A,0),0),0)</f>
        <v>0</v>
      </c>
      <c r="K2556" s="455">
        <f t="shared" ca="1" si="128"/>
        <v>41582764.747499973</v>
      </c>
      <c r="L2556" s="455">
        <f t="shared" ca="1" si="129"/>
        <v>10021446304.147493</v>
      </c>
      <c r="M2556" s="471">
        <f t="shared" si="131"/>
        <v>0.05</v>
      </c>
      <c r="N2556" s="475">
        <f t="shared" si="132"/>
        <v>128841</v>
      </c>
    </row>
    <row r="2557" spans="7:14" ht="11.25" customHeight="1" x14ac:dyDescent="0.3">
      <c r="G2557" s="470"/>
      <c r="H2557" s="470">
        <v>2550</v>
      </c>
      <c r="I2557" s="455">
        <f t="shared" ca="1" si="130"/>
        <v>10021446304.147493</v>
      </c>
      <c r="J2557" s="455">
        <f t="array" ref="J2557">IFERROR(INDEX('Retirement Calculator'!K:K,MATCH('Lorri 401b'!N2557,'Retirement Calculator'!A:A,0),0),0)</f>
        <v>0</v>
      </c>
      <c r="K2557" s="455">
        <f t="shared" ca="1" si="128"/>
        <v>41756026.267281219</v>
      </c>
      <c r="L2557" s="455">
        <f t="shared" ca="1" si="129"/>
        <v>10063202330.414774</v>
      </c>
      <c r="M2557" s="471">
        <f t="shared" si="131"/>
        <v>0.05</v>
      </c>
      <c r="N2557" s="475">
        <f t="shared" si="132"/>
        <v>128872</v>
      </c>
    </row>
    <row r="2558" spans="7:14" ht="11.25" customHeight="1" x14ac:dyDescent="0.3">
      <c r="G2558" s="470"/>
      <c r="H2558" s="470">
        <v>2551</v>
      </c>
      <c r="I2558" s="455">
        <f t="shared" ca="1" si="130"/>
        <v>10063202330.414774</v>
      </c>
      <c r="J2558" s="455">
        <f t="array" ref="J2558">IFERROR(INDEX('Retirement Calculator'!K:K,MATCH('Lorri 401b'!N2558,'Retirement Calculator'!A:A,0),0),0)</f>
        <v>0</v>
      </c>
      <c r="K2558" s="455">
        <f t="shared" ref="K2558:K2812" ca="1" si="133">IPMT(M2558/12,1,12,-I2558+J2558,,0)</f>
        <v>41930009.710061558</v>
      </c>
      <c r="L2558" s="455">
        <f t="shared" ref="L2558:L2812" ca="1" si="134">I2558-J2558+K2558</f>
        <v>10105132340.124836</v>
      </c>
      <c r="M2558" s="471">
        <f t="shared" si="131"/>
        <v>0.05</v>
      </c>
      <c r="N2558" s="475">
        <f t="shared" si="132"/>
        <v>128902</v>
      </c>
    </row>
    <row r="2559" spans="7:14" ht="11.25" customHeight="1" x14ac:dyDescent="0.3">
      <c r="G2559" s="470"/>
      <c r="H2559" s="470">
        <v>2552</v>
      </c>
      <c r="I2559" s="455">
        <f t="shared" ref="I2559:I2813" ca="1" si="135">L2558</f>
        <v>10105132340.124836</v>
      </c>
      <c r="J2559" s="455">
        <f t="array" ref="J2559">IFERROR(INDEX('Retirement Calculator'!K:K,MATCH('Lorri 401b'!N2559,'Retirement Calculator'!A:A,0),0),0)</f>
        <v>0</v>
      </c>
      <c r="K2559" s="455">
        <f t="shared" ca="1" si="133"/>
        <v>42104718.083853483</v>
      </c>
      <c r="L2559" s="455">
        <f t="shared" ca="1" si="134"/>
        <v>10147237058.208689</v>
      </c>
      <c r="M2559" s="471">
        <f t="shared" ref="M2559:M2813" si="136">M2558</f>
        <v>0.05</v>
      </c>
      <c r="N2559" s="475">
        <f t="shared" ref="N2559:N2813" si="137">EDATE(N2558,1)</f>
        <v>128933</v>
      </c>
    </row>
    <row r="2560" spans="7:14" ht="11.25" customHeight="1" x14ac:dyDescent="0.3">
      <c r="G2560" s="470"/>
      <c r="H2560" s="470">
        <v>2553</v>
      </c>
      <c r="I2560" s="455">
        <f t="shared" ca="1" si="135"/>
        <v>10147237058.208689</v>
      </c>
      <c r="J2560" s="455">
        <f t="array" ref="J2560">IFERROR(INDEX('Retirement Calculator'!K:K,MATCH('Lorri 401b'!N2560,'Retirement Calculator'!A:A,0),0),0)</f>
        <v>0</v>
      </c>
      <c r="K2560" s="455">
        <f t="shared" ca="1" si="133"/>
        <v>42280154.409202866</v>
      </c>
      <c r="L2560" s="455">
        <f t="shared" ca="1" si="134"/>
        <v>10189517212.617891</v>
      </c>
      <c r="M2560" s="471">
        <f t="shared" si="136"/>
        <v>0.05</v>
      </c>
      <c r="N2560" s="475">
        <f t="shared" si="137"/>
        <v>128964</v>
      </c>
    </row>
    <row r="2561" spans="7:14" ht="11.25" customHeight="1" x14ac:dyDescent="0.3">
      <c r="G2561" s="470"/>
      <c r="H2561" s="470">
        <v>2554</v>
      </c>
      <c r="I2561" s="455">
        <f t="shared" ca="1" si="135"/>
        <v>10189517212.617891</v>
      </c>
      <c r="J2561" s="455">
        <f t="array" ref="J2561">IFERROR(INDEX('Retirement Calculator'!K:K,MATCH('Lorri 401b'!N2561,'Retirement Calculator'!A:A,0),0),0)</f>
        <v>0</v>
      </c>
      <c r="K2561" s="455">
        <f t="shared" ca="1" si="133"/>
        <v>42456321.719241217</v>
      </c>
      <c r="L2561" s="455">
        <f t="shared" ca="1" si="134"/>
        <v>10231973534.337133</v>
      </c>
      <c r="M2561" s="471">
        <f t="shared" si="136"/>
        <v>0.05</v>
      </c>
      <c r="N2561" s="475">
        <f t="shared" si="137"/>
        <v>128992</v>
      </c>
    </row>
    <row r="2562" spans="7:14" ht="11.25" customHeight="1" x14ac:dyDescent="0.3">
      <c r="G2562" s="470"/>
      <c r="H2562" s="470">
        <v>2555</v>
      </c>
      <c r="I2562" s="455">
        <f t="shared" ca="1" si="135"/>
        <v>10231973534.337133</v>
      </c>
      <c r="J2562" s="455">
        <f t="array" ref="J2562">IFERROR(INDEX('Retirement Calculator'!K:K,MATCH('Lorri 401b'!N2562,'Retirement Calculator'!A:A,0),0),0)</f>
        <v>0</v>
      </c>
      <c r="K2562" s="455">
        <f t="shared" ca="1" si="133"/>
        <v>42633223.059738055</v>
      </c>
      <c r="L2562" s="455">
        <f t="shared" ca="1" si="134"/>
        <v>10274606757.396872</v>
      </c>
      <c r="M2562" s="471">
        <f t="shared" si="136"/>
        <v>0.05</v>
      </c>
      <c r="N2562" s="475">
        <f t="shared" si="137"/>
        <v>129023</v>
      </c>
    </row>
    <row r="2563" spans="7:14" ht="11.25" customHeight="1" x14ac:dyDescent="0.3">
      <c r="G2563" s="470"/>
      <c r="H2563" s="470">
        <v>2556</v>
      </c>
      <c r="I2563" s="455">
        <f t="shared" ca="1" si="135"/>
        <v>10274606757.396872</v>
      </c>
      <c r="J2563" s="455">
        <f t="array" ref="J2563">IFERROR(INDEX('Retirement Calculator'!K:K,MATCH('Lorri 401b'!N2563,'Retirement Calculator'!A:A,0),0),0)</f>
        <v>0</v>
      </c>
      <c r="K2563" s="455">
        <f t="shared" ca="1" si="133"/>
        <v>42810861.489153631</v>
      </c>
      <c r="L2563" s="455">
        <f t="shared" ca="1" si="134"/>
        <v>10317417618.886024</v>
      </c>
      <c r="M2563" s="471">
        <f t="shared" si="136"/>
        <v>0.05</v>
      </c>
      <c r="N2563" s="475">
        <f t="shared" si="137"/>
        <v>129053</v>
      </c>
    </row>
    <row r="2564" spans="7:14" ht="11.25" customHeight="1" x14ac:dyDescent="0.3">
      <c r="G2564" s="470"/>
      <c r="H2564" s="470">
        <v>2557</v>
      </c>
      <c r="I2564" s="455">
        <f t="shared" ca="1" si="135"/>
        <v>10317417618.886024</v>
      </c>
      <c r="J2564" s="455">
        <f t="array" ref="J2564">IFERROR(INDEX('Retirement Calculator'!K:K,MATCH('Lorri 401b'!N2564,'Retirement Calculator'!A:A,0),0),0)</f>
        <v>0</v>
      </c>
      <c r="K2564" s="455">
        <f t="shared" ca="1" si="133"/>
        <v>42989240.078691766</v>
      </c>
      <c r="L2564" s="455">
        <f t="shared" ca="1" si="134"/>
        <v>10360406858.964716</v>
      </c>
      <c r="M2564" s="471">
        <f t="shared" si="136"/>
        <v>0.05</v>
      </c>
      <c r="N2564" s="475">
        <f t="shared" si="137"/>
        <v>129084</v>
      </c>
    </row>
    <row r="2565" spans="7:14" ht="11.25" customHeight="1" x14ac:dyDescent="0.3">
      <c r="G2565" s="470"/>
      <c r="H2565" s="470">
        <v>2558</v>
      </c>
      <c r="I2565" s="455">
        <f t="shared" ca="1" si="135"/>
        <v>10360406858.964716</v>
      </c>
      <c r="J2565" s="455">
        <f t="array" ref="J2565">IFERROR(INDEX('Retirement Calculator'!K:K,MATCH('Lorri 401b'!N2565,'Retirement Calculator'!A:A,0),0),0)</f>
        <v>0</v>
      </c>
      <c r="K2565" s="455">
        <f t="shared" ca="1" si="133"/>
        <v>43168361.912352979</v>
      </c>
      <c r="L2565" s="455">
        <f t="shared" ca="1" si="134"/>
        <v>10403575220.877069</v>
      </c>
      <c r="M2565" s="471">
        <f t="shared" si="136"/>
        <v>0.05</v>
      </c>
      <c r="N2565" s="475">
        <f t="shared" si="137"/>
        <v>129114</v>
      </c>
    </row>
    <row r="2566" spans="7:14" ht="11.25" customHeight="1" x14ac:dyDescent="0.3">
      <c r="G2566" s="470"/>
      <c r="H2566" s="470">
        <v>2559</v>
      </c>
      <c r="I2566" s="455">
        <f t="shared" ca="1" si="135"/>
        <v>10403575220.877069</v>
      </c>
      <c r="J2566" s="455">
        <f t="array" ref="J2566">IFERROR(INDEX('Retirement Calculator'!K:K,MATCH('Lorri 401b'!N2566,'Retirement Calculator'!A:A,0),0),0)</f>
        <v>0</v>
      </c>
      <c r="K2566" s="455">
        <f t="shared" ca="1" si="133"/>
        <v>43348230.086987786</v>
      </c>
      <c r="L2566" s="455">
        <f t="shared" ca="1" si="134"/>
        <v>10446923450.964058</v>
      </c>
      <c r="M2566" s="471">
        <f t="shared" si="136"/>
        <v>0.05</v>
      </c>
      <c r="N2566" s="475">
        <f t="shared" si="137"/>
        <v>129145</v>
      </c>
    </row>
    <row r="2567" spans="7:14" ht="11.25" customHeight="1" x14ac:dyDescent="0.3">
      <c r="G2567" s="470"/>
      <c r="H2567" s="470">
        <v>2560</v>
      </c>
      <c r="I2567" s="455">
        <f t="shared" ca="1" si="135"/>
        <v>10446923450.964058</v>
      </c>
      <c r="J2567" s="455">
        <f t="array" ref="J2567">IFERROR(INDEX('Retirement Calculator'!K:K,MATCH('Lorri 401b'!N2567,'Retirement Calculator'!A:A,0),0),0)</f>
        <v>0</v>
      </c>
      <c r="K2567" s="455">
        <f t="shared" ca="1" si="133"/>
        <v>43528847.712350242</v>
      </c>
      <c r="L2567" s="455">
        <f t="shared" ca="1" si="134"/>
        <v>10490452298.676409</v>
      </c>
      <c r="M2567" s="471">
        <f t="shared" si="136"/>
        <v>0.05</v>
      </c>
      <c r="N2567" s="475">
        <f t="shared" si="137"/>
        <v>129176</v>
      </c>
    </row>
    <row r="2568" spans="7:14" ht="11.25" customHeight="1" x14ac:dyDescent="0.3">
      <c r="G2568" s="470"/>
      <c r="H2568" s="470">
        <v>2561</v>
      </c>
      <c r="I2568" s="455">
        <f t="shared" ca="1" si="135"/>
        <v>10490452298.676409</v>
      </c>
      <c r="J2568" s="455">
        <f t="array" ref="J2568">IFERROR(INDEX('Retirement Calculator'!K:K,MATCH('Lorri 401b'!N2568,'Retirement Calculator'!A:A,0),0),0)</f>
        <v>0</v>
      </c>
      <c r="K2568" s="455">
        <f t="shared" ca="1" si="133"/>
        <v>43710217.9111517</v>
      </c>
      <c r="L2568" s="455">
        <f t="shared" ca="1" si="134"/>
        <v>10534162516.587561</v>
      </c>
      <c r="M2568" s="471">
        <f t="shared" si="136"/>
        <v>0.05</v>
      </c>
      <c r="N2568" s="475">
        <f t="shared" si="137"/>
        <v>129206</v>
      </c>
    </row>
    <row r="2569" spans="7:14" ht="11.25" customHeight="1" x14ac:dyDescent="0.3">
      <c r="G2569" s="470"/>
      <c r="H2569" s="470">
        <v>2562</v>
      </c>
      <c r="I2569" s="455">
        <f t="shared" ca="1" si="135"/>
        <v>10534162516.587561</v>
      </c>
      <c r="J2569" s="455">
        <f t="array" ref="J2569">IFERROR(INDEX('Retirement Calculator'!K:K,MATCH('Lorri 401b'!N2569,'Retirement Calculator'!A:A,0),0),0)</f>
        <v>0</v>
      </c>
      <c r="K2569" s="455">
        <f t="shared" ca="1" si="133"/>
        <v>43892343.819114834</v>
      </c>
      <c r="L2569" s="455">
        <f t="shared" ca="1" si="134"/>
        <v>10578054860.406675</v>
      </c>
      <c r="M2569" s="471">
        <f t="shared" si="136"/>
        <v>0.05</v>
      </c>
      <c r="N2569" s="475">
        <f t="shared" si="137"/>
        <v>129237</v>
      </c>
    </row>
    <row r="2570" spans="7:14" ht="11.25" customHeight="1" x14ac:dyDescent="0.3">
      <c r="G2570" s="470"/>
      <c r="H2570" s="470">
        <v>2563</v>
      </c>
      <c r="I2570" s="455">
        <f t="shared" ca="1" si="135"/>
        <v>10578054860.406675</v>
      </c>
      <c r="J2570" s="455">
        <f t="array" ref="J2570">IFERROR(INDEX('Retirement Calculator'!K:K,MATCH('Lorri 401b'!N2570,'Retirement Calculator'!A:A,0),0),0)</f>
        <v>0</v>
      </c>
      <c r="K2570" s="455">
        <f t="shared" ca="1" si="133"/>
        <v>44075228.585027814</v>
      </c>
      <c r="L2570" s="455">
        <f t="shared" ca="1" si="134"/>
        <v>10622130088.991703</v>
      </c>
      <c r="M2570" s="471">
        <f t="shared" si="136"/>
        <v>0.05</v>
      </c>
      <c r="N2570" s="475">
        <f t="shared" si="137"/>
        <v>129267</v>
      </c>
    </row>
    <row r="2571" spans="7:14" ht="11.25" customHeight="1" x14ac:dyDescent="0.3">
      <c r="G2571" s="470"/>
      <c r="H2571" s="470">
        <v>2564</v>
      </c>
      <c r="I2571" s="455">
        <f t="shared" ca="1" si="135"/>
        <v>10622130088.991703</v>
      </c>
      <c r="J2571" s="455">
        <f t="array" ref="J2571">IFERROR(INDEX('Retirement Calculator'!K:K,MATCH('Lorri 401b'!N2571,'Retirement Calculator'!A:A,0),0),0)</f>
        <v>0</v>
      </c>
      <c r="K2571" s="455">
        <f t="shared" ca="1" si="133"/>
        <v>44258875.370798759</v>
      </c>
      <c r="L2571" s="455">
        <f t="shared" ca="1" si="134"/>
        <v>10666388964.362501</v>
      </c>
      <c r="M2571" s="471">
        <f t="shared" si="136"/>
        <v>0.05</v>
      </c>
      <c r="N2571" s="475">
        <f t="shared" si="137"/>
        <v>129298</v>
      </c>
    </row>
    <row r="2572" spans="7:14" ht="11.25" customHeight="1" x14ac:dyDescent="0.3">
      <c r="G2572" s="470"/>
      <c r="H2572" s="470">
        <v>2565</v>
      </c>
      <c r="I2572" s="455">
        <f t="shared" ca="1" si="135"/>
        <v>10666388964.362501</v>
      </c>
      <c r="J2572" s="455">
        <f t="array" ref="J2572">IFERROR(INDEX('Retirement Calculator'!K:K,MATCH('Lorri 401b'!N2572,'Retirement Calculator'!A:A,0),0),0)</f>
        <v>0</v>
      </c>
      <c r="K2572" s="455">
        <f t="shared" ca="1" si="133"/>
        <v>44443287.35151042</v>
      </c>
      <c r="L2572" s="455">
        <f t="shared" ca="1" si="134"/>
        <v>10710832251.714012</v>
      </c>
      <c r="M2572" s="471">
        <f t="shared" si="136"/>
        <v>0.05</v>
      </c>
      <c r="N2572" s="475">
        <f t="shared" si="137"/>
        <v>129329</v>
      </c>
    </row>
    <row r="2573" spans="7:14" ht="11.25" customHeight="1" x14ac:dyDescent="0.3">
      <c r="G2573" s="470"/>
      <c r="H2573" s="470">
        <v>2566</v>
      </c>
      <c r="I2573" s="455">
        <f t="shared" ca="1" si="135"/>
        <v>10710832251.714012</v>
      </c>
      <c r="J2573" s="455">
        <f t="array" ref="J2573">IFERROR(INDEX('Retirement Calculator'!K:K,MATCH('Lorri 401b'!N2573,'Retirement Calculator'!A:A,0),0),0)</f>
        <v>0</v>
      </c>
      <c r="K2573" s="455">
        <f t="shared" ca="1" si="133"/>
        <v>44628467.715475053</v>
      </c>
      <c r="L2573" s="455">
        <f t="shared" ca="1" si="134"/>
        <v>10755460719.429487</v>
      </c>
      <c r="M2573" s="471">
        <f t="shared" si="136"/>
        <v>0.05</v>
      </c>
      <c r="N2573" s="475">
        <f t="shared" si="137"/>
        <v>129357</v>
      </c>
    </row>
    <row r="2574" spans="7:14" ht="11.25" customHeight="1" x14ac:dyDescent="0.3">
      <c r="G2574" s="470"/>
      <c r="H2574" s="470">
        <v>2567</v>
      </c>
      <c r="I2574" s="455">
        <f t="shared" ca="1" si="135"/>
        <v>10755460719.429487</v>
      </c>
      <c r="J2574" s="455">
        <f t="array" ref="J2574">IFERROR(INDEX('Retirement Calculator'!K:K,MATCH('Lorri 401b'!N2574,'Retirement Calculator'!A:A,0),0),0)</f>
        <v>0</v>
      </c>
      <c r="K2574" s="455">
        <f t="shared" ca="1" si="133"/>
        <v>44814419.664289527</v>
      </c>
      <c r="L2574" s="455">
        <f t="shared" ca="1" si="134"/>
        <v>10800275139.093777</v>
      </c>
      <c r="M2574" s="471">
        <f t="shared" si="136"/>
        <v>0.05</v>
      </c>
      <c r="N2574" s="475">
        <f t="shared" si="137"/>
        <v>129388</v>
      </c>
    </row>
    <row r="2575" spans="7:14" ht="11.25" customHeight="1" x14ac:dyDescent="0.3">
      <c r="G2575" s="470"/>
      <c r="H2575" s="470">
        <v>2568</v>
      </c>
      <c r="I2575" s="455">
        <f t="shared" ca="1" si="135"/>
        <v>10800275139.093777</v>
      </c>
      <c r="J2575" s="455">
        <f t="array" ref="J2575">IFERROR(INDEX('Retirement Calculator'!K:K,MATCH('Lorri 401b'!N2575,'Retirement Calculator'!A:A,0),0),0)</f>
        <v>0</v>
      </c>
      <c r="K2575" s="455">
        <f t="shared" ca="1" si="133"/>
        <v>45001146.412890732</v>
      </c>
      <c r="L2575" s="455">
        <f t="shared" ca="1" si="134"/>
        <v>10845276285.506668</v>
      </c>
      <c r="M2575" s="471">
        <f t="shared" si="136"/>
        <v>0.05</v>
      </c>
      <c r="N2575" s="475">
        <f t="shared" si="137"/>
        <v>129418</v>
      </c>
    </row>
    <row r="2576" spans="7:14" ht="11.25" customHeight="1" x14ac:dyDescent="0.3">
      <c r="G2576" s="470"/>
      <c r="H2576" s="470">
        <v>2569</v>
      </c>
      <c r="I2576" s="455">
        <f t="shared" ca="1" si="135"/>
        <v>10845276285.506668</v>
      </c>
      <c r="J2576" s="455">
        <f t="array" ref="J2576">IFERROR(INDEX('Retirement Calculator'!K:K,MATCH('Lorri 401b'!N2576,'Retirement Calculator'!A:A,0),0),0)</f>
        <v>0</v>
      </c>
      <c r="K2576" s="455">
        <f t="shared" ca="1" si="133"/>
        <v>45188651.189611115</v>
      </c>
      <c r="L2576" s="455">
        <f t="shared" ca="1" si="134"/>
        <v>10890464936.69628</v>
      </c>
      <c r="M2576" s="471">
        <f t="shared" si="136"/>
        <v>0.05</v>
      </c>
      <c r="N2576" s="475">
        <f t="shared" si="137"/>
        <v>129449</v>
      </c>
    </row>
    <row r="2577" spans="7:14" ht="11.25" customHeight="1" x14ac:dyDescent="0.3">
      <c r="G2577" s="470"/>
      <c r="H2577" s="470">
        <v>2570</v>
      </c>
      <c r="I2577" s="455">
        <f t="shared" ca="1" si="135"/>
        <v>10890464936.69628</v>
      </c>
      <c r="J2577" s="455">
        <f t="array" ref="J2577">IFERROR(INDEX('Retirement Calculator'!K:K,MATCH('Lorri 401b'!N2577,'Retirement Calculator'!A:A,0),0),0)</f>
        <v>0</v>
      </c>
      <c r="K2577" s="455">
        <f t="shared" ca="1" si="133"/>
        <v>45376937.236234501</v>
      </c>
      <c r="L2577" s="455">
        <f t="shared" ca="1" si="134"/>
        <v>10935841873.932514</v>
      </c>
      <c r="M2577" s="471">
        <f t="shared" si="136"/>
        <v>0.05</v>
      </c>
      <c r="N2577" s="475">
        <f t="shared" si="137"/>
        <v>129479</v>
      </c>
    </row>
    <row r="2578" spans="7:14" ht="11.25" customHeight="1" x14ac:dyDescent="0.3">
      <c r="G2578" s="470"/>
      <c r="H2578" s="470">
        <v>2571</v>
      </c>
      <c r="I2578" s="455">
        <f t="shared" ca="1" si="135"/>
        <v>10935841873.932514</v>
      </c>
      <c r="J2578" s="455">
        <f t="array" ref="J2578">IFERROR(INDEX('Retirement Calculator'!K:K,MATCH('Lorri 401b'!N2578,'Retirement Calculator'!A:A,0),0),0)</f>
        <v>0</v>
      </c>
      <c r="K2578" s="455">
        <f t="shared" ca="1" si="133"/>
        <v>45566007.808052145</v>
      </c>
      <c r="L2578" s="455">
        <f t="shared" ca="1" si="134"/>
        <v>10981407881.740566</v>
      </c>
      <c r="M2578" s="471">
        <f t="shared" si="136"/>
        <v>0.05</v>
      </c>
      <c r="N2578" s="475">
        <f t="shared" si="137"/>
        <v>129510</v>
      </c>
    </row>
    <row r="2579" spans="7:14" ht="11.25" customHeight="1" x14ac:dyDescent="0.3">
      <c r="G2579" s="470"/>
      <c r="H2579" s="470">
        <v>2572</v>
      </c>
      <c r="I2579" s="455">
        <f t="shared" ca="1" si="135"/>
        <v>10981407881.740566</v>
      </c>
      <c r="J2579" s="455">
        <f t="array" ref="J2579">IFERROR(INDEX('Retirement Calculator'!K:K,MATCH('Lorri 401b'!N2579,'Retirement Calculator'!A:A,0),0),0)</f>
        <v>0</v>
      </c>
      <c r="K2579" s="455">
        <f t="shared" ca="1" si="133"/>
        <v>45755866.173919022</v>
      </c>
      <c r="L2579" s="455">
        <f t="shared" ca="1" si="134"/>
        <v>11027163747.914486</v>
      </c>
      <c r="M2579" s="471">
        <f t="shared" si="136"/>
        <v>0.05</v>
      </c>
      <c r="N2579" s="475">
        <f t="shared" si="137"/>
        <v>129541</v>
      </c>
    </row>
    <row r="2580" spans="7:14" ht="11.25" customHeight="1" x14ac:dyDescent="0.3">
      <c r="G2580" s="470"/>
      <c r="H2580" s="470">
        <v>2573</v>
      </c>
      <c r="I2580" s="455">
        <f t="shared" ca="1" si="135"/>
        <v>11027163747.914486</v>
      </c>
      <c r="J2580" s="455">
        <f t="array" ref="J2580">IFERROR(INDEX('Retirement Calculator'!K:K,MATCH('Lorri 401b'!N2580,'Retirement Calculator'!A:A,0),0),0)</f>
        <v>0</v>
      </c>
      <c r="K2580" s="455">
        <f t="shared" ca="1" si="133"/>
        <v>45946515.616310358</v>
      </c>
      <c r="L2580" s="455">
        <f t="shared" ca="1" si="134"/>
        <v>11073110263.530796</v>
      </c>
      <c r="M2580" s="471">
        <f t="shared" si="136"/>
        <v>0.05</v>
      </c>
      <c r="N2580" s="475">
        <f t="shared" si="137"/>
        <v>129571</v>
      </c>
    </row>
    <row r="2581" spans="7:14" ht="11.25" customHeight="1" x14ac:dyDescent="0.3">
      <c r="G2581" s="470"/>
      <c r="H2581" s="470">
        <v>2574</v>
      </c>
      <c r="I2581" s="455">
        <f t="shared" ca="1" si="135"/>
        <v>11073110263.530796</v>
      </c>
      <c r="J2581" s="455">
        <f t="array" ref="J2581">IFERROR(INDEX('Retirement Calculator'!K:K,MATCH('Lorri 401b'!N2581,'Retirement Calculator'!A:A,0),0),0)</f>
        <v>0</v>
      </c>
      <c r="K2581" s="455">
        <f t="shared" ca="1" si="133"/>
        <v>46137959.43137832</v>
      </c>
      <c r="L2581" s="455">
        <f t="shared" ca="1" si="134"/>
        <v>11119248222.962173</v>
      </c>
      <c r="M2581" s="471">
        <f t="shared" si="136"/>
        <v>0.05</v>
      </c>
      <c r="N2581" s="475">
        <f t="shared" si="137"/>
        <v>129602</v>
      </c>
    </row>
    <row r="2582" spans="7:14" ht="11.25" customHeight="1" x14ac:dyDescent="0.3">
      <c r="G2582" s="470"/>
      <c r="H2582" s="470">
        <v>2575</v>
      </c>
      <c r="I2582" s="455">
        <f t="shared" ca="1" si="135"/>
        <v>11119248222.962173</v>
      </c>
      <c r="J2582" s="455">
        <f t="array" ref="J2582">IFERROR(INDEX('Retirement Calculator'!K:K,MATCH('Lorri 401b'!N2582,'Retirement Calculator'!A:A,0),0),0)</f>
        <v>0</v>
      </c>
      <c r="K2582" s="455">
        <f t="shared" ca="1" si="133"/>
        <v>46330200.929009058</v>
      </c>
      <c r="L2582" s="455">
        <f t="shared" ca="1" si="134"/>
        <v>11165578423.891182</v>
      </c>
      <c r="M2582" s="471">
        <f t="shared" si="136"/>
        <v>0.05</v>
      </c>
      <c r="N2582" s="475">
        <f t="shared" si="137"/>
        <v>129632</v>
      </c>
    </row>
    <row r="2583" spans="7:14" ht="11.25" customHeight="1" x14ac:dyDescent="0.3">
      <c r="G2583" s="470"/>
      <c r="H2583" s="470">
        <v>2576</v>
      </c>
      <c r="I2583" s="455">
        <f t="shared" ca="1" si="135"/>
        <v>11165578423.891182</v>
      </c>
      <c r="J2583" s="455">
        <f t="array" ref="J2583">IFERROR(INDEX('Retirement Calculator'!K:K,MATCH('Lorri 401b'!N2583,'Retirement Calculator'!A:A,0),0),0)</f>
        <v>0</v>
      </c>
      <c r="K2583" s="455">
        <f t="shared" ca="1" si="133"/>
        <v>46523243.432879925</v>
      </c>
      <c r="L2583" s="455">
        <f t="shared" ca="1" si="134"/>
        <v>11212101667.324062</v>
      </c>
      <c r="M2583" s="471">
        <f t="shared" si="136"/>
        <v>0.05</v>
      </c>
      <c r="N2583" s="475">
        <f t="shared" si="137"/>
        <v>129663</v>
      </c>
    </row>
    <row r="2584" spans="7:14" ht="11.25" customHeight="1" x14ac:dyDescent="0.3">
      <c r="G2584" s="470"/>
      <c r="H2584" s="470">
        <v>2577</v>
      </c>
      <c r="I2584" s="455">
        <f t="shared" ca="1" si="135"/>
        <v>11212101667.324062</v>
      </c>
      <c r="J2584" s="455">
        <f t="array" ref="J2584">IFERROR(INDEX('Retirement Calculator'!K:K,MATCH('Lorri 401b'!N2584,'Retirement Calculator'!A:A,0),0),0)</f>
        <v>0</v>
      </c>
      <c r="K2584" s="455">
        <f t="shared" ca="1" si="133"/>
        <v>46717090.280516922</v>
      </c>
      <c r="L2584" s="455">
        <f t="shared" ca="1" si="134"/>
        <v>11258818757.60458</v>
      </c>
      <c r="M2584" s="471">
        <f t="shared" si="136"/>
        <v>0.05</v>
      </c>
      <c r="N2584" s="475">
        <f t="shared" si="137"/>
        <v>129694</v>
      </c>
    </row>
    <row r="2585" spans="7:14" ht="11.25" customHeight="1" x14ac:dyDescent="0.3">
      <c r="G2585" s="470"/>
      <c r="H2585" s="470">
        <v>2578</v>
      </c>
      <c r="I2585" s="455">
        <f t="shared" ca="1" si="135"/>
        <v>11258818757.60458</v>
      </c>
      <c r="J2585" s="455">
        <f t="array" ref="J2585">IFERROR(INDEX('Retirement Calculator'!K:K,MATCH('Lorri 401b'!N2585,'Retirement Calculator'!A:A,0),0),0)</f>
        <v>0</v>
      </c>
      <c r="K2585" s="455">
        <f t="shared" ca="1" si="133"/>
        <v>46911744.823352419</v>
      </c>
      <c r="L2585" s="455">
        <f t="shared" ca="1" si="134"/>
        <v>11305730502.427933</v>
      </c>
      <c r="M2585" s="471">
        <f t="shared" si="136"/>
        <v>0.05</v>
      </c>
      <c r="N2585" s="475">
        <f t="shared" si="137"/>
        <v>129722</v>
      </c>
    </row>
    <row r="2586" spans="7:14" ht="11.25" customHeight="1" x14ac:dyDescent="0.3">
      <c r="G2586" s="470"/>
      <c r="H2586" s="470">
        <v>2579</v>
      </c>
      <c r="I2586" s="455">
        <f t="shared" ca="1" si="135"/>
        <v>11305730502.427933</v>
      </c>
      <c r="J2586" s="455">
        <f t="array" ref="J2586">IFERROR(INDEX('Retirement Calculator'!K:K,MATCH('Lorri 401b'!N2586,'Retirement Calculator'!A:A,0),0),0)</f>
        <v>0</v>
      </c>
      <c r="K2586" s="455">
        <f t="shared" ca="1" si="133"/>
        <v>47107210.426783055</v>
      </c>
      <c r="L2586" s="455">
        <f t="shared" ca="1" si="134"/>
        <v>11352837712.854715</v>
      </c>
      <c r="M2586" s="471">
        <f t="shared" si="136"/>
        <v>0.05</v>
      </c>
      <c r="N2586" s="475">
        <f t="shared" si="137"/>
        <v>129753</v>
      </c>
    </row>
    <row r="2587" spans="7:14" ht="11.25" customHeight="1" x14ac:dyDescent="0.3">
      <c r="G2587" s="470"/>
      <c r="H2587" s="470">
        <v>2580</v>
      </c>
      <c r="I2587" s="455">
        <f t="shared" ca="1" si="135"/>
        <v>11352837712.854715</v>
      </c>
      <c r="J2587" s="455">
        <f t="array" ref="J2587">IFERROR(INDEX('Retirement Calculator'!K:K,MATCH('Lorri 401b'!N2587,'Retirement Calculator'!A:A,0),0),0)</f>
        <v>0</v>
      </c>
      <c r="K2587" s="455">
        <f t="shared" ca="1" si="133"/>
        <v>47303490.470227979</v>
      </c>
      <c r="L2587" s="455">
        <f t="shared" ca="1" si="134"/>
        <v>11400141203.324944</v>
      </c>
      <c r="M2587" s="471">
        <f t="shared" si="136"/>
        <v>0.05</v>
      </c>
      <c r="N2587" s="475">
        <f t="shared" si="137"/>
        <v>129783</v>
      </c>
    </row>
    <row r="2588" spans="7:14" ht="11.25" customHeight="1" x14ac:dyDescent="0.3">
      <c r="G2588" s="470"/>
      <c r="H2588" s="470">
        <v>2581</v>
      </c>
      <c r="I2588" s="455">
        <f t="shared" ca="1" si="135"/>
        <v>11400141203.324944</v>
      </c>
      <c r="J2588" s="455">
        <f t="array" ref="J2588">IFERROR(INDEX('Retirement Calculator'!K:K,MATCH('Lorri 401b'!N2588,'Retirement Calculator'!A:A,0),0),0)</f>
        <v>0</v>
      </c>
      <c r="K2588" s="455">
        <f t="shared" ca="1" si="133"/>
        <v>47500588.347187266</v>
      </c>
      <c r="L2588" s="455">
        <f t="shared" ca="1" si="134"/>
        <v>11447641791.672131</v>
      </c>
      <c r="M2588" s="471">
        <f t="shared" si="136"/>
        <v>0.05</v>
      </c>
      <c r="N2588" s="475">
        <f t="shared" si="137"/>
        <v>129814</v>
      </c>
    </row>
    <row r="2589" spans="7:14" ht="11.25" customHeight="1" x14ac:dyDescent="0.3">
      <c r="G2589" s="470"/>
      <c r="H2589" s="470">
        <v>2582</v>
      </c>
      <c r="I2589" s="455">
        <f t="shared" ca="1" si="135"/>
        <v>11447641791.672131</v>
      </c>
      <c r="J2589" s="455">
        <f t="array" ref="J2589">IFERROR(INDEX('Retirement Calculator'!K:K,MATCH('Lorri 401b'!N2589,'Retirement Calculator'!A:A,0),0),0)</f>
        <v>0</v>
      </c>
      <c r="K2589" s="455">
        <f t="shared" ca="1" si="133"/>
        <v>47698507.465300545</v>
      </c>
      <c r="L2589" s="455">
        <f t="shared" ca="1" si="134"/>
        <v>11495340299.13743</v>
      </c>
      <c r="M2589" s="471">
        <f t="shared" si="136"/>
        <v>0.05</v>
      </c>
      <c r="N2589" s="475">
        <f t="shared" si="137"/>
        <v>129844</v>
      </c>
    </row>
    <row r="2590" spans="7:14" ht="11.25" customHeight="1" x14ac:dyDescent="0.3">
      <c r="G2590" s="470"/>
      <c r="H2590" s="470">
        <v>2583</v>
      </c>
      <c r="I2590" s="455">
        <f t="shared" ca="1" si="135"/>
        <v>11495340299.13743</v>
      </c>
      <c r="J2590" s="455">
        <f t="array" ref="J2590">IFERROR(INDEX('Retirement Calculator'!K:K,MATCH('Lorri 401b'!N2590,'Retirement Calculator'!A:A,0),0),0)</f>
        <v>0</v>
      </c>
      <c r="K2590" s="455">
        <f t="shared" ca="1" si="133"/>
        <v>47897251.246405959</v>
      </c>
      <c r="L2590" s="455">
        <f t="shared" ca="1" si="134"/>
        <v>11543237550.383837</v>
      </c>
      <c r="M2590" s="471">
        <f t="shared" si="136"/>
        <v>0.05</v>
      </c>
      <c r="N2590" s="475">
        <f t="shared" si="137"/>
        <v>129875</v>
      </c>
    </row>
    <row r="2591" spans="7:14" ht="11.25" customHeight="1" x14ac:dyDescent="0.3">
      <c r="G2591" s="470"/>
      <c r="H2591" s="470">
        <v>2584</v>
      </c>
      <c r="I2591" s="455">
        <f t="shared" ca="1" si="135"/>
        <v>11543237550.383837</v>
      </c>
      <c r="J2591" s="455">
        <f t="array" ref="J2591">IFERROR(INDEX('Retirement Calculator'!K:K,MATCH('Lorri 401b'!N2591,'Retirement Calculator'!A:A,0),0),0)</f>
        <v>0</v>
      </c>
      <c r="K2591" s="455">
        <f t="shared" ca="1" si="133"/>
        <v>48096823.126599319</v>
      </c>
      <c r="L2591" s="455">
        <f t="shared" ca="1" si="134"/>
        <v>11591334373.510437</v>
      </c>
      <c r="M2591" s="471">
        <f t="shared" si="136"/>
        <v>0.05</v>
      </c>
      <c r="N2591" s="475">
        <f t="shared" si="137"/>
        <v>129906</v>
      </c>
    </row>
    <row r="2592" spans="7:14" ht="11.25" customHeight="1" x14ac:dyDescent="0.3">
      <c r="G2592" s="470"/>
      <c r="H2592" s="470">
        <v>2585</v>
      </c>
      <c r="I2592" s="455">
        <f t="shared" ca="1" si="135"/>
        <v>11591334373.510437</v>
      </c>
      <c r="J2592" s="455">
        <f t="array" ref="J2592">IFERROR(INDEX('Retirement Calculator'!K:K,MATCH('Lorri 401b'!N2592,'Retirement Calculator'!A:A,0),0),0)</f>
        <v>0</v>
      </c>
      <c r="K2592" s="455">
        <f t="shared" ca="1" si="133"/>
        <v>48297226.556293488</v>
      </c>
      <c r="L2592" s="455">
        <f t="shared" ca="1" si="134"/>
        <v>11639631600.06673</v>
      </c>
      <c r="M2592" s="471">
        <f t="shared" si="136"/>
        <v>0.05</v>
      </c>
      <c r="N2592" s="475">
        <f t="shared" si="137"/>
        <v>129936</v>
      </c>
    </row>
    <row r="2593" spans="7:14" ht="11.25" customHeight="1" x14ac:dyDescent="0.3">
      <c r="G2593" s="470"/>
      <c r="H2593" s="470">
        <v>2586</v>
      </c>
      <c r="I2593" s="455">
        <f t="shared" ca="1" si="135"/>
        <v>11639631600.06673</v>
      </c>
      <c r="J2593" s="455">
        <f t="array" ref="J2593">IFERROR(INDEX('Retirement Calculator'!K:K,MATCH('Lorri 401b'!N2593,'Retirement Calculator'!A:A,0),0),0)</f>
        <v>0</v>
      </c>
      <c r="K2593" s="455">
        <f t="shared" ca="1" si="133"/>
        <v>48498465.000278041</v>
      </c>
      <c r="L2593" s="455">
        <f t="shared" ca="1" si="134"/>
        <v>11688130065.067009</v>
      </c>
      <c r="M2593" s="471">
        <f t="shared" si="136"/>
        <v>0.05</v>
      </c>
      <c r="N2593" s="475">
        <f t="shared" si="137"/>
        <v>129967</v>
      </c>
    </row>
    <row r="2594" spans="7:14" ht="11.25" customHeight="1" x14ac:dyDescent="0.3">
      <c r="G2594" s="470"/>
      <c r="H2594" s="470">
        <v>2587</v>
      </c>
      <c r="I2594" s="455">
        <f t="shared" ca="1" si="135"/>
        <v>11688130065.067009</v>
      </c>
      <c r="J2594" s="455">
        <f t="array" ref="J2594">IFERROR(INDEX('Retirement Calculator'!K:K,MATCH('Lorri 401b'!N2594,'Retirement Calculator'!A:A,0),0),0)</f>
        <v>0</v>
      </c>
      <c r="K2594" s="455">
        <f t="shared" ca="1" si="133"/>
        <v>48700541.937779203</v>
      </c>
      <c r="L2594" s="455">
        <f t="shared" ca="1" si="134"/>
        <v>11736830607.004787</v>
      </c>
      <c r="M2594" s="471">
        <f t="shared" si="136"/>
        <v>0.05</v>
      </c>
      <c r="N2594" s="475">
        <f t="shared" si="137"/>
        <v>129997</v>
      </c>
    </row>
    <row r="2595" spans="7:14" ht="11.25" customHeight="1" x14ac:dyDescent="0.3">
      <c r="G2595" s="470"/>
      <c r="H2595" s="470">
        <v>2588</v>
      </c>
      <c r="I2595" s="455">
        <f t="shared" ca="1" si="135"/>
        <v>11736830607.004787</v>
      </c>
      <c r="J2595" s="455">
        <f t="array" ref="J2595">IFERROR(INDEX('Retirement Calculator'!K:K,MATCH('Lorri 401b'!N2595,'Retirement Calculator'!A:A,0),0),0)</f>
        <v>0</v>
      </c>
      <c r="K2595" s="455">
        <f t="shared" ca="1" si="133"/>
        <v>48903460.86251995</v>
      </c>
      <c r="L2595" s="455">
        <f t="shared" ca="1" si="134"/>
        <v>11785734067.867308</v>
      </c>
      <c r="M2595" s="471">
        <f t="shared" si="136"/>
        <v>0.05</v>
      </c>
      <c r="N2595" s="475">
        <f t="shared" si="137"/>
        <v>130028</v>
      </c>
    </row>
    <row r="2596" spans="7:14" ht="11.25" customHeight="1" x14ac:dyDescent="0.3">
      <c r="G2596" s="470"/>
      <c r="H2596" s="470">
        <v>2589</v>
      </c>
      <c r="I2596" s="455">
        <f t="shared" ca="1" si="135"/>
        <v>11785734067.867308</v>
      </c>
      <c r="J2596" s="455">
        <f t="array" ref="J2596">IFERROR(INDEX('Retirement Calculator'!K:K,MATCH('Lorri 401b'!N2596,'Retirement Calculator'!A:A,0),0),0)</f>
        <v>0</v>
      </c>
      <c r="K2596" s="455">
        <f t="shared" ca="1" si="133"/>
        <v>49107225.282780446</v>
      </c>
      <c r="L2596" s="455">
        <f t="shared" ca="1" si="134"/>
        <v>11834841293.150087</v>
      </c>
      <c r="M2596" s="471">
        <f t="shared" si="136"/>
        <v>0.05</v>
      </c>
      <c r="N2596" s="475">
        <f t="shared" si="137"/>
        <v>130059</v>
      </c>
    </row>
    <row r="2597" spans="7:14" ht="11.25" customHeight="1" x14ac:dyDescent="0.3">
      <c r="G2597" s="470"/>
      <c r="H2597" s="470">
        <v>2590</v>
      </c>
      <c r="I2597" s="455">
        <f t="shared" ca="1" si="135"/>
        <v>11834841293.150087</v>
      </c>
      <c r="J2597" s="455">
        <f t="array" ref="J2597">IFERROR(INDEX('Retirement Calculator'!K:K,MATCH('Lorri 401b'!N2597,'Retirement Calculator'!A:A,0),0),0)</f>
        <v>0</v>
      </c>
      <c r="K2597" s="455">
        <f t="shared" ca="1" si="133"/>
        <v>49311838.721458696</v>
      </c>
      <c r="L2597" s="455">
        <f t="shared" ca="1" si="134"/>
        <v>11884153131.871546</v>
      </c>
      <c r="M2597" s="471">
        <f t="shared" si="136"/>
        <v>0.05</v>
      </c>
      <c r="N2597" s="475">
        <f t="shared" si="137"/>
        <v>130088</v>
      </c>
    </row>
    <row r="2598" spans="7:14" ht="11.25" customHeight="1" x14ac:dyDescent="0.3">
      <c r="G2598" s="470"/>
      <c r="H2598" s="470">
        <v>2591</v>
      </c>
      <c r="I2598" s="455">
        <f t="shared" ca="1" si="135"/>
        <v>11884153131.871546</v>
      </c>
      <c r="J2598" s="455">
        <f t="array" ref="J2598">IFERROR(INDEX('Retirement Calculator'!K:K,MATCH('Lorri 401b'!N2598,'Retirement Calculator'!A:A,0),0),0)</f>
        <v>0</v>
      </c>
      <c r="K2598" s="455">
        <f t="shared" ca="1" si="133"/>
        <v>49517304.716131441</v>
      </c>
      <c r="L2598" s="455">
        <f t="shared" ca="1" si="134"/>
        <v>11933670436.587677</v>
      </c>
      <c r="M2598" s="471">
        <f t="shared" si="136"/>
        <v>0.05</v>
      </c>
      <c r="N2598" s="475">
        <f t="shared" si="137"/>
        <v>130119</v>
      </c>
    </row>
    <row r="2599" spans="7:14" ht="11.25" customHeight="1" x14ac:dyDescent="0.3">
      <c r="G2599" s="470"/>
      <c r="H2599" s="470">
        <v>2592</v>
      </c>
      <c r="I2599" s="455">
        <f t="shared" ca="1" si="135"/>
        <v>11933670436.587677</v>
      </c>
      <c r="J2599" s="455">
        <f t="array" ref="J2599">IFERROR(INDEX('Retirement Calculator'!K:K,MATCH('Lorri 401b'!N2599,'Retirement Calculator'!A:A,0),0),0)</f>
        <v>0</v>
      </c>
      <c r="K2599" s="455">
        <f t="shared" ca="1" si="133"/>
        <v>49723626.819115318</v>
      </c>
      <c r="L2599" s="455">
        <f t="shared" ca="1" si="134"/>
        <v>11983394063.406792</v>
      </c>
      <c r="M2599" s="471">
        <f t="shared" si="136"/>
        <v>0.05</v>
      </c>
      <c r="N2599" s="475">
        <f t="shared" si="137"/>
        <v>130149</v>
      </c>
    </row>
    <row r="2600" spans="7:14" ht="11.25" customHeight="1" x14ac:dyDescent="0.3">
      <c r="G2600" s="470"/>
      <c r="H2600" s="470">
        <v>2593</v>
      </c>
      <c r="I2600" s="455">
        <f t="shared" ca="1" si="135"/>
        <v>11983394063.406792</v>
      </c>
      <c r="J2600" s="455">
        <f t="array" ref="J2600">IFERROR(INDEX('Retirement Calculator'!K:K,MATCH('Lorri 401b'!N2600,'Retirement Calculator'!A:A,0),0),0)</f>
        <v>0</v>
      </c>
      <c r="K2600" s="455">
        <f t="shared" ca="1" si="133"/>
        <v>49930808.597528301</v>
      </c>
      <c r="L2600" s="455">
        <f t="shared" ca="1" si="134"/>
        <v>12033324872.00432</v>
      </c>
      <c r="M2600" s="471">
        <f t="shared" si="136"/>
        <v>0.05</v>
      </c>
      <c r="N2600" s="475">
        <f t="shared" si="137"/>
        <v>130180</v>
      </c>
    </row>
    <row r="2601" spans="7:14" ht="11.25" customHeight="1" x14ac:dyDescent="0.3">
      <c r="G2601" s="470"/>
      <c r="H2601" s="470">
        <v>2594</v>
      </c>
      <c r="I2601" s="455">
        <f t="shared" ca="1" si="135"/>
        <v>12033324872.00432</v>
      </c>
      <c r="J2601" s="455">
        <f t="array" ref="J2601">IFERROR(INDEX('Retirement Calculator'!K:K,MATCH('Lorri 401b'!N2601,'Retirement Calculator'!A:A,0),0),0)</f>
        <v>0</v>
      </c>
      <c r="K2601" s="455">
        <f t="shared" ca="1" si="133"/>
        <v>50138853.633351333</v>
      </c>
      <c r="L2601" s="455">
        <f t="shared" ca="1" si="134"/>
        <v>12083463725.637672</v>
      </c>
      <c r="M2601" s="471">
        <f t="shared" si="136"/>
        <v>0.05</v>
      </c>
      <c r="N2601" s="475">
        <f t="shared" si="137"/>
        <v>130210</v>
      </c>
    </row>
    <row r="2602" spans="7:14" ht="11.25" customHeight="1" x14ac:dyDescent="0.3">
      <c r="G2602" s="470"/>
      <c r="H2602" s="470">
        <v>2595</v>
      </c>
      <c r="I2602" s="455">
        <f t="shared" ca="1" si="135"/>
        <v>12083463725.637672</v>
      </c>
      <c r="J2602" s="455">
        <f t="array" ref="J2602">IFERROR(INDEX('Retirement Calculator'!K:K,MATCH('Lorri 401b'!N2602,'Retirement Calculator'!A:A,0),0),0)</f>
        <v>0</v>
      </c>
      <c r="K2602" s="455">
        <f t="shared" ca="1" si="133"/>
        <v>50347765.523490302</v>
      </c>
      <c r="L2602" s="455">
        <f t="shared" ca="1" si="134"/>
        <v>12133811491.161163</v>
      </c>
      <c r="M2602" s="471">
        <f t="shared" si="136"/>
        <v>0.05</v>
      </c>
      <c r="N2602" s="475">
        <f t="shared" si="137"/>
        <v>130241</v>
      </c>
    </row>
    <row r="2603" spans="7:14" ht="11.25" customHeight="1" x14ac:dyDescent="0.3">
      <c r="G2603" s="470"/>
      <c r="H2603" s="470">
        <v>2596</v>
      </c>
      <c r="I2603" s="455">
        <f t="shared" ca="1" si="135"/>
        <v>12133811491.161163</v>
      </c>
      <c r="J2603" s="455">
        <f t="array" ref="J2603">IFERROR(INDEX('Retirement Calculator'!K:K,MATCH('Lorri 401b'!N2603,'Retirement Calculator'!A:A,0),0),0)</f>
        <v>0</v>
      </c>
      <c r="K2603" s="455">
        <f t="shared" ca="1" si="133"/>
        <v>50557547.879838184</v>
      </c>
      <c r="L2603" s="455">
        <f t="shared" ca="1" si="134"/>
        <v>12184369039.041002</v>
      </c>
      <c r="M2603" s="471">
        <f t="shared" si="136"/>
        <v>0.05</v>
      </c>
      <c r="N2603" s="475">
        <f t="shared" si="137"/>
        <v>130272</v>
      </c>
    </row>
    <row r="2604" spans="7:14" ht="11.25" customHeight="1" x14ac:dyDescent="0.3">
      <c r="G2604" s="470"/>
      <c r="H2604" s="470">
        <v>2597</v>
      </c>
      <c r="I2604" s="455">
        <f t="shared" ca="1" si="135"/>
        <v>12184369039.041002</v>
      </c>
      <c r="J2604" s="455">
        <f t="array" ref="J2604">IFERROR(INDEX('Retirement Calculator'!K:K,MATCH('Lorri 401b'!N2604,'Retirement Calculator'!A:A,0),0),0)</f>
        <v>0</v>
      </c>
      <c r="K2604" s="455">
        <f t="shared" ca="1" si="133"/>
        <v>50768204.329337507</v>
      </c>
      <c r="L2604" s="455">
        <f t="shared" ca="1" si="134"/>
        <v>12235137243.37034</v>
      </c>
      <c r="M2604" s="471">
        <f t="shared" si="136"/>
        <v>0.05</v>
      </c>
      <c r="N2604" s="475">
        <f t="shared" si="137"/>
        <v>130302</v>
      </c>
    </row>
    <row r="2605" spans="7:14" ht="11.25" customHeight="1" x14ac:dyDescent="0.3">
      <c r="G2605" s="470"/>
      <c r="H2605" s="470">
        <v>2598</v>
      </c>
      <c r="I2605" s="455">
        <f t="shared" ca="1" si="135"/>
        <v>12235137243.37034</v>
      </c>
      <c r="J2605" s="455">
        <f t="array" ref="J2605">IFERROR(INDEX('Retirement Calculator'!K:K,MATCH('Lorri 401b'!N2605,'Retirement Calculator'!A:A,0),0),0)</f>
        <v>0</v>
      </c>
      <c r="K2605" s="455">
        <f t="shared" ca="1" si="133"/>
        <v>50979738.514043085</v>
      </c>
      <c r="L2605" s="455">
        <f t="shared" ca="1" si="134"/>
        <v>12286116981.884384</v>
      </c>
      <c r="M2605" s="471">
        <f t="shared" si="136"/>
        <v>0.05</v>
      </c>
      <c r="N2605" s="475">
        <f t="shared" si="137"/>
        <v>130333</v>
      </c>
    </row>
    <row r="2606" spans="7:14" ht="11.25" customHeight="1" x14ac:dyDescent="0.3">
      <c r="G2606" s="470"/>
      <c r="H2606" s="470">
        <v>2599</v>
      </c>
      <c r="I2606" s="455">
        <f t="shared" ca="1" si="135"/>
        <v>12286116981.884384</v>
      </c>
      <c r="J2606" s="455">
        <f t="array" ref="J2606">IFERROR(INDEX('Retirement Calculator'!K:K,MATCH('Lorri 401b'!N2606,'Retirement Calculator'!A:A,0),0),0)</f>
        <v>0</v>
      </c>
      <c r="K2606" s="455">
        <f t="shared" ca="1" si="133"/>
        <v>51192154.091184936</v>
      </c>
      <c r="L2606" s="455">
        <f t="shared" ca="1" si="134"/>
        <v>12337309135.975569</v>
      </c>
      <c r="M2606" s="471">
        <f t="shared" si="136"/>
        <v>0.05</v>
      </c>
      <c r="N2606" s="475">
        <f t="shared" si="137"/>
        <v>130363</v>
      </c>
    </row>
    <row r="2607" spans="7:14" ht="11.25" customHeight="1" x14ac:dyDescent="0.3">
      <c r="G2607" s="470"/>
      <c r="H2607" s="470">
        <v>2600</v>
      </c>
      <c r="I2607" s="455">
        <f t="shared" ca="1" si="135"/>
        <v>12337309135.975569</v>
      </c>
      <c r="J2607" s="455">
        <f t="array" ref="J2607">IFERROR(INDEX('Retirement Calculator'!K:K,MATCH('Lorri 401b'!N2607,'Retirement Calculator'!A:A,0),0),0)</f>
        <v>0</v>
      </c>
      <c r="K2607" s="455">
        <f t="shared" ca="1" si="133"/>
        <v>51405454.733231537</v>
      </c>
      <c r="L2607" s="455">
        <f t="shared" ca="1" si="134"/>
        <v>12388714590.708799</v>
      </c>
      <c r="M2607" s="471">
        <f t="shared" si="136"/>
        <v>0.05</v>
      </c>
      <c r="N2607" s="475">
        <f t="shared" si="137"/>
        <v>130394</v>
      </c>
    </row>
    <row r="2608" spans="7:14" ht="11.25" customHeight="1" x14ac:dyDescent="0.3">
      <c r="G2608" s="470"/>
      <c r="H2608" s="470">
        <v>2601</v>
      </c>
      <c r="I2608" s="455">
        <f t="shared" ca="1" si="135"/>
        <v>12388714590.708799</v>
      </c>
      <c r="J2608" s="455">
        <f t="array" ref="J2608">IFERROR(INDEX('Retirement Calculator'!K:K,MATCH('Lorri 401b'!N2608,'Retirement Calculator'!A:A,0),0),0)</f>
        <v>0</v>
      </c>
      <c r="K2608" s="455">
        <f t="shared" ca="1" si="133"/>
        <v>51619644.127953328</v>
      </c>
      <c r="L2608" s="455">
        <f t="shared" ca="1" si="134"/>
        <v>12440334234.836752</v>
      </c>
      <c r="M2608" s="471">
        <f t="shared" si="136"/>
        <v>0.05</v>
      </c>
      <c r="N2608" s="475">
        <f t="shared" si="137"/>
        <v>130425</v>
      </c>
    </row>
    <row r="2609" spans="7:14" ht="11.25" customHeight="1" x14ac:dyDescent="0.3">
      <c r="G2609" s="470"/>
      <c r="H2609" s="470">
        <v>2602</v>
      </c>
      <c r="I2609" s="455">
        <f t="shared" ca="1" si="135"/>
        <v>12440334234.836752</v>
      </c>
      <c r="J2609" s="455">
        <f t="array" ref="J2609">IFERROR(INDEX('Retirement Calculator'!K:K,MATCH('Lorri 401b'!N2609,'Retirement Calculator'!A:A,0),0),0)</f>
        <v>0</v>
      </c>
      <c r="K2609" s="455">
        <f t="shared" ca="1" si="133"/>
        <v>51834725.978486463</v>
      </c>
      <c r="L2609" s="455">
        <f t="shared" ca="1" si="134"/>
        <v>12492168960.815239</v>
      </c>
      <c r="M2609" s="471">
        <f t="shared" si="136"/>
        <v>0.05</v>
      </c>
      <c r="N2609" s="475">
        <f t="shared" si="137"/>
        <v>130453</v>
      </c>
    </row>
    <row r="2610" spans="7:14" ht="11.25" customHeight="1" x14ac:dyDescent="0.3">
      <c r="G2610" s="470"/>
      <c r="H2610" s="470">
        <v>2603</v>
      </c>
      <c r="I2610" s="455">
        <f t="shared" ca="1" si="135"/>
        <v>12492168960.815239</v>
      </c>
      <c r="J2610" s="455">
        <f t="array" ref="J2610">IFERROR(INDEX('Retirement Calculator'!K:K,MATCH('Lorri 401b'!N2610,'Retirement Calculator'!A:A,0),0),0)</f>
        <v>0</v>
      </c>
      <c r="K2610" s="455">
        <f t="shared" ca="1" si="133"/>
        <v>52050704.003396831</v>
      </c>
      <c r="L2610" s="455">
        <f t="shared" ca="1" si="134"/>
        <v>12544219664.818636</v>
      </c>
      <c r="M2610" s="471">
        <f t="shared" si="136"/>
        <v>0.05</v>
      </c>
      <c r="N2610" s="475">
        <f t="shared" si="137"/>
        <v>130484</v>
      </c>
    </row>
    <row r="2611" spans="7:14" ht="11.25" customHeight="1" x14ac:dyDescent="0.3">
      <c r="G2611" s="470"/>
      <c r="H2611" s="470">
        <v>2604</v>
      </c>
      <c r="I2611" s="455">
        <f t="shared" ca="1" si="135"/>
        <v>12544219664.818636</v>
      </c>
      <c r="J2611" s="455">
        <f t="array" ref="J2611">IFERROR(INDEX('Retirement Calculator'!K:K,MATCH('Lorri 401b'!N2611,'Retirement Calculator'!A:A,0),0),0)</f>
        <v>0</v>
      </c>
      <c r="K2611" s="455">
        <f t="shared" ca="1" si="133"/>
        <v>52267581.936744317</v>
      </c>
      <c r="L2611" s="455">
        <f t="shared" ca="1" si="134"/>
        <v>12596487246.755381</v>
      </c>
      <c r="M2611" s="471">
        <f t="shared" si="136"/>
        <v>0.05</v>
      </c>
      <c r="N2611" s="475">
        <f t="shared" si="137"/>
        <v>130514</v>
      </c>
    </row>
    <row r="2612" spans="7:14" ht="11.25" customHeight="1" x14ac:dyDescent="0.3">
      <c r="G2612" s="470"/>
      <c r="H2612" s="470">
        <v>2605</v>
      </c>
      <c r="I2612" s="455">
        <f t="shared" ca="1" si="135"/>
        <v>12596487246.755381</v>
      </c>
      <c r="J2612" s="455">
        <f t="array" ref="J2612">IFERROR(INDEX('Retirement Calculator'!K:K,MATCH('Lorri 401b'!N2612,'Retirement Calculator'!A:A,0),0),0)</f>
        <v>0</v>
      </c>
      <c r="K2612" s="455">
        <f t="shared" ca="1" si="133"/>
        <v>52485363.528147422</v>
      </c>
      <c r="L2612" s="455">
        <f t="shared" ca="1" si="134"/>
        <v>12648972610.283527</v>
      </c>
      <c r="M2612" s="471">
        <f t="shared" si="136"/>
        <v>0.05</v>
      </c>
      <c r="N2612" s="475">
        <f t="shared" si="137"/>
        <v>130545</v>
      </c>
    </row>
    <row r="2613" spans="7:14" ht="11.25" customHeight="1" x14ac:dyDescent="0.3">
      <c r="G2613" s="470"/>
      <c r="H2613" s="470">
        <v>2606</v>
      </c>
      <c r="I2613" s="455">
        <f t="shared" ca="1" si="135"/>
        <v>12648972610.283527</v>
      </c>
      <c r="J2613" s="455">
        <f t="array" ref="J2613">IFERROR(INDEX('Retirement Calculator'!K:K,MATCH('Lorri 401b'!N2613,'Retirement Calculator'!A:A,0),0),0)</f>
        <v>0</v>
      </c>
      <c r="K2613" s="455">
        <f t="shared" ca="1" si="133"/>
        <v>52704052.542848028</v>
      </c>
      <c r="L2613" s="455">
        <f t="shared" ca="1" si="134"/>
        <v>12701676662.826376</v>
      </c>
      <c r="M2613" s="471">
        <f t="shared" si="136"/>
        <v>0.05</v>
      </c>
      <c r="N2613" s="475">
        <f t="shared" si="137"/>
        <v>130575</v>
      </c>
    </row>
    <row r="2614" spans="7:14" ht="11.25" customHeight="1" x14ac:dyDescent="0.3">
      <c r="G2614" s="470"/>
      <c r="H2614" s="470">
        <v>2607</v>
      </c>
      <c r="I2614" s="455">
        <f t="shared" ca="1" si="135"/>
        <v>12701676662.826376</v>
      </c>
      <c r="J2614" s="455">
        <f t="array" ref="J2614">IFERROR(INDEX('Retirement Calculator'!K:K,MATCH('Lorri 401b'!N2614,'Retirement Calculator'!A:A,0),0),0)</f>
        <v>0</v>
      </c>
      <c r="K2614" s="455">
        <f t="shared" ca="1" si="133"/>
        <v>52923652.761776567</v>
      </c>
      <c r="L2614" s="455">
        <f t="shared" ca="1" si="134"/>
        <v>12754600315.588152</v>
      </c>
      <c r="M2614" s="471">
        <f t="shared" si="136"/>
        <v>0.05</v>
      </c>
      <c r="N2614" s="475">
        <f t="shared" si="137"/>
        <v>130606</v>
      </c>
    </row>
    <row r="2615" spans="7:14" ht="11.25" customHeight="1" x14ac:dyDescent="0.3">
      <c r="G2615" s="470"/>
      <c r="H2615" s="470">
        <v>2608</v>
      </c>
      <c r="I2615" s="455">
        <f t="shared" ca="1" si="135"/>
        <v>12754600315.588152</v>
      </c>
      <c r="J2615" s="455">
        <f t="array" ref="J2615">IFERROR(INDEX('Retirement Calculator'!K:K,MATCH('Lorri 401b'!N2615,'Retirement Calculator'!A:A,0),0),0)</f>
        <v>0</v>
      </c>
      <c r="K2615" s="455">
        <f t="shared" ca="1" si="133"/>
        <v>53144167.981617302</v>
      </c>
      <c r="L2615" s="455">
        <f t="shared" ca="1" si="134"/>
        <v>12807744483.569769</v>
      </c>
      <c r="M2615" s="471">
        <f t="shared" si="136"/>
        <v>0.05</v>
      </c>
      <c r="N2615" s="475">
        <f t="shared" si="137"/>
        <v>130637</v>
      </c>
    </row>
    <row r="2616" spans="7:14" ht="11.25" customHeight="1" x14ac:dyDescent="0.3">
      <c r="G2616" s="470"/>
      <c r="H2616" s="470">
        <v>2609</v>
      </c>
      <c r="I2616" s="455">
        <f t="shared" ca="1" si="135"/>
        <v>12807744483.569769</v>
      </c>
      <c r="J2616" s="455">
        <f t="array" ref="J2616">IFERROR(INDEX('Retirement Calculator'!K:K,MATCH('Lorri 401b'!N2616,'Retirement Calculator'!A:A,0),0),0)</f>
        <v>0</v>
      </c>
      <c r="K2616" s="455">
        <f t="shared" ca="1" si="133"/>
        <v>53365602.014874034</v>
      </c>
      <c r="L2616" s="455">
        <f t="shared" ca="1" si="134"/>
        <v>12861110085.584642</v>
      </c>
      <c r="M2616" s="471">
        <f t="shared" si="136"/>
        <v>0.05</v>
      </c>
      <c r="N2616" s="475">
        <f t="shared" si="137"/>
        <v>130667</v>
      </c>
    </row>
    <row r="2617" spans="7:14" ht="11.25" customHeight="1" x14ac:dyDescent="0.3">
      <c r="G2617" s="470"/>
      <c r="H2617" s="470">
        <v>2610</v>
      </c>
      <c r="I2617" s="455">
        <f t="shared" ca="1" si="135"/>
        <v>12861110085.584642</v>
      </c>
      <c r="J2617" s="455">
        <f t="array" ref="J2617">IFERROR(INDEX('Retirement Calculator'!K:K,MATCH('Lorri 401b'!N2617,'Retirement Calculator'!A:A,0),0),0)</f>
        <v>0</v>
      </c>
      <c r="K2617" s="455">
        <f t="shared" ca="1" si="133"/>
        <v>53587958.689936012</v>
      </c>
      <c r="L2617" s="455">
        <f t="shared" ca="1" si="134"/>
        <v>12914698044.274578</v>
      </c>
      <c r="M2617" s="471">
        <f t="shared" si="136"/>
        <v>0.05</v>
      </c>
      <c r="N2617" s="475">
        <f t="shared" si="137"/>
        <v>130698</v>
      </c>
    </row>
    <row r="2618" spans="7:14" ht="11.25" customHeight="1" x14ac:dyDescent="0.3">
      <c r="G2618" s="470"/>
      <c r="H2618" s="470">
        <v>2611</v>
      </c>
      <c r="I2618" s="455">
        <f t="shared" ca="1" si="135"/>
        <v>12914698044.274578</v>
      </c>
      <c r="J2618" s="455">
        <f t="array" ref="J2618">IFERROR(INDEX('Retirement Calculator'!K:K,MATCH('Lorri 401b'!N2618,'Retirement Calculator'!A:A,0),0),0)</f>
        <v>0</v>
      </c>
      <c r="K2618" s="455">
        <f t="shared" ca="1" si="133"/>
        <v>53811241.851144075</v>
      </c>
      <c r="L2618" s="455">
        <f t="shared" ca="1" si="134"/>
        <v>12968509286.125723</v>
      </c>
      <c r="M2618" s="471">
        <f t="shared" si="136"/>
        <v>0.05</v>
      </c>
      <c r="N2618" s="475">
        <f t="shared" si="137"/>
        <v>130728</v>
      </c>
    </row>
    <row r="2619" spans="7:14" ht="11.25" customHeight="1" x14ac:dyDescent="0.3">
      <c r="G2619" s="470"/>
      <c r="H2619" s="470">
        <v>2612</v>
      </c>
      <c r="I2619" s="455">
        <f t="shared" ca="1" si="135"/>
        <v>12968509286.125723</v>
      </c>
      <c r="J2619" s="455">
        <f t="array" ref="J2619">IFERROR(INDEX('Retirement Calculator'!K:K,MATCH('Lorri 401b'!N2619,'Retirement Calculator'!A:A,0),0),0)</f>
        <v>0</v>
      </c>
      <c r="K2619" s="455">
        <f t="shared" ca="1" si="133"/>
        <v>54035455.358857177</v>
      </c>
      <c r="L2619" s="455">
        <f t="shared" ca="1" si="134"/>
        <v>13022544741.484581</v>
      </c>
      <c r="M2619" s="471">
        <f t="shared" si="136"/>
        <v>0.05</v>
      </c>
      <c r="N2619" s="475">
        <f t="shared" si="137"/>
        <v>130759</v>
      </c>
    </row>
    <row r="2620" spans="7:14" ht="11.25" customHeight="1" x14ac:dyDescent="0.3">
      <c r="G2620" s="470"/>
      <c r="H2620" s="470">
        <v>2613</v>
      </c>
      <c r="I2620" s="455">
        <f t="shared" ca="1" si="135"/>
        <v>13022544741.484581</v>
      </c>
      <c r="J2620" s="455">
        <f t="array" ref="J2620">IFERROR(INDEX('Retirement Calculator'!K:K,MATCH('Lorri 401b'!N2620,'Retirement Calculator'!A:A,0),0),0)</f>
        <v>0</v>
      </c>
      <c r="K2620" s="455">
        <f t="shared" ca="1" si="133"/>
        <v>54260603.089519083</v>
      </c>
      <c r="L2620" s="455">
        <f t="shared" ca="1" si="134"/>
        <v>13076805344.5741</v>
      </c>
      <c r="M2620" s="471">
        <f t="shared" si="136"/>
        <v>0.05</v>
      </c>
      <c r="N2620" s="475">
        <f t="shared" si="137"/>
        <v>130790</v>
      </c>
    </row>
    <row r="2621" spans="7:14" ht="11.25" customHeight="1" x14ac:dyDescent="0.3">
      <c r="G2621" s="470"/>
      <c r="H2621" s="470">
        <v>2614</v>
      </c>
      <c r="I2621" s="455">
        <f t="shared" ca="1" si="135"/>
        <v>13076805344.5741</v>
      </c>
      <c r="J2621" s="455">
        <f t="array" ref="J2621">IFERROR(INDEX('Retirement Calculator'!K:K,MATCH('Lorri 401b'!N2621,'Retirement Calculator'!A:A,0),0),0)</f>
        <v>0</v>
      </c>
      <c r="K2621" s="455">
        <f t="shared" ca="1" si="133"/>
        <v>54486688.935725421</v>
      </c>
      <c r="L2621" s="455">
        <f t="shared" ca="1" si="134"/>
        <v>13131292033.509827</v>
      </c>
      <c r="M2621" s="471">
        <f t="shared" si="136"/>
        <v>0.05</v>
      </c>
      <c r="N2621" s="475">
        <f t="shared" si="137"/>
        <v>130818</v>
      </c>
    </row>
    <row r="2622" spans="7:14" ht="11.25" customHeight="1" x14ac:dyDescent="0.3">
      <c r="G2622" s="470"/>
      <c r="H2622" s="470">
        <v>2615</v>
      </c>
      <c r="I2622" s="455">
        <f t="shared" ca="1" si="135"/>
        <v>13131292033.509827</v>
      </c>
      <c r="J2622" s="455">
        <f t="array" ref="J2622">IFERROR(INDEX('Retirement Calculator'!K:K,MATCH('Lorri 401b'!N2622,'Retirement Calculator'!A:A,0),0),0)</f>
        <v>0</v>
      </c>
      <c r="K2622" s="455">
        <f t="shared" ca="1" si="133"/>
        <v>54713716.806290947</v>
      </c>
      <c r="L2622" s="455">
        <f t="shared" ca="1" si="134"/>
        <v>13186005750.316118</v>
      </c>
      <c r="M2622" s="471">
        <f t="shared" si="136"/>
        <v>0.05</v>
      </c>
      <c r="N2622" s="475">
        <f t="shared" si="137"/>
        <v>130849</v>
      </c>
    </row>
    <row r="2623" spans="7:14" ht="11.25" customHeight="1" x14ac:dyDescent="0.3">
      <c r="G2623" s="470"/>
      <c r="H2623" s="470">
        <v>2616</v>
      </c>
      <c r="I2623" s="455">
        <f t="shared" ca="1" si="135"/>
        <v>13186005750.316118</v>
      </c>
      <c r="J2623" s="455">
        <f t="array" ref="J2623">IFERROR(INDEX('Retirement Calculator'!K:K,MATCH('Lorri 401b'!N2623,'Retirement Calculator'!A:A,0),0),0)</f>
        <v>0</v>
      </c>
      <c r="K2623" s="455">
        <f t="shared" ca="1" si="133"/>
        <v>54941690.626317158</v>
      </c>
      <c r="L2623" s="455">
        <f t="shared" ca="1" si="134"/>
        <v>13240947440.942436</v>
      </c>
      <c r="M2623" s="471">
        <f t="shared" si="136"/>
        <v>0.05</v>
      </c>
      <c r="N2623" s="475">
        <f t="shared" si="137"/>
        <v>130879</v>
      </c>
    </row>
    <row r="2624" spans="7:14" ht="11.25" customHeight="1" x14ac:dyDescent="0.3">
      <c r="G2624" s="470"/>
      <c r="H2624" s="470">
        <v>2617</v>
      </c>
      <c r="I2624" s="455">
        <f t="shared" ca="1" si="135"/>
        <v>13240947440.942436</v>
      </c>
      <c r="J2624" s="455">
        <f t="array" ref="J2624">IFERROR(INDEX('Retirement Calculator'!K:K,MATCH('Lorri 401b'!N2624,'Retirement Calculator'!A:A,0),0),0)</f>
        <v>0</v>
      </c>
      <c r="K2624" s="455">
        <f t="shared" ca="1" si="133"/>
        <v>55170614.337260149</v>
      </c>
      <c r="L2624" s="455">
        <f t="shared" ca="1" si="134"/>
        <v>13296118055.279696</v>
      </c>
      <c r="M2624" s="471">
        <f t="shared" si="136"/>
        <v>0.05</v>
      </c>
      <c r="N2624" s="475">
        <f t="shared" si="137"/>
        <v>130910</v>
      </c>
    </row>
    <row r="2625" spans="7:14" ht="11.25" customHeight="1" x14ac:dyDescent="0.3">
      <c r="G2625" s="470"/>
      <c r="H2625" s="470">
        <v>2618</v>
      </c>
      <c r="I2625" s="455">
        <f t="shared" ca="1" si="135"/>
        <v>13296118055.279696</v>
      </c>
      <c r="J2625" s="455">
        <f t="array" ref="J2625">IFERROR(INDEX('Retirement Calculator'!K:K,MATCH('Lorri 401b'!N2625,'Retirement Calculator'!A:A,0),0),0)</f>
        <v>0</v>
      </c>
      <c r="K2625" s="455">
        <f t="shared" ca="1" si="133"/>
        <v>55400491.896998733</v>
      </c>
      <c r="L2625" s="455">
        <f t="shared" ca="1" si="134"/>
        <v>13351518547.176695</v>
      </c>
      <c r="M2625" s="471">
        <f t="shared" si="136"/>
        <v>0.05</v>
      </c>
      <c r="N2625" s="475">
        <f t="shared" si="137"/>
        <v>130940</v>
      </c>
    </row>
    <row r="2626" spans="7:14" ht="11.25" customHeight="1" x14ac:dyDescent="0.3">
      <c r="G2626" s="470"/>
      <c r="H2626" s="470">
        <v>2619</v>
      </c>
      <c r="I2626" s="455">
        <f t="shared" ca="1" si="135"/>
        <v>13351518547.176695</v>
      </c>
      <c r="J2626" s="455">
        <f t="array" ref="J2626">IFERROR(INDEX('Retirement Calculator'!K:K,MATCH('Lorri 401b'!N2626,'Retirement Calculator'!A:A,0),0),0)</f>
        <v>0</v>
      </c>
      <c r="K2626" s="455">
        <f t="shared" ca="1" si="133"/>
        <v>55631327.279902898</v>
      </c>
      <c r="L2626" s="455">
        <f t="shared" ca="1" si="134"/>
        <v>13407149874.456598</v>
      </c>
      <c r="M2626" s="471">
        <f t="shared" si="136"/>
        <v>0.05</v>
      </c>
      <c r="N2626" s="475">
        <f t="shared" si="137"/>
        <v>130971</v>
      </c>
    </row>
    <row r="2627" spans="7:14" ht="11.25" customHeight="1" x14ac:dyDescent="0.3">
      <c r="G2627" s="470"/>
      <c r="H2627" s="470">
        <v>2620</v>
      </c>
      <c r="I2627" s="455">
        <f t="shared" ca="1" si="135"/>
        <v>13407149874.456598</v>
      </c>
      <c r="J2627" s="455">
        <f t="array" ref="J2627">IFERROR(INDEX('Retirement Calculator'!K:K,MATCH('Lorri 401b'!N2627,'Retirement Calculator'!A:A,0),0),0)</f>
        <v>0</v>
      </c>
      <c r="K2627" s="455">
        <f t="shared" ca="1" si="133"/>
        <v>55863124.4769025</v>
      </c>
      <c r="L2627" s="455">
        <f t="shared" ca="1" si="134"/>
        <v>13463012998.9335</v>
      </c>
      <c r="M2627" s="471">
        <f t="shared" si="136"/>
        <v>0.05</v>
      </c>
      <c r="N2627" s="475">
        <f t="shared" si="137"/>
        <v>131002</v>
      </c>
    </row>
    <row r="2628" spans="7:14" ht="11.25" customHeight="1" x14ac:dyDescent="0.3">
      <c r="G2628" s="470"/>
      <c r="H2628" s="470">
        <v>2621</v>
      </c>
      <c r="I2628" s="455">
        <f t="shared" ca="1" si="135"/>
        <v>13463012998.9335</v>
      </c>
      <c r="J2628" s="455">
        <f t="array" ref="J2628">IFERROR(INDEX('Retirement Calculator'!K:K,MATCH('Lorri 401b'!N2628,'Retirement Calculator'!A:A,0),0),0)</f>
        <v>0</v>
      </c>
      <c r="K2628" s="455">
        <f t="shared" ca="1" si="133"/>
        <v>56095887.49555625</v>
      </c>
      <c r="L2628" s="455">
        <f t="shared" ca="1" si="134"/>
        <v>13519108886.429056</v>
      </c>
      <c r="M2628" s="471">
        <f t="shared" si="136"/>
        <v>0.05</v>
      </c>
      <c r="N2628" s="475">
        <f t="shared" si="137"/>
        <v>131032</v>
      </c>
    </row>
    <row r="2629" spans="7:14" ht="11.25" customHeight="1" x14ac:dyDescent="0.3">
      <c r="G2629" s="470"/>
      <c r="H2629" s="470">
        <v>2622</v>
      </c>
      <c r="I2629" s="455">
        <f t="shared" ca="1" si="135"/>
        <v>13519108886.429056</v>
      </c>
      <c r="J2629" s="455">
        <f t="array" ref="J2629">IFERROR(INDEX('Retirement Calculator'!K:K,MATCH('Lorri 401b'!N2629,'Retirement Calculator'!A:A,0),0),0)</f>
        <v>0</v>
      </c>
      <c r="K2629" s="455">
        <f t="shared" ca="1" si="133"/>
        <v>56329620.360121064</v>
      </c>
      <c r="L2629" s="455">
        <f t="shared" ca="1" si="134"/>
        <v>13575438506.789177</v>
      </c>
      <c r="M2629" s="471">
        <f t="shared" si="136"/>
        <v>0.05</v>
      </c>
      <c r="N2629" s="475">
        <f t="shared" si="137"/>
        <v>131063</v>
      </c>
    </row>
    <row r="2630" spans="7:14" ht="11.25" customHeight="1" x14ac:dyDescent="0.3">
      <c r="G2630" s="470"/>
      <c r="H2630" s="470">
        <v>2623</v>
      </c>
      <c r="I2630" s="455">
        <f t="shared" ca="1" si="135"/>
        <v>13575438506.789177</v>
      </c>
      <c r="J2630" s="455">
        <f t="array" ref="J2630">IFERROR(INDEX('Retirement Calculator'!K:K,MATCH('Lorri 401b'!N2630,'Retirement Calculator'!A:A,0),0),0)</f>
        <v>0</v>
      </c>
      <c r="K2630" s="455">
        <f t="shared" ca="1" si="133"/>
        <v>56564327.111621566</v>
      </c>
      <c r="L2630" s="455">
        <f t="shared" ca="1" si="134"/>
        <v>13632002833.900799</v>
      </c>
      <c r="M2630" s="471">
        <f t="shared" si="136"/>
        <v>0.05</v>
      </c>
      <c r="N2630" s="475">
        <f t="shared" si="137"/>
        <v>131093</v>
      </c>
    </row>
    <row r="2631" spans="7:14" ht="11.25" customHeight="1" x14ac:dyDescent="0.3">
      <c r="G2631" s="470"/>
      <c r="H2631" s="470">
        <v>2624</v>
      </c>
      <c r="I2631" s="455">
        <f t="shared" ca="1" si="135"/>
        <v>13632002833.900799</v>
      </c>
      <c r="J2631" s="455">
        <f t="array" ref="J2631">IFERROR(INDEX('Retirement Calculator'!K:K,MATCH('Lorri 401b'!N2631,'Retirement Calculator'!A:A,0),0),0)</f>
        <v>0</v>
      </c>
      <c r="K2631" s="455">
        <f t="shared" ca="1" si="133"/>
        <v>56800011.807919994</v>
      </c>
      <c r="L2631" s="455">
        <f t="shared" ca="1" si="134"/>
        <v>13688802845.708719</v>
      </c>
      <c r="M2631" s="471">
        <f t="shared" si="136"/>
        <v>0.05</v>
      </c>
      <c r="N2631" s="475">
        <f t="shared" si="137"/>
        <v>131124</v>
      </c>
    </row>
    <row r="2632" spans="7:14" ht="11.25" customHeight="1" x14ac:dyDescent="0.3">
      <c r="G2632" s="470"/>
      <c r="H2632" s="470">
        <v>2625</v>
      </c>
      <c r="I2632" s="455">
        <f t="shared" ca="1" si="135"/>
        <v>13688802845.708719</v>
      </c>
      <c r="J2632" s="455">
        <f t="array" ref="J2632">IFERROR(INDEX('Retirement Calculator'!K:K,MATCH('Lorri 401b'!N2632,'Retirement Calculator'!A:A,0),0),0)</f>
        <v>0</v>
      </c>
      <c r="K2632" s="455">
        <f t="shared" ca="1" si="133"/>
        <v>57036678.523786329</v>
      </c>
      <c r="L2632" s="455">
        <f t="shared" ca="1" si="134"/>
        <v>13745839524.232506</v>
      </c>
      <c r="M2632" s="471">
        <f t="shared" si="136"/>
        <v>0.05</v>
      </c>
      <c r="N2632" s="475">
        <f t="shared" si="137"/>
        <v>131155</v>
      </c>
    </row>
    <row r="2633" spans="7:14" ht="11.25" customHeight="1" x14ac:dyDescent="0.3">
      <c r="G2633" s="470"/>
      <c r="H2633" s="470">
        <v>2626</v>
      </c>
      <c r="I2633" s="455">
        <f t="shared" ca="1" si="135"/>
        <v>13745839524.232506</v>
      </c>
      <c r="J2633" s="455">
        <f t="array" ref="J2633">IFERROR(INDEX('Retirement Calculator'!K:K,MATCH('Lorri 401b'!N2633,'Retirement Calculator'!A:A,0),0),0)</f>
        <v>0</v>
      </c>
      <c r="K2633" s="455">
        <f t="shared" ca="1" si="133"/>
        <v>57274331.350968771</v>
      </c>
      <c r="L2633" s="455">
        <f t="shared" ca="1" si="134"/>
        <v>13803113855.583475</v>
      </c>
      <c r="M2633" s="471">
        <f t="shared" si="136"/>
        <v>0.05</v>
      </c>
      <c r="N2633" s="475">
        <f t="shared" si="137"/>
        <v>131183</v>
      </c>
    </row>
    <row r="2634" spans="7:14" ht="11.25" customHeight="1" x14ac:dyDescent="0.3">
      <c r="G2634" s="470"/>
      <c r="H2634" s="470">
        <v>2627</v>
      </c>
      <c r="I2634" s="455">
        <f t="shared" ca="1" si="135"/>
        <v>13803113855.583475</v>
      </c>
      <c r="J2634" s="455">
        <f t="array" ref="J2634">IFERROR(INDEX('Retirement Calculator'!K:K,MATCH('Lorri 401b'!N2634,'Retirement Calculator'!A:A,0),0),0)</f>
        <v>0</v>
      </c>
      <c r="K2634" s="455">
        <f t="shared" ca="1" si="133"/>
        <v>57512974.398264475</v>
      </c>
      <c r="L2634" s="455">
        <f t="shared" ca="1" si="134"/>
        <v>13860626829.981739</v>
      </c>
      <c r="M2634" s="471">
        <f t="shared" si="136"/>
        <v>0.05</v>
      </c>
      <c r="N2634" s="475">
        <f t="shared" si="137"/>
        <v>131214</v>
      </c>
    </row>
    <row r="2635" spans="7:14" ht="11.25" customHeight="1" x14ac:dyDescent="0.3">
      <c r="G2635" s="470"/>
      <c r="H2635" s="470">
        <v>2628</v>
      </c>
      <c r="I2635" s="455">
        <f t="shared" ca="1" si="135"/>
        <v>13860626829.981739</v>
      </c>
      <c r="J2635" s="455">
        <f t="array" ref="J2635">IFERROR(INDEX('Retirement Calculator'!K:K,MATCH('Lorri 401b'!N2635,'Retirement Calculator'!A:A,0),0),0)</f>
        <v>0</v>
      </c>
      <c r="K2635" s="455">
        <f t="shared" ca="1" si="133"/>
        <v>57752611.791590579</v>
      </c>
      <c r="L2635" s="455">
        <f t="shared" ca="1" si="134"/>
        <v>13918379441.773329</v>
      </c>
      <c r="M2635" s="471">
        <f t="shared" si="136"/>
        <v>0.05</v>
      </c>
      <c r="N2635" s="475">
        <f t="shared" si="137"/>
        <v>131244</v>
      </c>
    </row>
    <row r="2636" spans="7:14" ht="11.25" customHeight="1" x14ac:dyDescent="0.3">
      <c r="G2636" s="470"/>
      <c r="H2636" s="470">
        <v>2629</v>
      </c>
      <c r="I2636" s="455">
        <f t="shared" ca="1" si="135"/>
        <v>13918379441.773329</v>
      </c>
      <c r="J2636" s="455">
        <f t="array" ref="J2636">IFERROR(INDEX('Retirement Calculator'!K:K,MATCH('Lorri 401b'!N2636,'Retirement Calculator'!A:A,0),0),0)</f>
        <v>0</v>
      </c>
      <c r="K2636" s="455">
        <f t="shared" ca="1" si="133"/>
        <v>57993247.674055539</v>
      </c>
      <c r="L2636" s="455">
        <f t="shared" ca="1" si="134"/>
        <v>13976372689.447384</v>
      </c>
      <c r="M2636" s="471">
        <f t="shared" si="136"/>
        <v>0.05</v>
      </c>
      <c r="N2636" s="475">
        <f t="shared" si="137"/>
        <v>131275</v>
      </c>
    </row>
    <row r="2637" spans="7:14" ht="11.25" customHeight="1" x14ac:dyDescent="0.3">
      <c r="G2637" s="470"/>
      <c r="H2637" s="470">
        <v>2630</v>
      </c>
      <c r="I2637" s="455">
        <f t="shared" ca="1" si="135"/>
        <v>13976372689.447384</v>
      </c>
      <c r="J2637" s="455">
        <f t="array" ref="J2637">IFERROR(INDEX('Retirement Calculator'!K:K,MATCH('Lorri 401b'!N2637,'Retirement Calculator'!A:A,0),0),0)</f>
        <v>0</v>
      </c>
      <c r="K2637" s="455">
        <f t="shared" ca="1" si="133"/>
        <v>58234886.206030771</v>
      </c>
      <c r="L2637" s="455">
        <f t="shared" ca="1" si="134"/>
        <v>14034607575.653414</v>
      </c>
      <c r="M2637" s="471">
        <f t="shared" si="136"/>
        <v>0.05</v>
      </c>
      <c r="N2637" s="475">
        <f t="shared" si="137"/>
        <v>131305</v>
      </c>
    </row>
    <row r="2638" spans="7:14" ht="11.25" customHeight="1" x14ac:dyDescent="0.3">
      <c r="G2638" s="470"/>
      <c r="H2638" s="470">
        <v>2631</v>
      </c>
      <c r="I2638" s="455">
        <f t="shared" ca="1" si="135"/>
        <v>14034607575.653414</v>
      </c>
      <c r="J2638" s="455">
        <f t="array" ref="J2638">IFERROR(INDEX('Retirement Calculator'!K:K,MATCH('Lorri 401b'!N2638,'Retirement Calculator'!A:A,0),0),0)</f>
        <v>0</v>
      </c>
      <c r="K2638" s="455">
        <f t="shared" ca="1" si="133"/>
        <v>58477531.565222554</v>
      </c>
      <c r="L2638" s="455">
        <f t="shared" ca="1" si="134"/>
        <v>14093085107.218636</v>
      </c>
      <c r="M2638" s="471">
        <f t="shared" si="136"/>
        <v>0.05</v>
      </c>
      <c r="N2638" s="475">
        <f t="shared" si="137"/>
        <v>131336</v>
      </c>
    </row>
    <row r="2639" spans="7:14" ht="11.25" customHeight="1" x14ac:dyDescent="0.3">
      <c r="G2639" s="470"/>
      <c r="H2639" s="470">
        <v>2632</v>
      </c>
      <c r="I2639" s="455">
        <f t="shared" ca="1" si="135"/>
        <v>14093085107.218636</v>
      </c>
      <c r="J2639" s="455">
        <f t="array" ref="J2639">IFERROR(INDEX('Retirement Calculator'!K:K,MATCH('Lorri 401b'!N2639,'Retirement Calculator'!A:A,0),0),0)</f>
        <v>0</v>
      </c>
      <c r="K2639" s="455">
        <f t="shared" ca="1" si="133"/>
        <v>58721187.946744315</v>
      </c>
      <c r="L2639" s="455">
        <f t="shared" ca="1" si="134"/>
        <v>14151806295.16538</v>
      </c>
      <c r="M2639" s="471">
        <f t="shared" si="136"/>
        <v>0.05</v>
      </c>
      <c r="N2639" s="475">
        <f t="shared" si="137"/>
        <v>131367</v>
      </c>
    </row>
    <row r="2640" spans="7:14" ht="11.25" customHeight="1" x14ac:dyDescent="0.3">
      <c r="G2640" s="470"/>
      <c r="H2640" s="470">
        <v>2633</v>
      </c>
      <c r="I2640" s="455">
        <f t="shared" ca="1" si="135"/>
        <v>14151806295.16538</v>
      </c>
      <c r="J2640" s="455">
        <f t="array" ref="J2640">IFERROR(INDEX('Retirement Calculator'!K:K,MATCH('Lorri 401b'!N2640,'Retirement Calculator'!A:A,0),0),0)</f>
        <v>0</v>
      </c>
      <c r="K2640" s="455">
        <f t="shared" ca="1" si="133"/>
        <v>58965859.563189082</v>
      </c>
      <c r="L2640" s="455">
        <f t="shared" ca="1" si="134"/>
        <v>14210772154.728569</v>
      </c>
      <c r="M2640" s="471">
        <f t="shared" si="136"/>
        <v>0.05</v>
      </c>
      <c r="N2640" s="475">
        <f t="shared" si="137"/>
        <v>131397</v>
      </c>
    </row>
    <row r="2641" spans="7:14" ht="11.25" customHeight="1" x14ac:dyDescent="0.3">
      <c r="G2641" s="470"/>
      <c r="H2641" s="470">
        <v>2634</v>
      </c>
      <c r="I2641" s="455">
        <f t="shared" ca="1" si="135"/>
        <v>14210772154.728569</v>
      </c>
      <c r="J2641" s="455">
        <f t="array" ref="J2641">IFERROR(INDEX('Retirement Calculator'!K:K,MATCH('Lorri 401b'!N2641,'Retirement Calculator'!A:A,0),0),0)</f>
        <v>0</v>
      </c>
      <c r="K2641" s="455">
        <f t="shared" ca="1" si="133"/>
        <v>59211550.644702367</v>
      </c>
      <c r="L2641" s="455">
        <f t="shared" ca="1" si="134"/>
        <v>14269983705.373272</v>
      </c>
      <c r="M2641" s="471">
        <f t="shared" si="136"/>
        <v>0.05</v>
      </c>
      <c r="N2641" s="475">
        <f t="shared" si="137"/>
        <v>131428</v>
      </c>
    </row>
    <row r="2642" spans="7:14" ht="11.25" customHeight="1" x14ac:dyDescent="0.3">
      <c r="G2642" s="470"/>
      <c r="H2642" s="470">
        <v>2635</v>
      </c>
      <c r="I2642" s="455">
        <f t="shared" ca="1" si="135"/>
        <v>14269983705.373272</v>
      </c>
      <c r="J2642" s="455">
        <f t="array" ref="J2642">IFERROR(INDEX('Retirement Calculator'!K:K,MATCH('Lorri 401b'!N2642,'Retirement Calculator'!A:A,0),0),0)</f>
        <v>0</v>
      </c>
      <c r="K2642" s="455">
        <f t="shared" ca="1" si="133"/>
        <v>59458265.439055294</v>
      </c>
      <c r="L2642" s="455">
        <f t="shared" ca="1" si="134"/>
        <v>14329441970.812326</v>
      </c>
      <c r="M2642" s="471">
        <f t="shared" si="136"/>
        <v>0.05</v>
      </c>
      <c r="N2642" s="475">
        <f t="shared" si="137"/>
        <v>131458</v>
      </c>
    </row>
    <row r="2643" spans="7:14" ht="11.25" customHeight="1" x14ac:dyDescent="0.3">
      <c r="G2643" s="470"/>
      <c r="H2643" s="470">
        <v>2636</v>
      </c>
      <c r="I2643" s="455">
        <f t="shared" ca="1" si="135"/>
        <v>14329441970.812326</v>
      </c>
      <c r="J2643" s="455">
        <f t="array" ref="J2643">IFERROR(INDEX('Retirement Calculator'!K:K,MATCH('Lorri 401b'!N2643,'Retirement Calculator'!A:A,0),0),0)</f>
        <v>0</v>
      </c>
      <c r="K2643" s="455">
        <f t="shared" ca="1" si="133"/>
        <v>59706008.211718015</v>
      </c>
      <c r="L2643" s="455">
        <f t="shared" ca="1" si="134"/>
        <v>14389147979.024044</v>
      </c>
      <c r="M2643" s="471">
        <f t="shared" si="136"/>
        <v>0.05</v>
      </c>
      <c r="N2643" s="475">
        <f t="shared" si="137"/>
        <v>131489</v>
      </c>
    </row>
    <row r="2644" spans="7:14" ht="11.25" customHeight="1" x14ac:dyDescent="0.3">
      <c r="G2644" s="470"/>
      <c r="H2644" s="470">
        <v>2637</v>
      </c>
      <c r="I2644" s="455">
        <f t="shared" ca="1" si="135"/>
        <v>14389147979.024044</v>
      </c>
      <c r="J2644" s="455">
        <f t="array" ref="J2644">IFERROR(INDEX('Retirement Calculator'!K:K,MATCH('Lorri 401b'!N2644,'Retirement Calculator'!A:A,0),0),0)</f>
        <v>0</v>
      </c>
      <c r="K2644" s="455">
        <f t="shared" ca="1" si="133"/>
        <v>59954783.245933518</v>
      </c>
      <c r="L2644" s="455">
        <f t="shared" ca="1" si="134"/>
        <v>14449102762.269978</v>
      </c>
      <c r="M2644" s="471">
        <f t="shared" si="136"/>
        <v>0.05</v>
      </c>
      <c r="N2644" s="475">
        <f t="shared" si="137"/>
        <v>131520</v>
      </c>
    </row>
    <row r="2645" spans="7:14" ht="11.25" customHeight="1" x14ac:dyDescent="0.3">
      <c r="G2645" s="470"/>
      <c r="H2645" s="470">
        <v>2638</v>
      </c>
      <c r="I2645" s="455">
        <f t="shared" ca="1" si="135"/>
        <v>14449102762.269978</v>
      </c>
      <c r="J2645" s="455">
        <f t="array" ref="J2645">IFERROR(INDEX('Retirement Calculator'!K:K,MATCH('Lorri 401b'!N2645,'Retirement Calculator'!A:A,0),0),0)</f>
        <v>0</v>
      </c>
      <c r="K2645" s="455">
        <f t="shared" ca="1" si="133"/>
        <v>60204594.842791572</v>
      </c>
      <c r="L2645" s="455">
        <f t="shared" ca="1" si="134"/>
        <v>14509307357.11277</v>
      </c>
      <c r="M2645" s="471">
        <f t="shared" si="136"/>
        <v>0.05</v>
      </c>
      <c r="N2645" s="475">
        <f t="shared" si="137"/>
        <v>131549</v>
      </c>
    </row>
    <row r="2646" spans="7:14" ht="11.25" customHeight="1" x14ac:dyDescent="0.3">
      <c r="G2646" s="470"/>
      <c r="H2646" s="470">
        <v>2639</v>
      </c>
      <c r="I2646" s="455">
        <f t="shared" ca="1" si="135"/>
        <v>14509307357.11277</v>
      </c>
      <c r="J2646" s="455">
        <f t="array" ref="J2646">IFERROR(INDEX('Retirement Calculator'!K:K,MATCH('Lorri 401b'!N2646,'Retirement Calculator'!A:A,0),0),0)</f>
        <v>0</v>
      </c>
      <c r="K2646" s="455">
        <f t="shared" ca="1" si="133"/>
        <v>60455447.321303211</v>
      </c>
      <c r="L2646" s="455">
        <f t="shared" ca="1" si="134"/>
        <v>14569762804.434072</v>
      </c>
      <c r="M2646" s="471">
        <f t="shared" si="136"/>
        <v>0.05</v>
      </c>
      <c r="N2646" s="475">
        <f t="shared" si="137"/>
        <v>131580</v>
      </c>
    </row>
    <row r="2647" spans="7:14" ht="11.25" customHeight="1" x14ac:dyDescent="0.3">
      <c r="G2647" s="470"/>
      <c r="H2647" s="470">
        <v>2640</v>
      </c>
      <c r="I2647" s="455">
        <f t="shared" ca="1" si="135"/>
        <v>14569762804.434072</v>
      </c>
      <c r="J2647" s="455">
        <f t="array" ref="J2647">IFERROR(INDEX('Retirement Calculator'!K:K,MATCH('Lorri 401b'!N2647,'Retirement Calculator'!A:A,0),0),0)</f>
        <v>0</v>
      </c>
      <c r="K2647" s="455">
        <f t="shared" ca="1" si="133"/>
        <v>60707345.018475302</v>
      </c>
      <c r="L2647" s="455">
        <f t="shared" ca="1" si="134"/>
        <v>14630470149.452547</v>
      </c>
      <c r="M2647" s="471">
        <f t="shared" si="136"/>
        <v>0.05</v>
      </c>
      <c r="N2647" s="475">
        <f t="shared" si="137"/>
        <v>131610</v>
      </c>
    </row>
    <row r="2648" spans="7:14" ht="11.25" customHeight="1" x14ac:dyDescent="0.3">
      <c r="G2648" s="470"/>
      <c r="H2648" s="470">
        <v>2641</v>
      </c>
      <c r="I2648" s="455">
        <f t="shared" ca="1" si="135"/>
        <v>14630470149.452547</v>
      </c>
      <c r="J2648" s="455">
        <f t="array" ref="J2648">IFERROR(INDEX('Retirement Calculator'!K:K,MATCH('Lorri 401b'!N2648,'Retirement Calculator'!A:A,0),0),0)</f>
        <v>0</v>
      </c>
      <c r="K2648" s="455">
        <f t="shared" ca="1" si="133"/>
        <v>60960292.289385617</v>
      </c>
      <c r="L2648" s="455">
        <f t="shared" ca="1" si="134"/>
        <v>14691430441.741932</v>
      </c>
      <c r="M2648" s="471">
        <f t="shared" si="136"/>
        <v>0.05</v>
      </c>
      <c r="N2648" s="475">
        <f t="shared" si="137"/>
        <v>131641</v>
      </c>
    </row>
    <row r="2649" spans="7:14" ht="11.25" customHeight="1" x14ac:dyDescent="0.3">
      <c r="G2649" s="470"/>
      <c r="H2649" s="470">
        <v>2642</v>
      </c>
      <c r="I2649" s="455">
        <f t="shared" ca="1" si="135"/>
        <v>14691430441.741932</v>
      </c>
      <c r="J2649" s="455">
        <f t="array" ref="J2649">IFERROR(INDEX('Retirement Calculator'!K:K,MATCH('Lorri 401b'!N2649,'Retirement Calculator'!A:A,0),0),0)</f>
        <v>0</v>
      </c>
      <c r="K2649" s="455">
        <f t="shared" ca="1" si="133"/>
        <v>61214293.507258043</v>
      </c>
      <c r="L2649" s="455">
        <f t="shared" ca="1" si="134"/>
        <v>14752644735.249189</v>
      </c>
      <c r="M2649" s="471">
        <f t="shared" si="136"/>
        <v>0.05</v>
      </c>
      <c r="N2649" s="475">
        <f t="shared" si="137"/>
        <v>131671</v>
      </c>
    </row>
    <row r="2650" spans="7:14" ht="11.25" customHeight="1" x14ac:dyDescent="0.3">
      <c r="G2650" s="470"/>
      <c r="H2650" s="470">
        <v>2643</v>
      </c>
      <c r="I2650" s="455">
        <f t="shared" ca="1" si="135"/>
        <v>14752644735.249189</v>
      </c>
      <c r="J2650" s="455">
        <f t="array" ref="J2650">IFERROR(INDEX('Retirement Calculator'!K:K,MATCH('Lorri 401b'!N2650,'Retirement Calculator'!A:A,0),0),0)</f>
        <v>0</v>
      </c>
      <c r="K2650" s="455">
        <f t="shared" ca="1" si="133"/>
        <v>61469353.063538291</v>
      </c>
      <c r="L2650" s="455">
        <f t="shared" ca="1" si="134"/>
        <v>14814114088.312727</v>
      </c>
      <c r="M2650" s="471">
        <f t="shared" si="136"/>
        <v>0.05</v>
      </c>
      <c r="N2650" s="475">
        <f t="shared" si="137"/>
        <v>131702</v>
      </c>
    </row>
    <row r="2651" spans="7:14" ht="11.25" customHeight="1" x14ac:dyDescent="0.3">
      <c r="G2651" s="470"/>
      <c r="H2651" s="470">
        <v>2644</v>
      </c>
      <c r="I2651" s="455">
        <f t="shared" ca="1" si="135"/>
        <v>14814114088.312727</v>
      </c>
      <c r="J2651" s="455">
        <f t="array" ref="J2651">IFERROR(INDEX('Retirement Calculator'!K:K,MATCH('Lorri 401b'!N2651,'Retirement Calculator'!A:A,0),0),0)</f>
        <v>0</v>
      </c>
      <c r="K2651" s="455">
        <f t="shared" ca="1" si="133"/>
        <v>61725475.367969684</v>
      </c>
      <c r="L2651" s="455">
        <f t="shared" ca="1" si="134"/>
        <v>14875839563.680696</v>
      </c>
      <c r="M2651" s="471">
        <f t="shared" si="136"/>
        <v>0.05</v>
      </c>
      <c r="N2651" s="475">
        <f t="shared" si="137"/>
        <v>131733</v>
      </c>
    </row>
    <row r="2652" spans="7:14" ht="11.25" customHeight="1" x14ac:dyDescent="0.3">
      <c r="G2652" s="470"/>
      <c r="H2652" s="470">
        <v>2645</v>
      </c>
      <c r="I2652" s="455">
        <f t="shared" ca="1" si="135"/>
        <v>14875839563.680696</v>
      </c>
      <c r="J2652" s="455">
        <f t="array" ref="J2652">IFERROR(INDEX('Retirement Calculator'!K:K,MATCH('Lorri 401b'!N2652,'Retirement Calculator'!A:A,0),0),0)</f>
        <v>0</v>
      </c>
      <c r="K2652" s="455">
        <f t="shared" ca="1" si="133"/>
        <v>61982664.848669566</v>
      </c>
      <c r="L2652" s="455">
        <f t="shared" ca="1" si="134"/>
        <v>14937822228.529366</v>
      </c>
      <c r="M2652" s="471">
        <f t="shared" si="136"/>
        <v>0.05</v>
      </c>
      <c r="N2652" s="475">
        <f t="shared" si="137"/>
        <v>131763</v>
      </c>
    </row>
    <row r="2653" spans="7:14" ht="11.25" customHeight="1" x14ac:dyDescent="0.3">
      <c r="G2653" s="470"/>
      <c r="H2653" s="470">
        <v>2646</v>
      </c>
      <c r="I2653" s="455">
        <f t="shared" ca="1" si="135"/>
        <v>14937822228.529366</v>
      </c>
      <c r="J2653" s="455">
        <f t="array" ref="J2653">IFERROR(INDEX('Retirement Calculator'!K:K,MATCH('Lorri 401b'!N2653,'Retirement Calculator'!A:A,0),0),0)</f>
        <v>0</v>
      </c>
      <c r="K2653" s="455">
        <f t="shared" ca="1" si="133"/>
        <v>62240925.952205688</v>
      </c>
      <c r="L2653" s="455">
        <f t="shared" ca="1" si="134"/>
        <v>15000063154.481571</v>
      </c>
      <c r="M2653" s="471">
        <f t="shared" si="136"/>
        <v>0.05</v>
      </c>
      <c r="N2653" s="475">
        <f t="shared" si="137"/>
        <v>131794</v>
      </c>
    </row>
    <row r="2654" spans="7:14" ht="11.25" customHeight="1" x14ac:dyDescent="0.3">
      <c r="G2654" s="470"/>
      <c r="H2654" s="470">
        <v>2647</v>
      </c>
      <c r="I2654" s="455">
        <f t="shared" ca="1" si="135"/>
        <v>15000063154.481571</v>
      </c>
      <c r="J2654" s="455">
        <f t="array" ref="J2654">IFERROR(INDEX('Retirement Calculator'!K:K,MATCH('Lorri 401b'!N2654,'Retirement Calculator'!A:A,0),0),0)</f>
        <v>0</v>
      </c>
      <c r="K2654" s="455">
        <f t="shared" ca="1" si="133"/>
        <v>62500263.143673211</v>
      </c>
      <c r="L2654" s="455">
        <f t="shared" ca="1" si="134"/>
        <v>15062563417.625244</v>
      </c>
      <c r="M2654" s="471">
        <f t="shared" si="136"/>
        <v>0.05</v>
      </c>
      <c r="N2654" s="475">
        <f t="shared" si="137"/>
        <v>131824</v>
      </c>
    </row>
    <row r="2655" spans="7:14" ht="11.25" customHeight="1" x14ac:dyDescent="0.3">
      <c r="G2655" s="470"/>
      <c r="H2655" s="470">
        <v>2648</v>
      </c>
      <c r="I2655" s="455">
        <f t="shared" ca="1" si="135"/>
        <v>15062563417.625244</v>
      </c>
      <c r="J2655" s="455">
        <f t="array" ref="J2655">IFERROR(INDEX('Retirement Calculator'!K:K,MATCH('Lorri 401b'!N2655,'Retirement Calculator'!A:A,0),0),0)</f>
        <v>0</v>
      </c>
      <c r="K2655" s="455">
        <f t="shared" ca="1" si="133"/>
        <v>62760680.906771846</v>
      </c>
      <c r="L2655" s="455">
        <f t="shared" ca="1" si="134"/>
        <v>15125324098.532017</v>
      </c>
      <c r="M2655" s="471">
        <f t="shared" si="136"/>
        <v>0.05</v>
      </c>
      <c r="N2655" s="475">
        <f t="shared" si="137"/>
        <v>131855</v>
      </c>
    </row>
    <row r="2656" spans="7:14" ht="11.25" customHeight="1" x14ac:dyDescent="0.3">
      <c r="G2656" s="470"/>
      <c r="H2656" s="470">
        <v>2649</v>
      </c>
      <c r="I2656" s="455">
        <f t="shared" ca="1" si="135"/>
        <v>15125324098.532017</v>
      </c>
      <c r="J2656" s="455">
        <f t="array" ref="J2656">IFERROR(INDEX('Retirement Calculator'!K:K,MATCH('Lorri 401b'!N2656,'Retirement Calculator'!A:A,0),0),0)</f>
        <v>0</v>
      </c>
      <c r="K2656" s="455">
        <f t="shared" ca="1" si="133"/>
        <v>63022183.743883409</v>
      </c>
      <c r="L2656" s="455">
        <f t="shared" ca="1" si="134"/>
        <v>15188346282.2759</v>
      </c>
      <c r="M2656" s="471">
        <f t="shared" si="136"/>
        <v>0.05</v>
      </c>
      <c r="N2656" s="475">
        <f t="shared" si="137"/>
        <v>131886</v>
      </c>
    </row>
    <row r="2657" spans="7:14" ht="11.25" customHeight="1" x14ac:dyDescent="0.3">
      <c r="G2657" s="470"/>
      <c r="H2657" s="470">
        <v>2650</v>
      </c>
      <c r="I2657" s="455">
        <f t="shared" ca="1" si="135"/>
        <v>15188346282.2759</v>
      </c>
      <c r="J2657" s="455">
        <f t="array" ref="J2657">IFERROR(INDEX('Retirement Calculator'!K:K,MATCH('Lorri 401b'!N2657,'Retirement Calculator'!A:A,0),0),0)</f>
        <v>0</v>
      </c>
      <c r="K2657" s="455">
        <f t="shared" ca="1" si="133"/>
        <v>63284776.176149584</v>
      </c>
      <c r="L2657" s="455">
        <f t="shared" ca="1" si="134"/>
        <v>15251631058.452049</v>
      </c>
      <c r="M2657" s="471">
        <f t="shared" si="136"/>
        <v>0.05</v>
      </c>
      <c r="N2657" s="475">
        <f t="shared" si="137"/>
        <v>131914</v>
      </c>
    </row>
    <row r="2658" spans="7:14" ht="11.25" customHeight="1" x14ac:dyDescent="0.3">
      <c r="G2658" s="470"/>
      <c r="H2658" s="470">
        <v>2651</v>
      </c>
      <c r="I2658" s="455">
        <f t="shared" ca="1" si="135"/>
        <v>15251631058.452049</v>
      </c>
      <c r="J2658" s="455">
        <f t="array" ref="J2658">IFERROR(INDEX('Retirement Calculator'!K:K,MATCH('Lorri 401b'!N2658,'Retirement Calculator'!A:A,0),0),0)</f>
        <v>0</v>
      </c>
      <c r="K2658" s="455">
        <f t="shared" ca="1" si="133"/>
        <v>63548462.743550204</v>
      </c>
      <c r="L2658" s="455">
        <f t="shared" ca="1" si="134"/>
        <v>15315179521.195599</v>
      </c>
      <c r="M2658" s="471">
        <f t="shared" si="136"/>
        <v>0.05</v>
      </c>
      <c r="N2658" s="475">
        <f t="shared" si="137"/>
        <v>131945</v>
      </c>
    </row>
    <row r="2659" spans="7:14" ht="11.25" customHeight="1" x14ac:dyDescent="0.3">
      <c r="G2659" s="470"/>
      <c r="H2659" s="470">
        <v>2652</v>
      </c>
      <c r="I2659" s="455">
        <f t="shared" ca="1" si="135"/>
        <v>15315179521.195599</v>
      </c>
      <c r="J2659" s="455">
        <f t="array" ref="J2659">IFERROR(INDEX('Retirement Calculator'!K:K,MATCH('Lorri 401b'!N2659,'Retirement Calculator'!A:A,0),0),0)</f>
        <v>0</v>
      </c>
      <c r="K2659" s="455">
        <f t="shared" ca="1" si="133"/>
        <v>63813248.004981659</v>
      </c>
      <c r="L2659" s="455">
        <f t="shared" ca="1" si="134"/>
        <v>15378992769.200581</v>
      </c>
      <c r="M2659" s="471">
        <f t="shared" si="136"/>
        <v>0.05</v>
      </c>
      <c r="N2659" s="475">
        <f t="shared" si="137"/>
        <v>131975</v>
      </c>
    </row>
    <row r="2660" spans="7:14" ht="11.25" customHeight="1" x14ac:dyDescent="0.3">
      <c r="G2660" s="470"/>
      <c r="H2660" s="470">
        <v>2653</v>
      </c>
      <c r="I2660" s="455">
        <f t="shared" ca="1" si="135"/>
        <v>15378992769.200581</v>
      </c>
      <c r="J2660" s="455">
        <f t="array" ref="J2660">IFERROR(INDEX('Retirement Calculator'!K:K,MATCH('Lorri 401b'!N2660,'Retirement Calculator'!A:A,0),0),0)</f>
        <v>0</v>
      </c>
      <c r="K2660" s="455">
        <f t="shared" ca="1" si="133"/>
        <v>64079136.538335748</v>
      </c>
      <c r="L2660" s="455">
        <f t="shared" ca="1" si="134"/>
        <v>15443071905.738916</v>
      </c>
      <c r="M2660" s="471">
        <f t="shared" si="136"/>
        <v>0.05</v>
      </c>
      <c r="N2660" s="475">
        <f t="shared" si="137"/>
        <v>132006</v>
      </c>
    </row>
    <row r="2661" spans="7:14" ht="11.25" customHeight="1" x14ac:dyDescent="0.3">
      <c r="G2661" s="470"/>
      <c r="H2661" s="470">
        <v>2654</v>
      </c>
      <c r="I2661" s="455">
        <f t="shared" ca="1" si="135"/>
        <v>15443071905.738916</v>
      </c>
      <c r="J2661" s="455">
        <f t="array" ref="J2661">IFERROR(INDEX('Retirement Calculator'!K:K,MATCH('Lorri 401b'!N2661,'Retirement Calculator'!A:A,0),0),0)</f>
        <v>0</v>
      </c>
      <c r="K2661" s="455">
        <f t="shared" ca="1" si="133"/>
        <v>64346132.940578818</v>
      </c>
      <c r="L2661" s="455">
        <f t="shared" ca="1" si="134"/>
        <v>15507418038.679495</v>
      </c>
      <c r="M2661" s="471">
        <f t="shared" si="136"/>
        <v>0.05</v>
      </c>
      <c r="N2661" s="475">
        <f t="shared" si="137"/>
        <v>132036</v>
      </c>
    </row>
    <row r="2662" spans="7:14" ht="11.25" customHeight="1" x14ac:dyDescent="0.3">
      <c r="G2662" s="470"/>
      <c r="H2662" s="470">
        <v>2655</v>
      </c>
      <c r="I2662" s="455">
        <f t="shared" ca="1" si="135"/>
        <v>15507418038.679495</v>
      </c>
      <c r="J2662" s="455">
        <f t="array" ref="J2662">IFERROR(INDEX('Retirement Calculator'!K:K,MATCH('Lorri 401b'!N2662,'Retirement Calculator'!A:A,0),0),0)</f>
        <v>0</v>
      </c>
      <c r="K2662" s="455">
        <f t="shared" ca="1" si="133"/>
        <v>64614241.827831231</v>
      </c>
      <c r="L2662" s="455">
        <f t="shared" ca="1" si="134"/>
        <v>15572032280.507326</v>
      </c>
      <c r="M2662" s="471">
        <f t="shared" si="136"/>
        <v>0.05</v>
      </c>
      <c r="N2662" s="475">
        <f t="shared" si="137"/>
        <v>132067</v>
      </c>
    </row>
    <row r="2663" spans="7:14" ht="11.25" customHeight="1" x14ac:dyDescent="0.3">
      <c r="G2663" s="470"/>
      <c r="H2663" s="470">
        <v>2656</v>
      </c>
      <c r="I2663" s="455">
        <f t="shared" ca="1" si="135"/>
        <v>15572032280.507326</v>
      </c>
      <c r="J2663" s="455">
        <f t="array" ref="J2663">IFERROR(INDEX('Retirement Calculator'!K:K,MATCH('Lorri 401b'!N2663,'Retirement Calculator'!A:A,0),0),0)</f>
        <v>0</v>
      </c>
      <c r="K2663" s="455">
        <f t="shared" ca="1" si="133"/>
        <v>64883467.835447192</v>
      </c>
      <c r="L2663" s="455">
        <f t="shared" ca="1" si="134"/>
        <v>15636915748.342773</v>
      </c>
      <c r="M2663" s="471">
        <f t="shared" si="136"/>
        <v>0.05</v>
      </c>
      <c r="N2663" s="475">
        <f t="shared" si="137"/>
        <v>132098</v>
      </c>
    </row>
    <row r="2664" spans="7:14" ht="11.25" customHeight="1" x14ac:dyDescent="0.3">
      <c r="G2664" s="470"/>
      <c r="H2664" s="470">
        <v>2657</v>
      </c>
      <c r="I2664" s="455">
        <f t="shared" ca="1" si="135"/>
        <v>15636915748.342773</v>
      </c>
      <c r="J2664" s="455">
        <f t="array" ref="J2664">IFERROR(INDEX('Retirement Calculator'!K:K,MATCH('Lorri 401b'!N2664,'Retirement Calculator'!A:A,0),0),0)</f>
        <v>0</v>
      </c>
      <c r="K2664" s="455">
        <f t="shared" ca="1" si="133"/>
        <v>65153815.618094899</v>
      </c>
      <c r="L2664" s="455">
        <f t="shared" ca="1" si="134"/>
        <v>15702069563.960869</v>
      </c>
      <c r="M2664" s="471">
        <f t="shared" si="136"/>
        <v>0.05</v>
      </c>
      <c r="N2664" s="475">
        <f t="shared" si="137"/>
        <v>132128</v>
      </c>
    </row>
    <row r="2665" spans="7:14" ht="11.25" customHeight="1" x14ac:dyDescent="0.3">
      <c r="G2665" s="470"/>
      <c r="H2665" s="470">
        <v>2658</v>
      </c>
      <c r="I2665" s="455">
        <f t="shared" ca="1" si="135"/>
        <v>15702069563.960869</v>
      </c>
      <c r="J2665" s="455">
        <f t="array" ref="J2665">IFERROR(INDEX('Retirement Calculator'!K:K,MATCH('Lorri 401b'!N2665,'Retirement Calculator'!A:A,0),0),0)</f>
        <v>0</v>
      </c>
      <c r="K2665" s="455">
        <f t="shared" ca="1" si="133"/>
        <v>65425289.849836953</v>
      </c>
      <c r="L2665" s="455">
        <f t="shared" ca="1" si="134"/>
        <v>15767494853.810705</v>
      </c>
      <c r="M2665" s="471">
        <f t="shared" si="136"/>
        <v>0.05</v>
      </c>
      <c r="N2665" s="475">
        <f t="shared" si="137"/>
        <v>132159</v>
      </c>
    </row>
    <row r="2666" spans="7:14" ht="11.25" customHeight="1" x14ac:dyDescent="0.3">
      <c r="G2666" s="470"/>
      <c r="H2666" s="470">
        <v>2659</v>
      </c>
      <c r="I2666" s="455">
        <f t="shared" ca="1" si="135"/>
        <v>15767494853.810705</v>
      </c>
      <c r="J2666" s="455">
        <f t="array" ref="J2666">IFERROR(INDEX('Retirement Calculator'!K:K,MATCH('Lorri 401b'!N2666,'Retirement Calculator'!A:A,0),0),0)</f>
        <v>0</v>
      </c>
      <c r="K2666" s="455">
        <f t="shared" ca="1" si="133"/>
        <v>65697895.224211261</v>
      </c>
      <c r="L2666" s="455">
        <f t="shared" ca="1" si="134"/>
        <v>15833192749.034916</v>
      </c>
      <c r="M2666" s="471">
        <f t="shared" si="136"/>
        <v>0.05</v>
      </c>
      <c r="N2666" s="475">
        <f t="shared" si="137"/>
        <v>132189</v>
      </c>
    </row>
    <row r="2667" spans="7:14" ht="11.25" customHeight="1" x14ac:dyDescent="0.3">
      <c r="G2667" s="470"/>
      <c r="H2667" s="470">
        <v>2660</v>
      </c>
      <c r="I2667" s="455">
        <f t="shared" ca="1" si="135"/>
        <v>15833192749.034916</v>
      </c>
      <c r="J2667" s="455">
        <f t="array" ref="J2667">IFERROR(INDEX('Retirement Calculator'!K:K,MATCH('Lorri 401b'!N2667,'Retirement Calculator'!A:A,0),0),0)</f>
        <v>0</v>
      </c>
      <c r="K2667" s="455">
        <f t="shared" ca="1" si="133"/>
        <v>65971636.454312146</v>
      </c>
      <c r="L2667" s="455">
        <f t="shared" ca="1" si="134"/>
        <v>15899164385.489227</v>
      </c>
      <c r="M2667" s="471">
        <f t="shared" si="136"/>
        <v>0.05</v>
      </c>
      <c r="N2667" s="475">
        <f t="shared" si="137"/>
        <v>132220</v>
      </c>
    </row>
    <row r="2668" spans="7:14" ht="11.25" customHeight="1" x14ac:dyDescent="0.3">
      <c r="G2668" s="470"/>
      <c r="H2668" s="470">
        <v>2661</v>
      </c>
      <c r="I2668" s="455">
        <f t="shared" ca="1" si="135"/>
        <v>15899164385.489227</v>
      </c>
      <c r="J2668" s="455">
        <f t="array" ref="J2668">IFERROR(INDEX('Retirement Calculator'!K:K,MATCH('Lorri 401b'!N2668,'Retirement Calculator'!A:A,0),0),0)</f>
        <v>0</v>
      </c>
      <c r="K2668" s="455">
        <f t="shared" ca="1" si="133"/>
        <v>66246518.272871777</v>
      </c>
      <c r="L2668" s="455">
        <f t="shared" ca="1" si="134"/>
        <v>15965410903.762098</v>
      </c>
      <c r="M2668" s="471">
        <f t="shared" si="136"/>
        <v>0.05</v>
      </c>
      <c r="N2668" s="475">
        <f t="shared" si="137"/>
        <v>132251</v>
      </c>
    </row>
    <row r="2669" spans="7:14" ht="11.25" customHeight="1" x14ac:dyDescent="0.3">
      <c r="G2669" s="470"/>
      <c r="H2669" s="470">
        <v>2662</v>
      </c>
      <c r="I2669" s="455">
        <f t="shared" ca="1" si="135"/>
        <v>15965410903.762098</v>
      </c>
      <c r="J2669" s="455">
        <f t="array" ref="J2669">IFERROR(INDEX('Retirement Calculator'!K:K,MATCH('Lorri 401b'!N2669,'Retirement Calculator'!A:A,0),0),0)</f>
        <v>0</v>
      </c>
      <c r="K2669" s="455">
        <f t="shared" ca="1" si="133"/>
        <v>66522545.432342082</v>
      </c>
      <c r="L2669" s="455">
        <f t="shared" ca="1" si="134"/>
        <v>16031933449.194441</v>
      </c>
      <c r="M2669" s="471">
        <f t="shared" si="136"/>
        <v>0.05</v>
      </c>
      <c r="N2669" s="475">
        <f t="shared" si="137"/>
        <v>132279</v>
      </c>
    </row>
    <row r="2670" spans="7:14" ht="11.25" customHeight="1" x14ac:dyDescent="0.3">
      <c r="G2670" s="470"/>
      <c r="H2670" s="470">
        <v>2663</v>
      </c>
      <c r="I2670" s="455">
        <f t="shared" ca="1" si="135"/>
        <v>16031933449.194441</v>
      </c>
      <c r="J2670" s="455">
        <f t="array" ref="J2670">IFERROR(INDEX('Retirement Calculator'!K:K,MATCH('Lorri 401b'!N2670,'Retirement Calculator'!A:A,0),0),0)</f>
        <v>0</v>
      </c>
      <c r="K2670" s="455">
        <f t="shared" ca="1" si="133"/>
        <v>66799722.704976834</v>
      </c>
      <c r="L2670" s="455">
        <f t="shared" ca="1" si="134"/>
        <v>16098733171.899418</v>
      </c>
      <c r="M2670" s="471">
        <f t="shared" si="136"/>
        <v>0.05</v>
      </c>
      <c r="N2670" s="475">
        <f t="shared" si="137"/>
        <v>132310</v>
      </c>
    </row>
    <row r="2671" spans="7:14" ht="11.25" customHeight="1" x14ac:dyDescent="0.3">
      <c r="G2671" s="470"/>
      <c r="H2671" s="470">
        <v>2664</v>
      </c>
      <c r="I2671" s="455">
        <f t="shared" ca="1" si="135"/>
        <v>16098733171.899418</v>
      </c>
      <c r="J2671" s="455">
        <f t="array" ref="J2671">IFERROR(INDEX('Retirement Calculator'!K:K,MATCH('Lorri 401b'!N2671,'Retirement Calculator'!A:A,0),0),0)</f>
        <v>0</v>
      </c>
      <c r="K2671" s="455">
        <f t="shared" ca="1" si="133"/>
        <v>67078054.882914238</v>
      </c>
      <c r="L2671" s="455">
        <f t="shared" ca="1" si="134"/>
        <v>16165811226.782331</v>
      </c>
      <c r="M2671" s="471">
        <f t="shared" si="136"/>
        <v>0.05</v>
      </c>
      <c r="N2671" s="475">
        <f t="shared" si="137"/>
        <v>132340</v>
      </c>
    </row>
    <row r="2672" spans="7:14" ht="11.25" customHeight="1" x14ac:dyDescent="0.3">
      <c r="G2672" s="470"/>
      <c r="H2672" s="470">
        <v>2665</v>
      </c>
      <c r="I2672" s="455">
        <f t="shared" ca="1" si="135"/>
        <v>16165811226.782331</v>
      </c>
      <c r="J2672" s="455">
        <f t="array" ref="J2672">IFERROR(INDEX('Retirement Calculator'!K:K,MATCH('Lorri 401b'!N2672,'Retirement Calculator'!A:A,0),0),0)</f>
        <v>0</v>
      </c>
      <c r="K2672" s="455">
        <f t="shared" ca="1" si="133"/>
        <v>67357546.778259709</v>
      </c>
      <c r="L2672" s="455">
        <f t="shared" ca="1" si="134"/>
        <v>16233168773.560591</v>
      </c>
      <c r="M2672" s="471">
        <f t="shared" si="136"/>
        <v>0.05</v>
      </c>
      <c r="N2672" s="475">
        <f t="shared" si="137"/>
        <v>132371</v>
      </c>
    </row>
    <row r="2673" spans="7:14" ht="11.25" customHeight="1" x14ac:dyDescent="0.3">
      <c r="G2673" s="470"/>
      <c r="H2673" s="470">
        <v>2666</v>
      </c>
      <c r="I2673" s="455">
        <f t="shared" ca="1" si="135"/>
        <v>16233168773.560591</v>
      </c>
      <c r="J2673" s="455">
        <f t="array" ref="J2673">IFERROR(INDEX('Retirement Calculator'!K:K,MATCH('Lorri 401b'!N2673,'Retirement Calculator'!A:A,0),0),0)</f>
        <v>0</v>
      </c>
      <c r="K2673" s="455">
        <f t="shared" ca="1" si="133"/>
        <v>67638203.223169133</v>
      </c>
      <c r="L2673" s="455">
        <f t="shared" ca="1" si="134"/>
        <v>16300806976.78376</v>
      </c>
      <c r="M2673" s="471">
        <f t="shared" si="136"/>
        <v>0.05</v>
      </c>
      <c r="N2673" s="475">
        <f t="shared" si="137"/>
        <v>132401</v>
      </c>
    </row>
    <row r="2674" spans="7:14" ht="11.25" customHeight="1" x14ac:dyDescent="0.3">
      <c r="G2674" s="470"/>
      <c r="H2674" s="470">
        <v>2667</v>
      </c>
      <c r="I2674" s="455">
        <f t="shared" ca="1" si="135"/>
        <v>16300806976.78376</v>
      </c>
      <c r="J2674" s="455">
        <f t="array" ref="J2674">IFERROR(INDEX('Retirement Calculator'!K:K,MATCH('Lorri 401b'!N2674,'Retirement Calculator'!A:A,0),0),0)</f>
        <v>0</v>
      </c>
      <c r="K2674" s="455">
        <f t="shared" ca="1" si="133"/>
        <v>67920029.069932327</v>
      </c>
      <c r="L2674" s="455">
        <f t="shared" ca="1" si="134"/>
        <v>16368727005.853693</v>
      </c>
      <c r="M2674" s="471">
        <f t="shared" si="136"/>
        <v>0.05</v>
      </c>
      <c r="N2674" s="475">
        <f t="shared" si="137"/>
        <v>132432</v>
      </c>
    </row>
    <row r="2675" spans="7:14" ht="11.25" customHeight="1" x14ac:dyDescent="0.3">
      <c r="G2675" s="470"/>
      <c r="H2675" s="470">
        <v>2668</v>
      </c>
      <c r="I2675" s="455">
        <f t="shared" ca="1" si="135"/>
        <v>16368727005.853693</v>
      </c>
      <c r="J2675" s="455">
        <f t="array" ref="J2675">IFERROR(INDEX('Retirement Calculator'!K:K,MATCH('Lorri 401b'!N2675,'Retirement Calculator'!A:A,0),0),0)</f>
        <v>0</v>
      </c>
      <c r="K2675" s="455">
        <f t="shared" ca="1" si="133"/>
        <v>68203029.191057041</v>
      </c>
      <c r="L2675" s="455">
        <f t="shared" ca="1" si="134"/>
        <v>16436930035.04475</v>
      </c>
      <c r="M2675" s="471">
        <f t="shared" si="136"/>
        <v>0.05</v>
      </c>
      <c r="N2675" s="475">
        <f t="shared" si="137"/>
        <v>132463</v>
      </c>
    </row>
    <row r="2676" spans="7:14" ht="11.25" customHeight="1" x14ac:dyDescent="0.3">
      <c r="G2676" s="470"/>
      <c r="H2676" s="470">
        <v>2669</v>
      </c>
      <c r="I2676" s="455">
        <f t="shared" ca="1" si="135"/>
        <v>16436930035.04475</v>
      </c>
      <c r="J2676" s="455">
        <f t="array" ref="J2676">IFERROR(INDEX('Retirement Calculator'!K:K,MATCH('Lorri 401b'!N2676,'Retirement Calculator'!A:A,0),0),0)</f>
        <v>0</v>
      </c>
      <c r="K2676" s="455">
        <f t="shared" ca="1" si="133"/>
        <v>68487208.479353115</v>
      </c>
      <c r="L2676" s="455">
        <f t="shared" ca="1" si="134"/>
        <v>16505417243.524103</v>
      </c>
      <c r="M2676" s="471">
        <f t="shared" si="136"/>
        <v>0.05</v>
      </c>
      <c r="N2676" s="475">
        <f t="shared" si="137"/>
        <v>132493</v>
      </c>
    </row>
    <row r="2677" spans="7:14" ht="11.25" customHeight="1" x14ac:dyDescent="0.3">
      <c r="G2677" s="470"/>
      <c r="H2677" s="470">
        <v>2670</v>
      </c>
      <c r="I2677" s="455">
        <f t="shared" ca="1" si="135"/>
        <v>16505417243.524103</v>
      </c>
      <c r="J2677" s="455">
        <f t="array" ref="J2677">IFERROR(INDEX('Retirement Calculator'!K:K,MATCH('Lorri 401b'!N2677,'Retirement Calculator'!A:A,0),0),0)</f>
        <v>0</v>
      </c>
      <c r="K2677" s="455">
        <f t="shared" ca="1" si="133"/>
        <v>68772571.848017097</v>
      </c>
      <c r="L2677" s="455">
        <f t="shared" ca="1" si="134"/>
        <v>16574189815.37212</v>
      </c>
      <c r="M2677" s="471">
        <f t="shared" si="136"/>
        <v>0.05</v>
      </c>
      <c r="N2677" s="475">
        <f t="shared" si="137"/>
        <v>132524</v>
      </c>
    </row>
    <row r="2678" spans="7:14" ht="11.25" customHeight="1" x14ac:dyDescent="0.3">
      <c r="G2678" s="470"/>
      <c r="H2678" s="470">
        <v>2671</v>
      </c>
      <c r="I2678" s="455">
        <f t="shared" ca="1" si="135"/>
        <v>16574189815.37212</v>
      </c>
      <c r="J2678" s="455">
        <f t="array" ref="J2678">IFERROR(INDEX('Retirement Calculator'!K:K,MATCH('Lorri 401b'!N2678,'Retirement Calculator'!A:A,0),0),0)</f>
        <v>0</v>
      </c>
      <c r="K2678" s="455">
        <f t="shared" ca="1" si="133"/>
        <v>69059124.230717167</v>
      </c>
      <c r="L2678" s="455">
        <f t="shared" ca="1" si="134"/>
        <v>16643248939.602837</v>
      </c>
      <c r="M2678" s="471">
        <f t="shared" si="136"/>
        <v>0.05</v>
      </c>
      <c r="N2678" s="475">
        <f t="shared" si="137"/>
        <v>132554</v>
      </c>
    </row>
    <row r="2679" spans="7:14" ht="11.25" customHeight="1" x14ac:dyDescent="0.3">
      <c r="G2679" s="470"/>
      <c r="H2679" s="470">
        <v>2672</v>
      </c>
      <c r="I2679" s="455">
        <f t="shared" ca="1" si="135"/>
        <v>16643248939.602837</v>
      </c>
      <c r="J2679" s="455">
        <f t="array" ref="J2679">IFERROR(INDEX('Retirement Calculator'!K:K,MATCH('Lorri 401b'!N2679,'Retirement Calculator'!A:A,0),0),0)</f>
        <v>0</v>
      </c>
      <c r="K2679" s="455">
        <f t="shared" ca="1" si="133"/>
        <v>69346870.58167848</v>
      </c>
      <c r="L2679" s="455">
        <f t="shared" ca="1" si="134"/>
        <v>16712595810.184515</v>
      </c>
      <c r="M2679" s="471">
        <f t="shared" si="136"/>
        <v>0.05</v>
      </c>
      <c r="N2679" s="475">
        <f t="shared" si="137"/>
        <v>132585</v>
      </c>
    </row>
    <row r="2680" spans="7:14" ht="11.25" customHeight="1" x14ac:dyDescent="0.3">
      <c r="G2680" s="470"/>
      <c r="H2680" s="470">
        <v>2673</v>
      </c>
      <c r="I2680" s="455">
        <f t="shared" ca="1" si="135"/>
        <v>16712595810.184515</v>
      </c>
      <c r="J2680" s="455">
        <f t="array" ref="J2680">IFERROR(INDEX('Retirement Calculator'!K:K,MATCH('Lorri 401b'!N2680,'Retirement Calculator'!A:A,0),0),0)</f>
        <v>0</v>
      </c>
      <c r="K2680" s="455">
        <f t="shared" ca="1" si="133"/>
        <v>69635815.875768811</v>
      </c>
      <c r="L2680" s="455">
        <f t="shared" ca="1" si="134"/>
        <v>16782231626.060284</v>
      </c>
      <c r="M2680" s="471">
        <f t="shared" si="136"/>
        <v>0.05</v>
      </c>
      <c r="N2680" s="475">
        <f t="shared" si="137"/>
        <v>132616</v>
      </c>
    </row>
    <row r="2681" spans="7:14" ht="11.25" customHeight="1" x14ac:dyDescent="0.3">
      <c r="G2681" s="470"/>
      <c r="H2681" s="470">
        <v>2674</v>
      </c>
      <c r="I2681" s="455">
        <f t="shared" ca="1" si="135"/>
        <v>16782231626.060284</v>
      </c>
      <c r="J2681" s="455">
        <f t="array" ref="J2681">IFERROR(INDEX('Retirement Calculator'!K:K,MATCH('Lorri 401b'!N2681,'Retirement Calculator'!A:A,0),0),0)</f>
        <v>0</v>
      </c>
      <c r="K2681" s="455">
        <f t="shared" ca="1" si="133"/>
        <v>69925965.108584508</v>
      </c>
      <c r="L2681" s="455">
        <f t="shared" ca="1" si="134"/>
        <v>16852157591.168869</v>
      </c>
      <c r="M2681" s="471">
        <f t="shared" si="136"/>
        <v>0.05</v>
      </c>
      <c r="N2681" s="475">
        <f t="shared" si="137"/>
        <v>132644</v>
      </c>
    </row>
    <row r="2682" spans="7:14" ht="11.25" customHeight="1" x14ac:dyDescent="0.3">
      <c r="G2682" s="470"/>
      <c r="H2682" s="470">
        <v>2675</v>
      </c>
      <c r="I2682" s="455">
        <f t="shared" ca="1" si="135"/>
        <v>16852157591.168869</v>
      </c>
      <c r="J2682" s="455">
        <f t="array" ref="J2682">IFERROR(INDEX('Retirement Calculator'!K:K,MATCH('Lorri 401b'!N2682,'Retirement Calculator'!A:A,0),0),0)</f>
        <v>0</v>
      </c>
      <c r="K2682" s="455">
        <f t="shared" ca="1" si="133"/>
        <v>70217323.296536952</v>
      </c>
      <c r="L2682" s="455">
        <f t="shared" ca="1" si="134"/>
        <v>16922374914.465406</v>
      </c>
      <c r="M2682" s="471">
        <f t="shared" si="136"/>
        <v>0.05</v>
      </c>
      <c r="N2682" s="475">
        <f t="shared" si="137"/>
        <v>132675</v>
      </c>
    </row>
    <row r="2683" spans="7:14" ht="11.25" customHeight="1" x14ac:dyDescent="0.3">
      <c r="G2683" s="470"/>
      <c r="H2683" s="470">
        <v>2676</v>
      </c>
      <c r="I2683" s="455">
        <f t="shared" ca="1" si="135"/>
        <v>16922374914.465406</v>
      </c>
      <c r="J2683" s="455">
        <f t="array" ref="J2683">IFERROR(INDEX('Retirement Calculator'!K:K,MATCH('Lorri 401b'!N2683,'Retirement Calculator'!A:A,0),0),0)</f>
        <v>0</v>
      </c>
      <c r="K2683" s="455">
        <f t="shared" ca="1" si="133"/>
        <v>70509895.476939186</v>
      </c>
      <c r="L2683" s="455">
        <f t="shared" ca="1" si="134"/>
        <v>16992884809.942345</v>
      </c>
      <c r="M2683" s="471">
        <f t="shared" si="136"/>
        <v>0.05</v>
      </c>
      <c r="N2683" s="475">
        <f t="shared" si="137"/>
        <v>132705</v>
      </c>
    </row>
    <row r="2684" spans="7:14" ht="11.25" customHeight="1" x14ac:dyDescent="0.3">
      <c r="G2684" s="470"/>
      <c r="H2684" s="470">
        <v>2677</v>
      </c>
      <c r="I2684" s="455">
        <f t="shared" ca="1" si="135"/>
        <v>16992884809.942345</v>
      </c>
      <c r="J2684" s="455">
        <f t="array" ref="J2684">IFERROR(INDEX('Retirement Calculator'!K:K,MATCH('Lorri 401b'!N2684,'Retirement Calculator'!A:A,0),0),0)</f>
        <v>0</v>
      </c>
      <c r="K2684" s="455">
        <f t="shared" ca="1" si="133"/>
        <v>70803686.708093107</v>
      </c>
      <c r="L2684" s="455">
        <f t="shared" ca="1" si="134"/>
        <v>17063688496.650438</v>
      </c>
      <c r="M2684" s="471">
        <f t="shared" si="136"/>
        <v>0.05</v>
      </c>
      <c r="N2684" s="475">
        <f t="shared" si="137"/>
        <v>132736</v>
      </c>
    </row>
    <row r="2685" spans="7:14" ht="11.25" customHeight="1" x14ac:dyDescent="0.3">
      <c r="G2685" s="470"/>
      <c r="H2685" s="470">
        <v>2678</v>
      </c>
      <c r="I2685" s="455">
        <f t="shared" ca="1" si="135"/>
        <v>17063688496.650438</v>
      </c>
      <c r="J2685" s="455">
        <f t="array" ref="J2685">IFERROR(INDEX('Retirement Calculator'!K:K,MATCH('Lorri 401b'!N2685,'Retirement Calculator'!A:A,0),0),0)</f>
        <v>0</v>
      </c>
      <c r="K2685" s="455">
        <f t="shared" ca="1" si="133"/>
        <v>71098702.069376826</v>
      </c>
      <c r="L2685" s="455">
        <f t="shared" ca="1" si="134"/>
        <v>17134787198.719814</v>
      </c>
      <c r="M2685" s="471">
        <f t="shared" si="136"/>
        <v>0.05</v>
      </c>
      <c r="N2685" s="475">
        <f t="shared" si="137"/>
        <v>132766</v>
      </c>
    </row>
    <row r="2686" spans="7:14" ht="11.25" customHeight="1" x14ac:dyDescent="0.3">
      <c r="G2686" s="470"/>
      <c r="H2686" s="470">
        <v>2679</v>
      </c>
      <c r="I2686" s="455">
        <f t="shared" ca="1" si="135"/>
        <v>17134787198.719814</v>
      </c>
      <c r="J2686" s="455">
        <f t="array" ref="J2686">IFERROR(INDEX('Retirement Calculator'!K:K,MATCH('Lorri 401b'!N2686,'Retirement Calculator'!A:A,0),0),0)</f>
        <v>0</v>
      </c>
      <c r="K2686" s="455">
        <f t="shared" ca="1" si="133"/>
        <v>71394946.661332563</v>
      </c>
      <c r="L2686" s="455">
        <f t="shared" ca="1" si="134"/>
        <v>17206182145.381145</v>
      </c>
      <c r="M2686" s="471">
        <f t="shared" si="136"/>
        <v>0.05</v>
      </c>
      <c r="N2686" s="475">
        <f t="shared" si="137"/>
        <v>132797</v>
      </c>
    </row>
    <row r="2687" spans="7:14" ht="11.25" customHeight="1" x14ac:dyDescent="0.3">
      <c r="G2687" s="470"/>
      <c r="H2687" s="470">
        <v>2680</v>
      </c>
      <c r="I2687" s="455">
        <f t="shared" ca="1" si="135"/>
        <v>17206182145.381145</v>
      </c>
      <c r="J2687" s="455">
        <f t="array" ref="J2687">IFERROR(INDEX('Retirement Calculator'!K:K,MATCH('Lorri 401b'!N2687,'Retirement Calculator'!A:A,0),0),0)</f>
        <v>0</v>
      </c>
      <c r="K2687" s="455">
        <f t="shared" ca="1" si="133"/>
        <v>71692425.605754778</v>
      </c>
      <c r="L2687" s="455">
        <f t="shared" ca="1" si="134"/>
        <v>17277874570.9869</v>
      </c>
      <c r="M2687" s="471">
        <f t="shared" si="136"/>
        <v>0.05</v>
      </c>
      <c r="N2687" s="475">
        <f t="shared" si="137"/>
        <v>132828</v>
      </c>
    </row>
    <row r="2688" spans="7:14" ht="11.25" customHeight="1" x14ac:dyDescent="0.3">
      <c r="G2688" s="470"/>
      <c r="H2688" s="470">
        <v>2681</v>
      </c>
      <c r="I2688" s="455">
        <f t="shared" ca="1" si="135"/>
        <v>17277874570.9869</v>
      </c>
      <c r="J2688" s="455">
        <f t="array" ref="J2688">IFERROR(INDEX('Retirement Calculator'!K:K,MATCH('Lorri 401b'!N2688,'Retirement Calculator'!A:A,0),0),0)</f>
        <v>0</v>
      </c>
      <c r="K2688" s="455">
        <f t="shared" ca="1" si="133"/>
        <v>71991144.045778751</v>
      </c>
      <c r="L2688" s="455">
        <f t="shared" ca="1" si="134"/>
        <v>17349865715.032681</v>
      </c>
      <c r="M2688" s="471">
        <f t="shared" si="136"/>
        <v>0.05</v>
      </c>
      <c r="N2688" s="475">
        <f t="shared" si="137"/>
        <v>132858</v>
      </c>
    </row>
    <row r="2689" spans="7:14" ht="11.25" customHeight="1" x14ac:dyDescent="0.3">
      <c r="G2689" s="470"/>
      <c r="H2689" s="470">
        <v>2682</v>
      </c>
      <c r="I2689" s="455">
        <f t="shared" ca="1" si="135"/>
        <v>17349865715.032681</v>
      </c>
      <c r="J2689" s="455">
        <f t="array" ref="J2689">IFERROR(INDEX('Retirement Calculator'!K:K,MATCH('Lorri 401b'!N2689,'Retirement Calculator'!A:A,0),0),0)</f>
        <v>0</v>
      </c>
      <c r="K2689" s="455">
        <f t="shared" ca="1" si="133"/>
        <v>72291107.145969495</v>
      </c>
      <c r="L2689" s="455">
        <f t="shared" ca="1" si="134"/>
        <v>17422156822.17865</v>
      </c>
      <c r="M2689" s="471">
        <f t="shared" si="136"/>
        <v>0.05</v>
      </c>
      <c r="N2689" s="475">
        <f t="shared" si="137"/>
        <v>132889</v>
      </c>
    </row>
    <row r="2690" spans="7:14" ht="11.25" customHeight="1" x14ac:dyDescent="0.3">
      <c r="G2690" s="470"/>
      <c r="H2690" s="470">
        <v>2683</v>
      </c>
      <c r="I2690" s="455">
        <f t="shared" ca="1" si="135"/>
        <v>17422156822.17865</v>
      </c>
      <c r="J2690" s="455">
        <f t="array" ref="J2690">IFERROR(INDEX('Retirement Calculator'!K:K,MATCH('Lorri 401b'!N2690,'Retirement Calculator'!A:A,0),0),0)</f>
        <v>0</v>
      </c>
      <c r="K2690" s="455">
        <f t="shared" ca="1" si="133"/>
        <v>72592320.092411041</v>
      </c>
      <c r="L2690" s="455">
        <f t="shared" ca="1" si="134"/>
        <v>17494749142.271061</v>
      </c>
      <c r="M2690" s="471">
        <f t="shared" si="136"/>
        <v>0.05</v>
      </c>
      <c r="N2690" s="475">
        <f t="shared" si="137"/>
        <v>132919</v>
      </c>
    </row>
    <row r="2691" spans="7:14" ht="11.25" customHeight="1" x14ac:dyDescent="0.3">
      <c r="G2691" s="470"/>
      <c r="H2691" s="470">
        <v>2684</v>
      </c>
      <c r="I2691" s="455">
        <f t="shared" ca="1" si="135"/>
        <v>17494749142.271061</v>
      </c>
      <c r="J2691" s="455">
        <f t="array" ref="J2691">IFERROR(INDEX('Retirement Calculator'!K:K,MATCH('Lorri 401b'!N2691,'Retirement Calculator'!A:A,0),0),0)</f>
        <v>0</v>
      </c>
      <c r="K2691" s="455">
        <f t="shared" ca="1" si="133"/>
        <v>72894788.092796087</v>
      </c>
      <c r="L2691" s="455">
        <f t="shared" ca="1" si="134"/>
        <v>17567643930.363857</v>
      </c>
      <c r="M2691" s="471">
        <f t="shared" si="136"/>
        <v>0.05</v>
      </c>
      <c r="N2691" s="475">
        <f t="shared" si="137"/>
        <v>132950</v>
      </c>
    </row>
    <row r="2692" spans="7:14" ht="11.25" customHeight="1" x14ac:dyDescent="0.3">
      <c r="G2692" s="470"/>
      <c r="H2692" s="470">
        <v>2685</v>
      </c>
      <c r="I2692" s="455">
        <f t="shared" ca="1" si="135"/>
        <v>17567643930.363857</v>
      </c>
      <c r="J2692" s="455">
        <f t="array" ref="J2692">IFERROR(INDEX('Retirement Calculator'!K:K,MATCH('Lorri 401b'!N2692,'Retirement Calculator'!A:A,0),0),0)</f>
        <v>0</v>
      </c>
      <c r="K2692" s="455">
        <f t="shared" ca="1" si="133"/>
        <v>73198516.376516074</v>
      </c>
      <c r="L2692" s="455">
        <f t="shared" ca="1" si="134"/>
        <v>17640842446.740372</v>
      </c>
      <c r="M2692" s="471">
        <f t="shared" si="136"/>
        <v>0.05</v>
      </c>
      <c r="N2692" s="475">
        <f t="shared" si="137"/>
        <v>132981</v>
      </c>
    </row>
    <row r="2693" spans="7:14" ht="11.25" customHeight="1" x14ac:dyDescent="0.3">
      <c r="G2693" s="470"/>
      <c r="H2693" s="470">
        <v>2686</v>
      </c>
      <c r="I2693" s="455">
        <f t="shared" ca="1" si="135"/>
        <v>17640842446.740372</v>
      </c>
      <c r="J2693" s="455">
        <f t="array" ref="J2693">IFERROR(INDEX('Retirement Calculator'!K:K,MATCH('Lorri 401b'!N2693,'Retirement Calculator'!A:A,0),0),0)</f>
        <v>0</v>
      </c>
      <c r="K2693" s="455">
        <f t="shared" ca="1" si="133"/>
        <v>73503510.194751546</v>
      </c>
      <c r="L2693" s="455">
        <f t="shared" ca="1" si="134"/>
        <v>17714345956.935123</v>
      </c>
      <c r="M2693" s="471">
        <f t="shared" si="136"/>
        <v>0.05</v>
      </c>
      <c r="N2693" s="475">
        <f t="shared" si="137"/>
        <v>133010</v>
      </c>
    </row>
    <row r="2694" spans="7:14" ht="11.25" customHeight="1" x14ac:dyDescent="0.3">
      <c r="G2694" s="470"/>
      <c r="H2694" s="470">
        <v>2687</v>
      </c>
      <c r="I2694" s="455">
        <f t="shared" ca="1" si="135"/>
        <v>17714345956.935123</v>
      </c>
      <c r="J2694" s="455">
        <f t="array" ref="J2694">IFERROR(INDEX('Retirement Calculator'!K:K,MATCH('Lorri 401b'!N2694,'Retirement Calculator'!A:A,0),0),0)</f>
        <v>0</v>
      </c>
      <c r="K2694" s="455">
        <f t="shared" ca="1" si="133"/>
        <v>73809774.820563018</v>
      </c>
      <c r="L2694" s="455">
        <f t="shared" ca="1" si="134"/>
        <v>17788155731.755688</v>
      </c>
      <c r="M2694" s="471">
        <f t="shared" si="136"/>
        <v>0.05</v>
      </c>
      <c r="N2694" s="475">
        <f t="shared" si="137"/>
        <v>133041</v>
      </c>
    </row>
    <row r="2695" spans="7:14" ht="11.25" customHeight="1" x14ac:dyDescent="0.3">
      <c r="G2695" s="470"/>
      <c r="H2695" s="470">
        <v>2688</v>
      </c>
      <c r="I2695" s="455">
        <f t="shared" ca="1" si="135"/>
        <v>17788155731.755688</v>
      </c>
      <c r="J2695" s="455">
        <f t="array" ref="J2695">IFERROR(INDEX('Retirement Calculator'!K:K,MATCH('Lorri 401b'!N2695,'Retirement Calculator'!A:A,0),0),0)</f>
        <v>0</v>
      </c>
      <c r="K2695" s="455">
        <f t="shared" ca="1" si="133"/>
        <v>74117315.548982024</v>
      </c>
      <c r="L2695" s="455">
        <f t="shared" ca="1" si="134"/>
        <v>17862273047.304668</v>
      </c>
      <c r="M2695" s="471">
        <f t="shared" si="136"/>
        <v>0.05</v>
      </c>
      <c r="N2695" s="475">
        <f t="shared" si="137"/>
        <v>133071</v>
      </c>
    </row>
    <row r="2696" spans="7:14" ht="11.25" customHeight="1" x14ac:dyDescent="0.3">
      <c r="G2696" s="470"/>
      <c r="H2696" s="470">
        <v>2689</v>
      </c>
      <c r="I2696" s="455">
        <f t="shared" ca="1" si="135"/>
        <v>17862273047.304668</v>
      </c>
      <c r="J2696" s="455">
        <f t="array" ref="J2696">IFERROR(INDEX('Retirement Calculator'!K:K,MATCH('Lorri 401b'!N2696,'Retirement Calculator'!A:A,0),0),0)</f>
        <v>0</v>
      </c>
      <c r="K2696" s="455">
        <f t="shared" ca="1" si="133"/>
        <v>74426137.697102785</v>
      </c>
      <c r="L2696" s="455">
        <f t="shared" ca="1" si="134"/>
        <v>17936699185.00177</v>
      </c>
      <c r="M2696" s="471">
        <f t="shared" si="136"/>
        <v>0.05</v>
      </c>
      <c r="N2696" s="475">
        <f t="shared" si="137"/>
        <v>133102</v>
      </c>
    </row>
    <row r="2697" spans="7:14" ht="11.25" customHeight="1" x14ac:dyDescent="0.3">
      <c r="G2697" s="470"/>
      <c r="H2697" s="470">
        <v>2690</v>
      </c>
      <c r="I2697" s="455">
        <f t="shared" ca="1" si="135"/>
        <v>17936699185.00177</v>
      </c>
      <c r="J2697" s="455">
        <f t="array" ref="J2697">IFERROR(INDEX('Retirement Calculator'!K:K,MATCH('Lorri 401b'!N2697,'Retirement Calculator'!A:A,0),0),0)</f>
        <v>0</v>
      </c>
      <c r="K2697" s="455">
        <f t="shared" ca="1" si="133"/>
        <v>74736246.604174048</v>
      </c>
      <c r="L2697" s="455">
        <f t="shared" ca="1" si="134"/>
        <v>18011435431.605946</v>
      </c>
      <c r="M2697" s="471">
        <f t="shared" si="136"/>
        <v>0.05</v>
      </c>
      <c r="N2697" s="475">
        <f t="shared" si="137"/>
        <v>133132</v>
      </c>
    </row>
    <row r="2698" spans="7:14" ht="11.25" customHeight="1" x14ac:dyDescent="0.3">
      <c r="G2698" s="470"/>
      <c r="H2698" s="470">
        <v>2691</v>
      </c>
      <c r="I2698" s="455">
        <f t="shared" ca="1" si="135"/>
        <v>18011435431.605946</v>
      </c>
      <c r="J2698" s="455">
        <f t="array" ref="J2698">IFERROR(INDEX('Retirement Calculator'!K:K,MATCH('Lorri 401b'!N2698,'Retirement Calculator'!A:A,0),0),0)</f>
        <v>0</v>
      </c>
      <c r="K2698" s="455">
        <f t="shared" ca="1" si="133"/>
        <v>75047647.631691441</v>
      </c>
      <c r="L2698" s="455">
        <f t="shared" ca="1" si="134"/>
        <v>18086483079.237637</v>
      </c>
      <c r="M2698" s="471">
        <f t="shared" si="136"/>
        <v>0.05</v>
      </c>
      <c r="N2698" s="475">
        <f t="shared" si="137"/>
        <v>133163</v>
      </c>
    </row>
    <row r="2699" spans="7:14" ht="11.25" customHeight="1" x14ac:dyDescent="0.3">
      <c r="G2699" s="470"/>
      <c r="H2699" s="470">
        <v>2692</v>
      </c>
      <c r="I2699" s="455">
        <f t="shared" ca="1" si="135"/>
        <v>18086483079.237637</v>
      </c>
      <c r="J2699" s="455">
        <f t="array" ref="J2699">IFERROR(INDEX('Retirement Calculator'!K:K,MATCH('Lorri 401b'!N2699,'Retirement Calculator'!A:A,0),0),0)</f>
        <v>0</v>
      </c>
      <c r="K2699" s="455">
        <f t="shared" ca="1" si="133"/>
        <v>75360346.163490146</v>
      </c>
      <c r="L2699" s="455">
        <f t="shared" ca="1" si="134"/>
        <v>18161843425.401127</v>
      </c>
      <c r="M2699" s="471">
        <f t="shared" si="136"/>
        <v>0.05</v>
      </c>
      <c r="N2699" s="475">
        <f t="shared" si="137"/>
        <v>133194</v>
      </c>
    </row>
    <row r="2700" spans="7:14" ht="11.25" customHeight="1" x14ac:dyDescent="0.3">
      <c r="G2700" s="470"/>
      <c r="H2700" s="470">
        <v>2693</v>
      </c>
      <c r="I2700" s="455">
        <f t="shared" ca="1" si="135"/>
        <v>18161843425.401127</v>
      </c>
      <c r="J2700" s="455">
        <f t="array" ref="J2700">IFERROR(INDEX('Retirement Calculator'!K:K,MATCH('Lorri 401b'!N2700,'Retirement Calculator'!A:A,0),0),0)</f>
        <v>0</v>
      </c>
      <c r="K2700" s="455">
        <f t="shared" ca="1" si="133"/>
        <v>75674347.605838031</v>
      </c>
      <c r="L2700" s="455">
        <f t="shared" ca="1" si="134"/>
        <v>18237517773.006966</v>
      </c>
      <c r="M2700" s="471">
        <f t="shared" si="136"/>
        <v>0.05</v>
      </c>
      <c r="N2700" s="475">
        <f t="shared" si="137"/>
        <v>133224</v>
      </c>
    </row>
    <row r="2701" spans="7:14" ht="11.25" customHeight="1" x14ac:dyDescent="0.3">
      <c r="G2701" s="470"/>
      <c r="H2701" s="470">
        <v>2694</v>
      </c>
      <c r="I2701" s="455">
        <f t="shared" ca="1" si="135"/>
        <v>18237517773.006966</v>
      </c>
      <c r="J2701" s="455">
        <f t="array" ref="J2701">IFERROR(INDEX('Retirement Calculator'!K:K,MATCH('Lorri 401b'!N2701,'Retirement Calculator'!A:A,0),0),0)</f>
        <v>0</v>
      </c>
      <c r="K2701" s="455">
        <f t="shared" ca="1" si="133"/>
        <v>75989657.387529016</v>
      </c>
      <c r="L2701" s="455">
        <f t="shared" ca="1" si="134"/>
        <v>18313507430.394493</v>
      </c>
      <c r="M2701" s="471">
        <f t="shared" si="136"/>
        <v>0.05</v>
      </c>
      <c r="N2701" s="475">
        <f t="shared" si="137"/>
        <v>133255</v>
      </c>
    </row>
    <row r="2702" spans="7:14" ht="11.25" customHeight="1" x14ac:dyDescent="0.3">
      <c r="G2702" s="470"/>
      <c r="H2702" s="470">
        <v>2695</v>
      </c>
      <c r="I2702" s="455">
        <f t="shared" ca="1" si="135"/>
        <v>18313507430.394493</v>
      </c>
      <c r="J2702" s="455">
        <f t="array" ref="J2702">IFERROR(INDEX('Retirement Calculator'!K:K,MATCH('Lorri 401b'!N2702,'Retirement Calculator'!A:A,0),0),0)</f>
        <v>0</v>
      </c>
      <c r="K2702" s="455">
        <f t="shared" ca="1" si="133"/>
        <v>76306280.959977061</v>
      </c>
      <c r="L2702" s="455">
        <f t="shared" ca="1" si="134"/>
        <v>18389813711.354469</v>
      </c>
      <c r="M2702" s="471">
        <f t="shared" si="136"/>
        <v>0.05</v>
      </c>
      <c r="N2702" s="475">
        <f t="shared" si="137"/>
        <v>133285</v>
      </c>
    </row>
    <row r="2703" spans="7:14" ht="11.25" customHeight="1" x14ac:dyDescent="0.3">
      <c r="G2703" s="470"/>
      <c r="H2703" s="470">
        <v>2696</v>
      </c>
      <c r="I2703" s="455">
        <f t="shared" ca="1" si="135"/>
        <v>18389813711.354469</v>
      </c>
      <c r="J2703" s="455">
        <f t="array" ref="J2703">IFERROR(INDEX('Retirement Calculator'!K:K,MATCH('Lorri 401b'!N2703,'Retirement Calculator'!A:A,0),0),0)</f>
        <v>0</v>
      </c>
      <c r="K2703" s="455">
        <f t="shared" ca="1" si="133"/>
        <v>76624223.797310293</v>
      </c>
      <c r="L2703" s="455">
        <f t="shared" ca="1" si="134"/>
        <v>18466437935.151779</v>
      </c>
      <c r="M2703" s="471">
        <f t="shared" si="136"/>
        <v>0.05</v>
      </c>
      <c r="N2703" s="475">
        <f t="shared" si="137"/>
        <v>133316</v>
      </c>
    </row>
    <row r="2704" spans="7:14" ht="11.25" customHeight="1" x14ac:dyDescent="0.3">
      <c r="G2704" s="470"/>
      <c r="H2704" s="470">
        <v>2697</v>
      </c>
      <c r="I2704" s="455">
        <f t="shared" ca="1" si="135"/>
        <v>18466437935.151779</v>
      </c>
      <c r="J2704" s="455">
        <f t="array" ref="J2704">IFERROR(INDEX('Retirement Calculator'!K:K,MATCH('Lorri 401b'!N2704,'Retirement Calculator'!A:A,0),0),0)</f>
        <v>0</v>
      </c>
      <c r="K2704" s="455">
        <f t="shared" ca="1" si="133"/>
        <v>76943491.396465749</v>
      </c>
      <c r="L2704" s="455">
        <f t="shared" ca="1" si="134"/>
        <v>18543381426.548244</v>
      </c>
      <c r="M2704" s="471">
        <f t="shared" si="136"/>
        <v>0.05</v>
      </c>
      <c r="N2704" s="475">
        <f t="shared" si="137"/>
        <v>133347</v>
      </c>
    </row>
    <row r="2705" spans="7:14" ht="11.25" customHeight="1" x14ac:dyDescent="0.3">
      <c r="G2705" s="470"/>
      <c r="H2705" s="470">
        <v>2698</v>
      </c>
      <c r="I2705" s="455">
        <f t="shared" ca="1" si="135"/>
        <v>18543381426.548244</v>
      </c>
      <c r="J2705" s="455">
        <f t="array" ref="J2705">IFERROR(INDEX('Retirement Calculator'!K:K,MATCH('Lorri 401b'!N2705,'Retirement Calculator'!A:A,0),0),0)</f>
        <v>0</v>
      </c>
      <c r="K2705" s="455">
        <f t="shared" ca="1" si="133"/>
        <v>77264089.277284354</v>
      </c>
      <c r="L2705" s="455">
        <f t="shared" ca="1" si="134"/>
        <v>18620645515.825527</v>
      </c>
      <c r="M2705" s="471">
        <f t="shared" si="136"/>
        <v>0.05</v>
      </c>
      <c r="N2705" s="475">
        <f t="shared" si="137"/>
        <v>133375</v>
      </c>
    </row>
    <row r="2706" spans="7:14" ht="11.25" customHeight="1" x14ac:dyDescent="0.3">
      <c r="G2706" s="470"/>
      <c r="H2706" s="470">
        <v>2699</v>
      </c>
      <c r="I2706" s="455">
        <f t="shared" ca="1" si="135"/>
        <v>18620645515.825527</v>
      </c>
      <c r="J2706" s="455">
        <f t="array" ref="J2706">IFERROR(INDEX('Retirement Calculator'!K:K,MATCH('Lorri 401b'!N2706,'Retirement Calculator'!A:A,0),0),0)</f>
        <v>0</v>
      </c>
      <c r="K2706" s="455">
        <f t="shared" ca="1" si="133"/>
        <v>77586022.982606366</v>
      </c>
      <c r="L2706" s="455">
        <f t="shared" ca="1" si="134"/>
        <v>18698231538.808132</v>
      </c>
      <c r="M2706" s="471">
        <f t="shared" si="136"/>
        <v>0.05</v>
      </c>
      <c r="N2706" s="475">
        <f t="shared" si="137"/>
        <v>133406</v>
      </c>
    </row>
    <row r="2707" spans="7:14" ht="11.25" customHeight="1" x14ac:dyDescent="0.3">
      <c r="G2707" s="470"/>
      <c r="H2707" s="470">
        <v>2700</v>
      </c>
      <c r="I2707" s="455">
        <f t="shared" ca="1" si="135"/>
        <v>18698231538.808132</v>
      </c>
      <c r="J2707" s="455">
        <f t="array" ref="J2707">IFERROR(INDEX('Retirement Calculator'!K:K,MATCH('Lorri 401b'!N2707,'Retirement Calculator'!A:A,0),0),0)</f>
        <v>0</v>
      </c>
      <c r="K2707" s="455">
        <f t="shared" ca="1" si="133"/>
        <v>77909298.078367218</v>
      </c>
      <c r="L2707" s="455">
        <f t="shared" ca="1" si="134"/>
        <v>18776140836.886497</v>
      </c>
      <c r="M2707" s="471">
        <f t="shared" si="136"/>
        <v>0.05</v>
      </c>
      <c r="N2707" s="475">
        <f t="shared" si="137"/>
        <v>133436</v>
      </c>
    </row>
    <row r="2708" spans="7:14" ht="11.25" customHeight="1" x14ac:dyDescent="0.3">
      <c r="G2708" s="470"/>
      <c r="H2708" s="470">
        <v>2701</v>
      </c>
      <c r="I2708" s="455">
        <f t="shared" ca="1" si="135"/>
        <v>18776140836.886497</v>
      </c>
      <c r="J2708" s="455">
        <f t="array" ref="J2708">IFERROR(INDEX('Retirement Calculator'!K:K,MATCH('Lorri 401b'!N2708,'Retirement Calculator'!A:A,0),0),0)</f>
        <v>0</v>
      </c>
      <c r="K2708" s="455">
        <f t="shared" ca="1" si="133"/>
        <v>78233920.153693736</v>
      </c>
      <c r="L2708" s="455">
        <f t="shared" ca="1" si="134"/>
        <v>18854374757.040192</v>
      </c>
      <c r="M2708" s="471">
        <f t="shared" si="136"/>
        <v>0.05</v>
      </c>
      <c r="N2708" s="475">
        <f t="shared" si="137"/>
        <v>133467</v>
      </c>
    </row>
    <row r="2709" spans="7:14" ht="11.25" customHeight="1" x14ac:dyDescent="0.3">
      <c r="G2709" s="470"/>
      <c r="H2709" s="470">
        <v>2702</v>
      </c>
      <c r="I2709" s="455">
        <f t="shared" ca="1" si="135"/>
        <v>18854374757.040192</v>
      </c>
      <c r="J2709" s="455">
        <f t="array" ref="J2709">IFERROR(INDEX('Retirement Calculator'!K:K,MATCH('Lorri 401b'!N2709,'Retirement Calculator'!A:A,0),0),0)</f>
        <v>0</v>
      </c>
      <c r="K2709" s="455">
        <f t="shared" ca="1" si="133"/>
        <v>78559894.8210008</v>
      </c>
      <c r="L2709" s="455">
        <f t="shared" ca="1" si="134"/>
        <v>18932934651.861191</v>
      </c>
      <c r="M2709" s="471">
        <f t="shared" si="136"/>
        <v>0.05</v>
      </c>
      <c r="N2709" s="475">
        <f t="shared" si="137"/>
        <v>133497</v>
      </c>
    </row>
    <row r="2710" spans="7:14" ht="11.25" customHeight="1" x14ac:dyDescent="0.3">
      <c r="G2710" s="470"/>
      <c r="H2710" s="470">
        <v>2703</v>
      </c>
      <c r="I2710" s="455">
        <f t="shared" ca="1" si="135"/>
        <v>18932934651.861191</v>
      </c>
      <c r="J2710" s="455">
        <f t="array" ref="J2710">IFERROR(INDEX('Retirement Calculator'!K:K,MATCH('Lorri 401b'!N2710,'Retirement Calculator'!A:A,0),0),0)</f>
        <v>0</v>
      </c>
      <c r="K2710" s="455">
        <f t="shared" ca="1" si="133"/>
        <v>78887227.716088295</v>
      </c>
      <c r="L2710" s="455">
        <f t="shared" ca="1" si="134"/>
        <v>19011821879.577278</v>
      </c>
      <c r="M2710" s="471">
        <f t="shared" si="136"/>
        <v>0.05</v>
      </c>
      <c r="N2710" s="475">
        <f t="shared" si="137"/>
        <v>133528</v>
      </c>
    </row>
    <row r="2711" spans="7:14" ht="11.25" customHeight="1" x14ac:dyDescent="0.3">
      <c r="G2711" s="470"/>
      <c r="H2711" s="470">
        <v>2704</v>
      </c>
      <c r="I2711" s="455">
        <f t="shared" ca="1" si="135"/>
        <v>19011821879.577278</v>
      </c>
      <c r="J2711" s="455">
        <f t="array" ref="J2711">IFERROR(INDEX('Retirement Calculator'!K:K,MATCH('Lorri 401b'!N2711,'Retirement Calculator'!A:A,0),0),0)</f>
        <v>0</v>
      </c>
      <c r="K2711" s="455">
        <f t="shared" ca="1" si="133"/>
        <v>79215924.498238653</v>
      </c>
      <c r="L2711" s="455">
        <f t="shared" ca="1" si="134"/>
        <v>19091037804.075516</v>
      </c>
      <c r="M2711" s="471">
        <f t="shared" si="136"/>
        <v>0.05</v>
      </c>
      <c r="N2711" s="475">
        <f t="shared" si="137"/>
        <v>133559</v>
      </c>
    </row>
    <row r="2712" spans="7:14" ht="11.25" customHeight="1" x14ac:dyDescent="0.3">
      <c r="G2712" s="470"/>
      <c r="H2712" s="470">
        <v>2705</v>
      </c>
      <c r="I2712" s="455">
        <f t="shared" ca="1" si="135"/>
        <v>19091037804.075516</v>
      </c>
      <c r="J2712" s="455">
        <f t="array" ref="J2712">IFERROR(INDEX('Retirement Calculator'!K:K,MATCH('Lorri 401b'!N2712,'Retirement Calculator'!A:A,0),0),0)</f>
        <v>0</v>
      </c>
      <c r="K2712" s="455">
        <f t="shared" ca="1" si="133"/>
        <v>79545990.850314647</v>
      </c>
      <c r="L2712" s="455">
        <f t="shared" ca="1" si="134"/>
        <v>19170583794.925831</v>
      </c>
      <c r="M2712" s="471">
        <f t="shared" si="136"/>
        <v>0.05</v>
      </c>
      <c r="N2712" s="475">
        <f t="shared" si="137"/>
        <v>133589</v>
      </c>
    </row>
    <row r="2713" spans="7:14" ht="11.25" customHeight="1" x14ac:dyDescent="0.3">
      <c r="G2713" s="470"/>
      <c r="H2713" s="470">
        <v>2706</v>
      </c>
      <c r="I2713" s="455">
        <f t="shared" ca="1" si="135"/>
        <v>19170583794.925831</v>
      </c>
      <c r="J2713" s="455">
        <f t="array" ref="J2713">IFERROR(INDEX('Retirement Calculator'!K:K,MATCH('Lorri 401b'!N2713,'Retirement Calculator'!A:A,0),0),0)</f>
        <v>0</v>
      </c>
      <c r="K2713" s="455">
        <f t="shared" ca="1" si="133"/>
        <v>79877432.478857622</v>
      </c>
      <c r="L2713" s="455">
        <f t="shared" ca="1" si="134"/>
        <v>19250461227.40469</v>
      </c>
      <c r="M2713" s="471">
        <f t="shared" si="136"/>
        <v>0.05</v>
      </c>
      <c r="N2713" s="475">
        <f t="shared" si="137"/>
        <v>133620</v>
      </c>
    </row>
    <row r="2714" spans="7:14" ht="11.25" customHeight="1" x14ac:dyDescent="0.3">
      <c r="G2714" s="470"/>
      <c r="H2714" s="470">
        <v>2707</v>
      </c>
      <c r="I2714" s="455">
        <f t="shared" ca="1" si="135"/>
        <v>19250461227.40469</v>
      </c>
      <c r="J2714" s="455">
        <f t="array" ref="J2714">IFERROR(INDEX('Retirement Calculator'!K:K,MATCH('Lorri 401b'!N2714,'Retirement Calculator'!A:A,0),0),0)</f>
        <v>0</v>
      </c>
      <c r="K2714" s="455">
        <f t="shared" ca="1" si="133"/>
        <v>80210255.114186212</v>
      </c>
      <c r="L2714" s="455">
        <f t="shared" ca="1" si="134"/>
        <v>19330671482.518875</v>
      </c>
      <c r="M2714" s="471">
        <f t="shared" si="136"/>
        <v>0.05</v>
      </c>
      <c r="N2714" s="475">
        <f t="shared" si="137"/>
        <v>133650</v>
      </c>
    </row>
    <row r="2715" spans="7:14" ht="11.25" customHeight="1" x14ac:dyDescent="0.3">
      <c r="G2715" s="470"/>
      <c r="H2715" s="470">
        <v>2708</v>
      </c>
      <c r="I2715" s="455">
        <f t="shared" ca="1" si="135"/>
        <v>19330671482.518875</v>
      </c>
      <c r="J2715" s="455">
        <f t="array" ref="J2715">IFERROR(INDEX('Retirement Calculator'!K:K,MATCH('Lorri 401b'!N2715,'Retirement Calculator'!A:A,0),0),0)</f>
        <v>0</v>
      </c>
      <c r="K2715" s="455">
        <f t="shared" ca="1" si="133"/>
        <v>80544464.510495305</v>
      </c>
      <c r="L2715" s="455">
        <f t="shared" ca="1" si="134"/>
        <v>19411215947.029369</v>
      </c>
      <c r="M2715" s="471">
        <f t="shared" si="136"/>
        <v>0.05</v>
      </c>
      <c r="N2715" s="475">
        <f t="shared" si="137"/>
        <v>133681</v>
      </c>
    </row>
    <row r="2716" spans="7:14" ht="11.25" customHeight="1" x14ac:dyDescent="0.3">
      <c r="G2716" s="470"/>
      <c r="H2716" s="470">
        <v>2709</v>
      </c>
      <c r="I2716" s="455">
        <f t="shared" ca="1" si="135"/>
        <v>19411215947.029369</v>
      </c>
      <c r="J2716" s="455">
        <f t="array" ref="J2716">IFERROR(INDEX('Retirement Calculator'!K:K,MATCH('Lorri 401b'!N2716,'Retirement Calculator'!A:A,0),0),0)</f>
        <v>0</v>
      </c>
      <c r="K2716" s="455">
        <f t="shared" ca="1" si="133"/>
        <v>80880066.445955709</v>
      </c>
      <c r="L2716" s="455">
        <f t="shared" ca="1" si="134"/>
        <v>19492096013.475327</v>
      </c>
      <c r="M2716" s="471">
        <f t="shared" si="136"/>
        <v>0.05</v>
      </c>
      <c r="N2716" s="475">
        <f t="shared" si="137"/>
        <v>133712</v>
      </c>
    </row>
    <row r="2717" spans="7:14" ht="11.25" customHeight="1" x14ac:dyDescent="0.3">
      <c r="G2717" s="470"/>
      <c r="H2717" s="470">
        <v>2710</v>
      </c>
      <c r="I2717" s="455">
        <f t="shared" ca="1" si="135"/>
        <v>19492096013.475327</v>
      </c>
      <c r="J2717" s="455">
        <f t="array" ref="J2717">IFERROR(INDEX('Retirement Calculator'!K:K,MATCH('Lorri 401b'!N2717,'Retirement Calculator'!A:A,0),0),0)</f>
        <v>0</v>
      </c>
      <c r="K2717" s="455">
        <f t="shared" ca="1" si="133"/>
        <v>81217066.72281386</v>
      </c>
      <c r="L2717" s="455">
        <f t="shared" ca="1" si="134"/>
        <v>19573313080.198139</v>
      </c>
      <c r="M2717" s="471">
        <f t="shared" si="136"/>
        <v>0.05</v>
      </c>
      <c r="N2717" s="475">
        <f t="shared" si="137"/>
        <v>133740</v>
      </c>
    </row>
    <row r="2718" spans="7:14" ht="11.25" customHeight="1" x14ac:dyDescent="0.3">
      <c r="G2718" s="470"/>
      <c r="H2718" s="470">
        <v>2711</v>
      </c>
      <c r="I2718" s="455">
        <f t="shared" ca="1" si="135"/>
        <v>19573313080.198139</v>
      </c>
      <c r="J2718" s="455">
        <f t="array" ref="J2718">IFERROR(INDEX('Retirement Calculator'!K:K,MATCH('Lorri 401b'!N2718,'Retirement Calculator'!A:A,0),0),0)</f>
        <v>0</v>
      </c>
      <c r="K2718" s="455">
        <f t="shared" ca="1" si="133"/>
        <v>81555471.167492241</v>
      </c>
      <c r="L2718" s="455">
        <f t="shared" ca="1" si="134"/>
        <v>19654868551.365631</v>
      </c>
      <c r="M2718" s="471">
        <f t="shared" si="136"/>
        <v>0.05</v>
      </c>
      <c r="N2718" s="475">
        <f t="shared" si="137"/>
        <v>133771</v>
      </c>
    </row>
    <row r="2719" spans="7:14" ht="11.25" customHeight="1" x14ac:dyDescent="0.3">
      <c r="G2719" s="470"/>
      <c r="H2719" s="470">
        <v>2712</v>
      </c>
      <c r="I2719" s="455">
        <f t="shared" ca="1" si="135"/>
        <v>19654868551.365631</v>
      </c>
      <c r="J2719" s="455">
        <f t="array" ref="J2719">IFERROR(INDEX('Retirement Calculator'!K:K,MATCH('Lorri 401b'!N2719,'Retirement Calculator'!A:A,0),0),0)</f>
        <v>0</v>
      </c>
      <c r="K2719" s="455">
        <f t="shared" ca="1" si="133"/>
        <v>81895285.630690128</v>
      </c>
      <c r="L2719" s="455">
        <f t="shared" ca="1" si="134"/>
        <v>19736763836.996323</v>
      </c>
      <c r="M2719" s="471">
        <f t="shared" si="136"/>
        <v>0.05</v>
      </c>
      <c r="N2719" s="475">
        <f t="shared" si="137"/>
        <v>133801</v>
      </c>
    </row>
    <row r="2720" spans="7:14" ht="11.25" customHeight="1" x14ac:dyDescent="0.3">
      <c r="G2720" s="470"/>
      <c r="H2720" s="470">
        <v>2713</v>
      </c>
      <c r="I2720" s="455">
        <f t="shared" ca="1" si="135"/>
        <v>19736763836.996323</v>
      </c>
      <c r="J2720" s="455">
        <f t="array" ref="J2720">IFERROR(INDEX('Retirement Calculator'!K:K,MATCH('Lorri 401b'!N2720,'Retirement Calculator'!A:A,0),0),0)</f>
        <v>0</v>
      </c>
      <c r="K2720" s="455">
        <f t="shared" ca="1" si="133"/>
        <v>82236515.987484679</v>
      </c>
      <c r="L2720" s="455">
        <f t="shared" ca="1" si="134"/>
        <v>19819000352.983807</v>
      </c>
      <c r="M2720" s="471">
        <f t="shared" si="136"/>
        <v>0.05</v>
      </c>
      <c r="N2720" s="475">
        <f t="shared" si="137"/>
        <v>133832</v>
      </c>
    </row>
    <row r="2721" spans="7:14" ht="11.25" customHeight="1" x14ac:dyDescent="0.3">
      <c r="G2721" s="470"/>
      <c r="H2721" s="470">
        <v>2714</v>
      </c>
      <c r="I2721" s="455">
        <f t="shared" ca="1" si="135"/>
        <v>19819000352.983807</v>
      </c>
      <c r="J2721" s="455">
        <f t="array" ref="J2721">IFERROR(INDEX('Retirement Calculator'!K:K,MATCH('Lorri 401b'!N2721,'Retirement Calculator'!A:A,0),0),0)</f>
        <v>0</v>
      </c>
      <c r="K2721" s="455">
        <f t="shared" ca="1" si="133"/>
        <v>82579168.137432531</v>
      </c>
      <c r="L2721" s="455">
        <f t="shared" ca="1" si="134"/>
        <v>19901579521.121239</v>
      </c>
      <c r="M2721" s="471">
        <f t="shared" si="136"/>
        <v>0.05</v>
      </c>
      <c r="N2721" s="475">
        <f t="shared" si="137"/>
        <v>133862</v>
      </c>
    </row>
    <row r="2722" spans="7:14" ht="11.25" customHeight="1" x14ac:dyDescent="0.3">
      <c r="G2722" s="470"/>
      <c r="H2722" s="470">
        <v>2715</v>
      </c>
      <c r="I2722" s="455">
        <f t="shared" ca="1" si="135"/>
        <v>19901579521.121239</v>
      </c>
      <c r="J2722" s="455">
        <f t="array" ref="J2722">IFERROR(INDEX('Retirement Calculator'!K:K,MATCH('Lorri 401b'!N2722,'Retirement Calculator'!A:A,0),0),0)</f>
        <v>0</v>
      </c>
      <c r="K2722" s="455">
        <f t="shared" ca="1" si="133"/>
        <v>82923248.004671827</v>
      </c>
      <c r="L2722" s="455">
        <f t="shared" ca="1" si="134"/>
        <v>19984502769.125912</v>
      </c>
      <c r="M2722" s="471">
        <f t="shared" si="136"/>
        <v>0.05</v>
      </c>
      <c r="N2722" s="475">
        <f t="shared" si="137"/>
        <v>133893</v>
      </c>
    </row>
    <row r="2723" spans="7:14" ht="11.25" customHeight="1" x14ac:dyDescent="0.3">
      <c r="G2723" s="470"/>
      <c r="H2723" s="470">
        <v>2716</v>
      </c>
      <c r="I2723" s="455">
        <f t="shared" ca="1" si="135"/>
        <v>19984502769.125912</v>
      </c>
      <c r="J2723" s="455">
        <f t="array" ref="J2723">IFERROR(INDEX('Retirement Calculator'!K:K,MATCH('Lorri 401b'!N2723,'Retirement Calculator'!A:A,0),0),0)</f>
        <v>0</v>
      </c>
      <c r="K2723" s="455">
        <f t="shared" ca="1" si="133"/>
        <v>83268761.538024634</v>
      </c>
      <c r="L2723" s="455">
        <f t="shared" ca="1" si="134"/>
        <v>20067771530.663937</v>
      </c>
      <c r="M2723" s="471">
        <f t="shared" si="136"/>
        <v>0.05</v>
      </c>
      <c r="N2723" s="475">
        <f t="shared" si="137"/>
        <v>133924</v>
      </c>
    </row>
    <row r="2724" spans="7:14" ht="11.25" customHeight="1" x14ac:dyDescent="0.3">
      <c r="G2724" s="470"/>
      <c r="H2724" s="470">
        <v>2717</v>
      </c>
      <c r="I2724" s="455">
        <f t="shared" ca="1" si="135"/>
        <v>20067771530.663937</v>
      </c>
      <c r="J2724" s="455">
        <f t="array" ref="J2724">IFERROR(INDEX('Retirement Calculator'!K:K,MATCH('Lorri 401b'!N2724,'Retirement Calculator'!A:A,0),0),0)</f>
        <v>0</v>
      </c>
      <c r="K2724" s="455">
        <f t="shared" ca="1" si="133"/>
        <v>83615714.711099729</v>
      </c>
      <c r="L2724" s="455">
        <f t="shared" ca="1" si="134"/>
        <v>20151387245.375038</v>
      </c>
      <c r="M2724" s="471">
        <f t="shared" si="136"/>
        <v>0.05</v>
      </c>
      <c r="N2724" s="475">
        <f t="shared" si="137"/>
        <v>133954</v>
      </c>
    </row>
    <row r="2725" spans="7:14" ht="11.25" customHeight="1" x14ac:dyDescent="0.3">
      <c r="G2725" s="470"/>
      <c r="H2725" s="470">
        <v>2718</v>
      </c>
      <c r="I2725" s="455">
        <f t="shared" ca="1" si="135"/>
        <v>20151387245.375038</v>
      </c>
      <c r="J2725" s="455">
        <f t="array" ref="J2725">IFERROR(INDEX('Retirement Calculator'!K:K,MATCH('Lorri 401b'!N2725,'Retirement Calculator'!A:A,0),0),0)</f>
        <v>0</v>
      </c>
      <c r="K2725" s="455">
        <f t="shared" ca="1" si="133"/>
        <v>83964113.522395998</v>
      </c>
      <c r="L2725" s="455">
        <f t="shared" ca="1" si="134"/>
        <v>20235351358.897434</v>
      </c>
      <c r="M2725" s="471">
        <f t="shared" si="136"/>
        <v>0.05</v>
      </c>
      <c r="N2725" s="475">
        <f t="shared" si="137"/>
        <v>133985</v>
      </c>
    </row>
    <row r="2726" spans="7:14" ht="11.25" customHeight="1" x14ac:dyDescent="0.3">
      <c r="G2726" s="470"/>
      <c r="H2726" s="470">
        <v>2719</v>
      </c>
      <c r="I2726" s="455">
        <f t="shared" ca="1" si="135"/>
        <v>20235351358.897434</v>
      </c>
      <c r="J2726" s="455">
        <f t="array" ref="J2726">IFERROR(INDEX('Retirement Calculator'!K:K,MATCH('Lorri 401b'!N2726,'Retirement Calculator'!A:A,0),0),0)</f>
        <v>0</v>
      </c>
      <c r="K2726" s="455">
        <f t="shared" ca="1" si="133"/>
        <v>84313963.995405972</v>
      </c>
      <c r="L2726" s="455">
        <f t="shared" ca="1" si="134"/>
        <v>20319665322.892841</v>
      </c>
      <c r="M2726" s="471">
        <f t="shared" si="136"/>
        <v>0.05</v>
      </c>
      <c r="N2726" s="475">
        <f t="shared" si="137"/>
        <v>134015</v>
      </c>
    </row>
    <row r="2727" spans="7:14" ht="11.25" customHeight="1" x14ac:dyDescent="0.3">
      <c r="G2727" s="470"/>
      <c r="H2727" s="470">
        <v>2720</v>
      </c>
      <c r="I2727" s="455">
        <f t="shared" ca="1" si="135"/>
        <v>20319665322.892841</v>
      </c>
      <c r="J2727" s="455">
        <f t="array" ref="J2727">IFERROR(INDEX('Retirement Calculator'!K:K,MATCH('Lorri 401b'!N2727,'Retirement Calculator'!A:A,0),0),0)</f>
        <v>0</v>
      </c>
      <c r="K2727" s="455">
        <f t="shared" ca="1" si="133"/>
        <v>84665272.178720176</v>
      </c>
      <c r="L2727" s="455">
        <f t="shared" ca="1" si="134"/>
        <v>20404330595.07156</v>
      </c>
      <c r="M2727" s="471">
        <f t="shared" si="136"/>
        <v>0.05</v>
      </c>
      <c r="N2727" s="475">
        <f t="shared" si="137"/>
        <v>134046</v>
      </c>
    </row>
    <row r="2728" spans="7:14" ht="11.25" customHeight="1" x14ac:dyDescent="0.3">
      <c r="G2728" s="470"/>
      <c r="H2728" s="470">
        <v>2721</v>
      </c>
      <c r="I2728" s="455">
        <f t="shared" ca="1" si="135"/>
        <v>20404330595.07156</v>
      </c>
      <c r="J2728" s="455">
        <f t="array" ref="J2728">IFERROR(INDEX('Retirement Calculator'!K:K,MATCH('Lorri 401b'!N2728,'Retirement Calculator'!A:A,0),0),0)</f>
        <v>0</v>
      </c>
      <c r="K2728" s="455">
        <f t="shared" ca="1" si="133"/>
        <v>85018044.146131501</v>
      </c>
      <c r="L2728" s="455">
        <f t="shared" ca="1" si="134"/>
        <v>20489348639.21769</v>
      </c>
      <c r="M2728" s="471">
        <f t="shared" si="136"/>
        <v>0.05</v>
      </c>
      <c r="N2728" s="475">
        <f t="shared" si="137"/>
        <v>134077</v>
      </c>
    </row>
    <row r="2729" spans="7:14" ht="11.25" customHeight="1" x14ac:dyDescent="0.3">
      <c r="G2729" s="470"/>
      <c r="H2729" s="470">
        <v>2722</v>
      </c>
      <c r="I2729" s="455">
        <f t="shared" ca="1" si="135"/>
        <v>20489348639.21769</v>
      </c>
      <c r="J2729" s="455">
        <f t="array" ref="J2729">IFERROR(INDEX('Retirement Calculator'!K:K,MATCH('Lorri 401b'!N2729,'Retirement Calculator'!A:A,0),0),0)</f>
        <v>0</v>
      </c>
      <c r="K2729" s="455">
        <f t="shared" ca="1" si="133"/>
        <v>85372285.996740371</v>
      </c>
      <c r="L2729" s="455">
        <f t="shared" ca="1" si="134"/>
        <v>20574720925.214432</v>
      </c>
      <c r="M2729" s="471">
        <f t="shared" si="136"/>
        <v>0.05</v>
      </c>
      <c r="N2729" s="475">
        <f t="shared" si="137"/>
        <v>134105</v>
      </c>
    </row>
    <row r="2730" spans="7:14" ht="11.25" customHeight="1" x14ac:dyDescent="0.3">
      <c r="G2730" s="470"/>
      <c r="H2730" s="470">
        <v>2723</v>
      </c>
      <c r="I2730" s="455">
        <f t="shared" ca="1" si="135"/>
        <v>20574720925.214432</v>
      </c>
      <c r="J2730" s="455">
        <f t="array" ref="J2730">IFERROR(INDEX('Retirement Calculator'!K:K,MATCH('Lorri 401b'!N2730,'Retirement Calculator'!A:A,0),0),0)</f>
        <v>0</v>
      </c>
      <c r="K2730" s="455">
        <f t="shared" ca="1" si="133"/>
        <v>85728003.85506013</v>
      </c>
      <c r="L2730" s="455">
        <f t="shared" ca="1" si="134"/>
        <v>20660448929.069492</v>
      </c>
      <c r="M2730" s="471">
        <f t="shared" si="136"/>
        <v>0.05</v>
      </c>
      <c r="N2730" s="475">
        <f t="shared" si="137"/>
        <v>134136</v>
      </c>
    </row>
    <row r="2731" spans="7:14" ht="11.25" customHeight="1" x14ac:dyDescent="0.3">
      <c r="G2731" s="470"/>
      <c r="H2731" s="470">
        <v>2724</v>
      </c>
      <c r="I2731" s="455">
        <f t="shared" ca="1" si="135"/>
        <v>20660448929.069492</v>
      </c>
      <c r="J2731" s="455">
        <f t="array" ref="J2731">IFERROR(INDEX('Retirement Calculator'!K:K,MATCH('Lorri 401b'!N2731,'Retirement Calculator'!A:A,0),0),0)</f>
        <v>0</v>
      </c>
      <c r="K2731" s="455">
        <f t="shared" ca="1" si="133"/>
        <v>86085203.871122882</v>
      </c>
      <c r="L2731" s="455">
        <f t="shared" ca="1" si="134"/>
        <v>20746534132.940617</v>
      </c>
      <c r="M2731" s="471">
        <f t="shared" si="136"/>
        <v>0.05</v>
      </c>
      <c r="N2731" s="475">
        <f t="shared" si="137"/>
        <v>134166</v>
      </c>
    </row>
    <row r="2732" spans="7:14" ht="11.25" customHeight="1" x14ac:dyDescent="0.3">
      <c r="G2732" s="470"/>
      <c r="H2732" s="470">
        <v>2725</v>
      </c>
      <c r="I2732" s="455">
        <f t="shared" ca="1" si="135"/>
        <v>20746534132.940617</v>
      </c>
      <c r="J2732" s="455">
        <f t="array" ref="J2732">IFERROR(INDEX('Retirement Calculator'!K:K,MATCH('Lorri 401b'!N2732,'Retirement Calculator'!A:A,0),0),0)</f>
        <v>0</v>
      </c>
      <c r="K2732" s="455">
        <f t="shared" ca="1" si="133"/>
        <v>86443892.220585898</v>
      </c>
      <c r="L2732" s="455">
        <f t="shared" ca="1" si="134"/>
        <v>20832978025.161201</v>
      </c>
      <c r="M2732" s="471">
        <f t="shared" si="136"/>
        <v>0.05</v>
      </c>
      <c r="N2732" s="475">
        <f t="shared" si="137"/>
        <v>134197</v>
      </c>
    </row>
    <row r="2733" spans="7:14" ht="11.25" customHeight="1" x14ac:dyDescent="0.3">
      <c r="G2733" s="470"/>
      <c r="H2733" s="470">
        <v>2726</v>
      </c>
      <c r="I2733" s="455">
        <f t="shared" ca="1" si="135"/>
        <v>20832978025.161201</v>
      </c>
      <c r="J2733" s="455">
        <f t="array" ref="J2733">IFERROR(INDEX('Retirement Calculator'!K:K,MATCH('Lorri 401b'!N2733,'Retirement Calculator'!A:A,0),0),0)</f>
        <v>0</v>
      </c>
      <c r="K2733" s="455">
        <f t="shared" ca="1" si="133"/>
        <v>86804075.104838341</v>
      </c>
      <c r="L2733" s="455">
        <f t="shared" ca="1" si="134"/>
        <v>20919782100.266041</v>
      </c>
      <c r="M2733" s="471">
        <f t="shared" si="136"/>
        <v>0.05</v>
      </c>
      <c r="N2733" s="475">
        <f t="shared" si="137"/>
        <v>134227</v>
      </c>
    </row>
    <row r="2734" spans="7:14" ht="11.25" customHeight="1" x14ac:dyDescent="0.3">
      <c r="G2734" s="470"/>
      <c r="H2734" s="470">
        <v>2727</v>
      </c>
      <c r="I2734" s="455">
        <f t="shared" ca="1" si="135"/>
        <v>20919782100.266041</v>
      </c>
      <c r="J2734" s="455">
        <f t="array" ref="J2734">IFERROR(INDEX('Retirement Calculator'!K:K,MATCH('Lorri 401b'!N2734,'Retirement Calculator'!A:A,0),0),0)</f>
        <v>0</v>
      </c>
      <c r="K2734" s="455">
        <f t="shared" ca="1" si="133"/>
        <v>87165758.751108497</v>
      </c>
      <c r="L2734" s="455">
        <f t="shared" ca="1" si="134"/>
        <v>21006947859.017151</v>
      </c>
      <c r="M2734" s="471">
        <f t="shared" si="136"/>
        <v>0.05</v>
      </c>
      <c r="N2734" s="475">
        <f t="shared" si="137"/>
        <v>134258</v>
      </c>
    </row>
    <row r="2735" spans="7:14" ht="11.25" customHeight="1" x14ac:dyDescent="0.3">
      <c r="G2735" s="470"/>
      <c r="H2735" s="470">
        <v>2728</v>
      </c>
      <c r="I2735" s="455">
        <f t="shared" ca="1" si="135"/>
        <v>21006947859.017151</v>
      </c>
      <c r="J2735" s="455">
        <f t="array" ref="J2735">IFERROR(INDEX('Retirement Calculator'!K:K,MATCH('Lorri 401b'!N2735,'Retirement Calculator'!A:A,0),0),0)</f>
        <v>0</v>
      </c>
      <c r="K2735" s="455">
        <f t="shared" ca="1" si="133"/>
        <v>87528949.41257146</v>
      </c>
      <c r="L2735" s="455">
        <f t="shared" ca="1" si="134"/>
        <v>21094476808.429722</v>
      </c>
      <c r="M2735" s="471">
        <f t="shared" si="136"/>
        <v>0.05</v>
      </c>
      <c r="N2735" s="475">
        <f t="shared" si="137"/>
        <v>134289</v>
      </c>
    </row>
    <row r="2736" spans="7:14" ht="11.25" customHeight="1" x14ac:dyDescent="0.3">
      <c r="G2736" s="470"/>
      <c r="H2736" s="470">
        <v>2729</v>
      </c>
      <c r="I2736" s="455">
        <f t="shared" ca="1" si="135"/>
        <v>21094476808.429722</v>
      </c>
      <c r="J2736" s="455">
        <f t="array" ref="J2736">IFERROR(INDEX('Retirement Calculator'!K:K,MATCH('Lorri 401b'!N2736,'Retirement Calculator'!A:A,0),0),0)</f>
        <v>0</v>
      </c>
      <c r="K2736" s="455">
        <f t="shared" ca="1" si="133"/>
        <v>87893653.368457168</v>
      </c>
      <c r="L2736" s="455">
        <f t="shared" ca="1" si="134"/>
        <v>21182370461.79818</v>
      </c>
      <c r="M2736" s="471">
        <f t="shared" si="136"/>
        <v>0.05</v>
      </c>
      <c r="N2736" s="475">
        <f t="shared" si="137"/>
        <v>134319</v>
      </c>
    </row>
    <row r="2737" spans="7:14" ht="11.25" customHeight="1" x14ac:dyDescent="0.3">
      <c r="G2737" s="470"/>
      <c r="H2737" s="470">
        <v>2730</v>
      </c>
      <c r="I2737" s="455">
        <f t="shared" ca="1" si="135"/>
        <v>21182370461.79818</v>
      </c>
      <c r="J2737" s="455">
        <f t="array" ref="J2737">IFERROR(INDEX('Retirement Calculator'!K:K,MATCH('Lorri 401b'!N2737,'Retirement Calculator'!A:A,0),0),0)</f>
        <v>0</v>
      </c>
      <c r="K2737" s="455">
        <f t="shared" ca="1" si="133"/>
        <v>88259876.92415908</v>
      </c>
      <c r="L2737" s="455">
        <f t="shared" ca="1" si="134"/>
        <v>21270630338.72234</v>
      </c>
      <c r="M2737" s="471">
        <f t="shared" si="136"/>
        <v>0.05</v>
      </c>
      <c r="N2737" s="475">
        <f t="shared" si="137"/>
        <v>134350</v>
      </c>
    </row>
    <row r="2738" spans="7:14" ht="11.25" customHeight="1" x14ac:dyDescent="0.3">
      <c r="G2738" s="470"/>
      <c r="H2738" s="470">
        <v>2731</v>
      </c>
      <c r="I2738" s="455">
        <f t="shared" ca="1" si="135"/>
        <v>21270630338.72234</v>
      </c>
      <c r="J2738" s="455">
        <f t="array" ref="J2738">IFERROR(INDEX('Retirement Calculator'!K:K,MATCH('Lorri 401b'!N2738,'Retirement Calculator'!A:A,0),0),0)</f>
        <v>0</v>
      </c>
      <c r="K2738" s="455">
        <f t="shared" ca="1" si="133"/>
        <v>88627626.411343083</v>
      </c>
      <c r="L2738" s="455">
        <f t="shared" ca="1" si="134"/>
        <v>21359257965.133682</v>
      </c>
      <c r="M2738" s="471">
        <f t="shared" si="136"/>
        <v>0.05</v>
      </c>
      <c r="N2738" s="475">
        <f t="shared" si="137"/>
        <v>134380</v>
      </c>
    </row>
    <row r="2739" spans="7:14" ht="11.25" customHeight="1" x14ac:dyDescent="0.3">
      <c r="G2739" s="470"/>
      <c r="H2739" s="470">
        <v>2732</v>
      </c>
      <c r="I2739" s="455">
        <f t="shared" ca="1" si="135"/>
        <v>21359257965.133682</v>
      </c>
      <c r="J2739" s="455">
        <f t="array" ref="J2739">IFERROR(INDEX('Retirement Calculator'!K:K,MATCH('Lorri 401b'!N2739,'Retirement Calculator'!A:A,0),0),0)</f>
        <v>0</v>
      </c>
      <c r="K2739" s="455">
        <f t="shared" ca="1" si="133"/>
        <v>88996908.188057005</v>
      </c>
      <c r="L2739" s="455">
        <f t="shared" ca="1" si="134"/>
        <v>21448254873.321739</v>
      </c>
      <c r="M2739" s="471">
        <f t="shared" si="136"/>
        <v>0.05</v>
      </c>
      <c r="N2739" s="475">
        <f t="shared" si="137"/>
        <v>134411</v>
      </c>
    </row>
    <row r="2740" spans="7:14" ht="11.25" customHeight="1" x14ac:dyDescent="0.3">
      <c r="G2740" s="470"/>
      <c r="H2740" s="470">
        <v>2733</v>
      </c>
      <c r="I2740" s="455">
        <f t="shared" ca="1" si="135"/>
        <v>21448254873.321739</v>
      </c>
      <c r="J2740" s="455">
        <f t="array" ref="J2740">IFERROR(INDEX('Retirement Calculator'!K:K,MATCH('Lorri 401b'!N2740,'Retirement Calculator'!A:A,0),0),0)</f>
        <v>0</v>
      </c>
      <c r="K2740" s="455">
        <f t="shared" ca="1" si="133"/>
        <v>89367728.638840586</v>
      </c>
      <c r="L2740" s="455">
        <f t="shared" ca="1" si="134"/>
        <v>21537622601.960579</v>
      </c>
      <c r="M2740" s="471">
        <f t="shared" si="136"/>
        <v>0.05</v>
      </c>
      <c r="N2740" s="475">
        <f t="shared" si="137"/>
        <v>134442</v>
      </c>
    </row>
    <row r="2741" spans="7:14" ht="11.25" customHeight="1" x14ac:dyDescent="0.3">
      <c r="G2741" s="470"/>
      <c r="H2741" s="470">
        <v>2734</v>
      </c>
      <c r="I2741" s="455">
        <f t="shared" ca="1" si="135"/>
        <v>21537622601.960579</v>
      </c>
      <c r="J2741" s="455">
        <f t="array" ref="J2741">IFERROR(INDEX('Retirement Calculator'!K:K,MATCH('Lorri 401b'!N2741,'Retirement Calculator'!A:A,0),0),0)</f>
        <v>0</v>
      </c>
      <c r="K2741" s="455">
        <f t="shared" ca="1" si="133"/>
        <v>89740094.174835742</v>
      </c>
      <c r="L2741" s="455">
        <f t="shared" ca="1" si="134"/>
        <v>21627362696.135414</v>
      </c>
      <c r="M2741" s="471">
        <f t="shared" si="136"/>
        <v>0.05</v>
      </c>
      <c r="N2741" s="475">
        <f t="shared" si="137"/>
        <v>134471</v>
      </c>
    </row>
    <row r="2742" spans="7:14" ht="11.25" customHeight="1" x14ac:dyDescent="0.3">
      <c r="G2742" s="470"/>
      <c r="H2742" s="470">
        <v>2735</v>
      </c>
      <c r="I2742" s="455">
        <f t="shared" ca="1" si="135"/>
        <v>21627362696.135414</v>
      </c>
      <c r="J2742" s="455">
        <f t="array" ref="J2742">IFERROR(INDEX('Retirement Calculator'!K:K,MATCH('Lorri 401b'!N2742,'Retirement Calculator'!A:A,0),0),0)</f>
        <v>0</v>
      </c>
      <c r="K2742" s="455">
        <f t="shared" ca="1" si="133"/>
        <v>90114011.233897552</v>
      </c>
      <c r="L2742" s="455">
        <f t="shared" ca="1" si="134"/>
        <v>21717476707.369312</v>
      </c>
      <c r="M2742" s="471">
        <f t="shared" si="136"/>
        <v>0.05</v>
      </c>
      <c r="N2742" s="475">
        <f t="shared" si="137"/>
        <v>134502</v>
      </c>
    </row>
    <row r="2743" spans="7:14" ht="11.25" customHeight="1" x14ac:dyDescent="0.3">
      <c r="G2743" s="470"/>
      <c r="H2743" s="470">
        <v>2736</v>
      </c>
      <c r="I2743" s="455">
        <f t="shared" ca="1" si="135"/>
        <v>21717476707.369312</v>
      </c>
      <c r="J2743" s="455">
        <f t="array" ref="J2743">IFERROR(INDEX('Retirement Calculator'!K:K,MATCH('Lorri 401b'!N2743,'Retirement Calculator'!A:A,0),0),0)</f>
        <v>0</v>
      </c>
      <c r="K2743" s="455">
        <f t="shared" ca="1" si="133"/>
        <v>90489486.280705467</v>
      </c>
      <c r="L2743" s="455">
        <f t="shared" ca="1" si="134"/>
        <v>21807966193.650017</v>
      </c>
      <c r="M2743" s="471">
        <f t="shared" si="136"/>
        <v>0.05</v>
      </c>
      <c r="N2743" s="475">
        <f t="shared" si="137"/>
        <v>134532</v>
      </c>
    </row>
    <row r="2744" spans="7:14" ht="11.25" customHeight="1" x14ac:dyDescent="0.3">
      <c r="G2744" s="470"/>
      <c r="H2744" s="470">
        <v>2737</v>
      </c>
      <c r="I2744" s="455">
        <f t="shared" ca="1" si="135"/>
        <v>21807966193.650017</v>
      </c>
      <c r="J2744" s="455">
        <f t="array" ref="J2744">IFERROR(INDEX('Retirement Calculator'!K:K,MATCH('Lorri 401b'!N2744,'Retirement Calculator'!A:A,0),0),0)</f>
        <v>0</v>
      </c>
      <c r="K2744" s="455">
        <f t="shared" ca="1" si="133"/>
        <v>90866525.806875065</v>
      </c>
      <c r="L2744" s="455">
        <f t="shared" ca="1" si="134"/>
        <v>21898832719.45689</v>
      </c>
      <c r="M2744" s="471">
        <f t="shared" si="136"/>
        <v>0.05</v>
      </c>
      <c r="N2744" s="475">
        <f t="shared" si="137"/>
        <v>134563</v>
      </c>
    </row>
    <row r="2745" spans="7:14" ht="11.25" customHeight="1" x14ac:dyDescent="0.3">
      <c r="G2745" s="470"/>
      <c r="H2745" s="470">
        <v>2738</v>
      </c>
      <c r="I2745" s="455">
        <f t="shared" ca="1" si="135"/>
        <v>21898832719.45689</v>
      </c>
      <c r="J2745" s="455">
        <f t="array" ref="J2745">IFERROR(INDEX('Retirement Calculator'!K:K,MATCH('Lorri 401b'!N2745,'Retirement Calculator'!A:A,0),0),0)</f>
        <v>0</v>
      </c>
      <c r="K2745" s="455">
        <f t="shared" ca="1" si="133"/>
        <v>91245136.331070378</v>
      </c>
      <c r="L2745" s="455">
        <f t="shared" ca="1" si="134"/>
        <v>21990077855.78796</v>
      </c>
      <c r="M2745" s="471">
        <f t="shared" si="136"/>
        <v>0.05</v>
      </c>
      <c r="N2745" s="475">
        <f t="shared" si="137"/>
        <v>134593</v>
      </c>
    </row>
    <row r="2746" spans="7:14" ht="11.25" customHeight="1" x14ac:dyDescent="0.3">
      <c r="G2746" s="470"/>
      <c r="H2746" s="470">
        <v>2739</v>
      </c>
      <c r="I2746" s="455">
        <f t="shared" ca="1" si="135"/>
        <v>21990077855.78796</v>
      </c>
      <c r="J2746" s="455">
        <f t="array" ref="J2746">IFERROR(INDEX('Retirement Calculator'!K:K,MATCH('Lorri 401b'!N2746,'Retirement Calculator'!A:A,0),0),0)</f>
        <v>0</v>
      </c>
      <c r="K2746" s="455">
        <f t="shared" ca="1" si="133"/>
        <v>91625324.399116501</v>
      </c>
      <c r="L2746" s="455">
        <f t="shared" ca="1" si="134"/>
        <v>22081703180.187077</v>
      </c>
      <c r="M2746" s="471">
        <f t="shared" si="136"/>
        <v>0.05</v>
      </c>
      <c r="N2746" s="475">
        <f t="shared" si="137"/>
        <v>134624</v>
      </c>
    </row>
    <row r="2747" spans="7:14" ht="11.25" customHeight="1" x14ac:dyDescent="0.3">
      <c r="G2747" s="470"/>
      <c r="H2747" s="470">
        <v>2740</v>
      </c>
      <c r="I2747" s="455">
        <f t="shared" ca="1" si="135"/>
        <v>22081703180.187077</v>
      </c>
      <c r="J2747" s="455">
        <f t="array" ref="J2747">IFERROR(INDEX('Retirement Calculator'!K:K,MATCH('Lorri 401b'!N2747,'Retirement Calculator'!A:A,0),0),0)</f>
        <v>0</v>
      </c>
      <c r="K2747" s="455">
        <f t="shared" ca="1" si="133"/>
        <v>92007096.584112823</v>
      </c>
      <c r="L2747" s="455">
        <f t="shared" ca="1" si="134"/>
        <v>22173710276.771191</v>
      </c>
      <c r="M2747" s="471">
        <f t="shared" si="136"/>
        <v>0.05</v>
      </c>
      <c r="N2747" s="475">
        <f t="shared" si="137"/>
        <v>134655</v>
      </c>
    </row>
    <row r="2748" spans="7:14" ht="11.25" customHeight="1" x14ac:dyDescent="0.3">
      <c r="G2748" s="470"/>
      <c r="H2748" s="470">
        <v>2741</v>
      </c>
      <c r="I2748" s="455">
        <f t="shared" ca="1" si="135"/>
        <v>22173710276.771191</v>
      </c>
      <c r="J2748" s="455">
        <f t="array" ref="J2748">IFERROR(INDEX('Retirement Calculator'!K:K,MATCH('Lorri 401b'!N2748,'Retirement Calculator'!A:A,0),0),0)</f>
        <v>0</v>
      </c>
      <c r="K2748" s="455">
        <f t="shared" ca="1" si="133"/>
        <v>92390459.486546621</v>
      </c>
      <c r="L2748" s="455">
        <f t="shared" ca="1" si="134"/>
        <v>22266100736.257736</v>
      </c>
      <c r="M2748" s="471">
        <f t="shared" si="136"/>
        <v>0.05</v>
      </c>
      <c r="N2748" s="475">
        <f t="shared" si="137"/>
        <v>134685</v>
      </c>
    </row>
    <row r="2749" spans="7:14" ht="11.25" customHeight="1" x14ac:dyDescent="0.3">
      <c r="G2749" s="470"/>
      <c r="H2749" s="470">
        <v>2742</v>
      </c>
      <c r="I2749" s="455">
        <f t="shared" ca="1" si="135"/>
        <v>22266100736.257736</v>
      </c>
      <c r="J2749" s="455">
        <f t="array" ref="J2749">IFERROR(INDEX('Retirement Calculator'!K:K,MATCH('Lorri 401b'!N2749,'Retirement Calculator'!A:A,0),0),0)</f>
        <v>0</v>
      </c>
      <c r="K2749" s="455">
        <f t="shared" ca="1" si="133"/>
        <v>92775419.734407231</v>
      </c>
      <c r="L2749" s="455">
        <f t="shared" ca="1" si="134"/>
        <v>22358876155.992142</v>
      </c>
      <c r="M2749" s="471">
        <f t="shared" si="136"/>
        <v>0.05</v>
      </c>
      <c r="N2749" s="475">
        <f t="shared" si="137"/>
        <v>134716</v>
      </c>
    </row>
    <row r="2750" spans="7:14" ht="11.25" customHeight="1" x14ac:dyDescent="0.3">
      <c r="G2750" s="470"/>
      <c r="H2750" s="470">
        <v>2743</v>
      </c>
      <c r="I2750" s="455">
        <f t="shared" ca="1" si="135"/>
        <v>22358876155.992142</v>
      </c>
      <c r="J2750" s="455">
        <f t="array" ref="J2750">IFERROR(INDEX('Retirement Calculator'!K:K,MATCH('Lorri 401b'!N2750,'Retirement Calculator'!A:A,0),0),0)</f>
        <v>0</v>
      </c>
      <c r="K2750" s="455">
        <f t="shared" ca="1" si="133"/>
        <v>93161983.983300596</v>
      </c>
      <c r="L2750" s="455">
        <f t="shared" ca="1" si="134"/>
        <v>22452038139.975441</v>
      </c>
      <c r="M2750" s="471">
        <f t="shared" si="136"/>
        <v>0.05</v>
      </c>
      <c r="N2750" s="475">
        <f t="shared" si="137"/>
        <v>134746</v>
      </c>
    </row>
    <row r="2751" spans="7:14" ht="11.25" customHeight="1" x14ac:dyDescent="0.3">
      <c r="G2751" s="470"/>
      <c r="H2751" s="470">
        <v>2744</v>
      </c>
      <c r="I2751" s="455">
        <f t="shared" ca="1" si="135"/>
        <v>22452038139.975441</v>
      </c>
      <c r="J2751" s="455">
        <f t="array" ref="J2751">IFERROR(INDEX('Retirement Calculator'!K:K,MATCH('Lorri 401b'!N2751,'Retirement Calculator'!A:A,0),0),0)</f>
        <v>0</v>
      </c>
      <c r="K2751" s="455">
        <f t="shared" ca="1" si="133"/>
        <v>93550158.91656433</v>
      </c>
      <c r="L2751" s="455">
        <f t="shared" ca="1" si="134"/>
        <v>22545588298.892006</v>
      </c>
      <c r="M2751" s="471">
        <f t="shared" si="136"/>
        <v>0.05</v>
      </c>
      <c r="N2751" s="475">
        <f t="shared" si="137"/>
        <v>134777</v>
      </c>
    </row>
    <row r="2752" spans="7:14" ht="11.25" customHeight="1" x14ac:dyDescent="0.3">
      <c r="G2752" s="470"/>
      <c r="H2752" s="470">
        <v>2745</v>
      </c>
      <c r="I2752" s="455">
        <f t="shared" ca="1" si="135"/>
        <v>22545588298.892006</v>
      </c>
      <c r="J2752" s="455">
        <f t="array" ref="J2752">IFERROR(INDEX('Retirement Calculator'!K:K,MATCH('Lorri 401b'!N2752,'Retirement Calculator'!A:A,0),0),0)</f>
        <v>0</v>
      </c>
      <c r="K2752" s="455">
        <f t="shared" ca="1" si="133"/>
        <v>93939951.245383352</v>
      </c>
      <c r="L2752" s="455">
        <f t="shared" ca="1" si="134"/>
        <v>22639528250.13739</v>
      </c>
      <c r="M2752" s="471">
        <f t="shared" si="136"/>
        <v>0.05</v>
      </c>
      <c r="N2752" s="475">
        <f t="shared" si="137"/>
        <v>134808</v>
      </c>
    </row>
    <row r="2753" spans="7:14" ht="11.25" customHeight="1" x14ac:dyDescent="0.3">
      <c r="G2753" s="470"/>
      <c r="H2753" s="470">
        <v>2746</v>
      </c>
      <c r="I2753" s="455">
        <f t="shared" ca="1" si="135"/>
        <v>22639528250.13739</v>
      </c>
      <c r="J2753" s="455">
        <f t="array" ref="J2753">IFERROR(INDEX('Retirement Calculator'!K:K,MATCH('Lorri 401b'!N2753,'Retirement Calculator'!A:A,0),0),0)</f>
        <v>0</v>
      </c>
      <c r="K2753" s="455">
        <f t="shared" ca="1" si="133"/>
        <v>94331367.708905786</v>
      </c>
      <c r="L2753" s="455">
        <f t="shared" ca="1" si="134"/>
        <v>22733859617.846294</v>
      </c>
      <c r="M2753" s="471">
        <f t="shared" si="136"/>
        <v>0.05</v>
      </c>
      <c r="N2753" s="475">
        <f t="shared" si="137"/>
        <v>134836</v>
      </c>
    </row>
    <row r="2754" spans="7:14" ht="11.25" customHeight="1" x14ac:dyDescent="0.3">
      <c r="G2754" s="470"/>
      <c r="H2754" s="470">
        <v>2747</v>
      </c>
      <c r="I2754" s="455">
        <f t="shared" ca="1" si="135"/>
        <v>22733859617.846294</v>
      </c>
      <c r="J2754" s="455">
        <f t="array" ref="J2754">IFERROR(INDEX('Retirement Calculator'!K:K,MATCH('Lorri 401b'!N2754,'Retirement Calculator'!A:A,0),0),0)</f>
        <v>0</v>
      </c>
      <c r="K2754" s="455">
        <f t="shared" ca="1" si="133"/>
        <v>94724415.074359566</v>
      </c>
      <c r="L2754" s="455">
        <f t="shared" ca="1" si="134"/>
        <v>22828584032.920654</v>
      </c>
      <c r="M2754" s="471">
        <f t="shared" si="136"/>
        <v>0.05</v>
      </c>
      <c r="N2754" s="475">
        <f t="shared" si="137"/>
        <v>134867</v>
      </c>
    </row>
    <row r="2755" spans="7:14" ht="11.25" customHeight="1" x14ac:dyDescent="0.3">
      <c r="G2755" s="470"/>
      <c r="H2755" s="470">
        <v>2748</v>
      </c>
      <c r="I2755" s="455">
        <f t="shared" ca="1" si="135"/>
        <v>22828584032.920654</v>
      </c>
      <c r="J2755" s="455">
        <f t="array" ref="J2755">IFERROR(INDEX('Retirement Calculator'!K:K,MATCH('Lorri 401b'!N2755,'Retirement Calculator'!A:A,0),0),0)</f>
        <v>0</v>
      </c>
      <c r="K2755" s="455">
        <f t="shared" ca="1" si="133"/>
        <v>95119100.137169391</v>
      </c>
      <c r="L2755" s="455">
        <f t="shared" ca="1" si="134"/>
        <v>22923703133.057823</v>
      </c>
      <c r="M2755" s="471">
        <f t="shared" si="136"/>
        <v>0.05</v>
      </c>
      <c r="N2755" s="475">
        <f t="shared" si="137"/>
        <v>134897</v>
      </c>
    </row>
    <row r="2756" spans="7:14" ht="11.25" customHeight="1" x14ac:dyDescent="0.3">
      <c r="G2756" s="470"/>
      <c r="H2756" s="470">
        <v>2749</v>
      </c>
      <c r="I2756" s="455">
        <f t="shared" ca="1" si="135"/>
        <v>22923703133.057823</v>
      </c>
      <c r="J2756" s="455">
        <f t="array" ref="J2756">IFERROR(INDEX('Retirement Calculator'!K:K,MATCH('Lorri 401b'!N2756,'Retirement Calculator'!A:A,0),0),0)</f>
        <v>0</v>
      </c>
      <c r="K2756" s="455">
        <f t="shared" ca="1" si="133"/>
        <v>95515429.721074268</v>
      </c>
      <c r="L2756" s="455">
        <f t="shared" ca="1" si="134"/>
        <v>23019218562.778896</v>
      </c>
      <c r="M2756" s="471">
        <f t="shared" si="136"/>
        <v>0.05</v>
      </c>
      <c r="N2756" s="475">
        <f t="shared" si="137"/>
        <v>134928</v>
      </c>
    </row>
    <row r="2757" spans="7:14" ht="11.25" customHeight="1" x14ac:dyDescent="0.3">
      <c r="G2757" s="470"/>
      <c r="H2757" s="470">
        <v>2750</v>
      </c>
      <c r="I2757" s="455">
        <f t="shared" ca="1" si="135"/>
        <v>23019218562.778896</v>
      </c>
      <c r="J2757" s="455">
        <f t="array" ref="J2757">IFERROR(INDEX('Retirement Calculator'!K:K,MATCH('Lorri 401b'!N2757,'Retirement Calculator'!A:A,0),0),0)</f>
        <v>0</v>
      </c>
      <c r="K2757" s="455">
        <f t="shared" ca="1" si="133"/>
        <v>95913410.678245395</v>
      </c>
      <c r="L2757" s="455">
        <f t="shared" ca="1" si="134"/>
        <v>23115131973.457142</v>
      </c>
      <c r="M2757" s="471">
        <f t="shared" si="136"/>
        <v>0.05</v>
      </c>
      <c r="N2757" s="475">
        <f t="shared" si="137"/>
        <v>134958</v>
      </c>
    </row>
    <row r="2758" spans="7:14" ht="11.25" customHeight="1" x14ac:dyDescent="0.3">
      <c r="G2758" s="470"/>
      <c r="H2758" s="470">
        <v>2751</v>
      </c>
      <c r="I2758" s="455">
        <f t="shared" ca="1" si="135"/>
        <v>23115131973.457142</v>
      </c>
      <c r="J2758" s="455">
        <f t="array" ref="J2758">IFERROR(INDEX('Retirement Calculator'!K:K,MATCH('Lorri 401b'!N2758,'Retirement Calculator'!A:A,0),0),0)</f>
        <v>0</v>
      </c>
      <c r="K2758" s="455">
        <f t="shared" ca="1" si="133"/>
        <v>96313049.889404759</v>
      </c>
      <c r="L2758" s="455">
        <f t="shared" ca="1" si="134"/>
        <v>23211445023.346546</v>
      </c>
      <c r="M2758" s="471">
        <f t="shared" si="136"/>
        <v>0.05</v>
      </c>
      <c r="N2758" s="475">
        <f t="shared" si="137"/>
        <v>134989</v>
      </c>
    </row>
    <row r="2759" spans="7:14" ht="11.25" customHeight="1" x14ac:dyDescent="0.3">
      <c r="G2759" s="470"/>
      <c r="H2759" s="470">
        <v>2752</v>
      </c>
      <c r="I2759" s="455">
        <f t="shared" ca="1" si="135"/>
        <v>23211445023.346546</v>
      </c>
      <c r="J2759" s="455">
        <f t="array" ref="J2759">IFERROR(INDEX('Retirement Calculator'!K:K,MATCH('Lorri 401b'!N2759,'Retirement Calculator'!A:A,0),0),0)</f>
        <v>0</v>
      </c>
      <c r="K2759" s="455">
        <f t="shared" ca="1" si="133"/>
        <v>96714354.26394394</v>
      </c>
      <c r="L2759" s="455">
        <f t="shared" ca="1" si="134"/>
        <v>23308159377.610489</v>
      </c>
      <c r="M2759" s="471">
        <f t="shared" si="136"/>
        <v>0.05</v>
      </c>
      <c r="N2759" s="475">
        <f t="shared" si="137"/>
        <v>135020</v>
      </c>
    </row>
    <row r="2760" spans="7:14" ht="11.25" customHeight="1" x14ac:dyDescent="0.3">
      <c r="G2760" s="470"/>
      <c r="H2760" s="470">
        <v>2753</v>
      </c>
      <c r="I2760" s="455">
        <f t="shared" ca="1" si="135"/>
        <v>23308159377.610489</v>
      </c>
      <c r="J2760" s="455">
        <f t="array" ref="J2760">IFERROR(INDEX('Retirement Calculator'!K:K,MATCH('Lorri 401b'!N2760,'Retirement Calculator'!A:A,0),0),0)</f>
        <v>0</v>
      </c>
      <c r="K2760" s="455">
        <f t="shared" ca="1" si="133"/>
        <v>97117330.7400437</v>
      </c>
      <c r="L2760" s="455">
        <f t="shared" ca="1" si="134"/>
        <v>23405276708.350533</v>
      </c>
      <c r="M2760" s="471">
        <f t="shared" si="136"/>
        <v>0.05</v>
      </c>
      <c r="N2760" s="475">
        <f t="shared" si="137"/>
        <v>135050</v>
      </c>
    </row>
    <row r="2761" spans="7:14" ht="11.25" customHeight="1" x14ac:dyDescent="0.3">
      <c r="G2761" s="470"/>
      <c r="H2761" s="470">
        <v>2754</v>
      </c>
      <c r="I2761" s="455">
        <f t="shared" ca="1" si="135"/>
        <v>23405276708.350533</v>
      </c>
      <c r="J2761" s="455">
        <f t="array" ref="J2761">IFERROR(INDEX('Retirement Calculator'!K:K,MATCH('Lorri 401b'!N2761,'Retirement Calculator'!A:A,0),0),0)</f>
        <v>0</v>
      </c>
      <c r="K2761" s="455">
        <f t="shared" ca="1" si="133"/>
        <v>97521986.284793884</v>
      </c>
      <c r="L2761" s="455">
        <f t="shared" ca="1" si="134"/>
        <v>23502798694.635326</v>
      </c>
      <c r="M2761" s="471">
        <f t="shared" si="136"/>
        <v>0.05</v>
      </c>
      <c r="N2761" s="475">
        <f t="shared" si="137"/>
        <v>135081</v>
      </c>
    </row>
    <row r="2762" spans="7:14" ht="11.25" customHeight="1" x14ac:dyDescent="0.3">
      <c r="G2762" s="470"/>
      <c r="H2762" s="470">
        <v>2755</v>
      </c>
      <c r="I2762" s="455">
        <f t="shared" ca="1" si="135"/>
        <v>23502798694.635326</v>
      </c>
      <c r="J2762" s="455">
        <f t="array" ref="J2762">IFERROR(INDEX('Retirement Calculator'!K:K,MATCH('Lorri 401b'!N2762,'Retirement Calculator'!A:A,0),0),0)</f>
        <v>0</v>
      </c>
      <c r="K2762" s="455">
        <f t="shared" ca="1" si="133"/>
        <v>97928327.894313857</v>
      </c>
      <c r="L2762" s="455">
        <f t="shared" ca="1" si="134"/>
        <v>23600727022.52964</v>
      </c>
      <c r="M2762" s="471">
        <f t="shared" si="136"/>
        <v>0.05</v>
      </c>
      <c r="N2762" s="475">
        <f t="shared" si="137"/>
        <v>135111</v>
      </c>
    </row>
    <row r="2763" spans="7:14" ht="11.25" customHeight="1" x14ac:dyDescent="0.3">
      <c r="G2763" s="470"/>
      <c r="H2763" s="470">
        <v>2756</v>
      </c>
      <c r="I2763" s="455">
        <f t="shared" ca="1" si="135"/>
        <v>23600727022.52964</v>
      </c>
      <c r="J2763" s="455">
        <f t="array" ref="J2763">IFERROR(INDEX('Retirement Calculator'!K:K,MATCH('Lorri 401b'!N2763,'Retirement Calculator'!A:A,0),0),0)</f>
        <v>0</v>
      </c>
      <c r="K2763" s="455">
        <f t="shared" ca="1" si="133"/>
        <v>98336362.593873501</v>
      </c>
      <c r="L2763" s="455">
        <f t="shared" ca="1" si="134"/>
        <v>23699063385.123512</v>
      </c>
      <c r="M2763" s="471">
        <f t="shared" si="136"/>
        <v>0.05</v>
      </c>
      <c r="N2763" s="475">
        <f t="shared" si="137"/>
        <v>135142</v>
      </c>
    </row>
    <row r="2764" spans="7:14" ht="11.25" customHeight="1" x14ac:dyDescent="0.3">
      <c r="G2764" s="470"/>
      <c r="H2764" s="470">
        <v>2757</v>
      </c>
      <c r="I2764" s="455">
        <f t="shared" ca="1" si="135"/>
        <v>23699063385.123512</v>
      </c>
      <c r="J2764" s="455">
        <f t="array" ref="J2764">IFERROR(INDEX('Retirement Calculator'!K:K,MATCH('Lorri 401b'!N2764,'Retirement Calculator'!A:A,0),0),0)</f>
        <v>0</v>
      </c>
      <c r="K2764" s="455">
        <f t="shared" ca="1" si="133"/>
        <v>98746097.438014627</v>
      </c>
      <c r="L2764" s="455">
        <f t="shared" ca="1" si="134"/>
        <v>23797809482.561527</v>
      </c>
      <c r="M2764" s="471">
        <f t="shared" si="136"/>
        <v>0.05</v>
      </c>
      <c r="N2764" s="475">
        <f t="shared" si="137"/>
        <v>135173</v>
      </c>
    </row>
    <row r="2765" spans="7:14" ht="11.25" customHeight="1" x14ac:dyDescent="0.3">
      <c r="G2765" s="470"/>
      <c r="H2765" s="470">
        <v>2758</v>
      </c>
      <c r="I2765" s="455">
        <f t="shared" ca="1" si="135"/>
        <v>23797809482.561527</v>
      </c>
      <c r="J2765" s="455">
        <f t="array" ref="J2765">IFERROR(INDEX('Retirement Calculator'!K:K,MATCH('Lorri 401b'!N2765,'Retirement Calculator'!A:A,0),0),0)</f>
        <v>0</v>
      </c>
      <c r="K2765" s="455">
        <f t="shared" ca="1" si="133"/>
        <v>99157539.510673031</v>
      </c>
      <c r="L2765" s="455">
        <f t="shared" ca="1" si="134"/>
        <v>23896967022.072201</v>
      </c>
      <c r="M2765" s="471">
        <f t="shared" si="136"/>
        <v>0.05</v>
      </c>
      <c r="N2765" s="475">
        <f t="shared" si="137"/>
        <v>135201</v>
      </c>
    </row>
    <row r="2766" spans="7:14" ht="11.25" customHeight="1" x14ac:dyDescent="0.3">
      <c r="G2766" s="470"/>
      <c r="H2766" s="470">
        <v>2759</v>
      </c>
      <c r="I2766" s="455">
        <f t="shared" ca="1" si="135"/>
        <v>23896967022.072201</v>
      </c>
      <c r="J2766" s="455">
        <f t="array" ref="J2766">IFERROR(INDEX('Retirement Calculator'!K:K,MATCH('Lorri 401b'!N2766,'Retirement Calculator'!A:A,0),0),0)</f>
        <v>0</v>
      </c>
      <c r="K2766" s="455">
        <f t="shared" ca="1" si="133"/>
        <v>99570695.925300837</v>
      </c>
      <c r="L2766" s="455">
        <f t="shared" ca="1" si="134"/>
        <v>23996537717.997501</v>
      </c>
      <c r="M2766" s="471">
        <f t="shared" si="136"/>
        <v>0.05</v>
      </c>
      <c r="N2766" s="475">
        <f t="shared" si="137"/>
        <v>135232</v>
      </c>
    </row>
    <row r="2767" spans="7:14" ht="11.25" customHeight="1" x14ac:dyDescent="0.3">
      <c r="G2767" s="470"/>
      <c r="H2767" s="470">
        <v>2760</v>
      </c>
      <c r="I2767" s="455">
        <f t="shared" ca="1" si="135"/>
        <v>23996537717.997501</v>
      </c>
      <c r="J2767" s="455">
        <f t="array" ref="J2767">IFERROR(INDEX('Retirement Calculator'!K:K,MATCH('Lorri 401b'!N2767,'Retirement Calculator'!A:A,0),0),0)</f>
        <v>0</v>
      </c>
      <c r="K2767" s="455">
        <f t="shared" ca="1" si="133"/>
        <v>99985573.824989587</v>
      </c>
      <c r="L2767" s="455">
        <f t="shared" ca="1" si="134"/>
        <v>24096523291.822491</v>
      </c>
      <c r="M2767" s="471">
        <f t="shared" si="136"/>
        <v>0.05</v>
      </c>
      <c r="N2767" s="475">
        <f t="shared" si="137"/>
        <v>135262</v>
      </c>
    </row>
    <row r="2768" spans="7:14" ht="11.25" customHeight="1" x14ac:dyDescent="0.3">
      <c r="G2768" s="470"/>
      <c r="H2768" s="470">
        <v>2761</v>
      </c>
      <c r="I2768" s="455">
        <f t="shared" ca="1" si="135"/>
        <v>24096523291.822491</v>
      </c>
      <c r="J2768" s="455">
        <f t="array" ref="J2768">IFERROR(INDEX('Retirement Calculator'!K:K,MATCH('Lorri 401b'!N2768,'Retirement Calculator'!A:A,0),0),0)</f>
        <v>0</v>
      </c>
      <c r="K2768" s="455">
        <f t="shared" ca="1" si="133"/>
        <v>100402180.38259371</v>
      </c>
      <c r="L2768" s="455">
        <f t="shared" ca="1" si="134"/>
        <v>24196925472.205086</v>
      </c>
      <c r="M2768" s="471">
        <f t="shared" si="136"/>
        <v>0.05</v>
      </c>
      <c r="N2768" s="475">
        <f t="shared" si="137"/>
        <v>135293</v>
      </c>
    </row>
    <row r="2769" spans="7:14" ht="11.25" customHeight="1" x14ac:dyDescent="0.3">
      <c r="G2769" s="470"/>
      <c r="H2769" s="470">
        <v>2762</v>
      </c>
      <c r="I2769" s="455">
        <f t="shared" ca="1" si="135"/>
        <v>24196925472.205086</v>
      </c>
      <c r="J2769" s="455">
        <f t="array" ref="J2769">IFERROR(INDEX('Retirement Calculator'!K:K,MATCH('Lorri 401b'!N2769,'Retirement Calculator'!A:A,0),0),0)</f>
        <v>0</v>
      </c>
      <c r="K2769" s="455">
        <f t="shared" ca="1" si="133"/>
        <v>100820522.80085452</v>
      </c>
      <c r="L2769" s="455">
        <f t="shared" ca="1" si="134"/>
        <v>24297745995.005939</v>
      </c>
      <c r="M2769" s="471">
        <f t="shared" si="136"/>
        <v>0.05</v>
      </c>
      <c r="N2769" s="475">
        <f t="shared" si="137"/>
        <v>135323</v>
      </c>
    </row>
    <row r="2770" spans="7:14" ht="11.25" customHeight="1" x14ac:dyDescent="0.3">
      <c r="G2770" s="470"/>
      <c r="H2770" s="470">
        <v>2763</v>
      </c>
      <c r="I2770" s="455">
        <f t="shared" ca="1" si="135"/>
        <v>24297745995.005939</v>
      </c>
      <c r="J2770" s="455">
        <f t="array" ref="J2770">IFERROR(INDEX('Retirement Calculator'!K:K,MATCH('Lorri 401b'!N2770,'Retirement Calculator'!A:A,0),0),0)</f>
        <v>0</v>
      </c>
      <c r="K2770" s="455">
        <f t="shared" ca="1" si="133"/>
        <v>101240608.31252475</v>
      </c>
      <c r="L2770" s="455">
        <f t="shared" ca="1" si="134"/>
        <v>24398986603.318462</v>
      </c>
      <c r="M2770" s="471">
        <f t="shared" si="136"/>
        <v>0.05</v>
      </c>
      <c r="N2770" s="475">
        <f t="shared" si="137"/>
        <v>135354</v>
      </c>
    </row>
    <row r="2771" spans="7:14" ht="11.25" customHeight="1" x14ac:dyDescent="0.3">
      <c r="G2771" s="470"/>
      <c r="H2771" s="470">
        <v>2764</v>
      </c>
      <c r="I2771" s="455">
        <f t="shared" ca="1" si="135"/>
        <v>24398986603.318462</v>
      </c>
      <c r="J2771" s="455">
        <f t="array" ref="J2771">IFERROR(INDEX('Retirement Calculator'!K:K,MATCH('Lorri 401b'!N2771,'Retirement Calculator'!A:A,0),0),0)</f>
        <v>0</v>
      </c>
      <c r="K2771" s="455">
        <f t="shared" ca="1" si="133"/>
        <v>101662444.18049359</v>
      </c>
      <c r="L2771" s="455">
        <f t="shared" ca="1" si="134"/>
        <v>24500649047.498955</v>
      </c>
      <c r="M2771" s="471">
        <f t="shared" si="136"/>
        <v>0.05</v>
      </c>
      <c r="N2771" s="475">
        <f t="shared" si="137"/>
        <v>135385</v>
      </c>
    </row>
    <row r="2772" spans="7:14" ht="11.25" customHeight="1" x14ac:dyDescent="0.3">
      <c r="G2772" s="470"/>
      <c r="H2772" s="470">
        <v>2765</v>
      </c>
      <c r="I2772" s="455">
        <f t="shared" ca="1" si="135"/>
        <v>24500649047.498955</v>
      </c>
      <c r="J2772" s="455">
        <f t="array" ref="J2772">IFERROR(INDEX('Retirement Calculator'!K:K,MATCH('Lorri 401b'!N2772,'Retirement Calculator'!A:A,0),0),0)</f>
        <v>0</v>
      </c>
      <c r="K2772" s="455">
        <f t="shared" ca="1" si="133"/>
        <v>102086037.69791231</v>
      </c>
      <c r="L2772" s="455">
        <f t="shared" ca="1" si="134"/>
        <v>24602735085.196869</v>
      </c>
      <c r="M2772" s="471">
        <f t="shared" si="136"/>
        <v>0.05</v>
      </c>
      <c r="N2772" s="475">
        <f t="shared" si="137"/>
        <v>135415</v>
      </c>
    </row>
    <row r="2773" spans="7:14" ht="11.25" customHeight="1" x14ac:dyDescent="0.3">
      <c r="G2773" s="470"/>
      <c r="H2773" s="470">
        <v>2766</v>
      </c>
      <c r="I2773" s="455">
        <f t="shared" ca="1" si="135"/>
        <v>24602735085.196869</v>
      </c>
      <c r="J2773" s="455">
        <f t="array" ref="J2773">IFERROR(INDEX('Retirement Calculator'!K:K,MATCH('Lorri 401b'!N2773,'Retirement Calculator'!A:A,0),0),0)</f>
        <v>0</v>
      </c>
      <c r="K2773" s="455">
        <f t="shared" ca="1" si="133"/>
        <v>102511396.18832028</v>
      </c>
      <c r="L2773" s="455">
        <f t="shared" ca="1" si="134"/>
        <v>24705246481.385189</v>
      </c>
      <c r="M2773" s="471">
        <f t="shared" si="136"/>
        <v>0.05</v>
      </c>
      <c r="N2773" s="475">
        <f t="shared" si="137"/>
        <v>135446</v>
      </c>
    </row>
    <row r="2774" spans="7:14" ht="11.25" customHeight="1" x14ac:dyDescent="0.3">
      <c r="G2774" s="470"/>
      <c r="H2774" s="470">
        <v>2767</v>
      </c>
      <c r="I2774" s="455">
        <f t="shared" ca="1" si="135"/>
        <v>24705246481.385189</v>
      </c>
      <c r="J2774" s="455">
        <f t="array" ref="J2774">IFERROR(INDEX('Retirement Calculator'!K:K,MATCH('Lorri 401b'!N2774,'Retirement Calculator'!A:A,0),0),0)</f>
        <v>0</v>
      </c>
      <c r="K2774" s="455">
        <f t="shared" ca="1" si="133"/>
        <v>102938527.00577162</v>
      </c>
      <c r="L2774" s="455">
        <f t="shared" ca="1" si="134"/>
        <v>24808185008.390961</v>
      </c>
      <c r="M2774" s="471">
        <f t="shared" si="136"/>
        <v>0.05</v>
      </c>
      <c r="N2774" s="475">
        <f t="shared" si="137"/>
        <v>135476</v>
      </c>
    </row>
    <row r="2775" spans="7:14" ht="11.25" customHeight="1" x14ac:dyDescent="0.3">
      <c r="G2775" s="470"/>
      <c r="H2775" s="470">
        <v>2768</v>
      </c>
      <c r="I2775" s="455">
        <f t="shared" ca="1" si="135"/>
        <v>24808185008.390961</v>
      </c>
      <c r="J2775" s="455">
        <f t="array" ref="J2775">IFERROR(INDEX('Retirement Calculator'!K:K,MATCH('Lorri 401b'!N2775,'Retirement Calculator'!A:A,0),0),0)</f>
        <v>0</v>
      </c>
      <c r="K2775" s="455">
        <f t="shared" ca="1" si="133"/>
        <v>103367437.53496234</v>
      </c>
      <c r="L2775" s="455">
        <f t="shared" ca="1" si="134"/>
        <v>24911552445.925922</v>
      </c>
      <c r="M2775" s="471">
        <f t="shared" si="136"/>
        <v>0.05</v>
      </c>
      <c r="N2775" s="475">
        <f t="shared" si="137"/>
        <v>135507</v>
      </c>
    </row>
    <row r="2776" spans="7:14" ht="11.25" customHeight="1" x14ac:dyDescent="0.3">
      <c r="G2776" s="470"/>
      <c r="H2776" s="470">
        <v>2769</v>
      </c>
      <c r="I2776" s="455">
        <f t="shared" ca="1" si="135"/>
        <v>24911552445.925922</v>
      </c>
      <c r="J2776" s="455">
        <f t="array" ref="J2776">IFERROR(INDEX('Retirement Calculator'!K:K,MATCH('Lorri 401b'!N2776,'Retirement Calculator'!A:A,0),0),0)</f>
        <v>0</v>
      </c>
      <c r="K2776" s="455">
        <f t="shared" ca="1" si="133"/>
        <v>103798135.19135801</v>
      </c>
      <c r="L2776" s="455">
        <f t="shared" ca="1" si="134"/>
        <v>25015350581.117279</v>
      </c>
      <c r="M2776" s="471">
        <f t="shared" si="136"/>
        <v>0.05</v>
      </c>
      <c r="N2776" s="475">
        <f t="shared" si="137"/>
        <v>135538</v>
      </c>
    </row>
    <row r="2777" spans="7:14" ht="11.25" customHeight="1" x14ac:dyDescent="0.3">
      <c r="G2777" s="470"/>
      <c r="H2777" s="470">
        <v>2770</v>
      </c>
      <c r="I2777" s="455">
        <f t="shared" ca="1" si="135"/>
        <v>25015350581.117279</v>
      </c>
      <c r="J2777" s="455">
        <f t="array" ref="J2777">IFERROR(INDEX('Retirement Calculator'!K:K,MATCH('Lorri 401b'!N2777,'Retirement Calculator'!A:A,0),0),0)</f>
        <v>0</v>
      </c>
      <c r="K2777" s="455">
        <f t="shared" ca="1" si="133"/>
        <v>104230627.42132199</v>
      </c>
      <c r="L2777" s="455">
        <f t="shared" ca="1" si="134"/>
        <v>25119581208.538601</v>
      </c>
      <c r="M2777" s="471">
        <f t="shared" si="136"/>
        <v>0.05</v>
      </c>
      <c r="N2777" s="475">
        <f t="shared" si="137"/>
        <v>135566</v>
      </c>
    </row>
    <row r="2778" spans="7:14" ht="11.25" customHeight="1" x14ac:dyDescent="0.3">
      <c r="G2778" s="470"/>
      <c r="H2778" s="470">
        <v>2771</v>
      </c>
      <c r="I2778" s="455">
        <f t="shared" ca="1" si="135"/>
        <v>25119581208.538601</v>
      </c>
      <c r="J2778" s="455">
        <f t="array" ref="J2778">IFERROR(INDEX('Retirement Calculator'!K:K,MATCH('Lorri 401b'!N2778,'Retirement Calculator'!A:A,0),0),0)</f>
        <v>0</v>
      </c>
      <c r="K2778" s="455">
        <f t="shared" ca="1" si="133"/>
        <v>104664921.70224416</v>
      </c>
      <c r="L2778" s="455">
        <f t="shared" ca="1" si="134"/>
        <v>25224246130.240845</v>
      </c>
      <c r="M2778" s="471">
        <f t="shared" si="136"/>
        <v>0.05</v>
      </c>
      <c r="N2778" s="475">
        <f t="shared" si="137"/>
        <v>135597</v>
      </c>
    </row>
    <row r="2779" spans="7:14" ht="11.25" customHeight="1" x14ac:dyDescent="0.3">
      <c r="G2779" s="470"/>
      <c r="H2779" s="470">
        <v>2772</v>
      </c>
      <c r="I2779" s="455">
        <f t="shared" ca="1" si="135"/>
        <v>25224246130.240845</v>
      </c>
      <c r="J2779" s="455">
        <f t="array" ref="J2779">IFERROR(INDEX('Retirement Calculator'!K:K,MATCH('Lorri 401b'!N2779,'Retirement Calculator'!A:A,0),0),0)</f>
        <v>0</v>
      </c>
      <c r="K2779" s="455">
        <f t="shared" ca="1" si="133"/>
        <v>105101025.54267019</v>
      </c>
      <c r="L2779" s="455">
        <f t="shared" ca="1" si="134"/>
        <v>25329347155.783516</v>
      </c>
      <c r="M2779" s="471">
        <f t="shared" si="136"/>
        <v>0.05</v>
      </c>
      <c r="N2779" s="475">
        <f t="shared" si="137"/>
        <v>135627</v>
      </c>
    </row>
    <row r="2780" spans="7:14" ht="11.25" customHeight="1" x14ac:dyDescent="0.3">
      <c r="G2780" s="470"/>
      <c r="H2780" s="470">
        <v>2773</v>
      </c>
      <c r="I2780" s="455">
        <f t="shared" ca="1" si="135"/>
        <v>25329347155.783516</v>
      </c>
      <c r="J2780" s="455">
        <f t="array" ref="J2780">IFERROR(INDEX('Retirement Calculator'!K:K,MATCH('Lorri 401b'!N2780,'Retirement Calculator'!A:A,0),0),0)</f>
        <v>0</v>
      </c>
      <c r="K2780" s="455">
        <f t="shared" ca="1" si="133"/>
        <v>105538946.48243132</v>
      </c>
      <c r="L2780" s="455">
        <f t="shared" ca="1" si="134"/>
        <v>25434886102.265945</v>
      </c>
      <c r="M2780" s="471">
        <f t="shared" si="136"/>
        <v>0.05</v>
      </c>
      <c r="N2780" s="475">
        <f t="shared" si="137"/>
        <v>135658</v>
      </c>
    </row>
    <row r="2781" spans="7:14" ht="11.25" customHeight="1" x14ac:dyDescent="0.3">
      <c r="G2781" s="470"/>
      <c r="H2781" s="470">
        <v>2774</v>
      </c>
      <c r="I2781" s="455">
        <f t="shared" ca="1" si="135"/>
        <v>25434886102.265945</v>
      </c>
      <c r="J2781" s="455">
        <f t="array" ref="J2781">IFERROR(INDEX('Retirement Calculator'!K:K,MATCH('Lorri 401b'!N2781,'Retirement Calculator'!A:A,0),0),0)</f>
        <v>0</v>
      </c>
      <c r="K2781" s="455">
        <f t="shared" ca="1" si="133"/>
        <v>105978692.09277478</v>
      </c>
      <c r="L2781" s="455">
        <f t="shared" ca="1" si="134"/>
        <v>25540864794.358719</v>
      </c>
      <c r="M2781" s="471">
        <f t="shared" si="136"/>
        <v>0.05</v>
      </c>
      <c r="N2781" s="475">
        <f t="shared" si="137"/>
        <v>135688</v>
      </c>
    </row>
    <row r="2782" spans="7:14" ht="11.25" customHeight="1" x14ac:dyDescent="0.3">
      <c r="G2782" s="470"/>
      <c r="H2782" s="470">
        <v>2775</v>
      </c>
      <c r="I2782" s="455">
        <f t="shared" ca="1" si="135"/>
        <v>25540864794.358719</v>
      </c>
      <c r="J2782" s="455">
        <f t="array" ref="J2782">IFERROR(INDEX('Retirement Calculator'!K:K,MATCH('Lorri 401b'!N2782,'Retirement Calculator'!A:A,0),0),0)</f>
        <v>0</v>
      </c>
      <c r="K2782" s="455">
        <f t="shared" ca="1" si="133"/>
        <v>106420269.97649466</v>
      </c>
      <c r="L2782" s="455">
        <f t="shared" ca="1" si="134"/>
        <v>25647285064.335213</v>
      </c>
      <c r="M2782" s="471">
        <f t="shared" si="136"/>
        <v>0.05</v>
      </c>
      <c r="N2782" s="475">
        <f t="shared" si="137"/>
        <v>135719</v>
      </c>
    </row>
    <row r="2783" spans="7:14" ht="11.25" customHeight="1" x14ac:dyDescent="0.3">
      <c r="G2783" s="470"/>
      <c r="H2783" s="470">
        <v>2776</v>
      </c>
      <c r="I2783" s="455">
        <f t="shared" ca="1" si="135"/>
        <v>25647285064.335213</v>
      </c>
      <c r="J2783" s="455">
        <f t="array" ref="J2783">IFERROR(INDEX('Retirement Calculator'!K:K,MATCH('Lorri 401b'!N2783,'Retirement Calculator'!A:A,0),0),0)</f>
        <v>0</v>
      </c>
      <c r="K2783" s="455">
        <f t="shared" ca="1" si="133"/>
        <v>106863687.76806338</v>
      </c>
      <c r="L2783" s="455">
        <f t="shared" ca="1" si="134"/>
        <v>25754148752.103275</v>
      </c>
      <c r="M2783" s="471">
        <f t="shared" si="136"/>
        <v>0.05</v>
      </c>
      <c r="N2783" s="475">
        <f t="shared" si="137"/>
        <v>135750</v>
      </c>
    </row>
    <row r="2784" spans="7:14" ht="11.25" customHeight="1" x14ac:dyDescent="0.3">
      <c r="G2784" s="470"/>
      <c r="H2784" s="470">
        <v>2777</v>
      </c>
      <c r="I2784" s="455">
        <f t="shared" ca="1" si="135"/>
        <v>25754148752.103275</v>
      </c>
      <c r="J2784" s="455">
        <f t="array" ref="J2784">IFERROR(INDEX('Retirement Calculator'!K:K,MATCH('Lorri 401b'!N2784,'Retirement Calculator'!A:A,0),0),0)</f>
        <v>0</v>
      </c>
      <c r="K2784" s="455">
        <f t="shared" ca="1" si="133"/>
        <v>107308953.13376364</v>
      </c>
      <c r="L2784" s="455">
        <f t="shared" ca="1" si="134"/>
        <v>25861457705.237038</v>
      </c>
      <c r="M2784" s="471">
        <f t="shared" si="136"/>
        <v>0.05</v>
      </c>
      <c r="N2784" s="475">
        <f t="shared" si="137"/>
        <v>135780</v>
      </c>
    </row>
    <row r="2785" spans="7:14" ht="11.25" customHeight="1" x14ac:dyDescent="0.3">
      <c r="G2785" s="470"/>
      <c r="H2785" s="470">
        <v>2778</v>
      </c>
      <c r="I2785" s="455">
        <f t="shared" ca="1" si="135"/>
        <v>25861457705.237038</v>
      </c>
      <c r="J2785" s="455">
        <f t="array" ref="J2785">IFERROR(INDEX('Retirement Calculator'!K:K,MATCH('Lorri 401b'!N2785,'Retirement Calculator'!A:A,0),0),0)</f>
        <v>0</v>
      </c>
      <c r="K2785" s="455">
        <f t="shared" ca="1" si="133"/>
        <v>107756073.77182099</v>
      </c>
      <c r="L2785" s="455">
        <f t="shared" ca="1" si="134"/>
        <v>25969213779.008858</v>
      </c>
      <c r="M2785" s="471">
        <f t="shared" si="136"/>
        <v>0.05</v>
      </c>
      <c r="N2785" s="475">
        <f t="shared" si="137"/>
        <v>135811</v>
      </c>
    </row>
    <row r="2786" spans="7:14" ht="11.25" customHeight="1" x14ac:dyDescent="0.3">
      <c r="G2786" s="470"/>
      <c r="H2786" s="470">
        <v>2779</v>
      </c>
      <c r="I2786" s="455">
        <f t="shared" ca="1" si="135"/>
        <v>25969213779.008858</v>
      </c>
      <c r="J2786" s="455">
        <f t="array" ref="J2786">IFERROR(INDEX('Retirement Calculator'!K:K,MATCH('Lorri 401b'!N2786,'Retirement Calculator'!A:A,0),0),0)</f>
        <v>0</v>
      </c>
      <c r="K2786" s="455">
        <f t="shared" ca="1" si="133"/>
        <v>108205057.4125369</v>
      </c>
      <c r="L2786" s="455">
        <f t="shared" ca="1" si="134"/>
        <v>26077418836.421394</v>
      </c>
      <c r="M2786" s="471">
        <f t="shared" si="136"/>
        <v>0.05</v>
      </c>
      <c r="N2786" s="475">
        <f t="shared" si="137"/>
        <v>135841</v>
      </c>
    </row>
    <row r="2787" spans="7:14" ht="11.25" customHeight="1" x14ac:dyDescent="0.3">
      <c r="G2787" s="470"/>
      <c r="H2787" s="470">
        <v>2780</v>
      </c>
      <c r="I2787" s="455">
        <f t="shared" ca="1" si="135"/>
        <v>26077418836.421394</v>
      </c>
      <c r="J2787" s="455">
        <f t="array" ref="J2787">IFERROR(INDEX('Retirement Calculator'!K:K,MATCH('Lorri 401b'!N2787,'Retirement Calculator'!A:A,0),0),0)</f>
        <v>0</v>
      </c>
      <c r="K2787" s="455">
        <f t="shared" ca="1" si="133"/>
        <v>108655911.81842248</v>
      </c>
      <c r="L2787" s="455">
        <f t="shared" ca="1" si="134"/>
        <v>26186074748.239819</v>
      </c>
      <c r="M2787" s="471">
        <f t="shared" si="136"/>
        <v>0.05</v>
      </c>
      <c r="N2787" s="475">
        <f t="shared" si="137"/>
        <v>135872</v>
      </c>
    </row>
    <row r="2788" spans="7:14" ht="11.25" customHeight="1" x14ac:dyDescent="0.3">
      <c r="G2788" s="470"/>
      <c r="H2788" s="470">
        <v>2781</v>
      </c>
      <c r="I2788" s="455">
        <f t="shared" ca="1" si="135"/>
        <v>26186074748.239819</v>
      </c>
      <c r="J2788" s="455">
        <f t="array" ref="J2788">IFERROR(INDEX('Retirement Calculator'!K:K,MATCH('Lorri 401b'!N2788,'Retirement Calculator'!A:A,0),0),0)</f>
        <v>0</v>
      </c>
      <c r="K2788" s="455">
        <f t="shared" ca="1" si="133"/>
        <v>109108644.78433257</v>
      </c>
      <c r="L2788" s="455">
        <f t="shared" ca="1" si="134"/>
        <v>26295183393.024151</v>
      </c>
      <c r="M2788" s="471">
        <f t="shared" si="136"/>
        <v>0.05</v>
      </c>
      <c r="N2788" s="475">
        <f t="shared" si="137"/>
        <v>135903</v>
      </c>
    </row>
    <row r="2789" spans="7:14" ht="11.25" customHeight="1" x14ac:dyDescent="0.3">
      <c r="G2789" s="470"/>
      <c r="H2789" s="470">
        <v>2782</v>
      </c>
      <c r="I2789" s="455">
        <f t="shared" ca="1" si="135"/>
        <v>26295183393.024151</v>
      </c>
      <c r="J2789" s="455">
        <f t="array" ref="J2789">IFERROR(INDEX('Retirement Calculator'!K:K,MATCH('Lorri 401b'!N2789,'Retirement Calculator'!A:A,0),0),0)</f>
        <v>0</v>
      </c>
      <c r="K2789" s="455">
        <f t="shared" ca="1" si="133"/>
        <v>109563264.13760063</v>
      </c>
      <c r="L2789" s="455">
        <f t="shared" ca="1" si="134"/>
        <v>26404746657.161751</v>
      </c>
      <c r="M2789" s="471">
        <f t="shared" si="136"/>
        <v>0.05</v>
      </c>
      <c r="N2789" s="475">
        <f t="shared" si="137"/>
        <v>135932</v>
      </c>
    </row>
    <row r="2790" spans="7:14" ht="11.25" customHeight="1" x14ac:dyDescent="0.3">
      <c r="G2790" s="470"/>
      <c r="H2790" s="470">
        <v>2783</v>
      </c>
      <c r="I2790" s="455">
        <f t="shared" ca="1" si="135"/>
        <v>26404746657.161751</v>
      </c>
      <c r="J2790" s="455">
        <f t="array" ref="J2790">IFERROR(INDEX('Retirement Calculator'!K:K,MATCH('Lorri 401b'!N2790,'Retirement Calculator'!A:A,0),0),0)</f>
        <v>0</v>
      </c>
      <c r="K2790" s="455">
        <f t="shared" ca="1" si="133"/>
        <v>110019777.73817396</v>
      </c>
      <c r="L2790" s="455">
        <f t="shared" ca="1" si="134"/>
        <v>26514766434.899925</v>
      </c>
      <c r="M2790" s="471">
        <f t="shared" si="136"/>
        <v>0.05</v>
      </c>
      <c r="N2790" s="475">
        <f t="shared" si="137"/>
        <v>135963</v>
      </c>
    </row>
    <row r="2791" spans="7:14" ht="11.25" customHeight="1" x14ac:dyDescent="0.3">
      <c r="G2791" s="470"/>
      <c r="H2791" s="470">
        <v>2784</v>
      </c>
      <c r="I2791" s="455">
        <f t="shared" ca="1" si="135"/>
        <v>26514766434.899925</v>
      </c>
      <c r="J2791" s="455">
        <f t="array" ref="J2791">IFERROR(INDEX('Retirement Calculator'!K:K,MATCH('Lorri 401b'!N2791,'Retirement Calculator'!A:A,0),0),0)</f>
        <v>0</v>
      </c>
      <c r="K2791" s="455">
        <f t="shared" ca="1" si="133"/>
        <v>110478193.47874969</v>
      </c>
      <c r="L2791" s="455">
        <f t="shared" ca="1" si="134"/>
        <v>26625244628.378674</v>
      </c>
      <c r="M2791" s="471">
        <f t="shared" si="136"/>
        <v>0.05</v>
      </c>
      <c r="N2791" s="475">
        <f t="shared" si="137"/>
        <v>135993</v>
      </c>
    </row>
    <row r="2792" spans="7:14" ht="11.25" customHeight="1" x14ac:dyDescent="0.3">
      <c r="G2792" s="470"/>
      <c r="H2792" s="470">
        <v>2785</v>
      </c>
      <c r="I2792" s="455">
        <f t="shared" ca="1" si="135"/>
        <v>26625244628.378674</v>
      </c>
      <c r="J2792" s="455">
        <f t="array" ref="J2792">IFERROR(INDEX('Retirement Calculator'!K:K,MATCH('Lorri 401b'!N2792,'Retirement Calculator'!A:A,0),0),0)</f>
        <v>0</v>
      </c>
      <c r="K2792" s="455">
        <f t="shared" ca="1" si="133"/>
        <v>110938519.28491114</v>
      </c>
      <c r="L2792" s="455">
        <f t="shared" ca="1" si="134"/>
        <v>26736183147.663586</v>
      </c>
      <c r="M2792" s="471">
        <f t="shared" si="136"/>
        <v>0.05</v>
      </c>
      <c r="N2792" s="475">
        <f t="shared" si="137"/>
        <v>136024</v>
      </c>
    </row>
    <row r="2793" spans="7:14" ht="11.25" customHeight="1" x14ac:dyDescent="0.3">
      <c r="G2793" s="470"/>
      <c r="H2793" s="470">
        <v>2786</v>
      </c>
      <c r="I2793" s="455">
        <f t="shared" ca="1" si="135"/>
        <v>26736183147.663586</v>
      </c>
      <c r="J2793" s="455">
        <f t="array" ref="J2793">IFERROR(INDEX('Retirement Calculator'!K:K,MATCH('Lorri 401b'!N2793,'Retirement Calculator'!A:A,0),0),0)</f>
        <v>0</v>
      </c>
      <c r="K2793" s="455">
        <f t="shared" ca="1" si="133"/>
        <v>111400763.11526494</v>
      </c>
      <c r="L2793" s="455">
        <f t="shared" ca="1" si="134"/>
        <v>26847583910.778851</v>
      </c>
      <c r="M2793" s="471">
        <f t="shared" si="136"/>
        <v>0.05</v>
      </c>
      <c r="N2793" s="475">
        <f t="shared" si="137"/>
        <v>136054</v>
      </c>
    </row>
    <row r="2794" spans="7:14" ht="11.25" customHeight="1" x14ac:dyDescent="0.3">
      <c r="G2794" s="470"/>
      <c r="H2794" s="470">
        <v>2787</v>
      </c>
      <c r="I2794" s="455">
        <f t="shared" ca="1" si="135"/>
        <v>26847583910.778851</v>
      </c>
      <c r="J2794" s="455">
        <f t="array" ref="J2794">IFERROR(INDEX('Retirement Calculator'!K:K,MATCH('Lorri 401b'!N2794,'Retirement Calculator'!A:A,0),0),0)</f>
        <v>0</v>
      </c>
      <c r="K2794" s="455">
        <f t="shared" ca="1" si="133"/>
        <v>111864932.96157855</v>
      </c>
      <c r="L2794" s="455">
        <f t="shared" ca="1" si="134"/>
        <v>26959448843.740429</v>
      </c>
      <c r="M2794" s="471">
        <f t="shared" si="136"/>
        <v>0.05</v>
      </c>
      <c r="N2794" s="475">
        <f t="shared" si="137"/>
        <v>136085</v>
      </c>
    </row>
    <row r="2795" spans="7:14" ht="11.25" customHeight="1" x14ac:dyDescent="0.3">
      <c r="G2795" s="470"/>
      <c r="H2795" s="470">
        <v>2788</v>
      </c>
      <c r="I2795" s="455">
        <f t="shared" ca="1" si="135"/>
        <v>26959448843.740429</v>
      </c>
      <c r="J2795" s="455">
        <f t="array" ref="J2795">IFERROR(INDEX('Retirement Calculator'!K:K,MATCH('Lorri 401b'!N2795,'Retirement Calculator'!A:A,0),0),0)</f>
        <v>0</v>
      </c>
      <c r="K2795" s="455">
        <f t="shared" ca="1" si="133"/>
        <v>112331036.84891845</v>
      </c>
      <c r="L2795" s="455">
        <f t="shared" ca="1" si="134"/>
        <v>27071779880.589348</v>
      </c>
      <c r="M2795" s="471">
        <f t="shared" si="136"/>
        <v>0.05</v>
      </c>
      <c r="N2795" s="475">
        <f t="shared" si="137"/>
        <v>136116</v>
      </c>
    </row>
    <row r="2796" spans="7:14" ht="11.25" customHeight="1" x14ac:dyDescent="0.3">
      <c r="G2796" s="470"/>
      <c r="H2796" s="470">
        <v>2789</v>
      </c>
      <c r="I2796" s="455">
        <f t="shared" ca="1" si="135"/>
        <v>27071779880.589348</v>
      </c>
      <c r="J2796" s="455">
        <f t="array" ref="J2796">IFERROR(INDEX('Retirement Calculator'!K:K,MATCH('Lorri 401b'!N2796,'Retirement Calculator'!A:A,0),0),0)</f>
        <v>0</v>
      </c>
      <c r="K2796" s="455">
        <f t="shared" ca="1" si="133"/>
        <v>112799082.83578897</v>
      </c>
      <c r="L2796" s="455">
        <f t="shared" ca="1" si="134"/>
        <v>27184578963.425137</v>
      </c>
      <c r="M2796" s="471">
        <f t="shared" si="136"/>
        <v>0.05</v>
      </c>
      <c r="N2796" s="475">
        <f t="shared" si="137"/>
        <v>136146</v>
      </c>
    </row>
    <row r="2797" spans="7:14" ht="11.25" customHeight="1" x14ac:dyDescent="0.3">
      <c r="G2797" s="470"/>
      <c r="H2797" s="470">
        <v>2790</v>
      </c>
      <c r="I2797" s="455">
        <f t="shared" ca="1" si="135"/>
        <v>27184578963.425137</v>
      </c>
      <c r="J2797" s="455">
        <f t="array" ref="J2797">IFERROR(INDEX('Retirement Calculator'!K:K,MATCH('Lorri 401b'!N2797,'Retirement Calculator'!A:A,0),0),0)</f>
        <v>0</v>
      </c>
      <c r="K2797" s="455">
        <f t="shared" ca="1" si="133"/>
        <v>113269079.01427139</v>
      </c>
      <c r="L2797" s="455">
        <f t="shared" ca="1" si="134"/>
        <v>27297848042.439407</v>
      </c>
      <c r="M2797" s="471">
        <f t="shared" si="136"/>
        <v>0.05</v>
      </c>
      <c r="N2797" s="475">
        <f t="shared" si="137"/>
        <v>136177</v>
      </c>
    </row>
    <row r="2798" spans="7:14" ht="11.25" customHeight="1" x14ac:dyDescent="0.3">
      <c r="G2798" s="470"/>
      <c r="H2798" s="470">
        <v>2791</v>
      </c>
      <c r="I2798" s="455">
        <f t="shared" ca="1" si="135"/>
        <v>27297848042.439407</v>
      </c>
      <c r="J2798" s="455">
        <f t="array" ref="J2798">IFERROR(INDEX('Retirement Calculator'!K:K,MATCH('Lorri 401b'!N2798,'Retirement Calculator'!A:A,0),0),0)</f>
        <v>0</v>
      </c>
      <c r="K2798" s="455">
        <f t="shared" ca="1" si="133"/>
        <v>113741033.5101642</v>
      </c>
      <c r="L2798" s="455">
        <f t="shared" ca="1" si="134"/>
        <v>27411589075.94957</v>
      </c>
      <c r="M2798" s="471">
        <f t="shared" si="136"/>
        <v>0.05</v>
      </c>
      <c r="N2798" s="475">
        <f t="shared" si="137"/>
        <v>136207</v>
      </c>
    </row>
    <row r="2799" spans="7:14" ht="11.25" customHeight="1" x14ac:dyDescent="0.3">
      <c r="G2799" s="470"/>
      <c r="H2799" s="470">
        <v>2792</v>
      </c>
      <c r="I2799" s="455">
        <f t="shared" ca="1" si="135"/>
        <v>27411589075.94957</v>
      </c>
      <c r="J2799" s="455">
        <f t="array" ref="J2799">IFERROR(INDEX('Retirement Calculator'!K:K,MATCH('Lorri 401b'!N2799,'Retirement Calculator'!A:A,0),0),0)</f>
        <v>0</v>
      </c>
      <c r="K2799" s="455">
        <f t="shared" ca="1" si="133"/>
        <v>114214954.48312318</v>
      </c>
      <c r="L2799" s="455">
        <f t="shared" ca="1" si="134"/>
        <v>27525804030.432693</v>
      </c>
      <c r="M2799" s="471">
        <f t="shared" si="136"/>
        <v>0.05</v>
      </c>
      <c r="N2799" s="475">
        <f t="shared" si="137"/>
        <v>136238</v>
      </c>
    </row>
    <row r="2800" spans="7:14" ht="11.25" customHeight="1" x14ac:dyDescent="0.3">
      <c r="G2800" s="470"/>
      <c r="H2800" s="470">
        <v>2793</v>
      </c>
      <c r="I2800" s="455">
        <f t="shared" ca="1" si="135"/>
        <v>27525804030.432693</v>
      </c>
      <c r="J2800" s="455">
        <f t="array" ref="J2800">IFERROR(INDEX('Retirement Calculator'!K:K,MATCH('Lorri 401b'!N2800,'Retirement Calculator'!A:A,0),0),0)</f>
        <v>0</v>
      </c>
      <c r="K2800" s="455">
        <f t="shared" ca="1" si="133"/>
        <v>114690850.12680291</v>
      </c>
      <c r="L2800" s="455">
        <f t="shared" ca="1" si="134"/>
        <v>27640494880.559498</v>
      </c>
      <c r="M2800" s="471">
        <f t="shared" si="136"/>
        <v>0.05</v>
      </c>
      <c r="N2800" s="475">
        <f t="shared" si="137"/>
        <v>136269</v>
      </c>
    </row>
    <row r="2801" spans="7:14" ht="11.25" customHeight="1" x14ac:dyDescent="0.3">
      <c r="G2801" s="470"/>
      <c r="H2801" s="470">
        <v>2794</v>
      </c>
      <c r="I2801" s="455">
        <f t="shared" ca="1" si="135"/>
        <v>27640494880.559498</v>
      </c>
      <c r="J2801" s="455">
        <f t="array" ref="J2801">IFERROR(INDEX('Retirement Calculator'!K:K,MATCH('Lorri 401b'!N2801,'Retirement Calculator'!A:A,0),0),0)</f>
        <v>0</v>
      </c>
      <c r="K2801" s="455">
        <f t="shared" ca="1" si="133"/>
        <v>115168728.6689979</v>
      </c>
      <c r="L2801" s="455">
        <f t="shared" ca="1" si="134"/>
        <v>27755663609.228497</v>
      </c>
      <c r="M2801" s="471">
        <f t="shared" si="136"/>
        <v>0.05</v>
      </c>
      <c r="N2801" s="475">
        <f t="shared" si="137"/>
        <v>136297</v>
      </c>
    </row>
    <row r="2802" spans="7:14" ht="11.25" customHeight="1" x14ac:dyDescent="0.3">
      <c r="G2802" s="470"/>
      <c r="H2802" s="470">
        <v>2795</v>
      </c>
      <c r="I2802" s="455">
        <f t="shared" ca="1" si="135"/>
        <v>27755663609.228497</v>
      </c>
      <c r="J2802" s="455">
        <f t="array" ref="J2802">IFERROR(INDEX('Retirement Calculator'!K:K,MATCH('Lorri 401b'!N2802,'Retirement Calculator'!A:A,0),0),0)</f>
        <v>0</v>
      </c>
      <c r="K2802" s="455">
        <f t="shared" ca="1" si="133"/>
        <v>115648598.3717854</v>
      </c>
      <c r="L2802" s="455">
        <f t="shared" ca="1" si="134"/>
        <v>27871312207.600281</v>
      </c>
      <c r="M2802" s="471">
        <f t="shared" si="136"/>
        <v>0.05</v>
      </c>
      <c r="N2802" s="475">
        <f t="shared" si="137"/>
        <v>136328</v>
      </c>
    </row>
    <row r="2803" spans="7:14" ht="11.25" customHeight="1" x14ac:dyDescent="0.3">
      <c r="G2803" s="470"/>
      <c r="H2803" s="470">
        <v>2796</v>
      </c>
      <c r="I2803" s="455">
        <f t="shared" ca="1" si="135"/>
        <v>27871312207.600281</v>
      </c>
      <c r="J2803" s="455">
        <f t="array" ref="J2803">IFERROR(INDEX('Retirement Calculator'!K:K,MATCH('Lorri 401b'!N2803,'Retirement Calculator'!A:A,0),0),0)</f>
        <v>0</v>
      </c>
      <c r="K2803" s="455">
        <f t="shared" ca="1" si="133"/>
        <v>116130467.53166783</v>
      </c>
      <c r="L2803" s="455">
        <f t="shared" ca="1" si="134"/>
        <v>27987442675.13195</v>
      </c>
      <c r="M2803" s="471">
        <f t="shared" si="136"/>
        <v>0.05</v>
      </c>
      <c r="N2803" s="475">
        <f t="shared" si="137"/>
        <v>136358</v>
      </c>
    </row>
    <row r="2804" spans="7:14" ht="11.25" customHeight="1" x14ac:dyDescent="0.3">
      <c r="G2804" s="470"/>
      <c r="H2804" s="470">
        <v>2797</v>
      </c>
      <c r="I2804" s="455">
        <f t="shared" ca="1" si="135"/>
        <v>27987442675.13195</v>
      </c>
      <c r="J2804" s="455">
        <f t="array" ref="J2804">IFERROR(INDEX('Retirement Calculator'!K:K,MATCH('Lorri 401b'!N2804,'Retirement Calculator'!A:A,0),0),0)</f>
        <v>0</v>
      </c>
      <c r="K2804" s="455">
        <f t="shared" ca="1" si="133"/>
        <v>116614344.47971644</v>
      </c>
      <c r="L2804" s="455">
        <f t="shared" ca="1" si="134"/>
        <v>28104057019.611668</v>
      </c>
      <c r="M2804" s="471">
        <f t="shared" si="136"/>
        <v>0.05</v>
      </c>
      <c r="N2804" s="475">
        <f t="shared" si="137"/>
        <v>136389</v>
      </c>
    </row>
    <row r="2805" spans="7:14" ht="11.25" customHeight="1" x14ac:dyDescent="0.3">
      <c r="G2805" s="470"/>
      <c r="H2805" s="470">
        <v>2798</v>
      </c>
      <c r="I2805" s="455">
        <f t="shared" ca="1" si="135"/>
        <v>28104057019.611668</v>
      </c>
      <c r="J2805" s="455">
        <f t="array" ref="J2805">IFERROR(INDEX('Retirement Calculator'!K:K,MATCH('Lorri 401b'!N2805,'Retirement Calculator'!A:A,0),0),0)</f>
        <v>0</v>
      </c>
      <c r="K2805" s="455">
        <f t="shared" ca="1" si="133"/>
        <v>117100237.58171529</v>
      </c>
      <c r="L2805" s="455">
        <f t="shared" ca="1" si="134"/>
        <v>28221157257.193382</v>
      </c>
      <c r="M2805" s="471">
        <f t="shared" si="136"/>
        <v>0.05</v>
      </c>
      <c r="N2805" s="475">
        <f t="shared" si="137"/>
        <v>136419</v>
      </c>
    </row>
    <row r="2806" spans="7:14" ht="11.25" customHeight="1" x14ac:dyDescent="0.3">
      <c r="G2806" s="470"/>
      <c r="H2806" s="470">
        <v>2799</v>
      </c>
      <c r="I2806" s="455">
        <f t="shared" ca="1" si="135"/>
        <v>28221157257.193382</v>
      </c>
      <c r="J2806" s="455">
        <f t="array" ref="J2806">IFERROR(INDEX('Retirement Calculator'!K:K,MATCH('Lorri 401b'!N2806,'Retirement Calculator'!A:A,0),0),0)</f>
        <v>0</v>
      </c>
      <c r="K2806" s="455">
        <f t="shared" ca="1" si="133"/>
        <v>117588155.23830575</v>
      </c>
      <c r="L2806" s="455">
        <f t="shared" ca="1" si="134"/>
        <v>28338745412.431686</v>
      </c>
      <c r="M2806" s="471">
        <f t="shared" si="136"/>
        <v>0.05</v>
      </c>
      <c r="N2806" s="475">
        <f t="shared" si="137"/>
        <v>136450</v>
      </c>
    </row>
    <row r="2807" spans="7:14" ht="11.25" customHeight="1" x14ac:dyDescent="0.3">
      <c r="G2807" s="470"/>
      <c r="H2807" s="470">
        <v>2800</v>
      </c>
      <c r="I2807" s="455">
        <f t="shared" ca="1" si="135"/>
        <v>28338745412.431686</v>
      </c>
      <c r="J2807" s="455">
        <f t="array" ref="J2807">IFERROR(INDEX('Retirement Calculator'!K:K,MATCH('Lorri 401b'!N2807,'Retirement Calculator'!A:A,0),0),0)</f>
        <v>0</v>
      </c>
      <c r="K2807" s="455">
        <f t="shared" ca="1" si="133"/>
        <v>118078105.88513204</v>
      </c>
      <c r="L2807" s="455">
        <f t="shared" ca="1" si="134"/>
        <v>28456823518.316818</v>
      </c>
      <c r="M2807" s="471">
        <f t="shared" si="136"/>
        <v>0.05</v>
      </c>
      <c r="N2807" s="475">
        <f t="shared" si="137"/>
        <v>136481</v>
      </c>
    </row>
    <row r="2808" spans="7:14" ht="11.25" customHeight="1" x14ac:dyDescent="0.3">
      <c r="G2808" s="470"/>
      <c r="H2808" s="470">
        <v>2801</v>
      </c>
      <c r="I2808" s="455">
        <f t="shared" ca="1" si="135"/>
        <v>28456823518.316818</v>
      </c>
      <c r="J2808" s="455">
        <f t="array" ref="J2808">IFERROR(INDEX('Retirement Calculator'!K:K,MATCH('Lorri 401b'!N2808,'Retirement Calculator'!A:A,0),0),0)</f>
        <v>0</v>
      </c>
      <c r="K2808" s="455">
        <f t="shared" ca="1" si="133"/>
        <v>118570097.99298674</v>
      </c>
      <c r="L2808" s="455">
        <f t="shared" ca="1" si="134"/>
        <v>28575393616.309807</v>
      </c>
      <c r="M2808" s="471">
        <f t="shared" si="136"/>
        <v>0.05</v>
      </c>
      <c r="N2808" s="475">
        <f t="shared" si="137"/>
        <v>136511</v>
      </c>
    </row>
    <row r="2809" spans="7:14" ht="11.25" customHeight="1" x14ac:dyDescent="0.3">
      <c r="G2809" s="470"/>
      <c r="H2809" s="470">
        <v>2802</v>
      </c>
      <c r="I2809" s="455">
        <f t="shared" ca="1" si="135"/>
        <v>28575393616.309807</v>
      </c>
      <c r="J2809" s="455">
        <f t="array" ref="J2809">IFERROR(INDEX('Retirement Calculator'!K:K,MATCH('Lorri 401b'!N2809,'Retirement Calculator'!A:A,0),0),0)</f>
        <v>0</v>
      </c>
      <c r="K2809" s="455">
        <f t="shared" ca="1" si="133"/>
        <v>119064140.06795752</v>
      </c>
      <c r="L2809" s="455">
        <f t="shared" ca="1" si="134"/>
        <v>28694457756.377766</v>
      </c>
      <c r="M2809" s="471">
        <f t="shared" si="136"/>
        <v>0.05</v>
      </c>
      <c r="N2809" s="475">
        <f t="shared" si="137"/>
        <v>136542</v>
      </c>
    </row>
    <row r="2810" spans="7:14" ht="11.25" customHeight="1" x14ac:dyDescent="0.3">
      <c r="G2810" s="470"/>
      <c r="H2810" s="470">
        <v>2803</v>
      </c>
      <c r="I2810" s="455">
        <f t="shared" ca="1" si="135"/>
        <v>28694457756.377766</v>
      </c>
      <c r="J2810" s="455">
        <f t="array" ref="J2810">IFERROR(INDEX('Retirement Calculator'!K:K,MATCH('Lorri 401b'!N2810,'Retirement Calculator'!A:A,0),0),0)</f>
        <v>0</v>
      </c>
      <c r="K2810" s="455">
        <f t="shared" ca="1" si="133"/>
        <v>119560240.65157402</v>
      </c>
      <c r="L2810" s="455">
        <f t="shared" ca="1" si="134"/>
        <v>28814017997.029339</v>
      </c>
      <c r="M2810" s="471">
        <f t="shared" si="136"/>
        <v>0.05</v>
      </c>
      <c r="N2810" s="475">
        <f t="shared" si="137"/>
        <v>136572</v>
      </c>
    </row>
    <row r="2811" spans="7:14" ht="11.25" customHeight="1" x14ac:dyDescent="0.3">
      <c r="G2811" s="470"/>
      <c r="H2811" s="470">
        <v>2804</v>
      </c>
      <c r="I2811" s="455">
        <f t="shared" ca="1" si="135"/>
        <v>28814017997.029339</v>
      </c>
      <c r="J2811" s="455">
        <f t="array" ref="J2811">IFERROR(INDEX('Retirement Calculator'!K:K,MATCH('Lorri 401b'!N2811,'Retirement Calculator'!A:A,0),0),0)</f>
        <v>0</v>
      </c>
      <c r="K2811" s="455">
        <f t="shared" ca="1" si="133"/>
        <v>120058408.32095559</v>
      </c>
      <c r="L2811" s="455">
        <f t="shared" ca="1" si="134"/>
        <v>28934076405.350296</v>
      </c>
      <c r="M2811" s="471">
        <f t="shared" si="136"/>
        <v>0.05</v>
      </c>
      <c r="N2811" s="475">
        <f t="shared" si="137"/>
        <v>136603</v>
      </c>
    </row>
    <row r="2812" spans="7:14" ht="11.25" customHeight="1" x14ac:dyDescent="0.3">
      <c r="G2812" s="470"/>
      <c r="H2812" s="470">
        <v>2805</v>
      </c>
      <c r="I2812" s="455">
        <f t="shared" ca="1" si="135"/>
        <v>28934076405.350296</v>
      </c>
      <c r="J2812" s="455">
        <f t="array" ref="J2812">IFERROR(INDEX('Retirement Calculator'!K:K,MATCH('Lorri 401b'!N2812,'Retirement Calculator'!A:A,0),0),0)</f>
        <v>0</v>
      </c>
      <c r="K2812" s="455">
        <f t="shared" ca="1" si="133"/>
        <v>120558651.68895957</v>
      </c>
      <c r="L2812" s="455">
        <f t="shared" ca="1" si="134"/>
        <v>29054635057.039257</v>
      </c>
      <c r="M2812" s="471">
        <f t="shared" si="136"/>
        <v>0.05</v>
      </c>
      <c r="N2812" s="475">
        <f t="shared" si="137"/>
        <v>136634</v>
      </c>
    </row>
    <row r="2813" spans="7:14" ht="11.25" customHeight="1" x14ac:dyDescent="0.3">
      <c r="G2813" s="470"/>
      <c r="H2813" s="470">
        <v>2806</v>
      </c>
      <c r="I2813" s="455">
        <f t="shared" ca="1" si="135"/>
        <v>29054635057.039257</v>
      </c>
      <c r="J2813" s="455">
        <f t="array" ref="J2813">IFERROR(INDEX('Retirement Calculator'!K:K,MATCH('Lorri 401b'!N2813,'Retirement Calculator'!A:A,0),0),0)</f>
        <v>0</v>
      </c>
      <c r="K2813" s="455">
        <f t="shared" ref="K2813:K3067" ca="1" si="138">IPMT(M2813/12,1,12,-I2813+J2813,,0)</f>
        <v>121060979.40433024</v>
      </c>
      <c r="L2813" s="455">
        <f t="shared" ref="L2813:L3067" ca="1" si="139">I2813-J2813+K2813</f>
        <v>29175696036.443588</v>
      </c>
      <c r="M2813" s="471">
        <f t="shared" si="136"/>
        <v>0.05</v>
      </c>
      <c r="N2813" s="475">
        <f t="shared" si="137"/>
        <v>136662</v>
      </c>
    </row>
    <row r="2814" spans="7:14" ht="11.25" customHeight="1" x14ac:dyDescent="0.3">
      <c r="G2814" s="470"/>
      <c r="H2814" s="470">
        <v>2807</v>
      </c>
      <c r="I2814" s="455">
        <f t="shared" ref="I2814:I3068" ca="1" si="140">L2813</f>
        <v>29175696036.443588</v>
      </c>
      <c r="J2814" s="455">
        <f t="array" ref="J2814">IFERROR(INDEX('Retirement Calculator'!K:K,MATCH('Lorri 401b'!N2814,'Retirement Calculator'!A:A,0),0),0)</f>
        <v>0</v>
      </c>
      <c r="K2814" s="455">
        <f t="shared" ca="1" si="138"/>
        <v>121565400.15184829</v>
      </c>
      <c r="L2814" s="455">
        <f t="shared" ca="1" si="139"/>
        <v>29297261436.595436</v>
      </c>
      <c r="M2814" s="471">
        <f t="shared" ref="M2814:M3068" si="141">M2813</f>
        <v>0.05</v>
      </c>
      <c r="N2814" s="475">
        <f t="shared" ref="N2814:N3068" si="142">EDATE(N2813,1)</f>
        <v>136693</v>
      </c>
    </row>
    <row r="2815" spans="7:14" ht="11.25" customHeight="1" x14ac:dyDescent="0.3">
      <c r="G2815" s="470"/>
      <c r="H2815" s="470">
        <v>2808</v>
      </c>
      <c r="I2815" s="455">
        <f t="shared" ca="1" si="140"/>
        <v>29297261436.595436</v>
      </c>
      <c r="J2815" s="455">
        <f t="array" ref="J2815">IFERROR(INDEX('Retirement Calculator'!K:K,MATCH('Lorri 401b'!N2815,'Retirement Calculator'!A:A,0),0),0)</f>
        <v>0</v>
      </c>
      <c r="K2815" s="455">
        <f t="shared" ca="1" si="138"/>
        <v>122071922.65248097</v>
      </c>
      <c r="L2815" s="455">
        <f t="shared" ca="1" si="139"/>
        <v>29419333359.247917</v>
      </c>
      <c r="M2815" s="471">
        <f t="shared" si="141"/>
        <v>0.05</v>
      </c>
      <c r="N2815" s="475">
        <f t="shared" si="142"/>
        <v>136723</v>
      </c>
    </row>
    <row r="2816" spans="7:14" ht="11.25" customHeight="1" x14ac:dyDescent="0.3">
      <c r="G2816" s="470"/>
      <c r="H2816" s="470">
        <v>2809</v>
      </c>
      <c r="I2816" s="455">
        <f t="shared" ca="1" si="140"/>
        <v>29419333359.247917</v>
      </c>
      <c r="J2816" s="455">
        <f t="array" ref="J2816">IFERROR(INDEX('Retirement Calculator'!K:K,MATCH('Lorri 401b'!N2816,'Retirement Calculator'!A:A,0),0),0)</f>
        <v>0</v>
      </c>
      <c r="K2816" s="455">
        <f t="shared" ca="1" si="138"/>
        <v>122580555.66353299</v>
      </c>
      <c r="L2816" s="455">
        <f t="shared" ca="1" si="139"/>
        <v>29541913914.911449</v>
      </c>
      <c r="M2816" s="471">
        <f t="shared" si="141"/>
        <v>0.05</v>
      </c>
      <c r="N2816" s="475">
        <f t="shared" si="142"/>
        <v>136754</v>
      </c>
    </row>
    <row r="2817" spans="7:14" ht="11.25" customHeight="1" x14ac:dyDescent="0.3">
      <c r="G2817" s="470"/>
      <c r="H2817" s="470">
        <v>2810</v>
      </c>
      <c r="I2817" s="455">
        <f t="shared" ca="1" si="140"/>
        <v>29541913914.911449</v>
      </c>
      <c r="J2817" s="455">
        <f t="array" ref="J2817">IFERROR(INDEX('Retirement Calculator'!K:K,MATCH('Lorri 401b'!N2817,'Retirement Calculator'!A:A,0),0),0)</f>
        <v>0</v>
      </c>
      <c r="K2817" s="455">
        <f t="shared" ca="1" si="138"/>
        <v>123091307.9787977</v>
      </c>
      <c r="L2817" s="455">
        <f t="shared" ca="1" si="139"/>
        <v>29665005222.890247</v>
      </c>
      <c r="M2817" s="471">
        <f t="shared" si="141"/>
        <v>0.05</v>
      </c>
      <c r="N2817" s="475">
        <f t="shared" si="142"/>
        <v>136784</v>
      </c>
    </row>
    <row r="2818" spans="7:14" ht="11.25" customHeight="1" x14ac:dyDescent="0.3">
      <c r="G2818" s="470"/>
      <c r="H2818" s="470">
        <v>2811</v>
      </c>
      <c r="I2818" s="455">
        <f t="shared" ca="1" si="140"/>
        <v>29665005222.890247</v>
      </c>
      <c r="J2818" s="455">
        <f t="array" ref="J2818">IFERROR(INDEX('Retirement Calculator'!K:K,MATCH('Lorri 401b'!N2818,'Retirement Calculator'!A:A,0),0),0)</f>
        <v>0</v>
      </c>
      <c r="K2818" s="455">
        <f t="shared" ca="1" si="138"/>
        <v>123604188.42870936</v>
      </c>
      <c r="L2818" s="455">
        <f t="shared" ca="1" si="139"/>
        <v>29788609411.318958</v>
      </c>
      <c r="M2818" s="471">
        <f t="shared" si="141"/>
        <v>0.05</v>
      </c>
      <c r="N2818" s="475">
        <f t="shared" si="142"/>
        <v>136815</v>
      </c>
    </row>
    <row r="2819" spans="7:14" ht="11.25" customHeight="1" x14ac:dyDescent="0.3">
      <c r="G2819" s="470"/>
      <c r="H2819" s="470">
        <v>2812</v>
      </c>
      <c r="I2819" s="455">
        <f t="shared" ca="1" si="140"/>
        <v>29788609411.318958</v>
      </c>
      <c r="J2819" s="455">
        <f t="array" ref="J2819">IFERROR(INDEX('Retirement Calculator'!K:K,MATCH('Lorri 401b'!N2819,'Retirement Calculator'!A:A,0),0),0)</f>
        <v>0</v>
      </c>
      <c r="K2819" s="455">
        <f t="shared" ca="1" si="138"/>
        <v>124119205.88049565</v>
      </c>
      <c r="L2819" s="455">
        <f t="shared" ca="1" si="139"/>
        <v>29912728617.199455</v>
      </c>
      <c r="M2819" s="471">
        <f t="shared" si="141"/>
        <v>0.05</v>
      </c>
      <c r="N2819" s="475">
        <f t="shared" si="142"/>
        <v>136846</v>
      </c>
    </row>
    <row r="2820" spans="7:14" ht="11.25" customHeight="1" x14ac:dyDescent="0.3">
      <c r="G2820" s="470"/>
      <c r="H2820" s="470">
        <v>2813</v>
      </c>
      <c r="I2820" s="455">
        <f t="shared" ca="1" si="140"/>
        <v>29912728617.199455</v>
      </c>
      <c r="J2820" s="455">
        <f t="array" ref="J2820">IFERROR(INDEX('Retirement Calculator'!K:K,MATCH('Lorri 401b'!N2820,'Retirement Calculator'!A:A,0),0),0)</f>
        <v>0</v>
      </c>
      <c r="K2820" s="455">
        <f t="shared" ca="1" si="138"/>
        <v>124636369.23833106</v>
      </c>
      <c r="L2820" s="455">
        <f t="shared" ca="1" si="139"/>
        <v>30037364986.437786</v>
      </c>
      <c r="M2820" s="471">
        <f t="shared" si="141"/>
        <v>0.05</v>
      </c>
      <c r="N2820" s="475">
        <f t="shared" si="142"/>
        <v>136876</v>
      </c>
    </row>
    <row r="2821" spans="7:14" ht="11.25" customHeight="1" x14ac:dyDescent="0.3">
      <c r="G2821" s="470"/>
      <c r="H2821" s="470">
        <v>2814</v>
      </c>
      <c r="I2821" s="455">
        <f t="shared" ca="1" si="140"/>
        <v>30037364986.437786</v>
      </c>
      <c r="J2821" s="455">
        <f t="array" ref="J2821">IFERROR(INDEX('Retirement Calculator'!K:K,MATCH('Lorri 401b'!N2821,'Retirement Calculator'!A:A,0),0),0)</f>
        <v>0</v>
      </c>
      <c r="K2821" s="455">
        <f t="shared" ca="1" si="138"/>
        <v>125155687.44349079</v>
      </c>
      <c r="L2821" s="455">
        <f t="shared" ca="1" si="139"/>
        <v>30162520673.881275</v>
      </c>
      <c r="M2821" s="471">
        <f t="shared" si="141"/>
        <v>0.05</v>
      </c>
      <c r="N2821" s="475">
        <f t="shared" si="142"/>
        <v>136907</v>
      </c>
    </row>
    <row r="2822" spans="7:14" ht="11.25" customHeight="1" x14ac:dyDescent="0.3">
      <c r="G2822" s="470"/>
      <c r="H2822" s="470">
        <v>2815</v>
      </c>
      <c r="I2822" s="455">
        <f t="shared" ca="1" si="140"/>
        <v>30162520673.881275</v>
      </c>
      <c r="J2822" s="455">
        <f t="array" ref="J2822">IFERROR(INDEX('Retirement Calculator'!K:K,MATCH('Lorri 401b'!N2822,'Retirement Calculator'!A:A,0),0),0)</f>
        <v>0</v>
      </c>
      <c r="K2822" s="455">
        <f t="shared" ca="1" si="138"/>
        <v>125677169.47450531</v>
      </c>
      <c r="L2822" s="455">
        <f t="shared" ca="1" si="139"/>
        <v>30288197843.355782</v>
      </c>
      <c r="M2822" s="471">
        <f t="shared" si="141"/>
        <v>0.05</v>
      </c>
      <c r="N2822" s="475">
        <f t="shared" si="142"/>
        <v>136937</v>
      </c>
    </row>
    <row r="2823" spans="7:14" ht="11.25" customHeight="1" x14ac:dyDescent="0.3">
      <c r="G2823" s="470"/>
      <c r="H2823" s="470">
        <v>2816</v>
      </c>
      <c r="I2823" s="455">
        <f t="shared" ca="1" si="140"/>
        <v>30288197843.355782</v>
      </c>
      <c r="J2823" s="455">
        <f t="array" ref="J2823">IFERROR(INDEX('Retirement Calculator'!K:K,MATCH('Lorri 401b'!N2823,'Retirement Calculator'!A:A,0),0),0)</f>
        <v>0</v>
      </c>
      <c r="K2823" s="455">
        <f t="shared" ca="1" si="138"/>
        <v>126200824.34731576</v>
      </c>
      <c r="L2823" s="455">
        <f t="shared" ca="1" si="139"/>
        <v>30414398667.703098</v>
      </c>
      <c r="M2823" s="471">
        <f t="shared" si="141"/>
        <v>0.05</v>
      </c>
      <c r="N2823" s="475">
        <f t="shared" si="142"/>
        <v>136968</v>
      </c>
    </row>
    <row r="2824" spans="7:14" ht="11.25" customHeight="1" x14ac:dyDescent="0.3">
      <c r="G2824" s="470"/>
      <c r="H2824" s="470">
        <v>2817</v>
      </c>
      <c r="I2824" s="455">
        <f t="shared" ca="1" si="140"/>
        <v>30414398667.703098</v>
      </c>
      <c r="J2824" s="455">
        <f t="array" ref="J2824">IFERROR(INDEX('Retirement Calculator'!K:K,MATCH('Lorri 401b'!N2824,'Retirement Calculator'!A:A,0),0),0)</f>
        <v>0</v>
      </c>
      <c r="K2824" s="455">
        <f t="shared" ca="1" si="138"/>
        <v>126726661.1154296</v>
      </c>
      <c r="L2824" s="455">
        <f t="shared" ca="1" si="139"/>
        <v>30541125328.818527</v>
      </c>
      <c r="M2824" s="471">
        <f t="shared" si="141"/>
        <v>0.05</v>
      </c>
      <c r="N2824" s="475">
        <f t="shared" si="142"/>
        <v>136999</v>
      </c>
    </row>
    <row r="2825" spans="7:14" ht="11.25" customHeight="1" x14ac:dyDescent="0.3">
      <c r="G2825" s="470"/>
      <c r="H2825" s="470">
        <v>2818</v>
      </c>
      <c r="I2825" s="455">
        <f t="shared" ca="1" si="140"/>
        <v>30541125328.818527</v>
      </c>
      <c r="J2825" s="455">
        <f t="array" ref="J2825">IFERROR(INDEX('Retirement Calculator'!K:K,MATCH('Lorri 401b'!N2825,'Retirement Calculator'!A:A,0),0),0)</f>
        <v>0</v>
      </c>
      <c r="K2825" s="455">
        <f t="shared" ca="1" si="138"/>
        <v>127254688.87007719</v>
      </c>
      <c r="L2825" s="455">
        <f t="shared" ca="1" si="139"/>
        <v>30668380017.688606</v>
      </c>
      <c r="M2825" s="471">
        <f t="shared" si="141"/>
        <v>0.05</v>
      </c>
      <c r="N2825" s="475">
        <f t="shared" si="142"/>
        <v>137027</v>
      </c>
    </row>
    <row r="2826" spans="7:14" ht="11.25" customHeight="1" x14ac:dyDescent="0.3">
      <c r="G2826" s="470"/>
      <c r="H2826" s="470">
        <v>2819</v>
      </c>
      <c r="I2826" s="455">
        <f t="shared" ca="1" si="140"/>
        <v>30668380017.688606</v>
      </c>
      <c r="J2826" s="455">
        <f t="array" ref="J2826">IFERROR(INDEX('Retirement Calculator'!K:K,MATCH('Lorri 401b'!N2826,'Retirement Calculator'!A:A,0),0),0)</f>
        <v>0</v>
      </c>
      <c r="K2826" s="455">
        <f t="shared" ca="1" si="138"/>
        <v>127784916.7403692</v>
      </c>
      <c r="L2826" s="455">
        <f t="shared" ca="1" si="139"/>
        <v>30796164934.428974</v>
      </c>
      <c r="M2826" s="471">
        <f t="shared" si="141"/>
        <v>0.05</v>
      </c>
      <c r="N2826" s="475">
        <f t="shared" si="142"/>
        <v>137058</v>
      </c>
    </row>
    <row r="2827" spans="7:14" ht="11.25" customHeight="1" x14ac:dyDescent="0.3">
      <c r="G2827" s="470"/>
      <c r="H2827" s="470">
        <v>2820</v>
      </c>
      <c r="I2827" s="455">
        <f t="shared" ca="1" si="140"/>
        <v>30796164934.428974</v>
      </c>
      <c r="J2827" s="455">
        <f t="array" ref="J2827">IFERROR(INDEX('Retirement Calculator'!K:K,MATCH('Lorri 401b'!N2827,'Retirement Calculator'!A:A,0),0),0)</f>
        <v>0</v>
      </c>
      <c r="K2827" s="455">
        <f t="shared" ca="1" si="138"/>
        <v>128317353.89345405</v>
      </c>
      <c r="L2827" s="455">
        <f t="shared" ca="1" si="139"/>
        <v>30924482288.32243</v>
      </c>
      <c r="M2827" s="471">
        <f t="shared" si="141"/>
        <v>0.05</v>
      </c>
      <c r="N2827" s="475">
        <f t="shared" si="142"/>
        <v>137088</v>
      </c>
    </row>
    <row r="2828" spans="7:14" ht="11.25" customHeight="1" x14ac:dyDescent="0.3">
      <c r="G2828" s="470"/>
      <c r="H2828" s="470">
        <v>2821</v>
      </c>
      <c r="I2828" s="455">
        <f t="shared" ca="1" si="140"/>
        <v>30924482288.32243</v>
      </c>
      <c r="J2828" s="455">
        <f t="array" ref="J2828">IFERROR(INDEX('Retirement Calculator'!K:K,MATCH('Lorri 401b'!N2828,'Retirement Calculator'!A:A,0),0),0)</f>
        <v>0</v>
      </c>
      <c r="K2828" s="455">
        <f t="shared" ca="1" si="138"/>
        <v>128852009.53467679</v>
      </c>
      <c r="L2828" s="455">
        <f t="shared" ca="1" si="139"/>
        <v>31053334297.857105</v>
      </c>
      <c r="M2828" s="471">
        <f t="shared" si="141"/>
        <v>0.05</v>
      </c>
      <c r="N2828" s="475">
        <f t="shared" si="142"/>
        <v>137119</v>
      </c>
    </row>
    <row r="2829" spans="7:14" ht="11.25" customHeight="1" x14ac:dyDescent="0.3">
      <c r="G2829" s="470"/>
      <c r="H2829" s="470">
        <v>2822</v>
      </c>
      <c r="I2829" s="455">
        <f t="shared" ca="1" si="140"/>
        <v>31053334297.857105</v>
      </c>
      <c r="J2829" s="455">
        <f t="array" ref="J2829">IFERROR(INDEX('Retirement Calculator'!K:K,MATCH('Lorri 401b'!N2829,'Retirement Calculator'!A:A,0),0),0)</f>
        <v>0</v>
      </c>
      <c r="K2829" s="455">
        <f t="shared" ca="1" si="138"/>
        <v>129388892.90773794</v>
      </c>
      <c r="L2829" s="455">
        <f t="shared" ca="1" si="139"/>
        <v>31182723190.764843</v>
      </c>
      <c r="M2829" s="471">
        <f t="shared" si="141"/>
        <v>0.05</v>
      </c>
      <c r="N2829" s="475">
        <f t="shared" si="142"/>
        <v>137149</v>
      </c>
    </row>
    <row r="2830" spans="7:14" ht="11.25" customHeight="1" x14ac:dyDescent="0.3">
      <c r="G2830" s="470"/>
      <c r="H2830" s="470">
        <v>2823</v>
      </c>
      <c r="I2830" s="455">
        <f t="shared" ca="1" si="140"/>
        <v>31182723190.764843</v>
      </c>
      <c r="J2830" s="455">
        <f t="array" ref="J2830">IFERROR(INDEX('Retirement Calculator'!K:K,MATCH('Lorri 401b'!N2830,'Retirement Calculator'!A:A,0),0),0)</f>
        <v>0</v>
      </c>
      <c r="K2830" s="455">
        <f t="shared" ca="1" si="138"/>
        <v>129928013.29485351</v>
      </c>
      <c r="L2830" s="455">
        <f t="shared" ca="1" si="139"/>
        <v>31312651204.059696</v>
      </c>
      <c r="M2830" s="471">
        <f t="shared" si="141"/>
        <v>0.05</v>
      </c>
      <c r="N2830" s="475">
        <f t="shared" si="142"/>
        <v>137180</v>
      </c>
    </row>
    <row r="2831" spans="7:14" ht="11.25" customHeight="1" x14ac:dyDescent="0.3">
      <c r="G2831" s="470"/>
      <c r="H2831" s="470">
        <v>2824</v>
      </c>
      <c r="I2831" s="455">
        <f t="shared" ca="1" si="140"/>
        <v>31312651204.059696</v>
      </c>
      <c r="J2831" s="455">
        <f t="array" ref="J2831">IFERROR(INDEX('Retirement Calculator'!K:K,MATCH('Lorri 401b'!N2831,'Retirement Calculator'!A:A,0),0),0)</f>
        <v>0</v>
      </c>
      <c r="K2831" s="455">
        <f t="shared" ca="1" si="138"/>
        <v>130469380.0169154</v>
      </c>
      <c r="L2831" s="455">
        <f t="shared" ca="1" si="139"/>
        <v>31443120584.076611</v>
      </c>
      <c r="M2831" s="471">
        <f t="shared" si="141"/>
        <v>0.05</v>
      </c>
      <c r="N2831" s="475">
        <f t="shared" si="142"/>
        <v>137211</v>
      </c>
    </row>
    <row r="2832" spans="7:14" ht="11.25" customHeight="1" x14ac:dyDescent="0.3">
      <c r="G2832" s="470"/>
      <c r="H2832" s="470">
        <v>2825</v>
      </c>
      <c r="I2832" s="455">
        <f t="shared" ca="1" si="140"/>
        <v>31443120584.076611</v>
      </c>
      <c r="J2832" s="455">
        <f t="array" ref="J2832">IFERROR(INDEX('Retirement Calculator'!K:K,MATCH('Lorri 401b'!N2832,'Retirement Calculator'!A:A,0),0),0)</f>
        <v>0</v>
      </c>
      <c r="K2832" s="455">
        <f t="shared" ca="1" si="138"/>
        <v>131013002.43365256</v>
      </c>
      <c r="L2832" s="455">
        <f t="shared" ca="1" si="139"/>
        <v>31574133586.510262</v>
      </c>
      <c r="M2832" s="471">
        <f t="shared" si="141"/>
        <v>0.05</v>
      </c>
      <c r="N2832" s="475">
        <f t="shared" si="142"/>
        <v>137241</v>
      </c>
    </row>
    <row r="2833" spans="7:14" ht="11.25" customHeight="1" x14ac:dyDescent="0.3">
      <c r="G2833" s="470"/>
      <c r="H2833" s="470">
        <v>2826</v>
      </c>
      <c r="I2833" s="455">
        <f t="shared" ca="1" si="140"/>
        <v>31574133586.510262</v>
      </c>
      <c r="J2833" s="455">
        <f t="array" ref="J2833">IFERROR(INDEX('Retirement Calculator'!K:K,MATCH('Lorri 401b'!N2833,'Retirement Calculator'!A:A,0),0),0)</f>
        <v>0</v>
      </c>
      <c r="K2833" s="455">
        <f t="shared" ca="1" si="138"/>
        <v>131558889.94379276</v>
      </c>
      <c r="L2833" s="455">
        <f t="shared" ca="1" si="139"/>
        <v>31705692476.454056</v>
      </c>
      <c r="M2833" s="471">
        <f t="shared" si="141"/>
        <v>0.05</v>
      </c>
      <c r="N2833" s="475">
        <f t="shared" si="142"/>
        <v>137272</v>
      </c>
    </row>
    <row r="2834" spans="7:14" ht="11.25" customHeight="1" x14ac:dyDescent="0.3">
      <c r="G2834" s="470"/>
      <c r="H2834" s="470">
        <v>2827</v>
      </c>
      <c r="I2834" s="455">
        <f t="shared" ca="1" si="140"/>
        <v>31705692476.454056</v>
      </c>
      <c r="J2834" s="455">
        <f t="array" ref="J2834">IFERROR(INDEX('Retirement Calculator'!K:K,MATCH('Lorri 401b'!N2834,'Retirement Calculator'!A:A,0),0),0)</f>
        <v>0</v>
      </c>
      <c r="K2834" s="455">
        <f t="shared" ca="1" si="138"/>
        <v>132107051.98522523</v>
      </c>
      <c r="L2834" s="455">
        <f t="shared" ca="1" si="139"/>
        <v>31837799528.439281</v>
      </c>
      <c r="M2834" s="471">
        <f t="shared" si="141"/>
        <v>0.05</v>
      </c>
      <c r="N2834" s="475">
        <f t="shared" si="142"/>
        <v>137302</v>
      </c>
    </row>
    <row r="2835" spans="7:14" ht="11.25" customHeight="1" x14ac:dyDescent="0.3">
      <c r="G2835" s="470"/>
      <c r="H2835" s="470">
        <v>2828</v>
      </c>
      <c r="I2835" s="455">
        <f t="shared" ca="1" si="140"/>
        <v>31837799528.439281</v>
      </c>
      <c r="J2835" s="455">
        <f t="array" ref="J2835">IFERROR(INDEX('Retirement Calculator'!K:K,MATCH('Lorri 401b'!N2835,'Retirement Calculator'!A:A,0),0),0)</f>
        <v>0</v>
      </c>
      <c r="K2835" s="455">
        <f t="shared" ca="1" si="138"/>
        <v>132657498.03516369</v>
      </c>
      <c r="L2835" s="455">
        <f t="shared" ca="1" si="139"/>
        <v>31970457026.474445</v>
      </c>
      <c r="M2835" s="471">
        <f t="shared" si="141"/>
        <v>0.05</v>
      </c>
      <c r="N2835" s="475">
        <f t="shared" si="142"/>
        <v>137333</v>
      </c>
    </row>
    <row r="2836" spans="7:14" ht="11.25" customHeight="1" x14ac:dyDescent="0.3">
      <c r="G2836" s="470"/>
      <c r="H2836" s="470">
        <v>2829</v>
      </c>
      <c r="I2836" s="455">
        <f t="shared" ca="1" si="140"/>
        <v>31970457026.474445</v>
      </c>
      <c r="J2836" s="455">
        <f t="array" ref="J2836">IFERROR(INDEX('Retirement Calculator'!K:K,MATCH('Lorri 401b'!N2836,'Retirement Calculator'!A:A,0),0),0)</f>
        <v>0</v>
      </c>
      <c r="K2836" s="455">
        <f t="shared" ca="1" si="138"/>
        <v>133210237.61031018</v>
      </c>
      <c r="L2836" s="455">
        <f t="shared" ca="1" si="139"/>
        <v>32103667264.084755</v>
      </c>
      <c r="M2836" s="471">
        <f t="shared" si="141"/>
        <v>0.05</v>
      </c>
      <c r="N2836" s="475">
        <f t="shared" si="142"/>
        <v>137364</v>
      </c>
    </row>
    <row r="2837" spans="7:14" ht="11.25" customHeight="1" x14ac:dyDescent="0.3">
      <c r="G2837" s="470"/>
      <c r="H2837" s="470">
        <v>2830</v>
      </c>
      <c r="I2837" s="455">
        <f t="shared" ca="1" si="140"/>
        <v>32103667264.084755</v>
      </c>
      <c r="J2837" s="455">
        <f t="array" ref="J2837">IFERROR(INDEX('Retirement Calculator'!K:K,MATCH('Lorri 401b'!N2837,'Retirement Calculator'!A:A,0),0),0)</f>
        <v>0</v>
      </c>
      <c r="K2837" s="455">
        <f t="shared" ca="1" si="138"/>
        <v>133765280.26701979</v>
      </c>
      <c r="L2837" s="455">
        <f t="shared" ca="1" si="139"/>
        <v>32237432544.351776</v>
      </c>
      <c r="M2837" s="471">
        <f t="shared" si="141"/>
        <v>0.05</v>
      </c>
      <c r="N2837" s="475">
        <f t="shared" si="142"/>
        <v>137393</v>
      </c>
    </row>
    <row r="2838" spans="7:14" ht="11.25" customHeight="1" x14ac:dyDescent="0.3">
      <c r="G2838" s="470"/>
      <c r="H2838" s="470">
        <v>2831</v>
      </c>
      <c r="I2838" s="455">
        <f t="shared" ca="1" si="140"/>
        <v>32237432544.351776</v>
      </c>
      <c r="J2838" s="455">
        <f t="array" ref="J2838">IFERROR(INDEX('Retirement Calculator'!K:K,MATCH('Lorri 401b'!N2838,'Retirement Calculator'!A:A,0),0),0)</f>
        <v>0</v>
      </c>
      <c r="K2838" s="455">
        <f t="shared" ca="1" si="138"/>
        <v>134322635.60146573</v>
      </c>
      <c r="L2838" s="455">
        <f t="shared" ca="1" si="139"/>
        <v>32371755179.953243</v>
      </c>
      <c r="M2838" s="471">
        <f t="shared" si="141"/>
        <v>0.05</v>
      </c>
      <c r="N2838" s="475">
        <f t="shared" si="142"/>
        <v>137424</v>
      </c>
    </row>
    <row r="2839" spans="7:14" ht="11.25" customHeight="1" x14ac:dyDescent="0.3">
      <c r="G2839" s="470"/>
      <c r="H2839" s="470">
        <v>2832</v>
      </c>
      <c r="I2839" s="455">
        <f t="shared" ca="1" si="140"/>
        <v>32371755179.953243</v>
      </c>
      <c r="J2839" s="455">
        <f t="array" ref="J2839">IFERROR(INDEX('Retirement Calculator'!K:K,MATCH('Lorri 401b'!N2839,'Retirement Calculator'!A:A,0),0),0)</f>
        <v>0</v>
      </c>
      <c r="K2839" s="455">
        <f t="shared" ca="1" si="138"/>
        <v>134882313.24980518</v>
      </c>
      <c r="L2839" s="455">
        <f t="shared" ca="1" si="139"/>
        <v>32506637493.203049</v>
      </c>
      <c r="M2839" s="471">
        <f t="shared" si="141"/>
        <v>0.05</v>
      </c>
      <c r="N2839" s="475">
        <f t="shared" si="142"/>
        <v>137454</v>
      </c>
    </row>
    <row r="2840" spans="7:14" ht="11.25" customHeight="1" x14ac:dyDescent="0.3">
      <c r="G2840" s="470"/>
      <c r="H2840" s="470">
        <v>2833</v>
      </c>
      <c r="I2840" s="455">
        <f t="shared" ca="1" si="140"/>
        <v>32506637493.203049</v>
      </c>
      <c r="J2840" s="455">
        <f t="array" ref="J2840">IFERROR(INDEX('Retirement Calculator'!K:K,MATCH('Lorri 401b'!N2840,'Retirement Calculator'!A:A,0),0),0)</f>
        <v>0</v>
      </c>
      <c r="K2840" s="455">
        <f t="shared" ca="1" si="138"/>
        <v>135444322.88834605</v>
      </c>
      <c r="L2840" s="455">
        <f t="shared" ca="1" si="139"/>
        <v>32642081816.091396</v>
      </c>
      <c r="M2840" s="471">
        <f t="shared" si="141"/>
        <v>0.05</v>
      </c>
      <c r="N2840" s="475">
        <f t="shared" si="142"/>
        <v>137485</v>
      </c>
    </row>
    <row r="2841" spans="7:14" ht="11.25" customHeight="1" x14ac:dyDescent="0.3">
      <c r="G2841" s="470"/>
      <c r="H2841" s="470">
        <v>2834</v>
      </c>
      <c r="I2841" s="455">
        <f t="shared" ca="1" si="140"/>
        <v>32642081816.091396</v>
      </c>
      <c r="J2841" s="455">
        <f t="array" ref="J2841">IFERROR(INDEX('Retirement Calculator'!K:K,MATCH('Lorri 401b'!N2841,'Retirement Calculator'!A:A,0),0),0)</f>
        <v>0</v>
      </c>
      <c r="K2841" s="455">
        <f t="shared" ca="1" si="138"/>
        <v>136008674.23371413</v>
      </c>
      <c r="L2841" s="455">
        <f t="shared" ca="1" si="139"/>
        <v>32778090490.325111</v>
      </c>
      <c r="M2841" s="471">
        <f t="shared" si="141"/>
        <v>0.05</v>
      </c>
      <c r="N2841" s="475">
        <f t="shared" si="142"/>
        <v>137515</v>
      </c>
    </row>
    <row r="2842" spans="7:14" ht="11.25" customHeight="1" x14ac:dyDescent="0.3">
      <c r="G2842" s="470"/>
      <c r="H2842" s="470">
        <v>2835</v>
      </c>
      <c r="I2842" s="455">
        <f t="shared" ca="1" si="140"/>
        <v>32778090490.325111</v>
      </c>
      <c r="J2842" s="455">
        <f t="array" ref="J2842">IFERROR(INDEX('Retirement Calculator'!K:K,MATCH('Lorri 401b'!N2842,'Retirement Calculator'!A:A,0),0),0)</f>
        <v>0</v>
      </c>
      <c r="K2842" s="455">
        <f t="shared" ca="1" si="138"/>
        <v>136575377.04302129</v>
      </c>
      <c r="L2842" s="455">
        <f t="shared" ca="1" si="139"/>
        <v>32914665867.368134</v>
      </c>
      <c r="M2842" s="471">
        <f t="shared" si="141"/>
        <v>0.05</v>
      </c>
      <c r="N2842" s="475">
        <f t="shared" si="142"/>
        <v>137546</v>
      </c>
    </row>
    <row r="2843" spans="7:14" ht="11.25" customHeight="1" x14ac:dyDescent="0.3">
      <c r="G2843" s="470"/>
      <c r="H2843" s="470">
        <v>2836</v>
      </c>
      <c r="I2843" s="455">
        <f t="shared" ca="1" si="140"/>
        <v>32914665867.368134</v>
      </c>
      <c r="J2843" s="455">
        <f t="array" ref="J2843">IFERROR(INDEX('Retirement Calculator'!K:K,MATCH('Lorri 401b'!N2843,'Retirement Calculator'!A:A,0),0),0)</f>
        <v>0</v>
      </c>
      <c r="K2843" s="455">
        <f t="shared" ca="1" si="138"/>
        <v>137144441.11403391</v>
      </c>
      <c r="L2843" s="455">
        <f t="shared" ca="1" si="139"/>
        <v>33051810308.482166</v>
      </c>
      <c r="M2843" s="471">
        <f t="shared" si="141"/>
        <v>0.05</v>
      </c>
      <c r="N2843" s="475">
        <f t="shared" si="142"/>
        <v>137577</v>
      </c>
    </row>
    <row r="2844" spans="7:14" ht="11.25" customHeight="1" x14ac:dyDescent="0.3">
      <c r="G2844" s="470"/>
      <c r="H2844" s="470">
        <v>2837</v>
      </c>
      <c r="I2844" s="455">
        <f t="shared" ca="1" si="140"/>
        <v>33051810308.482166</v>
      </c>
      <c r="J2844" s="455">
        <f t="array" ref="J2844">IFERROR(INDEX('Retirement Calculator'!K:K,MATCH('Lorri 401b'!N2844,'Retirement Calculator'!A:A,0),0),0)</f>
        <v>0</v>
      </c>
      <c r="K2844" s="455">
        <f t="shared" ca="1" si="138"/>
        <v>137715876.28534234</v>
      </c>
      <c r="L2844" s="455">
        <f t="shared" ca="1" si="139"/>
        <v>33189526184.767509</v>
      </c>
      <c r="M2844" s="471">
        <f t="shared" si="141"/>
        <v>0.05</v>
      </c>
      <c r="N2844" s="475">
        <f t="shared" si="142"/>
        <v>137607</v>
      </c>
    </row>
    <row r="2845" spans="7:14" ht="11.25" customHeight="1" x14ac:dyDescent="0.3">
      <c r="G2845" s="470"/>
      <c r="H2845" s="470">
        <v>2838</v>
      </c>
      <c r="I2845" s="455">
        <f t="shared" ca="1" si="140"/>
        <v>33189526184.767509</v>
      </c>
      <c r="J2845" s="455">
        <f t="array" ref="J2845">IFERROR(INDEX('Retirement Calculator'!K:K,MATCH('Lorri 401b'!N2845,'Retirement Calculator'!A:A,0),0),0)</f>
        <v>0</v>
      </c>
      <c r="K2845" s="455">
        <f t="shared" ca="1" si="138"/>
        <v>138289692.43653128</v>
      </c>
      <c r="L2845" s="455">
        <f t="shared" ca="1" si="139"/>
        <v>33327815877.204041</v>
      </c>
      <c r="M2845" s="471">
        <f t="shared" si="141"/>
        <v>0.05</v>
      </c>
      <c r="N2845" s="475">
        <f t="shared" si="142"/>
        <v>137638</v>
      </c>
    </row>
    <row r="2846" spans="7:14" ht="11.25" customHeight="1" x14ac:dyDescent="0.3">
      <c r="G2846" s="470"/>
      <c r="H2846" s="470">
        <v>2839</v>
      </c>
      <c r="I2846" s="455">
        <f t="shared" ca="1" si="140"/>
        <v>33327815877.204041</v>
      </c>
      <c r="J2846" s="455">
        <f t="array" ref="J2846">IFERROR(INDEX('Retirement Calculator'!K:K,MATCH('Lorri 401b'!N2846,'Retirement Calculator'!A:A,0),0),0)</f>
        <v>0</v>
      </c>
      <c r="K2846" s="455">
        <f t="shared" ca="1" si="138"/>
        <v>138865899.48835015</v>
      </c>
      <c r="L2846" s="455">
        <f t="shared" ca="1" si="139"/>
        <v>33466681776.69239</v>
      </c>
      <c r="M2846" s="471">
        <f t="shared" si="141"/>
        <v>0.05</v>
      </c>
      <c r="N2846" s="475">
        <f t="shared" si="142"/>
        <v>137668</v>
      </c>
    </row>
    <row r="2847" spans="7:14" ht="11.25" customHeight="1" x14ac:dyDescent="0.3">
      <c r="G2847" s="470"/>
      <c r="H2847" s="470">
        <v>2840</v>
      </c>
      <c r="I2847" s="455">
        <f t="shared" ca="1" si="140"/>
        <v>33466681776.69239</v>
      </c>
      <c r="J2847" s="455">
        <f t="array" ref="J2847">IFERROR(INDEX('Retirement Calculator'!K:K,MATCH('Lorri 401b'!N2847,'Retirement Calculator'!A:A,0),0),0)</f>
        <v>0</v>
      </c>
      <c r="K2847" s="455">
        <f t="shared" ca="1" si="138"/>
        <v>139444507.40288496</v>
      </c>
      <c r="L2847" s="455">
        <f t="shared" ca="1" si="139"/>
        <v>33606126284.095276</v>
      </c>
      <c r="M2847" s="471">
        <f t="shared" si="141"/>
        <v>0.05</v>
      </c>
      <c r="N2847" s="475">
        <f t="shared" si="142"/>
        <v>137699</v>
      </c>
    </row>
    <row r="2848" spans="7:14" ht="11.25" customHeight="1" x14ac:dyDescent="0.3">
      <c r="G2848" s="470"/>
      <c r="H2848" s="470">
        <v>2841</v>
      </c>
      <c r="I2848" s="455">
        <f t="shared" ca="1" si="140"/>
        <v>33606126284.095276</v>
      </c>
      <c r="J2848" s="455">
        <f t="array" ref="J2848">IFERROR(INDEX('Retirement Calculator'!K:K,MATCH('Lorri 401b'!N2848,'Retirement Calculator'!A:A,0),0),0)</f>
        <v>0</v>
      </c>
      <c r="K2848" s="455">
        <f t="shared" ca="1" si="138"/>
        <v>140025526.18373033</v>
      </c>
      <c r="L2848" s="455">
        <f t="shared" ca="1" si="139"/>
        <v>33746151810.279007</v>
      </c>
      <c r="M2848" s="471">
        <f t="shared" si="141"/>
        <v>0.05</v>
      </c>
      <c r="N2848" s="475">
        <f t="shared" si="142"/>
        <v>137730</v>
      </c>
    </row>
    <row r="2849" spans="7:14" ht="11.25" customHeight="1" x14ac:dyDescent="0.3">
      <c r="G2849" s="470"/>
      <c r="H2849" s="470">
        <v>2842</v>
      </c>
      <c r="I2849" s="455">
        <f t="shared" ca="1" si="140"/>
        <v>33746151810.279007</v>
      </c>
      <c r="J2849" s="455">
        <f t="array" ref="J2849">IFERROR(INDEX('Retirement Calculator'!K:K,MATCH('Lorri 401b'!N2849,'Retirement Calculator'!A:A,0),0),0)</f>
        <v>0</v>
      </c>
      <c r="K2849" s="455">
        <f t="shared" ca="1" si="138"/>
        <v>140608965.87616253</v>
      </c>
      <c r="L2849" s="455">
        <f t="shared" ca="1" si="139"/>
        <v>33886760776.15517</v>
      </c>
      <c r="M2849" s="471">
        <f t="shared" si="141"/>
        <v>0.05</v>
      </c>
      <c r="N2849" s="475">
        <f t="shared" si="142"/>
        <v>137758</v>
      </c>
    </row>
    <row r="2850" spans="7:14" ht="11.25" customHeight="1" x14ac:dyDescent="0.3">
      <c r="G2850" s="470"/>
      <c r="H2850" s="470">
        <v>2843</v>
      </c>
      <c r="I2850" s="455">
        <f t="shared" ca="1" si="140"/>
        <v>33886760776.15517</v>
      </c>
      <c r="J2850" s="455">
        <f t="array" ref="J2850">IFERROR(INDEX('Retirement Calculator'!K:K,MATCH('Lorri 401b'!N2850,'Retirement Calculator'!A:A,0),0),0)</f>
        <v>0</v>
      </c>
      <c r="K2850" s="455">
        <f t="shared" ca="1" si="138"/>
        <v>141194836.56731319</v>
      </c>
      <c r="L2850" s="455">
        <f t="shared" ca="1" si="139"/>
        <v>34027955612.722485</v>
      </c>
      <c r="M2850" s="471">
        <f t="shared" si="141"/>
        <v>0.05</v>
      </c>
      <c r="N2850" s="475">
        <f t="shared" si="142"/>
        <v>137789</v>
      </c>
    </row>
    <row r="2851" spans="7:14" ht="11.25" customHeight="1" x14ac:dyDescent="0.3">
      <c r="G2851" s="470"/>
      <c r="H2851" s="470">
        <v>2844</v>
      </c>
      <c r="I2851" s="455">
        <f t="shared" ca="1" si="140"/>
        <v>34027955612.722485</v>
      </c>
      <c r="J2851" s="455">
        <f t="array" ref="J2851">IFERROR(INDEX('Retirement Calculator'!K:K,MATCH('Lorri 401b'!N2851,'Retirement Calculator'!A:A,0),0),0)</f>
        <v>0</v>
      </c>
      <c r="K2851" s="455">
        <f t="shared" ca="1" si="138"/>
        <v>141783148.38634369</v>
      </c>
      <c r="L2851" s="455">
        <f t="shared" ca="1" si="139"/>
        <v>34169738761.108829</v>
      </c>
      <c r="M2851" s="471">
        <f t="shared" si="141"/>
        <v>0.05</v>
      </c>
      <c r="N2851" s="475">
        <f t="shared" si="142"/>
        <v>137819</v>
      </c>
    </row>
    <row r="2852" spans="7:14" ht="11.25" customHeight="1" x14ac:dyDescent="0.3">
      <c r="G2852" s="470"/>
      <c r="H2852" s="470">
        <v>2845</v>
      </c>
      <c r="I2852" s="455">
        <f t="shared" ca="1" si="140"/>
        <v>34169738761.108829</v>
      </c>
      <c r="J2852" s="455">
        <f t="array" ref="J2852">IFERROR(INDEX('Retirement Calculator'!K:K,MATCH('Lorri 401b'!N2852,'Retirement Calculator'!A:A,0),0),0)</f>
        <v>0</v>
      </c>
      <c r="K2852" s="455">
        <f t="shared" ca="1" si="138"/>
        <v>142373911.50462011</v>
      </c>
      <c r="L2852" s="455">
        <f t="shared" ca="1" si="139"/>
        <v>34312112672.613449</v>
      </c>
      <c r="M2852" s="471">
        <f t="shared" si="141"/>
        <v>0.05</v>
      </c>
      <c r="N2852" s="475">
        <f t="shared" si="142"/>
        <v>137850</v>
      </c>
    </row>
    <row r="2853" spans="7:14" ht="11.25" customHeight="1" x14ac:dyDescent="0.3">
      <c r="G2853" s="470"/>
      <c r="H2853" s="470">
        <v>2846</v>
      </c>
      <c r="I2853" s="455">
        <f t="shared" ca="1" si="140"/>
        <v>34312112672.613449</v>
      </c>
      <c r="J2853" s="455">
        <f t="array" ref="J2853">IFERROR(INDEX('Retirement Calculator'!K:K,MATCH('Lorri 401b'!N2853,'Retirement Calculator'!A:A,0),0),0)</f>
        <v>0</v>
      </c>
      <c r="K2853" s="455">
        <f t="shared" ca="1" si="138"/>
        <v>142967136.13588938</v>
      </c>
      <c r="L2853" s="455">
        <f t="shared" ca="1" si="139"/>
        <v>34455079808.749336</v>
      </c>
      <c r="M2853" s="471">
        <f t="shared" si="141"/>
        <v>0.05</v>
      </c>
      <c r="N2853" s="475">
        <f t="shared" si="142"/>
        <v>137880</v>
      </c>
    </row>
    <row r="2854" spans="7:14" ht="11.25" customHeight="1" x14ac:dyDescent="0.3">
      <c r="G2854" s="470"/>
      <c r="H2854" s="470">
        <v>2847</v>
      </c>
      <c r="I2854" s="455">
        <f t="shared" ca="1" si="140"/>
        <v>34455079808.749336</v>
      </c>
      <c r="J2854" s="455">
        <f t="array" ref="J2854">IFERROR(INDEX('Retirement Calculator'!K:K,MATCH('Lorri 401b'!N2854,'Retirement Calculator'!A:A,0),0),0)</f>
        <v>0</v>
      </c>
      <c r="K2854" s="455">
        <f t="shared" ca="1" si="138"/>
        <v>143562832.53645557</v>
      </c>
      <c r="L2854" s="455">
        <f t="shared" ca="1" si="139"/>
        <v>34598642641.285789</v>
      </c>
      <c r="M2854" s="471">
        <f t="shared" si="141"/>
        <v>0.05</v>
      </c>
      <c r="N2854" s="475">
        <f t="shared" si="142"/>
        <v>137911</v>
      </c>
    </row>
    <row r="2855" spans="7:14" ht="11.25" customHeight="1" x14ac:dyDescent="0.3">
      <c r="G2855" s="470"/>
      <c r="H2855" s="470">
        <v>2848</v>
      </c>
      <c r="I2855" s="455">
        <f t="shared" ca="1" si="140"/>
        <v>34598642641.285789</v>
      </c>
      <c r="J2855" s="455">
        <f t="array" ref="J2855">IFERROR(INDEX('Retirement Calculator'!K:K,MATCH('Lorri 401b'!N2855,'Retirement Calculator'!A:A,0),0),0)</f>
        <v>0</v>
      </c>
      <c r="K2855" s="455">
        <f t="shared" ca="1" si="138"/>
        <v>144161011.00535744</v>
      </c>
      <c r="L2855" s="455">
        <f t="shared" ca="1" si="139"/>
        <v>34742803652.291145</v>
      </c>
      <c r="M2855" s="471">
        <f t="shared" si="141"/>
        <v>0.05</v>
      </c>
      <c r="N2855" s="475">
        <f t="shared" si="142"/>
        <v>137942</v>
      </c>
    </row>
    <row r="2856" spans="7:14" ht="11.25" customHeight="1" x14ac:dyDescent="0.3">
      <c r="G2856" s="470"/>
      <c r="H2856" s="470">
        <v>2849</v>
      </c>
      <c r="I2856" s="455">
        <f t="shared" ca="1" si="140"/>
        <v>34742803652.291145</v>
      </c>
      <c r="J2856" s="455">
        <f t="array" ref="J2856">IFERROR(INDEX('Retirement Calculator'!K:K,MATCH('Lorri 401b'!N2856,'Retirement Calculator'!A:A,0),0),0)</f>
        <v>0</v>
      </c>
      <c r="K2856" s="455">
        <f t="shared" ca="1" si="138"/>
        <v>144761681.88454643</v>
      </c>
      <c r="L2856" s="455">
        <f t="shared" ca="1" si="139"/>
        <v>34887565334.17569</v>
      </c>
      <c r="M2856" s="471">
        <f t="shared" si="141"/>
        <v>0.05</v>
      </c>
      <c r="N2856" s="475">
        <f t="shared" si="142"/>
        <v>137972</v>
      </c>
    </row>
    <row r="2857" spans="7:14" ht="11.25" customHeight="1" x14ac:dyDescent="0.3">
      <c r="G2857" s="470"/>
      <c r="H2857" s="470">
        <v>2850</v>
      </c>
      <c r="I2857" s="455">
        <f t="shared" ca="1" si="140"/>
        <v>34887565334.17569</v>
      </c>
      <c r="J2857" s="455">
        <f t="array" ref="J2857">IFERROR(INDEX('Retirement Calculator'!K:K,MATCH('Lorri 401b'!N2857,'Retirement Calculator'!A:A,0),0),0)</f>
        <v>0</v>
      </c>
      <c r="K2857" s="455">
        <f t="shared" ca="1" si="138"/>
        <v>145364855.55906537</v>
      </c>
      <c r="L2857" s="455">
        <f t="shared" ca="1" si="139"/>
        <v>35032930189.734756</v>
      </c>
      <c r="M2857" s="471">
        <f t="shared" si="141"/>
        <v>0.05</v>
      </c>
      <c r="N2857" s="475">
        <f t="shared" si="142"/>
        <v>138003</v>
      </c>
    </row>
    <row r="2858" spans="7:14" ht="11.25" customHeight="1" x14ac:dyDescent="0.3">
      <c r="G2858" s="470"/>
      <c r="H2858" s="470">
        <v>2851</v>
      </c>
      <c r="I2858" s="455">
        <f t="shared" ca="1" si="140"/>
        <v>35032930189.734756</v>
      </c>
      <c r="J2858" s="455">
        <f t="array" ref="J2858">IFERROR(INDEX('Retirement Calculator'!K:K,MATCH('Lorri 401b'!N2858,'Retirement Calculator'!A:A,0),0),0)</f>
        <v>0</v>
      </c>
      <c r="K2858" s="455">
        <f t="shared" ca="1" si="138"/>
        <v>145970542.45722815</v>
      </c>
      <c r="L2858" s="455">
        <f t="shared" ca="1" si="139"/>
        <v>35178900732.191986</v>
      </c>
      <c r="M2858" s="471">
        <f t="shared" si="141"/>
        <v>0.05</v>
      </c>
      <c r="N2858" s="475">
        <f t="shared" si="142"/>
        <v>138033</v>
      </c>
    </row>
    <row r="2859" spans="7:14" ht="11.25" customHeight="1" x14ac:dyDescent="0.3">
      <c r="G2859" s="470"/>
      <c r="H2859" s="470">
        <v>2852</v>
      </c>
      <c r="I2859" s="455">
        <f t="shared" ca="1" si="140"/>
        <v>35178900732.191986</v>
      </c>
      <c r="J2859" s="455">
        <f t="array" ref="J2859">IFERROR(INDEX('Retirement Calculator'!K:K,MATCH('Lorri 401b'!N2859,'Retirement Calculator'!A:A,0),0),0)</f>
        <v>0</v>
      </c>
      <c r="K2859" s="455">
        <f t="shared" ca="1" si="138"/>
        <v>146578753.05079994</v>
      </c>
      <c r="L2859" s="455">
        <f t="shared" ca="1" si="139"/>
        <v>35325479485.242783</v>
      </c>
      <c r="M2859" s="471">
        <f t="shared" si="141"/>
        <v>0.05</v>
      </c>
      <c r="N2859" s="475">
        <f t="shared" si="142"/>
        <v>138064</v>
      </c>
    </row>
    <row r="2860" spans="7:14" ht="11.25" customHeight="1" x14ac:dyDescent="0.3">
      <c r="G2860" s="470"/>
      <c r="H2860" s="470">
        <v>2853</v>
      </c>
      <c r="I2860" s="455">
        <f t="shared" ca="1" si="140"/>
        <v>35325479485.242783</v>
      </c>
      <c r="J2860" s="455">
        <f t="array" ref="J2860">IFERROR(INDEX('Retirement Calculator'!K:K,MATCH('Lorri 401b'!N2860,'Retirement Calculator'!A:A,0),0),0)</f>
        <v>0</v>
      </c>
      <c r="K2860" s="455">
        <f t="shared" ca="1" si="138"/>
        <v>147189497.85517827</v>
      </c>
      <c r="L2860" s="455">
        <f t="shared" ca="1" si="139"/>
        <v>35472668983.097961</v>
      </c>
      <c r="M2860" s="471">
        <f t="shared" si="141"/>
        <v>0.05</v>
      </c>
      <c r="N2860" s="475">
        <f t="shared" si="142"/>
        <v>138095</v>
      </c>
    </row>
    <row r="2861" spans="7:14" ht="11.25" customHeight="1" x14ac:dyDescent="0.3">
      <c r="G2861" s="470"/>
      <c r="H2861" s="470">
        <v>2854</v>
      </c>
      <c r="I2861" s="455">
        <f t="shared" ca="1" si="140"/>
        <v>35472668983.097961</v>
      </c>
      <c r="J2861" s="455">
        <f t="array" ref="J2861">IFERROR(INDEX('Retirement Calculator'!K:K,MATCH('Lorri 401b'!N2861,'Retirement Calculator'!A:A,0),0),0)</f>
        <v>0</v>
      </c>
      <c r="K2861" s="455">
        <f t="shared" ca="1" si="138"/>
        <v>147802787.42957485</v>
      </c>
      <c r="L2861" s="455">
        <f t="shared" ca="1" si="139"/>
        <v>35620471770.527534</v>
      </c>
      <c r="M2861" s="471">
        <f t="shared" si="141"/>
        <v>0.05</v>
      </c>
      <c r="N2861" s="475">
        <f t="shared" si="142"/>
        <v>138123</v>
      </c>
    </row>
    <row r="2862" spans="7:14" ht="11.25" customHeight="1" x14ac:dyDescent="0.3">
      <c r="G2862" s="470"/>
      <c r="H2862" s="470">
        <v>2855</v>
      </c>
      <c r="I2862" s="455">
        <f t="shared" ca="1" si="140"/>
        <v>35620471770.527534</v>
      </c>
      <c r="J2862" s="455">
        <f t="array" ref="J2862">IFERROR(INDEX('Retirement Calculator'!K:K,MATCH('Lorri 401b'!N2862,'Retirement Calculator'!A:A,0),0),0)</f>
        <v>0</v>
      </c>
      <c r="K2862" s="455">
        <f t="shared" ca="1" si="138"/>
        <v>148418632.37719807</v>
      </c>
      <c r="L2862" s="455">
        <f t="shared" ca="1" si="139"/>
        <v>35768890402.904732</v>
      </c>
      <c r="M2862" s="471">
        <f t="shared" si="141"/>
        <v>0.05</v>
      </c>
      <c r="N2862" s="475">
        <f t="shared" si="142"/>
        <v>138154</v>
      </c>
    </row>
    <row r="2863" spans="7:14" ht="11.25" customHeight="1" x14ac:dyDescent="0.3">
      <c r="G2863" s="470"/>
      <c r="H2863" s="470">
        <v>2856</v>
      </c>
      <c r="I2863" s="455">
        <f t="shared" ca="1" si="140"/>
        <v>35768890402.904732</v>
      </c>
      <c r="J2863" s="455">
        <f t="array" ref="J2863">IFERROR(INDEX('Retirement Calculator'!K:K,MATCH('Lorri 401b'!N2863,'Retirement Calculator'!A:A,0),0),0)</f>
        <v>0</v>
      </c>
      <c r="K2863" s="455">
        <f t="shared" ca="1" si="138"/>
        <v>149037043.34543639</v>
      </c>
      <c r="L2863" s="455">
        <f t="shared" ca="1" si="139"/>
        <v>35917927446.250168</v>
      </c>
      <c r="M2863" s="471">
        <f t="shared" si="141"/>
        <v>0.05</v>
      </c>
      <c r="N2863" s="475">
        <f t="shared" si="142"/>
        <v>138184</v>
      </c>
    </row>
    <row r="2864" spans="7:14" ht="11.25" customHeight="1" x14ac:dyDescent="0.3">
      <c r="G2864" s="470"/>
      <c r="H2864" s="470">
        <v>2857</v>
      </c>
      <c r="I2864" s="455">
        <f t="shared" ca="1" si="140"/>
        <v>35917927446.250168</v>
      </c>
      <c r="J2864" s="455">
        <f t="array" ref="J2864">IFERROR(INDEX('Retirement Calculator'!K:K,MATCH('Lorri 401b'!N2864,'Retirement Calculator'!A:A,0),0),0)</f>
        <v>0</v>
      </c>
      <c r="K2864" s="455">
        <f t="shared" ca="1" si="138"/>
        <v>149658031.02604237</v>
      </c>
      <c r="L2864" s="455">
        <f t="shared" ca="1" si="139"/>
        <v>36067585477.276207</v>
      </c>
      <c r="M2864" s="471">
        <f t="shared" si="141"/>
        <v>0.05</v>
      </c>
      <c r="N2864" s="475">
        <f t="shared" si="142"/>
        <v>138215</v>
      </c>
    </row>
    <row r="2865" spans="7:14" ht="11.25" customHeight="1" x14ac:dyDescent="0.3">
      <c r="G2865" s="470"/>
      <c r="H2865" s="470">
        <v>2858</v>
      </c>
      <c r="I2865" s="455">
        <f t="shared" ca="1" si="140"/>
        <v>36067585477.276207</v>
      </c>
      <c r="J2865" s="455">
        <f t="array" ref="J2865">IFERROR(INDEX('Retirement Calculator'!K:K,MATCH('Lorri 401b'!N2865,'Retirement Calculator'!A:A,0),0),0)</f>
        <v>0</v>
      </c>
      <c r="K2865" s="455">
        <f t="shared" ca="1" si="138"/>
        <v>150281606.15531752</v>
      </c>
      <c r="L2865" s="455">
        <f t="shared" ca="1" si="139"/>
        <v>36217867083.431526</v>
      </c>
      <c r="M2865" s="471">
        <f t="shared" si="141"/>
        <v>0.05</v>
      </c>
      <c r="N2865" s="475">
        <f t="shared" si="142"/>
        <v>138245</v>
      </c>
    </row>
    <row r="2866" spans="7:14" ht="11.25" customHeight="1" x14ac:dyDescent="0.3">
      <c r="G2866" s="470"/>
      <c r="H2866" s="470">
        <v>2859</v>
      </c>
      <c r="I2866" s="455">
        <f t="shared" ca="1" si="140"/>
        <v>36217867083.431526</v>
      </c>
      <c r="J2866" s="455">
        <f t="array" ref="J2866">IFERROR(INDEX('Retirement Calculator'!K:K,MATCH('Lorri 401b'!N2866,'Retirement Calculator'!A:A,0),0),0)</f>
        <v>0</v>
      </c>
      <c r="K2866" s="455">
        <f t="shared" ca="1" si="138"/>
        <v>150907779.51429802</v>
      </c>
      <c r="L2866" s="455">
        <f t="shared" ca="1" si="139"/>
        <v>36368774862.945824</v>
      </c>
      <c r="M2866" s="471">
        <f t="shared" si="141"/>
        <v>0.05</v>
      </c>
      <c r="N2866" s="475">
        <f t="shared" si="142"/>
        <v>138276</v>
      </c>
    </row>
    <row r="2867" spans="7:14" ht="11.25" customHeight="1" x14ac:dyDescent="0.3">
      <c r="G2867" s="470"/>
      <c r="H2867" s="470">
        <v>2860</v>
      </c>
      <c r="I2867" s="455">
        <f t="shared" ca="1" si="140"/>
        <v>36368774862.945824</v>
      </c>
      <c r="J2867" s="455">
        <f t="array" ref="J2867">IFERROR(INDEX('Retirement Calculator'!K:K,MATCH('Lorri 401b'!N2867,'Retirement Calculator'!A:A,0),0),0)</f>
        <v>0</v>
      </c>
      <c r="K2867" s="455">
        <f t="shared" ca="1" si="138"/>
        <v>151536561.92894092</v>
      </c>
      <c r="L2867" s="455">
        <f t="shared" ca="1" si="139"/>
        <v>36520311424.874763</v>
      </c>
      <c r="M2867" s="471">
        <f t="shared" si="141"/>
        <v>0.05</v>
      </c>
      <c r="N2867" s="475">
        <f t="shared" si="142"/>
        <v>138307</v>
      </c>
    </row>
    <row r="2868" spans="7:14" ht="11.25" customHeight="1" x14ac:dyDescent="0.3">
      <c r="G2868" s="470"/>
      <c r="H2868" s="470">
        <v>2861</v>
      </c>
      <c r="I2868" s="455">
        <f t="shared" ca="1" si="140"/>
        <v>36520311424.874763</v>
      </c>
      <c r="J2868" s="455">
        <f t="array" ref="J2868">IFERROR(INDEX('Retirement Calculator'!K:K,MATCH('Lorri 401b'!N2868,'Retirement Calculator'!A:A,0),0),0)</f>
        <v>0</v>
      </c>
      <c r="K2868" s="455">
        <f t="shared" ca="1" si="138"/>
        <v>152167964.2703115</v>
      </c>
      <c r="L2868" s="455">
        <f t="shared" ca="1" si="139"/>
        <v>36672479389.145073</v>
      </c>
      <c r="M2868" s="471">
        <f t="shared" si="141"/>
        <v>0.05</v>
      </c>
      <c r="N2868" s="475">
        <f t="shared" si="142"/>
        <v>138337</v>
      </c>
    </row>
    <row r="2869" spans="7:14" ht="11.25" customHeight="1" x14ac:dyDescent="0.3">
      <c r="G2869" s="470"/>
      <c r="H2869" s="470">
        <v>2862</v>
      </c>
      <c r="I2869" s="455">
        <f t="shared" ca="1" si="140"/>
        <v>36672479389.145073</v>
      </c>
      <c r="J2869" s="455">
        <f t="array" ref="J2869">IFERROR(INDEX('Retirement Calculator'!K:K,MATCH('Lorri 401b'!N2869,'Retirement Calculator'!A:A,0),0),0)</f>
        <v>0</v>
      </c>
      <c r="K2869" s="455">
        <f t="shared" ca="1" si="138"/>
        <v>152801997.45477113</v>
      </c>
      <c r="L2869" s="455">
        <f t="shared" ca="1" si="139"/>
        <v>36825281386.599846</v>
      </c>
      <c r="M2869" s="471">
        <f t="shared" si="141"/>
        <v>0.05</v>
      </c>
      <c r="N2869" s="475">
        <f t="shared" si="142"/>
        <v>138368</v>
      </c>
    </row>
    <row r="2870" spans="7:14" ht="11.25" customHeight="1" x14ac:dyDescent="0.3">
      <c r="G2870" s="470"/>
      <c r="H2870" s="470">
        <v>2863</v>
      </c>
      <c r="I2870" s="455">
        <f t="shared" ca="1" si="140"/>
        <v>36825281386.599846</v>
      </c>
      <c r="J2870" s="455">
        <f t="array" ref="J2870">IFERROR(INDEX('Retirement Calculator'!K:K,MATCH('Lorri 401b'!N2870,'Retirement Calculator'!A:A,0),0),0)</f>
        <v>0</v>
      </c>
      <c r="K2870" s="455">
        <f t="shared" ca="1" si="138"/>
        <v>153438672.44416603</v>
      </c>
      <c r="L2870" s="455">
        <f t="shared" ca="1" si="139"/>
        <v>36978720059.044014</v>
      </c>
      <c r="M2870" s="471">
        <f t="shared" si="141"/>
        <v>0.05</v>
      </c>
      <c r="N2870" s="475">
        <f t="shared" si="142"/>
        <v>138398</v>
      </c>
    </row>
    <row r="2871" spans="7:14" ht="11.25" customHeight="1" x14ac:dyDescent="0.3">
      <c r="G2871" s="470"/>
      <c r="H2871" s="470">
        <v>2864</v>
      </c>
      <c r="I2871" s="455">
        <f t="shared" ca="1" si="140"/>
        <v>36978720059.044014</v>
      </c>
      <c r="J2871" s="455">
        <f t="array" ref="J2871">IFERROR(INDEX('Retirement Calculator'!K:K,MATCH('Lorri 401b'!N2871,'Retirement Calculator'!A:A,0),0),0)</f>
        <v>0</v>
      </c>
      <c r="K2871" s="455">
        <f t="shared" ca="1" si="138"/>
        <v>154078000.24601671</v>
      </c>
      <c r="L2871" s="455">
        <f t="shared" ca="1" si="139"/>
        <v>37132798059.290031</v>
      </c>
      <c r="M2871" s="471">
        <f t="shared" si="141"/>
        <v>0.05</v>
      </c>
      <c r="N2871" s="475">
        <f t="shared" si="142"/>
        <v>138429</v>
      </c>
    </row>
    <row r="2872" spans="7:14" ht="11.25" customHeight="1" x14ac:dyDescent="0.3">
      <c r="G2872" s="470"/>
      <c r="H2872" s="470">
        <v>2865</v>
      </c>
      <c r="I2872" s="455">
        <f t="shared" ca="1" si="140"/>
        <v>37132798059.290031</v>
      </c>
      <c r="J2872" s="455">
        <f t="array" ref="J2872">IFERROR(INDEX('Retirement Calculator'!K:K,MATCH('Lorri 401b'!N2872,'Retirement Calculator'!A:A,0),0),0)</f>
        <v>0</v>
      </c>
      <c r="K2872" s="455">
        <f t="shared" ca="1" si="138"/>
        <v>154719991.91370845</v>
      </c>
      <c r="L2872" s="455">
        <f t="shared" ca="1" si="139"/>
        <v>37287518051.203743</v>
      </c>
      <c r="M2872" s="471">
        <f t="shared" si="141"/>
        <v>0.05</v>
      </c>
      <c r="N2872" s="475">
        <f t="shared" si="142"/>
        <v>138460</v>
      </c>
    </row>
    <row r="2873" spans="7:14" ht="11.25" customHeight="1" x14ac:dyDescent="0.3">
      <c r="G2873" s="470"/>
      <c r="H2873" s="470">
        <v>2866</v>
      </c>
      <c r="I2873" s="455">
        <f t="shared" ca="1" si="140"/>
        <v>37287518051.203743</v>
      </c>
      <c r="J2873" s="455">
        <f t="array" ref="J2873">IFERROR(INDEX('Retirement Calculator'!K:K,MATCH('Lorri 401b'!N2873,'Retirement Calculator'!A:A,0),0),0)</f>
        <v>0</v>
      </c>
      <c r="K2873" s="455">
        <f t="shared" ca="1" si="138"/>
        <v>155364658.54668227</v>
      </c>
      <c r="L2873" s="455">
        <f t="shared" ca="1" si="139"/>
        <v>37442882709.750427</v>
      </c>
      <c r="M2873" s="471">
        <f t="shared" si="141"/>
        <v>0.05</v>
      </c>
      <c r="N2873" s="475">
        <f t="shared" si="142"/>
        <v>138488</v>
      </c>
    </row>
    <row r="2874" spans="7:14" ht="11.25" customHeight="1" x14ac:dyDescent="0.3">
      <c r="G2874" s="470"/>
      <c r="H2874" s="470">
        <v>2867</v>
      </c>
      <c r="I2874" s="455">
        <f t="shared" ca="1" si="140"/>
        <v>37442882709.750427</v>
      </c>
      <c r="J2874" s="455">
        <f t="array" ref="J2874">IFERROR(INDEX('Retirement Calculator'!K:K,MATCH('Lorri 401b'!N2874,'Retirement Calculator'!A:A,0),0),0)</f>
        <v>0</v>
      </c>
      <c r="K2874" s="455">
        <f t="shared" ca="1" si="138"/>
        <v>156012011.29062676</v>
      </c>
      <c r="L2874" s="455">
        <f t="shared" ca="1" si="139"/>
        <v>37598894721.041054</v>
      </c>
      <c r="M2874" s="471">
        <f t="shared" si="141"/>
        <v>0.05</v>
      </c>
      <c r="N2874" s="475">
        <f t="shared" si="142"/>
        <v>138519</v>
      </c>
    </row>
    <row r="2875" spans="7:14" ht="11.25" customHeight="1" x14ac:dyDescent="0.3">
      <c r="G2875" s="470"/>
      <c r="H2875" s="470">
        <v>2868</v>
      </c>
      <c r="I2875" s="455">
        <f t="shared" ca="1" si="140"/>
        <v>37598894721.041054</v>
      </c>
      <c r="J2875" s="455">
        <f t="array" ref="J2875">IFERROR(INDEX('Retirement Calculator'!K:K,MATCH('Lorri 401b'!N2875,'Retirement Calculator'!A:A,0),0),0)</f>
        <v>0</v>
      </c>
      <c r="K2875" s="455">
        <f t="shared" ca="1" si="138"/>
        <v>156662061.33767104</v>
      </c>
      <c r="L2875" s="455">
        <f t="shared" ca="1" si="139"/>
        <v>37755556782.378723</v>
      </c>
      <c r="M2875" s="471">
        <f t="shared" si="141"/>
        <v>0.05</v>
      </c>
      <c r="N2875" s="475">
        <f t="shared" si="142"/>
        <v>138549</v>
      </c>
    </row>
    <row r="2876" spans="7:14" ht="11.25" customHeight="1" x14ac:dyDescent="0.3">
      <c r="G2876" s="470"/>
      <c r="H2876" s="470">
        <v>2869</v>
      </c>
      <c r="I2876" s="455">
        <f t="shared" ca="1" si="140"/>
        <v>37755556782.378723</v>
      </c>
      <c r="J2876" s="455">
        <f t="array" ref="J2876">IFERROR(INDEX('Retirement Calculator'!K:K,MATCH('Lorri 401b'!N2876,'Retirement Calculator'!A:A,0),0),0)</f>
        <v>0</v>
      </c>
      <c r="K2876" s="455">
        <f t="shared" ca="1" si="138"/>
        <v>157314819.92657802</v>
      </c>
      <c r="L2876" s="455">
        <f t="shared" ca="1" si="139"/>
        <v>37912871602.305298</v>
      </c>
      <c r="M2876" s="471">
        <f t="shared" si="141"/>
        <v>0.05</v>
      </c>
      <c r="N2876" s="475">
        <f t="shared" si="142"/>
        <v>138580</v>
      </c>
    </row>
    <row r="2877" spans="7:14" ht="11.25" customHeight="1" x14ac:dyDescent="0.3">
      <c r="G2877" s="470"/>
      <c r="H2877" s="470">
        <v>2870</v>
      </c>
      <c r="I2877" s="455">
        <f t="shared" ca="1" si="140"/>
        <v>37912871602.305298</v>
      </c>
      <c r="J2877" s="455">
        <f t="array" ref="J2877">IFERROR(INDEX('Retirement Calculator'!K:K,MATCH('Lorri 401b'!N2877,'Retirement Calculator'!A:A,0),0),0)</f>
        <v>0</v>
      </c>
      <c r="K2877" s="455">
        <f t="shared" ca="1" si="138"/>
        <v>157970298.34293875</v>
      </c>
      <c r="L2877" s="455">
        <f t="shared" ca="1" si="139"/>
        <v>38070841900.648239</v>
      </c>
      <c r="M2877" s="471">
        <f t="shared" si="141"/>
        <v>0.05</v>
      </c>
      <c r="N2877" s="475">
        <f t="shared" si="142"/>
        <v>138610</v>
      </c>
    </row>
    <row r="2878" spans="7:14" ht="11.25" customHeight="1" x14ac:dyDescent="0.3">
      <c r="G2878" s="470"/>
      <c r="H2878" s="470">
        <v>2871</v>
      </c>
      <c r="I2878" s="455">
        <f t="shared" ca="1" si="140"/>
        <v>38070841900.648239</v>
      </c>
      <c r="J2878" s="455">
        <f t="array" ref="J2878">IFERROR(INDEX('Retirement Calculator'!K:K,MATCH('Lorri 401b'!N2878,'Retirement Calculator'!A:A,0),0),0)</f>
        <v>0</v>
      </c>
      <c r="K2878" s="455">
        <f t="shared" ca="1" si="138"/>
        <v>158628507.91936767</v>
      </c>
      <c r="L2878" s="455">
        <f t="shared" ca="1" si="139"/>
        <v>38229470408.567604</v>
      </c>
      <c r="M2878" s="471">
        <f t="shared" si="141"/>
        <v>0.05</v>
      </c>
      <c r="N2878" s="475">
        <f t="shared" si="142"/>
        <v>138641</v>
      </c>
    </row>
    <row r="2879" spans="7:14" ht="11.25" customHeight="1" x14ac:dyDescent="0.3">
      <c r="G2879" s="470"/>
      <c r="H2879" s="470">
        <v>2872</v>
      </c>
      <c r="I2879" s="455">
        <f t="shared" ca="1" si="140"/>
        <v>38229470408.567604</v>
      </c>
      <c r="J2879" s="455">
        <f t="array" ref="J2879">IFERROR(INDEX('Retirement Calculator'!K:K,MATCH('Lorri 401b'!N2879,'Retirement Calculator'!A:A,0),0),0)</f>
        <v>0</v>
      </c>
      <c r="K2879" s="455">
        <f t="shared" ca="1" si="138"/>
        <v>159289460.03569835</v>
      </c>
      <c r="L2879" s="455">
        <f t="shared" ca="1" si="139"/>
        <v>38388759868.603302</v>
      </c>
      <c r="M2879" s="471">
        <f t="shared" si="141"/>
        <v>0.05</v>
      </c>
      <c r="N2879" s="475">
        <f t="shared" si="142"/>
        <v>138672</v>
      </c>
    </row>
    <row r="2880" spans="7:14" ht="11.25" customHeight="1" x14ac:dyDescent="0.3">
      <c r="G2880" s="470"/>
      <c r="H2880" s="470">
        <v>2873</v>
      </c>
      <c r="I2880" s="455">
        <f t="shared" ca="1" si="140"/>
        <v>38388759868.603302</v>
      </c>
      <c r="J2880" s="455">
        <f t="array" ref="J2880">IFERROR(INDEX('Retirement Calculator'!K:K,MATCH('Lorri 401b'!N2880,'Retirement Calculator'!A:A,0),0),0)</f>
        <v>0</v>
      </c>
      <c r="K2880" s="455">
        <f t="shared" ca="1" si="138"/>
        <v>159953166.11918041</v>
      </c>
      <c r="L2880" s="455">
        <f t="shared" ca="1" si="139"/>
        <v>38548713034.722481</v>
      </c>
      <c r="M2880" s="471">
        <f t="shared" si="141"/>
        <v>0.05</v>
      </c>
      <c r="N2880" s="475">
        <f t="shared" si="142"/>
        <v>138702</v>
      </c>
    </row>
    <row r="2881" spans="7:14" ht="11.25" customHeight="1" x14ac:dyDescent="0.3">
      <c r="G2881" s="470"/>
      <c r="H2881" s="470">
        <v>2874</v>
      </c>
      <c r="I2881" s="455">
        <f t="shared" ca="1" si="140"/>
        <v>38548713034.722481</v>
      </c>
      <c r="J2881" s="455">
        <f t="array" ref="J2881">IFERROR(INDEX('Retirement Calculator'!K:K,MATCH('Lorri 401b'!N2881,'Retirement Calculator'!A:A,0),0),0)</f>
        <v>0</v>
      </c>
      <c r="K2881" s="455">
        <f t="shared" ca="1" si="138"/>
        <v>160619637.64467701</v>
      </c>
      <c r="L2881" s="455">
        <f t="shared" ca="1" si="139"/>
        <v>38709332672.367157</v>
      </c>
      <c r="M2881" s="471">
        <f t="shared" si="141"/>
        <v>0.05</v>
      </c>
      <c r="N2881" s="475">
        <f t="shared" si="142"/>
        <v>138733</v>
      </c>
    </row>
    <row r="2882" spans="7:14" ht="11.25" customHeight="1" x14ac:dyDescent="0.3">
      <c r="G2882" s="470"/>
      <c r="H2882" s="470">
        <v>2875</v>
      </c>
      <c r="I2882" s="455">
        <f t="shared" ca="1" si="140"/>
        <v>38709332672.367157</v>
      </c>
      <c r="J2882" s="455">
        <f t="array" ref="J2882">IFERROR(INDEX('Retirement Calculator'!K:K,MATCH('Lorri 401b'!N2882,'Retirement Calculator'!A:A,0),0),0)</f>
        <v>0</v>
      </c>
      <c r="K2882" s="455">
        <f t="shared" ca="1" si="138"/>
        <v>161288886.13486314</v>
      </c>
      <c r="L2882" s="455">
        <f t="shared" ca="1" si="139"/>
        <v>38870621558.502022</v>
      </c>
      <c r="M2882" s="471">
        <f t="shared" si="141"/>
        <v>0.05</v>
      </c>
      <c r="N2882" s="475">
        <f t="shared" si="142"/>
        <v>138763</v>
      </c>
    </row>
    <row r="2883" spans="7:14" ht="11.25" customHeight="1" x14ac:dyDescent="0.3">
      <c r="G2883" s="470"/>
      <c r="H2883" s="470">
        <v>2876</v>
      </c>
      <c r="I2883" s="455">
        <f t="shared" ca="1" si="140"/>
        <v>38870621558.502022</v>
      </c>
      <c r="J2883" s="455">
        <f t="array" ref="J2883">IFERROR(INDEX('Retirement Calculator'!K:K,MATCH('Lorri 401b'!N2883,'Retirement Calculator'!A:A,0),0),0)</f>
        <v>0</v>
      </c>
      <c r="K2883" s="455">
        <f t="shared" ca="1" si="138"/>
        <v>161960923.1604251</v>
      </c>
      <c r="L2883" s="455">
        <f t="shared" ca="1" si="139"/>
        <v>39032582481.662445</v>
      </c>
      <c r="M2883" s="471">
        <f t="shared" si="141"/>
        <v>0.05</v>
      </c>
      <c r="N2883" s="475">
        <f t="shared" si="142"/>
        <v>138794</v>
      </c>
    </row>
    <row r="2884" spans="7:14" ht="11.25" customHeight="1" x14ac:dyDescent="0.3">
      <c r="G2884" s="470"/>
      <c r="H2884" s="470">
        <v>2877</v>
      </c>
      <c r="I2884" s="455">
        <f t="shared" ca="1" si="140"/>
        <v>39032582481.662445</v>
      </c>
      <c r="J2884" s="455">
        <f t="array" ref="J2884">IFERROR(INDEX('Retirement Calculator'!K:K,MATCH('Lorri 401b'!N2884,'Retirement Calculator'!A:A,0),0),0)</f>
        <v>0</v>
      </c>
      <c r="K2884" s="455">
        <f t="shared" ca="1" si="138"/>
        <v>162635760.34026018</v>
      </c>
      <c r="L2884" s="455">
        <f t="shared" ca="1" si="139"/>
        <v>39195218242.002708</v>
      </c>
      <c r="M2884" s="471">
        <f t="shared" si="141"/>
        <v>0.05</v>
      </c>
      <c r="N2884" s="475">
        <f t="shared" si="142"/>
        <v>138825</v>
      </c>
    </row>
    <row r="2885" spans="7:14" ht="11.25" customHeight="1" x14ac:dyDescent="0.3">
      <c r="G2885" s="470"/>
      <c r="H2885" s="470">
        <v>2878</v>
      </c>
      <c r="I2885" s="455">
        <f t="shared" ca="1" si="140"/>
        <v>39195218242.002708</v>
      </c>
      <c r="J2885" s="455">
        <f t="array" ref="J2885">IFERROR(INDEX('Retirement Calculator'!K:K,MATCH('Lorri 401b'!N2885,'Retirement Calculator'!A:A,0),0),0)</f>
        <v>0</v>
      </c>
      <c r="K2885" s="455">
        <f t="shared" ca="1" si="138"/>
        <v>163313409.34167796</v>
      </c>
      <c r="L2885" s="455">
        <f t="shared" ca="1" si="139"/>
        <v>39358531651.344383</v>
      </c>
      <c r="M2885" s="471">
        <f t="shared" si="141"/>
        <v>0.05</v>
      </c>
      <c r="N2885" s="475">
        <f t="shared" si="142"/>
        <v>138854</v>
      </c>
    </row>
    <row r="2886" spans="7:14" ht="11.25" customHeight="1" x14ac:dyDescent="0.3">
      <c r="G2886" s="470"/>
      <c r="H2886" s="470">
        <v>2879</v>
      </c>
      <c r="I2886" s="455">
        <f t="shared" ca="1" si="140"/>
        <v>39358531651.344383</v>
      </c>
      <c r="J2886" s="455">
        <f t="array" ref="J2886">IFERROR(INDEX('Retirement Calculator'!K:K,MATCH('Lorri 401b'!N2886,'Retirement Calculator'!A:A,0),0),0)</f>
        <v>0</v>
      </c>
      <c r="K2886" s="455">
        <f t="shared" ca="1" si="138"/>
        <v>163993881.88060158</v>
      </c>
      <c r="L2886" s="455">
        <f t="shared" ca="1" si="139"/>
        <v>39522525533.224983</v>
      </c>
      <c r="M2886" s="471">
        <f t="shared" si="141"/>
        <v>0.05</v>
      </c>
      <c r="N2886" s="475">
        <f t="shared" si="142"/>
        <v>138885</v>
      </c>
    </row>
    <row r="2887" spans="7:14" ht="11.25" customHeight="1" x14ac:dyDescent="0.3">
      <c r="G2887" s="470"/>
      <c r="H2887" s="470">
        <v>2880</v>
      </c>
      <c r="I2887" s="455">
        <f t="shared" ca="1" si="140"/>
        <v>39522525533.224983</v>
      </c>
      <c r="J2887" s="455">
        <f t="array" ref="J2887">IFERROR(INDEX('Retirement Calculator'!K:K,MATCH('Lorri 401b'!N2887,'Retirement Calculator'!A:A,0),0),0)</f>
        <v>0</v>
      </c>
      <c r="K2887" s="455">
        <f t="shared" ca="1" si="138"/>
        <v>164677189.72177076</v>
      </c>
      <c r="L2887" s="455">
        <f t="shared" ca="1" si="139"/>
        <v>39687202722.946754</v>
      </c>
      <c r="M2887" s="471">
        <f t="shared" si="141"/>
        <v>0.05</v>
      </c>
      <c r="N2887" s="475">
        <f t="shared" si="142"/>
        <v>138915</v>
      </c>
    </row>
    <row r="2888" spans="7:14" ht="11.25" customHeight="1" x14ac:dyDescent="0.3">
      <c r="G2888" s="470"/>
      <c r="H2888" s="470">
        <v>2881</v>
      </c>
      <c r="I2888" s="455">
        <f t="shared" ca="1" si="140"/>
        <v>39687202722.946754</v>
      </c>
      <c r="J2888" s="455">
        <f t="array" ref="J2888">IFERROR(INDEX('Retirement Calculator'!K:K,MATCH('Lorri 401b'!N2888,'Retirement Calculator'!A:A,0),0),0)</f>
        <v>0</v>
      </c>
      <c r="K2888" s="455">
        <f t="shared" ca="1" si="138"/>
        <v>165363344.6789448</v>
      </c>
      <c r="L2888" s="455">
        <f t="shared" ca="1" si="139"/>
        <v>39852566067.625702</v>
      </c>
      <c r="M2888" s="471">
        <f t="shared" si="141"/>
        <v>0.05</v>
      </c>
      <c r="N2888" s="475">
        <f t="shared" si="142"/>
        <v>138946</v>
      </c>
    </row>
    <row r="2889" spans="7:14" ht="11.25" customHeight="1" x14ac:dyDescent="0.3">
      <c r="G2889" s="470"/>
      <c r="H2889" s="470">
        <v>2882</v>
      </c>
      <c r="I2889" s="455">
        <f t="shared" ca="1" si="140"/>
        <v>39852566067.625702</v>
      </c>
      <c r="J2889" s="455">
        <f t="array" ref="J2889">IFERROR(INDEX('Retirement Calculator'!K:K,MATCH('Lorri 401b'!N2889,'Retirement Calculator'!A:A,0),0),0)</f>
        <v>0</v>
      </c>
      <c r="K2889" s="455">
        <f t="shared" ca="1" si="138"/>
        <v>166052358.61510709</v>
      </c>
      <c r="L2889" s="455">
        <f t="shared" ca="1" si="139"/>
        <v>40018618426.240807</v>
      </c>
      <c r="M2889" s="471">
        <f t="shared" si="141"/>
        <v>0.05</v>
      </c>
      <c r="N2889" s="475">
        <f t="shared" si="142"/>
        <v>138976</v>
      </c>
    </row>
    <row r="2890" spans="7:14" ht="11.25" customHeight="1" x14ac:dyDescent="0.3">
      <c r="G2890" s="470"/>
      <c r="H2890" s="470">
        <v>2883</v>
      </c>
      <c r="I2890" s="455">
        <f t="shared" ca="1" si="140"/>
        <v>40018618426.240807</v>
      </c>
      <c r="J2890" s="455">
        <f t="array" ref="J2890">IFERROR(INDEX('Retirement Calculator'!K:K,MATCH('Lorri 401b'!N2890,'Retirement Calculator'!A:A,0),0),0)</f>
        <v>0</v>
      </c>
      <c r="K2890" s="455">
        <f t="shared" ca="1" si="138"/>
        <v>166744243.44267002</v>
      </c>
      <c r="L2890" s="455">
        <f t="shared" ca="1" si="139"/>
        <v>40185362669.683479</v>
      </c>
      <c r="M2890" s="471">
        <f t="shared" si="141"/>
        <v>0.05</v>
      </c>
      <c r="N2890" s="475">
        <f t="shared" si="142"/>
        <v>139007</v>
      </c>
    </row>
    <row r="2891" spans="7:14" ht="11.25" customHeight="1" x14ac:dyDescent="0.3">
      <c r="G2891" s="470"/>
      <c r="H2891" s="470">
        <v>2884</v>
      </c>
      <c r="I2891" s="455">
        <f t="shared" ca="1" si="140"/>
        <v>40185362669.683479</v>
      </c>
      <c r="J2891" s="455">
        <f t="array" ref="J2891">IFERROR(INDEX('Retirement Calculator'!K:K,MATCH('Lorri 401b'!N2891,'Retirement Calculator'!A:A,0),0),0)</f>
        <v>0</v>
      </c>
      <c r="K2891" s="455">
        <f t="shared" ca="1" si="138"/>
        <v>167439011.12368116</v>
      </c>
      <c r="L2891" s="455">
        <f t="shared" ca="1" si="139"/>
        <v>40352801680.807159</v>
      </c>
      <c r="M2891" s="471">
        <f t="shared" si="141"/>
        <v>0.05</v>
      </c>
      <c r="N2891" s="475">
        <f t="shared" si="142"/>
        <v>139038</v>
      </c>
    </row>
    <row r="2892" spans="7:14" ht="11.25" customHeight="1" x14ac:dyDescent="0.3">
      <c r="G2892" s="470"/>
      <c r="H2892" s="470">
        <v>2885</v>
      </c>
      <c r="I2892" s="455">
        <f t="shared" ca="1" si="140"/>
        <v>40352801680.807159</v>
      </c>
      <c r="J2892" s="455">
        <f t="array" ref="J2892">IFERROR(INDEX('Retirement Calculator'!K:K,MATCH('Lorri 401b'!N2892,'Retirement Calculator'!A:A,0),0),0)</f>
        <v>0</v>
      </c>
      <c r="K2892" s="455">
        <f t="shared" ca="1" si="138"/>
        <v>168136673.67002982</v>
      </c>
      <c r="L2892" s="455">
        <f t="shared" ca="1" si="139"/>
        <v>40520938354.477188</v>
      </c>
      <c r="M2892" s="471">
        <f t="shared" si="141"/>
        <v>0.05</v>
      </c>
      <c r="N2892" s="475">
        <f t="shared" si="142"/>
        <v>139068</v>
      </c>
    </row>
    <row r="2893" spans="7:14" ht="11.25" customHeight="1" x14ac:dyDescent="0.3">
      <c r="G2893" s="470"/>
      <c r="H2893" s="470">
        <v>2886</v>
      </c>
      <c r="I2893" s="455">
        <f t="shared" ca="1" si="140"/>
        <v>40520938354.477188</v>
      </c>
      <c r="J2893" s="455">
        <f t="array" ref="J2893">IFERROR(INDEX('Retirement Calculator'!K:K,MATCH('Lorri 401b'!N2893,'Retirement Calculator'!A:A,0),0),0)</f>
        <v>0</v>
      </c>
      <c r="K2893" s="455">
        <f t="shared" ca="1" si="138"/>
        <v>168837243.14365494</v>
      </c>
      <c r="L2893" s="455">
        <f t="shared" ca="1" si="139"/>
        <v>40689775597.620842</v>
      </c>
      <c r="M2893" s="471">
        <f t="shared" si="141"/>
        <v>0.05</v>
      </c>
      <c r="N2893" s="475">
        <f t="shared" si="142"/>
        <v>139099</v>
      </c>
    </row>
    <row r="2894" spans="7:14" ht="11.25" customHeight="1" x14ac:dyDescent="0.3">
      <c r="G2894" s="470"/>
      <c r="H2894" s="470">
        <v>2887</v>
      </c>
      <c r="I2894" s="455">
        <f t="shared" ca="1" si="140"/>
        <v>40689775597.620842</v>
      </c>
      <c r="J2894" s="455">
        <f t="array" ref="J2894">IFERROR(INDEX('Retirement Calculator'!K:K,MATCH('Lorri 401b'!N2894,'Retirement Calculator'!A:A,0),0),0)</f>
        <v>0</v>
      </c>
      <c r="K2894" s="455">
        <f t="shared" ca="1" si="138"/>
        <v>169540731.65675351</v>
      </c>
      <c r="L2894" s="455">
        <f t="shared" ca="1" si="139"/>
        <v>40859316329.277596</v>
      </c>
      <c r="M2894" s="471">
        <f t="shared" si="141"/>
        <v>0.05</v>
      </c>
      <c r="N2894" s="475">
        <f t="shared" si="142"/>
        <v>139129</v>
      </c>
    </row>
    <row r="2895" spans="7:14" ht="11.25" customHeight="1" x14ac:dyDescent="0.3">
      <c r="G2895" s="470"/>
      <c r="H2895" s="470">
        <v>2888</v>
      </c>
      <c r="I2895" s="455">
        <f t="shared" ca="1" si="140"/>
        <v>40859316329.277596</v>
      </c>
      <c r="J2895" s="455">
        <f t="array" ref="J2895">IFERROR(INDEX('Retirement Calculator'!K:K,MATCH('Lorri 401b'!N2895,'Retirement Calculator'!A:A,0),0),0)</f>
        <v>0</v>
      </c>
      <c r="K2895" s="455">
        <f t="shared" ca="1" si="138"/>
        <v>170247151.37198997</v>
      </c>
      <c r="L2895" s="455">
        <f t="shared" ca="1" si="139"/>
        <v>41029563480.649582</v>
      </c>
      <c r="M2895" s="471">
        <f t="shared" si="141"/>
        <v>0.05</v>
      </c>
      <c r="N2895" s="475">
        <f t="shared" si="142"/>
        <v>139160</v>
      </c>
    </row>
    <row r="2896" spans="7:14" ht="11.25" customHeight="1" x14ac:dyDescent="0.3">
      <c r="G2896" s="470"/>
      <c r="H2896" s="470">
        <v>2889</v>
      </c>
      <c r="I2896" s="455">
        <f t="shared" ca="1" si="140"/>
        <v>41029563480.649582</v>
      </c>
      <c r="J2896" s="455">
        <f t="array" ref="J2896">IFERROR(INDEX('Retirement Calculator'!K:K,MATCH('Lorri 401b'!N2896,'Retirement Calculator'!A:A,0),0),0)</f>
        <v>0</v>
      </c>
      <c r="K2896" s="455">
        <f t="shared" ca="1" si="138"/>
        <v>170956514.50270659</v>
      </c>
      <c r="L2896" s="455">
        <f t="shared" ca="1" si="139"/>
        <v>41200519995.15229</v>
      </c>
      <c r="M2896" s="471">
        <f t="shared" si="141"/>
        <v>0.05</v>
      </c>
      <c r="N2896" s="475">
        <f t="shared" si="142"/>
        <v>139191</v>
      </c>
    </row>
    <row r="2897" spans="7:14" ht="11.25" customHeight="1" x14ac:dyDescent="0.3">
      <c r="G2897" s="470"/>
      <c r="H2897" s="470">
        <v>2890</v>
      </c>
      <c r="I2897" s="455">
        <f t="shared" ca="1" si="140"/>
        <v>41200519995.15229</v>
      </c>
      <c r="J2897" s="455">
        <f t="array" ref="J2897">IFERROR(INDEX('Retirement Calculator'!K:K,MATCH('Lorri 401b'!N2897,'Retirement Calculator'!A:A,0),0),0)</f>
        <v>0</v>
      </c>
      <c r="K2897" s="455">
        <f t="shared" ca="1" si="138"/>
        <v>171668833.31313455</v>
      </c>
      <c r="L2897" s="455">
        <f t="shared" ca="1" si="139"/>
        <v>41372188828.465424</v>
      </c>
      <c r="M2897" s="471">
        <f t="shared" si="141"/>
        <v>0.05</v>
      </c>
      <c r="N2897" s="475">
        <f t="shared" si="142"/>
        <v>139219</v>
      </c>
    </row>
    <row r="2898" spans="7:14" ht="11.25" customHeight="1" x14ac:dyDescent="0.3">
      <c r="G2898" s="470"/>
      <c r="H2898" s="470">
        <v>2891</v>
      </c>
      <c r="I2898" s="455">
        <f t="shared" ca="1" si="140"/>
        <v>41372188828.465424</v>
      </c>
      <c r="J2898" s="455">
        <f t="array" ref="J2898">IFERROR(INDEX('Retirement Calculator'!K:K,MATCH('Lorri 401b'!N2898,'Retirement Calculator'!A:A,0),0),0)</f>
        <v>0</v>
      </c>
      <c r="K2898" s="455">
        <f t="shared" ca="1" si="138"/>
        <v>172384120.11860594</v>
      </c>
      <c r="L2898" s="455">
        <f t="shared" ca="1" si="139"/>
        <v>41544572948.58403</v>
      </c>
      <c r="M2898" s="471">
        <f t="shared" si="141"/>
        <v>0.05</v>
      </c>
      <c r="N2898" s="475">
        <f t="shared" si="142"/>
        <v>139250</v>
      </c>
    </row>
    <row r="2899" spans="7:14" ht="11.25" customHeight="1" x14ac:dyDescent="0.3">
      <c r="G2899" s="470"/>
      <c r="H2899" s="470">
        <v>2892</v>
      </c>
      <c r="I2899" s="455">
        <f t="shared" ca="1" si="140"/>
        <v>41544572948.58403</v>
      </c>
      <c r="J2899" s="455">
        <f t="array" ref="J2899">IFERROR(INDEX('Retirement Calculator'!K:K,MATCH('Lorri 401b'!N2899,'Retirement Calculator'!A:A,0),0),0)</f>
        <v>0</v>
      </c>
      <c r="K2899" s="455">
        <f t="shared" ca="1" si="138"/>
        <v>173102387.28576678</v>
      </c>
      <c r="L2899" s="455">
        <f t="shared" ca="1" si="139"/>
        <v>41717675335.869797</v>
      </c>
      <c r="M2899" s="471">
        <f t="shared" si="141"/>
        <v>0.05</v>
      </c>
      <c r="N2899" s="475">
        <f t="shared" si="142"/>
        <v>139280</v>
      </c>
    </row>
    <row r="2900" spans="7:14" ht="11.25" customHeight="1" x14ac:dyDescent="0.3">
      <c r="G2900" s="470"/>
      <c r="H2900" s="470">
        <v>2893</v>
      </c>
      <c r="I2900" s="455">
        <f t="shared" ca="1" si="140"/>
        <v>41717675335.869797</v>
      </c>
      <c r="J2900" s="455">
        <f t="array" ref="J2900">IFERROR(INDEX('Retirement Calculator'!K:K,MATCH('Lorri 401b'!N2900,'Retirement Calculator'!A:A,0),0),0)</f>
        <v>0</v>
      </c>
      <c r="K2900" s="455">
        <f t="shared" ca="1" si="138"/>
        <v>173823647.23279083</v>
      </c>
      <c r="L2900" s="455">
        <f t="shared" ca="1" si="139"/>
        <v>41891498983.102585</v>
      </c>
      <c r="M2900" s="471">
        <f t="shared" si="141"/>
        <v>0.05</v>
      </c>
      <c r="N2900" s="475">
        <f t="shared" si="142"/>
        <v>139311</v>
      </c>
    </row>
    <row r="2901" spans="7:14" ht="11.25" customHeight="1" x14ac:dyDescent="0.3">
      <c r="G2901" s="470"/>
      <c r="H2901" s="470">
        <v>2894</v>
      </c>
      <c r="I2901" s="455">
        <f t="shared" ca="1" si="140"/>
        <v>41891498983.102585</v>
      </c>
      <c r="J2901" s="455">
        <f t="array" ref="J2901">IFERROR(INDEX('Retirement Calculator'!K:K,MATCH('Lorri 401b'!N2901,'Retirement Calculator'!A:A,0),0),0)</f>
        <v>0</v>
      </c>
      <c r="K2901" s="455">
        <f t="shared" ca="1" si="138"/>
        <v>174547912.4295941</v>
      </c>
      <c r="L2901" s="455">
        <f t="shared" ca="1" si="139"/>
        <v>42066046895.532181</v>
      </c>
      <c r="M2901" s="471">
        <f t="shared" si="141"/>
        <v>0.05</v>
      </c>
      <c r="N2901" s="475">
        <f t="shared" si="142"/>
        <v>139341</v>
      </c>
    </row>
    <row r="2902" spans="7:14" ht="11.25" customHeight="1" x14ac:dyDescent="0.3">
      <c r="G2902" s="470"/>
      <c r="H2902" s="470">
        <v>2895</v>
      </c>
      <c r="I2902" s="455">
        <f t="shared" ca="1" si="140"/>
        <v>42066046895.532181</v>
      </c>
      <c r="J2902" s="455">
        <f t="array" ref="J2902">IFERROR(INDEX('Retirement Calculator'!K:K,MATCH('Lorri 401b'!N2902,'Retirement Calculator'!A:A,0),0),0)</f>
        <v>0</v>
      </c>
      <c r="K2902" s="455">
        <f t="shared" ca="1" si="138"/>
        <v>175275195.39805076</v>
      </c>
      <c r="L2902" s="455">
        <f t="shared" ca="1" si="139"/>
        <v>42241322090.930229</v>
      </c>
      <c r="M2902" s="471">
        <f t="shared" si="141"/>
        <v>0.05</v>
      </c>
      <c r="N2902" s="475">
        <f t="shared" si="142"/>
        <v>139372</v>
      </c>
    </row>
    <row r="2903" spans="7:14" ht="11.25" customHeight="1" x14ac:dyDescent="0.3">
      <c r="G2903" s="470"/>
      <c r="H2903" s="470">
        <v>2896</v>
      </c>
      <c r="I2903" s="455">
        <f t="shared" ca="1" si="140"/>
        <v>42241322090.930229</v>
      </c>
      <c r="J2903" s="455">
        <f t="array" ref="J2903">IFERROR(INDEX('Retirement Calculator'!K:K,MATCH('Lorri 401b'!N2903,'Retirement Calculator'!A:A,0),0),0)</f>
        <v>0</v>
      </c>
      <c r="K2903" s="455">
        <f t="shared" ca="1" si="138"/>
        <v>176005508.71220928</v>
      </c>
      <c r="L2903" s="455">
        <f t="shared" ca="1" si="139"/>
        <v>42417327599.642441</v>
      </c>
      <c r="M2903" s="471">
        <f t="shared" si="141"/>
        <v>0.05</v>
      </c>
      <c r="N2903" s="475">
        <f t="shared" si="142"/>
        <v>139403</v>
      </c>
    </row>
    <row r="2904" spans="7:14" ht="11.25" customHeight="1" x14ac:dyDescent="0.3">
      <c r="G2904" s="470"/>
      <c r="H2904" s="470">
        <v>2897</v>
      </c>
      <c r="I2904" s="455">
        <f t="shared" ca="1" si="140"/>
        <v>42417327599.642441</v>
      </c>
      <c r="J2904" s="455">
        <f t="array" ref="J2904">IFERROR(INDEX('Retirement Calculator'!K:K,MATCH('Lorri 401b'!N2904,'Retirement Calculator'!A:A,0),0),0)</f>
        <v>0</v>
      </c>
      <c r="K2904" s="455">
        <f t="shared" ca="1" si="138"/>
        <v>176738864.99851018</v>
      </c>
      <c r="L2904" s="455">
        <f t="shared" ca="1" si="139"/>
        <v>42594066464.640953</v>
      </c>
      <c r="M2904" s="471">
        <f t="shared" si="141"/>
        <v>0.05</v>
      </c>
      <c r="N2904" s="475">
        <f t="shared" si="142"/>
        <v>139433</v>
      </c>
    </row>
    <row r="2905" spans="7:14" ht="11.25" customHeight="1" x14ac:dyDescent="0.3">
      <c r="G2905" s="470"/>
      <c r="H2905" s="470">
        <v>2898</v>
      </c>
      <c r="I2905" s="455">
        <f t="shared" ca="1" si="140"/>
        <v>42594066464.640953</v>
      </c>
      <c r="J2905" s="455">
        <f t="array" ref="J2905">IFERROR(INDEX('Retirement Calculator'!K:K,MATCH('Lorri 401b'!N2905,'Retirement Calculator'!A:A,0),0),0)</f>
        <v>0</v>
      </c>
      <c r="K2905" s="455">
        <f t="shared" ca="1" si="138"/>
        <v>177475276.93600398</v>
      </c>
      <c r="L2905" s="455">
        <f t="shared" ca="1" si="139"/>
        <v>42771541741.576958</v>
      </c>
      <c r="M2905" s="471">
        <f t="shared" si="141"/>
        <v>0.05</v>
      </c>
      <c r="N2905" s="475">
        <f t="shared" si="142"/>
        <v>139464</v>
      </c>
    </row>
    <row r="2906" spans="7:14" ht="11.25" customHeight="1" x14ac:dyDescent="0.3">
      <c r="G2906" s="470"/>
      <c r="H2906" s="470">
        <v>2899</v>
      </c>
      <c r="I2906" s="455">
        <f t="shared" ca="1" si="140"/>
        <v>42771541741.576958</v>
      </c>
      <c r="J2906" s="455">
        <f t="array" ref="J2906">IFERROR(INDEX('Retirement Calculator'!K:K,MATCH('Lorri 401b'!N2906,'Retirement Calculator'!A:A,0),0),0)</f>
        <v>0</v>
      </c>
      <c r="K2906" s="455">
        <f t="shared" ca="1" si="138"/>
        <v>178214757.25657067</v>
      </c>
      <c r="L2906" s="455">
        <f t="shared" ca="1" si="139"/>
        <v>42949756498.833527</v>
      </c>
      <c r="M2906" s="471">
        <f t="shared" si="141"/>
        <v>0.05</v>
      </c>
      <c r="N2906" s="475">
        <f t="shared" si="142"/>
        <v>139494</v>
      </c>
    </row>
    <row r="2907" spans="7:14" ht="11.25" customHeight="1" x14ac:dyDescent="0.3">
      <c r="G2907" s="470"/>
      <c r="H2907" s="470">
        <v>2900</v>
      </c>
      <c r="I2907" s="455">
        <f t="shared" ca="1" si="140"/>
        <v>42949756498.833527</v>
      </c>
      <c r="J2907" s="455">
        <f t="array" ref="J2907">IFERROR(INDEX('Retirement Calculator'!K:K,MATCH('Lorri 401b'!N2907,'Retirement Calculator'!A:A,0),0),0)</f>
        <v>0</v>
      </c>
      <c r="K2907" s="455">
        <f t="shared" ca="1" si="138"/>
        <v>178957318.74513969</v>
      </c>
      <c r="L2907" s="455">
        <f t="shared" ca="1" si="139"/>
        <v>43128713817.578667</v>
      </c>
      <c r="M2907" s="471">
        <f t="shared" si="141"/>
        <v>0.05</v>
      </c>
      <c r="N2907" s="475">
        <f t="shared" si="142"/>
        <v>139525</v>
      </c>
    </row>
    <row r="2908" spans="7:14" ht="11.25" customHeight="1" x14ac:dyDescent="0.3">
      <c r="G2908" s="470"/>
      <c r="H2908" s="470">
        <v>2901</v>
      </c>
      <c r="I2908" s="455">
        <f t="shared" ca="1" si="140"/>
        <v>43128713817.578667</v>
      </c>
      <c r="J2908" s="455">
        <f t="array" ref="J2908">IFERROR(INDEX('Retirement Calculator'!K:K,MATCH('Lorri 401b'!N2908,'Retirement Calculator'!A:A,0),0),0)</f>
        <v>0</v>
      </c>
      <c r="K2908" s="455">
        <f t="shared" ca="1" si="138"/>
        <v>179702974.23991111</v>
      </c>
      <c r="L2908" s="455">
        <f t="shared" ca="1" si="139"/>
        <v>43308416791.818581</v>
      </c>
      <c r="M2908" s="471">
        <f t="shared" si="141"/>
        <v>0.05</v>
      </c>
      <c r="N2908" s="475">
        <f t="shared" si="142"/>
        <v>139556</v>
      </c>
    </row>
    <row r="2909" spans="7:14" ht="11.25" customHeight="1" x14ac:dyDescent="0.3">
      <c r="G2909" s="470"/>
      <c r="H2909" s="470">
        <v>2902</v>
      </c>
      <c r="I2909" s="455">
        <f t="shared" ca="1" si="140"/>
        <v>43308416791.818581</v>
      </c>
      <c r="J2909" s="455">
        <f t="array" ref="J2909">IFERROR(INDEX('Retirement Calculator'!K:K,MATCH('Lorri 401b'!N2909,'Retirement Calculator'!A:A,0),0),0)</f>
        <v>0</v>
      </c>
      <c r="K2909" s="455">
        <f t="shared" ca="1" si="138"/>
        <v>180451736.63257742</v>
      </c>
      <c r="L2909" s="455">
        <f t="shared" ca="1" si="139"/>
        <v>43488868528.451157</v>
      </c>
      <c r="M2909" s="471">
        <f t="shared" si="141"/>
        <v>0.05</v>
      </c>
      <c r="N2909" s="475">
        <f t="shared" si="142"/>
        <v>139584</v>
      </c>
    </row>
    <row r="2910" spans="7:14" ht="11.25" customHeight="1" x14ac:dyDescent="0.3">
      <c r="G2910" s="470"/>
      <c r="H2910" s="470">
        <v>2903</v>
      </c>
      <c r="I2910" s="455">
        <f t="shared" ca="1" si="140"/>
        <v>43488868528.451157</v>
      </c>
      <c r="J2910" s="455">
        <f t="array" ref="J2910">IFERROR(INDEX('Retirement Calculator'!K:K,MATCH('Lorri 401b'!N2910,'Retirement Calculator'!A:A,0),0),0)</f>
        <v>0</v>
      </c>
      <c r="K2910" s="455">
        <f t="shared" ca="1" si="138"/>
        <v>181203618.86854649</v>
      </c>
      <c r="L2910" s="455">
        <f t="shared" ca="1" si="139"/>
        <v>43670072147.319702</v>
      </c>
      <c r="M2910" s="471">
        <f t="shared" si="141"/>
        <v>0.05</v>
      </c>
      <c r="N2910" s="475">
        <f t="shared" si="142"/>
        <v>139615</v>
      </c>
    </row>
    <row r="2911" spans="7:14" ht="11.25" customHeight="1" x14ac:dyDescent="0.3">
      <c r="G2911" s="470"/>
      <c r="H2911" s="470">
        <v>2904</v>
      </c>
      <c r="I2911" s="455">
        <f t="shared" ca="1" si="140"/>
        <v>43670072147.319702</v>
      </c>
      <c r="J2911" s="455">
        <f t="array" ref="J2911">IFERROR(INDEX('Retirement Calculator'!K:K,MATCH('Lorri 401b'!N2911,'Retirement Calculator'!A:A,0),0),0)</f>
        <v>0</v>
      </c>
      <c r="K2911" s="455">
        <f t="shared" ca="1" si="138"/>
        <v>181958633.94716543</v>
      </c>
      <c r="L2911" s="455">
        <f t="shared" ca="1" si="139"/>
        <v>43852030781.266869</v>
      </c>
      <c r="M2911" s="471">
        <f t="shared" si="141"/>
        <v>0.05</v>
      </c>
      <c r="N2911" s="475">
        <f t="shared" si="142"/>
        <v>139645</v>
      </c>
    </row>
    <row r="2912" spans="7:14" ht="11.25" customHeight="1" x14ac:dyDescent="0.3">
      <c r="G2912" s="470"/>
      <c r="H2912" s="470">
        <v>2905</v>
      </c>
      <c r="I2912" s="455">
        <f t="shared" ca="1" si="140"/>
        <v>43852030781.266869</v>
      </c>
      <c r="J2912" s="455">
        <f t="array" ref="J2912">IFERROR(INDEX('Retirement Calculator'!K:K,MATCH('Lorri 401b'!N2912,'Retirement Calculator'!A:A,0),0),0)</f>
        <v>0</v>
      </c>
      <c r="K2912" s="455">
        <f t="shared" ca="1" si="138"/>
        <v>182716794.92194527</v>
      </c>
      <c r="L2912" s="455">
        <f t="shared" ca="1" si="139"/>
        <v>44034747576.188812</v>
      </c>
      <c r="M2912" s="471">
        <f t="shared" si="141"/>
        <v>0.05</v>
      </c>
      <c r="N2912" s="475">
        <f t="shared" si="142"/>
        <v>139676</v>
      </c>
    </row>
    <row r="2913" spans="7:14" ht="11.25" customHeight="1" x14ac:dyDescent="0.3">
      <c r="G2913" s="470"/>
      <c r="H2913" s="470">
        <v>2906</v>
      </c>
      <c r="I2913" s="455">
        <f t="shared" ca="1" si="140"/>
        <v>44034747576.188812</v>
      </c>
      <c r="J2913" s="455">
        <f t="array" ref="J2913">IFERROR(INDEX('Retirement Calculator'!K:K,MATCH('Lorri 401b'!N2913,'Retirement Calculator'!A:A,0),0),0)</f>
        <v>0</v>
      </c>
      <c r="K2913" s="455">
        <f t="shared" ca="1" si="138"/>
        <v>183478114.90078673</v>
      </c>
      <c r="L2913" s="455">
        <f t="shared" ca="1" si="139"/>
        <v>44218225691.0896</v>
      </c>
      <c r="M2913" s="471">
        <f t="shared" si="141"/>
        <v>0.05</v>
      </c>
      <c r="N2913" s="475">
        <f t="shared" si="142"/>
        <v>139706</v>
      </c>
    </row>
    <row r="2914" spans="7:14" ht="11.25" customHeight="1" x14ac:dyDescent="0.3">
      <c r="G2914" s="470"/>
      <c r="H2914" s="470">
        <v>2907</v>
      </c>
      <c r="I2914" s="455">
        <f t="shared" ca="1" si="140"/>
        <v>44218225691.0896</v>
      </c>
      <c r="J2914" s="455">
        <f t="array" ref="J2914">IFERROR(INDEX('Retirement Calculator'!K:K,MATCH('Lorri 401b'!N2914,'Retirement Calculator'!A:A,0),0),0)</f>
        <v>0</v>
      </c>
      <c r="K2914" s="455">
        <f t="shared" ca="1" si="138"/>
        <v>184242607.04620665</v>
      </c>
      <c r="L2914" s="455">
        <f t="shared" ca="1" si="139"/>
        <v>44402468298.135803</v>
      </c>
      <c r="M2914" s="471">
        <f t="shared" si="141"/>
        <v>0.05</v>
      </c>
      <c r="N2914" s="475">
        <f t="shared" si="142"/>
        <v>139737</v>
      </c>
    </row>
    <row r="2915" spans="7:14" ht="11.25" customHeight="1" x14ac:dyDescent="0.3">
      <c r="G2915" s="470"/>
      <c r="H2915" s="470">
        <v>2908</v>
      </c>
      <c r="I2915" s="455">
        <f t="shared" ca="1" si="140"/>
        <v>44402468298.135803</v>
      </c>
      <c r="J2915" s="455">
        <f t="array" ref="J2915">IFERROR(INDEX('Retirement Calculator'!K:K,MATCH('Lorri 401b'!N2915,'Retirement Calculator'!A:A,0),0),0)</f>
        <v>0</v>
      </c>
      <c r="K2915" s="455">
        <f t="shared" ca="1" si="138"/>
        <v>185010284.57556584</v>
      </c>
      <c r="L2915" s="455">
        <f t="shared" ca="1" si="139"/>
        <v>44587478582.711372</v>
      </c>
      <c r="M2915" s="471">
        <f t="shared" si="141"/>
        <v>0.05</v>
      </c>
      <c r="N2915" s="475">
        <f t="shared" si="142"/>
        <v>139768</v>
      </c>
    </row>
    <row r="2916" spans="7:14" ht="11.25" customHeight="1" x14ac:dyDescent="0.3">
      <c r="G2916" s="470"/>
      <c r="H2916" s="470">
        <v>2909</v>
      </c>
      <c r="I2916" s="455">
        <f t="shared" ca="1" si="140"/>
        <v>44587478582.711372</v>
      </c>
      <c r="J2916" s="455">
        <f t="array" ref="J2916">IFERROR(INDEX('Retirement Calculator'!K:K,MATCH('Lorri 401b'!N2916,'Retirement Calculator'!A:A,0),0),0)</f>
        <v>0</v>
      </c>
      <c r="K2916" s="455">
        <f t="shared" ca="1" si="138"/>
        <v>185781160.76129737</v>
      </c>
      <c r="L2916" s="455">
        <f t="shared" ca="1" si="139"/>
        <v>44773259743.472672</v>
      </c>
      <c r="M2916" s="471">
        <f t="shared" si="141"/>
        <v>0.05</v>
      </c>
      <c r="N2916" s="475">
        <f t="shared" si="142"/>
        <v>139798</v>
      </c>
    </row>
    <row r="2917" spans="7:14" ht="11.25" customHeight="1" x14ac:dyDescent="0.3">
      <c r="G2917" s="470"/>
      <c r="H2917" s="470">
        <v>2910</v>
      </c>
      <c r="I2917" s="455">
        <f t="shared" ca="1" si="140"/>
        <v>44773259743.472672</v>
      </c>
      <c r="J2917" s="455">
        <f t="array" ref="J2917">IFERROR(INDEX('Retirement Calculator'!K:K,MATCH('Lorri 401b'!N2917,'Retirement Calculator'!A:A,0),0),0)</f>
        <v>0</v>
      </c>
      <c r="K2917" s="455">
        <f t="shared" ca="1" si="138"/>
        <v>186555248.93113613</v>
      </c>
      <c r="L2917" s="455">
        <f t="shared" ca="1" si="139"/>
        <v>44959814992.403809</v>
      </c>
      <c r="M2917" s="471">
        <f t="shared" si="141"/>
        <v>0.05</v>
      </c>
      <c r="N2917" s="475">
        <f t="shared" si="142"/>
        <v>139829</v>
      </c>
    </row>
    <row r="2918" spans="7:14" ht="11.25" customHeight="1" x14ac:dyDescent="0.3">
      <c r="G2918" s="470"/>
      <c r="H2918" s="470">
        <v>2911</v>
      </c>
      <c r="I2918" s="455">
        <f t="shared" ca="1" si="140"/>
        <v>44959814992.403809</v>
      </c>
      <c r="J2918" s="455">
        <f t="array" ref="J2918">IFERROR(INDEX('Retirement Calculator'!K:K,MATCH('Lorri 401b'!N2918,'Retirement Calculator'!A:A,0),0),0)</f>
        <v>0</v>
      </c>
      <c r="K2918" s="455">
        <f t="shared" ca="1" si="138"/>
        <v>187332562.46834919</v>
      </c>
      <c r="L2918" s="455">
        <f t="shared" ca="1" si="139"/>
        <v>45147147554.872154</v>
      </c>
      <c r="M2918" s="471">
        <f t="shared" si="141"/>
        <v>0.05</v>
      </c>
      <c r="N2918" s="475">
        <f t="shared" si="142"/>
        <v>139859</v>
      </c>
    </row>
    <row r="2919" spans="7:14" ht="11.25" customHeight="1" x14ac:dyDescent="0.3">
      <c r="G2919" s="470"/>
      <c r="H2919" s="470">
        <v>2912</v>
      </c>
      <c r="I2919" s="455">
        <f t="shared" ca="1" si="140"/>
        <v>45147147554.872154</v>
      </c>
      <c r="J2919" s="455">
        <f t="array" ref="J2919">IFERROR(INDEX('Retirement Calculator'!K:K,MATCH('Lorri 401b'!N2919,'Retirement Calculator'!A:A,0),0),0)</f>
        <v>0</v>
      </c>
      <c r="K2919" s="455">
        <f t="shared" ca="1" si="138"/>
        <v>188113114.81196731</v>
      </c>
      <c r="L2919" s="455">
        <f t="shared" ca="1" si="139"/>
        <v>45335260669.68412</v>
      </c>
      <c r="M2919" s="471">
        <f t="shared" si="141"/>
        <v>0.05</v>
      </c>
      <c r="N2919" s="475">
        <f t="shared" si="142"/>
        <v>139890</v>
      </c>
    </row>
    <row r="2920" spans="7:14" ht="11.25" customHeight="1" x14ac:dyDescent="0.3">
      <c r="G2920" s="470"/>
      <c r="H2920" s="470">
        <v>2913</v>
      </c>
      <c r="I2920" s="455">
        <f t="shared" ca="1" si="140"/>
        <v>45335260669.68412</v>
      </c>
      <c r="J2920" s="455">
        <f t="array" ref="J2920">IFERROR(INDEX('Retirement Calculator'!K:K,MATCH('Lorri 401b'!N2920,'Retirement Calculator'!A:A,0),0),0)</f>
        <v>0</v>
      </c>
      <c r="K2920" s="455">
        <f t="shared" ca="1" si="138"/>
        <v>188896919.45701715</v>
      </c>
      <c r="L2920" s="455">
        <f t="shared" ca="1" si="139"/>
        <v>45524157589.141136</v>
      </c>
      <c r="M2920" s="471">
        <f t="shared" si="141"/>
        <v>0.05</v>
      </c>
      <c r="N2920" s="475">
        <f t="shared" si="142"/>
        <v>139921</v>
      </c>
    </row>
    <row r="2921" spans="7:14" ht="11.25" customHeight="1" x14ac:dyDescent="0.3">
      <c r="G2921" s="470"/>
      <c r="H2921" s="470">
        <v>2914</v>
      </c>
      <c r="I2921" s="455">
        <f t="shared" ca="1" si="140"/>
        <v>45524157589.141136</v>
      </c>
      <c r="J2921" s="455">
        <f t="array" ref="J2921">IFERROR(INDEX('Retirement Calculator'!K:K,MATCH('Lorri 401b'!N2921,'Retirement Calculator'!A:A,0),0),0)</f>
        <v>0</v>
      </c>
      <c r="K2921" s="455">
        <f t="shared" ca="1" si="138"/>
        <v>189683989.95475474</v>
      </c>
      <c r="L2921" s="455">
        <f t="shared" ca="1" si="139"/>
        <v>45713841579.095894</v>
      </c>
      <c r="M2921" s="471">
        <f t="shared" si="141"/>
        <v>0.05</v>
      </c>
      <c r="N2921" s="475">
        <f t="shared" si="142"/>
        <v>139949</v>
      </c>
    </row>
    <row r="2922" spans="7:14" ht="11.25" customHeight="1" x14ac:dyDescent="0.3">
      <c r="G2922" s="470"/>
      <c r="H2922" s="470">
        <v>2915</v>
      </c>
      <c r="I2922" s="455">
        <f t="shared" ca="1" si="140"/>
        <v>45713841579.095894</v>
      </c>
      <c r="J2922" s="455">
        <f t="array" ref="J2922">IFERROR(INDEX('Retirement Calculator'!K:K,MATCH('Lorri 401b'!N2922,'Retirement Calculator'!A:A,0),0),0)</f>
        <v>0</v>
      </c>
      <c r="K2922" s="455">
        <f t="shared" ca="1" si="138"/>
        <v>190474339.91289955</v>
      </c>
      <c r="L2922" s="455">
        <f t="shared" ca="1" si="139"/>
        <v>45904315919.008797</v>
      </c>
      <c r="M2922" s="471">
        <f t="shared" si="141"/>
        <v>0.05</v>
      </c>
      <c r="N2922" s="475">
        <f t="shared" si="142"/>
        <v>139980</v>
      </c>
    </row>
    <row r="2923" spans="7:14" ht="11.25" customHeight="1" x14ac:dyDescent="0.3">
      <c r="G2923" s="470"/>
      <c r="H2923" s="470">
        <v>2916</v>
      </c>
      <c r="I2923" s="455">
        <f t="shared" ca="1" si="140"/>
        <v>45904315919.008797</v>
      </c>
      <c r="J2923" s="455">
        <f t="array" ref="J2923">IFERROR(INDEX('Retirement Calculator'!K:K,MATCH('Lorri 401b'!N2923,'Retirement Calculator'!A:A,0),0),0)</f>
        <v>0</v>
      </c>
      <c r="K2923" s="455">
        <f t="shared" ca="1" si="138"/>
        <v>191267982.99586999</v>
      </c>
      <c r="L2923" s="455">
        <f t="shared" ca="1" si="139"/>
        <v>46095583902.004669</v>
      </c>
      <c r="M2923" s="471">
        <f t="shared" si="141"/>
        <v>0.05</v>
      </c>
      <c r="N2923" s="475">
        <f t="shared" si="142"/>
        <v>140010</v>
      </c>
    </row>
    <row r="2924" spans="7:14" ht="11.25" customHeight="1" x14ac:dyDescent="0.3">
      <c r="G2924" s="470"/>
      <c r="H2924" s="470">
        <v>2917</v>
      </c>
      <c r="I2924" s="455">
        <f t="shared" ca="1" si="140"/>
        <v>46095583902.004669</v>
      </c>
      <c r="J2924" s="455">
        <f t="array" ref="J2924">IFERROR(INDEX('Retirement Calculator'!K:K,MATCH('Lorri 401b'!N2924,'Retirement Calculator'!A:A,0),0),0)</f>
        <v>0</v>
      </c>
      <c r="K2924" s="455">
        <f t="shared" ca="1" si="138"/>
        <v>192064932.92501944</v>
      </c>
      <c r="L2924" s="455">
        <f t="shared" ca="1" si="139"/>
        <v>46287648834.929688</v>
      </c>
      <c r="M2924" s="471">
        <f t="shared" si="141"/>
        <v>0.05</v>
      </c>
      <c r="N2924" s="475">
        <f t="shared" si="142"/>
        <v>140041</v>
      </c>
    </row>
    <row r="2925" spans="7:14" ht="11.25" customHeight="1" x14ac:dyDescent="0.3">
      <c r="G2925" s="470"/>
      <c r="H2925" s="470">
        <v>2918</v>
      </c>
      <c r="I2925" s="455">
        <f t="shared" ca="1" si="140"/>
        <v>46287648834.929688</v>
      </c>
      <c r="J2925" s="455">
        <f t="array" ref="J2925">IFERROR(INDEX('Retirement Calculator'!K:K,MATCH('Lorri 401b'!N2925,'Retirement Calculator'!A:A,0),0),0)</f>
        <v>0</v>
      </c>
      <c r="K2925" s="455">
        <f t="shared" ca="1" si="138"/>
        <v>192865203.4788737</v>
      </c>
      <c r="L2925" s="455">
        <f t="shared" ca="1" si="139"/>
        <v>46480514038.408562</v>
      </c>
      <c r="M2925" s="471">
        <f t="shared" si="141"/>
        <v>0.05</v>
      </c>
      <c r="N2925" s="475">
        <f t="shared" si="142"/>
        <v>140071</v>
      </c>
    </row>
    <row r="2926" spans="7:14" ht="11.25" customHeight="1" x14ac:dyDescent="0.3">
      <c r="G2926" s="470"/>
      <c r="H2926" s="470">
        <v>2919</v>
      </c>
      <c r="I2926" s="455">
        <f t="shared" ca="1" si="140"/>
        <v>46480514038.408562</v>
      </c>
      <c r="J2926" s="455">
        <f t="array" ref="J2926">IFERROR(INDEX('Retirement Calculator'!K:K,MATCH('Lorri 401b'!N2926,'Retirement Calculator'!A:A,0),0),0)</f>
        <v>0</v>
      </c>
      <c r="K2926" s="455">
        <f t="shared" ca="1" si="138"/>
        <v>193668808.49336901</v>
      </c>
      <c r="L2926" s="455">
        <f t="shared" ca="1" si="139"/>
        <v>46674182846.901932</v>
      </c>
      <c r="M2926" s="471">
        <f t="shared" si="141"/>
        <v>0.05</v>
      </c>
      <c r="N2926" s="475">
        <f t="shared" si="142"/>
        <v>140102</v>
      </c>
    </row>
    <row r="2927" spans="7:14" ht="11.25" customHeight="1" x14ac:dyDescent="0.3">
      <c r="G2927" s="470"/>
      <c r="H2927" s="470">
        <v>2920</v>
      </c>
      <c r="I2927" s="455">
        <f t="shared" ca="1" si="140"/>
        <v>46674182846.901932</v>
      </c>
      <c r="J2927" s="455">
        <f t="array" ref="J2927">IFERROR(INDEX('Retirement Calculator'!K:K,MATCH('Lorri 401b'!N2927,'Retirement Calculator'!A:A,0),0),0)</f>
        <v>0</v>
      </c>
      <c r="K2927" s="455">
        <f t="shared" ca="1" si="138"/>
        <v>194475761.86209139</v>
      </c>
      <c r="L2927" s="455">
        <f t="shared" ca="1" si="139"/>
        <v>46868658608.764023</v>
      </c>
      <c r="M2927" s="471">
        <f t="shared" si="141"/>
        <v>0.05</v>
      </c>
      <c r="N2927" s="475">
        <f t="shared" si="142"/>
        <v>140133</v>
      </c>
    </row>
    <row r="2928" spans="7:14" ht="11.25" customHeight="1" x14ac:dyDescent="0.3">
      <c r="G2928" s="470"/>
      <c r="H2928" s="470">
        <v>2921</v>
      </c>
      <c r="I2928" s="455">
        <f t="shared" ca="1" si="140"/>
        <v>46868658608.764023</v>
      </c>
      <c r="J2928" s="455">
        <f t="array" ref="J2928">IFERROR(INDEX('Retirement Calculator'!K:K,MATCH('Lorri 401b'!N2928,'Retirement Calculator'!A:A,0),0),0)</f>
        <v>0</v>
      </c>
      <c r="K2928" s="455">
        <f t="shared" ca="1" si="138"/>
        <v>195286077.53651676</v>
      </c>
      <c r="L2928" s="455">
        <f t="shared" ca="1" si="139"/>
        <v>47063944686.300537</v>
      </c>
      <c r="M2928" s="471">
        <f t="shared" si="141"/>
        <v>0.05</v>
      </c>
      <c r="N2928" s="475">
        <f t="shared" si="142"/>
        <v>140163</v>
      </c>
    </row>
    <row r="2929" spans="7:14" ht="11.25" customHeight="1" x14ac:dyDescent="0.3">
      <c r="G2929" s="470"/>
      <c r="H2929" s="470">
        <v>2922</v>
      </c>
      <c r="I2929" s="455">
        <f t="shared" ca="1" si="140"/>
        <v>47063944686.300537</v>
      </c>
      <c r="J2929" s="455">
        <f t="array" ref="J2929">IFERROR(INDEX('Retirement Calculator'!K:K,MATCH('Lorri 401b'!N2929,'Retirement Calculator'!A:A,0),0),0)</f>
        <v>0</v>
      </c>
      <c r="K2929" s="455">
        <f t="shared" ca="1" si="138"/>
        <v>196099769.52625224</v>
      </c>
      <c r="L2929" s="455">
        <f t="shared" ca="1" si="139"/>
        <v>47260044455.82679</v>
      </c>
      <c r="M2929" s="471">
        <f t="shared" si="141"/>
        <v>0.05</v>
      </c>
      <c r="N2929" s="475">
        <f t="shared" si="142"/>
        <v>140194</v>
      </c>
    </row>
    <row r="2930" spans="7:14" ht="11.25" customHeight="1" x14ac:dyDescent="0.3">
      <c r="G2930" s="470"/>
      <c r="H2930" s="470">
        <v>2923</v>
      </c>
      <c r="I2930" s="455">
        <f t="shared" ca="1" si="140"/>
        <v>47260044455.82679</v>
      </c>
      <c r="J2930" s="455">
        <f t="array" ref="J2930">IFERROR(INDEX('Retirement Calculator'!K:K,MATCH('Lorri 401b'!N2930,'Retirement Calculator'!A:A,0),0),0)</f>
        <v>0</v>
      </c>
      <c r="K2930" s="455">
        <f t="shared" ca="1" si="138"/>
        <v>196916851.89927828</v>
      </c>
      <c r="L2930" s="455">
        <f t="shared" ca="1" si="139"/>
        <v>47456961307.726067</v>
      </c>
      <c r="M2930" s="471">
        <f t="shared" si="141"/>
        <v>0.05</v>
      </c>
      <c r="N2930" s="475">
        <f t="shared" si="142"/>
        <v>140224</v>
      </c>
    </row>
    <row r="2931" spans="7:14" ht="11.25" customHeight="1" x14ac:dyDescent="0.3">
      <c r="G2931" s="470"/>
      <c r="H2931" s="470">
        <v>2924</v>
      </c>
      <c r="I2931" s="455">
        <f t="shared" ca="1" si="140"/>
        <v>47456961307.726067</v>
      </c>
      <c r="J2931" s="455">
        <f t="array" ref="J2931">IFERROR(INDEX('Retirement Calculator'!K:K,MATCH('Lorri 401b'!N2931,'Retirement Calculator'!A:A,0),0),0)</f>
        <v>0</v>
      </c>
      <c r="K2931" s="455">
        <f t="shared" ca="1" si="138"/>
        <v>197737338.78219193</v>
      </c>
      <c r="L2931" s="455">
        <f t="shared" ca="1" si="139"/>
        <v>47654698646.508255</v>
      </c>
      <c r="M2931" s="471">
        <f t="shared" si="141"/>
        <v>0.05</v>
      </c>
      <c r="N2931" s="475">
        <f t="shared" si="142"/>
        <v>140255</v>
      </c>
    </row>
    <row r="2932" spans="7:14" ht="11.25" customHeight="1" x14ac:dyDescent="0.3">
      <c r="G2932" s="470"/>
      <c r="H2932" s="470">
        <v>2925</v>
      </c>
      <c r="I2932" s="455">
        <f t="shared" ca="1" si="140"/>
        <v>47654698646.508255</v>
      </c>
      <c r="J2932" s="455">
        <f t="array" ref="J2932">IFERROR(INDEX('Retirement Calculator'!K:K,MATCH('Lorri 401b'!N2932,'Retirement Calculator'!A:A,0),0),0)</f>
        <v>0</v>
      </c>
      <c r="K2932" s="455">
        <f t="shared" ca="1" si="138"/>
        <v>198561244.36045107</v>
      </c>
      <c r="L2932" s="455">
        <f t="shared" ca="1" si="139"/>
        <v>47853259890.868706</v>
      </c>
      <c r="M2932" s="471">
        <f t="shared" si="141"/>
        <v>0.05</v>
      </c>
      <c r="N2932" s="475">
        <f t="shared" si="142"/>
        <v>140286</v>
      </c>
    </row>
    <row r="2933" spans="7:14" ht="11.25" customHeight="1" x14ac:dyDescent="0.3">
      <c r="G2933" s="470"/>
      <c r="H2933" s="470">
        <v>2926</v>
      </c>
      <c r="I2933" s="455">
        <f t="shared" ca="1" si="140"/>
        <v>47853259890.868706</v>
      </c>
      <c r="J2933" s="455">
        <f t="array" ref="J2933">IFERROR(INDEX('Retirement Calculator'!K:K,MATCH('Lorri 401b'!N2933,'Retirement Calculator'!A:A,0),0),0)</f>
        <v>0</v>
      </c>
      <c r="K2933" s="455">
        <f t="shared" ca="1" si="138"/>
        <v>199388582.87861961</v>
      </c>
      <c r="L2933" s="455">
        <f t="shared" ca="1" si="139"/>
        <v>48052648473.747322</v>
      </c>
      <c r="M2933" s="471">
        <f t="shared" si="141"/>
        <v>0.05</v>
      </c>
      <c r="N2933" s="475">
        <f t="shared" si="142"/>
        <v>140315</v>
      </c>
    </row>
    <row r="2934" spans="7:14" ht="11.25" customHeight="1" x14ac:dyDescent="0.3">
      <c r="G2934" s="470"/>
      <c r="H2934" s="470">
        <v>2927</v>
      </c>
      <c r="I2934" s="455">
        <f t="shared" ca="1" si="140"/>
        <v>48052648473.747322</v>
      </c>
      <c r="J2934" s="455">
        <f t="array" ref="J2934">IFERROR(INDEX('Retirement Calculator'!K:K,MATCH('Lorri 401b'!N2934,'Retirement Calculator'!A:A,0),0),0)</f>
        <v>0</v>
      </c>
      <c r="K2934" s="455">
        <f t="shared" ca="1" si="138"/>
        <v>200219368.64061385</v>
      </c>
      <c r="L2934" s="455">
        <f t="shared" ca="1" si="139"/>
        <v>48252867842.387939</v>
      </c>
      <c r="M2934" s="471">
        <f t="shared" si="141"/>
        <v>0.05</v>
      </c>
      <c r="N2934" s="475">
        <f t="shared" si="142"/>
        <v>140346</v>
      </c>
    </row>
    <row r="2935" spans="7:14" ht="11.25" customHeight="1" x14ac:dyDescent="0.3">
      <c r="G2935" s="470"/>
      <c r="H2935" s="470">
        <v>2928</v>
      </c>
      <c r="I2935" s="455">
        <f t="shared" ca="1" si="140"/>
        <v>48252867842.387939</v>
      </c>
      <c r="J2935" s="455">
        <f t="array" ref="J2935">IFERROR(INDEX('Retirement Calculator'!K:K,MATCH('Lorri 401b'!N2935,'Retirement Calculator'!A:A,0),0),0)</f>
        <v>0</v>
      </c>
      <c r="K2935" s="455">
        <f t="shared" ca="1" si="138"/>
        <v>201053616.00994974</v>
      </c>
      <c r="L2935" s="455">
        <f t="shared" ca="1" si="139"/>
        <v>48453921458.397888</v>
      </c>
      <c r="M2935" s="471">
        <f t="shared" si="141"/>
        <v>0.05</v>
      </c>
      <c r="N2935" s="475">
        <f t="shared" si="142"/>
        <v>140376</v>
      </c>
    </row>
    <row r="2936" spans="7:14" ht="11.25" customHeight="1" x14ac:dyDescent="0.3">
      <c r="G2936" s="470"/>
      <c r="H2936" s="470">
        <v>2929</v>
      </c>
      <c r="I2936" s="455">
        <f t="shared" ca="1" si="140"/>
        <v>48453921458.397888</v>
      </c>
      <c r="J2936" s="455">
        <f t="array" ref="J2936">IFERROR(INDEX('Retirement Calculator'!K:K,MATCH('Lorri 401b'!N2936,'Retirement Calculator'!A:A,0),0),0)</f>
        <v>0</v>
      </c>
      <c r="K2936" s="455">
        <f t="shared" ca="1" si="138"/>
        <v>201891339.4099912</v>
      </c>
      <c r="L2936" s="455">
        <f t="shared" ca="1" si="139"/>
        <v>48655812797.807877</v>
      </c>
      <c r="M2936" s="471">
        <f t="shared" si="141"/>
        <v>0.05</v>
      </c>
      <c r="N2936" s="475">
        <f t="shared" si="142"/>
        <v>140407</v>
      </c>
    </row>
    <row r="2937" spans="7:14" ht="11.25" customHeight="1" x14ac:dyDescent="0.3">
      <c r="G2937" s="470"/>
      <c r="H2937" s="470">
        <v>2930</v>
      </c>
      <c r="I2937" s="455">
        <f t="shared" ca="1" si="140"/>
        <v>48655812797.807877</v>
      </c>
      <c r="J2937" s="455">
        <f t="array" ref="J2937">IFERROR(INDEX('Retirement Calculator'!K:K,MATCH('Lorri 401b'!N2937,'Retirement Calculator'!A:A,0),0),0)</f>
        <v>0</v>
      </c>
      <c r="K2937" s="455">
        <f t="shared" ca="1" si="138"/>
        <v>202732553.3241995</v>
      </c>
      <c r="L2937" s="455">
        <f t="shared" ca="1" si="139"/>
        <v>48858545351.132072</v>
      </c>
      <c r="M2937" s="471">
        <f t="shared" si="141"/>
        <v>0.05</v>
      </c>
      <c r="N2937" s="475">
        <f t="shared" si="142"/>
        <v>140437</v>
      </c>
    </row>
    <row r="2938" spans="7:14" ht="11.25" customHeight="1" x14ac:dyDescent="0.3">
      <c r="G2938" s="470"/>
      <c r="H2938" s="470">
        <v>2931</v>
      </c>
      <c r="I2938" s="455">
        <f t="shared" ca="1" si="140"/>
        <v>48858545351.132072</v>
      </c>
      <c r="J2938" s="455">
        <f t="array" ref="J2938">IFERROR(INDEX('Retirement Calculator'!K:K,MATCH('Lorri 401b'!N2938,'Retirement Calculator'!A:A,0),0),0)</f>
        <v>0</v>
      </c>
      <c r="K2938" s="455">
        <f t="shared" ca="1" si="138"/>
        <v>203577272.29638362</v>
      </c>
      <c r="L2938" s="455">
        <f t="shared" ca="1" si="139"/>
        <v>49062122623.428459</v>
      </c>
      <c r="M2938" s="471">
        <f t="shared" si="141"/>
        <v>0.05</v>
      </c>
      <c r="N2938" s="475">
        <f t="shared" si="142"/>
        <v>140468</v>
      </c>
    </row>
    <row r="2939" spans="7:14" ht="11.25" customHeight="1" x14ac:dyDescent="0.3">
      <c r="G2939" s="470"/>
      <c r="H2939" s="470">
        <v>2932</v>
      </c>
      <c r="I2939" s="455">
        <f t="shared" ca="1" si="140"/>
        <v>49062122623.428459</v>
      </c>
      <c r="J2939" s="455">
        <f t="array" ref="J2939">IFERROR(INDEX('Retirement Calculator'!K:K,MATCH('Lorri 401b'!N2939,'Retirement Calculator'!A:A,0),0),0)</f>
        <v>0</v>
      </c>
      <c r="K2939" s="455">
        <f t="shared" ca="1" si="138"/>
        <v>204425510.93095192</v>
      </c>
      <c r="L2939" s="455">
        <f t="shared" ca="1" si="139"/>
        <v>49266548134.359413</v>
      </c>
      <c r="M2939" s="471">
        <f t="shared" si="141"/>
        <v>0.05</v>
      </c>
      <c r="N2939" s="475">
        <f t="shared" si="142"/>
        <v>140499</v>
      </c>
    </row>
    <row r="2940" spans="7:14" ht="11.25" customHeight="1" x14ac:dyDescent="0.3">
      <c r="G2940" s="470"/>
      <c r="H2940" s="470">
        <v>2933</v>
      </c>
      <c r="I2940" s="455">
        <f t="shared" ca="1" si="140"/>
        <v>49266548134.359413</v>
      </c>
      <c r="J2940" s="455">
        <f t="array" ref="J2940">IFERROR(INDEX('Retirement Calculator'!K:K,MATCH('Lorri 401b'!N2940,'Retirement Calculator'!A:A,0),0),0)</f>
        <v>0</v>
      </c>
      <c r="K2940" s="455">
        <f t="shared" ca="1" si="138"/>
        <v>205277283.89316422</v>
      </c>
      <c r="L2940" s="455">
        <f t="shared" ca="1" si="139"/>
        <v>49471825418.252579</v>
      </c>
      <c r="M2940" s="471">
        <f t="shared" si="141"/>
        <v>0.05</v>
      </c>
      <c r="N2940" s="475">
        <f t="shared" si="142"/>
        <v>140529</v>
      </c>
    </row>
    <row r="2941" spans="7:14" ht="11.25" customHeight="1" x14ac:dyDescent="0.3">
      <c r="G2941" s="470"/>
      <c r="H2941" s="470">
        <v>2934</v>
      </c>
      <c r="I2941" s="455">
        <f t="shared" ca="1" si="140"/>
        <v>49471825418.252579</v>
      </c>
      <c r="J2941" s="455">
        <f t="array" ref="J2941">IFERROR(INDEX('Retirement Calculator'!K:K,MATCH('Lorri 401b'!N2941,'Retirement Calculator'!A:A,0),0),0)</f>
        <v>0</v>
      </c>
      <c r="K2941" s="455">
        <f t="shared" ca="1" si="138"/>
        <v>206132605.90938574</v>
      </c>
      <c r="L2941" s="455">
        <f t="shared" ca="1" si="139"/>
        <v>49677958024.161964</v>
      </c>
      <c r="M2941" s="471">
        <f t="shared" si="141"/>
        <v>0.05</v>
      </c>
      <c r="N2941" s="475">
        <f t="shared" si="142"/>
        <v>140560</v>
      </c>
    </row>
    <row r="2942" spans="7:14" ht="11.25" customHeight="1" x14ac:dyDescent="0.3">
      <c r="G2942" s="470"/>
      <c r="H2942" s="470">
        <v>2935</v>
      </c>
      <c r="I2942" s="455">
        <f t="shared" ca="1" si="140"/>
        <v>49677958024.161964</v>
      </c>
      <c r="J2942" s="455">
        <f t="array" ref="J2942">IFERROR(INDEX('Retirement Calculator'!K:K,MATCH('Lorri 401b'!N2942,'Retirement Calculator'!A:A,0),0),0)</f>
        <v>0</v>
      </c>
      <c r="K2942" s="455">
        <f t="shared" ca="1" si="138"/>
        <v>206991491.76734152</v>
      </c>
      <c r="L2942" s="455">
        <f t="shared" ca="1" si="139"/>
        <v>49884949515.929306</v>
      </c>
      <c r="M2942" s="471">
        <f t="shared" si="141"/>
        <v>0.05</v>
      </c>
      <c r="N2942" s="475">
        <f t="shared" si="142"/>
        <v>140590</v>
      </c>
    </row>
    <row r="2943" spans="7:14" ht="11.25" customHeight="1" x14ac:dyDescent="0.3">
      <c r="G2943" s="470"/>
      <c r="H2943" s="470">
        <v>2936</v>
      </c>
      <c r="I2943" s="455">
        <f t="shared" ca="1" si="140"/>
        <v>49884949515.929306</v>
      </c>
      <c r="J2943" s="455">
        <f t="array" ref="J2943">IFERROR(INDEX('Retirement Calculator'!K:K,MATCH('Lorri 401b'!N2943,'Retirement Calculator'!A:A,0),0),0)</f>
        <v>0</v>
      </c>
      <c r="K2943" s="455">
        <f t="shared" ca="1" si="138"/>
        <v>207853956.3163721</v>
      </c>
      <c r="L2943" s="455">
        <f t="shared" ca="1" si="139"/>
        <v>50092803472.245682</v>
      </c>
      <c r="M2943" s="471">
        <f t="shared" si="141"/>
        <v>0.05</v>
      </c>
      <c r="N2943" s="475">
        <f t="shared" si="142"/>
        <v>140621</v>
      </c>
    </row>
    <row r="2944" spans="7:14" ht="11.25" customHeight="1" x14ac:dyDescent="0.3">
      <c r="G2944" s="470"/>
      <c r="H2944" s="470">
        <v>2937</v>
      </c>
      <c r="I2944" s="455">
        <f t="shared" ca="1" si="140"/>
        <v>50092803472.245682</v>
      </c>
      <c r="J2944" s="455">
        <f t="array" ref="J2944">IFERROR(INDEX('Retirement Calculator'!K:K,MATCH('Lorri 401b'!N2944,'Retirement Calculator'!A:A,0),0),0)</f>
        <v>0</v>
      </c>
      <c r="K2944" s="455">
        <f t="shared" ca="1" si="138"/>
        <v>208720014.46769035</v>
      </c>
      <c r="L2944" s="455">
        <f t="shared" ca="1" si="139"/>
        <v>50301523486.713371</v>
      </c>
      <c r="M2944" s="471">
        <f t="shared" si="141"/>
        <v>0.05</v>
      </c>
      <c r="N2944" s="475">
        <f t="shared" si="142"/>
        <v>140652</v>
      </c>
    </row>
    <row r="2945" spans="7:14" ht="11.25" customHeight="1" x14ac:dyDescent="0.3">
      <c r="G2945" s="470"/>
      <c r="H2945" s="470">
        <v>2938</v>
      </c>
      <c r="I2945" s="455">
        <f t="shared" ca="1" si="140"/>
        <v>50301523486.713371</v>
      </c>
      <c r="J2945" s="455">
        <f t="array" ref="J2945">IFERROR(INDEX('Retirement Calculator'!K:K,MATCH('Lorri 401b'!N2945,'Retirement Calculator'!A:A,0),0),0)</f>
        <v>0</v>
      </c>
      <c r="K2945" s="455">
        <f t="shared" ca="1" si="138"/>
        <v>209589681.19463906</v>
      </c>
      <c r="L2945" s="455">
        <f t="shared" ca="1" si="139"/>
        <v>50511113167.908012</v>
      </c>
      <c r="M2945" s="471">
        <f t="shared" si="141"/>
        <v>0.05</v>
      </c>
      <c r="N2945" s="475">
        <f t="shared" si="142"/>
        <v>140680</v>
      </c>
    </row>
    <row r="2946" spans="7:14" ht="11.25" customHeight="1" x14ac:dyDescent="0.3">
      <c r="G2946" s="470"/>
      <c r="H2946" s="470">
        <v>2939</v>
      </c>
      <c r="I2946" s="455">
        <f t="shared" ca="1" si="140"/>
        <v>50511113167.908012</v>
      </c>
      <c r="J2946" s="455">
        <f t="array" ref="J2946">IFERROR(INDEX('Retirement Calculator'!K:K,MATCH('Lorri 401b'!N2946,'Retirement Calculator'!A:A,0),0),0)</f>
        <v>0</v>
      </c>
      <c r="K2946" s="455">
        <f t="shared" ca="1" si="138"/>
        <v>210462971.53295004</v>
      </c>
      <c r="L2946" s="455">
        <f t="shared" ca="1" si="139"/>
        <v>50721576139.440964</v>
      </c>
      <c r="M2946" s="471">
        <f t="shared" si="141"/>
        <v>0.05</v>
      </c>
      <c r="N2946" s="475">
        <f t="shared" si="142"/>
        <v>140711</v>
      </c>
    </row>
    <row r="2947" spans="7:14" ht="11.25" customHeight="1" x14ac:dyDescent="0.3">
      <c r="G2947" s="470"/>
      <c r="H2947" s="470">
        <v>2940</v>
      </c>
      <c r="I2947" s="455">
        <f t="shared" ca="1" si="140"/>
        <v>50721576139.440964</v>
      </c>
      <c r="J2947" s="455">
        <f t="array" ref="J2947">IFERROR(INDEX('Retirement Calculator'!K:K,MATCH('Lorri 401b'!N2947,'Retirement Calculator'!A:A,0),0),0)</f>
        <v>0</v>
      </c>
      <c r="K2947" s="455">
        <f t="shared" ca="1" si="138"/>
        <v>211339900.58100402</v>
      </c>
      <c r="L2947" s="455">
        <f t="shared" ca="1" si="139"/>
        <v>50932916040.021965</v>
      </c>
      <c r="M2947" s="471">
        <f t="shared" si="141"/>
        <v>0.05</v>
      </c>
      <c r="N2947" s="475">
        <f t="shared" si="142"/>
        <v>140741</v>
      </c>
    </row>
    <row r="2948" spans="7:14" ht="11.25" customHeight="1" x14ac:dyDescent="0.3">
      <c r="G2948" s="470"/>
      <c r="H2948" s="470">
        <v>2941</v>
      </c>
      <c r="I2948" s="455">
        <f t="shared" ca="1" si="140"/>
        <v>50932916040.021965</v>
      </c>
      <c r="J2948" s="455">
        <f t="array" ref="J2948">IFERROR(INDEX('Retirement Calculator'!K:K,MATCH('Lorri 401b'!N2948,'Retirement Calculator'!A:A,0),0),0)</f>
        <v>0</v>
      </c>
      <c r="K2948" s="455">
        <f t="shared" ca="1" si="138"/>
        <v>212220483.50009152</v>
      </c>
      <c r="L2948" s="455">
        <f t="shared" ca="1" si="139"/>
        <v>51145136523.522057</v>
      </c>
      <c r="M2948" s="471">
        <f t="shared" si="141"/>
        <v>0.05</v>
      </c>
      <c r="N2948" s="475">
        <f t="shared" si="142"/>
        <v>140772</v>
      </c>
    </row>
    <row r="2949" spans="7:14" ht="11.25" customHeight="1" x14ac:dyDescent="0.3">
      <c r="G2949" s="470"/>
      <c r="H2949" s="470">
        <v>2942</v>
      </c>
      <c r="I2949" s="455">
        <f t="shared" ca="1" si="140"/>
        <v>51145136523.522057</v>
      </c>
      <c r="J2949" s="455">
        <f t="array" ref="J2949">IFERROR(INDEX('Retirement Calculator'!K:K,MATCH('Lorri 401b'!N2949,'Retirement Calculator'!A:A,0),0),0)</f>
        <v>0</v>
      </c>
      <c r="K2949" s="455">
        <f t="shared" ca="1" si="138"/>
        <v>213104735.51467523</v>
      </c>
      <c r="L2949" s="455">
        <f t="shared" ca="1" si="139"/>
        <v>51358241259.036736</v>
      </c>
      <c r="M2949" s="471">
        <f t="shared" si="141"/>
        <v>0.05</v>
      </c>
      <c r="N2949" s="475">
        <f t="shared" si="142"/>
        <v>140802</v>
      </c>
    </row>
    <row r="2950" spans="7:14" ht="11.25" customHeight="1" x14ac:dyDescent="0.3">
      <c r="G2950" s="470"/>
      <c r="H2950" s="470">
        <v>2943</v>
      </c>
      <c r="I2950" s="455">
        <f t="shared" ca="1" si="140"/>
        <v>51358241259.036736</v>
      </c>
      <c r="J2950" s="455">
        <f t="array" ref="J2950">IFERROR(INDEX('Retirement Calculator'!K:K,MATCH('Lorri 401b'!N2950,'Retirement Calculator'!A:A,0),0),0)</f>
        <v>0</v>
      </c>
      <c r="K2950" s="455">
        <f t="shared" ca="1" si="138"/>
        <v>213992671.91265306</v>
      </c>
      <c r="L2950" s="455">
        <f t="shared" ca="1" si="139"/>
        <v>51572233930.949387</v>
      </c>
      <c r="M2950" s="471">
        <f t="shared" si="141"/>
        <v>0.05</v>
      </c>
      <c r="N2950" s="475">
        <f t="shared" si="142"/>
        <v>140833</v>
      </c>
    </row>
    <row r="2951" spans="7:14" ht="11.25" customHeight="1" x14ac:dyDescent="0.3">
      <c r="G2951" s="470"/>
      <c r="H2951" s="470">
        <v>2944</v>
      </c>
      <c r="I2951" s="455">
        <f t="shared" ca="1" si="140"/>
        <v>51572233930.949387</v>
      </c>
      <c r="J2951" s="455">
        <f t="array" ref="J2951">IFERROR(INDEX('Retirement Calculator'!K:K,MATCH('Lorri 401b'!N2951,'Retirement Calculator'!A:A,0),0),0)</f>
        <v>0</v>
      </c>
      <c r="K2951" s="455">
        <f t="shared" ca="1" si="138"/>
        <v>214884308.04562244</v>
      </c>
      <c r="L2951" s="455">
        <f t="shared" ca="1" si="139"/>
        <v>51787118238.99501</v>
      </c>
      <c r="M2951" s="471">
        <f t="shared" si="141"/>
        <v>0.05</v>
      </c>
      <c r="N2951" s="475">
        <f t="shared" si="142"/>
        <v>140864</v>
      </c>
    </row>
    <row r="2952" spans="7:14" ht="11.25" customHeight="1" x14ac:dyDescent="0.3">
      <c r="G2952" s="470"/>
      <c r="H2952" s="470">
        <v>2945</v>
      </c>
      <c r="I2952" s="455">
        <f t="shared" ca="1" si="140"/>
        <v>51787118238.99501</v>
      </c>
      <c r="J2952" s="455">
        <f t="array" ref="J2952">IFERROR(INDEX('Retirement Calculator'!K:K,MATCH('Lorri 401b'!N2952,'Retirement Calculator'!A:A,0),0),0)</f>
        <v>0</v>
      </c>
      <c r="K2952" s="455">
        <f t="shared" ca="1" si="138"/>
        <v>215779659.32914588</v>
      </c>
      <c r="L2952" s="455">
        <f t="shared" ca="1" si="139"/>
        <v>52002897898.324158</v>
      </c>
      <c r="M2952" s="471">
        <f t="shared" si="141"/>
        <v>0.05</v>
      </c>
      <c r="N2952" s="475">
        <f t="shared" si="142"/>
        <v>140894</v>
      </c>
    </row>
    <row r="2953" spans="7:14" ht="11.25" customHeight="1" x14ac:dyDescent="0.3">
      <c r="G2953" s="470"/>
      <c r="H2953" s="470">
        <v>2946</v>
      </c>
      <c r="I2953" s="455">
        <f t="shared" ca="1" si="140"/>
        <v>52002897898.324158</v>
      </c>
      <c r="J2953" s="455">
        <f t="array" ref="J2953">IFERROR(INDEX('Retirement Calculator'!K:K,MATCH('Lorri 401b'!N2953,'Retirement Calculator'!A:A,0),0),0)</f>
        <v>0</v>
      </c>
      <c r="K2953" s="455">
        <f t="shared" ca="1" si="138"/>
        <v>216678741.24301732</v>
      </c>
      <c r="L2953" s="455">
        <f t="shared" ca="1" si="139"/>
        <v>52219576639.567177</v>
      </c>
      <c r="M2953" s="471">
        <f t="shared" si="141"/>
        <v>0.05</v>
      </c>
      <c r="N2953" s="475">
        <f t="shared" si="142"/>
        <v>140925</v>
      </c>
    </row>
    <row r="2954" spans="7:14" ht="11.25" customHeight="1" x14ac:dyDescent="0.3">
      <c r="G2954" s="470"/>
      <c r="H2954" s="470">
        <v>2947</v>
      </c>
      <c r="I2954" s="455">
        <f t="shared" ca="1" si="140"/>
        <v>52219576639.567177</v>
      </c>
      <c r="J2954" s="455">
        <f t="array" ref="J2954">IFERROR(INDEX('Retirement Calculator'!K:K,MATCH('Lorri 401b'!N2954,'Retirement Calculator'!A:A,0),0),0)</f>
        <v>0</v>
      </c>
      <c r="K2954" s="455">
        <f t="shared" ca="1" si="138"/>
        <v>217581569.33152989</v>
      </c>
      <c r="L2954" s="455">
        <f t="shared" ca="1" si="139"/>
        <v>52437158208.898705</v>
      </c>
      <c r="M2954" s="471">
        <f t="shared" si="141"/>
        <v>0.05</v>
      </c>
      <c r="N2954" s="475">
        <f t="shared" si="142"/>
        <v>140955</v>
      </c>
    </row>
    <row r="2955" spans="7:14" ht="11.25" customHeight="1" x14ac:dyDescent="0.3">
      <c r="G2955" s="470"/>
      <c r="H2955" s="470">
        <v>2948</v>
      </c>
      <c r="I2955" s="455">
        <f t="shared" ca="1" si="140"/>
        <v>52437158208.898705</v>
      </c>
      <c r="J2955" s="455">
        <f t="array" ref="J2955">IFERROR(INDEX('Retirement Calculator'!K:K,MATCH('Lorri 401b'!N2955,'Retirement Calculator'!A:A,0),0),0)</f>
        <v>0</v>
      </c>
      <c r="K2955" s="455">
        <f t="shared" ca="1" si="138"/>
        <v>218488159.20374459</v>
      </c>
      <c r="L2955" s="455">
        <f t="shared" ca="1" si="139"/>
        <v>52655646368.102448</v>
      </c>
      <c r="M2955" s="471">
        <f t="shared" si="141"/>
        <v>0.05</v>
      </c>
      <c r="N2955" s="475">
        <f t="shared" si="142"/>
        <v>140986</v>
      </c>
    </row>
    <row r="2956" spans="7:14" ht="11.25" customHeight="1" x14ac:dyDescent="0.3">
      <c r="G2956" s="470"/>
      <c r="H2956" s="470">
        <v>2949</v>
      </c>
      <c r="I2956" s="455">
        <f t="shared" ca="1" si="140"/>
        <v>52655646368.102448</v>
      </c>
      <c r="J2956" s="455">
        <f t="array" ref="J2956">IFERROR(INDEX('Retirement Calculator'!K:K,MATCH('Lorri 401b'!N2956,'Retirement Calculator'!A:A,0),0),0)</f>
        <v>0</v>
      </c>
      <c r="K2956" s="455">
        <f t="shared" ca="1" si="138"/>
        <v>219398526.53376019</v>
      </c>
      <c r="L2956" s="455">
        <f t="shared" ca="1" si="139"/>
        <v>52875044894.636208</v>
      </c>
      <c r="M2956" s="471">
        <f t="shared" si="141"/>
        <v>0.05</v>
      </c>
      <c r="N2956" s="475">
        <f t="shared" si="142"/>
        <v>141017</v>
      </c>
    </row>
    <row r="2957" spans="7:14" ht="11.25" customHeight="1" x14ac:dyDescent="0.3">
      <c r="G2957" s="470"/>
      <c r="H2957" s="470">
        <v>2950</v>
      </c>
      <c r="I2957" s="455">
        <f t="shared" ca="1" si="140"/>
        <v>52875044894.636208</v>
      </c>
      <c r="J2957" s="455">
        <f t="array" ref="J2957">IFERROR(INDEX('Retirement Calculator'!K:K,MATCH('Lorri 401b'!N2957,'Retirement Calculator'!A:A,0),0),0)</f>
        <v>0</v>
      </c>
      <c r="K2957" s="455">
        <f t="shared" ca="1" si="138"/>
        <v>220312687.06098419</v>
      </c>
      <c r="L2957" s="455">
        <f t="shared" ca="1" si="139"/>
        <v>53095357581.697189</v>
      </c>
      <c r="M2957" s="471">
        <f t="shared" si="141"/>
        <v>0.05</v>
      </c>
      <c r="N2957" s="475">
        <f t="shared" si="142"/>
        <v>141045</v>
      </c>
    </row>
    <row r="2958" spans="7:14" ht="11.25" customHeight="1" x14ac:dyDescent="0.3">
      <c r="G2958" s="470"/>
      <c r="H2958" s="470">
        <v>2951</v>
      </c>
      <c r="I2958" s="455">
        <f t="shared" ca="1" si="140"/>
        <v>53095357581.697189</v>
      </c>
      <c r="J2958" s="455">
        <f t="array" ref="J2958">IFERROR(INDEX('Retirement Calculator'!K:K,MATCH('Lorri 401b'!N2958,'Retirement Calculator'!A:A,0),0),0)</f>
        <v>0</v>
      </c>
      <c r="K2958" s="455">
        <f t="shared" ca="1" si="138"/>
        <v>221230656.59040496</v>
      </c>
      <c r="L2958" s="455">
        <f t="shared" ca="1" si="139"/>
        <v>53316588238.287598</v>
      </c>
      <c r="M2958" s="471">
        <f t="shared" si="141"/>
        <v>0.05</v>
      </c>
      <c r="N2958" s="475">
        <f t="shared" si="142"/>
        <v>141076</v>
      </c>
    </row>
    <row r="2959" spans="7:14" ht="11.25" customHeight="1" x14ac:dyDescent="0.3">
      <c r="G2959" s="470"/>
      <c r="H2959" s="470">
        <v>2952</v>
      </c>
      <c r="I2959" s="455">
        <f t="shared" ca="1" si="140"/>
        <v>53316588238.287598</v>
      </c>
      <c r="J2959" s="455">
        <f t="array" ref="J2959">IFERROR(INDEX('Retirement Calculator'!K:K,MATCH('Lorri 401b'!N2959,'Retirement Calculator'!A:A,0),0),0)</f>
        <v>0</v>
      </c>
      <c r="K2959" s="455">
        <f t="shared" ca="1" si="138"/>
        <v>222152450.992865</v>
      </c>
      <c r="L2959" s="455">
        <f t="shared" ca="1" si="139"/>
        <v>53538740689.280464</v>
      </c>
      <c r="M2959" s="471">
        <f t="shared" si="141"/>
        <v>0.05</v>
      </c>
      <c r="N2959" s="475">
        <f t="shared" si="142"/>
        <v>141106</v>
      </c>
    </row>
    <row r="2960" spans="7:14" ht="11.25" customHeight="1" x14ac:dyDescent="0.3">
      <c r="G2960" s="470"/>
      <c r="H2960" s="470">
        <v>2953</v>
      </c>
      <c r="I2960" s="455">
        <f t="shared" ca="1" si="140"/>
        <v>53538740689.280464</v>
      </c>
      <c r="J2960" s="455">
        <f t="array" ref="J2960">IFERROR(INDEX('Retirement Calculator'!K:K,MATCH('Lorri 401b'!N2960,'Retirement Calculator'!A:A,0),0),0)</f>
        <v>0</v>
      </c>
      <c r="K2960" s="455">
        <f t="shared" ca="1" si="138"/>
        <v>223078086.20533526</v>
      </c>
      <c r="L2960" s="455">
        <f t="shared" ca="1" si="139"/>
        <v>53761818775.485802</v>
      </c>
      <c r="M2960" s="471">
        <f t="shared" si="141"/>
        <v>0.05</v>
      </c>
      <c r="N2960" s="475">
        <f t="shared" si="142"/>
        <v>141137</v>
      </c>
    </row>
    <row r="2961" spans="7:14" ht="11.25" customHeight="1" x14ac:dyDescent="0.3">
      <c r="G2961" s="470"/>
      <c r="H2961" s="470">
        <v>2954</v>
      </c>
      <c r="I2961" s="455">
        <f t="shared" ca="1" si="140"/>
        <v>53761818775.485802</v>
      </c>
      <c r="J2961" s="455">
        <f t="array" ref="J2961">IFERROR(INDEX('Retirement Calculator'!K:K,MATCH('Lorri 401b'!N2961,'Retirement Calculator'!A:A,0),0),0)</f>
        <v>0</v>
      </c>
      <c r="K2961" s="455">
        <f t="shared" ca="1" si="138"/>
        <v>224007578.23119083</v>
      </c>
      <c r="L2961" s="455">
        <f t="shared" ca="1" si="139"/>
        <v>53985826353.716995</v>
      </c>
      <c r="M2961" s="471">
        <f t="shared" si="141"/>
        <v>0.05</v>
      </c>
      <c r="N2961" s="475">
        <f t="shared" si="142"/>
        <v>141167</v>
      </c>
    </row>
    <row r="2962" spans="7:14" ht="11.25" customHeight="1" x14ac:dyDescent="0.3">
      <c r="G2962" s="470"/>
      <c r="H2962" s="470">
        <v>2955</v>
      </c>
      <c r="I2962" s="455">
        <f t="shared" ca="1" si="140"/>
        <v>53985826353.716995</v>
      </c>
      <c r="J2962" s="455">
        <f t="array" ref="J2962">IFERROR(INDEX('Retirement Calculator'!K:K,MATCH('Lorri 401b'!N2962,'Retirement Calculator'!A:A,0),0),0)</f>
        <v>0</v>
      </c>
      <c r="K2962" s="455">
        <f t="shared" ca="1" si="138"/>
        <v>224940943.14048746</v>
      </c>
      <c r="L2962" s="455">
        <f t="shared" ca="1" si="139"/>
        <v>54210767296.857483</v>
      </c>
      <c r="M2962" s="471">
        <f t="shared" si="141"/>
        <v>0.05</v>
      </c>
      <c r="N2962" s="475">
        <f t="shared" si="142"/>
        <v>141198</v>
      </c>
    </row>
    <row r="2963" spans="7:14" ht="11.25" customHeight="1" x14ac:dyDescent="0.3">
      <c r="G2963" s="470"/>
      <c r="H2963" s="470">
        <v>2956</v>
      </c>
      <c r="I2963" s="455">
        <f t="shared" ca="1" si="140"/>
        <v>54210767296.857483</v>
      </c>
      <c r="J2963" s="455">
        <f t="array" ref="J2963">IFERROR(INDEX('Retirement Calculator'!K:K,MATCH('Lorri 401b'!N2963,'Retirement Calculator'!A:A,0),0),0)</f>
        <v>0</v>
      </c>
      <c r="K2963" s="455">
        <f t="shared" ca="1" si="138"/>
        <v>225878197.07023951</v>
      </c>
      <c r="L2963" s="455">
        <f t="shared" ca="1" si="139"/>
        <v>54436645493.927719</v>
      </c>
      <c r="M2963" s="471">
        <f t="shared" si="141"/>
        <v>0.05</v>
      </c>
      <c r="N2963" s="475">
        <f t="shared" si="142"/>
        <v>141229</v>
      </c>
    </row>
    <row r="2964" spans="7:14" ht="11.25" customHeight="1" x14ac:dyDescent="0.3">
      <c r="G2964" s="470"/>
      <c r="H2964" s="470">
        <v>2957</v>
      </c>
      <c r="I2964" s="455">
        <f t="shared" ca="1" si="140"/>
        <v>54436645493.927719</v>
      </c>
      <c r="J2964" s="455">
        <f t="array" ref="J2964">IFERROR(INDEX('Retirement Calculator'!K:K,MATCH('Lorri 401b'!N2964,'Retirement Calculator'!A:A,0),0),0)</f>
        <v>0</v>
      </c>
      <c r="K2964" s="455">
        <f t="shared" ca="1" si="138"/>
        <v>226819356.22469881</v>
      </c>
      <c r="L2964" s="455">
        <f t="shared" ca="1" si="139"/>
        <v>54663464850.15242</v>
      </c>
      <c r="M2964" s="471">
        <f t="shared" si="141"/>
        <v>0.05</v>
      </c>
      <c r="N2964" s="475">
        <f t="shared" si="142"/>
        <v>141259</v>
      </c>
    </row>
    <row r="2965" spans="7:14" ht="11.25" customHeight="1" x14ac:dyDescent="0.3">
      <c r="G2965" s="470"/>
      <c r="H2965" s="470">
        <v>2958</v>
      </c>
      <c r="I2965" s="455">
        <f t="shared" ca="1" si="140"/>
        <v>54663464850.15242</v>
      </c>
      <c r="J2965" s="455">
        <f t="array" ref="J2965">IFERROR(INDEX('Retirement Calculator'!K:K,MATCH('Lorri 401b'!N2965,'Retirement Calculator'!A:A,0),0),0)</f>
        <v>0</v>
      </c>
      <c r="K2965" s="455">
        <f t="shared" ca="1" si="138"/>
        <v>227764436.87563512</v>
      </c>
      <c r="L2965" s="455">
        <f t="shared" ca="1" si="139"/>
        <v>54891229287.028053</v>
      </c>
      <c r="M2965" s="471">
        <f t="shared" si="141"/>
        <v>0.05</v>
      </c>
      <c r="N2965" s="475">
        <f t="shared" si="142"/>
        <v>141290</v>
      </c>
    </row>
    <row r="2966" spans="7:14" ht="11.25" customHeight="1" x14ac:dyDescent="0.3">
      <c r="G2966" s="470"/>
      <c r="H2966" s="470">
        <v>2959</v>
      </c>
      <c r="I2966" s="455">
        <f t="shared" ca="1" si="140"/>
        <v>54891229287.028053</v>
      </c>
      <c r="J2966" s="455">
        <f t="array" ref="J2966">IFERROR(INDEX('Retirement Calculator'!K:K,MATCH('Lorri 401b'!N2966,'Retirement Calculator'!A:A,0),0),0)</f>
        <v>0</v>
      </c>
      <c r="K2966" s="455">
        <f t="shared" ca="1" si="138"/>
        <v>228713455.3626169</v>
      </c>
      <c r="L2966" s="455">
        <f t="shared" ca="1" si="139"/>
        <v>55119942742.390671</v>
      </c>
      <c r="M2966" s="471">
        <f t="shared" si="141"/>
        <v>0.05</v>
      </c>
      <c r="N2966" s="475">
        <f t="shared" si="142"/>
        <v>141320</v>
      </c>
    </row>
    <row r="2967" spans="7:14" ht="11.25" customHeight="1" x14ac:dyDescent="0.3">
      <c r="G2967" s="470"/>
      <c r="H2967" s="470">
        <v>2960</v>
      </c>
      <c r="I2967" s="455">
        <f t="shared" ca="1" si="140"/>
        <v>55119942742.390671</v>
      </c>
      <c r="J2967" s="455">
        <f t="array" ref="J2967">IFERROR(INDEX('Retirement Calculator'!K:K,MATCH('Lorri 401b'!N2967,'Retirement Calculator'!A:A,0),0),0)</f>
        <v>0</v>
      </c>
      <c r="K2967" s="455">
        <f t="shared" ca="1" si="138"/>
        <v>229666428.09329447</v>
      </c>
      <c r="L2967" s="455">
        <f t="shared" ca="1" si="139"/>
        <v>55349609170.483963</v>
      </c>
      <c r="M2967" s="471">
        <f t="shared" si="141"/>
        <v>0.05</v>
      </c>
      <c r="N2967" s="475">
        <f t="shared" si="142"/>
        <v>141351</v>
      </c>
    </row>
    <row r="2968" spans="7:14" ht="11.25" customHeight="1" x14ac:dyDescent="0.3">
      <c r="G2968" s="470"/>
      <c r="H2968" s="470">
        <v>2961</v>
      </c>
      <c r="I2968" s="455">
        <f t="shared" ca="1" si="140"/>
        <v>55349609170.483963</v>
      </c>
      <c r="J2968" s="455">
        <f t="array" ref="J2968">IFERROR(INDEX('Retirement Calculator'!K:K,MATCH('Lorri 401b'!N2968,'Retirement Calculator'!A:A,0),0),0)</f>
        <v>0</v>
      </c>
      <c r="K2968" s="455">
        <f t="shared" ca="1" si="138"/>
        <v>230623371.54368317</v>
      </c>
      <c r="L2968" s="455">
        <f t="shared" ca="1" si="139"/>
        <v>55580232542.027649</v>
      </c>
      <c r="M2968" s="471">
        <f t="shared" si="141"/>
        <v>0.05</v>
      </c>
      <c r="N2968" s="475">
        <f t="shared" si="142"/>
        <v>141382</v>
      </c>
    </row>
    <row r="2969" spans="7:14" ht="11.25" customHeight="1" x14ac:dyDescent="0.3">
      <c r="G2969" s="470"/>
      <c r="H2969" s="470">
        <v>2962</v>
      </c>
      <c r="I2969" s="455">
        <f t="shared" ca="1" si="140"/>
        <v>55580232542.027649</v>
      </c>
      <c r="J2969" s="455">
        <f t="array" ref="J2969">IFERROR(INDEX('Retirement Calculator'!K:K,MATCH('Lorri 401b'!N2969,'Retirement Calculator'!A:A,0),0),0)</f>
        <v>0</v>
      </c>
      <c r="K2969" s="455">
        <f t="shared" ca="1" si="138"/>
        <v>231584302.25844854</v>
      </c>
      <c r="L2969" s="455">
        <f t="shared" ca="1" si="139"/>
        <v>55811816844.286095</v>
      </c>
      <c r="M2969" s="471">
        <f t="shared" si="141"/>
        <v>0.05</v>
      </c>
      <c r="N2969" s="475">
        <f t="shared" si="142"/>
        <v>141410</v>
      </c>
    </row>
    <row r="2970" spans="7:14" ht="11.25" customHeight="1" x14ac:dyDescent="0.3">
      <c r="G2970" s="470"/>
      <c r="H2970" s="470">
        <v>2963</v>
      </c>
      <c r="I2970" s="455">
        <f t="shared" ca="1" si="140"/>
        <v>55811816844.286095</v>
      </c>
      <c r="J2970" s="455">
        <f t="array" ref="J2970">IFERROR(INDEX('Retirement Calculator'!K:K,MATCH('Lorri 401b'!N2970,'Retirement Calculator'!A:A,0),0),0)</f>
        <v>0</v>
      </c>
      <c r="K2970" s="455">
        <f t="shared" ca="1" si="138"/>
        <v>232549236.85119206</v>
      </c>
      <c r="L2970" s="455">
        <f t="shared" ca="1" si="139"/>
        <v>56044366081.137283</v>
      </c>
      <c r="M2970" s="471">
        <f t="shared" si="141"/>
        <v>0.05</v>
      </c>
      <c r="N2970" s="475">
        <f t="shared" si="142"/>
        <v>141441</v>
      </c>
    </row>
    <row r="2971" spans="7:14" ht="11.25" customHeight="1" x14ac:dyDescent="0.3">
      <c r="G2971" s="470"/>
      <c r="H2971" s="470">
        <v>2964</v>
      </c>
      <c r="I2971" s="455">
        <f t="shared" ca="1" si="140"/>
        <v>56044366081.137283</v>
      </c>
      <c r="J2971" s="455">
        <f t="array" ref="J2971">IFERROR(INDEX('Retirement Calculator'!K:K,MATCH('Lorri 401b'!N2971,'Retirement Calculator'!A:A,0),0),0)</f>
        <v>0</v>
      </c>
      <c r="K2971" s="455">
        <f t="shared" ca="1" si="138"/>
        <v>233518192.00473869</v>
      </c>
      <c r="L2971" s="455">
        <f t="shared" ca="1" si="139"/>
        <v>56277884273.142021</v>
      </c>
      <c r="M2971" s="471">
        <f t="shared" si="141"/>
        <v>0.05</v>
      </c>
      <c r="N2971" s="475">
        <f t="shared" si="142"/>
        <v>141471</v>
      </c>
    </row>
    <row r="2972" spans="7:14" ht="11.25" customHeight="1" x14ac:dyDescent="0.3">
      <c r="G2972" s="470"/>
      <c r="H2972" s="470">
        <v>2965</v>
      </c>
      <c r="I2972" s="455">
        <f t="shared" ca="1" si="140"/>
        <v>56277884273.142021</v>
      </c>
      <c r="J2972" s="455">
        <f t="array" ref="J2972">IFERROR(INDEX('Retirement Calculator'!K:K,MATCH('Lorri 401b'!N2972,'Retirement Calculator'!A:A,0),0),0)</f>
        <v>0</v>
      </c>
      <c r="K2972" s="455">
        <f t="shared" ca="1" si="138"/>
        <v>234491184.47142512</v>
      </c>
      <c r="L2972" s="455">
        <f t="shared" ca="1" si="139"/>
        <v>56512375457.613449</v>
      </c>
      <c r="M2972" s="471">
        <f t="shared" si="141"/>
        <v>0.05</v>
      </c>
      <c r="N2972" s="475">
        <f t="shared" si="142"/>
        <v>141502</v>
      </c>
    </row>
    <row r="2973" spans="7:14" ht="11.25" customHeight="1" x14ac:dyDescent="0.3">
      <c r="G2973" s="470"/>
      <c r="H2973" s="470">
        <v>2966</v>
      </c>
      <c r="I2973" s="455">
        <f t="shared" ca="1" si="140"/>
        <v>56512375457.613449</v>
      </c>
      <c r="J2973" s="455">
        <f t="array" ref="J2973">IFERROR(INDEX('Retirement Calculator'!K:K,MATCH('Lorri 401b'!N2973,'Retirement Calculator'!A:A,0),0),0)</f>
        <v>0</v>
      </c>
      <c r="K2973" s="455">
        <f t="shared" ca="1" si="138"/>
        <v>235468231.07338938</v>
      </c>
      <c r="L2973" s="455">
        <f t="shared" ca="1" si="139"/>
        <v>56747843688.686836</v>
      </c>
      <c r="M2973" s="471">
        <f t="shared" si="141"/>
        <v>0.05</v>
      </c>
      <c r="N2973" s="475">
        <f t="shared" si="142"/>
        <v>141532</v>
      </c>
    </row>
    <row r="2974" spans="7:14" ht="11.25" customHeight="1" x14ac:dyDescent="0.3">
      <c r="G2974" s="470"/>
      <c r="H2974" s="470">
        <v>2967</v>
      </c>
      <c r="I2974" s="455">
        <f t="shared" ca="1" si="140"/>
        <v>56747843688.686836</v>
      </c>
      <c r="J2974" s="455">
        <f t="array" ref="J2974">IFERROR(INDEX('Retirement Calculator'!K:K,MATCH('Lorri 401b'!N2974,'Retirement Calculator'!A:A,0),0),0)</f>
        <v>0</v>
      </c>
      <c r="K2974" s="455">
        <f t="shared" ca="1" si="138"/>
        <v>236449348.70286185</v>
      </c>
      <c r="L2974" s="455">
        <f t="shared" ca="1" si="139"/>
        <v>56984293037.389702</v>
      </c>
      <c r="M2974" s="471">
        <f t="shared" si="141"/>
        <v>0.05</v>
      </c>
      <c r="N2974" s="475">
        <f t="shared" si="142"/>
        <v>141563</v>
      </c>
    </row>
    <row r="2975" spans="7:14" ht="11.25" customHeight="1" x14ac:dyDescent="0.3">
      <c r="G2975" s="470"/>
      <c r="H2975" s="470">
        <v>2968</v>
      </c>
      <c r="I2975" s="455">
        <f t="shared" ca="1" si="140"/>
        <v>56984293037.389702</v>
      </c>
      <c r="J2975" s="455">
        <f t="array" ref="J2975">IFERROR(INDEX('Retirement Calculator'!K:K,MATCH('Lorri 401b'!N2975,'Retirement Calculator'!A:A,0),0),0)</f>
        <v>0</v>
      </c>
      <c r="K2975" s="455">
        <f t="shared" ca="1" si="138"/>
        <v>237434554.32245708</v>
      </c>
      <c r="L2975" s="455">
        <f t="shared" ca="1" si="139"/>
        <v>57221727591.712158</v>
      </c>
      <c r="M2975" s="471">
        <f t="shared" si="141"/>
        <v>0.05</v>
      </c>
      <c r="N2975" s="475">
        <f t="shared" si="142"/>
        <v>141594</v>
      </c>
    </row>
    <row r="2976" spans="7:14" ht="11.25" customHeight="1" x14ac:dyDescent="0.3">
      <c r="G2976" s="470"/>
      <c r="H2976" s="470">
        <v>2969</v>
      </c>
      <c r="I2976" s="455">
        <f t="shared" ca="1" si="140"/>
        <v>57221727591.712158</v>
      </c>
      <c r="J2976" s="455">
        <f t="array" ref="J2976">IFERROR(INDEX('Retirement Calculator'!K:K,MATCH('Lorri 401b'!N2976,'Retirement Calculator'!A:A,0),0),0)</f>
        <v>0</v>
      </c>
      <c r="K2976" s="455">
        <f t="shared" ca="1" si="138"/>
        <v>238423864.96546733</v>
      </c>
      <c r="L2976" s="455">
        <f t="shared" ca="1" si="139"/>
        <v>57460151456.677628</v>
      </c>
      <c r="M2976" s="471">
        <f t="shared" si="141"/>
        <v>0.05</v>
      </c>
      <c r="N2976" s="475">
        <f t="shared" si="142"/>
        <v>141624</v>
      </c>
    </row>
    <row r="2977" spans="7:14" ht="11.25" customHeight="1" x14ac:dyDescent="0.3">
      <c r="G2977" s="470"/>
      <c r="H2977" s="470">
        <v>2970</v>
      </c>
      <c r="I2977" s="455">
        <f t="shared" ca="1" si="140"/>
        <v>57460151456.677628</v>
      </c>
      <c r="J2977" s="455">
        <f t="array" ref="J2977">IFERROR(INDEX('Retirement Calculator'!K:K,MATCH('Lorri 401b'!N2977,'Retirement Calculator'!A:A,0),0),0)</f>
        <v>0</v>
      </c>
      <c r="K2977" s="455">
        <f t="shared" ca="1" si="138"/>
        <v>239417297.73615679</v>
      </c>
      <c r="L2977" s="455">
        <f t="shared" ca="1" si="139"/>
        <v>57699568754.413788</v>
      </c>
      <c r="M2977" s="471">
        <f t="shared" si="141"/>
        <v>0.05</v>
      </c>
      <c r="N2977" s="475">
        <f t="shared" si="142"/>
        <v>141655</v>
      </c>
    </row>
    <row r="2978" spans="7:14" ht="11.25" customHeight="1" x14ac:dyDescent="0.3">
      <c r="G2978" s="470"/>
      <c r="H2978" s="470">
        <v>2971</v>
      </c>
      <c r="I2978" s="455">
        <f t="shared" ca="1" si="140"/>
        <v>57699568754.413788</v>
      </c>
      <c r="J2978" s="455">
        <f t="array" ref="J2978">IFERROR(INDEX('Retirement Calculator'!K:K,MATCH('Lorri 401b'!N2978,'Retirement Calculator'!A:A,0),0),0)</f>
        <v>0</v>
      </c>
      <c r="K2978" s="455">
        <f t="shared" ca="1" si="138"/>
        <v>240414869.81005743</v>
      </c>
      <c r="L2978" s="455">
        <f t="shared" ca="1" si="139"/>
        <v>57939983624.223846</v>
      </c>
      <c r="M2978" s="471">
        <f t="shared" si="141"/>
        <v>0.05</v>
      </c>
      <c r="N2978" s="475">
        <f t="shared" si="142"/>
        <v>141685</v>
      </c>
    </row>
    <row r="2979" spans="7:14" ht="11.25" customHeight="1" x14ac:dyDescent="0.3">
      <c r="G2979" s="470"/>
      <c r="H2979" s="470">
        <v>2972</v>
      </c>
      <c r="I2979" s="455">
        <f t="shared" ca="1" si="140"/>
        <v>57939983624.223846</v>
      </c>
      <c r="J2979" s="455">
        <f t="array" ref="J2979">IFERROR(INDEX('Retirement Calculator'!K:K,MATCH('Lorri 401b'!N2979,'Retirement Calculator'!A:A,0),0),0)</f>
        <v>0</v>
      </c>
      <c r="K2979" s="455">
        <f t="shared" ca="1" si="138"/>
        <v>241416598.43426603</v>
      </c>
      <c r="L2979" s="455">
        <f t="shared" ca="1" si="139"/>
        <v>58181400222.658112</v>
      </c>
      <c r="M2979" s="471">
        <f t="shared" si="141"/>
        <v>0.05</v>
      </c>
      <c r="N2979" s="475">
        <f t="shared" si="142"/>
        <v>141716</v>
      </c>
    </row>
    <row r="2980" spans="7:14" ht="11.25" customHeight="1" x14ac:dyDescent="0.3">
      <c r="G2980" s="470"/>
      <c r="H2980" s="470">
        <v>2973</v>
      </c>
      <c r="I2980" s="455">
        <f t="shared" ca="1" si="140"/>
        <v>58181400222.658112</v>
      </c>
      <c r="J2980" s="455">
        <f t="array" ref="J2980">IFERROR(INDEX('Retirement Calculator'!K:K,MATCH('Lorri 401b'!N2980,'Retirement Calculator'!A:A,0),0),0)</f>
        <v>0</v>
      </c>
      <c r="K2980" s="455">
        <f t="shared" ca="1" si="138"/>
        <v>242422500.92774212</v>
      </c>
      <c r="L2980" s="455">
        <f t="shared" ca="1" si="139"/>
        <v>58423822723.585854</v>
      </c>
      <c r="M2980" s="471">
        <f t="shared" si="141"/>
        <v>0.05</v>
      </c>
      <c r="N2980" s="475">
        <f t="shared" si="142"/>
        <v>141747</v>
      </c>
    </row>
    <row r="2981" spans="7:14" ht="11.25" customHeight="1" x14ac:dyDescent="0.3">
      <c r="G2981" s="470"/>
      <c r="H2981" s="470">
        <v>2974</v>
      </c>
      <c r="I2981" s="455">
        <f t="shared" ca="1" si="140"/>
        <v>58423822723.585854</v>
      </c>
      <c r="J2981" s="455">
        <f t="array" ref="J2981">IFERROR(INDEX('Retirement Calculator'!K:K,MATCH('Lorri 401b'!N2981,'Retirement Calculator'!A:A,0),0),0)</f>
        <v>0</v>
      </c>
      <c r="K2981" s="455">
        <f t="shared" ca="1" si="138"/>
        <v>243432594.68160772</v>
      </c>
      <c r="L2981" s="455">
        <f t="shared" ca="1" si="139"/>
        <v>58667255318.267464</v>
      </c>
      <c r="M2981" s="471">
        <f t="shared" si="141"/>
        <v>0.05</v>
      </c>
      <c r="N2981" s="475">
        <f t="shared" si="142"/>
        <v>141776</v>
      </c>
    </row>
    <row r="2982" spans="7:14" ht="11.25" customHeight="1" x14ac:dyDescent="0.3">
      <c r="G2982" s="470"/>
      <c r="H2982" s="470">
        <v>2975</v>
      </c>
      <c r="I2982" s="455">
        <f t="shared" ca="1" si="140"/>
        <v>58667255318.267464</v>
      </c>
      <c r="J2982" s="455">
        <f t="array" ref="J2982">IFERROR(INDEX('Retirement Calculator'!K:K,MATCH('Lorri 401b'!N2982,'Retirement Calculator'!A:A,0),0),0)</f>
        <v>0</v>
      </c>
      <c r="K2982" s="455">
        <f t="shared" ca="1" si="138"/>
        <v>244446897.15944776</v>
      </c>
      <c r="L2982" s="455">
        <f t="shared" ca="1" si="139"/>
        <v>58911702215.42691</v>
      </c>
      <c r="M2982" s="471">
        <f t="shared" si="141"/>
        <v>0.05</v>
      </c>
      <c r="N2982" s="475">
        <f t="shared" si="142"/>
        <v>141807</v>
      </c>
    </row>
    <row r="2983" spans="7:14" ht="11.25" customHeight="1" x14ac:dyDescent="0.3">
      <c r="G2983" s="470"/>
      <c r="H2983" s="470">
        <v>2976</v>
      </c>
      <c r="I2983" s="455">
        <f t="shared" ca="1" si="140"/>
        <v>58911702215.42691</v>
      </c>
      <c r="J2983" s="455">
        <f t="array" ref="J2983">IFERROR(INDEX('Retirement Calculator'!K:K,MATCH('Lorri 401b'!N2983,'Retirement Calculator'!A:A,0),0),0)</f>
        <v>0</v>
      </c>
      <c r="K2983" s="455">
        <f t="shared" ca="1" si="138"/>
        <v>245465425.89761209</v>
      </c>
      <c r="L2983" s="455">
        <f t="shared" ca="1" si="139"/>
        <v>59157167641.324524</v>
      </c>
      <c r="M2983" s="471">
        <f t="shared" si="141"/>
        <v>0.05</v>
      </c>
      <c r="N2983" s="475">
        <f t="shared" si="142"/>
        <v>141837</v>
      </c>
    </row>
    <row r="2984" spans="7:14" ht="11.25" customHeight="1" x14ac:dyDescent="0.3">
      <c r="G2984" s="470"/>
      <c r="H2984" s="470">
        <v>2977</v>
      </c>
      <c r="I2984" s="455">
        <f t="shared" ca="1" si="140"/>
        <v>59157167641.324524</v>
      </c>
      <c r="J2984" s="455">
        <f t="array" ref="J2984">IFERROR(INDEX('Retirement Calculator'!K:K,MATCH('Lorri 401b'!N2984,'Retirement Calculator'!A:A,0),0),0)</f>
        <v>0</v>
      </c>
      <c r="K2984" s="455">
        <f t="shared" ca="1" si="138"/>
        <v>246488198.50551885</v>
      </c>
      <c r="L2984" s="455">
        <f t="shared" ca="1" si="139"/>
        <v>59403655839.83004</v>
      </c>
      <c r="M2984" s="471">
        <f t="shared" si="141"/>
        <v>0.05</v>
      </c>
      <c r="N2984" s="475">
        <f t="shared" si="142"/>
        <v>141868</v>
      </c>
    </row>
    <row r="2985" spans="7:14" ht="11.25" customHeight="1" x14ac:dyDescent="0.3">
      <c r="G2985" s="470"/>
      <c r="H2985" s="470">
        <v>2978</v>
      </c>
      <c r="I2985" s="455">
        <f t="shared" ca="1" si="140"/>
        <v>59403655839.83004</v>
      </c>
      <c r="J2985" s="455">
        <f t="array" ref="J2985">IFERROR(INDEX('Retirement Calculator'!K:K,MATCH('Lorri 401b'!N2985,'Retirement Calculator'!A:A,0),0),0)</f>
        <v>0</v>
      </c>
      <c r="K2985" s="455">
        <f t="shared" ca="1" si="138"/>
        <v>247515232.66595849</v>
      </c>
      <c r="L2985" s="455">
        <f t="shared" ca="1" si="139"/>
        <v>59651171072.496002</v>
      </c>
      <c r="M2985" s="471">
        <f t="shared" si="141"/>
        <v>0.05</v>
      </c>
      <c r="N2985" s="475">
        <f t="shared" si="142"/>
        <v>141898</v>
      </c>
    </row>
    <row r="2986" spans="7:14" ht="11.25" customHeight="1" x14ac:dyDescent="0.3">
      <c r="G2986" s="470"/>
      <c r="H2986" s="470">
        <v>2979</v>
      </c>
      <c r="I2986" s="455">
        <f t="shared" ca="1" si="140"/>
        <v>59651171072.496002</v>
      </c>
      <c r="J2986" s="455">
        <f t="array" ref="J2986">IFERROR(INDEX('Retirement Calculator'!K:K,MATCH('Lorri 401b'!N2986,'Retirement Calculator'!A:A,0),0),0)</f>
        <v>0</v>
      </c>
      <c r="K2986" s="455">
        <f t="shared" ca="1" si="138"/>
        <v>248546546.1354</v>
      </c>
      <c r="L2986" s="455">
        <f t="shared" ca="1" si="139"/>
        <v>59899717618.631401</v>
      </c>
      <c r="M2986" s="471">
        <f t="shared" si="141"/>
        <v>0.05</v>
      </c>
      <c r="N2986" s="475">
        <f t="shared" si="142"/>
        <v>141929</v>
      </c>
    </row>
    <row r="2987" spans="7:14" ht="11.25" customHeight="1" x14ac:dyDescent="0.3">
      <c r="G2987" s="470"/>
      <c r="H2987" s="470">
        <v>2980</v>
      </c>
      <c r="I2987" s="455">
        <f t="shared" ca="1" si="140"/>
        <v>59899717618.631401</v>
      </c>
      <c r="J2987" s="455">
        <f t="array" ref="J2987">IFERROR(INDEX('Retirement Calculator'!K:K,MATCH('Lorri 401b'!N2987,'Retirement Calculator'!A:A,0),0),0)</f>
        <v>0</v>
      </c>
      <c r="K2987" s="455">
        <f t="shared" ca="1" si="138"/>
        <v>249582156.7442975</v>
      </c>
      <c r="L2987" s="455">
        <f t="shared" ca="1" si="139"/>
        <v>60149299775.375702</v>
      </c>
      <c r="M2987" s="471">
        <f t="shared" si="141"/>
        <v>0.05</v>
      </c>
      <c r="N2987" s="475">
        <f t="shared" si="142"/>
        <v>141960</v>
      </c>
    </row>
    <row r="2988" spans="7:14" ht="11.25" customHeight="1" x14ac:dyDescent="0.3">
      <c r="G2988" s="470"/>
      <c r="H2988" s="470">
        <v>2981</v>
      </c>
      <c r="I2988" s="455">
        <f t="shared" ca="1" si="140"/>
        <v>60149299775.375702</v>
      </c>
      <c r="J2988" s="455">
        <f t="array" ref="J2988">IFERROR(INDEX('Retirement Calculator'!K:K,MATCH('Lorri 401b'!N2988,'Retirement Calculator'!A:A,0),0),0)</f>
        <v>0</v>
      </c>
      <c r="K2988" s="455">
        <f t="shared" ca="1" si="138"/>
        <v>250622082.39739874</v>
      </c>
      <c r="L2988" s="455">
        <f t="shared" ca="1" si="139"/>
        <v>60399921857.773102</v>
      </c>
      <c r="M2988" s="471">
        <f t="shared" si="141"/>
        <v>0.05</v>
      </c>
      <c r="N2988" s="475">
        <f t="shared" si="142"/>
        <v>141990</v>
      </c>
    </row>
    <row r="2989" spans="7:14" ht="11.25" customHeight="1" x14ac:dyDescent="0.3">
      <c r="G2989" s="470"/>
      <c r="H2989" s="470">
        <v>2982</v>
      </c>
      <c r="I2989" s="455">
        <f t="shared" ca="1" si="140"/>
        <v>60399921857.773102</v>
      </c>
      <c r="J2989" s="455">
        <f t="array" ref="J2989">IFERROR(INDEX('Retirement Calculator'!K:K,MATCH('Lorri 401b'!N2989,'Retirement Calculator'!A:A,0),0),0)</f>
        <v>0</v>
      </c>
      <c r="K2989" s="455">
        <f t="shared" ca="1" si="138"/>
        <v>251666341.07405463</v>
      </c>
      <c r="L2989" s="455">
        <f t="shared" ca="1" si="139"/>
        <v>60651588198.847153</v>
      </c>
      <c r="M2989" s="471">
        <f t="shared" si="141"/>
        <v>0.05</v>
      </c>
      <c r="N2989" s="475">
        <f t="shared" si="142"/>
        <v>142021</v>
      </c>
    </row>
    <row r="2990" spans="7:14" ht="11.25" customHeight="1" x14ac:dyDescent="0.3">
      <c r="G2990" s="470"/>
      <c r="H2990" s="470">
        <v>2983</v>
      </c>
      <c r="I2990" s="455">
        <f t="shared" ca="1" si="140"/>
        <v>60651588198.847153</v>
      </c>
      <c r="J2990" s="455">
        <f t="array" ref="J2990">IFERROR(INDEX('Retirement Calculator'!K:K,MATCH('Lorri 401b'!N2990,'Retirement Calculator'!A:A,0),0),0)</f>
        <v>0</v>
      </c>
      <c r="K2990" s="455">
        <f t="shared" ca="1" si="138"/>
        <v>252714950.82852978</v>
      </c>
      <c r="L2990" s="455">
        <f t="shared" ca="1" si="139"/>
        <v>60904303149.675682</v>
      </c>
      <c r="M2990" s="471">
        <f t="shared" si="141"/>
        <v>0.05</v>
      </c>
      <c r="N2990" s="475">
        <f t="shared" si="142"/>
        <v>142051</v>
      </c>
    </row>
    <row r="2991" spans="7:14" ht="11.25" customHeight="1" x14ac:dyDescent="0.3">
      <c r="G2991" s="470"/>
      <c r="H2991" s="470">
        <v>2984</v>
      </c>
      <c r="I2991" s="455">
        <f t="shared" ca="1" si="140"/>
        <v>60904303149.675682</v>
      </c>
      <c r="J2991" s="455">
        <f t="array" ref="J2991">IFERROR(INDEX('Retirement Calculator'!K:K,MATCH('Lorri 401b'!N2991,'Retirement Calculator'!A:A,0),0),0)</f>
        <v>0</v>
      </c>
      <c r="K2991" s="455">
        <f t="shared" ca="1" si="138"/>
        <v>253767929.79031533</v>
      </c>
      <c r="L2991" s="455">
        <f t="shared" ca="1" si="139"/>
        <v>61158071079.465996</v>
      </c>
      <c r="M2991" s="471">
        <f t="shared" si="141"/>
        <v>0.05</v>
      </c>
      <c r="N2991" s="475">
        <f t="shared" si="142"/>
        <v>142082</v>
      </c>
    </row>
    <row r="2992" spans="7:14" ht="11.25" customHeight="1" x14ac:dyDescent="0.3">
      <c r="G2992" s="470"/>
      <c r="H2992" s="470">
        <v>2985</v>
      </c>
      <c r="I2992" s="455">
        <f t="shared" ca="1" si="140"/>
        <v>61158071079.465996</v>
      </c>
      <c r="J2992" s="455">
        <f t="array" ref="J2992">IFERROR(INDEX('Retirement Calculator'!K:K,MATCH('Lorri 401b'!N2992,'Retirement Calculator'!A:A,0),0),0)</f>
        <v>0</v>
      </c>
      <c r="K2992" s="455">
        <f t="shared" ca="1" si="138"/>
        <v>254825296.16444165</v>
      </c>
      <c r="L2992" s="455">
        <f t="shared" ca="1" si="139"/>
        <v>61412896375.63044</v>
      </c>
      <c r="M2992" s="471">
        <f t="shared" si="141"/>
        <v>0.05</v>
      </c>
      <c r="N2992" s="475">
        <f t="shared" si="142"/>
        <v>142113</v>
      </c>
    </row>
    <row r="2993" spans="7:14" ht="11.25" customHeight="1" x14ac:dyDescent="0.3">
      <c r="G2993" s="470"/>
      <c r="H2993" s="470">
        <v>2986</v>
      </c>
      <c r="I2993" s="455">
        <f t="shared" ca="1" si="140"/>
        <v>61412896375.63044</v>
      </c>
      <c r="J2993" s="455">
        <f t="array" ref="J2993">IFERROR(INDEX('Retirement Calculator'!K:K,MATCH('Lorri 401b'!N2993,'Retirement Calculator'!A:A,0),0),0)</f>
        <v>0</v>
      </c>
      <c r="K2993" s="455">
        <f t="shared" ca="1" si="138"/>
        <v>255887068.23179346</v>
      </c>
      <c r="L2993" s="455">
        <f t="shared" ca="1" si="139"/>
        <v>61668783443.862236</v>
      </c>
      <c r="M2993" s="471">
        <f t="shared" si="141"/>
        <v>0.05</v>
      </c>
      <c r="N2993" s="475">
        <f t="shared" si="142"/>
        <v>142141</v>
      </c>
    </row>
    <row r="2994" spans="7:14" ht="11.25" customHeight="1" x14ac:dyDescent="0.3">
      <c r="G2994" s="470"/>
      <c r="H2994" s="470">
        <v>2987</v>
      </c>
      <c r="I2994" s="455">
        <f t="shared" ca="1" si="140"/>
        <v>61668783443.862236</v>
      </c>
      <c r="J2994" s="455">
        <f t="array" ref="J2994">IFERROR(INDEX('Retirement Calculator'!K:K,MATCH('Lorri 401b'!N2994,'Retirement Calculator'!A:A,0),0),0)</f>
        <v>0</v>
      </c>
      <c r="K2994" s="455">
        <f t="shared" ca="1" si="138"/>
        <v>256953264.34942597</v>
      </c>
      <c r="L2994" s="455">
        <f t="shared" ca="1" si="139"/>
        <v>61925736708.211662</v>
      </c>
      <c r="M2994" s="471">
        <f t="shared" si="141"/>
        <v>0.05</v>
      </c>
      <c r="N2994" s="475">
        <f t="shared" si="142"/>
        <v>142172</v>
      </c>
    </row>
    <row r="2995" spans="7:14" ht="11.25" customHeight="1" x14ac:dyDescent="0.3">
      <c r="G2995" s="470"/>
      <c r="H2995" s="470">
        <v>2988</v>
      </c>
      <c r="I2995" s="455">
        <f t="shared" ca="1" si="140"/>
        <v>61925736708.211662</v>
      </c>
      <c r="J2995" s="455">
        <f t="array" ref="J2995">IFERROR(INDEX('Retirement Calculator'!K:K,MATCH('Lorri 401b'!N2995,'Retirement Calculator'!A:A,0),0),0)</f>
        <v>0</v>
      </c>
      <c r="K2995" s="455">
        <f t="shared" ca="1" si="138"/>
        <v>258023902.95088193</v>
      </c>
      <c r="L2995" s="455">
        <f t="shared" ca="1" si="139"/>
        <v>62183760611.162544</v>
      </c>
      <c r="M2995" s="471">
        <f t="shared" si="141"/>
        <v>0.05</v>
      </c>
      <c r="N2995" s="475">
        <f t="shared" si="142"/>
        <v>142202</v>
      </c>
    </row>
    <row r="2996" spans="7:14" ht="11.25" customHeight="1" x14ac:dyDescent="0.3">
      <c r="G2996" s="470"/>
      <c r="H2996" s="470">
        <v>2989</v>
      </c>
      <c r="I2996" s="455">
        <f t="shared" ca="1" si="140"/>
        <v>62183760611.162544</v>
      </c>
      <c r="J2996" s="455">
        <f t="array" ref="J2996">IFERROR(INDEX('Retirement Calculator'!K:K,MATCH('Lorri 401b'!N2996,'Retirement Calculator'!A:A,0),0),0)</f>
        <v>0</v>
      </c>
      <c r="K2996" s="455">
        <f t="shared" ca="1" si="138"/>
        <v>259099002.54651061</v>
      </c>
      <c r="L2996" s="455">
        <f t="shared" ca="1" si="139"/>
        <v>62442859613.709053</v>
      </c>
      <c r="M2996" s="471">
        <f t="shared" si="141"/>
        <v>0.05</v>
      </c>
      <c r="N2996" s="475">
        <f t="shared" si="142"/>
        <v>142233</v>
      </c>
    </row>
    <row r="2997" spans="7:14" ht="11.25" customHeight="1" x14ac:dyDescent="0.3">
      <c r="G2997" s="470"/>
      <c r="H2997" s="470">
        <v>2990</v>
      </c>
      <c r="I2997" s="455">
        <f t="shared" ca="1" si="140"/>
        <v>62442859613.709053</v>
      </c>
      <c r="J2997" s="455">
        <f t="array" ref="J2997">IFERROR(INDEX('Retirement Calculator'!K:K,MATCH('Lorri 401b'!N2997,'Retirement Calculator'!A:A,0),0),0)</f>
        <v>0</v>
      </c>
      <c r="K2997" s="455">
        <f t="shared" ca="1" si="138"/>
        <v>260178581.7237877</v>
      </c>
      <c r="L2997" s="455">
        <f t="shared" ca="1" si="139"/>
        <v>62703038195.432838</v>
      </c>
      <c r="M2997" s="471">
        <f t="shared" si="141"/>
        <v>0.05</v>
      </c>
      <c r="N2997" s="475">
        <f t="shared" si="142"/>
        <v>142263</v>
      </c>
    </row>
    <row r="2998" spans="7:14" ht="11.25" customHeight="1" x14ac:dyDescent="0.3">
      <c r="G2998" s="470"/>
      <c r="H2998" s="470">
        <v>2991</v>
      </c>
      <c r="I2998" s="455">
        <f t="shared" ca="1" si="140"/>
        <v>62703038195.432838</v>
      </c>
      <c r="J2998" s="455">
        <f t="array" ref="J2998">IFERROR(INDEX('Retirement Calculator'!K:K,MATCH('Lorri 401b'!N2998,'Retirement Calculator'!A:A,0),0),0)</f>
        <v>0</v>
      </c>
      <c r="K2998" s="455">
        <f t="shared" ca="1" si="138"/>
        <v>261262659.14763683</v>
      </c>
      <c r="L2998" s="455">
        <f t="shared" ca="1" si="139"/>
        <v>62964300854.580475</v>
      </c>
      <c r="M2998" s="471">
        <f t="shared" si="141"/>
        <v>0.05</v>
      </c>
      <c r="N2998" s="475">
        <f t="shared" si="142"/>
        <v>142294</v>
      </c>
    </row>
    <row r="2999" spans="7:14" ht="11.25" customHeight="1" x14ac:dyDescent="0.3">
      <c r="G2999" s="470"/>
      <c r="H2999" s="470">
        <v>2992</v>
      </c>
      <c r="I2999" s="455">
        <f t="shared" ca="1" si="140"/>
        <v>62964300854.580475</v>
      </c>
      <c r="J2999" s="455">
        <f t="array" ref="J2999">IFERROR(INDEX('Retirement Calculator'!K:K,MATCH('Lorri 401b'!N2999,'Retirement Calculator'!A:A,0),0),0)</f>
        <v>0</v>
      </c>
      <c r="K2999" s="455">
        <f t="shared" ca="1" si="138"/>
        <v>262351253.560752</v>
      </c>
      <c r="L2999" s="455">
        <f t="shared" ca="1" si="139"/>
        <v>63226652108.141228</v>
      </c>
      <c r="M2999" s="471">
        <f t="shared" si="141"/>
        <v>0.05</v>
      </c>
      <c r="N2999" s="475">
        <f t="shared" si="142"/>
        <v>142325</v>
      </c>
    </row>
    <row r="3000" spans="7:14" ht="11.25" customHeight="1" x14ac:dyDescent="0.3">
      <c r="G3000" s="470"/>
      <c r="H3000" s="470">
        <v>2993</v>
      </c>
      <c r="I3000" s="455">
        <f t="shared" ca="1" si="140"/>
        <v>63226652108.141228</v>
      </c>
      <c r="J3000" s="455">
        <f t="array" ref="J3000">IFERROR(INDEX('Retirement Calculator'!K:K,MATCH('Lorri 401b'!N3000,'Retirement Calculator'!A:A,0),0),0)</f>
        <v>0</v>
      </c>
      <c r="K3000" s="455">
        <f t="shared" ca="1" si="138"/>
        <v>263444383.78392178</v>
      </c>
      <c r="L3000" s="455">
        <f t="shared" ca="1" si="139"/>
        <v>63490096491.925148</v>
      </c>
      <c r="M3000" s="471">
        <f t="shared" si="141"/>
        <v>0.05</v>
      </c>
      <c r="N3000" s="475">
        <f t="shared" si="142"/>
        <v>142355</v>
      </c>
    </row>
    <row r="3001" spans="7:14" ht="11.25" customHeight="1" x14ac:dyDescent="0.3">
      <c r="G3001" s="470"/>
      <c r="H3001" s="470">
        <v>2994</v>
      </c>
      <c r="I3001" s="455">
        <f t="shared" ca="1" si="140"/>
        <v>63490096491.925148</v>
      </c>
      <c r="J3001" s="455">
        <f t="array" ref="J3001">IFERROR(INDEX('Retirement Calculator'!K:K,MATCH('Lorri 401b'!N3001,'Retirement Calculator'!A:A,0),0),0)</f>
        <v>0</v>
      </c>
      <c r="K3001" s="455">
        <f t="shared" ca="1" si="138"/>
        <v>264542068.71635482</v>
      </c>
      <c r="L3001" s="455">
        <f t="shared" ca="1" si="139"/>
        <v>63754638560.641502</v>
      </c>
      <c r="M3001" s="471">
        <f t="shared" si="141"/>
        <v>0.05</v>
      </c>
      <c r="N3001" s="475">
        <f t="shared" si="142"/>
        <v>142386</v>
      </c>
    </row>
    <row r="3002" spans="7:14" ht="11.25" customHeight="1" x14ac:dyDescent="0.3">
      <c r="G3002" s="470"/>
      <c r="H3002" s="470">
        <v>2995</v>
      </c>
      <c r="I3002" s="455">
        <f t="shared" ca="1" si="140"/>
        <v>63754638560.641502</v>
      </c>
      <c r="J3002" s="455">
        <f t="array" ref="J3002">IFERROR(INDEX('Retirement Calculator'!K:K,MATCH('Lorri 401b'!N3002,'Retirement Calculator'!A:A,0),0),0)</f>
        <v>0</v>
      </c>
      <c r="K3002" s="455">
        <f t="shared" ca="1" si="138"/>
        <v>265644327.33600625</v>
      </c>
      <c r="L3002" s="455">
        <f t="shared" ca="1" si="139"/>
        <v>64020282887.977509</v>
      </c>
      <c r="M3002" s="471">
        <f t="shared" si="141"/>
        <v>0.05</v>
      </c>
      <c r="N3002" s="475">
        <f t="shared" si="142"/>
        <v>142416</v>
      </c>
    </row>
    <row r="3003" spans="7:14" ht="11.25" customHeight="1" x14ac:dyDescent="0.3">
      <c r="G3003" s="470"/>
      <c r="H3003" s="470">
        <v>2996</v>
      </c>
      <c r="I3003" s="455">
        <f t="shared" ca="1" si="140"/>
        <v>64020282887.977509</v>
      </c>
      <c r="J3003" s="455">
        <f t="array" ref="J3003">IFERROR(INDEX('Retirement Calculator'!K:K,MATCH('Lorri 401b'!N3003,'Retirement Calculator'!A:A,0),0),0)</f>
        <v>0</v>
      </c>
      <c r="K3003" s="455">
        <f t="shared" ca="1" si="138"/>
        <v>266751178.69990632</v>
      </c>
      <c r="L3003" s="455">
        <f t="shared" ca="1" si="139"/>
        <v>64287034066.677414</v>
      </c>
      <c r="M3003" s="471">
        <f t="shared" si="141"/>
        <v>0.05</v>
      </c>
      <c r="N3003" s="475">
        <f t="shared" si="142"/>
        <v>142447</v>
      </c>
    </row>
    <row r="3004" spans="7:14" ht="11.25" customHeight="1" x14ac:dyDescent="0.3">
      <c r="G3004" s="470"/>
      <c r="H3004" s="470">
        <v>2997</v>
      </c>
      <c r="I3004" s="455">
        <f t="shared" ca="1" si="140"/>
        <v>64287034066.677414</v>
      </c>
      <c r="J3004" s="455">
        <f t="array" ref="J3004">IFERROR(INDEX('Retirement Calculator'!K:K,MATCH('Lorri 401b'!N3004,'Retirement Calculator'!A:A,0),0),0)</f>
        <v>0</v>
      </c>
      <c r="K3004" s="455">
        <f t="shared" ca="1" si="138"/>
        <v>267862641.94448918</v>
      </c>
      <c r="L3004" s="455">
        <f t="shared" ca="1" si="139"/>
        <v>64554896708.621902</v>
      </c>
      <c r="M3004" s="471">
        <f t="shared" si="141"/>
        <v>0.05</v>
      </c>
      <c r="N3004" s="475">
        <f t="shared" si="142"/>
        <v>142478</v>
      </c>
    </row>
    <row r="3005" spans="7:14" ht="11.25" customHeight="1" x14ac:dyDescent="0.3">
      <c r="G3005" s="470"/>
      <c r="H3005" s="470">
        <v>2998</v>
      </c>
      <c r="I3005" s="455">
        <f t="shared" ca="1" si="140"/>
        <v>64554896708.621902</v>
      </c>
      <c r="J3005" s="455">
        <f t="array" ref="J3005">IFERROR(INDEX('Retirement Calculator'!K:K,MATCH('Lorri 401b'!N3005,'Retirement Calculator'!A:A,0),0),0)</f>
        <v>0</v>
      </c>
      <c r="K3005" s="455">
        <f t="shared" ca="1" si="138"/>
        <v>268978736.28592455</v>
      </c>
      <c r="L3005" s="455">
        <f t="shared" ca="1" si="139"/>
        <v>64823875444.907829</v>
      </c>
      <c r="M3005" s="471">
        <f t="shared" si="141"/>
        <v>0.05</v>
      </c>
      <c r="N3005" s="475">
        <f t="shared" si="142"/>
        <v>142506</v>
      </c>
    </row>
    <row r="3006" spans="7:14" ht="11.25" customHeight="1" x14ac:dyDescent="0.3">
      <c r="G3006" s="470"/>
      <c r="H3006" s="470">
        <v>2999</v>
      </c>
      <c r="I3006" s="455">
        <f t="shared" ca="1" si="140"/>
        <v>64823875444.907829</v>
      </c>
      <c r="J3006" s="455">
        <f t="array" ref="J3006">IFERROR(INDEX('Retirement Calculator'!K:K,MATCH('Lorri 401b'!N3006,'Retirement Calculator'!A:A,0),0),0)</f>
        <v>0</v>
      </c>
      <c r="K3006" s="455">
        <f t="shared" ca="1" si="138"/>
        <v>270099481.02044928</v>
      </c>
      <c r="L3006" s="455">
        <f t="shared" ca="1" si="139"/>
        <v>65093974925.928276</v>
      </c>
      <c r="M3006" s="471">
        <f t="shared" si="141"/>
        <v>0.05</v>
      </c>
      <c r="N3006" s="475">
        <f t="shared" si="142"/>
        <v>142537</v>
      </c>
    </row>
    <row r="3007" spans="7:14" ht="11.25" customHeight="1" x14ac:dyDescent="0.3">
      <c r="G3007" s="470"/>
      <c r="H3007" s="470">
        <v>3000</v>
      </c>
      <c r="I3007" s="455">
        <f t="shared" ca="1" si="140"/>
        <v>65093974925.928276</v>
      </c>
      <c r="J3007" s="455">
        <f t="array" ref="J3007">IFERROR(INDEX('Retirement Calculator'!K:K,MATCH('Lorri 401b'!N3007,'Retirement Calculator'!A:A,0),0),0)</f>
        <v>0</v>
      </c>
      <c r="K3007" s="455">
        <f t="shared" ca="1" si="138"/>
        <v>271224895.52470112</v>
      </c>
      <c r="L3007" s="455">
        <f t="shared" ca="1" si="139"/>
        <v>65365199821.45298</v>
      </c>
      <c r="M3007" s="471">
        <f t="shared" si="141"/>
        <v>0.05</v>
      </c>
      <c r="N3007" s="475">
        <f t="shared" si="142"/>
        <v>142567</v>
      </c>
    </row>
    <row r="3008" spans="7:14" ht="11.25" customHeight="1" x14ac:dyDescent="0.3">
      <c r="G3008" s="470"/>
      <c r="H3008" s="470">
        <v>3001</v>
      </c>
      <c r="I3008" s="455">
        <f t="shared" ca="1" si="140"/>
        <v>65365199821.45298</v>
      </c>
      <c r="J3008" s="455">
        <f t="array" ref="J3008">IFERROR(INDEX('Retirement Calculator'!K:K,MATCH('Lorri 401b'!N3008,'Retirement Calculator'!A:A,0),0),0)</f>
        <v>0</v>
      </c>
      <c r="K3008" s="455">
        <f t="shared" ca="1" si="138"/>
        <v>272354999.2560541</v>
      </c>
      <c r="L3008" s="455">
        <f t="shared" ca="1" si="139"/>
        <v>65637554820.709038</v>
      </c>
      <c r="M3008" s="471">
        <f t="shared" si="141"/>
        <v>0.05</v>
      </c>
      <c r="N3008" s="475">
        <f t="shared" si="142"/>
        <v>142598</v>
      </c>
    </row>
    <row r="3009" spans="7:14" ht="11.25" customHeight="1" x14ac:dyDescent="0.3">
      <c r="G3009" s="470"/>
      <c r="H3009" s="470">
        <v>3002</v>
      </c>
      <c r="I3009" s="455">
        <f t="shared" ca="1" si="140"/>
        <v>65637554820.709038</v>
      </c>
      <c r="J3009" s="455">
        <f t="array" ref="J3009">IFERROR(INDEX('Retirement Calculator'!K:K,MATCH('Lorri 401b'!N3009,'Retirement Calculator'!A:A,0),0),0)</f>
        <v>0</v>
      </c>
      <c r="K3009" s="455">
        <f t="shared" ca="1" si="138"/>
        <v>273489811.7529543</v>
      </c>
      <c r="L3009" s="455">
        <f t="shared" ca="1" si="139"/>
        <v>65911044632.46199</v>
      </c>
      <c r="M3009" s="471">
        <f t="shared" si="141"/>
        <v>0.05</v>
      </c>
      <c r="N3009" s="475">
        <f t="shared" si="142"/>
        <v>142628</v>
      </c>
    </row>
    <row r="3010" spans="7:14" ht="11.25" customHeight="1" x14ac:dyDescent="0.3">
      <c r="G3010" s="470"/>
      <c r="H3010" s="470">
        <v>3003</v>
      </c>
      <c r="I3010" s="455">
        <f t="shared" ca="1" si="140"/>
        <v>65911044632.46199</v>
      </c>
      <c r="J3010" s="455">
        <f t="array" ref="J3010">IFERROR(INDEX('Retirement Calculator'!K:K,MATCH('Lorri 401b'!N3010,'Retirement Calculator'!A:A,0),0),0)</f>
        <v>0</v>
      </c>
      <c r="K3010" s="455">
        <f t="shared" ca="1" si="138"/>
        <v>274629352.63525832</v>
      </c>
      <c r="L3010" s="455">
        <f t="shared" ca="1" si="139"/>
        <v>66185673985.097252</v>
      </c>
      <c r="M3010" s="471">
        <f t="shared" si="141"/>
        <v>0.05</v>
      </c>
      <c r="N3010" s="475">
        <f t="shared" si="142"/>
        <v>142659</v>
      </c>
    </row>
    <row r="3011" spans="7:14" ht="11.25" customHeight="1" x14ac:dyDescent="0.3">
      <c r="G3011" s="470"/>
      <c r="H3011" s="470">
        <v>3004</v>
      </c>
      <c r="I3011" s="455">
        <f t="shared" ca="1" si="140"/>
        <v>66185673985.097252</v>
      </c>
      <c r="J3011" s="455">
        <f t="array" ref="J3011">IFERROR(INDEX('Retirement Calculator'!K:K,MATCH('Lorri 401b'!N3011,'Retirement Calculator'!A:A,0),0),0)</f>
        <v>0</v>
      </c>
      <c r="K3011" s="455">
        <f t="shared" ca="1" si="138"/>
        <v>275773641.60457188</v>
      </c>
      <c r="L3011" s="455">
        <f t="shared" ca="1" si="139"/>
        <v>66461447626.70182</v>
      </c>
      <c r="M3011" s="471">
        <f t="shared" si="141"/>
        <v>0.05</v>
      </c>
      <c r="N3011" s="475">
        <f t="shared" si="142"/>
        <v>142690</v>
      </c>
    </row>
    <row r="3012" spans="7:14" ht="11.25" customHeight="1" x14ac:dyDescent="0.3">
      <c r="G3012" s="470"/>
      <c r="H3012" s="470">
        <v>3005</v>
      </c>
      <c r="I3012" s="455">
        <f t="shared" ca="1" si="140"/>
        <v>66461447626.70182</v>
      </c>
      <c r="J3012" s="455">
        <f t="array" ref="J3012">IFERROR(INDEX('Retirement Calculator'!K:K,MATCH('Lorri 401b'!N3012,'Retirement Calculator'!A:A,0),0),0)</f>
        <v>0</v>
      </c>
      <c r="K3012" s="455">
        <f t="shared" ca="1" si="138"/>
        <v>276922698.44459093</v>
      </c>
      <c r="L3012" s="455">
        <f t="shared" ca="1" si="139"/>
        <v>66738370325.146408</v>
      </c>
      <c r="M3012" s="471">
        <f t="shared" si="141"/>
        <v>0.05</v>
      </c>
      <c r="N3012" s="475">
        <f t="shared" si="142"/>
        <v>142720</v>
      </c>
    </row>
    <row r="3013" spans="7:14" ht="11.25" customHeight="1" x14ac:dyDescent="0.3">
      <c r="G3013" s="470"/>
      <c r="H3013" s="470">
        <v>3006</v>
      </c>
      <c r="I3013" s="455">
        <f t="shared" ca="1" si="140"/>
        <v>66738370325.146408</v>
      </c>
      <c r="J3013" s="455">
        <f t="array" ref="J3013">IFERROR(INDEX('Retirement Calculator'!K:K,MATCH('Lorri 401b'!N3013,'Retirement Calculator'!A:A,0),0),0)</f>
        <v>0</v>
      </c>
      <c r="K3013" s="455">
        <f t="shared" ca="1" si="138"/>
        <v>278076543.02144337</v>
      </c>
      <c r="L3013" s="455">
        <f t="shared" ca="1" si="139"/>
        <v>67016446868.167854</v>
      </c>
      <c r="M3013" s="471">
        <f t="shared" si="141"/>
        <v>0.05</v>
      </c>
      <c r="N3013" s="475">
        <f t="shared" si="142"/>
        <v>142751</v>
      </c>
    </row>
    <row r="3014" spans="7:14" ht="11.25" customHeight="1" x14ac:dyDescent="0.3">
      <c r="G3014" s="470"/>
      <c r="H3014" s="470">
        <v>3007</v>
      </c>
      <c r="I3014" s="455">
        <f t="shared" ca="1" si="140"/>
        <v>67016446868.167854</v>
      </c>
      <c r="J3014" s="455">
        <f t="array" ref="J3014">IFERROR(INDEX('Retirement Calculator'!K:K,MATCH('Lorri 401b'!N3014,'Retirement Calculator'!A:A,0),0),0)</f>
        <v>0</v>
      </c>
      <c r="K3014" s="455">
        <f t="shared" ca="1" si="138"/>
        <v>279235195.28403276</v>
      </c>
      <c r="L3014" s="455">
        <f t="shared" ca="1" si="139"/>
        <v>67295682063.451889</v>
      </c>
      <c r="M3014" s="471">
        <f t="shared" si="141"/>
        <v>0.05</v>
      </c>
      <c r="N3014" s="475">
        <f t="shared" si="142"/>
        <v>142781</v>
      </c>
    </row>
    <row r="3015" spans="7:14" ht="11.25" customHeight="1" x14ac:dyDescent="0.3">
      <c r="G3015" s="470"/>
      <c r="H3015" s="470">
        <v>3008</v>
      </c>
      <c r="I3015" s="455">
        <f t="shared" ca="1" si="140"/>
        <v>67295682063.451889</v>
      </c>
      <c r="J3015" s="455">
        <f t="array" ref="J3015">IFERROR(INDEX('Retirement Calculator'!K:K,MATCH('Lorri 401b'!N3015,'Retirement Calculator'!A:A,0),0),0)</f>
        <v>0</v>
      </c>
      <c r="K3015" s="455">
        <f t="shared" ca="1" si="138"/>
        <v>280398675.26438284</v>
      </c>
      <c r="L3015" s="455">
        <f t="shared" ca="1" si="139"/>
        <v>67576080738.71627</v>
      </c>
      <c r="M3015" s="471">
        <f t="shared" si="141"/>
        <v>0.05</v>
      </c>
      <c r="N3015" s="475">
        <f t="shared" si="142"/>
        <v>142812</v>
      </c>
    </row>
    <row r="3016" spans="7:14" ht="11.25" customHeight="1" x14ac:dyDescent="0.3">
      <c r="G3016" s="470"/>
      <c r="H3016" s="470">
        <v>3009</v>
      </c>
      <c r="I3016" s="455">
        <f t="shared" ca="1" si="140"/>
        <v>67576080738.71627</v>
      </c>
      <c r="J3016" s="455">
        <f t="array" ref="J3016">IFERROR(INDEX('Retirement Calculator'!K:K,MATCH('Lorri 401b'!N3016,'Retirement Calculator'!A:A,0),0),0)</f>
        <v>0</v>
      </c>
      <c r="K3016" s="455">
        <f t="shared" ca="1" si="138"/>
        <v>281567003.07798451</v>
      </c>
      <c r="L3016" s="455">
        <f t="shared" ca="1" si="139"/>
        <v>67857647741.794258</v>
      </c>
      <c r="M3016" s="471">
        <f t="shared" si="141"/>
        <v>0.05</v>
      </c>
      <c r="N3016" s="475">
        <f t="shared" si="142"/>
        <v>142843</v>
      </c>
    </row>
    <row r="3017" spans="7:14" ht="11.25" customHeight="1" x14ac:dyDescent="0.3">
      <c r="G3017" s="470"/>
      <c r="H3017" s="470">
        <v>3010</v>
      </c>
      <c r="I3017" s="455">
        <f t="shared" ca="1" si="140"/>
        <v>67857647741.794258</v>
      </c>
      <c r="J3017" s="455">
        <f t="array" ref="J3017">IFERROR(INDEX('Retirement Calculator'!K:K,MATCH('Lorri 401b'!N3017,'Retirement Calculator'!A:A,0),0),0)</f>
        <v>0</v>
      </c>
      <c r="K3017" s="455">
        <f t="shared" ca="1" si="138"/>
        <v>282740198.92414272</v>
      </c>
      <c r="L3017" s="455">
        <f t="shared" ca="1" si="139"/>
        <v>68140387940.718399</v>
      </c>
      <c r="M3017" s="471">
        <f t="shared" si="141"/>
        <v>0.05</v>
      </c>
      <c r="N3017" s="475">
        <f t="shared" si="142"/>
        <v>142871</v>
      </c>
    </row>
    <row r="3018" spans="7:14" ht="11.25" customHeight="1" x14ac:dyDescent="0.3">
      <c r="G3018" s="470"/>
      <c r="H3018" s="470">
        <v>3011</v>
      </c>
      <c r="I3018" s="455">
        <f t="shared" ca="1" si="140"/>
        <v>68140387940.718399</v>
      </c>
      <c r="J3018" s="455">
        <f t="array" ref="J3018">IFERROR(INDEX('Retirement Calculator'!K:K,MATCH('Lorri 401b'!N3018,'Retirement Calculator'!A:A,0),0),0)</f>
        <v>0</v>
      </c>
      <c r="K3018" s="455">
        <f t="shared" ca="1" si="138"/>
        <v>283918283.08632666</v>
      </c>
      <c r="L3018" s="455">
        <f t="shared" ca="1" si="139"/>
        <v>68424306223.804726</v>
      </c>
      <c r="M3018" s="471">
        <f t="shared" si="141"/>
        <v>0.05</v>
      </c>
      <c r="N3018" s="475">
        <f t="shared" si="142"/>
        <v>142902</v>
      </c>
    </row>
    <row r="3019" spans="7:14" ht="11.25" customHeight="1" x14ac:dyDescent="0.3">
      <c r="G3019" s="470"/>
      <c r="H3019" s="470">
        <v>3012</v>
      </c>
      <c r="I3019" s="455">
        <f t="shared" ca="1" si="140"/>
        <v>68424306223.804726</v>
      </c>
      <c r="J3019" s="455">
        <f t="array" ref="J3019">IFERROR(INDEX('Retirement Calculator'!K:K,MATCH('Lorri 401b'!N3019,'Retirement Calculator'!A:A,0),0),0)</f>
        <v>0</v>
      </c>
      <c r="K3019" s="455">
        <f t="shared" ca="1" si="138"/>
        <v>285101275.93251967</v>
      </c>
      <c r="L3019" s="455">
        <f t="shared" ca="1" si="139"/>
        <v>68709407499.737244</v>
      </c>
      <c r="M3019" s="471">
        <f t="shared" si="141"/>
        <v>0.05</v>
      </c>
      <c r="N3019" s="475">
        <f t="shared" si="142"/>
        <v>142932</v>
      </c>
    </row>
    <row r="3020" spans="7:14" ht="11.25" customHeight="1" x14ac:dyDescent="0.3">
      <c r="G3020" s="470"/>
      <c r="H3020" s="470">
        <v>3013</v>
      </c>
      <c r="I3020" s="455">
        <f t="shared" ca="1" si="140"/>
        <v>68709407499.737244</v>
      </c>
      <c r="J3020" s="455">
        <f t="array" ref="J3020">IFERROR(INDEX('Retirement Calculator'!K:K,MATCH('Lorri 401b'!N3020,'Retirement Calculator'!A:A,0),0),0)</f>
        <v>0</v>
      </c>
      <c r="K3020" s="455">
        <f t="shared" ca="1" si="138"/>
        <v>286289197.91557187</v>
      </c>
      <c r="L3020" s="455">
        <f t="shared" ca="1" si="139"/>
        <v>68995696697.652817</v>
      </c>
      <c r="M3020" s="471">
        <f t="shared" si="141"/>
        <v>0.05</v>
      </c>
      <c r="N3020" s="475">
        <f t="shared" si="142"/>
        <v>142963</v>
      </c>
    </row>
    <row r="3021" spans="7:14" ht="11.25" customHeight="1" x14ac:dyDescent="0.3">
      <c r="G3021" s="470"/>
      <c r="H3021" s="470">
        <v>3014</v>
      </c>
      <c r="I3021" s="455">
        <f t="shared" ca="1" si="140"/>
        <v>68995696697.652817</v>
      </c>
      <c r="J3021" s="455">
        <f t="array" ref="J3021">IFERROR(INDEX('Retirement Calculator'!K:K,MATCH('Lorri 401b'!N3021,'Retirement Calculator'!A:A,0),0),0)</f>
        <v>0</v>
      </c>
      <c r="K3021" s="455">
        <f t="shared" ca="1" si="138"/>
        <v>287482069.57355338</v>
      </c>
      <c r="L3021" s="455">
        <f t="shared" ca="1" si="139"/>
        <v>69283178767.226364</v>
      </c>
      <c r="M3021" s="471">
        <f t="shared" si="141"/>
        <v>0.05</v>
      </c>
      <c r="N3021" s="475">
        <f t="shared" si="142"/>
        <v>142993</v>
      </c>
    </row>
    <row r="3022" spans="7:14" ht="11.25" customHeight="1" x14ac:dyDescent="0.3">
      <c r="G3022" s="470"/>
      <c r="H3022" s="470">
        <v>3015</v>
      </c>
      <c r="I3022" s="455">
        <f t="shared" ca="1" si="140"/>
        <v>69283178767.226364</v>
      </c>
      <c r="J3022" s="455">
        <f t="array" ref="J3022">IFERROR(INDEX('Retirement Calculator'!K:K,MATCH('Lorri 401b'!N3022,'Retirement Calculator'!A:A,0),0),0)</f>
        <v>0</v>
      </c>
      <c r="K3022" s="455">
        <f t="shared" ca="1" si="138"/>
        <v>288679911.53010982</v>
      </c>
      <c r="L3022" s="455">
        <f t="shared" ca="1" si="139"/>
        <v>69571858678.75647</v>
      </c>
      <c r="M3022" s="471">
        <f t="shared" si="141"/>
        <v>0.05</v>
      </c>
      <c r="N3022" s="475">
        <f t="shared" si="142"/>
        <v>143024</v>
      </c>
    </row>
    <row r="3023" spans="7:14" ht="11.25" customHeight="1" x14ac:dyDescent="0.3">
      <c r="G3023" s="470"/>
      <c r="H3023" s="470">
        <v>3016</v>
      </c>
      <c r="I3023" s="455">
        <f t="shared" ca="1" si="140"/>
        <v>69571858678.75647</v>
      </c>
      <c r="J3023" s="455">
        <f t="array" ref="J3023">IFERROR(INDEX('Retirement Calculator'!K:K,MATCH('Lorri 401b'!N3023,'Retirement Calculator'!A:A,0),0),0)</f>
        <v>0</v>
      </c>
      <c r="K3023" s="455">
        <f t="shared" ca="1" si="138"/>
        <v>289882744.49481863</v>
      </c>
      <c r="L3023" s="455">
        <f t="shared" ca="1" si="139"/>
        <v>69861741423.251282</v>
      </c>
      <c r="M3023" s="471">
        <f t="shared" si="141"/>
        <v>0.05</v>
      </c>
      <c r="N3023" s="475">
        <f t="shared" si="142"/>
        <v>143055</v>
      </c>
    </row>
    <row r="3024" spans="7:14" ht="11.25" customHeight="1" x14ac:dyDescent="0.3">
      <c r="G3024" s="470"/>
      <c r="H3024" s="470">
        <v>3017</v>
      </c>
      <c r="I3024" s="455">
        <f t="shared" ca="1" si="140"/>
        <v>69861741423.251282</v>
      </c>
      <c r="J3024" s="455">
        <f t="array" ref="J3024">IFERROR(INDEX('Retirement Calculator'!K:K,MATCH('Lorri 401b'!N3024,'Retirement Calculator'!A:A,0),0),0)</f>
        <v>0</v>
      </c>
      <c r="K3024" s="455">
        <f t="shared" ca="1" si="138"/>
        <v>291090589.263547</v>
      </c>
      <c r="L3024" s="455">
        <f t="shared" ca="1" si="139"/>
        <v>70152832012.514832</v>
      </c>
      <c r="M3024" s="471">
        <f t="shared" si="141"/>
        <v>0.05</v>
      </c>
      <c r="N3024" s="475">
        <f t="shared" si="142"/>
        <v>143085</v>
      </c>
    </row>
    <row r="3025" spans="7:14" ht="11.25" customHeight="1" x14ac:dyDescent="0.3">
      <c r="G3025" s="470"/>
      <c r="H3025" s="470">
        <v>3018</v>
      </c>
      <c r="I3025" s="455">
        <f t="shared" ca="1" si="140"/>
        <v>70152832012.514832</v>
      </c>
      <c r="J3025" s="455">
        <f t="array" ref="J3025">IFERROR(INDEX('Retirement Calculator'!K:K,MATCH('Lorri 401b'!N3025,'Retirement Calculator'!A:A,0),0),0)</f>
        <v>0</v>
      </c>
      <c r="K3025" s="455">
        <f t="shared" ca="1" si="138"/>
        <v>292303466.71881181</v>
      </c>
      <c r="L3025" s="455">
        <f t="shared" ca="1" si="139"/>
        <v>70445135479.233643</v>
      </c>
      <c r="M3025" s="471">
        <f t="shared" si="141"/>
        <v>0.05</v>
      </c>
      <c r="N3025" s="475">
        <f t="shared" si="142"/>
        <v>143116</v>
      </c>
    </row>
    <row r="3026" spans="7:14" ht="11.25" customHeight="1" x14ac:dyDescent="0.3">
      <c r="G3026" s="470"/>
      <c r="H3026" s="470">
        <v>3019</v>
      </c>
      <c r="I3026" s="455">
        <f t="shared" ca="1" si="140"/>
        <v>70445135479.233643</v>
      </c>
      <c r="J3026" s="455">
        <f t="array" ref="J3026">IFERROR(INDEX('Retirement Calculator'!K:K,MATCH('Lorri 401b'!N3026,'Retirement Calculator'!A:A,0),0),0)</f>
        <v>0</v>
      </c>
      <c r="K3026" s="455">
        <f t="shared" ca="1" si="138"/>
        <v>293521397.83014017</v>
      </c>
      <c r="L3026" s="455">
        <f t="shared" ca="1" si="139"/>
        <v>70738656877.063782</v>
      </c>
      <c r="M3026" s="471">
        <f t="shared" si="141"/>
        <v>0.05</v>
      </c>
      <c r="N3026" s="475">
        <f t="shared" si="142"/>
        <v>143146</v>
      </c>
    </row>
    <row r="3027" spans="7:14" ht="11.25" customHeight="1" x14ac:dyDescent="0.3">
      <c r="G3027" s="470"/>
      <c r="H3027" s="470">
        <v>3020</v>
      </c>
      <c r="I3027" s="455">
        <f t="shared" ca="1" si="140"/>
        <v>70738656877.063782</v>
      </c>
      <c r="J3027" s="455">
        <f t="array" ref="J3027">IFERROR(INDEX('Retirement Calculator'!K:K,MATCH('Lorri 401b'!N3027,'Retirement Calculator'!A:A,0),0),0)</f>
        <v>0</v>
      </c>
      <c r="K3027" s="455">
        <f t="shared" ca="1" si="138"/>
        <v>294744403.65443242</v>
      </c>
      <c r="L3027" s="455">
        <f t="shared" ca="1" si="139"/>
        <v>71033401280.718216</v>
      </c>
      <c r="M3027" s="471">
        <f t="shared" si="141"/>
        <v>0.05</v>
      </c>
      <c r="N3027" s="475">
        <f t="shared" si="142"/>
        <v>143177</v>
      </c>
    </row>
    <row r="3028" spans="7:14" ht="11.25" customHeight="1" x14ac:dyDescent="0.3">
      <c r="G3028" s="470"/>
      <c r="H3028" s="470">
        <v>3021</v>
      </c>
      <c r="I3028" s="455">
        <f t="shared" ca="1" si="140"/>
        <v>71033401280.718216</v>
      </c>
      <c r="J3028" s="455">
        <f t="array" ref="J3028">IFERROR(INDEX('Retirement Calculator'!K:K,MATCH('Lorri 401b'!N3028,'Retirement Calculator'!A:A,0),0),0)</f>
        <v>0</v>
      </c>
      <c r="K3028" s="455">
        <f t="shared" ca="1" si="138"/>
        <v>295972505.33632588</v>
      </c>
      <c r="L3028" s="455">
        <f t="shared" ca="1" si="139"/>
        <v>71329373786.054535</v>
      </c>
      <c r="M3028" s="471">
        <f t="shared" si="141"/>
        <v>0.05</v>
      </c>
      <c r="N3028" s="475">
        <f t="shared" si="142"/>
        <v>143208</v>
      </c>
    </row>
    <row r="3029" spans="7:14" ht="11.25" customHeight="1" x14ac:dyDescent="0.3">
      <c r="G3029" s="470"/>
      <c r="H3029" s="470">
        <v>3022</v>
      </c>
      <c r="I3029" s="455">
        <f t="shared" ca="1" si="140"/>
        <v>71329373786.054535</v>
      </c>
      <c r="J3029" s="455">
        <f t="array" ref="J3029">IFERROR(INDEX('Retirement Calculator'!K:K,MATCH('Lorri 401b'!N3029,'Retirement Calculator'!A:A,0),0),0)</f>
        <v>0</v>
      </c>
      <c r="K3029" s="455">
        <f t="shared" ca="1" si="138"/>
        <v>297205724.10856056</v>
      </c>
      <c r="L3029" s="455">
        <f t="shared" ca="1" si="139"/>
        <v>71626579510.163101</v>
      </c>
      <c r="M3029" s="471">
        <f t="shared" si="141"/>
        <v>0.05</v>
      </c>
      <c r="N3029" s="475">
        <f t="shared" si="142"/>
        <v>143237</v>
      </c>
    </row>
    <row r="3030" spans="7:14" ht="11.25" customHeight="1" x14ac:dyDescent="0.3">
      <c r="G3030" s="470"/>
      <c r="H3030" s="470">
        <v>3023</v>
      </c>
      <c r="I3030" s="455">
        <f t="shared" ca="1" si="140"/>
        <v>71626579510.163101</v>
      </c>
      <c r="J3030" s="455">
        <f t="array" ref="J3030">IFERROR(INDEX('Retirement Calculator'!K:K,MATCH('Lorri 401b'!N3030,'Retirement Calculator'!A:A,0),0),0)</f>
        <v>0</v>
      </c>
      <c r="K3030" s="455">
        <f t="shared" ca="1" si="138"/>
        <v>298444081.29234624</v>
      </c>
      <c r="L3030" s="455">
        <f t="shared" ca="1" si="139"/>
        <v>71925023591.455444</v>
      </c>
      <c r="M3030" s="471">
        <f t="shared" si="141"/>
        <v>0.05</v>
      </c>
      <c r="N3030" s="475">
        <f t="shared" si="142"/>
        <v>143268</v>
      </c>
    </row>
    <row r="3031" spans="7:14" ht="11.25" customHeight="1" x14ac:dyDescent="0.3">
      <c r="G3031" s="470"/>
      <c r="H3031" s="470">
        <v>3024</v>
      </c>
      <c r="I3031" s="455">
        <f t="shared" ca="1" si="140"/>
        <v>71925023591.455444</v>
      </c>
      <c r="J3031" s="455">
        <f t="array" ref="J3031">IFERROR(INDEX('Retirement Calculator'!K:K,MATCH('Lorri 401b'!N3031,'Retirement Calculator'!A:A,0),0),0)</f>
        <v>0</v>
      </c>
      <c r="K3031" s="455">
        <f t="shared" ca="1" si="138"/>
        <v>299687598.29773104</v>
      </c>
      <c r="L3031" s="455">
        <f t="shared" ca="1" si="139"/>
        <v>72224711189.753174</v>
      </c>
      <c r="M3031" s="471">
        <f t="shared" si="141"/>
        <v>0.05</v>
      </c>
      <c r="N3031" s="475">
        <f t="shared" si="142"/>
        <v>143298</v>
      </c>
    </row>
    <row r="3032" spans="7:14" ht="11.25" customHeight="1" x14ac:dyDescent="0.3">
      <c r="G3032" s="470"/>
      <c r="H3032" s="470">
        <v>3025</v>
      </c>
      <c r="I3032" s="455">
        <f t="shared" ca="1" si="140"/>
        <v>72224711189.753174</v>
      </c>
      <c r="J3032" s="455">
        <f t="array" ref="J3032">IFERROR(INDEX('Retirement Calculator'!K:K,MATCH('Lorri 401b'!N3032,'Retirement Calculator'!A:A,0),0),0)</f>
        <v>0</v>
      </c>
      <c r="K3032" s="455">
        <f t="shared" ca="1" si="138"/>
        <v>300936296.62397158</v>
      </c>
      <c r="L3032" s="455">
        <f t="shared" ca="1" si="139"/>
        <v>72525647486.377151</v>
      </c>
      <c r="M3032" s="471">
        <f t="shared" si="141"/>
        <v>0.05</v>
      </c>
      <c r="N3032" s="475">
        <f t="shared" si="142"/>
        <v>143329</v>
      </c>
    </row>
    <row r="3033" spans="7:14" ht="11.25" customHeight="1" x14ac:dyDescent="0.3">
      <c r="G3033" s="470"/>
      <c r="H3033" s="470">
        <v>3026</v>
      </c>
      <c r="I3033" s="455">
        <f t="shared" ca="1" si="140"/>
        <v>72525647486.377151</v>
      </c>
      <c r="J3033" s="455">
        <f t="array" ref="J3033">IFERROR(INDEX('Retirement Calculator'!K:K,MATCH('Lorri 401b'!N3033,'Retirement Calculator'!A:A,0),0),0)</f>
        <v>0</v>
      </c>
      <c r="K3033" s="455">
        <f t="shared" ca="1" si="138"/>
        <v>302190197.85990477</v>
      </c>
      <c r="L3033" s="455">
        <f t="shared" ca="1" si="139"/>
        <v>72827837684.237061</v>
      </c>
      <c r="M3033" s="471">
        <f t="shared" si="141"/>
        <v>0.05</v>
      </c>
      <c r="N3033" s="475">
        <f t="shared" si="142"/>
        <v>143359</v>
      </c>
    </row>
    <row r="3034" spans="7:14" ht="11.25" customHeight="1" x14ac:dyDescent="0.3">
      <c r="G3034" s="470"/>
      <c r="H3034" s="470">
        <v>3027</v>
      </c>
      <c r="I3034" s="455">
        <f t="shared" ca="1" si="140"/>
        <v>72827837684.237061</v>
      </c>
      <c r="J3034" s="455">
        <f t="array" ref="J3034">IFERROR(INDEX('Retirement Calculator'!K:K,MATCH('Lorri 401b'!N3034,'Retirement Calculator'!A:A,0),0),0)</f>
        <v>0</v>
      </c>
      <c r="K3034" s="455">
        <f t="shared" ca="1" si="138"/>
        <v>303449323.68432111</v>
      </c>
      <c r="L3034" s="455">
        <f t="shared" ca="1" si="139"/>
        <v>73131287007.921387</v>
      </c>
      <c r="M3034" s="471">
        <f t="shared" si="141"/>
        <v>0.05</v>
      </c>
      <c r="N3034" s="475">
        <f t="shared" si="142"/>
        <v>143390</v>
      </c>
    </row>
    <row r="3035" spans="7:14" ht="11.25" customHeight="1" x14ac:dyDescent="0.3">
      <c r="G3035" s="470"/>
      <c r="H3035" s="470">
        <v>3028</v>
      </c>
      <c r="I3035" s="455">
        <f t="shared" ca="1" si="140"/>
        <v>73131287007.921387</v>
      </c>
      <c r="J3035" s="455">
        <f t="array" ref="J3035">IFERROR(INDEX('Retirement Calculator'!K:K,MATCH('Lorri 401b'!N3035,'Retirement Calculator'!A:A,0),0),0)</f>
        <v>0</v>
      </c>
      <c r="K3035" s="455">
        <f t="shared" ca="1" si="138"/>
        <v>304713695.86633909</v>
      </c>
      <c r="L3035" s="455">
        <f t="shared" ca="1" si="139"/>
        <v>73436000703.78772</v>
      </c>
      <c r="M3035" s="471">
        <f t="shared" si="141"/>
        <v>0.05</v>
      </c>
      <c r="N3035" s="475">
        <f t="shared" si="142"/>
        <v>143421</v>
      </c>
    </row>
    <row r="3036" spans="7:14" ht="11.25" customHeight="1" x14ac:dyDescent="0.3">
      <c r="G3036" s="470"/>
      <c r="H3036" s="470">
        <v>3029</v>
      </c>
      <c r="I3036" s="455">
        <f t="shared" ca="1" si="140"/>
        <v>73436000703.78772</v>
      </c>
      <c r="J3036" s="455">
        <f t="array" ref="J3036">IFERROR(INDEX('Retirement Calculator'!K:K,MATCH('Lorri 401b'!N3036,'Retirement Calculator'!A:A,0),0),0)</f>
        <v>0</v>
      </c>
      <c r="K3036" s="455">
        <f t="shared" ca="1" si="138"/>
        <v>305983336.26578218</v>
      </c>
      <c r="L3036" s="455">
        <f t="shared" ca="1" si="139"/>
        <v>73741984040.053497</v>
      </c>
      <c r="M3036" s="471">
        <f t="shared" si="141"/>
        <v>0.05</v>
      </c>
      <c r="N3036" s="475">
        <f t="shared" si="142"/>
        <v>143451</v>
      </c>
    </row>
    <row r="3037" spans="7:14" ht="11.25" customHeight="1" x14ac:dyDescent="0.3">
      <c r="G3037" s="470"/>
      <c r="H3037" s="470">
        <v>3030</v>
      </c>
      <c r="I3037" s="455">
        <f t="shared" ca="1" si="140"/>
        <v>73741984040.053497</v>
      </c>
      <c r="J3037" s="455">
        <f t="array" ref="J3037">IFERROR(INDEX('Retirement Calculator'!K:K,MATCH('Lorri 401b'!N3037,'Retirement Calculator'!A:A,0),0),0)</f>
        <v>0</v>
      </c>
      <c r="K3037" s="455">
        <f t="shared" ca="1" si="138"/>
        <v>307258266.83355623</v>
      </c>
      <c r="L3037" s="455">
        <f t="shared" ca="1" si="139"/>
        <v>74049242306.887054</v>
      </c>
      <c r="M3037" s="471">
        <f t="shared" si="141"/>
        <v>0.05</v>
      </c>
      <c r="N3037" s="475">
        <f t="shared" si="142"/>
        <v>143482</v>
      </c>
    </row>
    <row r="3038" spans="7:14" ht="11.25" customHeight="1" x14ac:dyDescent="0.3">
      <c r="G3038" s="470"/>
      <c r="H3038" s="470">
        <v>3031</v>
      </c>
      <c r="I3038" s="455">
        <f t="shared" ca="1" si="140"/>
        <v>74049242306.887054</v>
      </c>
      <c r="J3038" s="455">
        <f t="array" ref="J3038">IFERROR(INDEX('Retirement Calculator'!K:K,MATCH('Lorri 401b'!N3038,'Retirement Calculator'!A:A,0),0),0)</f>
        <v>0</v>
      </c>
      <c r="K3038" s="455">
        <f t="shared" ca="1" si="138"/>
        <v>308538509.61202937</v>
      </c>
      <c r="L3038" s="455">
        <f t="shared" ca="1" si="139"/>
        <v>74357780816.499084</v>
      </c>
      <c r="M3038" s="471">
        <f t="shared" si="141"/>
        <v>0.05</v>
      </c>
      <c r="N3038" s="475">
        <f t="shared" si="142"/>
        <v>143512</v>
      </c>
    </row>
    <row r="3039" spans="7:14" ht="11.25" customHeight="1" x14ac:dyDescent="0.3">
      <c r="G3039" s="470"/>
      <c r="H3039" s="470">
        <v>3032</v>
      </c>
      <c r="I3039" s="455">
        <f t="shared" ca="1" si="140"/>
        <v>74357780816.499084</v>
      </c>
      <c r="J3039" s="455">
        <f t="array" ref="J3039">IFERROR(INDEX('Retirement Calculator'!K:K,MATCH('Lorri 401b'!N3039,'Retirement Calculator'!A:A,0),0),0)</f>
        <v>0</v>
      </c>
      <c r="K3039" s="455">
        <f t="shared" ca="1" si="138"/>
        <v>309824086.73541284</v>
      </c>
      <c r="L3039" s="455">
        <f t="shared" ca="1" si="139"/>
        <v>74667604903.234497</v>
      </c>
      <c r="M3039" s="471">
        <f t="shared" si="141"/>
        <v>0.05</v>
      </c>
      <c r="N3039" s="475">
        <f t="shared" si="142"/>
        <v>143543</v>
      </c>
    </row>
    <row r="3040" spans="7:14" ht="11.25" customHeight="1" x14ac:dyDescent="0.3">
      <c r="G3040" s="470"/>
      <c r="H3040" s="470">
        <v>3033</v>
      </c>
      <c r="I3040" s="455">
        <f t="shared" ca="1" si="140"/>
        <v>74667604903.234497</v>
      </c>
      <c r="J3040" s="455">
        <f t="array" ref="J3040">IFERROR(INDEX('Retirement Calculator'!K:K,MATCH('Lorri 401b'!N3040,'Retirement Calculator'!A:A,0),0),0)</f>
        <v>0</v>
      </c>
      <c r="K3040" s="455">
        <f t="shared" ca="1" si="138"/>
        <v>311115020.43014371</v>
      </c>
      <c r="L3040" s="455">
        <f t="shared" ca="1" si="139"/>
        <v>74978719923.664642</v>
      </c>
      <c r="M3040" s="471">
        <f t="shared" si="141"/>
        <v>0.05</v>
      </c>
      <c r="N3040" s="475">
        <f t="shared" si="142"/>
        <v>143574</v>
      </c>
    </row>
    <row r="3041" spans="7:14" ht="11.25" customHeight="1" x14ac:dyDescent="0.3">
      <c r="G3041" s="470"/>
      <c r="H3041" s="470">
        <v>3034</v>
      </c>
      <c r="I3041" s="455">
        <f t="shared" ca="1" si="140"/>
        <v>74978719923.664642</v>
      </c>
      <c r="J3041" s="455">
        <f t="array" ref="J3041">IFERROR(INDEX('Retirement Calculator'!K:K,MATCH('Lorri 401b'!N3041,'Retirement Calculator'!A:A,0),0),0)</f>
        <v>0</v>
      </c>
      <c r="K3041" s="455">
        <f t="shared" ca="1" si="138"/>
        <v>312411333.01526934</v>
      </c>
      <c r="L3041" s="455">
        <f t="shared" ca="1" si="139"/>
        <v>75291131256.679916</v>
      </c>
      <c r="M3041" s="471">
        <f t="shared" si="141"/>
        <v>0.05</v>
      </c>
      <c r="N3041" s="475">
        <f t="shared" si="142"/>
        <v>143602</v>
      </c>
    </row>
    <row r="3042" spans="7:14" ht="11.25" customHeight="1" x14ac:dyDescent="0.3">
      <c r="G3042" s="470"/>
      <c r="H3042" s="470">
        <v>3035</v>
      </c>
      <c r="I3042" s="455">
        <f t="shared" ca="1" si="140"/>
        <v>75291131256.679916</v>
      </c>
      <c r="J3042" s="455">
        <f t="array" ref="J3042">IFERROR(INDEX('Retirement Calculator'!K:K,MATCH('Lorri 401b'!N3042,'Retirement Calculator'!A:A,0),0),0)</f>
        <v>0</v>
      </c>
      <c r="K3042" s="455">
        <f t="shared" ca="1" si="138"/>
        <v>313713046.90283298</v>
      </c>
      <c r="L3042" s="455">
        <f t="shared" ca="1" si="139"/>
        <v>75604844303.582748</v>
      </c>
      <c r="M3042" s="471">
        <f t="shared" si="141"/>
        <v>0.05</v>
      </c>
      <c r="N3042" s="475">
        <f t="shared" si="142"/>
        <v>143633</v>
      </c>
    </row>
    <row r="3043" spans="7:14" ht="11.25" customHeight="1" x14ac:dyDescent="0.3">
      <c r="G3043" s="470"/>
      <c r="H3043" s="470">
        <v>3036</v>
      </c>
      <c r="I3043" s="455">
        <f t="shared" ca="1" si="140"/>
        <v>75604844303.582748</v>
      </c>
      <c r="J3043" s="455">
        <f t="array" ref="J3043">IFERROR(INDEX('Retirement Calculator'!K:K,MATCH('Lorri 401b'!N3043,'Retirement Calculator'!A:A,0),0),0)</f>
        <v>0</v>
      </c>
      <c r="K3043" s="455">
        <f t="shared" ca="1" si="138"/>
        <v>315020184.59826148</v>
      </c>
      <c r="L3043" s="455">
        <f t="shared" ca="1" si="139"/>
        <v>75919864488.181015</v>
      </c>
      <c r="M3043" s="471">
        <f t="shared" si="141"/>
        <v>0.05</v>
      </c>
      <c r="N3043" s="475">
        <f t="shared" si="142"/>
        <v>143663</v>
      </c>
    </row>
    <row r="3044" spans="7:14" ht="11.25" customHeight="1" x14ac:dyDescent="0.3">
      <c r="G3044" s="470"/>
      <c r="H3044" s="470">
        <v>3037</v>
      </c>
      <c r="I3044" s="455">
        <f t="shared" ca="1" si="140"/>
        <v>75919864488.181015</v>
      </c>
      <c r="J3044" s="455">
        <f t="array" ref="J3044">IFERROR(INDEX('Retirement Calculator'!K:K,MATCH('Lorri 401b'!N3044,'Retirement Calculator'!A:A,0),0),0)</f>
        <v>0</v>
      </c>
      <c r="K3044" s="455">
        <f t="shared" ca="1" si="138"/>
        <v>316332768.70075423</v>
      </c>
      <c r="L3044" s="455">
        <f t="shared" ca="1" si="139"/>
        <v>76236197256.881775</v>
      </c>
      <c r="M3044" s="471">
        <f t="shared" si="141"/>
        <v>0.05</v>
      </c>
      <c r="N3044" s="475">
        <f t="shared" si="142"/>
        <v>143694</v>
      </c>
    </row>
    <row r="3045" spans="7:14" ht="11.25" customHeight="1" x14ac:dyDescent="0.3">
      <c r="G3045" s="470"/>
      <c r="H3045" s="470">
        <v>3038</v>
      </c>
      <c r="I3045" s="455">
        <f t="shared" ca="1" si="140"/>
        <v>76236197256.881775</v>
      </c>
      <c r="J3045" s="455">
        <f t="array" ref="J3045">IFERROR(INDEX('Retirement Calculator'!K:K,MATCH('Lorri 401b'!N3045,'Retirement Calculator'!A:A,0),0),0)</f>
        <v>0</v>
      </c>
      <c r="K3045" s="455">
        <f t="shared" ca="1" si="138"/>
        <v>317650821.90367407</v>
      </c>
      <c r="L3045" s="455">
        <f t="shared" ca="1" si="139"/>
        <v>76553848078.785446</v>
      </c>
      <c r="M3045" s="471">
        <f t="shared" si="141"/>
        <v>0.05</v>
      </c>
      <c r="N3045" s="475">
        <f t="shared" si="142"/>
        <v>143724</v>
      </c>
    </row>
    <row r="3046" spans="7:14" ht="11.25" customHeight="1" x14ac:dyDescent="0.3">
      <c r="G3046" s="470"/>
      <c r="H3046" s="470">
        <v>3039</v>
      </c>
      <c r="I3046" s="455">
        <f t="shared" ca="1" si="140"/>
        <v>76553848078.785446</v>
      </c>
      <c r="J3046" s="455">
        <f t="array" ref="J3046">IFERROR(INDEX('Retirement Calculator'!K:K,MATCH('Lorri 401b'!N3046,'Retirement Calculator'!A:A,0),0),0)</f>
        <v>0</v>
      </c>
      <c r="K3046" s="455">
        <f t="shared" ca="1" si="138"/>
        <v>318974366.99493933</v>
      </c>
      <c r="L3046" s="455">
        <f t="shared" ca="1" si="139"/>
        <v>76872822445.78038</v>
      </c>
      <c r="M3046" s="471">
        <f t="shared" si="141"/>
        <v>0.05</v>
      </c>
      <c r="N3046" s="475">
        <f t="shared" si="142"/>
        <v>143755</v>
      </c>
    </row>
    <row r="3047" spans="7:14" ht="11.25" customHeight="1" x14ac:dyDescent="0.3">
      <c r="G3047" s="470"/>
      <c r="H3047" s="470">
        <v>3040</v>
      </c>
      <c r="I3047" s="455">
        <f t="shared" ca="1" si="140"/>
        <v>76872822445.78038</v>
      </c>
      <c r="J3047" s="455">
        <f t="array" ref="J3047">IFERROR(INDEX('Retirement Calculator'!K:K,MATCH('Lorri 401b'!N3047,'Retirement Calculator'!A:A,0),0),0)</f>
        <v>0</v>
      </c>
      <c r="K3047" s="455">
        <f t="shared" ca="1" si="138"/>
        <v>320303426.85741824</v>
      </c>
      <c r="L3047" s="455">
        <f t="shared" ca="1" si="139"/>
        <v>77193125872.637802</v>
      </c>
      <c r="M3047" s="471">
        <f t="shared" si="141"/>
        <v>0.05</v>
      </c>
      <c r="N3047" s="475">
        <f t="shared" si="142"/>
        <v>143786</v>
      </c>
    </row>
    <row r="3048" spans="7:14" ht="11.25" customHeight="1" x14ac:dyDescent="0.3">
      <c r="G3048" s="470"/>
      <c r="H3048" s="470">
        <v>3041</v>
      </c>
      <c r="I3048" s="455">
        <f t="shared" ca="1" si="140"/>
        <v>77193125872.637802</v>
      </c>
      <c r="J3048" s="455">
        <f t="array" ref="J3048">IFERROR(INDEX('Retirement Calculator'!K:K,MATCH('Lorri 401b'!N3048,'Retirement Calculator'!A:A,0),0),0)</f>
        <v>0</v>
      </c>
      <c r="K3048" s="455">
        <f t="shared" ca="1" si="138"/>
        <v>321638024.46932417</v>
      </c>
      <c r="L3048" s="455">
        <f t="shared" ca="1" si="139"/>
        <v>77514763897.107132</v>
      </c>
      <c r="M3048" s="471">
        <f t="shared" si="141"/>
        <v>0.05</v>
      </c>
      <c r="N3048" s="475">
        <f t="shared" si="142"/>
        <v>143816</v>
      </c>
    </row>
    <row r="3049" spans="7:14" ht="11.25" customHeight="1" x14ac:dyDescent="0.3">
      <c r="G3049" s="470"/>
      <c r="H3049" s="470">
        <v>3042</v>
      </c>
      <c r="I3049" s="455">
        <f t="shared" ca="1" si="140"/>
        <v>77514763897.107132</v>
      </c>
      <c r="J3049" s="455">
        <f t="array" ref="J3049">IFERROR(INDEX('Retirement Calculator'!K:K,MATCH('Lorri 401b'!N3049,'Retirement Calculator'!A:A,0),0),0)</f>
        <v>0</v>
      </c>
      <c r="K3049" s="455">
        <f t="shared" ca="1" si="138"/>
        <v>322978182.90461302</v>
      </c>
      <c r="L3049" s="455">
        <f t="shared" ca="1" si="139"/>
        <v>77837742080.011749</v>
      </c>
      <c r="M3049" s="471">
        <f t="shared" si="141"/>
        <v>0.05</v>
      </c>
      <c r="N3049" s="475">
        <f t="shared" si="142"/>
        <v>143847</v>
      </c>
    </row>
    <row r="3050" spans="7:14" ht="11.25" customHeight="1" x14ac:dyDescent="0.3">
      <c r="G3050" s="470"/>
      <c r="H3050" s="470">
        <v>3043</v>
      </c>
      <c r="I3050" s="455">
        <f t="shared" ca="1" si="140"/>
        <v>77837742080.011749</v>
      </c>
      <c r="J3050" s="455">
        <f t="array" ref="J3050">IFERROR(INDEX('Retirement Calculator'!K:K,MATCH('Lorri 401b'!N3050,'Retirement Calculator'!A:A,0),0),0)</f>
        <v>0</v>
      </c>
      <c r="K3050" s="455">
        <f t="shared" ca="1" si="138"/>
        <v>324323925.33338231</v>
      </c>
      <c r="L3050" s="455">
        <f t="shared" ca="1" si="139"/>
        <v>78162066005.345139</v>
      </c>
      <c r="M3050" s="471">
        <f t="shared" si="141"/>
        <v>0.05</v>
      </c>
      <c r="N3050" s="475">
        <f t="shared" si="142"/>
        <v>143877</v>
      </c>
    </row>
    <row r="3051" spans="7:14" ht="11.25" customHeight="1" x14ac:dyDescent="0.3">
      <c r="G3051" s="470"/>
      <c r="H3051" s="470">
        <v>3044</v>
      </c>
      <c r="I3051" s="455">
        <f t="shared" ca="1" si="140"/>
        <v>78162066005.345139</v>
      </c>
      <c r="J3051" s="455">
        <f t="array" ref="J3051">IFERROR(INDEX('Retirement Calculator'!K:K,MATCH('Lorri 401b'!N3051,'Retirement Calculator'!A:A,0),0),0)</f>
        <v>0</v>
      </c>
      <c r="K3051" s="455">
        <f t="shared" ca="1" si="138"/>
        <v>325675275.02227139</v>
      </c>
      <c r="L3051" s="455">
        <f t="shared" ca="1" si="139"/>
        <v>78487741280.367416</v>
      </c>
      <c r="M3051" s="471">
        <f t="shared" si="141"/>
        <v>0.05</v>
      </c>
      <c r="N3051" s="475">
        <f t="shared" si="142"/>
        <v>143908</v>
      </c>
    </row>
    <row r="3052" spans="7:14" ht="11.25" customHeight="1" x14ac:dyDescent="0.3">
      <c r="G3052" s="470"/>
      <c r="H3052" s="470">
        <v>3045</v>
      </c>
      <c r="I3052" s="455">
        <f t="shared" ca="1" si="140"/>
        <v>78487741280.367416</v>
      </c>
      <c r="J3052" s="455">
        <f t="array" ref="J3052">IFERROR(INDEX('Retirement Calculator'!K:K,MATCH('Lorri 401b'!N3052,'Retirement Calculator'!A:A,0),0),0)</f>
        <v>0</v>
      </c>
      <c r="K3052" s="455">
        <f t="shared" ca="1" si="138"/>
        <v>327032255.33486426</v>
      </c>
      <c r="L3052" s="455">
        <f t="shared" ca="1" si="139"/>
        <v>78814773535.702286</v>
      </c>
      <c r="M3052" s="471">
        <f t="shared" si="141"/>
        <v>0.05</v>
      </c>
      <c r="N3052" s="475">
        <f t="shared" si="142"/>
        <v>143939</v>
      </c>
    </row>
    <row r="3053" spans="7:14" ht="11.25" customHeight="1" x14ac:dyDescent="0.3">
      <c r="G3053" s="470"/>
      <c r="H3053" s="470">
        <v>3046</v>
      </c>
      <c r="I3053" s="455">
        <f t="shared" ca="1" si="140"/>
        <v>78814773535.702286</v>
      </c>
      <c r="J3053" s="455">
        <f t="array" ref="J3053">IFERROR(INDEX('Retirement Calculator'!K:K,MATCH('Lorri 401b'!N3053,'Retirement Calculator'!A:A,0),0),0)</f>
        <v>0</v>
      </c>
      <c r="K3053" s="455">
        <f t="shared" ca="1" si="138"/>
        <v>328394889.73209286</v>
      </c>
      <c r="L3053" s="455">
        <f t="shared" ca="1" si="139"/>
        <v>79143168425.434372</v>
      </c>
      <c r="M3053" s="471">
        <f t="shared" si="141"/>
        <v>0.05</v>
      </c>
      <c r="N3053" s="475">
        <f t="shared" si="142"/>
        <v>143967</v>
      </c>
    </row>
    <row r="3054" spans="7:14" ht="11.25" customHeight="1" x14ac:dyDescent="0.3">
      <c r="G3054" s="470"/>
      <c r="H3054" s="470">
        <v>3047</v>
      </c>
      <c r="I3054" s="455">
        <f t="shared" ca="1" si="140"/>
        <v>79143168425.434372</v>
      </c>
      <c r="J3054" s="455">
        <f t="array" ref="J3054">IFERROR(INDEX('Retirement Calculator'!K:K,MATCH('Lorri 401b'!N3054,'Retirement Calculator'!A:A,0),0),0)</f>
        <v>0</v>
      </c>
      <c r="K3054" s="455">
        <f t="shared" ca="1" si="138"/>
        <v>329763201.77264321</v>
      </c>
      <c r="L3054" s="455">
        <f t="shared" ca="1" si="139"/>
        <v>79472931627.207016</v>
      </c>
      <c r="M3054" s="471">
        <f t="shared" si="141"/>
        <v>0.05</v>
      </c>
      <c r="N3054" s="475">
        <f t="shared" si="142"/>
        <v>143998</v>
      </c>
    </row>
    <row r="3055" spans="7:14" ht="11.25" customHeight="1" x14ac:dyDescent="0.3">
      <c r="G3055" s="470"/>
      <c r="H3055" s="470">
        <v>3048</v>
      </c>
      <c r="I3055" s="455">
        <f t="shared" ca="1" si="140"/>
        <v>79472931627.207016</v>
      </c>
      <c r="J3055" s="455">
        <f t="array" ref="J3055">IFERROR(INDEX('Retirement Calculator'!K:K,MATCH('Lorri 401b'!N3055,'Retirement Calculator'!A:A,0),0),0)</f>
        <v>0</v>
      </c>
      <c r="K3055" s="455">
        <f t="shared" ca="1" si="138"/>
        <v>331137215.11336255</v>
      </c>
      <c r="L3055" s="455">
        <f t="shared" ca="1" si="139"/>
        <v>79804068842.320374</v>
      </c>
      <c r="M3055" s="471">
        <f t="shared" si="141"/>
        <v>0.05</v>
      </c>
      <c r="N3055" s="475">
        <f t="shared" si="142"/>
        <v>144028</v>
      </c>
    </row>
    <row r="3056" spans="7:14" ht="11.25" customHeight="1" x14ac:dyDescent="0.3">
      <c r="G3056" s="470"/>
      <c r="H3056" s="470">
        <v>3049</v>
      </c>
      <c r="I3056" s="455">
        <f t="shared" ca="1" si="140"/>
        <v>79804068842.320374</v>
      </c>
      <c r="J3056" s="455">
        <f t="array" ref="J3056">IFERROR(INDEX('Retirement Calculator'!K:K,MATCH('Lorri 401b'!N3056,'Retirement Calculator'!A:A,0),0),0)</f>
        <v>0</v>
      </c>
      <c r="K3056" s="455">
        <f t="shared" ca="1" si="138"/>
        <v>332516953.50966823</v>
      </c>
      <c r="L3056" s="455">
        <f t="shared" ca="1" si="139"/>
        <v>80136585795.830048</v>
      </c>
      <c r="M3056" s="471">
        <f t="shared" si="141"/>
        <v>0.05</v>
      </c>
      <c r="N3056" s="475">
        <f t="shared" si="142"/>
        <v>144059</v>
      </c>
    </row>
    <row r="3057" spans="7:14" ht="11.25" customHeight="1" x14ac:dyDescent="0.3">
      <c r="G3057" s="470"/>
      <c r="H3057" s="470">
        <v>3050</v>
      </c>
      <c r="I3057" s="455">
        <f t="shared" ca="1" si="140"/>
        <v>80136585795.830048</v>
      </c>
      <c r="J3057" s="455">
        <f t="array" ref="J3057">IFERROR(INDEX('Retirement Calculator'!K:K,MATCH('Lorri 401b'!N3057,'Retirement Calculator'!A:A,0),0),0)</f>
        <v>0</v>
      </c>
      <c r="K3057" s="455">
        <f t="shared" ca="1" si="138"/>
        <v>333902440.8159585</v>
      </c>
      <c r="L3057" s="455">
        <f t="shared" ca="1" si="139"/>
        <v>80470488236.646011</v>
      </c>
      <c r="M3057" s="471">
        <f t="shared" si="141"/>
        <v>0.05</v>
      </c>
      <c r="N3057" s="475">
        <f t="shared" si="142"/>
        <v>144089</v>
      </c>
    </row>
    <row r="3058" spans="7:14" ht="11.25" customHeight="1" x14ac:dyDescent="0.3">
      <c r="G3058" s="470"/>
      <c r="H3058" s="470">
        <v>3051</v>
      </c>
      <c r="I3058" s="455">
        <f t="shared" ca="1" si="140"/>
        <v>80470488236.646011</v>
      </c>
      <c r="J3058" s="455">
        <f t="array" ref="J3058">IFERROR(INDEX('Retirement Calculator'!K:K,MATCH('Lorri 401b'!N3058,'Retirement Calculator'!A:A,0),0),0)</f>
        <v>0</v>
      </c>
      <c r="K3058" s="455">
        <f t="shared" ca="1" si="138"/>
        <v>335293700.98602504</v>
      </c>
      <c r="L3058" s="455">
        <f t="shared" ca="1" si="139"/>
        <v>80805781937.632034</v>
      </c>
      <c r="M3058" s="471">
        <f t="shared" si="141"/>
        <v>0.05</v>
      </c>
      <c r="N3058" s="475">
        <f t="shared" si="142"/>
        <v>144120</v>
      </c>
    </row>
    <row r="3059" spans="7:14" ht="11.25" customHeight="1" x14ac:dyDescent="0.3">
      <c r="G3059" s="470"/>
      <c r="H3059" s="470">
        <v>3052</v>
      </c>
      <c r="I3059" s="455">
        <f t="shared" ca="1" si="140"/>
        <v>80805781937.632034</v>
      </c>
      <c r="J3059" s="455">
        <f t="array" ref="J3059">IFERROR(INDEX('Retirement Calculator'!K:K,MATCH('Lorri 401b'!N3059,'Retirement Calculator'!A:A,0),0),0)</f>
        <v>0</v>
      </c>
      <c r="K3059" s="455">
        <f t="shared" ca="1" si="138"/>
        <v>336690758.07346678</v>
      </c>
      <c r="L3059" s="455">
        <f t="shared" ca="1" si="139"/>
        <v>81142472695.705505</v>
      </c>
      <c r="M3059" s="471">
        <f t="shared" si="141"/>
        <v>0.05</v>
      </c>
      <c r="N3059" s="475">
        <f t="shared" si="142"/>
        <v>144151</v>
      </c>
    </row>
    <row r="3060" spans="7:14" ht="11.25" customHeight="1" x14ac:dyDescent="0.3">
      <c r="G3060" s="470"/>
      <c r="H3060" s="470">
        <v>3053</v>
      </c>
      <c r="I3060" s="455">
        <f t="shared" ca="1" si="140"/>
        <v>81142472695.705505</v>
      </c>
      <c r="J3060" s="455">
        <f t="array" ref="J3060">IFERROR(INDEX('Retirement Calculator'!K:K,MATCH('Lorri 401b'!N3060,'Retirement Calculator'!A:A,0),0),0)</f>
        <v>0</v>
      </c>
      <c r="K3060" s="455">
        <f t="shared" ca="1" si="138"/>
        <v>338093636.23210627</v>
      </c>
      <c r="L3060" s="455">
        <f t="shared" ca="1" si="139"/>
        <v>81480566331.937607</v>
      </c>
      <c r="M3060" s="471">
        <f t="shared" si="141"/>
        <v>0.05</v>
      </c>
      <c r="N3060" s="475">
        <f t="shared" si="142"/>
        <v>144181</v>
      </c>
    </row>
    <row r="3061" spans="7:14" ht="11.25" customHeight="1" x14ac:dyDescent="0.3">
      <c r="G3061" s="470"/>
      <c r="H3061" s="470">
        <v>3054</v>
      </c>
      <c r="I3061" s="455">
        <f t="shared" ca="1" si="140"/>
        <v>81480566331.937607</v>
      </c>
      <c r="J3061" s="455">
        <f t="array" ref="J3061">IFERROR(INDEX('Retirement Calculator'!K:K,MATCH('Lorri 401b'!N3061,'Retirement Calculator'!A:A,0),0),0)</f>
        <v>0</v>
      </c>
      <c r="K3061" s="455">
        <f t="shared" ca="1" si="138"/>
        <v>339502359.7164067</v>
      </c>
      <c r="L3061" s="455">
        <f t="shared" ca="1" si="139"/>
        <v>81820068691.654007</v>
      </c>
      <c r="M3061" s="471">
        <f t="shared" si="141"/>
        <v>0.05</v>
      </c>
      <c r="N3061" s="475">
        <f t="shared" si="142"/>
        <v>144212</v>
      </c>
    </row>
    <row r="3062" spans="7:14" ht="11.25" customHeight="1" x14ac:dyDescent="0.3">
      <c r="G3062" s="470"/>
      <c r="H3062" s="470">
        <v>3055</v>
      </c>
      <c r="I3062" s="455">
        <f t="shared" ca="1" si="140"/>
        <v>81820068691.654007</v>
      </c>
      <c r="J3062" s="455">
        <f t="array" ref="J3062">IFERROR(INDEX('Retirement Calculator'!K:K,MATCH('Lorri 401b'!N3062,'Retirement Calculator'!A:A,0),0),0)</f>
        <v>0</v>
      </c>
      <c r="K3062" s="455">
        <f t="shared" ca="1" si="138"/>
        <v>340916952.88189167</v>
      </c>
      <c r="L3062" s="455">
        <f t="shared" ca="1" si="139"/>
        <v>82160985644.535904</v>
      </c>
      <c r="M3062" s="471">
        <f t="shared" si="141"/>
        <v>0.05</v>
      </c>
      <c r="N3062" s="475">
        <f t="shared" si="142"/>
        <v>144242</v>
      </c>
    </row>
    <row r="3063" spans="7:14" ht="11.25" customHeight="1" x14ac:dyDescent="0.3">
      <c r="G3063" s="470"/>
      <c r="H3063" s="470">
        <v>3056</v>
      </c>
      <c r="I3063" s="455">
        <f t="shared" ca="1" si="140"/>
        <v>82160985644.535904</v>
      </c>
      <c r="J3063" s="455">
        <f t="array" ref="J3063">IFERROR(INDEX('Retirement Calculator'!K:K,MATCH('Lorri 401b'!N3063,'Retirement Calculator'!A:A,0),0),0)</f>
        <v>0</v>
      </c>
      <c r="K3063" s="455">
        <f t="shared" ca="1" si="138"/>
        <v>342337440.18556625</v>
      </c>
      <c r="L3063" s="455">
        <f t="shared" ca="1" si="139"/>
        <v>82503323084.721466</v>
      </c>
      <c r="M3063" s="471">
        <f t="shared" si="141"/>
        <v>0.05</v>
      </c>
      <c r="N3063" s="475">
        <f t="shared" si="142"/>
        <v>144273</v>
      </c>
    </row>
    <row r="3064" spans="7:14" ht="11.25" customHeight="1" x14ac:dyDescent="0.3">
      <c r="G3064" s="470"/>
      <c r="H3064" s="470">
        <v>3057</v>
      </c>
      <c r="I3064" s="455">
        <f t="shared" ca="1" si="140"/>
        <v>82503323084.721466</v>
      </c>
      <c r="J3064" s="455">
        <f t="array" ref="J3064">IFERROR(INDEX('Retirement Calculator'!K:K,MATCH('Lorri 401b'!N3064,'Retirement Calculator'!A:A,0),0),0)</f>
        <v>0</v>
      </c>
      <c r="K3064" s="455">
        <f t="shared" ca="1" si="138"/>
        <v>343763846.18633944</v>
      </c>
      <c r="L3064" s="455">
        <f t="shared" ca="1" si="139"/>
        <v>82847086930.907806</v>
      </c>
      <c r="M3064" s="471">
        <f t="shared" si="141"/>
        <v>0.05</v>
      </c>
      <c r="N3064" s="475">
        <f t="shared" si="142"/>
        <v>144304</v>
      </c>
    </row>
    <row r="3065" spans="7:14" ht="11.25" customHeight="1" x14ac:dyDescent="0.3">
      <c r="G3065" s="470"/>
      <c r="H3065" s="470">
        <v>3058</v>
      </c>
      <c r="I3065" s="455">
        <f t="shared" ca="1" si="140"/>
        <v>82847086930.907806</v>
      </c>
      <c r="J3065" s="455">
        <f t="array" ref="J3065">IFERROR(INDEX('Retirement Calculator'!K:K,MATCH('Lorri 401b'!N3065,'Retirement Calculator'!A:A,0),0),0)</f>
        <v>0</v>
      </c>
      <c r="K3065" s="455">
        <f t="shared" ca="1" si="138"/>
        <v>345196195.5454492</v>
      </c>
      <c r="L3065" s="455">
        <f t="shared" ca="1" si="139"/>
        <v>83192283126.453262</v>
      </c>
      <c r="M3065" s="471">
        <f t="shared" si="141"/>
        <v>0.05</v>
      </c>
      <c r="N3065" s="475">
        <f t="shared" si="142"/>
        <v>144332</v>
      </c>
    </row>
    <row r="3066" spans="7:14" ht="11.25" customHeight="1" x14ac:dyDescent="0.3">
      <c r="G3066" s="470"/>
      <c r="H3066" s="470">
        <v>3059</v>
      </c>
      <c r="I3066" s="455">
        <f t="shared" ca="1" si="140"/>
        <v>83192283126.453262</v>
      </c>
      <c r="J3066" s="455">
        <f t="array" ref="J3066">IFERROR(INDEX('Retirement Calculator'!K:K,MATCH('Lorri 401b'!N3066,'Retirement Calculator'!A:A,0),0),0)</f>
        <v>0</v>
      </c>
      <c r="K3066" s="455">
        <f t="shared" ca="1" si="138"/>
        <v>346634513.02688861</v>
      </c>
      <c r="L3066" s="455">
        <f t="shared" ca="1" si="139"/>
        <v>83538917639.480148</v>
      </c>
      <c r="M3066" s="471">
        <f t="shared" si="141"/>
        <v>0.05</v>
      </c>
      <c r="N3066" s="475">
        <f t="shared" si="142"/>
        <v>144363</v>
      </c>
    </row>
    <row r="3067" spans="7:14" ht="11.25" customHeight="1" x14ac:dyDescent="0.3">
      <c r="G3067" s="470"/>
      <c r="H3067" s="470">
        <v>3060</v>
      </c>
      <c r="I3067" s="455">
        <f t="shared" ca="1" si="140"/>
        <v>83538917639.480148</v>
      </c>
      <c r="J3067" s="455">
        <f t="array" ref="J3067">IFERROR(INDEX('Retirement Calculator'!K:K,MATCH('Lorri 401b'!N3067,'Retirement Calculator'!A:A,0),0),0)</f>
        <v>0</v>
      </c>
      <c r="K3067" s="455">
        <f t="shared" ca="1" si="138"/>
        <v>348078823.49783397</v>
      </c>
      <c r="L3067" s="455">
        <f t="shared" ca="1" si="139"/>
        <v>83886996462.977982</v>
      </c>
      <c r="M3067" s="471">
        <f t="shared" si="141"/>
        <v>0.05</v>
      </c>
      <c r="N3067" s="475">
        <f t="shared" si="142"/>
        <v>144393</v>
      </c>
    </row>
    <row r="3068" spans="7:14" ht="11.25" customHeight="1" x14ac:dyDescent="0.3">
      <c r="G3068" s="470"/>
      <c r="H3068" s="470">
        <v>3061</v>
      </c>
      <c r="I3068" s="455">
        <f t="shared" ca="1" si="140"/>
        <v>83886996462.977982</v>
      </c>
      <c r="J3068" s="455">
        <f t="array" ref="J3068">IFERROR(INDEX('Retirement Calculator'!K:K,MATCH('Lorri 401b'!N3068,'Retirement Calculator'!A:A,0),0),0)</f>
        <v>0</v>
      </c>
      <c r="K3068" s="455">
        <f t="shared" ref="K3068:K3322" ca="1" si="143">IPMT(M3068/12,1,12,-I3068+J3068,,0)</f>
        <v>349529151.92907494</v>
      </c>
      <c r="L3068" s="455">
        <f t="shared" ref="L3068:L3322" ca="1" si="144">I3068-J3068+K3068</f>
        <v>84236525614.907059</v>
      </c>
      <c r="M3068" s="471">
        <f t="shared" si="141"/>
        <v>0.05</v>
      </c>
      <c r="N3068" s="475">
        <f t="shared" si="142"/>
        <v>144424</v>
      </c>
    </row>
    <row r="3069" spans="7:14" ht="11.25" customHeight="1" x14ac:dyDescent="0.3">
      <c r="G3069" s="470"/>
      <c r="H3069" s="470">
        <v>3062</v>
      </c>
      <c r="I3069" s="455">
        <f t="shared" ref="I3069:I3323" ca="1" si="145">L3068</f>
        <v>84236525614.907059</v>
      </c>
      <c r="J3069" s="455">
        <f t="array" ref="J3069">IFERROR(INDEX('Retirement Calculator'!K:K,MATCH('Lorri 401b'!N3069,'Retirement Calculator'!A:A,0),0),0)</f>
        <v>0</v>
      </c>
      <c r="K3069" s="455">
        <f t="shared" ca="1" si="143"/>
        <v>350985523.39544606</v>
      </c>
      <c r="L3069" s="455">
        <f t="shared" ca="1" si="144"/>
        <v>84587511138.302505</v>
      </c>
      <c r="M3069" s="471">
        <f t="shared" ref="M3069:M3323" si="146">M3068</f>
        <v>0.05</v>
      </c>
      <c r="N3069" s="475">
        <f t="shared" ref="N3069:N3323" si="147">EDATE(N3068,1)</f>
        <v>144454</v>
      </c>
    </row>
    <row r="3070" spans="7:14" ht="11.25" customHeight="1" x14ac:dyDescent="0.3">
      <c r="G3070" s="470"/>
      <c r="H3070" s="470">
        <v>3063</v>
      </c>
      <c r="I3070" s="455">
        <f t="shared" ca="1" si="145"/>
        <v>84587511138.302505</v>
      </c>
      <c r="J3070" s="455">
        <f t="array" ref="J3070">IFERROR(INDEX('Retirement Calculator'!K:K,MATCH('Lorri 401b'!N3070,'Retirement Calculator'!A:A,0),0),0)</f>
        <v>0</v>
      </c>
      <c r="K3070" s="455">
        <f t="shared" ca="1" si="143"/>
        <v>352447963.07626045</v>
      </c>
      <c r="L3070" s="455">
        <f t="shared" ca="1" si="144"/>
        <v>84939959101.378769</v>
      </c>
      <c r="M3070" s="471">
        <f t="shared" si="146"/>
        <v>0.05</v>
      </c>
      <c r="N3070" s="475">
        <f t="shared" si="147"/>
        <v>144485</v>
      </c>
    </row>
    <row r="3071" spans="7:14" ht="11.25" customHeight="1" x14ac:dyDescent="0.3">
      <c r="G3071" s="470"/>
      <c r="H3071" s="470">
        <v>3064</v>
      </c>
      <c r="I3071" s="455">
        <f t="shared" ca="1" si="145"/>
        <v>84939959101.378769</v>
      </c>
      <c r="J3071" s="455">
        <f t="array" ref="J3071">IFERROR(INDEX('Retirement Calculator'!K:K,MATCH('Lorri 401b'!N3071,'Retirement Calculator'!A:A,0),0),0)</f>
        <v>0</v>
      </c>
      <c r="K3071" s="455">
        <f t="shared" ca="1" si="143"/>
        <v>353916496.25574487</v>
      </c>
      <c r="L3071" s="455">
        <f t="shared" ca="1" si="144"/>
        <v>85293875597.634506</v>
      </c>
      <c r="M3071" s="471">
        <f t="shared" si="146"/>
        <v>0.05</v>
      </c>
      <c r="N3071" s="475">
        <f t="shared" si="147"/>
        <v>144516</v>
      </c>
    </row>
    <row r="3072" spans="7:14" ht="11.25" customHeight="1" x14ac:dyDescent="0.3">
      <c r="G3072" s="470"/>
      <c r="H3072" s="470">
        <v>3065</v>
      </c>
      <c r="I3072" s="455">
        <f t="shared" ca="1" si="145"/>
        <v>85293875597.634506</v>
      </c>
      <c r="J3072" s="455">
        <f t="array" ref="J3072">IFERROR(INDEX('Retirement Calculator'!K:K,MATCH('Lorri 401b'!N3072,'Retirement Calculator'!A:A,0),0),0)</f>
        <v>0</v>
      </c>
      <c r="K3072" s="455">
        <f t="shared" ca="1" si="143"/>
        <v>355391148.32347709</v>
      </c>
      <c r="L3072" s="455">
        <f t="shared" ca="1" si="144"/>
        <v>85649266745.957977</v>
      </c>
      <c r="M3072" s="471">
        <f t="shared" si="146"/>
        <v>0.05</v>
      </c>
      <c r="N3072" s="475">
        <f t="shared" si="147"/>
        <v>144546</v>
      </c>
    </row>
    <row r="3073" spans="7:14" ht="11.25" customHeight="1" x14ac:dyDescent="0.3">
      <c r="G3073" s="470"/>
      <c r="H3073" s="470">
        <v>3066</v>
      </c>
      <c r="I3073" s="455">
        <f t="shared" ca="1" si="145"/>
        <v>85649266745.957977</v>
      </c>
      <c r="J3073" s="455">
        <f t="array" ref="J3073">IFERROR(INDEX('Retirement Calculator'!K:K,MATCH('Lorri 401b'!N3073,'Retirement Calculator'!A:A,0),0),0)</f>
        <v>0</v>
      </c>
      <c r="K3073" s="455">
        <f t="shared" ca="1" si="143"/>
        <v>356871944.77482492</v>
      </c>
      <c r="L3073" s="455">
        <f t="shared" ca="1" si="144"/>
        <v>86006138690.732803</v>
      </c>
      <c r="M3073" s="471">
        <f t="shared" si="146"/>
        <v>0.05</v>
      </c>
      <c r="N3073" s="475">
        <f t="shared" si="147"/>
        <v>144577</v>
      </c>
    </row>
    <row r="3074" spans="7:14" ht="11.25" customHeight="1" x14ac:dyDescent="0.3">
      <c r="G3074" s="470"/>
      <c r="H3074" s="470">
        <v>3067</v>
      </c>
      <c r="I3074" s="455">
        <f t="shared" ca="1" si="145"/>
        <v>86006138690.732803</v>
      </c>
      <c r="J3074" s="455">
        <f t="array" ref="J3074">IFERROR(INDEX('Retirement Calculator'!K:K,MATCH('Lorri 401b'!N3074,'Retirement Calculator'!A:A,0),0),0)</f>
        <v>0</v>
      </c>
      <c r="K3074" s="455">
        <f t="shared" ca="1" si="143"/>
        <v>358358911.21138668</v>
      </c>
      <c r="L3074" s="455">
        <f t="shared" ca="1" si="144"/>
        <v>86364497601.944183</v>
      </c>
      <c r="M3074" s="471">
        <f t="shared" si="146"/>
        <v>0.05</v>
      </c>
      <c r="N3074" s="475">
        <f t="shared" si="147"/>
        <v>144607</v>
      </c>
    </row>
    <row r="3075" spans="7:14" ht="11.25" customHeight="1" x14ac:dyDescent="0.3">
      <c r="G3075" s="470"/>
      <c r="H3075" s="470">
        <v>3068</v>
      </c>
      <c r="I3075" s="455">
        <f t="shared" ca="1" si="145"/>
        <v>86364497601.944183</v>
      </c>
      <c r="J3075" s="455">
        <f t="array" ref="J3075">IFERROR(INDEX('Retirement Calculator'!K:K,MATCH('Lorri 401b'!N3075,'Retirement Calculator'!A:A,0),0),0)</f>
        <v>0</v>
      </c>
      <c r="K3075" s="455">
        <f t="shared" ca="1" si="143"/>
        <v>359852073.34143412</v>
      </c>
      <c r="L3075" s="455">
        <f t="shared" ca="1" si="144"/>
        <v>86724349675.285614</v>
      </c>
      <c r="M3075" s="471">
        <f t="shared" si="146"/>
        <v>0.05</v>
      </c>
      <c r="N3075" s="475">
        <f t="shared" si="147"/>
        <v>144638</v>
      </c>
    </row>
    <row r="3076" spans="7:14" ht="11.25" customHeight="1" x14ac:dyDescent="0.3">
      <c r="G3076" s="470"/>
      <c r="H3076" s="470">
        <v>3069</v>
      </c>
      <c r="I3076" s="455">
        <f t="shared" ca="1" si="145"/>
        <v>86724349675.285614</v>
      </c>
      <c r="J3076" s="455">
        <f t="array" ref="J3076">IFERROR(INDEX('Retirement Calculator'!K:K,MATCH('Lorri 401b'!N3076,'Retirement Calculator'!A:A,0),0),0)</f>
        <v>0</v>
      </c>
      <c r="K3076" s="455">
        <f t="shared" ca="1" si="143"/>
        <v>361351456.98035669</v>
      </c>
      <c r="L3076" s="455">
        <f t="shared" ca="1" si="144"/>
        <v>87085701132.265976</v>
      </c>
      <c r="M3076" s="471">
        <f t="shared" si="146"/>
        <v>0.05</v>
      </c>
      <c r="N3076" s="475">
        <f t="shared" si="147"/>
        <v>144669</v>
      </c>
    </row>
    <row r="3077" spans="7:14" ht="11.25" customHeight="1" x14ac:dyDescent="0.3">
      <c r="G3077" s="470"/>
      <c r="H3077" s="470">
        <v>3070</v>
      </c>
      <c r="I3077" s="455">
        <f t="shared" ca="1" si="145"/>
        <v>87085701132.265976</v>
      </c>
      <c r="J3077" s="455">
        <f t="array" ref="J3077">IFERROR(INDEX('Retirement Calculator'!K:K,MATCH('Lorri 401b'!N3077,'Retirement Calculator'!A:A,0),0),0)</f>
        <v>0</v>
      </c>
      <c r="K3077" s="455">
        <f t="shared" ca="1" si="143"/>
        <v>362857088.05110824</v>
      </c>
      <c r="L3077" s="455">
        <f t="shared" ca="1" si="144"/>
        <v>87448558220.317078</v>
      </c>
      <c r="M3077" s="471">
        <f t="shared" si="146"/>
        <v>0.05</v>
      </c>
      <c r="N3077" s="475">
        <f t="shared" si="147"/>
        <v>144698</v>
      </c>
    </row>
    <row r="3078" spans="7:14" ht="11.25" customHeight="1" x14ac:dyDescent="0.3">
      <c r="G3078" s="470"/>
      <c r="H3078" s="470">
        <v>3071</v>
      </c>
      <c r="I3078" s="455">
        <f t="shared" ca="1" si="145"/>
        <v>87448558220.317078</v>
      </c>
      <c r="J3078" s="455">
        <f t="array" ref="J3078">IFERROR(INDEX('Retirement Calculator'!K:K,MATCH('Lorri 401b'!N3078,'Retirement Calculator'!A:A,0),0),0)</f>
        <v>0</v>
      </c>
      <c r="K3078" s="455">
        <f t="shared" ca="1" si="143"/>
        <v>364368992.58465451</v>
      </c>
      <c r="L3078" s="455">
        <f t="shared" ca="1" si="144"/>
        <v>87812927212.901733</v>
      </c>
      <c r="M3078" s="471">
        <f t="shared" si="146"/>
        <v>0.05</v>
      </c>
      <c r="N3078" s="475">
        <f t="shared" si="147"/>
        <v>144729</v>
      </c>
    </row>
    <row r="3079" spans="7:14" ht="11.25" customHeight="1" x14ac:dyDescent="0.3">
      <c r="G3079" s="470"/>
      <c r="H3079" s="470">
        <v>3072</v>
      </c>
      <c r="I3079" s="455">
        <f t="shared" ca="1" si="145"/>
        <v>87812927212.901733</v>
      </c>
      <c r="J3079" s="455">
        <f t="array" ref="J3079">IFERROR(INDEX('Retirement Calculator'!K:K,MATCH('Lorri 401b'!N3079,'Retirement Calculator'!A:A,0),0),0)</f>
        <v>0</v>
      </c>
      <c r="K3079" s="455">
        <f t="shared" ca="1" si="143"/>
        <v>365887196.72042388</v>
      </c>
      <c r="L3079" s="455">
        <f t="shared" ca="1" si="144"/>
        <v>88178814409.622162</v>
      </c>
      <c r="M3079" s="471">
        <f t="shared" si="146"/>
        <v>0.05</v>
      </c>
      <c r="N3079" s="475">
        <f t="shared" si="147"/>
        <v>144759</v>
      </c>
    </row>
    <row r="3080" spans="7:14" ht="11.25" customHeight="1" x14ac:dyDescent="0.3">
      <c r="G3080" s="470"/>
      <c r="H3080" s="470">
        <v>3073</v>
      </c>
      <c r="I3080" s="455">
        <f t="shared" ca="1" si="145"/>
        <v>88178814409.622162</v>
      </c>
      <c r="J3080" s="455">
        <f t="array" ref="J3080">IFERROR(INDEX('Retirement Calculator'!K:K,MATCH('Lorri 401b'!N3080,'Retirement Calculator'!A:A,0),0),0)</f>
        <v>0</v>
      </c>
      <c r="K3080" s="455">
        <f t="shared" ca="1" si="143"/>
        <v>367411726.70675898</v>
      </c>
      <c r="L3080" s="455">
        <f t="shared" ca="1" si="144"/>
        <v>88546226136.328918</v>
      </c>
      <c r="M3080" s="471">
        <f t="shared" si="146"/>
        <v>0.05</v>
      </c>
      <c r="N3080" s="475">
        <f t="shared" si="147"/>
        <v>144790</v>
      </c>
    </row>
    <row r="3081" spans="7:14" ht="11.25" customHeight="1" x14ac:dyDescent="0.3">
      <c r="G3081" s="470"/>
      <c r="H3081" s="470">
        <v>3074</v>
      </c>
      <c r="I3081" s="455">
        <f t="shared" ca="1" si="145"/>
        <v>88546226136.328918</v>
      </c>
      <c r="J3081" s="455">
        <f t="array" ref="J3081">IFERROR(INDEX('Retirement Calculator'!K:K,MATCH('Lorri 401b'!N3081,'Retirement Calculator'!A:A,0),0),0)</f>
        <v>0</v>
      </c>
      <c r="K3081" s="455">
        <f t="shared" ca="1" si="143"/>
        <v>368942608.90137047</v>
      </c>
      <c r="L3081" s="455">
        <f t="shared" ca="1" si="144"/>
        <v>88915168745.230286</v>
      </c>
      <c r="M3081" s="471">
        <f t="shared" si="146"/>
        <v>0.05</v>
      </c>
      <c r="N3081" s="475">
        <f t="shared" si="147"/>
        <v>144820</v>
      </c>
    </row>
    <row r="3082" spans="7:14" ht="11.25" customHeight="1" x14ac:dyDescent="0.3">
      <c r="G3082" s="470"/>
      <c r="H3082" s="470">
        <v>3075</v>
      </c>
      <c r="I3082" s="455">
        <f t="shared" ca="1" si="145"/>
        <v>88915168745.230286</v>
      </c>
      <c r="J3082" s="455">
        <f t="array" ref="J3082">IFERROR(INDEX('Retirement Calculator'!K:K,MATCH('Lorri 401b'!N3082,'Retirement Calculator'!A:A,0),0),0)</f>
        <v>0</v>
      </c>
      <c r="K3082" s="455">
        <f t="shared" ca="1" si="143"/>
        <v>370479869.77179283</v>
      </c>
      <c r="L3082" s="455">
        <f t="shared" ca="1" si="144"/>
        <v>89285648615.002075</v>
      </c>
      <c r="M3082" s="471">
        <f t="shared" si="146"/>
        <v>0.05</v>
      </c>
      <c r="N3082" s="475">
        <f t="shared" si="147"/>
        <v>144851</v>
      </c>
    </row>
    <row r="3083" spans="7:14" ht="11.25" customHeight="1" x14ac:dyDescent="0.3">
      <c r="G3083" s="470"/>
      <c r="H3083" s="470">
        <v>3076</v>
      </c>
      <c r="I3083" s="455">
        <f t="shared" ca="1" si="145"/>
        <v>89285648615.002075</v>
      </c>
      <c r="J3083" s="455">
        <f t="array" ref="J3083">IFERROR(INDEX('Retirement Calculator'!K:K,MATCH('Lorri 401b'!N3083,'Retirement Calculator'!A:A,0),0),0)</f>
        <v>0</v>
      </c>
      <c r="K3083" s="455">
        <f t="shared" ca="1" si="143"/>
        <v>372023535.89584196</v>
      </c>
      <c r="L3083" s="455">
        <f t="shared" ca="1" si="144"/>
        <v>89657672150.897919</v>
      </c>
      <c r="M3083" s="471">
        <f t="shared" si="146"/>
        <v>0.05</v>
      </c>
      <c r="N3083" s="475">
        <f t="shared" si="147"/>
        <v>144882</v>
      </c>
    </row>
    <row r="3084" spans="7:14" ht="11.25" customHeight="1" x14ac:dyDescent="0.3">
      <c r="G3084" s="470"/>
      <c r="H3084" s="470">
        <v>3077</v>
      </c>
      <c r="I3084" s="455">
        <f t="shared" ca="1" si="145"/>
        <v>89657672150.897919</v>
      </c>
      <c r="J3084" s="455">
        <f t="array" ref="J3084">IFERROR(INDEX('Retirement Calculator'!K:K,MATCH('Lorri 401b'!N3084,'Retirement Calculator'!A:A,0),0),0)</f>
        <v>0</v>
      </c>
      <c r="K3084" s="455">
        <f t="shared" ca="1" si="143"/>
        <v>373573633.96207464</v>
      </c>
      <c r="L3084" s="455">
        <f t="shared" ca="1" si="144"/>
        <v>90031245784.860001</v>
      </c>
      <c r="M3084" s="471">
        <f t="shared" si="146"/>
        <v>0.05</v>
      </c>
      <c r="N3084" s="475">
        <f t="shared" si="147"/>
        <v>144912</v>
      </c>
    </row>
    <row r="3085" spans="7:14" ht="11.25" customHeight="1" x14ac:dyDescent="0.3">
      <c r="G3085" s="470"/>
      <c r="H3085" s="470">
        <v>3078</v>
      </c>
      <c r="I3085" s="455">
        <f t="shared" ca="1" si="145"/>
        <v>90031245784.860001</v>
      </c>
      <c r="J3085" s="455">
        <f t="array" ref="J3085">IFERROR(INDEX('Retirement Calculator'!K:K,MATCH('Lorri 401b'!N3085,'Retirement Calculator'!A:A,0),0),0)</f>
        <v>0</v>
      </c>
      <c r="K3085" s="455">
        <f t="shared" ca="1" si="143"/>
        <v>375130190.77025002</v>
      </c>
      <c r="L3085" s="455">
        <f t="shared" ca="1" si="144"/>
        <v>90406375975.630249</v>
      </c>
      <c r="M3085" s="471">
        <f t="shared" si="146"/>
        <v>0.05</v>
      </c>
      <c r="N3085" s="475">
        <f t="shared" si="147"/>
        <v>144943</v>
      </c>
    </row>
    <row r="3086" spans="7:14" ht="11.25" customHeight="1" x14ac:dyDescent="0.3">
      <c r="G3086" s="470"/>
      <c r="H3086" s="470">
        <v>3079</v>
      </c>
      <c r="I3086" s="455">
        <f t="shared" ca="1" si="145"/>
        <v>90406375975.630249</v>
      </c>
      <c r="J3086" s="455">
        <f t="array" ref="J3086">IFERROR(INDEX('Retirement Calculator'!K:K,MATCH('Lorri 401b'!N3086,'Retirement Calculator'!A:A,0),0),0)</f>
        <v>0</v>
      </c>
      <c r="K3086" s="455">
        <f t="shared" ca="1" si="143"/>
        <v>376693233.23179269</v>
      </c>
      <c r="L3086" s="455">
        <f t="shared" ca="1" si="144"/>
        <v>90783069208.862045</v>
      </c>
      <c r="M3086" s="471">
        <f t="shared" si="146"/>
        <v>0.05</v>
      </c>
      <c r="N3086" s="475">
        <f t="shared" si="147"/>
        <v>144973</v>
      </c>
    </row>
    <row r="3087" spans="7:14" ht="11.25" customHeight="1" x14ac:dyDescent="0.3">
      <c r="G3087" s="470"/>
      <c r="H3087" s="470">
        <v>3080</v>
      </c>
      <c r="I3087" s="455">
        <f t="shared" ca="1" si="145"/>
        <v>90783069208.862045</v>
      </c>
      <c r="J3087" s="455">
        <f t="array" ref="J3087">IFERROR(INDEX('Retirement Calculator'!K:K,MATCH('Lorri 401b'!N3087,'Retirement Calculator'!A:A,0),0),0)</f>
        <v>0</v>
      </c>
      <c r="K3087" s="455">
        <f t="shared" ca="1" si="143"/>
        <v>378262788.37025851</v>
      </c>
      <c r="L3087" s="455">
        <f t="shared" ca="1" si="144"/>
        <v>91161331997.2323</v>
      </c>
      <c r="M3087" s="471">
        <f t="shared" si="146"/>
        <v>0.05</v>
      </c>
      <c r="N3087" s="475">
        <f t="shared" si="147"/>
        <v>145004</v>
      </c>
    </row>
    <row r="3088" spans="7:14" ht="11.25" customHeight="1" x14ac:dyDescent="0.3">
      <c r="G3088" s="470"/>
      <c r="H3088" s="470">
        <v>3081</v>
      </c>
      <c r="I3088" s="455">
        <f t="shared" ca="1" si="145"/>
        <v>91161331997.2323</v>
      </c>
      <c r="J3088" s="455">
        <f t="array" ref="J3088">IFERROR(INDEX('Retirement Calculator'!K:K,MATCH('Lorri 401b'!N3088,'Retirement Calculator'!A:A,0),0),0)</f>
        <v>0</v>
      </c>
      <c r="K3088" s="455">
        <f t="shared" ca="1" si="143"/>
        <v>379838883.32180125</v>
      </c>
      <c r="L3088" s="455">
        <f t="shared" ca="1" si="144"/>
        <v>91541170880.554108</v>
      </c>
      <c r="M3088" s="471">
        <f t="shared" si="146"/>
        <v>0.05</v>
      </c>
      <c r="N3088" s="475">
        <f t="shared" si="147"/>
        <v>145035</v>
      </c>
    </row>
    <row r="3089" spans="7:14" ht="11.25" customHeight="1" x14ac:dyDescent="0.3">
      <c r="G3089" s="470"/>
      <c r="H3089" s="470">
        <v>3082</v>
      </c>
      <c r="I3089" s="455">
        <f t="shared" ca="1" si="145"/>
        <v>91541170880.554108</v>
      </c>
      <c r="J3089" s="455">
        <f t="array" ref="J3089">IFERROR(INDEX('Retirement Calculator'!K:K,MATCH('Lorri 401b'!N3089,'Retirement Calculator'!A:A,0),0),0)</f>
        <v>0</v>
      </c>
      <c r="K3089" s="455">
        <f t="shared" ca="1" si="143"/>
        <v>381421545.3356421</v>
      </c>
      <c r="L3089" s="455">
        <f t="shared" ca="1" si="144"/>
        <v>91922592425.889755</v>
      </c>
      <c r="M3089" s="471">
        <f t="shared" si="146"/>
        <v>0.05</v>
      </c>
      <c r="N3089" s="475">
        <f t="shared" si="147"/>
        <v>145063</v>
      </c>
    </row>
    <row r="3090" spans="7:14" ht="11.25" customHeight="1" x14ac:dyDescent="0.3">
      <c r="G3090" s="470"/>
      <c r="H3090" s="470">
        <v>3083</v>
      </c>
      <c r="I3090" s="455">
        <f t="shared" ca="1" si="145"/>
        <v>91922592425.889755</v>
      </c>
      <c r="J3090" s="455">
        <f t="array" ref="J3090">IFERROR(INDEX('Retirement Calculator'!K:K,MATCH('Lorri 401b'!N3090,'Retirement Calculator'!A:A,0),0),0)</f>
        <v>0</v>
      </c>
      <c r="K3090" s="455">
        <f t="shared" ca="1" si="143"/>
        <v>383010801.77454066</v>
      </c>
      <c r="L3090" s="455">
        <f t="shared" ca="1" si="144"/>
        <v>92305603227.664291</v>
      </c>
      <c r="M3090" s="471">
        <f t="shared" si="146"/>
        <v>0.05</v>
      </c>
      <c r="N3090" s="475">
        <f t="shared" si="147"/>
        <v>145094</v>
      </c>
    </row>
    <row r="3091" spans="7:14" ht="11.25" customHeight="1" x14ac:dyDescent="0.3">
      <c r="G3091" s="470"/>
      <c r="H3091" s="470">
        <v>3084</v>
      </c>
      <c r="I3091" s="455">
        <f t="shared" ca="1" si="145"/>
        <v>92305603227.664291</v>
      </c>
      <c r="J3091" s="455">
        <f t="array" ref="J3091">IFERROR(INDEX('Retirement Calculator'!K:K,MATCH('Lorri 401b'!N3091,'Retirement Calculator'!A:A,0),0),0)</f>
        <v>0</v>
      </c>
      <c r="K3091" s="455">
        <f t="shared" ca="1" si="143"/>
        <v>384606680.11526787</v>
      </c>
      <c r="L3091" s="455">
        <f t="shared" ca="1" si="144"/>
        <v>92690209907.779556</v>
      </c>
      <c r="M3091" s="471">
        <f t="shared" si="146"/>
        <v>0.05</v>
      </c>
      <c r="N3091" s="475">
        <f t="shared" si="147"/>
        <v>145124</v>
      </c>
    </row>
    <row r="3092" spans="7:14" ht="11.25" customHeight="1" x14ac:dyDescent="0.3">
      <c r="G3092" s="470"/>
      <c r="H3092" s="470">
        <v>3085</v>
      </c>
      <c r="I3092" s="455">
        <f t="shared" ca="1" si="145"/>
        <v>92690209907.779556</v>
      </c>
      <c r="J3092" s="455">
        <f t="array" ref="J3092">IFERROR(INDEX('Retirement Calculator'!K:K,MATCH('Lorri 401b'!N3092,'Retirement Calculator'!A:A,0),0),0)</f>
        <v>0</v>
      </c>
      <c r="K3092" s="455">
        <f t="shared" ca="1" si="143"/>
        <v>386209207.94908148</v>
      </c>
      <c r="L3092" s="455">
        <f t="shared" ca="1" si="144"/>
        <v>93076419115.728638</v>
      </c>
      <c r="M3092" s="471">
        <f t="shared" si="146"/>
        <v>0.05</v>
      </c>
      <c r="N3092" s="475">
        <f t="shared" si="147"/>
        <v>145155</v>
      </c>
    </row>
    <row r="3093" spans="7:14" ht="11.25" customHeight="1" x14ac:dyDescent="0.3">
      <c r="G3093" s="470"/>
      <c r="H3093" s="470">
        <v>3086</v>
      </c>
      <c r="I3093" s="455">
        <f t="shared" ca="1" si="145"/>
        <v>93076419115.728638</v>
      </c>
      <c r="J3093" s="455">
        <f t="array" ref="J3093">IFERROR(INDEX('Retirement Calculator'!K:K,MATCH('Lorri 401b'!N3093,'Retirement Calculator'!A:A,0),0),0)</f>
        <v>0</v>
      </c>
      <c r="K3093" s="455">
        <f t="shared" ca="1" si="143"/>
        <v>387818412.98220265</v>
      </c>
      <c r="L3093" s="455">
        <f t="shared" ca="1" si="144"/>
        <v>93464237528.710846</v>
      </c>
      <c r="M3093" s="471">
        <f t="shared" si="146"/>
        <v>0.05</v>
      </c>
      <c r="N3093" s="475">
        <f t="shared" si="147"/>
        <v>145185</v>
      </c>
    </row>
    <row r="3094" spans="7:14" ht="11.25" customHeight="1" x14ac:dyDescent="0.3">
      <c r="G3094" s="470"/>
      <c r="H3094" s="470">
        <v>3087</v>
      </c>
      <c r="I3094" s="455">
        <f t="shared" ca="1" si="145"/>
        <v>93464237528.710846</v>
      </c>
      <c r="J3094" s="455">
        <f t="array" ref="J3094">IFERROR(INDEX('Retirement Calculator'!K:K,MATCH('Lorri 401b'!N3094,'Retirement Calculator'!A:A,0),0),0)</f>
        <v>0</v>
      </c>
      <c r="K3094" s="455">
        <f t="shared" ca="1" si="143"/>
        <v>389434323.03629518</v>
      </c>
      <c r="L3094" s="455">
        <f t="shared" ca="1" si="144"/>
        <v>93853671851.747147</v>
      </c>
      <c r="M3094" s="471">
        <f t="shared" si="146"/>
        <v>0.05</v>
      </c>
      <c r="N3094" s="475">
        <f t="shared" si="147"/>
        <v>145216</v>
      </c>
    </row>
    <row r="3095" spans="7:14" ht="11.25" customHeight="1" x14ac:dyDescent="0.3">
      <c r="G3095" s="470"/>
      <c r="H3095" s="470">
        <v>3088</v>
      </c>
      <c r="I3095" s="455">
        <f t="shared" ca="1" si="145"/>
        <v>93853671851.747147</v>
      </c>
      <c r="J3095" s="455">
        <f t="array" ref="J3095">IFERROR(INDEX('Retirement Calculator'!K:K,MATCH('Lorri 401b'!N3095,'Retirement Calculator'!A:A,0),0),0)</f>
        <v>0</v>
      </c>
      <c r="K3095" s="455">
        <f t="shared" ca="1" si="143"/>
        <v>391056966.04894644</v>
      </c>
      <c r="L3095" s="455">
        <f t="shared" ca="1" si="144"/>
        <v>94244728817.796097</v>
      </c>
      <c r="M3095" s="471">
        <f t="shared" si="146"/>
        <v>0.05</v>
      </c>
      <c r="N3095" s="475">
        <f t="shared" si="147"/>
        <v>145247</v>
      </c>
    </row>
    <row r="3096" spans="7:14" ht="11.25" customHeight="1" x14ac:dyDescent="0.3">
      <c r="G3096" s="470"/>
      <c r="H3096" s="470">
        <v>3089</v>
      </c>
      <c r="I3096" s="455">
        <f t="shared" ca="1" si="145"/>
        <v>94244728817.796097</v>
      </c>
      <c r="J3096" s="455">
        <f t="array" ref="J3096">IFERROR(INDEX('Retirement Calculator'!K:K,MATCH('Lorri 401b'!N3096,'Retirement Calculator'!A:A,0),0),0)</f>
        <v>0</v>
      </c>
      <c r="K3096" s="455">
        <f t="shared" ca="1" si="143"/>
        <v>392686370.07415038</v>
      </c>
      <c r="L3096" s="455">
        <f t="shared" ca="1" si="144"/>
        <v>94637415187.870255</v>
      </c>
      <c r="M3096" s="471">
        <f t="shared" si="146"/>
        <v>0.05</v>
      </c>
      <c r="N3096" s="475">
        <f t="shared" si="147"/>
        <v>145277</v>
      </c>
    </row>
    <row r="3097" spans="7:14" ht="11.25" customHeight="1" x14ac:dyDescent="0.3">
      <c r="G3097" s="470"/>
      <c r="H3097" s="470">
        <v>3090</v>
      </c>
      <c r="I3097" s="455">
        <f t="shared" ca="1" si="145"/>
        <v>94637415187.870255</v>
      </c>
      <c r="J3097" s="455">
        <f t="array" ref="J3097">IFERROR(INDEX('Retirement Calculator'!K:K,MATCH('Lorri 401b'!N3097,'Retirement Calculator'!A:A,0),0),0)</f>
        <v>0</v>
      </c>
      <c r="K3097" s="455">
        <f t="shared" ca="1" si="143"/>
        <v>394322563.28279275</v>
      </c>
      <c r="L3097" s="455">
        <f t="shared" ca="1" si="144"/>
        <v>95031737751.153046</v>
      </c>
      <c r="M3097" s="471">
        <f t="shared" si="146"/>
        <v>0.05</v>
      </c>
      <c r="N3097" s="475">
        <f t="shared" si="147"/>
        <v>145308</v>
      </c>
    </row>
    <row r="3098" spans="7:14" ht="11.25" customHeight="1" x14ac:dyDescent="0.3">
      <c r="G3098" s="470"/>
      <c r="H3098" s="470">
        <v>3091</v>
      </c>
      <c r="I3098" s="455">
        <f t="shared" ca="1" si="145"/>
        <v>95031737751.153046</v>
      </c>
      <c r="J3098" s="455">
        <f t="array" ref="J3098">IFERROR(INDEX('Retirement Calculator'!K:K,MATCH('Lorri 401b'!N3098,'Retirement Calculator'!A:A,0),0),0)</f>
        <v>0</v>
      </c>
      <c r="K3098" s="455">
        <f t="shared" ca="1" si="143"/>
        <v>395965573.96313769</v>
      </c>
      <c r="L3098" s="455">
        <f t="shared" ca="1" si="144"/>
        <v>95427703325.11618</v>
      </c>
      <c r="M3098" s="471">
        <f t="shared" si="146"/>
        <v>0.05</v>
      </c>
      <c r="N3098" s="475">
        <f t="shared" si="147"/>
        <v>145338</v>
      </c>
    </row>
    <row r="3099" spans="7:14" ht="11.25" customHeight="1" x14ac:dyDescent="0.3">
      <c r="G3099" s="470"/>
      <c r="H3099" s="470">
        <v>3092</v>
      </c>
      <c r="I3099" s="455">
        <f t="shared" ca="1" si="145"/>
        <v>95427703325.11618</v>
      </c>
      <c r="J3099" s="455">
        <f t="array" ref="J3099">IFERROR(INDEX('Retirement Calculator'!K:K,MATCH('Lorri 401b'!N3099,'Retirement Calculator'!A:A,0),0),0)</f>
        <v>0</v>
      </c>
      <c r="K3099" s="455">
        <f t="shared" ca="1" si="143"/>
        <v>397615430.52131742</v>
      </c>
      <c r="L3099" s="455">
        <f t="shared" ca="1" si="144"/>
        <v>95825318755.637497</v>
      </c>
      <c r="M3099" s="471">
        <f t="shared" si="146"/>
        <v>0.05</v>
      </c>
      <c r="N3099" s="475">
        <f t="shared" si="147"/>
        <v>145369</v>
      </c>
    </row>
    <row r="3100" spans="7:14" ht="11.25" customHeight="1" x14ac:dyDescent="0.3">
      <c r="G3100" s="470"/>
      <c r="H3100" s="470">
        <v>3093</v>
      </c>
      <c r="I3100" s="455">
        <f t="shared" ca="1" si="145"/>
        <v>95825318755.637497</v>
      </c>
      <c r="J3100" s="455">
        <f t="array" ref="J3100">IFERROR(INDEX('Retirement Calculator'!K:K,MATCH('Lorri 401b'!N3100,'Retirement Calculator'!A:A,0),0),0)</f>
        <v>0</v>
      </c>
      <c r="K3100" s="455">
        <f t="shared" ca="1" si="143"/>
        <v>399272161.48182291</v>
      </c>
      <c r="L3100" s="455">
        <f t="shared" ca="1" si="144"/>
        <v>96224590917.119324</v>
      </c>
      <c r="M3100" s="471">
        <f t="shared" si="146"/>
        <v>0.05</v>
      </c>
      <c r="N3100" s="475">
        <f t="shared" si="147"/>
        <v>145400</v>
      </c>
    </row>
    <row r="3101" spans="7:14" ht="11.25" customHeight="1" x14ac:dyDescent="0.3">
      <c r="G3101" s="470"/>
      <c r="H3101" s="470">
        <v>3094</v>
      </c>
      <c r="I3101" s="455">
        <f t="shared" ca="1" si="145"/>
        <v>96224590917.119324</v>
      </c>
      <c r="J3101" s="455">
        <f t="array" ref="J3101">IFERROR(INDEX('Retirement Calculator'!K:K,MATCH('Lorri 401b'!N3101,'Retirement Calculator'!A:A,0),0),0)</f>
        <v>0</v>
      </c>
      <c r="K3101" s="455">
        <f t="shared" ca="1" si="143"/>
        <v>400935795.48799717</v>
      </c>
      <c r="L3101" s="455">
        <f t="shared" ca="1" si="144"/>
        <v>96625526712.607315</v>
      </c>
      <c r="M3101" s="471">
        <f t="shared" si="146"/>
        <v>0.05</v>
      </c>
      <c r="N3101" s="475">
        <f t="shared" si="147"/>
        <v>145428</v>
      </c>
    </row>
    <row r="3102" spans="7:14" ht="11.25" customHeight="1" x14ac:dyDescent="0.3">
      <c r="G3102" s="470"/>
      <c r="H3102" s="470">
        <v>3095</v>
      </c>
      <c r="I3102" s="455">
        <f t="shared" ca="1" si="145"/>
        <v>96625526712.607315</v>
      </c>
      <c r="J3102" s="455">
        <f t="array" ref="J3102">IFERROR(INDEX('Retirement Calculator'!K:K,MATCH('Lorri 401b'!N3102,'Retirement Calculator'!A:A,0),0),0)</f>
        <v>0</v>
      </c>
      <c r="K3102" s="455">
        <f t="shared" ca="1" si="143"/>
        <v>402606361.30253047</v>
      </c>
      <c r="L3102" s="455">
        <f t="shared" ca="1" si="144"/>
        <v>97028133073.909851</v>
      </c>
      <c r="M3102" s="471">
        <f t="shared" si="146"/>
        <v>0.05</v>
      </c>
      <c r="N3102" s="475">
        <f t="shared" si="147"/>
        <v>145459</v>
      </c>
    </row>
    <row r="3103" spans="7:14" ht="11.25" customHeight="1" x14ac:dyDescent="0.3">
      <c r="G3103" s="470"/>
      <c r="H3103" s="470">
        <v>3096</v>
      </c>
      <c r="I3103" s="455">
        <f t="shared" ca="1" si="145"/>
        <v>97028133073.909851</v>
      </c>
      <c r="J3103" s="455">
        <f t="array" ref="J3103">IFERROR(INDEX('Retirement Calculator'!K:K,MATCH('Lorri 401b'!N3103,'Retirement Calculator'!A:A,0),0),0)</f>
        <v>0</v>
      </c>
      <c r="K3103" s="455">
        <f t="shared" ca="1" si="143"/>
        <v>404283887.80795771</v>
      </c>
      <c r="L3103" s="455">
        <f t="shared" ca="1" si="144"/>
        <v>97432416961.717804</v>
      </c>
      <c r="M3103" s="471">
        <f t="shared" si="146"/>
        <v>0.05</v>
      </c>
      <c r="N3103" s="475">
        <f t="shared" si="147"/>
        <v>145489</v>
      </c>
    </row>
    <row r="3104" spans="7:14" ht="11.25" customHeight="1" x14ac:dyDescent="0.3">
      <c r="G3104" s="470"/>
      <c r="H3104" s="470">
        <v>3097</v>
      </c>
      <c r="I3104" s="455">
        <f t="shared" ca="1" si="145"/>
        <v>97432416961.717804</v>
      </c>
      <c r="J3104" s="455">
        <f t="array" ref="J3104">IFERROR(INDEX('Retirement Calculator'!K:K,MATCH('Lorri 401b'!N3104,'Retirement Calculator'!A:A,0),0),0)</f>
        <v>0</v>
      </c>
      <c r="K3104" s="455">
        <f t="shared" ca="1" si="143"/>
        <v>405968404.0071575</v>
      </c>
      <c r="L3104" s="455">
        <f t="shared" ca="1" si="144"/>
        <v>97838385365.72496</v>
      </c>
      <c r="M3104" s="471">
        <f t="shared" si="146"/>
        <v>0.05</v>
      </c>
      <c r="N3104" s="475">
        <f t="shared" si="147"/>
        <v>145520</v>
      </c>
    </row>
    <row r="3105" spans="7:14" ht="11.25" customHeight="1" x14ac:dyDescent="0.3">
      <c r="G3105" s="470"/>
      <c r="H3105" s="470">
        <v>3098</v>
      </c>
      <c r="I3105" s="455">
        <f t="shared" ca="1" si="145"/>
        <v>97838385365.72496</v>
      </c>
      <c r="J3105" s="455">
        <f t="array" ref="J3105">IFERROR(INDEX('Retirement Calculator'!K:K,MATCH('Lorri 401b'!N3105,'Retirement Calculator'!A:A,0),0),0)</f>
        <v>0</v>
      </c>
      <c r="K3105" s="455">
        <f t="shared" ca="1" si="143"/>
        <v>407659939.02385402</v>
      </c>
      <c r="L3105" s="455">
        <f t="shared" ca="1" si="144"/>
        <v>98246045304.74881</v>
      </c>
      <c r="M3105" s="471">
        <f t="shared" si="146"/>
        <v>0.05</v>
      </c>
      <c r="N3105" s="475">
        <f t="shared" si="147"/>
        <v>145550</v>
      </c>
    </row>
    <row r="3106" spans="7:14" ht="11.25" customHeight="1" x14ac:dyDescent="0.3">
      <c r="G3106" s="470"/>
      <c r="H3106" s="470">
        <v>3099</v>
      </c>
      <c r="I3106" s="455">
        <f t="shared" ca="1" si="145"/>
        <v>98246045304.74881</v>
      </c>
      <c r="J3106" s="455">
        <f t="array" ref="J3106">IFERROR(INDEX('Retirement Calculator'!K:K,MATCH('Lorri 401b'!N3106,'Retirement Calculator'!A:A,0),0),0)</f>
        <v>0</v>
      </c>
      <c r="K3106" s="455">
        <f t="shared" ca="1" si="143"/>
        <v>409358522.10312003</v>
      </c>
      <c r="L3106" s="455">
        <f t="shared" ca="1" si="144"/>
        <v>98655403826.851929</v>
      </c>
      <c r="M3106" s="471">
        <f t="shared" si="146"/>
        <v>0.05</v>
      </c>
      <c r="N3106" s="475">
        <f t="shared" si="147"/>
        <v>145581</v>
      </c>
    </row>
    <row r="3107" spans="7:14" ht="11.25" customHeight="1" x14ac:dyDescent="0.3">
      <c r="G3107" s="470"/>
      <c r="H3107" s="470">
        <v>3100</v>
      </c>
      <c r="I3107" s="455">
        <f t="shared" ca="1" si="145"/>
        <v>98655403826.851929</v>
      </c>
      <c r="J3107" s="455">
        <f t="array" ref="J3107">IFERROR(INDEX('Retirement Calculator'!K:K,MATCH('Lorri 401b'!N3107,'Retirement Calculator'!A:A,0),0),0)</f>
        <v>0</v>
      </c>
      <c r="K3107" s="455">
        <f t="shared" ca="1" si="143"/>
        <v>411064182.61188304</v>
      </c>
      <c r="L3107" s="455">
        <f t="shared" ca="1" si="144"/>
        <v>99066468009.463806</v>
      </c>
      <c r="M3107" s="471">
        <f t="shared" si="146"/>
        <v>0.05</v>
      </c>
      <c r="N3107" s="475">
        <f t="shared" si="147"/>
        <v>145612</v>
      </c>
    </row>
    <row r="3108" spans="7:14" ht="11.25" customHeight="1" x14ac:dyDescent="0.3">
      <c r="G3108" s="470"/>
      <c r="H3108" s="470">
        <v>3101</v>
      </c>
      <c r="I3108" s="455">
        <f t="shared" ca="1" si="145"/>
        <v>99066468009.463806</v>
      </c>
      <c r="J3108" s="455">
        <f t="array" ref="J3108">IFERROR(INDEX('Retirement Calculator'!K:K,MATCH('Lorri 401b'!N3108,'Retirement Calculator'!A:A,0),0),0)</f>
        <v>0</v>
      </c>
      <c r="K3108" s="455">
        <f t="shared" ca="1" si="143"/>
        <v>412776950.03943253</v>
      </c>
      <c r="L3108" s="455">
        <f t="shared" ca="1" si="144"/>
        <v>99479244959.503235</v>
      </c>
      <c r="M3108" s="471">
        <f t="shared" si="146"/>
        <v>0.05</v>
      </c>
      <c r="N3108" s="475">
        <f t="shared" si="147"/>
        <v>145642</v>
      </c>
    </row>
    <row r="3109" spans="7:14" ht="11.25" customHeight="1" x14ac:dyDescent="0.3">
      <c r="G3109" s="470"/>
      <c r="H3109" s="470">
        <v>3102</v>
      </c>
      <c r="I3109" s="455">
        <f t="shared" ca="1" si="145"/>
        <v>99479244959.503235</v>
      </c>
      <c r="J3109" s="455">
        <f t="array" ref="J3109">IFERROR(INDEX('Retirement Calculator'!K:K,MATCH('Lorri 401b'!N3109,'Retirement Calculator'!A:A,0),0),0)</f>
        <v>0</v>
      </c>
      <c r="K3109" s="455">
        <f t="shared" ca="1" si="143"/>
        <v>414496853.99793017</v>
      </c>
      <c r="L3109" s="455">
        <f t="shared" ca="1" si="144"/>
        <v>99893741813.50116</v>
      </c>
      <c r="M3109" s="471">
        <f t="shared" si="146"/>
        <v>0.05</v>
      </c>
      <c r="N3109" s="475">
        <f t="shared" si="147"/>
        <v>145673</v>
      </c>
    </row>
    <row r="3110" spans="7:14" ht="11.25" customHeight="1" x14ac:dyDescent="0.3">
      <c r="G3110" s="470"/>
      <c r="H3110" s="470">
        <v>3103</v>
      </c>
      <c r="I3110" s="455">
        <f t="shared" ca="1" si="145"/>
        <v>99893741813.50116</v>
      </c>
      <c r="J3110" s="455">
        <f t="array" ref="J3110">IFERROR(INDEX('Retirement Calculator'!K:K,MATCH('Lorri 401b'!N3110,'Retirement Calculator'!A:A,0),0),0)</f>
        <v>0</v>
      </c>
      <c r="K3110" s="455">
        <f t="shared" ca="1" si="143"/>
        <v>416223924.22292149</v>
      </c>
      <c r="L3110" s="455">
        <f t="shared" ca="1" si="144"/>
        <v>100309965737.72408</v>
      </c>
      <c r="M3110" s="471">
        <f t="shared" si="146"/>
        <v>0.05</v>
      </c>
      <c r="N3110" s="475">
        <f t="shared" si="147"/>
        <v>145703</v>
      </c>
    </row>
    <row r="3111" spans="7:14" ht="11.25" customHeight="1" x14ac:dyDescent="0.3">
      <c r="G3111" s="470"/>
      <c r="H3111" s="470">
        <v>3104</v>
      </c>
      <c r="I3111" s="455">
        <f t="shared" ca="1" si="145"/>
        <v>100309965737.72408</v>
      </c>
      <c r="J3111" s="455">
        <f t="array" ref="J3111">IFERROR(INDEX('Retirement Calculator'!K:K,MATCH('Lorri 401b'!N3111,'Retirement Calculator'!A:A,0),0),0)</f>
        <v>0</v>
      </c>
      <c r="K3111" s="455">
        <f t="shared" ca="1" si="143"/>
        <v>417958190.57385033</v>
      </c>
      <c r="L3111" s="455">
        <f t="shared" ca="1" si="144"/>
        <v>100727923928.29793</v>
      </c>
      <c r="M3111" s="471">
        <f t="shared" si="146"/>
        <v>0.05</v>
      </c>
      <c r="N3111" s="475">
        <f t="shared" si="147"/>
        <v>145734</v>
      </c>
    </row>
    <row r="3112" spans="7:14" ht="11.25" customHeight="1" x14ac:dyDescent="0.3">
      <c r="G3112" s="470"/>
      <c r="H3112" s="470">
        <v>3105</v>
      </c>
      <c r="I3112" s="455">
        <f t="shared" ca="1" si="145"/>
        <v>100727923928.29793</v>
      </c>
      <c r="J3112" s="455">
        <f t="array" ref="J3112">IFERROR(INDEX('Retirement Calculator'!K:K,MATCH('Lorri 401b'!N3112,'Retirement Calculator'!A:A,0),0),0)</f>
        <v>0</v>
      </c>
      <c r="K3112" s="455">
        <f t="shared" ca="1" si="143"/>
        <v>419699683.03457469</v>
      </c>
      <c r="L3112" s="455">
        <f t="shared" ca="1" si="144"/>
        <v>101147623611.3325</v>
      </c>
      <c r="M3112" s="471">
        <f t="shared" si="146"/>
        <v>0.05</v>
      </c>
      <c r="N3112" s="475">
        <f t="shared" si="147"/>
        <v>145765</v>
      </c>
    </row>
    <row r="3113" spans="7:14" ht="11.25" customHeight="1" x14ac:dyDescent="0.3">
      <c r="G3113" s="470"/>
      <c r="H3113" s="470">
        <v>3106</v>
      </c>
      <c r="I3113" s="455">
        <f t="shared" ca="1" si="145"/>
        <v>101147623611.3325</v>
      </c>
      <c r="J3113" s="455">
        <f t="array" ref="J3113">IFERROR(INDEX('Retirement Calculator'!K:K,MATCH('Lorri 401b'!N3113,'Retirement Calculator'!A:A,0),0),0)</f>
        <v>0</v>
      </c>
      <c r="K3113" s="455">
        <f t="shared" ca="1" si="143"/>
        <v>421448431.71388543</v>
      </c>
      <c r="L3113" s="455">
        <f t="shared" ca="1" si="144"/>
        <v>101569072043.04639</v>
      </c>
      <c r="M3113" s="471">
        <f t="shared" si="146"/>
        <v>0.05</v>
      </c>
      <c r="N3113" s="475">
        <f t="shared" si="147"/>
        <v>145793</v>
      </c>
    </row>
    <row r="3114" spans="7:14" ht="11.25" customHeight="1" x14ac:dyDescent="0.3">
      <c r="G3114" s="470"/>
      <c r="H3114" s="470">
        <v>3107</v>
      </c>
      <c r="I3114" s="455">
        <f t="shared" ca="1" si="145"/>
        <v>101569072043.04639</v>
      </c>
      <c r="J3114" s="455">
        <f t="array" ref="J3114">IFERROR(INDEX('Retirement Calculator'!K:K,MATCH('Lorri 401b'!N3114,'Retirement Calculator'!A:A,0),0),0)</f>
        <v>0</v>
      </c>
      <c r="K3114" s="455">
        <f t="shared" ca="1" si="143"/>
        <v>423204466.8460266</v>
      </c>
      <c r="L3114" s="455">
        <f t="shared" ca="1" si="144"/>
        <v>101992276509.89241</v>
      </c>
      <c r="M3114" s="471">
        <f t="shared" si="146"/>
        <v>0.05</v>
      </c>
      <c r="N3114" s="475">
        <f t="shared" si="147"/>
        <v>145824</v>
      </c>
    </row>
    <row r="3115" spans="7:14" ht="11.25" customHeight="1" x14ac:dyDescent="0.3">
      <c r="G3115" s="470"/>
      <c r="H3115" s="470">
        <v>3108</v>
      </c>
      <c r="I3115" s="455">
        <f t="shared" ca="1" si="145"/>
        <v>101992276509.89241</v>
      </c>
      <c r="J3115" s="455">
        <f t="array" ref="J3115">IFERROR(INDEX('Retirement Calculator'!K:K,MATCH('Lorri 401b'!N3115,'Retirement Calculator'!A:A,0),0),0)</f>
        <v>0</v>
      </c>
      <c r="K3115" s="455">
        <f t="shared" ca="1" si="143"/>
        <v>424967818.7912184</v>
      </c>
      <c r="L3115" s="455">
        <f t="shared" ca="1" si="144"/>
        <v>102417244328.68362</v>
      </c>
      <c r="M3115" s="471">
        <f t="shared" si="146"/>
        <v>0.05</v>
      </c>
      <c r="N3115" s="475">
        <f t="shared" si="147"/>
        <v>145854</v>
      </c>
    </row>
    <row r="3116" spans="7:14" ht="11.25" customHeight="1" x14ac:dyDescent="0.3">
      <c r="G3116" s="470"/>
      <c r="H3116" s="470">
        <v>3109</v>
      </c>
      <c r="I3116" s="455">
        <f t="shared" ca="1" si="145"/>
        <v>102417244328.68362</v>
      </c>
      <c r="J3116" s="455">
        <f t="array" ref="J3116">IFERROR(INDEX('Retirement Calculator'!K:K,MATCH('Lorri 401b'!N3116,'Retirement Calculator'!A:A,0),0),0)</f>
        <v>0</v>
      </c>
      <c r="K3116" s="455">
        <f t="shared" ca="1" si="143"/>
        <v>426738518.03618175</v>
      </c>
      <c r="L3116" s="455">
        <f t="shared" ca="1" si="144"/>
        <v>102843982846.7198</v>
      </c>
      <c r="M3116" s="471">
        <f t="shared" si="146"/>
        <v>0.05</v>
      </c>
      <c r="N3116" s="475">
        <f t="shared" si="147"/>
        <v>145885</v>
      </c>
    </row>
    <row r="3117" spans="7:14" ht="11.25" customHeight="1" x14ac:dyDescent="0.3">
      <c r="G3117" s="470"/>
      <c r="H3117" s="470">
        <v>3110</v>
      </c>
      <c r="I3117" s="455">
        <f t="shared" ca="1" si="145"/>
        <v>102843982846.7198</v>
      </c>
      <c r="J3117" s="455">
        <f t="array" ref="J3117">IFERROR(INDEX('Retirement Calculator'!K:K,MATCH('Lorri 401b'!N3117,'Retirement Calculator'!A:A,0),0),0)</f>
        <v>0</v>
      </c>
      <c r="K3117" s="455">
        <f t="shared" ca="1" si="143"/>
        <v>428516595.19466585</v>
      </c>
      <c r="L3117" s="455">
        <f t="shared" ca="1" si="144"/>
        <v>103272499441.91447</v>
      </c>
      <c r="M3117" s="471">
        <f t="shared" si="146"/>
        <v>0.05</v>
      </c>
      <c r="N3117" s="475">
        <f t="shared" si="147"/>
        <v>145915</v>
      </c>
    </row>
    <row r="3118" spans="7:14" ht="11.25" customHeight="1" x14ac:dyDescent="0.3">
      <c r="G3118" s="470"/>
      <c r="H3118" s="470">
        <v>3111</v>
      </c>
      <c r="I3118" s="455">
        <f t="shared" ca="1" si="145"/>
        <v>103272499441.91447</v>
      </c>
      <c r="J3118" s="455">
        <f t="array" ref="J3118">IFERROR(INDEX('Retirement Calculator'!K:K,MATCH('Lorri 401b'!N3118,'Retirement Calculator'!A:A,0),0),0)</f>
        <v>0</v>
      </c>
      <c r="K3118" s="455">
        <f t="shared" ca="1" si="143"/>
        <v>430302081.00797695</v>
      </c>
      <c r="L3118" s="455">
        <f t="shared" ca="1" si="144"/>
        <v>103702801522.92245</v>
      </c>
      <c r="M3118" s="471">
        <f t="shared" si="146"/>
        <v>0.05</v>
      </c>
      <c r="N3118" s="475">
        <f t="shared" si="147"/>
        <v>145946</v>
      </c>
    </row>
    <row r="3119" spans="7:14" ht="11.25" customHeight="1" x14ac:dyDescent="0.3">
      <c r="G3119" s="470"/>
      <c r="H3119" s="470">
        <v>3112</v>
      </c>
      <c r="I3119" s="455">
        <f t="shared" ca="1" si="145"/>
        <v>103702801522.92245</v>
      </c>
      <c r="J3119" s="455">
        <f t="array" ref="J3119">IFERROR(INDEX('Retirement Calculator'!K:K,MATCH('Lorri 401b'!N3119,'Retirement Calculator'!A:A,0),0),0)</f>
        <v>0</v>
      </c>
      <c r="K3119" s="455">
        <f t="shared" ca="1" si="143"/>
        <v>432095006.34551024</v>
      </c>
      <c r="L3119" s="455">
        <f t="shared" ca="1" si="144"/>
        <v>104134896529.26796</v>
      </c>
      <c r="M3119" s="471">
        <f t="shared" si="146"/>
        <v>0.05</v>
      </c>
      <c r="N3119" s="475">
        <f t="shared" si="147"/>
        <v>145977</v>
      </c>
    </row>
    <row r="3120" spans="7:14" ht="11.25" customHeight="1" x14ac:dyDescent="0.3">
      <c r="G3120" s="470"/>
      <c r="H3120" s="470">
        <v>3113</v>
      </c>
      <c r="I3120" s="455">
        <f t="shared" ca="1" si="145"/>
        <v>104134896529.26796</v>
      </c>
      <c r="J3120" s="455">
        <f t="array" ref="J3120">IFERROR(INDEX('Retirement Calculator'!K:K,MATCH('Lorri 401b'!N3120,'Retirement Calculator'!A:A,0),0),0)</f>
        <v>0</v>
      </c>
      <c r="K3120" s="455">
        <f t="shared" ca="1" si="143"/>
        <v>433895402.20528316</v>
      </c>
      <c r="L3120" s="455">
        <f t="shared" ca="1" si="144"/>
        <v>104568791931.47324</v>
      </c>
      <c r="M3120" s="471">
        <f t="shared" si="146"/>
        <v>0.05</v>
      </c>
      <c r="N3120" s="475">
        <f t="shared" si="147"/>
        <v>146007</v>
      </c>
    </row>
    <row r="3121" spans="7:14" ht="11.25" customHeight="1" x14ac:dyDescent="0.3">
      <c r="G3121" s="470"/>
      <c r="H3121" s="470">
        <v>3114</v>
      </c>
      <c r="I3121" s="455">
        <f t="shared" ca="1" si="145"/>
        <v>104568791931.47324</v>
      </c>
      <c r="J3121" s="455">
        <f t="array" ref="J3121">IFERROR(INDEX('Retirement Calculator'!K:K,MATCH('Lorri 401b'!N3121,'Retirement Calculator'!A:A,0),0),0)</f>
        <v>0</v>
      </c>
      <c r="K3121" s="455">
        <f t="shared" ca="1" si="143"/>
        <v>435703299.71447182</v>
      </c>
      <c r="L3121" s="455">
        <f t="shared" ca="1" si="144"/>
        <v>105004495231.18771</v>
      </c>
      <c r="M3121" s="471">
        <f t="shared" si="146"/>
        <v>0.05</v>
      </c>
      <c r="N3121" s="475">
        <f t="shared" si="147"/>
        <v>146038</v>
      </c>
    </row>
    <row r="3122" spans="7:14" ht="11.25" customHeight="1" x14ac:dyDescent="0.3">
      <c r="G3122" s="470"/>
      <c r="H3122" s="470">
        <v>3115</v>
      </c>
      <c r="I3122" s="455">
        <f t="shared" ca="1" si="145"/>
        <v>105004495231.18771</v>
      </c>
      <c r="J3122" s="455">
        <f t="array" ref="J3122">IFERROR(INDEX('Retirement Calculator'!K:K,MATCH('Lorri 401b'!N3122,'Retirement Calculator'!A:A,0),0),0)</f>
        <v>0</v>
      </c>
      <c r="K3122" s="455">
        <f t="shared" ca="1" si="143"/>
        <v>437518730.12994879</v>
      </c>
      <c r="L3122" s="455">
        <f t="shared" ca="1" si="144"/>
        <v>105442013961.31766</v>
      </c>
      <c r="M3122" s="471">
        <f t="shared" si="146"/>
        <v>0.05</v>
      </c>
      <c r="N3122" s="475">
        <f t="shared" si="147"/>
        <v>146068</v>
      </c>
    </row>
    <row r="3123" spans="7:14" ht="11.25" customHeight="1" x14ac:dyDescent="0.3">
      <c r="G3123" s="470"/>
      <c r="H3123" s="470">
        <v>3116</v>
      </c>
      <c r="I3123" s="455">
        <f t="shared" ca="1" si="145"/>
        <v>105442013961.31766</v>
      </c>
      <c r="J3123" s="455">
        <f t="array" ref="J3123">IFERROR(INDEX('Retirement Calculator'!K:K,MATCH('Lorri 401b'!N3123,'Retirement Calculator'!A:A,0),0),0)</f>
        <v>0</v>
      </c>
      <c r="K3123" s="455">
        <f t="shared" ca="1" si="143"/>
        <v>439341724.83882356</v>
      </c>
      <c r="L3123" s="455">
        <f t="shared" ca="1" si="144"/>
        <v>105881355686.15648</v>
      </c>
      <c r="M3123" s="471">
        <f t="shared" si="146"/>
        <v>0.05</v>
      </c>
      <c r="N3123" s="475">
        <f t="shared" si="147"/>
        <v>146099</v>
      </c>
    </row>
    <row r="3124" spans="7:14" ht="11.25" customHeight="1" x14ac:dyDescent="0.3">
      <c r="G3124" s="470"/>
      <c r="H3124" s="470">
        <v>3117</v>
      </c>
      <c r="I3124" s="455">
        <f t="shared" ca="1" si="145"/>
        <v>105881355686.15648</v>
      </c>
      <c r="J3124" s="455">
        <f t="array" ref="J3124">IFERROR(INDEX('Retirement Calculator'!K:K,MATCH('Lorri 401b'!N3124,'Retirement Calculator'!A:A,0),0),0)</f>
        <v>0</v>
      </c>
      <c r="K3124" s="455">
        <f t="shared" ca="1" si="143"/>
        <v>441172315.3589853</v>
      </c>
      <c r="L3124" s="455">
        <f t="shared" ca="1" si="144"/>
        <v>106322528001.51546</v>
      </c>
      <c r="M3124" s="471">
        <f t="shared" si="146"/>
        <v>0.05</v>
      </c>
      <c r="N3124" s="475">
        <f t="shared" si="147"/>
        <v>146130</v>
      </c>
    </row>
    <row r="3125" spans="7:14" ht="11.25" customHeight="1" x14ac:dyDescent="0.3">
      <c r="G3125" s="470"/>
      <c r="H3125" s="470">
        <v>3118</v>
      </c>
      <c r="I3125" s="455">
        <f t="shared" ca="1" si="145"/>
        <v>106322528001.51546</v>
      </c>
      <c r="J3125" s="455">
        <f t="array" ref="J3125">IFERROR(INDEX('Retirement Calculator'!K:K,MATCH('Lorri 401b'!N3125,'Retirement Calculator'!A:A,0),0),0)</f>
        <v>0</v>
      </c>
      <c r="K3125" s="455">
        <f t="shared" ca="1" si="143"/>
        <v>443010533.33964771</v>
      </c>
      <c r="L3125" s="455">
        <f t="shared" ca="1" si="144"/>
        <v>106765538534.8551</v>
      </c>
      <c r="M3125" s="471">
        <f t="shared" si="146"/>
        <v>0.05</v>
      </c>
      <c r="N3125" s="475">
        <f t="shared" si="147"/>
        <v>146158</v>
      </c>
    </row>
    <row r="3126" spans="7:14" ht="11.25" customHeight="1" x14ac:dyDescent="0.3">
      <c r="G3126" s="470"/>
      <c r="H3126" s="470">
        <v>3119</v>
      </c>
      <c r="I3126" s="455">
        <f t="shared" ca="1" si="145"/>
        <v>106765538534.8551</v>
      </c>
      <c r="J3126" s="455">
        <f t="array" ref="J3126">IFERROR(INDEX('Retirement Calculator'!K:K,MATCH('Lorri 401b'!N3126,'Retirement Calculator'!A:A,0),0),0)</f>
        <v>0</v>
      </c>
      <c r="K3126" s="455">
        <f t="shared" ca="1" si="143"/>
        <v>444856410.56189626</v>
      </c>
      <c r="L3126" s="455">
        <f t="shared" ca="1" si="144"/>
        <v>107210394945.41699</v>
      </c>
      <c r="M3126" s="471">
        <f t="shared" si="146"/>
        <v>0.05</v>
      </c>
      <c r="N3126" s="475">
        <f t="shared" si="147"/>
        <v>146189</v>
      </c>
    </row>
    <row r="3127" spans="7:14" ht="11.25" customHeight="1" x14ac:dyDescent="0.3">
      <c r="G3127" s="470"/>
      <c r="H3127" s="470">
        <v>3120</v>
      </c>
      <c r="I3127" s="455">
        <f t="shared" ca="1" si="145"/>
        <v>107210394945.41699</v>
      </c>
      <c r="J3127" s="455">
        <f t="array" ref="J3127">IFERROR(INDEX('Retirement Calculator'!K:K,MATCH('Lorri 401b'!N3127,'Retirement Calculator'!A:A,0),0),0)</f>
        <v>0</v>
      </c>
      <c r="K3127" s="455">
        <f t="shared" ca="1" si="143"/>
        <v>446709978.93923748</v>
      </c>
      <c r="L3127" s="455">
        <f t="shared" ca="1" si="144"/>
        <v>107657104924.35623</v>
      </c>
      <c r="M3127" s="471">
        <f t="shared" si="146"/>
        <v>0.05</v>
      </c>
      <c r="N3127" s="475">
        <f t="shared" si="147"/>
        <v>146219</v>
      </c>
    </row>
    <row r="3128" spans="7:14" ht="11.25" customHeight="1" x14ac:dyDescent="0.3">
      <c r="G3128" s="470"/>
      <c r="H3128" s="470">
        <v>3121</v>
      </c>
      <c r="I3128" s="455">
        <f t="shared" ca="1" si="145"/>
        <v>107657104924.35623</v>
      </c>
      <c r="J3128" s="455">
        <f t="array" ref="J3128">IFERROR(INDEX('Retirement Calculator'!K:K,MATCH('Lorri 401b'!N3128,'Retirement Calculator'!A:A,0),0),0)</f>
        <v>0</v>
      </c>
      <c r="K3128" s="455">
        <f t="shared" ca="1" si="143"/>
        <v>448571270.51815099</v>
      </c>
      <c r="L3128" s="455">
        <f t="shared" ca="1" si="144"/>
        <v>108105676194.87439</v>
      </c>
      <c r="M3128" s="471">
        <f t="shared" si="146"/>
        <v>0.05</v>
      </c>
      <c r="N3128" s="475">
        <f t="shared" si="147"/>
        <v>146250</v>
      </c>
    </row>
    <row r="3129" spans="7:14" ht="11.25" customHeight="1" x14ac:dyDescent="0.3">
      <c r="G3129" s="470"/>
      <c r="H3129" s="470">
        <v>3122</v>
      </c>
      <c r="I3129" s="455">
        <f t="shared" ca="1" si="145"/>
        <v>108105676194.87439</v>
      </c>
      <c r="J3129" s="455">
        <f t="array" ref="J3129">IFERROR(INDEX('Retirement Calculator'!K:K,MATCH('Lorri 401b'!N3129,'Retirement Calculator'!A:A,0),0),0)</f>
        <v>0</v>
      </c>
      <c r="K3129" s="455">
        <f t="shared" ca="1" si="143"/>
        <v>450440317.4786433</v>
      </c>
      <c r="L3129" s="455">
        <f t="shared" ca="1" si="144"/>
        <v>108556116512.35303</v>
      </c>
      <c r="M3129" s="471">
        <f t="shared" si="146"/>
        <v>0.05</v>
      </c>
      <c r="N3129" s="475">
        <f t="shared" si="147"/>
        <v>146280</v>
      </c>
    </row>
    <row r="3130" spans="7:14" ht="11.25" customHeight="1" x14ac:dyDescent="0.3">
      <c r="G3130" s="470"/>
      <c r="H3130" s="470">
        <v>3123</v>
      </c>
      <c r="I3130" s="455">
        <f t="shared" ca="1" si="145"/>
        <v>108556116512.35303</v>
      </c>
      <c r="J3130" s="455">
        <f t="array" ref="J3130">IFERROR(INDEX('Retirement Calculator'!K:K,MATCH('Lorri 401b'!N3130,'Retirement Calculator'!A:A,0),0),0)</f>
        <v>0</v>
      </c>
      <c r="K3130" s="455">
        <f t="shared" ca="1" si="143"/>
        <v>452317152.13480425</v>
      </c>
      <c r="L3130" s="455">
        <f t="shared" ca="1" si="144"/>
        <v>109008433664.48784</v>
      </c>
      <c r="M3130" s="471">
        <f t="shared" si="146"/>
        <v>0.05</v>
      </c>
      <c r="N3130" s="475">
        <f t="shared" si="147"/>
        <v>146311</v>
      </c>
    </row>
    <row r="3131" spans="7:14" ht="11.25" customHeight="1" x14ac:dyDescent="0.3">
      <c r="G3131" s="470"/>
      <c r="H3131" s="470">
        <v>3124</v>
      </c>
      <c r="I3131" s="455">
        <f t="shared" ca="1" si="145"/>
        <v>109008433664.48784</v>
      </c>
      <c r="J3131" s="455">
        <f t="array" ref="J3131">IFERROR(INDEX('Retirement Calculator'!K:K,MATCH('Lorri 401b'!N3131,'Retirement Calculator'!A:A,0),0),0)</f>
        <v>0</v>
      </c>
      <c r="K3131" s="455">
        <f t="shared" ca="1" si="143"/>
        <v>454201806.93536603</v>
      </c>
      <c r="L3131" s="455">
        <f t="shared" ca="1" si="144"/>
        <v>109462635471.4232</v>
      </c>
      <c r="M3131" s="471">
        <f t="shared" si="146"/>
        <v>0.05</v>
      </c>
      <c r="N3131" s="475">
        <f t="shared" si="147"/>
        <v>146342</v>
      </c>
    </row>
    <row r="3132" spans="7:14" ht="11.25" customHeight="1" x14ac:dyDescent="0.3">
      <c r="G3132" s="470"/>
      <c r="H3132" s="470">
        <v>3125</v>
      </c>
      <c r="I3132" s="455">
        <f t="shared" ca="1" si="145"/>
        <v>109462635471.4232</v>
      </c>
      <c r="J3132" s="455">
        <f t="array" ref="J3132">IFERROR(INDEX('Retirement Calculator'!K:K,MATCH('Lorri 401b'!N3132,'Retirement Calculator'!A:A,0),0),0)</f>
        <v>0</v>
      </c>
      <c r="K3132" s="455">
        <f t="shared" ca="1" si="143"/>
        <v>456094314.46426332</v>
      </c>
      <c r="L3132" s="455">
        <f t="shared" ca="1" si="144"/>
        <v>109918729785.88747</v>
      </c>
      <c r="M3132" s="471">
        <f t="shared" si="146"/>
        <v>0.05</v>
      </c>
      <c r="N3132" s="475">
        <f t="shared" si="147"/>
        <v>146372</v>
      </c>
    </row>
    <row r="3133" spans="7:14" ht="11.25" customHeight="1" x14ac:dyDescent="0.3">
      <c r="G3133" s="470"/>
      <c r="H3133" s="470">
        <v>3126</v>
      </c>
      <c r="I3133" s="455">
        <f t="shared" ca="1" si="145"/>
        <v>109918729785.88747</v>
      </c>
      <c r="J3133" s="455">
        <f t="array" ref="J3133">IFERROR(INDEX('Retirement Calculator'!K:K,MATCH('Lorri 401b'!N3133,'Retirement Calculator'!A:A,0),0),0)</f>
        <v>0</v>
      </c>
      <c r="K3133" s="455">
        <f t="shared" ca="1" si="143"/>
        <v>457994707.44119781</v>
      </c>
      <c r="L3133" s="455">
        <f t="shared" ca="1" si="144"/>
        <v>110376724493.32866</v>
      </c>
      <c r="M3133" s="471">
        <f t="shared" si="146"/>
        <v>0.05</v>
      </c>
      <c r="N3133" s="475">
        <f t="shared" si="147"/>
        <v>146403</v>
      </c>
    </row>
    <row r="3134" spans="7:14" ht="11.25" customHeight="1" x14ac:dyDescent="0.3">
      <c r="G3134" s="470"/>
      <c r="H3134" s="470">
        <v>3127</v>
      </c>
      <c r="I3134" s="455">
        <f t="shared" ca="1" si="145"/>
        <v>110376724493.32866</v>
      </c>
      <c r="J3134" s="455">
        <f t="array" ref="J3134">IFERROR(INDEX('Retirement Calculator'!K:K,MATCH('Lorri 401b'!N3134,'Retirement Calculator'!A:A,0),0),0)</f>
        <v>0</v>
      </c>
      <c r="K3134" s="455">
        <f t="shared" ca="1" si="143"/>
        <v>459903018.72220272</v>
      </c>
      <c r="L3134" s="455">
        <f t="shared" ca="1" si="144"/>
        <v>110836627512.05086</v>
      </c>
      <c r="M3134" s="471">
        <f t="shared" si="146"/>
        <v>0.05</v>
      </c>
      <c r="N3134" s="475">
        <f t="shared" si="147"/>
        <v>146433</v>
      </c>
    </row>
    <row r="3135" spans="7:14" ht="11.25" customHeight="1" x14ac:dyDescent="0.3">
      <c r="G3135" s="470"/>
      <c r="H3135" s="470">
        <v>3128</v>
      </c>
      <c r="I3135" s="455">
        <f t="shared" ca="1" si="145"/>
        <v>110836627512.05086</v>
      </c>
      <c r="J3135" s="455">
        <f t="array" ref="J3135">IFERROR(INDEX('Retirement Calculator'!K:K,MATCH('Lorri 401b'!N3135,'Retirement Calculator'!A:A,0),0),0)</f>
        <v>0</v>
      </c>
      <c r="K3135" s="455">
        <f t="shared" ca="1" si="143"/>
        <v>461819281.30021185</v>
      </c>
      <c r="L3135" s="455">
        <f t="shared" ca="1" si="144"/>
        <v>111298446793.35107</v>
      </c>
      <c r="M3135" s="471">
        <f t="shared" si="146"/>
        <v>0.05</v>
      </c>
      <c r="N3135" s="475">
        <f t="shared" si="147"/>
        <v>146464</v>
      </c>
    </row>
    <row r="3136" spans="7:14" ht="11.25" customHeight="1" x14ac:dyDescent="0.3">
      <c r="G3136" s="470"/>
      <c r="H3136" s="470">
        <v>3129</v>
      </c>
      <c r="I3136" s="455">
        <f t="shared" ca="1" si="145"/>
        <v>111298446793.35107</v>
      </c>
      <c r="J3136" s="455">
        <f t="array" ref="J3136">IFERROR(INDEX('Retirement Calculator'!K:K,MATCH('Lorri 401b'!N3136,'Retirement Calculator'!A:A,0),0),0)</f>
        <v>0</v>
      </c>
      <c r="K3136" s="455">
        <f t="shared" ca="1" si="143"/>
        <v>463743528.30562949</v>
      </c>
      <c r="L3136" s="455">
        <f t="shared" ca="1" si="144"/>
        <v>111762190321.65671</v>
      </c>
      <c r="M3136" s="471">
        <f t="shared" si="146"/>
        <v>0.05</v>
      </c>
      <c r="N3136" s="475">
        <f t="shared" si="147"/>
        <v>146495</v>
      </c>
    </row>
    <row r="3137" spans="7:14" ht="11.25" customHeight="1" x14ac:dyDescent="0.3">
      <c r="G3137" s="470"/>
      <c r="H3137" s="470">
        <v>3130</v>
      </c>
      <c r="I3137" s="455">
        <f t="shared" ca="1" si="145"/>
        <v>111762190321.65671</v>
      </c>
      <c r="J3137" s="455">
        <f t="array" ref="J3137">IFERROR(INDEX('Retirement Calculator'!K:K,MATCH('Lorri 401b'!N3137,'Retirement Calculator'!A:A,0),0),0)</f>
        <v>0</v>
      </c>
      <c r="K3137" s="455">
        <f t="shared" ca="1" si="143"/>
        <v>465675793.00690287</v>
      </c>
      <c r="L3137" s="455">
        <f t="shared" ca="1" si="144"/>
        <v>112227866114.6636</v>
      </c>
      <c r="M3137" s="471">
        <f t="shared" si="146"/>
        <v>0.05</v>
      </c>
      <c r="N3137" s="475">
        <f t="shared" si="147"/>
        <v>146523</v>
      </c>
    </row>
    <row r="3138" spans="7:14" ht="11.25" customHeight="1" x14ac:dyDescent="0.3">
      <c r="G3138" s="470"/>
      <c r="H3138" s="470">
        <v>3131</v>
      </c>
      <c r="I3138" s="455">
        <f t="shared" ca="1" si="145"/>
        <v>112227866114.6636</v>
      </c>
      <c r="J3138" s="455">
        <f t="array" ref="J3138">IFERROR(INDEX('Retirement Calculator'!K:K,MATCH('Lorri 401b'!N3138,'Retirement Calculator'!A:A,0),0),0)</f>
        <v>0</v>
      </c>
      <c r="K3138" s="455">
        <f t="shared" ca="1" si="143"/>
        <v>467616108.81109834</v>
      </c>
      <c r="L3138" s="455">
        <f t="shared" ca="1" si="144"/>
        <v>112695482223.4747</v>
      </c>
      <c r="M3138" s="471">
        <f t="shared" si="146"/>
        <v>0.05</v>
      </c>
      <c r="N3138" s="475">
        <f t="shared" si="147"/>
        <v>146554</v>
      </c>
    </row>
    <row r="3139" spans="7:14" ht="11.25" customHeight="1" x14ac:dyDescent="0.3">
      <c r="G3139" s="470"/>
      <c r="H3139" s="470">
        <v>3132</v>
      </c>
      <c r="I3139" s="455">
        <f t="shared" ca="1" si="145"/>
        <v>112695482223.4747</v>
      </c>
      <c r="J3139" s="455">
        <f t="array" ref="J3139">IFERROR(INDEX('Retirement Calculator'!K:K,MATCH('Lorri 401b'!N3139,'Retirement Calculator'!A:A,0),0),0)</f>
        <v>0</v>
      </c>
      <c r="K3139" s="455">
        <f t="shared" ca="1" si="143"/>
        <v>469564509.26447791</v>
      </c>
      <c r="L3139" s="455">
        <f t="shared" ca="1" si="144"/>
        <v>113165046732.73918</v>
      </c>
      <c r="M3139" s="471">
        <f t="shared" si="146"/>
        <v>0.05</v>
      </c>
      <c r="N3139" s="475">
        <f t="shared" si="147"/>
        <v>146584</v>
      </c>
    </row>
    <row r="3140" spans="7:14" ht="11.25" customHeight="1" x14ac:dyDescent="0.3">
      <c r="G3140" s="470"/>
      <c r="H3140" s="470">
        <v>3133</v>
      </c>
      <c r="I3140" s="455">
        <f t="shared" ca="1" si="145"/>
        <v>113165046732.73918</v>
      </c>
      <c r="J3140" s="455">
        <f t="array" ref="J3140">IFERROR(INDEX('Retirement Calculator'!K:K,MATCH('Lorri 401b'!N3140,'Retirement Calculator'!A:A,0),0),0)</f>
        <v>0</v>
      </c>
      <c r="K3140" s="455">
        <f t="shared" ca="1" si="143"/>
        <v>471521028.0530799</v>
      </c>
      <c r="L3140" s="455">
        <f t="shared" ca="1" si="144"/>
        <v>113636567760.79227</v>
      </c>
      <c r="M3140" s="471">
        <f t="shared" si="146"/>
        <v>0.05</v>
      </c>
      <c r="N3140" s="475">
        <f t="shared" si="147"/>
        <v>146615</v>
      </c>
    </row>
    <row r="3141" spans="7:14" ht="11.25" customHeight="1" x14ac:dyDescent="0.3">
      <c r="G3141" s="470"/>
      <c r="H3141" s="470">
        <v>3134</v>
      </c>
      <c r="I3141" s="455">
        <f t="shared" ca="1" si="145"/>
        <v>113636567760.79227</v>
      </c>
      <c r="J3141" s="455">
        <f t="array" ref="J3141">IFERROR(INDEX('Retirement Calculator'!K:K,MATCH('Lorri 401b'!N3141,'Retirement Calculator'!A:A,0),0),0)</f>
        <v>0</v>
      </c>
      <c r="K3141" s="455">
        <f t="shared" ca="1" si="143"/>
        <v>473485699.00330108</v>
      </c>
      <c r="L3141" s="455">
        <f t="shared" ca="1" si="144"/>
        <v>114110053459.79556</v>
      </c>
      <c r="M3141" s="471">
        <f t="shared" si="146"/>
        <v>0.05</v>
      </c>
      <c r="N3141" s="475">
        <f t="shared" si="147"/>
        <v>146645</v>
      </c>
    </row>
    <row r="3142" spans="7:14" ht="11.25" customHeight="1" x14ac:dyDescent="0.3">
      <c r="G3142" s="470"/>
      <c r="H3142" s="470">
        <v>3135</v>
      </c>
      <c r="I3142" s="455">
        <f t="shared" ca="1" si="145"/>
        <v>114110053459.79556</v>
      </c>
      <c r="J3142" s="455">
        <f t="array" ref="J3142">IFERROR(INDEX('Retirement Calculator'!K:K,MATCH('Lorri 401b'!N3142,'Retirement Calculator'!A:A,0),0),0)</f>
        <v>0</v>
      </c>
      <c r="K3142" s="455">
        <f t="shared" ca="1" si="143"/>
        <v>475458556.08248156</v>
      </c>
      <c r="L3142" s="455">
        <f t="shared" ca="1" si="144"/>
        <v>114585512015.87805</v>
      </c>
      <c r="M3142" s="471">
        <f t="shared" si="146"/>
        <v>0.05</v>
      </c>
      <c r="N3142" s="475">
        <f t="shared" si="147"/>
        <v>146676</v>
      </c>
    </row>
    <row r="3143" spans="7:14" ht="11.25" customHeight="1" x14ac:dyDescent="0.3">
      <c r="G3143" s="470"/>
      <c r="H3143" s="470">
        <v>3136</v>
      </c>
      <c r="I3143" s="455">
        <f t="shared" ca="1" si="145"/>
        <v>114585512015.87805</v>
      </c>
      <c r="J3143" s="455">
        <f t="array" ref="J3143">IFERROR(INDEX('Retirement Calculator'!K:K,MATCH('Lorri 401b'!N3143,'Retirement Calculator'!A:A,0),0),0)</f>
        <v>0</v>
      </c>
      <c r="K3143" s="455">
        <f t="shared" ca="1" si="143"/>
        <v>477439633.39949185</v>
      </c>
      <c r="L3143" s="455">
        <f t="shared" ca="1" si="144"/>
        <v>115062951649.27754</v>
      </c>
      <c r="M3143" s="471">
        <f t="shared" si="146"/>
        <v>0.05</v>
      </c>
      <c r="N3143" s="475">
        <f t="shared" si="147"/>
        <v>146707</v>
      </c>
    </row>
    <row r="3144" spans="7:14" ht="11.25" customHeight="1" x14ac:dyDescent="0.3">
      <c r="G3144" s="470"/>
      <c r="H3144" s="470">
        <v>3137</v>
      </c>
      <c r="I3144" s="455">
        <f t="shared" ca="1" si="145"/>
        <v>115062951649.27754</v>
      </c>
      <c r="J3144" s="455">
        <f t="array" ref="J3144">IFERROR(INDEX('Retirement Calculator'!K:K,MATCH('Lorri 401b'!N3144,'Retirement Calculator'!A:A,0),0),0)</f>
        <v>0</v>
      </c>
      <c r="K3144" s="455">
        <f t="shared" ca="1" si="143"/>
        <v>479428965.20532316</v>
      </c>
      <c r="L3144" s="455">
        <f t="shared" ca="1" si="144"/>
        <v>115542380614.48286</v>
      </c>
      <c r="M3144" s="471">
        <f t="shared" si="146"/>
        <v>0.05</v>
      </c>
      <c r="N3144" s="475">
        <f t="shared" si="147"/>
        <v>146737</v>
      </c>
    </row>
    <row r="3145" spans="7:14" ht="11.25" customHeight="1" x14ac:dyDescent="0.3">
      <c r="G3145" s="470"/>
      <c r="H3145" s="470">
        <v>3138</v>
      </c>
      <c r="I3145" s="455">
        <f t="shared" ca="1" si="145"/>
        <v>115542380614.48286</v>
      </c>
      <c r="J3145" s="455">
        <f t="array" ref="J3145">IFERROR(INDEX('Retirement Calculator'!K:K,MATCH('Lorri 401b'!N3145,'Retirement Calculator'!A:A,0),0),0)</f>
        <v>0</v>
      </c>
      <c r="K3145" s="455">
        <f t="shared" ca="1" si="143"/>
        <v>481426585.89367867</v>
      </c>
      <c r="L3145" s="455">
        <f t="shared" ca="1" si="144"/>
        <v>116023807200.37654</v>
      </c>
      <c r="M3145" s="471">
        <f t="shared" si="146"/>
        <v>0.05</v>
      </c>
      <c r="N3145" s="475">
        <f t="shared" si="147"/>
        <v>146768</v>
      </c>
    </row>
    <row r="3146" spans="7:14" ht="11.25" customHeight="1" x14ac:dyDescent="0.3">
      <c r="G3146" s="470"/>
      <c r="H3146" s="470">
        <v>3139</v>
      </c>
      <c r="I3146" s="455">
        <f t="shared" ca="1" si="145"/>
        <v>116023807200.37654</v>
      </c>
      <c r="J3146" s="455">
        <f t="array" ref="J3146">IFERROR(INDEX('Retirement Calculator'!K:K,MATCH('Lorri 401b'!N3146,'Retirement Calculator'!A:A,0),0),0)</f>
        <v>0</v>
      </c>
      <c r="K3146" s="455">
        <f t="shared" ca="1" si="143"/>
        <v>483432530.00156885</v>
      </c>
      <c r="L3146" s="455">
        <f t="shared" ca="1" si="144"/>
        <v>116507239730.37811</v>
      </c>
      <c r="M3146" s="471">
        <f t="shared" si="146"/>
        <v>0.05</v>
      </c>
      <c r="N3146" s="475">
        <f t="shared" si="147"/>
        <v>146798</v>
      </c>
    </row>
    <row r="3147" spans="7:14" ht="11.25" customHeight="1" x14ac:dyDescent="0.3">
      <c r="G3147" s="470"/>
      <c r="H3147" s="470">
        <v>3140</v>
      </c>
      <c r="I3147" s="455">
        <f t="shared" ca="1" si="145"/>
        <v>116507239730.37811</v>
      </c>
      <c r="J3147" s="455">
        <f t="array" ref="J3147">IFERROR(INDEX('Retirement Calculator'!K:K,MATCH('Lorri 401b'!N3147,'Retirement Calculator'!A:A,0),0),0)</f>
        <v>0</v>
      </c>
      <c r="K3147" s="455">
        <f t="shared" ca="1" si="143"/>
        <v>485446832.20990878</v>
      </c>
      <c r="L3147" s="455">
        <f t="shared" ca="1" si="144"/>
        <v>116992686562.58803</v>
      </c>
      <c r="M3147" s="471">
        <f t="shared" si="146"/>
        <v>0.05</v>
      </c>
      <c r="N3147" s="475">
        <f t="shared" si="147"/>
        <v>146829</v>
      </c>
    </row>
    <row r="3148" spans="7:14" ht="11.25" customHeight="1" x14ac:dyDescent="0.3">
      <c r="G3148" s="470"/>
      <c r="H3148" s="470">
        <v>3141</v>
      </c>
      <c r="I3148" s="455">
        <f t="shared" ca="1" si="145"/>
        <v>116992686562.58803</v>
      </c>
      <c r="J3148" s="455">
        <f t="array" ref="J3148">IFERROR(INDEX('Retirement Calculator'!K:K,MATCH('Lorri 401b'!N3148,'Retirement Calculator'!A:A,0),0),0)</f>
        <v>0</v>
      </c>
      <c r="K3148" s="455">
        <f t="shared" ca="1" si="143"/>
        <v>487469527.34411687</v>
      </c>
      <c r="L3148" s="455">
        <f t="shared" ca="1" si="144"/>
        <v>117480156089.93214</v>
      </c>
      <c r="M3148" s="471">
        <f t="shared" si="146"/>
        <v>0.05</v>
      </c>
      <c r="N3148" s="475">
        <f t="shared" si="147"/>
        <v>146860</v>
      </c>
    </row>
    <row r="3149" spans="7:14" ht="11.25" customHeight="1" x14ac:dyDescent="0.3">
      <c r="G3149" s="470"/>
      <c r="H3149" s="470">
        <v>3142</v>
      </c>
      <c r="I3149" s="455">
        <f t="shared" ca="1" si="145"/>
        <v>117480156089.93214</v>
      </c>
      <c r="J3149" s="455">
        <f t="array" ref="J3149">IFERROR(INDEX('Retirement Calculator'!K:K,MATCH('Lorri 401b'!N3149,'Retirement Calculator'!A:A,0),0),0)</f>
        <v>0</v>
      </c>
      <c r="K3149" s="455">
        <f t="shared" ca="1" si="143"/>
        <v>489500650.3747173</v>
      </c>
      <c r="L3149" s="455">
        <f t="shared" ca="1" si="144"/>
        <v>117969656740.30685</v>
      </c>
      <c r="M3149" s="471">
        <f t="shared" si="146"/>
        <v>0.05</v>
      </c>
      <c r="N3149" s="475">
        <f t="shared" si="147"/>
        <v>146888</v>
      </c>
    </row>
    <row r="3150" spans="7:14" ht="11.25" customHeight="1" x14ac:dyDescent="0.3">
      <c r="G3150" s="470"/>
      <c r="H3150" s="470">
        <v>3143</v>
      </c>
      <c r="I3150" s="455">
        <f t="shared" ca="1" si="145"/>
        <v>117969656740.30685</v>
      </c>
      <c r="J3150" s="455">
        <f t="array" ref="J3150">IFERROR(INDEX('Retirement Calculator'!K:K,MATCH('Lorri 401b'!N3150,'Retirement Calculator'!A:A,0),0),0)</f>
        <v>0</v>
      </c>
      <c r="K3150" s="455">
        <f t="shared" ca="1" si="143"/>
        <v>491540236.41794515</v>
      </c>
      <c r="L3150" s="455">
        <f t="shared" ca="1" si="144"/>
        <v>118461196976.72479</v>
      </c>
      <c r="M3150" s="471">
        <f t="shared" si="146"/>
        <v>0.05</v>
      </c>
      <c r="N3150" s="475">
        <f t="shared" si="147"/>
        <v>146919</v>
      </c>
    </row>
    <row r="3151" spans="7:14" ht="11.25" customHeight="1" x14ac:dyDescent="0.3">
      <c r="G3151" s="470"/>
      <c r="H3151" s="470">
        <v>3144</v>
      </c>
      <c r="I3151" s="455">
        <f t="shared" ca="1" si="145"/>
        <v>118461196976.72479</v>
      </c>
      <c r="J3151" s="455">
        <f t="array" ref="J3151">IFERROR(INDEX('Retirement Calculator'!K:K,MATCH('Lorri 401b'!N3151,'Retirement Calculator'!A:A,0),0),0)</f>
        <v>0</v>
      </c>
      <c r="K3151" s="455">
        <f t="shared" ca="1" si="143"/>
        <v>493588320.73635334</v>
      </c>
      <c r="L3151" s="455">
        <f t="shared" ca="1" si="144"/>
        <v>118954785297.46115</v>
      </c>
      <c r="M3151" s="471">
        <f t="shared" si="146"/>
        <v>0.05</v>
      </c>
      <c r="N3151" s="475">
        <f t="shared" si="147"/>
        <v>146949</v>
      </c>
    </row>
    <row r="3152" spans="7:14" ht="11.25" customHeight="1" x14ac:dyDescent="0.3">
      <c r="G3152" s="470"/>
      <c r="H3152" s="470">
        <v>3145</v>
      </c>
      <c r="I3152" s="455">
        <f t="shared" ca="1" si="145"/>
        <v>118954785297.46115</v>
      </c>
      <c r="J3152" s="455">
        <f t="array" ref="J3152">IFERROR(INDEX('Retirement Calculator'!K:K,MATCH('Lorri 401b'!N3152,'Retirement Calculator'!A:A,0),0),0)</f>
        <v>0</v>
      </c>
      <c r="K3152" s="455">
        <f t="shared" ca="1" si="143"/>
        <v>495644938.73942137</v>
      </c>
      <c r="L3152" s="455">
        <f t="shared" ca="1" si="144"/>
        <v>119450430236.20058</v>
      </c>
      <c r="M3152" s="471">
        <f t="shared" si="146"/>
        <v>0.05</v>
      </c>
      <c r="N3152" s="475">
        <f t="shared" si="147"/>
        <v>146980</v>
      </c>
    </row>
    <row r="3153" spans="7:14" ht="11.25" customHeight="1" x14ac:dyDescent="0.3">
      <c r="G3153" s="470"/>
      <c r="H3153" s="470">
        <v>3146</v>
      </c>
      <c r="I3153" s="455">
        <f t="shared" ca="1" si="145"/>
        <v>119450430236.20058</v>
      </c>
      <c r="J3153" s="455">
        <f t="array" ref="J3153">IFERROR(INDEX('Retirement Calculator'!K:K,MATCH('Lorri 401b'!N3153,'Retirement Calculator'!A:A,0),0),0)</f>
        <v>0</v>
      </c>
      <c r="K3153" s="455">
        <f t="shared" ca="1" si="143"/>
        <v>497710125.98416913</v>
      </c>
      <c r="L3153" s="455">
        <f t="shared" ca="1" si="144"/>
        <v>119948140362.18475</v>
      </c>
      <c r="M3153" s="471">
        <f t="shared" si="146"/>
        <v>0.05</v>
      </c>
      <c r="N3153" s="475">
        <f t="shared" si="147"/>
        <v>147010</v>
      </c>
    </row>
    <row r="3154" spans="7:14" ht="11.25" customHeight="1" x14ac:dyDescent="0.3">
      <c r="G3154" s="470"/>
      <c r="H3154" s="470">
        <v>3147</v>
      </c>
      <c r="I3154" s="455">
        <f t="shared" ca="1" si="145"/>
        <v>119948140362.18475</v>
      </c>
      <c r="J3154" s="455">
        <f t="array" ref="J3154">IFERROR(INDEX('Retirement Calculator'!K:K,MATCH('Lorri 401b'!N3154,'Retirement Calculator'!A:A,0),0),0)</f>
        <v>0</v>
      </c>
      <c r="K3154" s="455">
        <f t="shared" ca="1" si="143"/>
        <v>499783918.17576987</v>
      </c>
      <c r="L3154" s="455">
        <f t="shared" ca="1" si="144"/>
        <v>120447924280.36052</v>
      </c>
      <c r="M3154" s="471">
        <f t="shared" si="146"/>
        <v>0.05</v>
      </c>
      <c r="N3154" s="475">
        <f t="shared" si="147"/>
        <v>147041</v>
      </c>
    </row>
    <row r="3155" spans="7:14" ht="11.25" customHeight="1" x14ac:dyDescent="0.3">
      <c r="G3155" s="470"/>
      <c r="H3155" s="470">
        <v>3148</v>
      </c>
      <c r="I3155" s="455">
        <f t="shared" ca="1" si="145"/>
        <v>120447924280.36052</v>
      </c>
      <c r="J3155" s="455">
        <f t="array" ref="J3155">IFERROR(INDEX('Retirement Calculator'!K:K,MATCH('Lorri 401b'!N3155,'Retirement Calculator'!A:A,0),0),0)</f>
        <v>0</v>
      </c>
      <c r="K3155" s="455">
        <f t="shared" ca="1" si="143"/>
        <v>501866351.16816878</v>
      </c>
      <c r="L3155" s="455">
        <f t="shared" ca="1" si="144"/>
        <v>120949790631.52869</v>
      </c>
      <c r="M3155" s="471">
        <f t="shared" si="146"/>
        <v>0.05</v>
      </c>
      <c r="N3155" s="475">
        <f t="shared" si="147"/>
        <v>147072</v>
      </c>
    </row>
    <row r="3156" spans="7:14" ht="11.25" customHeight="1" x14ac:dyDescent="0.3">
      <c r="G3156" s="470"/>
      <c r="H3156" s="470">
        <v>3149</v>
      </c>
      <c r="I3156" s="455">
        <f t="shared" ca="1" si="145"/>
        <v>120949790631.52869</v>
      </c>
      <c r="J3156" s="455">
        <f t="array" ref="J3156">IFERROR(INDEX('Retirement Calculator'!K:K,MATCH('Lorri 401b'!N3156,'Retirement Calculator'!A:A,0),0),0)</f>
        <v>0</v>
      </c>
      <c r="K3156" s="455">
        <f t="shared" ca="1" si="143"/>
        <v>503957460.96470279</v>
      </c>
      <c r="L3156" s="455">
        <f t="shared" ca="1" si="144"/>
        <v>121453748092.49339</v>
      </c>
      <c r="M3156" s="471">
        <f t="shared" si="146"/>
        <v>0.05</v>
      </c>
      <c r="N3156" s="475">
        <f t="shared" si="147"/>
        <v>147102</v>
      </c>
    </row>
    <row r="3157" spans="7:14" ht="11.25" customHeight="1" x14ac:dyDescent="0.3">
      <c r="G3157" s="470"/>
      <c r="H3157" s="470">
        <v>3150</v>
      </c>
      <c r="I3157" s="455">
        <f t="shared" ca="1" si="145"/>
        <v>121453748092.49339</v>
      </c>
      <c r="J3157" s="455">
        <f t="array" ref="J3157">IFERROR(INDEX('Retirement Calculator'!K:K,MATCH('Lorri 401b'!N3157,'Retirement Calculator'!A:A,0),0),0)</f>
        <v>0</v>
      </c>
      <c r="K3157" s="455">
        <f t="shared" ca="1" si="143"/>
        <v>506057283.7187224</v>
      </c>
      <c r="L3157" s="455">
        <f t="shared" ca="1" si="144"/>
        <v>121959805376.21211</v>
      </c>
      <c r="M3157" s="471">
        <f t="shared" si="146"/>
        <v>0.05</v>
      </c>
      <c r="N3157" s="475">
        <f t="shared" si="147"/>
        <v>147133</v>
      </c>
    </row>
    <row r="3158" spans="7:14" ht="11.25" customHeight="1" x14ac:dyDescent="0.3">
      <c r="G3158" s="470"/>
      <c r="H3158" s="470">
        <v>3151</v>
      </c>
      <c r="I3158" s="455">
        <f t="shared" ca="1" si="145"/>
        <v>121959805376.21211</v>
      </c>
      <c r="J3158" s="455">
        <f t="array" ref="J3158">IFERROR(INDEX('Retirement Calculator'!K:K,MATCH('Lorri 401b'!N3158,'Retirement Calculator'!A:A,0),0),0)</f>
        <v>0</v>
      </c>
      <c r="K3158" s="455">
        <f t="shared" ca="1" si="143"/>
        <v>508165855.73421711</v>
      </c>
      <c r="L3158" s="455">
        <f t="shared" ca="1" si="144"/>
        <v>122467971231.94633</v>
      </c>
      <c r="M3158" s="471">
        <f t="shared" si="146"/>
        <v>0.05</v>
      </c>
      <c r="N3158" s="475">
        <f t="shared" si="147"/>
        <v>147163</v>
      </c>
    </row>
    <row r="3159" spans="7:14" ht="11.25" customHeight="1" x14ac:dyDescent="0.3">
      <c r="G3159" s="470"/>
      <c r="H3159" s="470">
        <v>3152</v>
      </c>
      <c r="I3159" s="455">
        <f t="shared" ca="1" si="145"/>
        <v>122467971231.94633</v>
      </c>
      <c r="J3159" s="455">
        <f t="array" ref="J3159">IFERROR(INDEX('Retirement Calculator'!K:K,MATCH('Lorri 401b'!N3159,'Retirement Calculator'!A:A,0),0),0)</f>
        <v>0</v>
      </c>
      <c r="K3159" s="455">
        <f t="shared" ca="1" si="143"/>
        <v>510283213.46644306</v>
      </c>
      <c r="L3159" s="455">
        <f t="shared" ca="1" si="144"/>
        <v>122978254445.41278</v>
      </c>
      <c r="M3159" s="471">
        <f t="shared" si="146"/>
        <v>0.05</v>
      </c>
      <c r="N3159" s="475">
        <f t="shared" si="147"/>
        <v>147194</v>
      </c>
    </row>
    <row r="3160" spans="7:14" ht="11.25" customHeight="1" x14ac:dyDescent="0.3">
      <c r="G3160" s="470"/>
      <c r="H3160" s="470">
        <v>3153</v>
      </c>
      <c r="I3160" s="455">
        <f t="shared" ca="1" si="145"/>
        <v>122978254445.41278</v>
      </c>
      <c r="J3160" s="455">
        <f t="array" ref="J3160">IFERROR(INDEX('Retirement Calculator'!K:K,MATCH('Lorri 401b'!N3160,'Retirement Calculator'!A:A,0),0),0)</f>
        <v>0</v>
      </c>
      <c r="K3160" s="455">
        <f t="shared" ca="1" si="143"/>
        <v>512409393.52255327</v>
      </c>
      <c r="L3160" s="455">
        <f t="shared" ca="1" si="144"/>
        <v>123490663838.93533</v>
      </c>
      <c r="M3160" s="471">
        <f t="shared" si="146"/>
        <v>0.05</v>
      </c>
      <c r="N3160" s="475">
        <f t="shared" si="147"/>
        <v>147225</v>
      </c>
    </row>
    <row r="3161" spans="7:14" ht="11.25" customHeight="1" x14ac:dyDescent="0.3">
      <c r="G3161" s="470"/>
      <c r="H3161" s="470">
        <v>3154</v>
      </c>
      <c r="I3161" s="455">
        <f t="shared" ca="1" si="145"/>
        <v>123490663838.93533</v>
      </c>
      <c r="J3161" s="455">
        <f t="array" ref="J3161">IFERROR(INDEX('Retirement Calculator'!K:K,MATCH('Lorri 401b'!N3161,'Retirement Calculator'!A:A,0),0),0)</f>
        <v>0</v>
      </c>
      <c r="K3161" s="455">
        <f t="shared" ca="1" si="143"/>
        <v>514544432.66223049</v>
      </c>
      <c r="L3161" s="455">
        <f t="shared" ca="1" si="144"/>
        <v>124005208271.59756</v>
      </c>
      <c r="M3161" s="471">
        <f t="shared" si="146"/>
        <v>0.05</v>
      </c>
      <c r="N3161" s="475">
        <f t="shared" si="147"/>
        <v>147253</v>
      </c>
    </row>
    <row r="3162" spans="7:14" ht="11.25" customHeight="1" x14ac:dyDescent="0.3">
      <c r="G3162" s="470"/>
      <c r="H3162" s="470">
        <v>3155</v>
      </c>
      <c r="I3162" s="455">
        <f t="shared" ca="1" si="145"/>
        <v>124005208271.59756</v>
      </c>
      <c r="J3162" s="455">
        <f t="array" ref="J3162">IFERROR(INDEX('Retirement Calculator'!K:K,MATCH('Lorri 401b'!N3162,'Retirement Calculator'!A:A,0),0),0)</f>
        <v>0</v>
      </c>
      <c r="K3162" s="455">
        <f t="shared" ca="1" si="143"/>
        <v>516688367.79832315</v>
      </c>
      <c r="L3162" s="455">
        <f t="shared" ca="1" si="144"/>
        <v>124521896639.39589</v>
      </c>
      <c r="M3162" s="471">
        <f t="shared" si="146"/>
        <v>0.05</v>
      </c>
      <c r="N3162" s="475">
        <f t="shared" si="147"/>
        <v>147284</v>
      </c>
    </row>
    <row r="3163" spans="7:14" ht="11.25" customHeight="1" x14ac:dyDescent="0.3">
      <c r="G3163" s="470"/>
      <c r="H3163" s="470">
        <v>3156</v>
      </c>
      <c r="I3163" s="455">
        <f t="shared" ca="1" si="145"/>
        <v>124521896639.39589</v>
      </c>
      <c r="J3163" s="455">
        <f t="array" ref="J3163">IFERROR(INDEX('Retirement Calculator'!K:K,MATCH('Lorri 401b'!N3163,'Retirement Calculator'!A:A,0),0),0)</f>
        <v>0</v>
      </c>
      <c r="K3163" s="455">
        <f t="shared" ca="1" si="143"/>
        <v>518841235.99748278</v>
      </c>
      <c r="L3163" s="455">
        <f t="shared" ca="1" si="144"/>
        <v>125040737875.39337</v>
      </c>
      <c r="M3163" s="471">
        <f t="shared" si="146"/>
        <v>0.05</v>
      </c>
      <c r="N3163" s="475">
        <f t="shared" si="147"/>
        <v>147314</v>
      </c>
    </row>
    <row r="3164" spans="7:14" ht="11.25" customHeight="1" x14ac:dyDescent="0.3">
      <c r="G3164" s="470"/>
      <c r="H3164" s="470">
        <v>3157</v>
      </c>
      <c r="I3164" s="455">
        <f t="shared" ca="1" si="145"/>
        <v>125040737875.39337</v>
      </c>
      <c r="J3164" s="455">
        <f t="array" ref="J3164">IFERROR(INDEX('Retirement Calculator'!K:K,MATCH('Lorri 401b'!N3164,'Retirement Calculator'!A:A,0),0),0)</f>
        <v>0</v>
      </c>
      <c r="K3164" s="455">
        <f t="shared" ca="1" si="143"/>
        <v>521003074.4808057</v>
      </c>
      <c r="L3164" s="455">
        <f t="shared" ca="1" si="144"/>
        <v>125561740949.87418</v>
      </c>
      <c r="M3164" s="471">
        <f t="shared" si="146"/>
        <v>0.05</v>
      </c>
      <c r="N3164" s="475">
        <f t="shared" si="147"/>
        <v>147345</v>
      </c>
    </row>
    <row r="3165" spans="7:14" ht="11.25" customHeight="1" x14ac:dyDescent="0.3">
      <c r="G3165" s="470"/>
      <c r="H3165" s="470">
        <v>3158</v>
      </c>
      <c r="I3165" s="455">
        <f t="shared" ca="1" si="145"/>
        <v>125561740949.87418</v>
      </c>
      <c r="J3165" s="455">
        <f t="array" ref="J3165">IFERROR(INDEX('Retirement Calculator'!K:K,MATCH('Lorri 401b'!N3165,'Retirement Calculator'!A:A,0),0),0)</f>
        <v>0</v>
      </c>
      <c r="K3165" s="455">
        <f t="shared" ca="1" si="143"/>
        <v>523173920.62447566</v>
      </c>
      <c r="L3165" s="455">
        <f t="shared" ca="1" si="144"/>
        <v>126084914870.49866</v>
      </c>
      <c r="M3165" s="471">
        <f t="shared" si="146"/>
        <v>0.05</v>
      </c>
      <c r="N3165" s="475">
        <f t="shared" si="147"/>
        <v>147375</v>
      </c>
    </row>
    <row r="3166" spans="7:14" ht="11.25" customHeight="1" x14ac:dyDescent="0.3">
      <c r="G3166" s="470"/>
      <c r="H3166" s="470">
        <v>3159</v>
      </c>
      <c r="I3166" s="455">
        <f t="shared" ca="1" si="145"/>
        <v>126084914870.49866</v>
      </c>
      <c r="J3166" s="455">
        <f t="array" ref="J3166">IFERROR(INDEX('Retirement Calculator'!K:K,MATCH('Lorri 401b'!N3166,'Retirement Calculator'!A:A,0),0),0)</f>
        <v>0</v>
      </c>
      <c r="K3166" s="455">
        <f t="shared" ca="1" si="143"/>
        <v>525353811.96041107</v>
      </c>
      <c r="L3166" s="455">
        <f t="shared" ca="1" si="144"/>
        <v>126610268682.45908</v>
      </c>
      <c r="M3166" s="471">
        <f t="shared" si="146"/>
        <v>0.05</v>
      </c>
      <c r="N3166" s="475">
        <f t="shared" si="147"/>
        <v>147406</v>
      </c>
    </row>
    <row r="3167" spans="7:14" ht="11.25" customHeight="1" x14ac:dyDescent="0.3">
      <c r="G3167" s="470"/>
      <c r="H3167" s="470">
        <v>3160</v>
      </c>
      <c r="I3167" s="455">
        <f t="shared" ca="1" si="145"/>
        <v>126610268682.45908</v>
      </c>
      <c r="J3167" s="455">
        <f t="array" ref="J3167">IFERROR(INDEX('Retirement Calculator'!K:K,MATCH('Lorri 401b'!N3167,'Retirement Calculator'!A:A,0),0),0)</f>
        <v>0</v>
      </c>
      <c r="K3167" s="455">
        <f t="shared" ca="1" si="143"/>
        <v>527542786.17691272</v>
      </c>
      <c r="L3167" s="455">
        <f t="shared" ca="1" si="144"/>
        <v>127137811468.63599</v>
      </c>
      <c r="M3167" s="471">
        <f t="shared" si="146"/>
        <v>0.05</v>
      </c>
      <c r="N3167" s="475">
        <f t="shared" si="147"/>
        <v>147437</v>
      </c>
    </row>
    <row r="3168" spans="7:14" ht="11.25" customHeight="1" x14ac:dyDescent="0.3">
      <c r="G3168" s="470"/>
      <c r="H3168" s="470">
        <v>3161</v>
      </c>
      <c r="I3168" s="455">
        <f t="shared" ca="1" si="145"/>
        <v>127137811468.63599</v>
      </c>
      <c r="J3168" s="455">
        <f t="array" ref="J3168">IFERROR(INDEX('Retirement Calculator'!K:K,MATCH('Lorri 401b'!N3168,'Retirement Calculator'!A:A,0),0),0)</f>
        <v>0</v>
      </c>
      <c r="K3168" s="455">
        <f t="shared" ca="1" si="143"/>
        <v>529740881.11931658</v>
      </c>
      <c r="L3168" s="455">
        <f t="shared" ca="1" si="144"/>
        <v>127667552349.75531</v>
      </c>
      <c r="M3168" s="471">
        <f t="shared" si="146"/>
        <v>0.05</v>
      </c>
      <c r="N3168" s="475">
        <f t="shared" si="147"/>
        <v>147467</v>
      </c>
    </row>
    <row r="3169" spans="7:14" ht="11.25" customHeight="1" x14ac:dyDescent="0.3">
      <c r="G3169" s="470"/>
      <c r="H3169" s="470">
        <v>3162</v>
      </c>
      <c r="I3169" s="455">
        <f t="shared" ca="1" si="145"/>
        <v>127667552349.75531</v>
      </c>
      <c r="J3169" s="455">
        <f t="array" ref="J3169">IFERROR(INDEX('Retirement Calculator'!K:K,MATCH('Lorri 401b'!N3169,'Retirement Calculator'!A:A,0),0),0)</f>
        <v>0</v>
      </c>
      <c r="K3169" s="455">
        <f t="shared" ca="1" si="143"/>
        <v>531948134.79064709</v>
      </c>
      <c r="L3169" s="455">
        <f t="shared" ca="1" si="144"/>
        <v>128199500484.54596</v>
      </c>
      <c r="M3169" s="471">
        <f t="shared" si="146"/>
        <v>0.05</v>
      </c>
      <c r="N3169" s="475">
        <f t="shared" si="147"/>
        <v>147498</v>
      </c>
    </row>
    <row r="3170" spans="7:14" ht="11.25" customHeight="1" x14ac:dyDescent="0.3">
      <c r="G3170" s="470"/>
      <c r="H3170" s="470">
        <v>3163</v>
      </c>
      <c r="I3170" s="455">
        <f t="shared" ca="1" si="145"/>
        <v>128199500484.54596</v>
      </c>
      <c r="J3170" s="455">
        <f t="array" ref="J3170">IFERROR(INDEX('Retirement Calculator'!K:K,MATCH('Lorri 401b'!N3170,'Retirement Calculator'!A:A,0),0),0)</f>
        <v>0</v>
      </c>
      <c r="K3170" s="455">
        <f t="shared" ca="1" si="143"/>
        <v>534164585.35227489</v>
      </c>
      <c r="L3170" s="455">
        <f t="shared" ca="1" si="144"/>
        <v>128733665069.89824</v>
      </c>
      <c r="M3170" s="471">
        <f t="shared" si="146"/>
        <v>0.05</v>
      </c>
      <c r="N3170" s="475">
        <f t="shared" si="147"/>
        <v>147528</v>
      </c>
    </row>
    <row r="3171" spans="7:14" ht="11.25" customHeight="1" x14ac:dyDescent="0.3">
      <c r="G3171" s="470"/>
      <c r="H3171" s="470">
        <v>3164</v>
      </c>
      <c r="I3171" s="455">
        <f t="shared" ca="1" si="145"/>
        <v>128733665069.89824</v>
      </c>
      <c r="J3171" s="455">
        <f t="array" ref="J3171">IFERROR(INDEX('Retirement Calculator'!K:K,MATCH('Lorri 401b'!N3171,'Retirement Calculator'!A:A,0),0),0)</f>
        <v>0</v>
      </c>
      <c r="K3171" s="455">
        <f t="shared" ca="1" si="143"/>
        <v>536390271.12457591</v>
      </c>
      <c r="L3171" s="455">
        <f t="shared" ca="1" si="144"/>
        <v>129270055341.02281</v>
      </c>
      <c r="M3171" s="471">
        <f t="shared" si="146"/>
        <v>0.05</v>
      </c>
      <c r="N3171" s="475">
        <f t="shared" si="147"/>
        <v>147559</v>
      </c>
    </row>
    <row r="3172" spans="7:14" ht="11.25" customHeight="1" x14ac:dyDescent="0.3">
      <c r="G3172" s="470"/>
      <c r="H3172" s="470">
        <v>3165</v>
      </c>
      <c r="I3172" s="455">
        <f t="shared" ca="1" si="145"/>
        <v>129270055341.02281</v>
      </c>
      <c r="J3172" s="455">
        <f t="array" ref="J3172">IFERROR(INDEX('Retirement Calculator'!K:K,MATCH('Lorri 401b'!N3172,'Retirement Calculator'!A:A,0),0),0)</f>
        <v>0</v>
      </c>
      <c r="K3172" s="455">
        <f t="shared" ca="1" si="143"/>
        <v>538625230.58759499</v>
      </c>
      <c r="L3172" s="455">
        <f t="shared" ca="1" si="144"/>
        <v>129808680571.61041</v>
      </c>
      <c r="M3172" s="471">
        <f t="shared" si="146"/>
        <v>0.05</v>
      </c>
      <c r="N3172" s="475">
        <f t="shared" si="147"/>
        <v>147590</v>
      </c>
    </row>
    <row r="3173" spans="7:14" ht="11.25" customHeight="1" x14ac:dyDescent="0.3">
      <c r="G3173" s="470"/>
      <c r="H3173" s="470">
        <v>3166</v>
      </c>
      <c r="I3173" s="455">
        <f t="shared" ca="1" si="145"/>
        <v>129808680571.61041</v>
      </c>
      <c r="J3173" s="455">
        <f t="array" ref="J3173">IFERROR(INDEX('Retirement Calculator'!K:K,MATCH('Lorri 401b'!N3173,'Retirement Calculator'!A:A,0),0),0)</f>
        <v>0</v>
      </c>
      <c r="K3173" s="455">
        <f t="shared" ca="1" si="143"/>
        <v>540869502.38171005</v>
      </c>
      <c r="L3173" s="455">
        <f t="shared" ca="1" si="144"/>
        <v>130349550073.99213</v>
      </c>
      <c r="M3173" s="471">
        <f t="shared" si="146"/>
        <v>0.05</v>
      </c>
      <c r="N3173" s="475">
        <f t="shared" si="147"/>
        <v>147619</v>
      </c>
    </row>
    <row r="3174" spans="7:14" ht="11.25" customHeight="1" x14ac:dyDescent="0.3">
      <c r="G3174" s="470"/>
      <c r="H3174" s="470">
        <v>3167</v>
      </c>
      <c r="I3174" s="455">
        <f t="shared" ca="1" si="145"/>
        <v>130349550073.99213</v>
      </c>
      <c r="J3174" s="455">
        <f t="array" ref="J3174">IFERROR(INDEX('Retirement Calculator'!K:K,MATCH('Lorri 401b'!N3174,'Retirement Calculator'!A:A,0),0),0)</f>
        <v>0</v>
      </c>
      <c r="K3174" s="455">
        <f t="shared" ca="1" si="143"/>
        <v>543123125.3083005</v>
      </c>
      <c r="L3174" s="455">
        <f t="shared" ca="1" si="144"/>
        <v>130892673199.30043</v>
      </c>
      <c r="M3174" s="471">
        <f t="shared" si="146"/>
        <v>0.05</v>
      </c>
      <c r="N3174" s="475">
        <f t="shared" si="147"/>
        <v>147650</v>
      </c>
    </row>
    <row r="3175" spans="7:14" ht="11.25" customHeight="1" x14ac:dyDescent="0.3">
      <c r="G3175" s="470"/>
      <c r="H3175" s="470">
        <v>3168</v>
      </c>
      <c r="I3175" s="455">
        <f t="shared" ca="1" si="145"/>
        <v>130892673199.30043</v>
      </c>
      <c r="J3175" s="455">
        <f t="array" ref="J3175">IFERROR(INDEX('Retirement Calculator'!K:K,MATCH('Lorri 401b'!N3175,'Retirement Calculator'!A:A,0),0),0)</f>
        <v>0</v>
      </c>
      <c r="K3175" s="455">
        <f t="shared" ca="1" si="143"/>
        <v>545386138.33041847</v>
      </c>
      <c r="L3175" s="455">
        <f t="shared" ca="1" si="144"/>
        <v>131438059337.63084</v>
      </c>
      <c r="M3175" s="471">
        <f t="shared" si="146"/>
        <v>0.05</v>
      </c>
      <c r="N3175" s="475">
        <f t="shared" si="147"/>
        <v>147680</v>
      </c>
    </row>
    <row r="3176" spans="7:14" ht="11.25" customHeight="1" x14ac:dyDescent="0.3">
      <c r="G3176" s="470"/>
      <c r="H3176" s="470">
        <v>3169</v>
      </c>
      <c r="I3176" s="455">
        <f t="shared" ca="1" si="145"/>
        <v>131438059337.63084</v>
      </c>
      <c r="J3176" s="455">
        <f t="array" ref="J3176">IFERROR(INDEX('Retirement Calculator'!K:K,MATCH('Lorri 401b'!N3176,'Retirement Calculator'!A:A,0),0),0)</f>
        <v>0</v>
      </c>
      <c r="K3176" s="455">
        <f t="shared" ca="1" si="143"/>
        <v>547658580.57346189</v>
      </c>
      <c r="L3176" s="455">
        <f t="shared" ca="1" si="144"/>
        <v>131985717918.2043</v>
      </c>
      <c r="M3176" s="471">
        <f t="shared" si="146"/>
        <v>0.05</v>
      </c>
      <c r="N3176" s="475">
        <f t="shared" si="147"/>
        <v>147711</v>
      </c>
    </row>
    <row r="3177" spans="7:14" ht="11.25" customHeight="1" x14ac:dyDescent="0.3">
      <c r="G3177" s="470"/>
      <c r="H3177" s="470">
        <v>3170</v>
      </c>
      <c r="I3177" s="455">
        <f t="shared" ca="1" si="145"/>
        <v>131985717918.2043</v>
      </c>
      <c r="J3177" s="455">
        <f t="array" ref="J3177">IFERROR(INDEX('Retirement Calculator'!K:K,MATCH('Lorri 401b'!N3177,'Retirement Calculator'!A:A,0),0),0)</f>
        <v>0</v>
      </c>
      <c r="K3177" s="455">
        <f t="shared" ca="1" si="143"/>
        <v>549940491.3258512</v>
      </c>
      <c r="L3177" s="455">
        <f t="shared" ca="1" si="144"/>
        <v>132535658409.53015</v>
      </c>
      <c r="M3177" s="471">
        <f t="shared" si="146"/>
        <v>0.05</v>
      </c>
      <c r="N3177" s="475">
        <f t="shared" si="147"/>
        <v>147741</v>
      </c>
    </row>
    <row r="3178" spans="7:14" ht="11.25" customHeight="1" x14ac:dyDescent="0.3">
      <c r="G3178" s="470"/>
      <c r="H3178" s="470">
        <v>3171</v>
      </c>
      <c r="I3178" s="455">
        <f t="shared" ca="1" si="145"/>
        <v>132535658409.53015</v>
      </c>
      <c r="J3178" s="455">
        <f t="array" ref="J3178">IFERROR(INDEX('Retirement Calculator'!K:K,MATCH('Lorri 401b'!N3178,'Retirement Calculator'!A:A,0),0),0)</f>
        <v>0</v>
      </c>
      <c r="K3178" s="455">
        <f t="shared" ca="1" si="143"/>
        <v>552231910.03970897</v>
      </c>
      <c r="L3178" s="455">
        <f t="shared" ca="1" si="144"/>
        <v>133087890319.56985</v>
      </c>
      <c r="M3178" s="471">
        <f t="shared" si="146"/>
        <v>0.05</v>
      </c>
      <c r="N3178" s="475">
        <f t="shared" si="147"/>
        <v>147772</v>
      </c>
    </row>
    <row r="3179" spans="7:14" ht="11.25" customHeight="1" x14ac:dyDescent="0.3">
      <c r="G3179" s="470"/>
      <c r="H3179" s="470">
        <v>3172</v>
      </c>
      <c r="I3179" s="455">
        <f t="shared" ca="1" si="145"/>
        <v>133087890319.56985</v>
      </c>
      <c r="J3179" s="455">
        <f t="array" ref="J3179">IFERROR(INDEX('Retirement Calculator'!K:K,MATCH('Lorri 401b'!N3179,'Retirement Calculator'!A:A,0),0),0)</f>
        <v>0</v>
      </c>
      <c r="K3179" s="455">
        <f t="shared" ca="1" si="143"/>
        <v>554532876.33154106</v>
      </c>
      <c r="L3179" s="455">
        <f t="shared" ca="1" si="144"/>
        <v>133642423195.9014</v>
      </c>
      <c r="M3179" s="471">
        <f t="shared" si="146"/>
        <v>0.05</v>
      </c>
      <c r="N3179" s="475">
        <f t="shared" si="147"/>
        <v>147803</v>
      </c>
    </row>
    <row r="3180" spans="7:14" ht="11.25" customHeight="1" x14ac:dyDescent="0.3">
      <c r="G3180" s="470"/>
      <c r="H3180" s="470">
        <v>3173</v>
      </c>
      <c r="I3180" s="455">
        <f t="shared" ca="1" si="145"/>
        <v>133642423195.9014</v>
      </c>
      <c r="J3180" s="455">
        <f t="array" ref="J3180">IFERROR(INDEX('Retirement Calculator'!K:K,MATCH('Lorri 401b'!N3180,'Retirement Calculator'!A:A,0),0),0)</f>
        <v>0</v>
      </c>
      <c r="K3180" s="455">
        <f t="shared" ca="1" si="143"/>
        <v>556843429.98292243</v>
      </c>
      <c r="L3180" s="455">
        <f t="shared" ca="1" si="144"/>
        <v>134199266625.88432</v>
      </c>
      <c r="M3180" s="471">
        <f t="shared" si="146"/>
        <v>0.05</v>
      </c>
      <c r="N3180" s="475">
        <f t="shared" si="147"/>
        <v>147833</v>
      </c>
    </row>
    <row r="3181" spans="7:14" ht="11.25" customHeight="1" x14ac:dyDescent="0.3">
      <c r="G3181" s="470"/>
      <c r="H3181" s="470">
        <v>3174</v>
      </c>
      <c r="I3181" s="455">
        <f t="shared" ca="1" si="145"/>
        <v>134199266625.88432</v>
      </c>
      <c r="J3181" s="455">
        <f t="array" ref="J3181">IFERROR(INDEX('Retirement Calculator'!K:K,MATCH('Lorri 401b'!N3181,'Retirement Calculator'!A:A,0),0),0)</f>
        <v>0</v>
      </c>
      <c r="K3181" s="455">
        <f t="shared" ca="1" si="143"/>
        <v>559163610.94118476</v>
      </c>
      <c r="L3181" s="455">
        <f t="shared" ca="1" si="144"/>
        <v>134758430236.8255</v>
      </c>
      <c r="M3181" s="471">
        <f t="shared" si="146"/>
        <v>0.05</v>
      </c>
      <c r="N3181" s="475">
        <f t="shared" si="147"/>
        <v>147864</v>
      </c>
    </row>
    <row r="3182" spans="7:14" ht="11.25" customHeight="1" x14ac:dyDescent="0.3">
      <c r="G3182" s="470"/>
      <c r="H3182" s="470">
        <v>3175</v>
      </c>
      <c r="I3182" s="455">
        <f t="shared" ca="1" si="145"/>
        <v>134758430236.8255</v>
      </c>
      <c r="J3182" s="455">
        <f t="array" ref="J3182">IFERROR(INDEX('Retirement Calculator'!K:K,MATCH('Lorri 401b'!N3182,'Retirement Calculator'!A:A,0),0),0)</f>
        <v>0</v>
      </c>
      <c r="K3182" s="455">
        <f t="shared" ca="1" si="143"/>
        <v>561493459.32010627</v>
      </c>
      <c r="L3182" s="455">
        <f t="shared" ca="1" si="144"/>
        <v>135319923696.1456</v>
      </c>
      <c r="M3182" s="471">
        <f t="shared" si="146"/>
        <v>0.05</v>
      </c>
      <c r="N3182" s="475">
        <f t="shared" si="147"/>
        <v>147894</v>
      </c>
    </row>
    <row r="3183" spans="7:14" ht="11.25" customHeight="1" x14ac:dyDescent="0.3">
      <c r="G3183" s="470"/>
      <c r="H3183" s="470">
        <v>3176</v>
      </c>
      <c r="I3183" s="455">
        <f t="shared" ca="1" si="145"/>
        <v>135319923696.1456</v>
      </c>
      <c r="J3183" s="455">
        <f t="array" ref="J3183">IFERROR(INDEX('Retirement Calculator'!K:K,MATCH('Lorri 401b'!N3183,'Retirement Calculator'!A:A,0),0),0)</f>
        <v>0</v>
      </c>
      <c r="K3183" s="455">
        <f t="shared" ca="1" si="143"/>
        <v>563833015.40060663</v>
      </c>
      <c r="L3183" s="455">
        <f t="shared" ca="1" si="144"/>
        <v>135883756711.5462</v>
      </c>
      <c r="M3183" s="471">
        <f t="shared" si="146"/>
        <v>0.05</v>
      </c>
      <c r="N3183" s="475">
        <f t="shared" si="147"/>
        <v>147925</v>
      </c>
    </row>
    <row r="3184" spans="7:14" ht="11.25" customHeight="1" x14ac:dyDescent="0.3">
      <c r="G3184" s="470"/>
      <c r="H3184" s="470">
        <v>3177</v>
      </c>
      <c r="I3184" s="455">
        <f t="shared" ca="1" si="145"/>
        <v>135883756711.5462</v>
      </c>
      <c r="J3184" s="455">
        <f t="array" ref="J3184">IFERROR(INDEX('Retirement Calculator'!K:K,MATCH('Lorri 401b'!N3184,'Retirement Calculator'!A:A,0),0),0)</f>
        <v>0</v>
      </c>
      <c r="K3184" s="455">
        <f t="shared" ca="1" si="143"/>
        <v>566182319.63144255</v>
      </c>
      <c r="L3184" s="455">
        <f t="shared" ca="1" si="144"/>
        <v>136449939031.17764</v>
      </c>
      <c r="M3184" s="471">
        <f t="shared" si="146"/>
        <v>0.05</v>
      </c>
      <c r="N3184" s="475">
        <f t="shared" si="147"/>
        <v>147956</v>
      </c>
    </row>
    <row r="3185" spans="7:14" ht="11.25" customHeight="1" x14ac:dyDescent="0.3">
      <c r="G3185" s="470"/>
      <c r="H3185" s="470">
        <v>3178</v>
      </c>
      <c r="I3185" s="455">
        <f t="shared" ca="1" si="145"/>
        <v>136449939031.17764</v>
      </c>
      <c r="J3185" s="455">
        <f t="array" ref="J3185">IFERROR(INDEX('Retirement Calculator'!K:K,MATCH('Lorri 401b'!N3185,'Retirement Calculator'!A:A,0),0),0)</f>
        <v>0</v>
      </c>
      <c r="K3185" s="455">
        <f t="shared" ca="1" si="143"/>
        <v>568541412.62990689</v>
      </c>
      <c r="L3185" s="455">
        <f t="shared" ca="1" si="144"/>
        <v>137018480443.80756</v>
      </c>
      <c r="M3185" s="471">
        <f t="shared" si="146"/>
        <v>0.05</v>
      </c>
      <c r="N3185" s="475">
        <f t="shared" si="147"/>
        <v>147984</v>
      </c>
    </row>
    <row r="3186" spans="7:14" ht="11.25" customHeight="1" x14ac:dyDescent="0.3">
      <c r="G3186" s="470"/>
      <c r="H3186" s="470">
        <v>3179</v>
      </c>
      <c r="I3186" s="455">
        <f t="shared" ca="1" si="145"/>
        <v>137018480443.80756</v>
      </c>
      <c r="J3186" s="455">
        <f t="array" ref="J3186">IFERROR(INDEX('Retirement Calculator'!K:K,MATCH('Lorri 401b'!N3186,'Retirement Calculator'!A:A,0),0),0)</f>
        <v>0</v>
      </c>
      <c r="K3186" s="455">
        <f t="shared" ca="1" si="143"/>
        <v>570910335.18253148</v>
      </c>
      <c r="L3186" s="455">
        <f t="shared" ca="1" si="144"/>
        <v>137589390778.99008</v>
      </c>
      <c r="M3186" s="471">
        <f t="shared" si="146"/>
        <v>0.05</v>
      </c>
      <c r="N3186" s="475">
        <f t="shared" si="147"/>
        <v>148015</v>
      </c>
    </row>
    <row r="3187" spans="7:14" ht="11.25" customHeight="1" x14ac:dyDescent="0.3">
      <c r="G3187" s="470"/>
      <c r="H3187" s="470">
        <v>3180</v>
      </c>
      <c r="I3187" s="455">
        <f t="shared" ca="1" si="145"/>
        <v>137589390778.99008</v>
      </c>
      <c r="J3187" s="455">
        <f t="array" ref="J3187">IFERROR(INDEX('Retirement Calculator'!K:K,MATCH('Lorri 401b'!N3187,'Retirement Calculator'!A:A,0),0),0)</f>
        <v>0</v>
      </c>
      <c r="K3187" s="455">
        <f t="shared" ca="1" si="143"/>
        <v>573289128.24579203</v>
      </c>
      <c r="L3187" s="455">
        <f t="shared" ca="1" si="144"/>
        <v>138162679907.23587</v>
      </c>
      <c r="M3187" s="471">
        <f t="shared" si="146"/>
        <v>0.05</v>
      </c>
      <c r="N3187" s="475">
        <f t="shared" si="147"/>
        <v>148045</v>
      </c>
    </row>
    <row r="3188" spans="7:14" ht="11.25" customHeight="1" x14ac:dyDescent="0.3">
      <c r="G3188" s="470"/>
      <c r="H3188" s="470">
        <v>3181</v>
      </c>
      <c r="I3188" s="455">
        <f t="shared" ca="1" si="145"/>
        <v>138162679907.23587</v>
      </c>
      <c r="J3188" s="455">
        <f t="array" ref="J3188">IFERROR(INDEX('Retirement Calculator'!K:K,MATCH('Lorri 401b'!N3188,'Retirement Calculator'!A:A,0),0),0)</f>
        <v>0</v>
      </c>
      <c r="K3188" s="455">
        <f t="shared" ca="1" si="143"/>
        <v>575677832.94681609</v>
      </c>
      <c r="L3188" s="455">
        <f t="shared" ca="1" si="144"/>
        <v>138738357740.18268</v>
      </c>
      <c r="M3188" s="471">
        <f t="shared" si="146"/>
        <v>0.05</v>
      </c>
      <c r="N3188" s="475">
        <f t="shared" si="147"/>
        <v>148076</v>
      </c>
    </row>
    <row r="3189" spans="7:14" ht="11.25" customHeight="1" x14ac:dyDescent="0.3">
      <c r="G3189" s="470"/>
      <c r="H3189" s="470">
        <v>3182</v>
      </c>
      <c r="I3189" s="455">
        <f t="shared" ca="1" si="145"/>
        <v>138738357740.18268</v>
      </c>
      <c r="J3189" s="455">
        <f t="array" ref="J3189">IFERROR(INDEX('Retirement Calculator'!K:K,MATCH('Lorri 401b'!N3189,'Retirement Calculator'!A:A,0),0),0)</f>
        <v>0</v>
      </c>
      <c r="K3189" s="455">
        <f t="shared" ca="1" si="143"/>
        <v>578076490.58409452</v>
      </c>
      <c r="L3189" s="455">
        <f t="shared" ca="1" si="144"/>
        <v>139316434230.76678</v>
      </c>
      <c r="M3189" s="471">
        <f t="shared" si="146"/>
        <v>0.05</v>
      </c>
      <c r="N3189" s="475">
        <f t="shared" si="147"/>
        <v>148106</v>
      </c>
    </row>
    <row r="3190" spans="7:14" ht="11.25" customHeight="1" x14ac:dyDescent="0.3">
      <c r="G3190" s="470"/>
      <c r="H3190" s="470">
        <v>3183</v>
      </c>
      <c r="I3190" s="455">
        <f t="shared" ca="1" si="145"/>
        <v>139316434230.76678</v>
      </c>
      <c r="J3190" s="455">
        <f t="array" ref="J3190">IFERROR(INDEX('Retirement Calculator'!K:K,MATCH('Lorri 401b'!N3190,'Retirement Calculator'!A:A,0),0),0)</f>
        <v>0</v>
      </c>
      <c r="K3190" s="455">
        <f t="shared" ca="1" si="143"/>
        <v>580485142.62819493</v>
      </c>
      <c r="L3190" s="455">
        <f t="shared" ca="1" si="144"/>
        <v>139896919373.39499</v>
      </c>
      <c r="M3190" s="471">
        <f t="shared" si="146"/>
        <v>0.05</v>
      </c>
      <c r="N3190" s="475">
        <f t="shared" si="147"/>
        <v>148137</v>
      </c>
    </row>
    <row r="3191" spans="7:14" ht="11.25" customHeight="1" x14ac:dyDescent="0.3">
      <c r="G3191" s="470"/>
      <c r="H3191" s="470">
        <v>3184</v>
      </c>
      <c r="I3191" s="455">
        <f t="shared" ca="1" si="145"/>
        <v>139896919373.39499</v>
      </c>
      <c r="J3191" s="455">
        <f t="array" ref="J3191">IFERROR(INDEX('Retirement Calculator'!K:K,MATCH('Lorri 401b'!N3191,'Retirement Calculator'!A:A,0),0),0)</f>
        <v>0</v>
      </c>
      <c r="K3191" s="455">
        <f t="shared" ca="1" si="143"/>
        <v>582903830.7224791</v>
      </c>
      <c r="L3191" s="455">
        <f t="shared" ca="1" si="144"/>
        <v>140479823204.11746</v>
      </c>
      <c r="M3191" s="471">
        <f t="shared" si="146"/>
        <v>0.05</v>
      </c>
      <c r="N3191" s="475">
        <f t="shared" si="147"/>
        <v>148168</v>
      </c>
    </row>
    <row r="3192" spans="7:14" ht="11.25" customHeight="1" x14ac:dyDescent="0.3">
      <c r="G3192" s="470"/>
      <c r="H3192" s="470">
        <v>3185</v>
      </c>
      <c r="I3192" s="455">
        <f t="shared" ca="1" si="145"/>
        <v>140479823204.11746</v>
      </c>
      <c r="J3192" s="455">
        <f t="array" ref="J3192">IFERROR(INDEX('Retirement Calculator'!K:K,MATCH('Lorri 401b'!N3192,'Retirement Calculator'!A:A,0),0),0)</f>
        <v>0</v>
      </c>
      <c r="K3192" s="455">
        <f t="shared" ca="1" si="143"/>
        <v>585332596.68382275</v>
      </c>
      <c r="L3192" s="455">
        <f t="shared" ca="1" si="144"/>
        <v>141065155800.8013</v>
      </c>
      <c r="M3192" s="471">
        <f t="shared" si="146"/>
        <v>0.05</v>
      </c>
      <c r="N3192" s="475">
        <f t="shared" si="147"/>
        <v>148198</v>
      </c>
    </row>
    <row r="3193" spans="7:14" ht="11.25" customHeight="1" x14ac:dyDescent="0.3">
      <c r="G3193" s="470"/>
      <c r="H3193" s="470">
        <v>3186</v>
      </c>
      <c r="I3193" s="455">
        <f t="shared" ca="1" si="145"/>
        <v>141065155800.8013</v>
      </c>
      <c r="J3193" s="455">
        <f t="array" ref="J3193">IFERROR(INDEX('Retirement Calculator'!K:K,MATCH('Lorri 401b'!N3193,'Retirement Calculator'!A:A,0),0),0)</f>
        <v>0</v>
      </c>
      <c r="K3193" s="455">
        <f t="shared" ca="1" si="143"/>
        <v>587771482.50333869</v>
      </c>
      <c r="L3193" s="455">
        <f t="shared" ca="1" si="144"/>
        <v>141652927283.30463</v>
      </c>
      <c r="M3193" s="471">
        <f t="shared" si="146"/>
        <v>0.05</v>
      </c>
      <c r="N3193" s="475">
        <f t="shared" si="147"/>
        <v>148229</v>
      </c>
    </row>
    <row r="3194" spans="7:14" ht="11.25" customHeight="1" x14ac:dyDescent="0.3">
      <c r="G3194" s="470"/>
      <c r="H3194" s="470">
        <v>3187</v>
      </c>
      <c r="I3194" s="455">
        <f t="shared" ca="1" si="145"/>
        <v>141652927283.30463</v>
      </c>
      <c r="J3194" s="455">
        <f t="array" ref="J3194">IFERROR(INDEX('Retirement Calculator'!K:K,MATCH('Lorri 401b'!N3194,'Retirement Calculator'!A:A,0),0),0)</f>
        <v>0</v>
      </c>
      <c r="K3194" s="455">
        <f t="shared" ca="1" si="143"/>
        <v>590220530.34710264</v>
      </c>
      <c r="L3194" s="455">
        <f t="shared" ca="1" si="144"/>
        <v>142243147813.65173</v>
      </c>
      <c r="M3194" s="471">
        <f t="shared" si="146"/>
        <v>0.05</v>
      </c>
      <c r="N3194" s="475">
        <f t="shared" si="147"/>
        <v>148259</v>
      </c>
    </row>
    <row r="3195" spans="7:14" ht="11.25" customHeight="1" x14ac:dyDescent="0.3">
      <c r="G3195" s="470"/>
      <c r="H3195" s="470">
        <v>3188</v>
      </c>
      <c r="I3195" s="455">
        <f t="shared" ca="1" si="145"/>
        <v>142243147813.65173</v>
      </c>
      <c r="J3195" s="455">
        <f t="array" ref="J3195">IFERROR(INDEX('Retirement Calculator'!K:K,MATCH('Lorri 401b'!N3195,'Retirement Calculator'!A:A,0),0),0)</f>
        <v>0</v>
      </c>
      <c r="K3195" s="455">
        <f t="shared" ca="1" si="143"/>
        <v>592679782.55688226</v>
      </c>
      <c r="L3195" s="455">
        <f t="shared" ca="1" si="144"/>
        <v>142835827596.20862</v>
      </c>
      <c r="M3195" s="471">
        <f t="shared" si="146"/>
        <v>0.05</v>
      </c>
      <c r="N3195" s="475">
        <f t="shared" si="147"/>
        <v>148290</v>
      </c>
    </row>
    <row r="3196" spans="7:14" ht="11.25" customHeight="1" x14ac:dyDescent="0.3">
      <c r="G3196" s="470"/>
      <c r="H3196" s="470">
        <v>3189</v>
      </c>
      <c r="I3196" s="455">
        <f t="shared" ca="1" si="145"/>
        <v>142835827596.20862</v>
      </c>
      <c r="J3196" s="455">
        <f t="array" ref="J3196">IFERROR(INDEX('Retirement Calculator'!K:K,MATCH('Lorri 401b'!N3196,'Retirement Calculator'!A:A,0),0),0)</f>
        <v>0</v>
      </c>
      <c r="K3196" s="455">
        <f t="shared" ca="1" si="143"/>
        <v>595149281.65086925</v>
      </c>
      <c r="L3196" s="455">
        <f t="shared" ca="1" si="144"/>
        <v>143430976877.8595</v>
      </c>
      <c r="M3196" s="471">
        <f t="shared" si="146"/>
        <v>0.05</v>
      </c>
      <c r="N3196" s="475">
        <f t="shared" si="147"/>
        <v>148321</v>
      </c>
    </row>
    <row r="3197" spans="7:14" ht="11.25" customHeight="1" x14ac:dyDescent="0.3">
      <c r="G3197" s="470"/>
      <c r="H3197" s="470">
        <v>3190</v>
      </c>
      <c r="I3197" s="455">
        <f t="shared" ca="1" si="145"/>
        <v>143430976877.8595</v>
      </c>
      <c r="J3197" s="455">
        <f t="array" ref="J3197">IFERROR(INDEX('Retirement Calculator'!K:K,MATCH('Lorri 401b'!N3197,'Retirement Calculator'!A:A,0),0),0)</f>
        <v>0</v>
      </c>
      <c r="K3197" s="455">
        <f t="shared" ca="1" si="143"/>
        <v>597629070.32441461</v>
      </c>
      <c r="L3197" s="455">
        <f t="shared" ca="1" si="144"/>
        <v>144028605948.1839</v>
      </c>
      <c r="M3197" s="471">
        <f t="shared" si="146"/>
        <v>0.05</v>
      </c>
      <c r="N3197" s="475">
        <f t="shared" si="147"/>
        <v>148349</v>
      </c>
    </row>
    <row r="3198" spans="7:14" ht="11.25" customHeight="1" x14ac:dyDescent="0.3">
      <c r="G3198" s="470"/>
      <c r="H3198" s="470">
        <v>3191</v>
      </c>
      <c r="I3198" s="455">
        <f t="shared" ca="1" si="145"/>
        <v>144028605948.1839</v>
      </c>
      <c r="J3198" s="455">
        <f t="array" ref="J3198">IFERROR(INDEX('Retirement Calculator'!K:K,MATCH('Lorri 401b'!N3198,'Retirement Calculator'!A:A,0),0),0)</f>
        <v>0</v>
      </c>
      <c r="K3198" s="455">
        <f t="shared" ca="1" si="143"/>
        <v>600119191.45076621</v>
      </c>
      <c r="L3198" s="455">
        <f t="shared" ca="1" si="144"/>
        <v>144628725139.63467</v>
      </c>
      <c r="M3198" s="471">
        <f t="shared" si="146"/>
        <v>0.05</v>
      </c>
      <c r="N3198" s="475">
        <f t="shared" si="147"/>
        <v>148380</v>
      </c>
    </row>
    <row r="3199" spans="7:14" ht="11.25" customHeight="1" x14ac:dyDescent="0.3">
      <c r="G3199" s="470"/>
      <c r="H3199" s="470">
        <v>3192</v>
      </c>
      <c r="I3199" s="455">
        <f t="shared" ca="1" si="145"/>
        <v>144628725139.63467</v>
      </c>
      <c r="J3199" s="455">
        <f t="array" ref="J3199">IFERROR(INDEX('Retirement Calculator'!K:K,MATCH('Lorri 401b'!N3199,'Retirement Calculator'!A:A,0),0),0)</f>
        <v>0</v>
      </c>
      <c r="K3199" s="455">
        <f t="shared" ca="1" si="143"/>
        <v>602619688.08181119</v>
      </c>
      <c r="L3199" s="455">
        <f t="shared" ca="1" si="144"/>
        <v>145231344827.71649</v>
      </c>
      <c r="M3199" s="471">
        <f t="shared" si="146"/>
        <v>0.05</v>
      </c>
      <c r="N3199" s="475">
        <f t="shared" si="147"/>
        <v>148410</v>
      </c>
    </row>
    <row r="3200" spans="7:14" ht="11.25" customHeight="1" x14ac:dyDescent="0.3">
      <c r="G3200" s="470"/>
      <c r="H3200" s="470">
        <v>3193</v>
      </c>
      <c r="I3200" s="455">
        <f t="shared" ca="1" si="145"/>
        <v>145231344827.71649</v>
      </c>
      <c r="J3200" s="455">
        <f t="array" ref="J3200">IFERROR(INDEX('Retirement Calculator'!K:K,MATCH('Lorri 401b'!N3200,'Retirement Calculator'!A:A,0),0),0)</f>
        <v>0</v>
      </c>
      <c r="K3200" s="455">
        <f t="shared" ca="1" si="143"/>
        <v>605130603.44881868</v>
      </c>
      <c r="L3200" s="455">
        <f t="shared" ca="1" si="144"/>
        <v>145836475431.16531</v>
      </c>
      <c r="M3200" s="471">
        <f t="shared" si="146"/>
        <v>0.05</v>
      </c>
      <c r="N3200" s="475">
        <f t="shared" si="147"/>
        <v>148441</v>
      </c>
    </row>
    <row r="3201" spans="7:14" ht="11.25" customHeight="1" x14ac:dyDescent="0.3">
      <c r="G3201" s="470"/>
      <c r="H3201" s="470">
        <v>3194</v>
      </c>
      <c r="I3201" s="455">
        <f t="shared" ca="1" si="145"/>
        <v>145836475431.16531</v>
      </c>
      <c r="J3201" s="455">
        <f t="array" ref="J3201">IFERROR(INDEX('Retirement Calculator'!K:K,MATCH('Lorri 401b'!N3201,'Retirement Calculator'!A:A,0),0),0)</f>
        <v>0</v>
      </c>
      <c r="K3201" s="455">
        <f t="shared" ca="1" si="143"/>
        <v>607651980.96318877</v>
      </c>
      <c r="L3201" s="455">
        <f t="shared" ca="1" si="144"/>
        <v>146444127412.12851</v>
      </c>
      <c r="M3201" s="471">
        <f t="shared" si="146"/>
        <v>0.05</v>
      </c>
      <c r="N3201" s="475">
        <f t="shared" si="147"/>
        <v>148471</v>
      </c>
    </row>
    <row r="3202" spans="7:14" ht="11.25" customHeight="1" x14ac:dyDescent="0.3">
      <c r="G3202" s="470"/>
      <c r="H3202" s="470">
        <v>3195</v>
      </c>
      <c r="I3202" s="455">
        <f t="shared" ca="1" si="145"/>
        <v>146444127412.12851</v>
      </c>
      <c r="J3202" s="455">
        <f t="array" ref="J3202">IFERROR(INDEX('Retirement Calculator'!K:K,MATCH('Lorri 401b'!N3202,'Retirement Calculator'!A:A,0),0),0)</f>
        <v>0</v>
      </c>
      <c r="K3202" s="455">
        <f t="shared" ca="1" si="143"/>
        <v>610183864.21720207</v>
      </c>
      <c r="L3202" s="455">
        <f t="shared" ca="1" si="144"/>
        <v>147054311276.3457</v>
      </c>
      <c r="M3202" s="471">
        <f t="shared" si="146"/>
        <v>0.05</v>
      </c>
      <c r="N3202" s="475">
        <f t="shared" si="147"/>
        <v>148502</v>
      </c>
    </row>
    <row r="3203" spans="7:14" ht="11.25" customHeight="1" x14ac:dyDescent="0.3">
      <c r="G3203" s="470"/>
      <c r="H3203" s="470">
        <v>3196</v>
      </c>
      <c r="I3203" s="455">
        <f t="shared" ca="1" si="145"/>
        <v>147054311276.3457</v>
      </c>
      <c r="J3203" s="455">
        <f t="array" ref="J3203">IFERROR(INDEX('Retirement Calculator'!K:K,MATCH('Lorri 401b'!N3203,'Retirement Calculator'!A:A,0),0),0)</f>
        <v>0</v>
      </c>
      <c r="K3203" s="455">
        <f t="shared" ca="1" si="143"/>
        <v>612726296.98477376</v>
      </c>
      <c r="L3203" s="455">
        <f t="shared" ca="1" si="144"/>
        <v>147667037573.33047</v>
      </c>
      <c r="M3203" s="471">
        <f t="shared" si="146"/>
        <v>0.05</v>
      </c>
      <c r="N3203" s="475">
        <f t="shared" si="147"/>
        <v>148533</v>
      </c>
    </row>
    <row r="3204" spans="7:14" ht="11.25" customHeight="1" x14ac:dyDescent="0.3">
      <c r="G3204" s="470"/>
      <c r="H3204" s="470">
        <v>3197</v>
      </c>
      <c r="I3204" s="455">
        <f t="shared" ca="1" si="145"/>
        <v>147667037573.33047</v>
      </c>
      <c r="J3204" s="455">
        <f t="array" ref="J3204">IFERROR(INDEX('Retirement Calculator'!K:K,MATCH('Lorri 401b'!N3204,'Retirement Calculator'!A:A,0),0),0)</f>
        <v>0</v>
      </c>
      <c r="K3204" s="455">
        <f t="shared" ca="1" si="143"/>
        <v>615279323.22221029</v>
      </c>
      <c r="L3204" s="455">
        <f t="shared" ca="1" si="144"/>
        <v>148282316896.55267</v>
      </c>
      <c r="M3204" s="471">
        <f t="shared" si="146"/>
        <v>0.05</v>
      </c>
      <c r="N3204" s="475">
        <f t="shared" si="147"/>
        <v>148563</v>
      </c>
    </row>
    <row r="3205" spans="7:14" ht="11.25" customHeight="1" x14ac:dyDescent="0.3">
      <c r="G3205" s="470"/>
      <c r="H3205" s="470">
        <v>3198</v>
      </c>
      <c r="I3205" s="455">
        <f t="shared" ca="1" si="145"/>
        <v>148282316896.55267</v>
      </c>
      <c r="J3205" s="455">
        <f t="array" ref="J3205">IFERROR(INDEX('Retirement Calculator'!K:K,MATCH('Lorri 401b'!N3205,'Retirement Calculator'!A:A,0),0),0)</f>
        <v>0</v>
      </c>
      <c r="K3205" s="455">
        <f t="shared" ca="1" si="143"/>
        <v>617842987.06896949</v>
      </c>
      <c r="L3205" s="455">
        <f t="shared" ca="1" si="144"/>
        <v>148900159883.62164</v>
      </c>
      <c r="M3205" s="471">
        <f t="shared" si="146"/>
        <v>0.05</v>
      </c>
      <c r="N3205" s="475">
        <f t="shared" si="147"/>
        <v>148594</v>
      </c>
    </row>
    <row r="3206" spans="7:14" ht="11.25" customHeight="1" x14ac:dyDescent="0.3">
      <c r="G3206" s="470"/>
      <c r="H3206" s="470">
        <v>3199</v>
      </c>
      <c r="I3206" s="455">
        <f t="shared" ca="1" si="145"/>
        <v>148900159883.62164</v>
      </c>
      <c r="J3206" s="455">
        <f t="array" ref="J3206">IFERROR(INDEX('Retirement Calculator'!K:K,MATCH('Lorri 401b'!N3206,'Retirement Calculator'!A:A,0),0),0)</f>
        <v>0</v>
      </c>
      <c r="K3206" s="455">
        <f t="shared" ca="1" si="143"/>
        <v>620417332.84842348</v>
      </c>
      <c r="L3206" s="455">
        <f t="shared" ca="1" si="144"/>
        <v>149520577216.47006</v>
      </c>
      <c r="M3206" s="471">
        <f t="shared" si="146"/>
        <v>0.05</v>
      </c>
      <c r="N3206" s="475">
        <f t="shared" si="147"/>
        <v>148624</v>
      </c>
    </row>
    <row r="3207" spans="7:14" ht="11.25" customHeight="1" x14ac:dyDescent="0.3">
      <c r="G3207" s="470"/>
      <c r="H3207" s="470">
        <v>3200</v>
      </c>
      <c r="I3207" s="455">
        <f t="shared" ca="1" si="145"/>
        <v>149520577216.47006</v>
      </c>
      <c r="J3207" s="455">
        <f t="array" ref="J3207">IFERROR(INDEX('Retirement Calculator'!K:K,MATCH('Lorri 401b'!N3207,'Retirement Calculator'!A:A,0),0),0)</f>
        <v>0</v>
      </c>
      <c r="K3207" s="455">
        <f t="shared" ca="1" si="143"/>
        <v>623002405.06862521</v>
      </c>
      <c r="L3207" s="455">
        <f t="shared" ca="1" si="144"/>
        <v>150143579621.5387</v>
      </c>
      <c r="M3207" s="471">
        <f t="shared" si="146"/>
        <v>0.05</v>
      </c>
      <c r="N3207" s="475">
        <f t="shared" si="147"/>
        <v>148655</v>
      </c>
    </row>
    <row r="3208" spans="7:14" ht="11.25" customHeight="1" x14ac:dyDescent="0.3">
      <c r="G3208" s="470"/>
      <c r="H3208" s="470">
        <v>3201</v>
      </c>
      <c r="I3208" s="455">
        <f t="shared" ca="1" si="145"/>
        <v>150143579621.5387</v>
      </c>
      <c r="J3208" s="455">
        <f t="array" ref="J3208">IFERROR(INDEX('Retirement Calculator'!K:K,MATCH('Lorri 401b'!N3208,'Retirement Calculator'!A:A,0),0),0)</f>
        <v>0</v>
      </c>
      <c r="K3208" s="455">
        <f t="shared" ca="1" si="143"/>
        <v>625598248.42307794</v>
      </c>
      <c r="L3208" s="455">
        <f t="shared" ca="1" si="144"/>
        <v>150769177869.96176</v>
      </c>
      <c r="M3208" s="471">
        <f t="shared" si="146"/>
        <v>0.05</v>
      </c>
      <c r="N3208" s="475">
        <f t="shared" si="147"/>
        <v>148686</v>
      </c>
    </row>
    <row r="3209" spans="7:14" ht="11.25" customHeight="1" x14ac:dyDescent="0.3">
      <c r="G3209" s="470"/>
      <c r="H3209" s="470">
        <v>3202</v>
      </c>
      <c r="I3209" s="455">
        <f t="shared" ca="1" si="145"/>
        <v>150769177869.96176</v>
      </c>
      <c r="J3209" s="455">
        <f t="array" ref="J3209">IFERROR(INDEX('Retirement Calculator'!K:K,MATCH('Lorri 401b'!N3209,'Retirement Calculator'!A:A,0),0),0)</f>
        <v>0</v>
      </c>
      <c r="K3209" s="455">
        <f t="shared" ca="1" si="143"/>
        <v>628204907.79150736</v>
      </c>
      <c r="L3209" s="455">
        <f t="shared" ca="1" si="144"/>
        <v>151397382777.75327</v>
      </c>
      <c r="M3209" s="471">
        <f t="shared" si="146"/>
        <v>0.05</v>
      </c>
      <c r="N3209" s="475">
        <f t="shared" si="147"/>
        <v>148714</v>
      </c>
    </row>
    <row r="3210" spans="7:14" ht="11.25" customHeight="1" x14ac:dyDescent="0.3">
      <c r="G3210" s="470"/>
      <c r="H3210" s="470">
        <v>3203</v>
      </c>
      <c r="I3210" s="455">
        <f t="shared" ca="1" si="145"/>
        <v>151397382777.75327</v>
      </c>
      <c r="J3210" s="455">
        <f t="array" ref="J3210">IFERROR(INDEX('Retirement Calculator'!K:K,MATCH('Lorri 401b'!N3210,'Retirement Calculator'!A:A,0),0),0)</f>
        <v>0</v>
      </c>
      <c r="K3210" s="455">
        <f t="shared" ca="1" si="143"/>
        <v>630822428.24063861</v>
      </c>
      <c r="L3210" s="455">
        <f t="shared" ca="1" si="144"/>
        <v>152028205205.9939</v>
      </c>
      <c r="M3210" s="471">
        <f t="shared" si="146"/>
        <v>0.05</v>
      </c>
      <c r="N3210" s="475">
        <f t="shared" si="147"/>
        <v>148745</v>
      </c>
    </row>
    <row r="3211" spans="7:14" ht="11.25" customHeight="1" x14ac:dyDescent="0.3">
      <c r="G3211" s="470"/>
      <c r="H3211" s="470">
        <v>3204</v>
      </c>
      <c r="I3211" s="455">
        <f t="shared" ca="1" si="145"/>
        <v>152028205205.9939</v>
      </c>
      <c r="J3211" s="455">
        <f t="array" ref="J3211">IFERROR(INDEX('Retirement Calculator'!K:K,MATCH('Lorri 401b'!N3211,'Retirement Calculator'!A:A,0),0),0)</f>
        <v>0</v>
      </c>
      <c r="K3211" s="455">
        <f t="shared" ca="1" si="143"/>
        <v>633450855.02497458</v>
      </c>
      <c r="L3211" s="455">
        <f t="shared" ca="1" si="144"/>
        <v>152661656061.01886</v>
      </c>
      <c r="M3211" s="471">
        <f t="shared" si="146"/>
        <v>0.05</v>
      </c>
      <c r="N3211" s="475">
        <f t="shared" si="147"/>
        <v>148775</v>
      </c>
    </row>
    <row r="3212" spans="7:14" ht="11.25" customHeight="1" x14ac:dyDescent="0.3">
      <c r="G3212" s="470"/>
      <c r="H3212" s="470">
        <v>3205</v>
      </c>
      <c r="I3212" s="455">
        <f t="shared" ca="1" si="145"/>
        <v>152661656061.01886</v>
      </c>
      <c r="J3212" s="455">
        <f t="array" ref="J3212">IFERROR(INDEX('Retirement Calculator'!K:K,MATCH('Lorri 401b'!N3212,'Retirement Calculator'!A:A,0),0),0)</f>
        <v>0</v>
      </c>
      <c r="K3212" s="455">
        <f t="shared" ca="1" si="143"/>
        <v>636090233.58757854</v>
      </c>
      <c r="L3212" s="455">
        <f t="shared" ca="1" si="144"/>
        <v>153297746294.60645</v>
      </c>
      <c r="M3212" s="471">
        <f t="shared" si="146"/>
        <v>0.05</v>
      </c>
      <c r="N3212" s="475">
        <f t="shared" si="147"/>
        <v>148806</v>
      </c>
    </row>
    <row r="3213" spans="7:14" ht="11.25" customHeight="1" x14ac:dyDescent="0.3">
      <c r="G3213" s="470"/>
      <c r="H3213" s="470">
        <v>3206</v>
      </c>
      <c r="I3213" s="455">
        <f t="shared" ca="1" si="145"/>
        <v>153297746294.60645</v>
      </c>
      <c r="J3213" s="455">
        <f t="array" ref="J3213">IFERROR(INDEX('Retirement Calculator'!K:K,MATCH('Lorri 401b'!N3213,'Retirement Calculator'!A:A,0),0),0)</f>
        <v>0</v>
      </c>
      <c r="K3213" s="455">
        <f t="shared" ca="1" si="143"/>
        <v>638740609.56086016</v>
      </c>
      <c r="L3213" s="455">
        <f t="shared" ca="1" si="144"/>
        <v>153936486904.1673</v>
      </c>
      <c r="M3213" s="471">
        <f t="shared" si="146"/>
        <v>0.05</v>
      </c>
      <c r="N3213" s="475">
        <f t="shared" si="147"/>
        <v>148836</v>
      </c>
    </row>
    <row r="3214" spans="7:14" ht="11.25" customHeight="1" x14ac:dyDescent="0.3">
      <c r="G3214" s="470"/>
      <c r="H3214" s="470">
        <v>3207</v>
      </c>
      <c r="I3214" s="455">
        <f t="shared" ca="1" si="145"/>
        <v>153936486904.1673</v>
      </c>
      <c r="J3214" s="455">
        <f t="array" ref="J3214">IFERROR(INDEX('Retirement Calculator'!K:K,MATCH('Lorri 401b'!N3214,'Retirement Calculator'!A:A,0),0),0)</f>
        <v>0</v>
      </c>
      <c r="K3214" s="455">
        <f t="shared" ca="1" si="143"/>
        <v>641402028.76736379</v>
      </c>
      <c r="L3214" s="455">
        <f t="shared" ca="1" si="144"/>
        <v>154577888932.93466</v>
      </c>
      <c r="M3214" s="471">
        <f t="shared" si="146"/>
        <v>0.05</v>
      </c>
      <c r="N3214" s="475">
        <f t="shared" si="147"/>
        <v>148867</v>
      </c>
    </row>
    <row r="3215" spans="7:14" ht="11.25" customHeight="1" x14ac:dyDescent="0.3">
      <c r="G3215" s="470"/>
      <c r="H3215" s="470">
        <v>3208</v>
      </c>
      <c r="I3215" s="455">
        <f t="shared" ca="1" si="145"/>
        <v>154577888932.93466</v>
      </c>
      <c r="J3215" s="455">
        <f t="array" ref="J3215">IFERROR(INDEX('Retirement Calculator'!K:K,MATCH('Lorri 401b'!N3215,'Retirement Calculator'!A:A,0),0),0)</f>
        <v>0</v>
      </c>
      <c r="K3215" s="455">
        <f t="shared" ca="1" si="143"/>
        <v>644074537.22056103</v>
      </c>
      <c r="L3215" s="455">
        <f t="shared" ca="1" si="144"/>
        <v>155221963470.15521</v>
      </c>
      <c r="M3215" s="471">
        <f t="shared" si="146"/>
        <v>0.05</v>
      </c>
      <c r="N3215" s="475">
        <f t="shared" si="147"/>
        <v>148898</v>
      </c>
    </row>
    <row r="3216" spans="7:14" ht="11.25" customHeight="1" x14ac:dyDescent="0.3">
      <c r="G3216" s="470"/>
      <c r="H3216" s="470">
        <v>3209</v>
      </c>
      <c r="I3216" s="455">
        <f t="shared" ca="1" si="145"/>
        <v>155221963470.15521</v>
      </c>
      <c r="J3216" s="455">
        <f t="array" ref="J3216">IFERROR(INDEX('Retirement Calculator'!K:K,MATCH('Lorri 401b'!N3216,'Retirement Calculator'!A:A,0),0),0)</f>
        <v>0</v>
      </c>
      <c r="K3216" s="455">
        <f t="shared" ca="1" si="143"/>
        <v>646758181.12564671</v>
      </c>
      <c r="L3216" s="455">
        <f t="shared" ca="1" si="144"/>
        <v>155868721651.28085</v>
      </c>
      <c r="M3216" s="471">
        <f t="shared" si="146"/>
        <v>0.05</v>
      </c>
      <c r="N3216" s="475">
        <f t="shared" si="147"/>
        <v>148928</v>
      </c>
    </row>
    <row r="3217" spans="7:14" ht="11.25" customHeight="1" x14ac:dyDescent="0.3">
      <c r="G3217" s="470"/>
      <c r="H3217" s="470">
        <v>3210</v>
      </c>
      <c r="I3217" s="455">
        <f t="shared" ca="1" si="145"/>
        <v>155868721651.28085</v>
      </c>
      <c r="J3217" s="455">
        <f t="array" ref="J3217">IFERROR(INDEX('Retirement Calculator'!K:K,MATCH('Lorri 401b'!N3217,'Retirement Calculator'!A:A,0),0),0)</f>
        <v>0</v>
      </c>
      <c r="K3217" s="455">
        <f t="shared" ca="1" si="143"/>
        <v>649453006.88033688</v>
      </c>
      <c r="L3217" s="455">
        <f t="shared" ca="1" si="144"/>
        <v>156518174658.16119</v>
      </c>
      <c r="M3217" s="471">
        <f t="shared" si="146"/>
        <v>0.05</v>
      </c>
      <c r="N3217" s="475">
        <f t="shared" si="147"/>
        <v>148959</v>
      </c>
    </row>
    <row r="3218" spans="7:14" ht="11.25" customHeight="1" x14ac:dyDescent="0.3">
      <c r="G3218" s="470"/>
      <c r="H3218" s="470">
        <v>3211</v>
      </c>
      <c r="I3218" s="455">
        <f t="shared" ca="1" si="145"/>
        <v>156518174658.16119</v>
      </c>
      <c r="J3218" s="455">
        <f t="array" ref="J3218">IFERROR(INDEX('Retirement Calculator'!K:K,MATCH('Lorri 401b'!N3218,'Retirement Calculator'!A:A,0),0),0)</f>
        <v>0</v>
      </c>
      <c r="K3218" s="455">
        <f t="shared" ca="1" si="143"/>
        <v>652159061.07567167</v>
      </c>
      <c r="L3218" s="455">
        <f t="shared" ca="1" si="144"/>
        <v>157170333719.23688</v>
      </c>
      <c r="M3218" s="471">
        <f t="shared" si="146"/>
        <v>0.05</v>
      </c>
      <c r="N3218" s="475">
        <f t="shared" si="147"/>
        <v>148989</v>
      </c>
    </row>
    <row r="3219" spans="7:14" ht="11.25" customHeight="1" x14ac:dyDescent="0.3">
      <c r="G3219" s="470"/>
      <c r="H3219" s="470">
        <v>3212</v>
      </c>
      <c r="I3219" s="455">
        <f t="shared" ca="1" si="145"/>
        <v>157170333719.23688</v>
      </c>
      <c r="J3219" s="455">
        <f t="array" ref="J3219">IFERROR(INDEX('Retirement Calculator'!K:K,MATCH('Lorri 401b'!N3219,'Retirement Calculator'!A:A,0),0),0)</f>
        <v>0</v>
      </c>
      <c r="K3219" s="455">
        <f t="shared" ca="1" si="143"/>
        <v>654876390.49682033</v>
      </c>
      <c r="L3219" s="455">
        <f t="shared" ca="1" si="144"/>
        <v>157825210109.7337</v>
      </c>
      <c r="M3219" s="471">
        <f t="shared" si="146"/>
        <v>0.05</v>
      </c>
      <c r="N3219" s="475">
        <f t="shared" si="147"/>
        <v>149020</v>
      </c>
    </row>
    <row r="3220" spans="7:14" ht="11.25" customHeight="1" x14ac:dyDescent="0.3">
      <c r="G3220" s="470"/>
      <c r="H3220" s="470">
        <v>3213</v>
      </c>
      <c r="I3220" s="455">
        <f t="shared" ca="1" si="145"/>
        <v>157825210109.7337</v>
      </c>
      <c r="J3220" s="455">
        <f t="array" ref="J3220">IFERROR(INDEX('Retirement Calculator'!K:K,MATCH('Lorri 401b'!N3220,'Retirement Calculator'!A:A,0),0),0)</f>
        <v>0</v>
      </c>
      <c r="K3220" s="455">
        <f t="shared" ca="1" si="143"/>
        <v>657605042.1238904</v>
      </c>
      <c r="L3220" s="455">
        <f t="shared" ca="1" si="144"/>
        <v>158482815151.8576</v>
      </c>
      <c r="M3220" s="471">
        <f t="shared" si="146"/>
        <v>0.05</v>
      </c>
      <c r="N3220" s="475">
        <f t="shared" si="147"/>
        <v>149051</v>
      </c>
    </row>
    <row r="3221" spans="7:14" ht="11.25" customHeight="1" x14ac:dyDescent="0.3">
      <c r="G3221" s="470"/>
      <c r="H3221" s="470">
        <v>3214</v>
      </c>
      <c r="I3221" s="455">
        <f t="shared" ca="1" si="145"/>
        <v>158482815151.8576</v>
      </c>
      <c r="J3221" s="455">
        <f t="array" ref="J3221">IFERROR(INDEX('Retirement Calculator'!K:K,MATCH('Lorri 401b'!N3221,'Retirement Calculator'!A:A,0),0),0)</f>
        <v>0</v>
      </c>
      <c r="K3221" s="455">
        <f t="shared" ca="1" si="143"/>
        <v>660345063.13274002</v>
      </c>
      <c r="L3221" s="455">
        <f t="shared" ca="1" si="144"/>
        <v>159143160214.99036</v>
      </c>
      <c r="M3221" s="471">
        <f t="shared" si="146"/>
        <v>0.05</v>
      </c>
      <c r="N3221" s="475">
        <f t="shared" si="147"/>
        <v>149080</v>
      </c>
    </row>
    <row r="3222" spans="7:14" ht="11.25" customHeight="1" x14ac:dyDescent="0.3">
      <c r="G3222" s="470"/>
      <c r="H3222" s="470">
        <v>3215</v>
      </c>
      <c r="I3222" s="455">
        <f t="shared" ca="1" si="145"/>
        <v>159143160214.99036</v>
      </c>
      <c r="J3222" s="455">
        <f t="array" ref="J3222">IFERROR(INDEX('Retirement Calculator'!K:K,MATCH('Lorri 401b'!N3222,'Retirement Calculator'!A:A,0),0),0)</f>
        <v>0</v>
      </c>
      <c r="K3222" s="455">
        <f t="shared" ca="1" si="143"/>
        <v>663096500.8957932</v>
      </c>
      <c r="L3222" s="455">
        <f t="shared" ca="1" si="144"/>
        <v>159806256715.88614</v>
      </c>
      <c r="M3222" s="471">
        <f t="shared" si="146"/>
        <v>0.05</v>
      </c>
      <c r="N3222" s="475">
        <f t="shared" si="147"/>
        <v>149111</v>
      </c>
    </row>
    <row r="3223" spans="7:14" ht="11.25" customHeight="1" x14ac:dyDescent="0.3">
      <c r="G3223" s="470"/>
      <c r="H3223" s="470">
        <v>3216</v>
      </c>
      <c r="I3223" s="455">
        <f t="shared" ca="1" si="145"/>
        <v>159806256715.88614</v>
      </c>
      <c r="J3223" s="455">
        <f t="array" ref="J3223">IFERROR(INDEX('Retirement Calculator'!K:K,MATCH('Lorri 401b'!N3223,'Retirement Calculator'!A:A,0),0),0)</f>
        <v>0</v>
      </c>
      <c r="K3223" s="455">
        <f t="shared" ca="1" si="143"/>
        <v>665859402.9828589</v>
      </c>
      <c r="L3223" s="455">
        <f t="shared" ca="1" si="144"/>
        <v>160472116118.86899</v>
      </c>
      <c r="M3223" s="471">
        <f t="shared" si="146"/>
        <v>0.05</v>
      </c>
      <c r="N3223" s="475">
        <f t="shared" si="147"/>
        <v>149141</v>
      </c>
    </row>
    <row r="3224" spans="7:14" ht="11.25" customHeight="1" x14ac:dyDescent="0.3">
      <c r="G3224" s="470"/>
      <c r="H3224" s="470">
        <v>3217</v>
      </c>
      <c r="I3224" s="455">
        <f t="shared" ca="1" si="145"/>
        <v>160472116118.86899</v>
      </c>
      <c r="J3224" s="455">
        <f t="array" ref="J3224">IFERROR(INDEX('Retirement Calculator'!K:K,MATCH('Lorri 401b'!N3224,'Retirement Calculator'!A:A,0),0),0)</f>
        <v>0</v>
      </c>
      <c r="K3224" s="455">
        <f t="shared" ca="1" si="143"/>
        <v>668633817.16195416</v>
      </c>
      <c r="L3224" s="455">
        <f t="shared" ca="1" si="144"/>
        <v>161140749936.03094</v>
      </c>
      <c r="M3224" s="471">
        <f t="shared" si="146"/>
        <v>0.05</v>
      </c>
      <c r="N3224" s="475">
        <f t="shared" si="147"/>
        <v>149172</v>
      </c>
    </row>
    <row r="3225" spans="7:14" ht="11.25" customHeight="1" x14ac:dyDescent="0.3">
      <c r="G3225" s="470"/>
      <c r="H3225" s="470">
        <v>3218</v>
      </c>
      <c r="I3225" s="455">
        <f t="shared" ca="1" si="145"/>
        <v>161140749936.03094</v>
      </c>
      <c r="J3225" s="455">
        <f t="array" ref="J3225">IFERROR(INDEX('Retirement Calculator'!K:K,MATCH('Lorri 401b'!N3225,'Retirement Calculator'!A:A,0),0),0)</f>
        <v>0</v>
      </c>
      <c r="K3225" s="455">
        <f t="shared" ca="1" si="143"/>
        <v>671419791.40012896</v>
      </c>
      <c r="L3225" s="455">
        <f t="shared" ca="1" si="144"/>
        <v>161812169727.43106</v>
      </c>
      <c r="M3225" s="471">
        <f t="shared" si="146"/>
        <v>0.05</v>
      </c>
      <c r="N3225" s="475">
        <f t="shared" si="147"/>
        <v>149202</v>
      </c>
    </row>
    <row r="3226" spans="7:14" ht="11.25" customHeight="1" x14ac:dyDescent="0.3">
      <c r="G3226" s="470"/>
      <c r="H3226" s="470">
        <v>3219</v>
      </c>
      <c r="I3226" s="455">
        <f t="shared" ca="1" si="145"/>
        <v>161812169727.43106</v>
      </c>
      <c r="J3226" s="455">
        <f t="array" ref="J3226">IFERROR(INDEX('Retirement Calculator'!K:K,MATCH('Lorri 401b'!N3226,'Retirement Calculator'!A:A,0),0),0)</f>
        <v>0</v>
      </c>
      <c r="K3226" s="455">
        <f t="shared" ca="1" si="143"/>
        <v>674217373.86429608</v>
      </c>
      <c r="L3226" s="455">
        <f t="shared" ca="1" si="144"/>
        <v>162486387101.29535</v>
      </c>
      <c r="M3226" s="471">
        <f t="shared" si="146"/>
        <v>0.05</v>
      </c>
      <c r="N3226" s="475">
        <f t="shared" si="147"/>
        <v>149233</v>
      </c>
    </row>
    <row r="3227" spans="7:14" ht="11.25" customHeight="1" x14ac:dyDescent="0.3">
      <c r="G3227" s="470"/>
      <c r="H3227" s="470">
        <v>3220</v>
      </c>
      <c r="I3227" s="455">
        <f t="shared" ca="1" si="145"/>
        <v>162486387101.29535</v>
      </c>
      <c r="J3227" s="455">
        <f t="array" ref="J3227">IFERROR(INDEX('Retirement Calculator'!K:K,MATCH('Lorri 401b'!N3227,'Retirement Calculator'!A:A,0),0),0)</f>
        <v>0</v>
      </c>
      <c r="K3227" s="455">
        <f t="shared" ca="1" si="143"/>
        <v>677026612.92206395</v>
      </c>
      <c r="L3227" s="455">
        <f t="shared" ca="1" si="144"/>
        <v>163163413714.21741</v>
      </c>
      <c r="M3227" s="471">
        <f t="shared" si="146"/>
        <v>0.05</v>
      </c>
      <c r="N3227" s="475">
        <f t="shared" si="147"/>
        <v>149264</v>
      </c>
    </row>
    <row r="3228" spans="7:14" ht="11.25" customHeight="1" x14ac:dyDescent="0.3">
      <c r="G3228" s="470"/>
      <c r="H3228" s="470">
        <v>3221</v>
      </c>
      <c r="I3228" s="455">
        <f t="shared" ca="1" si="145"/>
        <v>163163413714.21741</v>
      </c>
      <c r="J3228" s="455">
        <f t="array" ref="J3228">IFERROR(INDEX('Retirement Calculator'!K:K,MATCH('Lorri 401b'!N3228,'Retirement Calculator'!A:A,0),0),0)</f>
        <v>0</v>
      </c>
      <c r="K3228" s="455">
        <f t="shared" ca="1" si="143"/>
        <v>679847557.14257252</v>
      </c>
      <c r="L3228" s="455">
        <f t="shared" ca="1" si="144"/>
        <v>163843261271.35999</v>
      </c>
      <c r="M3228" s="471">
        <f t="shared" si="146"/>
        <v>0.05</v>
      </c>
      <c r="N3228" s="475">
        <f t="shared" si="147"/>
        <v>149294</v>
      </c>
    </row>
    <row r="3229" spans="7:14" ht="11.25" customHeight="1" x14ac:dyDescent="0.3">
      <c r="G3229" s="470"/>
      <c r="H3229" s="470">
        <v>3222</v>
      </c>
      <c r="I3229" s="455">
        <f t="shared" ca="1" si="145"/>
        <v>163843261271.35999</v>
      </c>
      <c r="J3229" s="455">
        <f t="array" ref="J3229">IFERROR(INDEX('Retirement Calculator'!K:K,MATCH('Lorri 401b'!N3229,'Retirement Calculator'!A:A,0),0),0)</f>
        <v>0</v>
      </c>
      <c r="K3229" s="455">
        <f t="shared" ca="1" si="143"/>
        <v>682680255.29733324</v>
      </c>
      <c r="L3229" s="455">
        <f t="shared" ca="1" si="144"/>
        <v>164525941526.65732</v>
      </c>
      <c r="M3229" s="471">
        <f t="shared" si="146"/>
        <v>0.05</v>
      </c>
      <c r="N3229" s="475">
        <f t="shared" si="147"/>
        <v>149325</v>
      </c>
    </row>
    <row r="3230" spans="7:14" ht="11.25" customHeight="1" x14ac:dyDescent="0.3">
      <c r="G3230" s="470"/>
      <c r="H3230" s="470">
        <v>3223</v>
      </c>
      <c r="I3230" s="455">
        <f t="shared" ca="1" si="145"/>
        <v>164525941526.65732</v>
      </c>
      <c r="J3230" s="455">
        <f t="array" ref="J3230">IFERROR(INDEX('Retirement Calculator'!K:K,MATCH('Lorri 401b'!N3230,'Retirement Calculator'!A:A,0),0),0)</f>
        <v>0</v>
      </c>
      <c r="K3230" s="455">
        <f t="shared" ca="1" si="143"/>
        <v>685524756.36107218</v>
      </c>
      <c r="L3230" s="455">
        <f t="shared" ca="1" si="144"/>
        <v>165211466283.0184</v>
      </c>
      <c r="M3230" s="471">
        <f t="shared" si="146"/>
        <v>0.05</v>
      </c>
      <c r="N3230" s="475">
        <f t="shared" si="147"/>
        <v>149355</v>
      </c>
    </row>
    <row r="3231" spans="7:14" ht="11.25" customHeight="1" x14ac:dyDescent="0.3">
      <c r="G3231" s="470"/>
      <c r="H3231" s="470">
        <v>3224</v>
      </c>
      <c r="I3231" s="455">
        <f t="shared" ca="1" si="145"/>
        <v>165211466283.0184</v>
      </c>
      <c r="J3231" s="455">
        <f t="array" ref="J3231">IFERROR(INDEX('Retirement Calculator'!K:K,MATCH('Lorri 401b'!N3231,'Retirement Calculator'!A:A,0),0),0)</f>
        <v>0</v>
      </c>
      <c r="K3231" s="455">
        <f t="shared" ca="1" si="143"/>
        <v>688381109.5125767</v>
      </c>
      <c r="L3231" s="455">
        <f t="shared" ca="1" si="144"/>
        <v>165899847392.53098</v>
      </c>
      <c r="M3231" s="471">
        <f t="shared" si="146"/>
        <v>0.05</v>
      </c>
      <c r="N3231" s="475">
        <f t="shared" si="147"/>
        <v>149386</v>
      </c>
    </row>
    <row r="3232" spans="7:14" ht="11.25" customHeight="1" x14ac:dyDescent="0.3">
      <c r="G3232" s="470"/>
      <c r="H3232" s="470">
        <v>3225</v>
      </c>
      <c r="I3232" s="455">
        <f t="shared" ca="1" si="145"/>
        <v>165899847392.53098</v>
      </c>
      <c r="J3232" s="455">
        <f t="array" ref="J3232">IFERROR(INDEX('Retirement Calculator'!K:K,MATCH('Lorri 401b'!N3232,'Retirement Calculator'!A:A,0),0),0)</f>
        <v>0</v>
      </c>
      <c r="K3232" s="455">
        <f t="shared" ca="1" si="143"/>
        <v>691249364.13554573</v>
      </c>
      <c r="L3232" s="455">
        <f t="shared" ca="1" si="144"/>
        <v>166591096756.66653</v>
      </c>
      <c r="M3232" s="471">
        <f t="shared" si="146"/>
        <v>0.05</v>
      </c>
      <c r="N3232" s="475">
        <f t="shared" si="147"/>
        <v>149417</v>
      </c>
    </row>
    <row r="3233" spans="7:14" ht="11.25" customHeight="1" x14ac:dyDescent="0.3">
      <c r="G3233" s="470"/>
      <c r="H3233" s="470">
        <v>3226</v>
      </c>
      <c r="I3233" s="455">
        <f t="shared" ca="1" si="145"/>
        <v>166591096756.66653</v>
      </c>
      <c r="J3233" s="455">
        <f t="array" ref="J3233">IFERROR(INDEX('Retirement Calculator'!K:K,MATCH('Lorri 401b'!N3233,'Retirement Calculator'!A:A,0),0),0)</f>
        <v>0</v>
      </c>
      <c r="K3233" s="455">
        <f t="shared" ca="1" si="143"/>
        <v>694129569.81944394</v>
      </c>
      <c r="L3233" s="455">
        <f t="shared" ca="1" si="144"/>
        <v>167285226326.48599</v>
      </c>
      <c r="M3233" s="471">
        <f t="shared" si="146"/>
        <v>0.05</v>
      </c>
      <c r="N3233" s="475">
        <f t="shared" si="147"/>
        <v>149445</v>
      </c>
    </row>
    <row r="3234" spans="7:14" ht="11.25" customHeight="1" x14ac:dyDescent="0.3">
      <c r="G3234" s="470"/>
      <c r="H3234" s="470">
        <v>3227</v>
      </c>
      <c r="I3234" s="455">
        <f t="shared" ca="1" si="145"/>
        <v>167285226326.48599</v>
      </c>
      <c r="J3234" s="455">
        <f t="array" ref="J3234">IFERROR(INDEX('Retirement Calculator'!K:K,MATCH('Lorri 401b'!N3234,'Retirement Calculator'!A:A,0),0),0)</f>
        <v>0</v>
      </c>
      <c r="K3234" s="455">
        <f t="shared" ca="1" si="143"/>
        <v>697021776.36035824</v>
      </c>
      <c r="L3234" s="455">
        <f t="shared" ca="1" si="144"/>
        <v>167982248102.84634</v>
      </c>
      <c r="M3234" s="471">
        <f t="shared" si="146"/>
        <v>0.05</v>
      </c>
      <c r="N3234" s="475">
        <f t="shared" si="147"/>
        <v>149476</v>
      </c>
    </row>
    <row r="3235" spans="7:14" ht="11.25" customHeight="1" x14ac:dyDescent="0.3">
      <c r="G3235" s="470"/>
      <c r="H3235" s="470">
        <v>3228</v>
      </c>
      <c r="I3235" s="455">
        <f t="shared" ca="1" si="145"/>
        <v>167982248102.84634</v>
      </c>
      <c r="J3235" s="455">
        <f t="array" ref="J3235">IFERROR(INDEX('Retirement Calculator'!K:K,MATCH('Lorri 401b'!N3235,'Retirement Calculator'!A:A,0),0),0)</f>
        <v>0</v>
      </c>
      <c r="K3235" s="455">
        <f t="shared" ca="1" si="143"/>
        <v>699926033.76185977</v>
      </c>
      <c r="L3235" s="455">
        <f t="shared" ca="1" si="144"/>
        <v>168682174136.60822</v>
      </c>
      <c r="M3235" s="471">
        <f t="shared" si="146"/>
        <v>0.05</v>
      </c>
      <c r="N3235" s="475">
        <f t="shared" si="147"/>
        <v>149506</v>
      </c>
    </row>
    <row r="3236" spans="7:14" ht="11.25" customHeight="1" x14ac:dyDescent="0.3">
      <c r="G3236" s="470"/>
      <c r="H3236" s="470">
        <v>3229</v>
      </c>
      <c r="I3236" s="455">
        <f t="shared" ca="1" si="145"/>
        <v>168682174136.60822</v>
      </c>
      <c r="J3236" s="455">
        <f t="array" ref="J3236">IFERROR(INDEX('Retirement Calculator'!K:K,MATCH('Lorri 401b'!N3236,'Retirement Calculator'!A:A,0),0),0)</f>
        <v>0</v>
      </c>
      <c r="K3236" s="455">
        <f t="shared" ca="1" si="143"/>
        <v>702842392.2358675</v>
      </c>
      <c r="L3236" s="455">
        <f t="shared" ca="1" si="144"/>
        <v>169385016528.84409</v>
      </c>
      <c r="M3236" s="471">
        <f t="shared" si="146"/>
        <v>0.05</v>
      </c>
      <c r="N3236" s="475">
        <f t="shared" si="147"/>
        <v>149537</v>
      </c>
    </row>
    <row r="3237" spans="7:14" ht="11.25" customHeight="1" x14ac:dyDescent="0.3">
      <c r="G3237" s="470"/>
      <c r="H3237" s="470">
        <v>3230</v>
      </c>
      <c r="I3237" s="455">
        <f t="shared" ca="1" si="145"/>
        <v>169385016528.84409</v>
      </c>
      <c r="J3237" s="455">
        <f t="array" ref="J3237">IFERROR(INDEX('Retirement Calculator'!K:K,MATCH('Lorri 401b'!N3237,'Retirement Calculator'!A:A,0),0),0)</f>
        <v>0</v>
      </c>
      <c r="K3237" s="455">
        <f t="shared" ca="1" si="143"/>
        <v>705770902.20351696</v>
      </c>
      <c r="L3237" s="455">
        <f t="shared" ca="1" si="144"/>
        <v>170090787431.04761</v>
      </c>
      <c r="M3237" s="471">
        <f t="shared" si="146"/>
        <v>0.05</v>
      </c>
      <c r="N3237" s="475">
        <f t="shared" si="147"/>
        <v>149567</v>
      </c>
    </row>
    <row r="3238" spans="7:14" ht="11.25" customHeight="1" x14ac:dyDescent="0.3">
      <c r="G3238" s="470"/>
      <c r="H3238" s="470">
        <v>3231</v>
      </c>
      <c r="I3238" s="455">
        <f t="shared" ca="1" si="145"/>
        <v>170090787431.04761</v>
      </c>
      <c r="J3238" s="455">
        <f t="array" ref="J3238">IFERROR(INDEX('Retirement Calculator'!K:K,MATCH('Lorri 401b'!N3238,'Retirement Calculator'!A:A,0),0),0)</f>
        <v>0</v>
      </c>
      <c r="K3238" s="455">
        <f t="shared" ca="1" si="143"/>
        <v>708711614.29603171</v>
      </c>
      <c r="L3238" s="455">
        <f t="shared" ca="1" si="144"/>
        <v>170799499045.34363</v>
      </c>
      <c r="M3238" s="471">
        <f t="shared" si="146"/>
        <v>0.05</v>
      </c>
      <c r="N3238" s="475">
        <f t="shared" si="147"/>
        <v>149598</v>
      </c>
    </row>
    <row r="3239" spans="7:14" ht="11.25" customHeight="1" x14ac:dyDescent="0.3">
      <c r="G3239" s="470"/>
      <c r="H3239" s="470">
        <v>3232</v>
      </c>
      <c r="I3239" s="455">
        <f t="shared" ca="1" si="145"/>
        <v>170799499045.34363</v>
      </c>
      <c r="J3239" s="455">
        <f t="array" ref="J3239">IFERROR(INDEX('Retirement Calculator'!K:K,MATCH('Lorri 401b'!N3239,'Retirement Calculator'!A:A,0),0),0)</f>
        <v>0</v>
      </c>
      <c r="K3239" s="455">
        <f t="shared" ca="1" si="143"/>
        <v>711664579.35559845</v>
      </c>
      <c r="L3239" s="455">
        <f t="shared" ca="1" si="144"/>
        <v>171511163624.69922</v>
      </c>
      <c r="M3239" s="471">
        <f t="shared" si="146"/>
        <v>0.05</v>
      </c>
      <c r="N3239" s="475">
        <f t="shared" si="147"/>
        <v>149629</v>
      </c>
    </row>
    <row r="3240" spans="7:14" ht="11.25" customHeight="1" x14ac:dyDescent="0.3">
      <c r="G3240" s="470"/>
      <c r="H3240" s="470">
        <v>3233</v>
      </c>
      <c r="I3240" s="455">
        <f t="shared" ca="1" si="145"/>
        <v>171511163624.69922</v>
      </c>
      <c r="J3240" s="455">
        <f t="array" ref="J3240">IFERROR(INDEX('Retirement Calculator'!K:K,MATCH('Lorri 401b'!N3240,'Retirement Calculator'!A:A,0),0),0)</f>
        <v>0</v>
      </c>
      <c r="K3240" s="455">
        <f t="shared" ca="1" si="143"/>
        <v>714629848.43624675</v>
      </c>
      <c r="L3240" s="455">
        <f t="shared" ca="1" si="144"/>
        <v>172225793473.13547</v>
      </c>
      <c r="M3240" s="471">
        <f t="shared" si="146"/>
        <v>0.05</v>
      </c>
      <c r="N3240" s="475">
        <f t="shared" si="147"/>
        <v>149659</v>
      </c>
    </row>
    <row r="3241" spans="7:14" ht="11.25" customHeight="1" x14ac:dyDescent="0.3">
      <c r="G3241" s="470"/>
      <c r="H3241" s="470">
        <v>3234</v>
      </c>
      <c r="I3241" s="455">
        <f t="shared" ca="1" si="145"/>
        <v>172225793473.13547</v>
      </c>
      <c r="J3241" s="455">
        <f t="array" ref="J3241">IFERROR(INDEX('Retirement Calculator'!K:K,MATCH('Lorri 401b'!N3241,'Retirement Calculator'!A:A,0),0),0)</f>
        <v>0</v>
      </c>
      <c r="K3241" s="455">
        <f t="shared" ca="1" si="143"/>
        <v>717607472.80473113</v>
      </c>
      <c r="L3241" s="455">
        <f t="shared" ca="1" si="144"/>
        <v>172943400945.94019</v>
      </c>
      <c r="M3241" s="471">
        <f t="shared" si="146"/>
        <v>0.05</v>
      </c>
      <c r="N3241" s="475">
        <f t="shared" si="147"/>
        <v>149690</v>
      </c>
    </row>
    <row r="3242" spans="7:14" ht="11.25" customHeight="1" x14ac:dyDescent="0.3">
      <c r="G3242" s="470"/>
      <c r="H3242" s="470">
        <v>3235</v>
      </c>
      <c r="I3242" s="455">
        <f t="shared" ca="1" si="145"/>
        <v>172943400945.94019</v>
      </c>
      <c r="J3242" s="455">
        <f t="array" ref="J3242">IFERROR(INDEX('Retirement Calculator'!K:K,MATCH('Lorri 401b'!N3242,'Retirement Calculator'!A:A,0),0),0)</f>
        <v>0</v>
      </c>
      <c r="K3242" s="455">
        <f t="shared" ca="1" si="143"/>
        <v>720597503.94141746</v>
      </c>
      <c r="L3242" s="455">
        <f t="shared" ca="1" si="144"/>
        <v>173663998449.88159</v>
      </c>
      <c r="M3242" s="471">
        <f t="shared" si="146"/>
        <v>0.05</v>
      </c>
      <c r="N3242" s="475">
        <f t="shared" si="147"/>
        <v>149720</v>
      </c>
    </row>
    <row r="3243" spans="7:14" ht="11.25" customHeight="1" x14ac:dyDescent="0.3">
      <c r="G3243" s="470"/>
      <c r="H3243" s="470">
        <v>3236</v>
      </c>
      <c r="I3243" s="455">
        <f t="shared" ca="1" si="145"/>
        <v>173663998449.88159</v>
      </c>
      <c r="J3243" s="455">
        <f t="array" ref="J3243">IFERROR(INDEX('Retirement Calculator'!K:K,MATCH('Lorri 401b'!N3243,'Retirement Calculator'!A:A,0),0),0)</f>
        <v>0</v>
      </c>
      <c r="K3243" s="455">
        <f t="shared" ca="1" si="143"/>
        <v>723599993.54117334</v>
      </c>
      <c r="L3243" s="455">
        <f t="shared" ca="1" si="144"/>
        <v>174387598443.42276</v>
      </c>
      <c r="M3243" s="471">
        <f t="shared" si="146"/>
        <v>0.05</v>
      </c>
      <c r="N3243" s="475">
        <f t="shared" si="147"/>
        <v>149751</v>
      </c>
    </row>
    <row r="3244" spans="7:14" ht="11.25" customHeight="1" x14ac:dyDescent="0.3">
      <c r="G3244" s="470"/>
      <c r="H3244" s="470">
        <v>3237</v>
      </c>
      <c r="I3244" s="455">
        <f t="shared" ca="1" si="145"/>
        <v>174387598443.42276</v>
      </c>
      <c r="J3244" s="455">
        <f t="array" ref="J3244">IFERROR(INDEX('Retirement Calculator'!K:K,MATCH('Lorri 401b'!N3244,'Retirement Calculator'!A:A,0),0),0)</f>
        <v>0</v>
      </c>
      <c r="K3244" s="455">
        <f t="shared" ca="1" si="143"/>
        <v>726614993.51426148</v>
      </c>
      <c r="L3244" s="455">
        <f t="shared" ca="1" si="144"/>
        <v>175114213436.93701</v>
      </c>
      <c r="M3244" s="471">
        <f t="shared" si="146"/>
        <v>0.05</v>
      </c>
      <c r="N3244" s="475">
        <f t="shared" si="147"/>
        <v>149782</v>
      </c>
    </row>
    <row r="3245" spans="7:14" ht="11.25" customHeight="1" x14ac:dyDescent="0.3">
      <c r="G3245" s="470"/>
      <c r="H3245" s="470">
        <v>3238</v>
      </c>
      <c r="I3245" s="455">
        <f t="shared" ca="1" si="145"/>
        <v>175114213436.93701</v>
      </c>
      <c r="J3245" s="455">
        <f t="array" ref="J3245">IFERROR(INDEX('Retirement Calculator'!K:K,MATCH('Lorri 401b'!N3245,'Retirement Calculator'!A:A,0),0),0)</f>
        <v>0</v>
      </c>
      <c r="K3245" s="455">
        <f t="shared" ca="1" si="143"/>
        <v>729642555.98723757</v>
      </c>
      <c r="L3245" s="455">
        <f t="shared" ca="1" si="144"/>
        <v>175843855992.92426</v>
      </c>
      <c r="M3245" s="471">
        <f t="shared" si="146"/>
        <v>0.05</v>
      </c>
      <c r="N3245" s="475">
        <f t="shared" si="147"/>
        <v>149810</v>
      </c>
    </row>
    <row r="3246" spans="7:14" ht="11.25" customHeight="1" x14ac:dyDescent="0.3">
      <c r="G3246" s="470"/>
      <c r="H3246" s="470">
        <v>3239</v>
      </c>
      <c r="I3246" s="455">
        <f t="shared" ca="1" si="145"/>
        <v>175843855992.92426</v>
      </c>
      <c r="J3246" s="455">
        <f t="array" ref="J3246">IFERROR(INDEX('Retirement Calculator'!K:K,MATCH('Lorri 401b'!N3246,'Retirement Calculator'!A:A,0),0),0)</f>
        <v>0</v>
      </c>
      <c r="K3246" s="455">
        <f t="shared" ca="1" si="143"/>
        <v>732682733.30385101</v>
      </c>
      <c r="L3246" s="455">
        <f t="shared" ca="1" si="144"/>
        <v>176576538726.22812</v>
      </c>
      <c r="M3246" s="471">
        <f t="shared" si="146"/>
        <v>0.05</v>
      </c>
      <c r="N3246" s="475">
        <f t="shared" si="147"/>
        <v>149841</v>
      </c>
    </row>
    <row r="3247" spans="7:14" ht="11.25" customHeight="1" x14ac:dyDescent="0.3">
      <c r="G3247" s="470"/>
      <c r="H3247" s="470">
        <v>3240</v>
      </c>
      <c r="I3247" s="455">
        <f t="shared" ca="1" si="145"/>
        <v>176576538726.22812</v>
      </c>
      <c r="J3247" s="455">
        <f t="array" ref="J3247">IFERROR(INDEX('Retirement Calculator'!K:K,MATCH('Lorri 401b'!N3247,'Retirement Calculator'!A:A,0),0),0)</f>
        <v>0</v>
      </c>
      <c r="K3247" s="455">
        <f t="shared" ca="1" si="143"/>
        <v>735735578.02595043</v>
      </c>
      <c r="L3247" s="455">
        <f t="shared" ca="1" si="144"/>
        <v>177312274304.25406</v>
      </c>
      <c r="M3247" s="471">
        <f t="shared" si="146"/>
        <v>0.05</v>
      </c>
      <c r="N3247" s="475">
        <f t="shared" si="147"/>
        <v>149871</v>
      </c>
    </row>
    <row r="3248" spans="7:14" ht="11.25" customHeight="1" x14ac:dyDescent="0.3">
      <c r="G3248" s="470"/>
      <c r="H3248" s="470">
        <v>3241</v>
      </c>
      <c r="I3248" s="455">
        <f t="shared" ca="1" si="145"/>
        <v>177312274304.25406</v>
      </c>
      <c r="J3248" s="455">
        <f t="array" ref="J3248">IFERROR(INDEX('Retirement Calculator'!K:K,MATCH('Lorri 401b'!N3248,'Retirement Calculator'!A:A,0),0),0)</f>
        <v>0</v>
      </c>
      <c r="K3248" s="455">
        <f t="shared" ca="1" si="143"/>
        <v>738801142.93439186</v>
      </c>
      <c r="L3248" s="455">
        <f t="shared" ca="1" si="144"/>
        <v>178051075447.18845</v>
      </c>
      <c r="M3248" s="471">
        <f t="shared" si="146"/>
        <v>0.05</v>
      </c>
      <c r="N3248" s="475">
        <f t="shared" si="147"/>
        <v>149902</v>
      </c>
    </row>
    <row r="3249" spans="7:14" ht="11.25" customHeight="1" x14ac:dyDescent="0.3">
      <c r="G3249" s="470"/>
      <c r="H3249" s="470">
        <v>3242</v>
      </c>
      <c r="I3249" s="455">
        <f t="shared" ca="1" si="145"/>
        <v>178051075447.18845</v>
      </c>
      <c r="J3249" s="455">
        <f t="array" ref="J3249">IFERROR(INDEX('Retirement Calculator'!K:K,MATCH('Lorri 401b'!N3249,'Retirement Calculator'!A:A,0),0),0)</f>
        <v>0</v>
      </c>
      <c r="K3249" s="455">
        <f t="shared" ca="1" si="143"/>
        <v>741879481.02995181</v>
      </c>
      <c r="L3249" s="455">
        <f t="shared" ca="1" si="144"/>
        <v>178792954928.21838</v>
      </c>
      <c r="M3249" s="471">
        <f t="shared" si="146"/>
        <v>0.05</v>
      </c>
      <c r="N3249" s="475">
        <f t="shared" si="147"/>
        <v>149932</v>
      </c>
    </row>
    <row r="3250" spans="7:14" ht="11.25" customHeight="1" x14ac:dyDescent="0.3">
      <c r="G3250" s="470"/>
      <c r="H3250" s="470">
        <v>3243</v>
      </c>
      <c r="I3250" s="455">
        <f t="shared" ca="1" si="145"/>
        <v>178792954928.21838</v>
      </c>
      <c r="J3250" s="455">
        <f t="array" ref="J3250">IFERROR(INDEX('Retirement Calculator'!K:K,MATCH('Lorri 401b'!N3250,'Retirement Calculator'!A:A,0),0),0)</f>
        <v>0</v>
      </c>
      <c r="K3250" s="455">
        <f t="shared" ca="1" si="143"/>
        <v>744970645.53424323</v>
      </c>
      <c r="L3250" s="455">
        <f t="shared" ca="1" si="144"/>
        <v>179537925573.75262</v>
      </c>
      <c r="M3250" s="471">
        <f t="shared" si="146"/>
        <v>0.05</v>
      </c>
      <c r="N3250" s="475">
        <f t="shared" si="147"/>
        <v>149963</v>
      </c>
    </row>
    <row r="3251" spans="7:14" ht="11.25" customHeight="1" x14ac:dyDescent="0.3">
      <c r="G3251" s="470"/>
      <c r="H3251" s="470">
        <v>3244</v>
      </c>
      <c r="I3251" s="455">
        <f t="shared" ca="1" si="145"/>
        <v>179537925573.75262</v>
      </c>
      <c r="J3251" s="455">
        <f t="array" ref="J3251">IFERROR(INDEX('Retirement Calculator'!K:K,MATCH('Lorri 401b'!N3251,'Retirement Calculator'!A:A,0),0),0)</f>
        <v>0</v>
      </c>
      <c r="K3251" s="455">
        <f t="shared" ca="1" si="143"/>
        <v>748074689.89063597</v>
      </c>
      <c r="L3251" s="455">
        <f t="shared" ca="1" si="144"/>
        <v>180286000263.64325</v>
      </c>
      <c r="M3251" s="471">
        <f t="shared" si="146"/>
        <v>0.05</v>
      </c>
      <c r="N3251" s="475">
        <f t="shared" si="147"/>
        <v>149994</v>
      </c>
    </row>
    <row r="3252" spans="7:14" ht="11.25" customHeight="1" x14ac:dyDescent="0.3">
      <c r="G3252" s="470"/>
      <c r="H3252" s="470">
        <v>3245</v>
      </c>
      <c r="I3252" s="455">
        <f t="shared" ca="1" si="145"/>
        <v>180286000263.64325</v>
      </c>
      <c r="J3252" s="455">
        <f t="array" ref="J3252">IFERROR(INDEX('Retirement Calculator'!K:K,MATCH('Lorri 401b'!N3252,'Retirement Calculator'!A:A,0),0),0)</f>
        <v>0</v>
      </c>
      <c r="K3252" s="455">
        <f t="shared" ca="1" si="143"/>
        <v>751191667.76518023</v>
      </c>
      <c r="L3252" s="455">
        <f t="shared" ca="1" si="144"/>
        <v>181037191931.40842</v>
      </c>
      <c r="M3252" s="471">
        <f t="shared" si="146"/>
        <v>0.05</v>
      </c>
      <c r="N3252" s="475">
        <f t="shared" si="147"/>
        <v>150024</v>
      </c>
    </row>
    <row r="3253" spans="7:14" ht="11.25" customHeight="1" x14ac:dyDescent="0.3">
      <c r="G3253" s="470"/>
      <c r="H3253" s="470">
        <v>3246</v>
      </c>
      <c r="I3253" s="455">
        <f t="shared" ca="1" si="145"/>
        <v>181037191931.40842</v>
      </c>
      <c r="J3253" s="455">
        <f t="array" ref="J3253">IFERROR(INDEX('Retirement Calculator'!K:K,MATCH('Lorri 401b'!N3253,'Retirement Calculator'!A:A,0),0),0)</f>
        <v>0</v>
      </c>
      <c r="K3253" s="455">
        <f t="shared" ca="1" si="143"/>
        <v>754321633.04753506</v>
      </c>
      <c r="L3253" s="455">
        <f t="shared" ca="1" si="144"/>
        <v>181791513564.45596</v>
      </c>
      <c r="M3253" s="471">
        <f t="shared" si="146"/>
        <v>0.05</v>
      </c>
      <c r="N3253" s="475">
        <f t="shared" si="147"/>
        <v>150055</v>
      </c>
    </row>
    <row r="3254" spans="7:14" ht="11.25" customHeight="1" x14ac:dyDescent="0.3">
      <c r="G3254" s="470"/>
      <c r="H3254" s="470">
        <v>3247</v>
      </c>
      <c r="I3254" s="455">
        <f t="shared" ca="1" si="145"/>
        <v>181791513564.45596</v>
      </c>
      <c r="J3254" s="455">
        <f t="array" ref="J3254">IFERROR(INDEX('Retirement Calculator'!K:K,MATCH('Lorri 401b'!N3254,'Retirement Calculator'!A:A,0),0),0)</f>
        <v>0</v>
      </c>
      <c r="K3254" s="455">
        <f t="shared" ca="1" si="143"/>
        <v>757464639.85189986</v>
      </c>
      <c r="L3254" s="455">
        <f t="shared" ca="1" si="144"/>
        <v>182548978204.30786</v>
      </c>
      <c r="M3254" s="471">
        <f t="shared" si="146"/>
        <v>0.05</v>
      </c>
      <c r="N3254" s="475">
        <f t="shared" si="147"/>
        <v>150085</v>
      </c>
    </row>
    <row r="3255" spans="7:14" ht="11.25" customHeight="1" x14ac:dyDescent="0.3">
      <c r="G3255" s="470"/>
      <c r="H3255" s="470">
        <v>3248</v>
      </c>
      <c r="I3255" s="455">
        <f t="shared" ca="1" si="145"/>
        <v>182548978204.30786</v>
      </c>
      <c r="J3255" s="455">
        <f t="array" ref="J3255">IFERROR(INDEX('Retirement Calculator'!K:K,MATCH('Lorri 401b'!N3255,'Retirement Calculator'!A:A,0),0),0)</f>
        <v>0</v>
      </c>
      <c r="K3255" s="455">
        <f t="shared" ca="1" si="143"/>
        <v>760620742.51794946</v>
      </c>
      <c r="L3255" s="455">
        <f t="shared" ca="1" si="144"/>
        <v>183309598946.82581</v>
      </c>
      <c r="M3255" s="471">
        <f t="shared" si="146"/>
        <v>0.05</v>
      </c>
      <c r="N3255" s="475">
        <f t="shared" si="147"/>
        <v>150116</v>
      </c>
    </row>
    <row r="3256" spans="7:14" ht="11.25" customHeight="1" x14ac:dyDescent="0.3">
      <c r="G3256" s="470"/>
      <c r="H3256" s="470">
        <v>3249</v>
      </c>
      <c r="I3256" s="455">
        <f t="shared" ca="1" si="145"/>
        <v>183309598946.82581</v>
      </c>
      <c r="J3256" s="455">
        <f t="array" ref="J3256">IFERROR(INDEX('Retirement Calculator'!K:K,MATCH('Lorri 401b'!N3256,'Retirement Calculator'!A:A,0),0),0)</f>
        <v>0</v>
      </c>
      <c r="K3256" s="455">
        <f t="shared" ca="1" si="143"/>
        <v>763789995.61177421</v>
      </c>
      <c r="L3256" s="455">
        <f t="shared" ca="1" si="144"/>
        <v>184073388942.43759</v>
      </c>
      <c r="M3256" s="471">
        <f t="shared" si="146"/>
        <v>0.05</v>
      </c>
      <c r="N3256" s="475">
        <f t="shared" si="147"/>
        <v>150147</v>
      </c>
    </row>
    <row r="3257" spans="7:14" ht="11.25" customHeight="1" x14ac:dyDescent="0.3">
      <c r="G3257" s="470"/>
      <c r="H3257" s="470">
        <v>3250</v>
      </c>
      <c r="I3257" s="455">
        <f t="shared" ca="1" si="145"/>
        <v>184073388942.43759</v>
      </c>
      <c r="J3257" s="455">
        <f t="array" ref="J3257">IFERROR(INDEX('Retirement Calculator'!K:K,MATCH('Lorri 401b'!N3257,'Retirement Calculator'!A:A,0),0),0)</f>
        <v>0</v>
      </c>
      <c r="K3257" s="455">
        <f t="shared" ca="1" si="143"/>
        <v>766972453.92682326</v>
      </c>
      <c r="L3257" s="455">
        <f t="shared" ca="1" si="144"/>
        <v>184840361396.36441</v>
      </c>
      <c r="M3257" s="471">
        <f t="shared" si="146"/>
        <v>0.05</v>
      </c>
      <c r="N3257" s="475">
        <f t="shared" si="147"/>
        <v>150175</v>
      </c>
    </row>
    <row r="3258" spans="7:14" ht="11.25" customHeight="1" x14ac:dyDescent="0.3">
      <c r="G3258" s="470"/>
      <c r="H3258" s="470">
        <v>3251</v>
      </c>
      <c r="I3258" s="455">
        <f t="shared" ca="1" si="145"/>
        <v>184840361396.36441</v>
      </c>
      <c r="J3258" s="455">
        <f t="array" ref="J3258">IFERROR(INDEX('Retirement Calculator'!K:K,MATCH('Lorri 401b'!N3258,'Retirement Calculator'!A:A,0),0),0)</f>
        <v>0</v>
      </c>
      <c r="K3258" s="455">
        <f t="shared" ca="1" si="143"/>
        <v>770168172.48485172</v>
      </c>
      <c r="L3258" s="455">
        <f t="shared" ca="1" si="144"/>
        <v>185610529568.84927</v>
      </c>
      <c r="M3258" s="471">
        <f t="shared" si="146"/>
        <v>0.05</v>
      </c>
      <c r="N3258" s="475">
        <f t="shared" si="147"/>
        <v>150206</v>
      </c>
    </row>
    <row r="3259" spans="7:14" ht="11.25" customHeight="1" x14ac:dyDescent="0.3">
      <c r="G3259" s="470"/>
      <c r="H3259" s="470">
        <v>3252</v>
      </c>
      <c r="I3259" s="455">
        <f t="shared" ca="1" si="145"/>
        <v>185610529568.84927</v>
      </c>
      <c r="J3259" s="455">
        <f t="array" ref="J3259">IFERROR(INDEX('Retirement Calculator'!K:K,MATCH('Lorri 401b'!N3259,'Retirement Calculator'!A:A,0),0),0)</f>
        <v>0</v>
      </c>
      <c r="K3259" s="455">
        <f t="shared" ca="1" si="143"/>
        <v>773377206.53687191</v>
      </c>
      <c r="L3259" s="455">
        <f t="shared" ca="1" si="144"/>
        <v>186383906775.38614</v>
      </c>
      <c r="M3259" s="471">
        <f t="shared" si="146"/>
        <v>0.05</v>
      </c>
      <c r="N3259" s="475">
        <f t="shared" si="147"/>
        <v>150236</v>
      </c>
    </row>
    <row r="3260" spans="7:14" ht="11.25" customHeight="1" x14ac:dyDescent="0.3">
      <c r="G3260" s="470"/>
      <c r="H3260" s="470">
        <v>3253</v>
      </c>
      <c r="I3260" s="455">
        <f t="shared" ca="1" si="145"/>
        <v>186383906775.38614</v>
      </c>
      <c r="J3260" s="455">
        <f t="array" ref="J3260">IFERROR(INDEX('Retirement Calculator'!K:K,MATCH('Lorri 401b'!N3260,'Retirement Calculator'!A:A,0),0),0)</f>
        <v>0</v>
      </c>
      <c r="K3260" s="455">
        <f t="shared" ca="1" si="143"/>
        <v>776599611.56410885</v>
      </c>
      <c r="L3260" s="455">
        <f t="shared" ca="1" si="144"/>
        <v>187160506386.95026</v>
      </c>
      <c r="M3260" s="471">
        <f t="shared" si="146"/>
        <v>0.05</v>
      </c>
      <c r="N3260" s="475">
        <f t="shared" si="147"/>
        <v>150267</v>
      </c>
    </row>
    <row r="3261" spans="7:14" ht="11.25" customHeight="1" x14ac:dyDescent="0.3">
      <c r="G3261" s="470"/>
      <c r="H3261" s="470">
        <v>3254</v>
      </c>
      <c r="I3261" s="455">
        <f t="shared" ca="1" si="145"/>
        <v>187160506386.95026</v>
      </c>
      <c r="J3261" s="455">
        <f t="array" ref="J3261">IFERROR(INDEX('Retirement Calculator'!K:K,MATCH('Lorri 401b'!N3261,'Retirement Calculator'!A:A,0),0),0)</f>
        <v>0</v>
      </c>
      <c r="K3261" s="455">
        <f t="shared" ca="1" si="143"/>
        <v>779835443.27895939</v>
      </c>
      <c r="L3261" s="455">
        <f t="shared" ca="1" si="144"/>
        <v>187940341830.22922</v>
      </c>
      <c r="M3261" s="471">
        <f t="shared" si="146"/>
        <v>0.05</v>
      </c>
      <c r="N3261" s="475">
        <f t="shared" si="147"/>
        <v>150297</v>
      </c>
    </row>
    <row r="3262" spans="7:14" ht="11.25" customHeight="1" x14ac:dyDescent="0.3">
      <c r="G3262" s="470"/>
      <c r="H3262" s="470">
        <v>3255</v>
      </c>
      <c r="I3262" s="455">
        <f t="shared" ca="1" si="145"/>
        <v>187940341830.22922</v>
      </c>
      <c r="J3262" s="455">
        <f t="array" ref="J3262">IFERROR(INDEX('Retirement Calculator'!K:K,MATCH('Lorri 401b'!N3262,'Retirement Calculator'!A:A,0),0),0)</f>
        <v>0</v>
      </c>
      <c r="K3262" s="455">
        <f t="shared" ca="1" si="143"/>
        <v>783084757.6259551</v>
      </c>
      <c r="L3262" s="455">
        <f t="shared" ca="1" si="144"/>
        <v>188723426587.85516</v>
      </c>
      <c r="M3262" s="471">
        <f t="shared" si="146"/>
        <v>0.05</v>
      </c>
      <c r="N3262" s="475">
        <f t="shared" si="147"/>
        <v>150328</v>
      </c>
    </row>
    <row r="3263" spans="7:14" ht="11.25" customHeight="1" x14ac:dyDescent="0.3">
      <c r="G3263" s="470"/>
      <c r="H3263" s="470">
        <v>3256</v>
      </c>
      <c r="I3263" s="455">
        <f t="shared" ca="1" si="145"/>
        <v>188723426587.85516</v>
      </c>
      <c r="J3263" s="455">
        <f t="array" ref="J3263">IFERROR(INDEX('Retirement Calculator'!K:K,MATCH('Lorri 401b'!N3263,'Retirement Calculator'!A:A,0),0),0)</f>
        <v>0</v>
      </c>
      <c r="K3263" s="455">
        <f t="shared" ca="1" si="143"/>
        <v>786347610.78272986</v>
      </c>
      <c r="L3263" s="455">
        <f t="shared" ca="1" si="144"/>
        <v>189509774198.63788</v>
      </c>
      <c r="M3263" s="471">
        <f t="shared" si="146"/>
        <v>0.05</v>
      </c>
      <c r="N3263" s="475">
        <f t="shared" si="147"/>
        <v>150359</v>
      </c>
    </row>
    <row r="3264" spans="7:14" ht="11.25" customHeight="1" x14ac:dyDescent="0.3">
      <c r="G3264" s="470"/>
      <c r="H3264" s="470">
        <v>3257</v>
      </c>
      <c r="I3264" s="455">
        <f t="shared" ca="1" si="145"/>
        <v>189509774198.63788</v>
      </c>
      <c r="J3264" s="455">
        <f t="array" ref="J3264">IFERROR(INDEX('Retirement Calculator'!K:K,MATCH('Lorri 401b'!N3264,'Retirement Calculator'!A:A,0),0),0)</f>
        <v>0</v>
      </c>
      <c r="K3264" s="455">
        <f t="shared" ca="1" si="143"/>
        <v>789624059.16099119</v>
      </c>
      <c r="L3264" s="455">
        <f t="shared" ca="1" si="144"/>
        <v>190299398257.79886</v>
      </c>
      <c r="M3264" s="471">
        <f t="shared" si="146"/>
        <v>0.05</v>
      </c>
      <c r="N3264" s="475">
        <f t="shared" si="147"/>
        <v>150389</v>
      </c>
    </row>
    <row r="3265" spans="7:14" ht="11.25" customHeight="1" x14ac:dyDescent="0.3">
      <c r="G3265" s="470"/>
      <c r="H3265" s="470">
        <v>3258</v>
      </c>
      <c r="I3265" s="455">
        <f t="shared" ca="1" si="145"/>
        <v>190299398257.79886</v>
      </c>
      <c r="J3265" s="455">
        <f t="array" ref="J3265">IFERROR(INDEX('Retirement Calculator'!K:K,MATCH('Lorri 401b'!N3265,'Retirement Calculator'!A:A,0),0),0)</f>
        <v>0</v>
      </c>
      <c r="K3265" s="455">
        <f t="shared" ca="1" si="143"/>
        <v>792914159.40749526</v>
      </c>
      <c r="L3265" s="455">
        <f t="shared" ca="1" si="144"/>
        <v>191092312417.20636</v>
      </c>
      <c r="M3265" s="471">
        <f t="shared" si="146"/>
        <v>0.05</v>
      </c>
      <c r="N3265" s="475">
        <f t="shared" si="147"/>
        <v>150420</v>
      </c>
    </row>
    <row r="3266" spans="7:14" ht="11.25" customHeight="1" x14ac:dyDescent="0.3">
      <c r="G3266" s="470"/>
      <c r="H3266" s="470">
        <v>3259</v>
      </c>
      <c r="I3266" s="455">
        <f t="shared" ca="1" si="145"/>
        <v>191092312417.20636</v>
      </c>
      <c r="J3266" s="455">
        <f t="array" ref="J3266">IFERROR(INDEX('Retirement Calculator'!K:K,MATCH('Lorri 401b'!N3266,'Retirement Calculator'!A:A,0),0),0)</f>
        <v>0</v>
      </c>
      <c r="K3266" s="455">
        <f t="shared" ca="1" si="143"/>
        <v>796217968.40502644</v>
      </c>
      <c r="L3266" s="455">
        <f t="shared" ca="1" si="144"/>
        <v>191888530385.61139</v>
      </c>
      <c r="M3266" s="471">
        <f t="shared" si="146"/>
        <v>0.05</v>
      </c>
      <c r="N3266" s="475">
        <f t="shared" si="147"/>
        <v>150450</v>
      </c>
    </row>
    <row r="3267" spans="7:14" ht="11.25" customHeight="1" x14ac:dyDescent="0.3">
      <c r="G3267" s="470"/>
      <c r="H3267" s="470">
        <v>3260</v>
      </c>
      <c r="I3267" s="455">
        <f t="shared" ca="1" si="145"/>
        <v>191888530385.61139</v>
      </c>
      <c r="J3267" s="455">
        <f t="array" ref="J3267">IFERROR(INDEX('Retirement Calculator'!K:K,MATCH('Lorri 401b'!N3267,'Retirement Calculator'!A:A,0),0),0)</f>
        <v>0</v>
      </c>
      <c r="K3267" s="455">
        <f t="shared" ca="1" si="143"/>
        <v>799535543.27338076</v>
      </c>
      <c r="L3267" s="455">
        <f t="shared" ca="1" si="144"/>
        <v>192688065928.88477</v>
      </c>
      <c r="M3267" s="471">
        <f t="shared" si="146"/>
        <v>0.05</v>
      </c>
      <c r="N3267" s="475">
        <f t="shared" si="147"/>
        <v>150481</v>
      </c>
    </row>
    <row r="3268" spans="7:14" ht="11.25" customHeight="1" x14ac:dyDescent="0.3">
      <c r="G3268" s="470"/>
      <c r="H3268" s="470">
        <v>3261</v>
      </c>
      <c r="I3268" s="455">
        <f t="shared" ca="1" si="145"/>
        <v>192688065928.88477</v>
      </c>
      <c r="J3268" s="455">
        <f t="array" ref="J3268">IFERROR(INDEX('Retirement Calculator'!K:K,MATCH('Lorri 401b'!N3268,'Retirement Calculator'!A:A,0),0),0)</f>
        <v>0</v>
      </c>
      <c r="K3268" s="455">
        <f t="shared" ca="1" si="143"/>
        <v>802866941.37035322</v>
      </c>
      <c r="L3268" s="455">
        <f t="shared" ca="1" si="144"/>
        <v>193490932870.25513</v>
      </c>
      <c r="M3268" s="471">
        <f t="shared" si="146"/>
        <v>0.05</v>
      </c>
      <c r="N3268" s="475">
        <f t="shared" si="147"/>
        <v>150512</v>
      </c>
    </row>
    <row r="3269" spans="7:14" ht="11.25" customHeight="1" x14ac:dyDescent="0.3">
      <c r="G3269" s="470"/>
      <c r="H3269" s="470">
        <v>3262</v>
      </c>
      <c r="I3269" s="455">
        <f t="shared" ca="1" si="145"/>
        <v>193490932870.25513</v>
      </c>
      <c r="J3269" s="455">
        <f t="array" ref="J3269">IFERROR(INDEX('Retirement Calculator'!K:K,MATCH('Lorri 401b'!N3269,'Retirement Calculator'!A:A,0),0),0)</f>
        <v>0</v>
      </c>
      <c r="K3269" s="455">
        <f t="shared" ca="1" si="143"/>
        <v>806212220.29272974</v>
      </c>
      <c r="L3269" s="455">
        <f t="shared" ca="1" si="144"/>
        <v>194297145090.54785</v>
      </c>
      <c r="M3269" s="471">
        <f t="shared" si="146"/>
        <v>0.05</v>
      </c>
      <c r="N3269" s="475">
        <f t="shared" si="147"/>
        <v>150541</v>
      </c>
    </row>
    <row r="3270" spans="7:14" ht="11.25" customHeight="1" x14ac:dyDescent="0.3">
      <c r="G3270" s="470"/>
      <c r="H3270" s="470">
        <v>3263</v>
      </c>
      <c r="I3270" s="455">
        <f t="shared" ca="1" si="145"/>
        <v>194297145090.54785</v>
      </c>
      <c r="J3270" s="455">
        <f t="array" ref="J3270">IFERROR(INDEX('Retirement Calculator'!K:K,MATCH('Lorri 401b'!N3270,'Retirement Calculator'!A:A,0),0),0)</f>
        <v>0</v>
      </c>
      <c r="K3270" s="455">
        <f t="shared" ca="1" si="143"/>
        <v>809571437.87728274</v>
      </c>
      <c r="L3270" s="455">
        <f t="shared" ca="1" si="144"/>
        <v>195106716528.42514</v>
      </c>
      <c r="M3270" s="471">
        <f t="shared" si="146"/>
        <v>0.05</v>
      </c>
      <c r="N3270" s="475">
        <f t="shared" si="147"/>
        <v>150572</v>
      </c>
    </row>
    <row r="3271" spans="7:14" ht="11.25" customHeight="1" x14ac:dyDescent="0.3">
      <c r="G3271" s="470"/>
      <c r="H3271" s="470">
        <v>3264</v>
      </c>
      <c r="I3271" s="455">
        <f t="shared" ca="1" si="145"/>
        <v>195106716528.42514</v>
      </c>
      <c r="J3271" s="455">
        <f t="array" ref="J3271">IFERROR(INDEX('Retirement Calculator'!K:K,MATCH('Lorri 401b'!N3271,'Retirement Calculator'!A:A,0),0),0)</f>
        <v>0</v>
      </c>
      <c r="K3271" s="455">
        <f t="shared" ca="1" si="143"/>
        <v>812944652.20177138</v>
      </c>
      <c r="L3271" s="455">
        <f t="shared" ca="1" si="144"/>
        <v>195919661180.62692</v>
      </c>
      <c r="M3271" s="471">
        <f t="shared" si="146"/>
        <v>0.05</v>
      </c>
      <c r="N3271" s="475">
        <f t="shared" si="147"/>
        <v>150602</v>
      </c>
    </row>
    <row r="3272" spans="7:14" ht="11.25" customHeight="1" x14ac:dyDescent="0.3">
      <c r="G3272" s="470"/>
      <c r="H3272" s="470">
        <v>3265</v>
      </c>
      <c r="I3272" s="455">
        <f t="shared" ca="1" si="145"/>
        <v>195919661180.62692</v>
      </c>
      <c r="J3272" s="455">
        <f t="array" ref="J3272">IFERROR(INDEX('Retirement Calculator'!K:K,MATCH('Lorri 401b'!N3272,'Retirement Calculator'!A:A,0),0),0)</f>
        <v>0</v>
      </c>
      <c r="K3272" s="455">
        <f t="shared" ca="1" si="143"/>
        <v>816331921.58594549</v>
      </c>
      <c r="L3272" s="455">
        <f t="shared" ca="1" si="144"/>
        <v>196735993102.21286</v>
      </c>
      <c r="M3272" s="471">
        <f t="shared" si="146"/>
        <v>0.05</v>
      </c>
      <c r="N3272" s="475">
        <f t="shared" si="147"/>
        <v>150633</v>
      </c>
    </row>
    <row r="3273" spans="7:14" ht="11.25" customHeight="1" x14ac:dyDescent="0.3">
      <c r="G3273" s="470"/>
      <c r="H3273" s="470">
        <v>3266</v>
      </c>
      <c r="I3273" s="455">
        <f t="shared" ca="1" si="145"/>
        <v>196735993102.21286</v>
      </c>
      <c r="J3273" s="455">
        <f t="array" ref="J3273">IFERROR(INDEX('Retirement Calculator'!K:K,MATCH('Lorri 401b'!N3273,'Retirement Calculator'!A:A,0),0),0)</f>
        <v>0</v>
      </c>
      <c r="K3273" s="455">
        <f t="shared" ca="1" si="143"/>
        <v>819733304.59255362</v>
      </c>
      <c r="L3273" s="455">
        <f t="shared" ca="1" si="144"/>
        <v>197555726406.80542</v>
      </c>
      <c r="M3273" s="471">
        <f t="shared" si="146"/>
        <v>0.05</v>
      </c>
      <c r="N3273" s="475">
        <f t="shared" si="147"/>
        <v>150663</v>
      </c>
    </row>
    <row r="3274" spans="7:14" ht="11.25" customHeight="1" x14ac:dyDescent="0.3">
      <c r="G3274" s="470"/>
      <c r="H3274" s="470">
        <v>3267</v>
      </c>
      <c r="I3274" s="455">
        <f t="shared" ca="1" si="145"/>
        <v>197555726406.80542</v>
      </c>
      <c r="J3274" s="455">
        <f t="array" ref="J3274">IFERROR(INDEX('Retirement Calculator'!K:K,MATCH('Lorri 401b'!N3274,'Retirement Calculator'!A:A,0),0),0)</f>
        <v>0</v>
      </c>
      <c r="K3274" s="455">
        <f t="shared" ca="1" si="143"/>
        <v>823148860.02835596</v>
      </c>
      <c r="L3274" s="455">
        <f t="shared" ca="1" si="144"/>
        <v>198378875266.83377</v>
      </c>
      <c r="M3274" s="471">
        <f t="shared" si="146"/>
        <v>0.05</v>
      </c>
      <c r="N3274" s="475">
        <f t="shared" si="147"/>
        <v>150694</v>
      </c>
    </row>
    <row r="3275" spans="7:14" ht="11.25" customHeight="1" x14ac:dyDescent="0.3">
      <c r="G3275" s="470"/>
      <c r="H3275" s="470">
        <v>3268</v>
      </c>
      <c r="I3275" s="455">
        <f t="shared" ca="1" si="145"/>
        <v>198378875266.83377</v>
      </c>
      <c r="J3275" s="455">
        <f t="array" ref="J3275">IFERROR(INDEX('Retirement Calculator'!K:K,MATCH('Lorri 401b'!N3275,'Retirement Calculator'!A:A,0),0),0)</f>
        <v>0</v>
      </c>
      <c r="K3275" s="455">
        <f t="shared" ca="1" si="143"/>
        <v>826578646.94514072</v>
      </c>
      <c r="L3275" s="455">
        <f t="shared" ca="1" si="144"/>
        <v>199205453913.7789</v>
      </c>
      <c r="M3275" s="471">
        <f t="shared" si="146"/>
        <v>0.05</v>
      </c>
      <c r="N3275" s="475">
        <f t="shared" si="147"/>
        <v>150725</v>
      </c>
    </row>
    <row r="3276" spans="7:14" ht="11.25" customHeight="1" x14ac:dyDescent="0.3">
      <c r="G3276" s="470"/>
      <c r="H3276" s="470">
        <v>3269</v>
      </c>
      <c r="I3276" s="455">
        <f t="shared" ca="1" si="145"/>
        <v>199205453913.7789</v>
      </c>
      <c r="J3276" s="455">
        <f t="array" ref="J3276">IFERROR(INDEX('Retirement Calculator'!K:K,MATCH('Lorri 401b'!N3276,'Retirement Calculator'!A:A,0),0),0)</f>
        <v>0</v>
      </c>
      <c r="K3276" s="455">
        <f t="shared" ca="1" si="143"/>
        <v>830022724.6407454</v>
      </c>
      <c r="L3276" s="455">
        <f t="shared" ca="1" si="144"/>
        <v>200035476638.41965</v>
      </c>
      <c r="M3276" s="471">
        <f t="shared" si="146"/>
        <v>0.05</v>
      </c>
      <c r="N3276" s="475">
        <f t="shared" si="147"/>
        <v>150755</v>
      </c>
    </row>
    <row r="3277" spans="7:14" ht="11.25" customHeight="1" x14ac:dyDescent="0.3">
      <c r="G3277" s="470"/>
      <c r="H3277" s="470">
        <v>3270</v>
      </c>
      <c r="I3277" s="455">
        <f t="shared" ca="1" si="145"/>
        <v>200035476638.41965</v>
      </c>
      <c r="J3277" s="455">
        <f t="array" ref="J3277">IFERROR(INDEX('Retirement Calculator'!K:K,MATCH('Lorri 401b'!N3277,'Retirement Calculator'!A:A,0),0),0)</f>
        <v>0</v>
      </c>
      <c r="K3277" s="455">
        <f t="shared" ca="1" si="143"/>
        <v>833481152.66008186</v>
      </c>
      <c r="L3277" s="455">
        <f t="shared" ca="1" si="144"/>
        <v>200868957791.07974</v>
      </c>
      <c r="M3277" s="471">
        <f t="shared" si="146"/>
        <v>0.05</v>
      </c>
      <c r="N3277" s="475">
        <f t="shared" si="147"/>
        <v>150786</v>
      </c>
    </row>
    <row r="3278" spans="7:14" ht="11.25" customHeight="1" x14ac:dyDescent="0.3">
      <c r="G3278" s="470"/>
      <c r="H3278" s="470">
        <v>3271</v>
      </c>
      <c r="I3278" s="455">
        <f t="shared" ca="1" si="145"/>
        <v>200868957791.07974</v>
      </c>
      <c r="J3278" s="455">
        <f t="array" ref="J3278">IFERROR(INDEX('Retirement Calculator'!K:K,MATCH('Lorri 401b'!N3278,'Retirement Calculator'!A:A,0),0),0)</f>
        <v>0</v>
      </c>
      <c r="K3278" s="455">
        <f t="shared" ca="1" si="143"/>
        <v>836953990.79616559</v>
      </c>
      <c r="L3278" s="455">
        <f t="shared" ca="1" si="144"/>
        <v>201705911781.87592</v>
      </c>
      <c r="M3278" s="471">
        <f t="shared" si="146"/>
        <v>0.05</v>
      </c>
      <c r="N3278" s="475">
        <f t="shared" si="147"/>
        <v>150816</v>
      </c>
    </row>
    <row r="3279" spans="7:14" ht="11.25" customHeight="1" x14ac:dyDescent="0.3">
      <c r="G3279" s="470"/>
      <c r="H3279" s="470">
        <v>3272</v>
      </c>
      <c r="I3279" s="455">
        <f t="shared" ca="1" si="145"/>
        <v>201705911781.87592</v>
      </c>
      <c r="J3279" s="455">
        <f t="array" ref="J3279">IFERROR(INDEX('Retirement Calculator'!K:K,MATCH('Lorri 401b'!N3279,'Retirement Calculator'!A:A,0),0),0)</f>
        <v>0</v>
      </c>
      <c r="K3279" s="455">
        <f t="shared" ca="1" si="143"/>
        <v>840441299.09114969</v>
      </c>
      <c r="L3279" s="455">
        <f t="shared" ca="1" si="144"/>
        <v>202546353080.96707</v>
      </c>
      <c r="M3279" s="471">
        <f t="shared" si="146"/>
        <v>0.05</v>
      </c>
      <c r="N3279" s="475">
        <f t="shared" si="147"/>
        <v>150847</v>
      </c>
    </row>
    <row r="3280" spans="7:14" ht="11.25" customHeight="1" x14ac:dyDescent="0.3">
      <c r="G3280" s="470"/>
      <c r="H3280" s="470">
        <v>3273</v>
      </c>
      <c r="I3280" s="455">
        <f t="shared" ca="1" si="145"/>
        <v>202546353080.96707</v>
      </c>
      <c r="J3280" s="455">
        <f t="array" ref="J3280">IFERROR(INDEX('Retirement Calculator'!K:K,MATCH('Lorri 401b'!N3280,'Retirement Calculator'!A:A,0),0),0)</f>
        <v>0</v>
      </c>
      <c r="K3280" s="455">
        <f t="shared" ca="1" si="143"/>
        <v>843943137.83736277</v>
      </c>
      <c r="L3280" s="455">
        <f t="shared" ca="1" si="144"/>
        <v>203390296218.80444</v>
      </c>
      <c r="M3280" s="471">
        <f t="shared" si="146"/>
        <v>0.05</v>
      </c>
      <c r="N3280" s="475">
        <f t="shared" si="147"/>
        <v>150878</v>
      </c>
    </row>
    <row r="3281" spans="7:14" ht="11.25" customHeight="1" x14ac:dyDescent="0.3">
      <c r="G3281" s="470"/>
      <c r="H3281" s="470">
        <v>3274</v>
      </c>
      <c r="I3281" s="455">
        <f t="shared" ca="1" si="145"/>
        <v>203390296218.80444</v>
      </c>
      <c r="J3281" s="455">
        <f t="array" ref="J3281">IFERROR(INDEX('Retirement Calculator'!K:K,MATCH('Lorri 401b'!N3281,'Retirement Calculator'!A:A,0),0),0)</f>
        <v>0</v>
      </c>
      <c r="K3281" s="455">
        <f t="shared" ca="1" si="143"/>
        <v>847459567.57835186</v>
      </c>
      <c r="L3281" s="455">
        <f t="shared" ca="1" si="144"/>
        <v>204237755786.38278</v>
      </c>
      <c r="M3281" s="471">
        <f t="shared" si="146"/>
        <v>0.05</v>
      </c>
      <c r="N3281" s="475">
        <f t="shared" si="147"/>
        <v>150906</v>
      </c>
    </row>
    <row r="3282" spans="7:14" ht="11.25" customHeight="1" x14ac:dyDescent="0.3">
      <c r="G3282" s="470"/>
      <c r="H3282" s="470">
        <v>3275</v>
      </c>
      <c r="I3282" s="455">
        <f t="shared" ca="1" si="145"/>
        <v>204237755786.38278</v>
      </c>
      <c r="J3282" s="455">
        <f t="array" ref="J3282">IFERROR(INDEX('Retirement Calculator'!K:K,MATCH('Lorri 401b'!N3282,'Retirement Calculator'!A:A,0),0),0)</f>
        <v>0</v>
      </c>
      <c r="K3282" s="455">
        <f t="shared" ca="1" si="143"/>
        <v>850990649.10992825</v>
      </c>
      <c r="L3282" s="455">
        <f t="shared" ca="1" si="144"/>
        <v>205088746435.49271</v>
      </c>
      <c r="M3282" s="471">
        <f t="shared" si="146"/>
        <v>0.05</v>
      </c>
      <c r="N3282" s="475">
        <f t="shared" si="147"/>
        <v>150937</v>
      </c>
    </row>
    <row r="3283" spans="7:14" ht="11.25" customHeight="1" x14ac:dyDescent="0.3">
      <c r="G3283" s="470"/>
      <c r="H3283" s="470">
        <v>3276</v>
      </c>
      <c r="I3283" s="455">
        <f t="shared" ca="1" si="145"/>
        <v>205088746435.49271</v>
      </c>
      <c r="J3283" s="455">
        <f t="array" ref="J3283">IFERROR(INDEX('Retirement Calculator'!K:K,MATCH('Lorri 401b'!N3283,'Retirement Calculator'!A:A,0),0),0)</f>
        <v>0</v>
      </c>
      <c r="K3283" s="455">
        <f t="shared" ca="1" si="143"/>
        <v>854536443.48121965</v>
      </c>
      <c r="L3283" s="455">
        <f t="shared" ca="1" si="144"/>
        <v>205943282878.97394</v>
      </c>
      <c r="M3283" s="471">
        <f t="shared" si="146"/>
        <v>0.05</v>
      </c>
      <c r="N3283" s="475">
        <f t="shared" si="147"/>
        <v>150967</v>
      </c>
    </row>
    <row r="3284" spans="7:14" ht="11.25" customHeight="1" x14ac:dyDescent="0.3">
      <c r="G3284" s="470"/>
      <c r="H3284" s="470">
        <v>3277</v>
      </c>
      <c r="I3284" s="455">
        <f t="shared" ca="1" si="145"/>
        <v>205943282878.97394</v>
      </c>
      <c r="J3284" s="455">
        <f t="array" ref="J3284">IFERROR(INDEX('Retirement Calculator'!K:K,MATCH('Lorri 401b'!N3284,'Retirement Calculator'!A:A,0),0),0)</f>
        <v>0</v>
      </c>
      <c r="K3284" s="455">
        <f t="shared" ca="1" si="143"/>
        <v>858097011.99572468</v>
      </c>
      <c r="L3284" s="455">
        <f t="shared" ca="1" si="144"/>
        <v>206801379890.96967</v>
      </c>
      <c r="M3284" s="471">
        <f t="shared" si="146"/>
        <v>0.05</v>
      </c>
      <c r="N3284" s="475">
        <f t="shared" si="147"/>
        <v>150998</v>
      </c>
    </row>
    <row r="3285" spans="7:14" ht="11.25" customHeight="1" x14ac:dyDescent="0.3">
      <c r="G3285" s="470"/>
      <c r="H3285" s="470">
        <v>3278</v>
      </c>
      <c r="I3285" s="455">
        <f t="shared" ca="1" si="145"/>
        <v>206801379890.96967</v>
      </c>
      <c r="J3285" s="455">
        <f t="array" ref="J3285">IFERROR(INDEX('Retirement Calculator'!K:K,MATCH('Lorri 401b'!N3285,'Retirement Calculator'!A:A,0),0),0)</f>
        <v>0</v>
      </c>
      <c r="K3285" s="455">
        <f t="shared" ca="1" si="143"/>
        <v>861672416.21237361</v>
      </c>
      <c r="L3285" s="455">
        <f t="shared" ca="1" si="144"/>
        <v>207663052307.18204</v>
      </c>
      <c r="M3285" s="471">
        <f t="shared" si="146"/>
        <v>0.05</v>
      </c>
      <c r="N3285" s="475">
        <f t="shared" si="147"/>
        <v>151028</v>
      </c>
    </row>
    <row r="3286" spans="7:14" ht="11.25" customHeight="1" x14ac:dyDescent="0.3">
      <c r="G3286" s="470"/>
      <c r="H3286" s="470">
        <v>3279</v>
      </c>
      <c r="I3286" s="455">
        <f t="shared" ca="1" si="145"/>
        <v>207663052307.18204</v>
      </c>
      <c r="J3286" s="455">
        <f t="array" ref="J3286">IFERROR(INDEX('Retirement Calculator'!K:K,MATCH('Lorri 401b'!N3286,'Retirement Calculator'!A:A,0),0),0)</f>
        <v>0</v>
      </c>
      <c r="K3286" s="455">
        <f t="shared" ca="1" si="143"/>
        <v>865262717.94659185</v>
      </c>
      <c r="L3286" s="455">
        <f t="shared" ca="1" si="144"/>
        <v>208528315025.12863</v>
      </c>
      <c r="M3286" s="471">
        <f t="shared" si="146"/>
        <v>0.05</v>
      </c>
      <c r="N3286" s="475">
        <f t="shared" si="147"/>
        <v>151059</v>
      </c>
    </row>
    <row r="3287" spans="7:14" ht="11.25" customHeight="1" x14ac:dyDescent="0.3">
      <c r="G3287" s="470"/>
      <c r="H3287" s="470">
        <v>3280</v>
      </c>
      <c r="I3287" s="455">
        <f t="shared" ca="1" si="145"/>
        <v>208528315025.12863</v>
      </c>
      <c r="J3287" s="455">
        <f t="array" ref="J3287">IFERROR(INDEX('Retirement Calculator'!K:K,MATCH('Lorri 401b'!N3287,'Retirement Calculator'!A:A,0),0),0)</f>
        <v>0</v>
      </c>
      <c r="K3287" s="455">
        <f t="shared" ca="1" si="143"/>
        <v>868867979.27136934</v>
      </c>
      <c r="L3287" s="455">
        <f t="shared" ca="1" si="144"/>
        <v>209397183004.39999</v>
      </c>
      <c r="M3287" s="471">
        <f t="shared" si="146"/>
        <v>0.05</v>
      </c>
      <c r="N3287" s="475">
        <f t="shared" si="147"/>
        <v>151090</v>
      </c>
    </row>
    <row r="3288" spans="7:14" ht="11.25" customHeight="1" x14ac:dyDescent="0.3">
      <c r="G3288" s="470"/>
      <c r="H3288" s="470">
        <v>3281</v>
      </c>
      <c r="I3288" s="455">
        <f t="shared" ca="1" si="145"/>
        <v>209397183004.39999</v>
      </c>
      <c r="J3288" s="455">
        <f t="array" ref="J3288">IFERROR(INDEX('Retirement Calculator'!K:K,MATCH('Lorri 401b'!N3288,'Retirement Calculator'!A:A,0),0),0)</f>
        <v>0</v>
      </c>
      <c r="K3288" s="455">
        <f t="shared" ca="1" si="143"/>
        <v>872488262.51833332</v>
      </c>
      <c r="L3288" s="455">
        <f t="shared" ca="1" si="144"/>
        <v>210269671266.91833</v>
      </c>
      <c r="M3288" s="471">
        <f t="shared" si="146"/>
        <v>0.05</v>
      </c>
      <c r="N3288" s="475">
        <f t="shared" si="147"/>
        <v>151120</v>
      </c>
    </row>
    <row r="3289" spans="7:14" ht="11.25" customHeight="1" x14ac:dyDescent="0.3">
      <c r="G3289" s="470"/>
      <c r="H3289" s="470">
        <v>3282</v>
      </c>
      <c r="I3289" s="455">
        <f t="shared" ca="1" si="145"/>
        <v>210269671266.91833</v>
      </c>
      <c r="J3289" s="455">
        <f t="array" ref="J3289">IFERROR(INDEX('Retirement Calculator'!K:K,MATCH('Lorri 401b'!N3289,'Retirement Calculator'!A:A,0),0),0)</f>
        <v>0</v>
      </c>
      <c r="K3289" s="455">
        <f t="shared" ca="1" si="143"/>
        <v>876123630.27882636</v>
      </c>
      <c r="L3289" s="455">
        <f t="shared" ca="1" si="144"/>
        <v>211145794897.19717</v>
      </c>
      <c r="M3289" s="471">
        <f t="shared" si="146"/>
        <v>0.05</v>
      </c>
      <c r="N3289" s="475">
        <f t="shared" si="147"/>
        <v>151151</v>
      </c>
    </row>
    <row r="3290" spans="7:14" ht="11.25" customHeight="1" x14ac:dyDescent="0.3">
      <c r="G3290" s="470"/>
      <c r="H3290" s="470">
        <v>3283</v>
      </c>
      <c r="I3290" s="455">
        <f t="shared" ca="1" si="145"/>
        <v>211145794897.19717</v>
      </c>
      <c r="J3290" s="455">
        <f t="array" ref="J3290">IFERROR(INDEX('Retirement Calculator'!K:K,MATCH('Lorri 401b'!N3290,'Retirement Calculator'!A:A,0),0),0)</f>
        <v>0</v>
      </c>
      <c r="K3290" s="455">
        <f t="shared" ca="1" si="143"/>
        <v>879774145.40498817</v>
      </c>
      <c r="L3290" s="455">
        <f t="shared" ca="1" si="144"/>
        <v>212025569042.60217</v>
      </c>
      <c r="M3290" s="471">
        <f t="shared" si="146"/>
        <v>0.05</v>
      </c>
      <c r="N3290" s="475">
        <f t="shared" si="147"/>
        <v>151181</v>
      </c>
    </row>
    <row r="3291" spans="7:14" ht="11.25" customHeight="1" x14ac:dyDescent="0.3">
      <c r="G3291" s="470"/>
      <c r="H3291" s="470">
        <v>3284</v>
      </c>
      <c r="I3291" s="455">
        <f t="shared" ca="1" si="145"/>
        <v>212025569042.60217</v>
      </c>
      <c r="J3291" s="455">
        <f t="array" ref="J3291">IFERROR(INDEX('Retirement Calculator'!K:K,MATCH('Lorri 401b'!N3291,'Retirement Calculator'!A:A,0),0),0)</f>
        <v>0</v>
      </c>
      <c r="K3291" s="455">
        <f t="shared" ca="1" si="143"/>
        <v>883439871.01084232</v>
      </c>
      <c r="L3291" s="455">
        <f t="shared" ca="1" si="144"/>
        <v>212909008913.61301</v>
      </c>
      <c r="M3291" s="471">
        <f t="shared" si="146"/>
        <v>0.05</v>
      </c>
      <c r="N3291" s="475">
        <f t="shared" si="147"/>
        <v>151212</v>
      </c>
    </row>
    <row r="3292" spans="7:14" ht="11.25" customHeight="1" x14ac:dyDescent="0.3">
      <c r="G3292" s="470"/>
      <c r="H3292" s="470">
        <v>3285</v>
      </c>
      <c r="I3292" s="455">
        <f t="shared" ca="1" si="145"/>
        <v>212909008913.61301</v>
      </c>
      <c r="J3292" s="455">
        <f t="array" ref="J3292">IFERROR(INDEX('Retirement Calculator'!K:K,MATCH('Lorri 401b'!N3292,'Retirement Calculator'!A:A,0),0),0)</f>
        <v>0</v>
      </c>
      <c r="K3292" s="455">
        <f t="shared" ca="1" si="143"/>
        <v>887120870.47338748</v>
      </c>
      <c r="L3292" s="455">
        <f t="shared" ca="1" si="144"/>
        <v>213796129784.0864</v>
      </c>
      <c r="M3292" s="471">
        <f t="shared" si="146"/>
        <v>0.05</v>
      </c>
      <c r="N3292" s="475">
        <f t="shared" si="147"/>
        <v>151243</v>
      </c>
    </row>
    <row r="3293" spans="7:14" ht="11.25" customHeight="1" x14ac:dyDescent="0.3">
      <c r="G3293" s="470"/>
      <c r="H3293" s="470">
        <v>3286</v>
      </c>
      <c r="I3293" s="455">
        <f t="shared" ca="1" si="145"/>
        <v>213796129784.0864</v>
      </c>
      <c r="J3293" s="455">
        <f t="array" ref="J3293">IFERROR(INDEX('Retirement Calculator'!K:K,MATCH('Lorri 401b'!N3293,'Retirement Calculator'!A:A,0),0),0)</f>
        <v>0</v>
      </c>
      <c r="K3293" s="455">
        <f t="shared" ca="1" si="143"/>
        <v>890817207.43369329</v>
      </c>
      <c r="L3293" s="455">
        <f t="shared" ca="1" si="144"/>
        <v>214686946991.52008</v>
      </c>
      <c r="M3293" s="471">
        <f t="shared" si="146"/>
        <v>0.05</v>
      </c>
      <c r="N3293" s="475">
        <f t="shared" si="147"/>
        <v>151271</v>
      </c>
    </row>
    <row r="3294" spans="7:14" ht="11.25" customHeight="1" x14ac:dyDescent="0.3">
      <c r="G3294" s="470"/>
      <c r="H3294" s="470">
        <v>3287</v>
      </c>
      <c r="I3294" s="455">
        <f t="shared" ca="1" si="145"/>
        <v>214686946991.52008</v>
      </c>
      <c r="J3294" s="455">
        <f t="array" ref="J3294">IFERROR(INDEX('Retirement Calculator'!K:K,MATCH('Lorri 401b'!N3294,'Retirement Calculator'!A:A,0),0),0)</f>
        <v>0</v>
      </c>
      <c r="K3294" s="455">
        <f t="shared" ca="1" si="143"/>
        <v>894528945.79800045</v>
      </c>
      <c r="L3294" s="455">
        <f t="shared" ca="1" si="144"/>
        <v>215581475937.31808</v>
      </c>
      <c r="M3294" s="471">
        <f t="shared" si="146"/>
        <v>0.05</v>
      </c>
      <c r="N3294" s="475">
        <f t="shared" si="147"/>
        <v>151302</v>
      </c>
    </row>
    <row r="3295" spans="7:14" ht="11.25" customHeight="1" x14ac:dyDescent="0.3">
      <c r="G3295" s="470"/>
      <c r="H3295" s="470">
        <v>3288</v>
      </c>
      <c r="I3295" s="455">
        <f t="shared" ca="1" si="145"/>
        <v>215581475937.31808</v>
      </c>
      <c r="J3295" s="455">
        <f t="array" ref="J3295">IFERROR(INDEX('Retirement Calculator'!K:K,MATCH('Lorri 401b'!N3295,'Retirement Calculator'!A:A,0),0),0)</f>
        <v>0</v>
      </c>
      <c r="K3295" s="455">
        <f t="shared" ca="1" si="143"/>
        <v>898256149.73882532</v>
      </c>
      <c r="L3295" s="455">
        <f t="shared" ca="1" si="144"/>
        <v>216479732087.05692</v>
      </c>
      <c r="M3295" s="471">
        <f t="shared" si="146"/>
        <v>0.05</v>
      </c>
      <c r="N3295" s="475">
        <f t="shared" si="147"/>
        <v>151332</v>
      </c>
    </row>
    <row r="3296" spans="7:14" ht="11.25" customHeight="1" x14ac:dyDescent="0.3">
      <c r="G3296" s="470"/>
      <c r="H3296" s="470">
        <v>3289</v>
      </c>
      <c r="I3296" s="455">
        <f t="shared" ca="1" si="145"/>
        <v>216479732087.05692</v>
      </c>
      <c r="J3296" s="455">
        <f t="array" ref="J3296">IFERROR(INDEX('Retirement Calculator'!K:K,MATCH('Lorri 401b'!N3296,'Retirement Calculator'!A:A,0),0),0)</f>
        <v>0</v>
      </c>
      <c r="K3296" s="455">
        <f t="shared" ca="1" si="143"/>
        <v>901998883.69607055</v>
      </c>
      <c r="L3296" s="455">
        <f t="shared" ca="1" si="144"/>
        <v>217381730970.75299</v>
      </c>
      <c r="M3296" s="471">
        <f t="shared" si="146"/>
        <v>0.05</v>
      </c>
      <c r="N3296" s="475">
        <f t="shared" si="147"/>
        <v>151363</v>
      </c>
    </row>
    <row r="3297" spans="7:14" ht="11.25" customHeight="1" x14ac:dyDescent="0.3">
      <c r="G3297" s="470"/>
      <c r="H3297" s="470">
        <v>3290</v>
      </c>
      <c r="I3297" s="455">
        <f t="shared" ca="1" si="145"/>
        <v>217381730970.75299</v>
      </c>
      <c r="J3297" s="455">
        <f t="array" ref="J3297">IFERROR(INDEX('Retirement Calculator'!K:K,MATCH('Lorri 401b'!N3297,'Retirement Calculator'!A:A,0),0),0)</f>
        <v>0</v>
      </c>
      <c r="K3297" s="455">
        <f t="shared" ca="1" si="143"/>
        <v>905757212.37813747</v>
      </c>
      <c r="L3297" s="455">
        <f t="shared" ca="1" si="144"/>
        <v>218287488183.13113</v>
      </c>
      <c r="M3297" s="471">
        <f t="shared" si="146"/>
        <v>0.05</v>
      </c>
      <c r="N3297" s="475">
        <f t="shared" si="147"/>
        <v>151393</v>
      </c>
    </row>
    <row r="3298" spans="7:14" ht="11.25" customHeight="1" x14ac:dyDescent="0.3">
      <c r="G3298" s="470"/>
      <c r="H3298" s="470">
        <v>3291</v>
      </c>
      <c r="I3298" s="455">
        <f t="shared" ca="1" si="145"/>
        <v>218287488183.13113</v>
      </c>
      <c r="J3298" s="455">
        <f t="array" ref="J3298">IFERROR(INDEX('Retirement Calculator'!K:K,MATCH('Lorri 401b'!N3298,'Retirement Calculator'!A:A,0),0),0)</f>
        <v>0</v>
      </c>
      <c r="K3298" s="455">
        <f t="shared" ca="1" si="143"/>
        <v>909531200.7630465</v>
      </c>
      <c r="L3298" s="455">
        <f t="shared" ca="1" si="144"/>
        <v>219197019383.8942</v>
      </c>
      <c r="M3298" s="471">
        <f t="shared" si="146"/>
        <v>0.05</v>
      </c>
      <c r="N3298" s="475">
        <f t="shared" si="147"/>
        <v>151424</v>
      </c>
    </row>
    <row r="3299" spans="7:14" ht="11.25" customHeight="1" x14ac:dyDescent="0.3">
      <c r="G3299" s="470"/>
      <c r="H3299" s="470">
        <v>3292</v>
      </c>
      <c r="I3299" s="455">
        <f t="shared" ca="1" si="145"/>
        <v>219197019383.8942</v>
      </c>
      <c r="J3299" s="455">
        <f t="array" ref="J3299">IFERROR(INDEX('Retirement Calculator'!K:K,MATCH('Lorri 401b'!N3299,'Retirement Calculator'!A:A,0),0),0)</f>
        <v>0</v>
      </c>
      <c r="K3299" s="455">
        <f t="shared" ca="1" si="143"/>
        <v>913320914.09955895</v>
      </c>
      <c r="L3299" s="455">
        <f t="shared" ca="1" si="144"/>
        <v>220110340297.99374</v>
      </c>
      <c r="M3299" s="471">
        <f t="shared" si="146"/>
        <v>0.05</v>
      </c>
      <c r="N3299" s="475">
        <f t="shared" si="147"/>
        <v>151455</v>
      </c>
    </row>
    <row r="3300" spans="7:14" ht="11.25" customHeight="1" x14ac:dyDescent="0.3">
      <c r="G3300" s="470"/>
      <c r="H3300" s="470">
        <v>3293</v>
      </c>
      <c r="I3300" s="455">
        <f t="shared" ca="1" si="145"/>
        <v>220110340297.99374</v>
      </c>
      <c r="J3300" s="455">
        <f t="array" ref="J3300">IFERROR(INDEX('Retirement Calculator'!K:K,MATCH('Lorri 401b'!N3300,'Retirement Calculator'!A:A,0),0),0)</f>
        <v>0</v>
      </c>
      <c r="K3300" s="455">
        <f t="shared" ca="1" si="143"/>
        <v>917126417.90830719</v>
      </c>
      <c r="L3300" s="455">
        <f t="shared" ca="1" si="144"/>
        <v>221027466715.90204</v>
      </c>
      <c r="M3300" s="471">
        <f t="shared" si="146"/>
        <v>0.05</v>
      </c>
      <c r="N3300" s="475">
        <f t="shared" si="147"/>
        <v>151485</v>
      </c>
    </row>
    <row r="3301" spans="7:14" ht="11.25" customHeight="1" x14ac:dyDescent="0.3">
      <c r="G3301" s="470"/>
      <c r="H3301" s="470">
        <v>3294</v>
      </c>
      <c r="I3301" s="455">
        <f t="shared" ca="1" si="145"/>
        <v>221027466715.90204</v>
      </c>
      <c r="J3301" s="455">
        <f t="array" ref="J3301">IFERROR(INDEX('Retirement Calculator'!K:K,MATCH('Lorri 401b'!N3301,'Retirement Calculator'!A:A,0),0),0)</f>
        <v>0</v>
      </c>
      <c r="K3301" s="455">
        <f t="shared" ca="1" si="143"/>
        <v>920947777.98292518</v>
      </c>
      <c r="L3301" s="455">
        <f t="shared" ca="1" si="144"/>
        <v>221948414493.88495</v>
      </c>
      <c r="M3301" s="471">
        <f t="shared" si="146"/>
        <v>0.05</v>
      </c>
      <c r="N3301" s="475">
        <f t="shared" si="147"/>
        <v>151516</v>
      </c>
    </row>
    <row r="3302" spans="7:14" ht="11.25" customHeight="1" x14ac:dyDescent="0.3">
      <c r="G3302" s="470"/>
      <c r="H3302" s="470">
        <v>3295</v>
      </c>
      <c r="I3302" s="455">
        <f t="shared" ca="1" si="145"/>
        <v>221948414493.88495</v>
      </c>
      <c r="J3302" s="455">
        <f t="array" ref="J3302">IFERROR(INDEX('Retirement Calculator'!K:K,MATCH('Lorri 401b'!N3302,'Retirement Calculator'!A:A,0),0),0)</f>
        <v>0</v>
      </c>
      <c r="K3302" s="455">
        <f t="shared" ca="1" si="143"/>
        <v>924785060.39118731</v>
      </c>
      <c r="L3302" s="455">
        <f t="shared" ca="1" si="144"/>
        <v>222873199554.27612</v>
      </c>
      <c r="M3302" s="471">
        <f t="shared" si="146"/>
        <v>0.05</v>
      </c>
      <c r="N3302" s="475">
        <f t="shared" si="147"/>
        <v>151546</v>
      </c>
    </row>
    <row r="3303" spans="7:14" ht="11.25" customHeight="1" x14ac:dyDescent="0.3">
      <c r="G3303" s="470"/>
      <c r="H3303" s="470">
        <v>3296</v>
      </c>
      <c r="I3303" s="455">
        <f t="shared" ca="1" si="145"/>
        <v>222873199554.27612</v>
      </c>
      <c r="J3303" s="455">
        <f t="array" ref="J3303">IFERROR(INDEX('Retirement Calculator'!K:K,MATCH('Lorri 401b'!N3303,'Retirement Calculator'!A:A,0),0),0)</f>
        <v>0</v>
      </c>
      <c r="K3303" s="455">
        <f t="shared" ca="1" si="143"/>
        <v>928638331.47615051</v>
      </c>
      <c r="L3303" s="455">
        <f t="shared" ca="1" si="144"/>
        <v>223801837885.75226</v>
      </c>
      <c r="M3303" s="471">
        <f t="shared" si="146"/>
        <v>0.05</v>
      </c>
      <c r="N3303" s="475">
        <f t="shared" si="147"/>
        <v>151577</v>
      </c>
    </row>
    <row r="3304" spans="7:14" ht="11.25" customHeight="1" x14ac:dyDescent="0.3">
      <c r="G3304" s="470"/>
      <c r="H3304" s="470">
        <v>3297</v>
      </c>
      <c r="I3304" s="455">
        <f t="shared" ca="1" si="145"/>
        <v>223801837885.75226</v>
      </c>
      <c r="J3304" s="455">
        <f t="array" ref="J3304">IFERROR(INDEX('Retirement Calculator'!K:K,MATCH('Lorri 401b'!N3304,'Retirement Calculator'!A:A,0),0),0)</f>
        <v>0</v>
      </c>
      <c r="K3304" s="455">
        <f t="shared" ca="1" si="143"/>
        <v>932507657.85730112</v>
      </c>
      <c r="L3304" s="455">
        <f t="shared" ca="1" si="144"/>
        <v>224734345543.60956</v>
      </c>
      <c r="M3304" s="471">
        <f t="shared" si="146"/>
        <v>0.05</v>
      </c>
      <c r="N3304" s="475">
        <f t="shared" si="147"/>
        <v>151608</v>
      </c>
    </row>
    <row r="3305" spans="7:14" ht="11.25" customHeight="1" x14ac:dyDescent="0.3">
      <c r="G3305" s="470"/>
      <c r="H3305" s="470">
        <v>3298</v>
      </c>
      <c r="I3305" s="455">
        <f t="shared" ca="1" si="145"/>
        <v>224734345543.60956</v>
      </c>
      <c r="J3305" s="455">
        <f t="array" ref="J3305">IFERROR(INDEX('Retirement Calculator'!K:K,MATCH('Lorri 401b'!N3305,'Retirement Calculator'!A:A,0),0),0)</f>
        <v>0</v>
      </c>
      <c r="K3305" s="455">
        <f t="shared" ca="1" si="143"/>
        <v>936393106.43170643</v>
      </c>
      <c r="L3305" s="455">
        <f t="shared" ca="1" si="144"/>
        <v>225670738650.04126</v>
      </c>
      <c r="M3305" s="471">
        <f t="shared" si="146"/>
        <v>0.05</v>
      </c>
      <c r="N3305" s="475">
        <f t="shared" si="147"/>
        <v>151636</v>
      </c>
    </row>
    <row r="3306" spans="7:14" ht="11.25" customHeight="1" x14ac:dyDescent="0.3">
      <c r="G3306" s="470"/>
      <c r="H3306" s="470">
        <v>3299</v>
      </c>
      <c r="I3306" s="455">
        <f t="shared" ca="1" si="145"/>
        <v>225670738650.04126</v>
      </c>
      <c r="J3306" s="455">
        <f t="array" ref="J3306">IFERROR(INDEX('Retirement Calculator'!K:K,MATCH('Lorri 401b'!N3306,'Retirement Calculator'!A:A,0),0),0)</f>
        <v>0</v>
      </c>
      <c r="K3306" s="455">
        <f t="shared" ca="1" si="143"/>
        <v>940294744.3751719</v>
      </c>
      <c r="L3306" s="455">
        <f t="shared" ca="1" si="144"/>
        <v>226611033394.41644</v>
      </c>
      <c r="M3306" s="471">
        <f t="shared" si="146"/>
        <v>0.05</v>
      </c>
      <c r="N3306" s="475">
        <f t="shared" si="147"/>
        <v>151667</v>
      </c>
    </row>
    <row r="3307" spans="7:14" ht="11.25" customHeight="1" x14ac:dyDescent="0.3">
      <c r="G3307" s="470"/>
      <c r="H3307" s="470">
        <v>3300</v>
      </c>
      <c r="I3307" s="455">
        <f t="shared" ca="1" si="145"/>
        <v>226611033394.41644</v>
      </c>
      <c r="J3307" s="455">
        <f t="array" ref="J3307">IFERROR(INDEX('Retirement Calculator'!K:K,MATCH('Lorri 401b'!N3307,'Retirement Calculator'!A:A,0),0),0)</f>
        <v>0</v>
      </c>
      <c r="K3307" s="455">
        <f t="shared" ca="1" si="143"/>
        <v>944212639.14340186</v>
      </c>
      <c r="L3307" s="455">
        <f t="shared" ca="1" si="144"/>
        <v>227555246033.55984</v>
      </c>
      <c r="M3307" s="471">
        <f t="shared" si="146"/>
        <v>0.05</v>
      </c>
      <c r="N3307" s="475">
        <f t="shared" si="147"/>
        <v>151697</v>
      </c>
    </row>
    <row r="3308" spans="7:14" ht="11.25" customHeight="1" x14ac:dyDescent="0.3">
      <c r="G3308" s="470"/>
      <c r="H3308" s="470">
        <v>3301</v>
      </c>
      <c r="I3308" s="455">
        <f t="shared" ca="1" si="145"/>
        <v>227555246033.55984</v>
      </c>
      <c r="J3308" s="455">
        <f t="array" ref="J3308">IFERROR(INDEX('Retirement Calculator'!K:K,MATCH('Lorri 401b'!N3308,'Retirement Calculator'!A:A,0),0),0)</f>
        <v>0</v>
      </c>
      <c r="K3308" s="455">
        <f t="shared" ca="1" si="143"/>
        <v>948146858.47316599</v>
      </c>
      <c r="L3308" s="455">
        <f t="shared" ca="1" si="144"/>
        <v>228503392892.03302</v>
      </c>
      <c r="M3308" s="471">
        <f t="shared" si="146"/>
        <v>0.05</v>
      </c>
      <c r="N3308" s="475">
        <f t="shared" si="147"/>
        <v>151728</v>
      </c>
    </row>
    <row r="3309" spans="7:14" ht="11.25" customHeight="1" x14ac:dyDescent="0.3">
      <c r="G3309" s="470"/>
      <c r="H3309" s="470">
        <v>3302</v>
      </c>
      <c r="I3309" s="455">
        <f t="shared" ca="1" si="145"/>
        <v>228503392892.03302</v>
      </c>
      <c r="J3309" s="455">
        <f t="array" ref="J3309">IFERROR(INDEX('Retirement Calculator'!K:K,MATCH('Lorri 401b'!N3309,'Retirement Calculator'!A:A,0),0),0)</f>
        <v>0</v>
      </c>
      <c r="K3309" s="455">
        <f t="shared" ca="1" si="143"/>
        <v>952097470.38347089</v>
      </c>
      <c r="L3309" s="455">
        <f t="shared" ca="1" si="144"/>
        <v>229455490362.4165</v>
      </c>
      <c r="M3309" s="471">
        <f t="shared" si="146"/>
        <v>0.05</v>
      </c>
      <c r="N3309" s="475">
        <f t="shared" si="147"/>
        <v>151758</v>
      </c>
    </row>
    <row r="3310" spans="7:14" ht="11.25" customHeight="1" x14ac:dyDescent="0.3">
      <c r="G3310" s="470"/>
      <c r="H3310" s="470">
        <v>3303</v>
      </c>
      <c r="I3310" s="455">
        <f t="shared" ca="1" si="145"/>
        <v>229455490362.4165</v>
      </c>
      <c r="J3310" s="455">
        <f t="array" ref="J3310">IFERROR(INDEX('Retirement Calculator'!K:K,MATCH('Lorri 401b'!N3310,'Retirement Calculator'!A:A,0),0),0)</f>
        <v>0</v>
      </c>
      <c r="K3310" s="455">
        <f t="shared" ca="1" si="143"/>
        <v>956064543.17673552</v>
      </c>
      <c r="L3310" s="455">
        <f t="shared" ca="1" si="144"/>
        <v>230411554905.59323</v>
      </c>
      <c r="M3310" s="471">
        <f t="shared" si="146"/>
        <v>0.05</v>
      </c>
      <c r="N3310" s="475">
        <f t="shared" si="147"/>
        <v>151789</v>
      </c>
    </row>
    <row r="3311" spans="7:14" ht="11.25" customHeight="1" x14ac:dyDescent="0.3">
      <c r="G3311" s="470"/>
      <c r="H3311" s="470">
        <v>3304</v>
      </c>
      <c r="I3311" s="455">
        <f t="shared" ca="1" si="145"/>
        <v>230411554905.59323</v>
      </c>
      <c r="J3311" s="455">
        <f t="array" ref="J3311">IFERROR(INDEX('Retirement Calculator'!K:K,MATCH('Lorri 401b'!N3311,'Retirement Calculator'!A:A,0),0),0)</f>
        <v>0</v>
      </c>
      <c r="K3311" s="455">
        <f t="shared" ca="1" si="143"/>
        <v>960048145.4399718</v>
      </c>
      <c r="L3311" s="455">
        <f t="shared" ca="1" si="144"/>
        <v>231371603051.0332</v>
      </c>
      <c r="M3311" s="471">
        <f t="shared" si="146"/>
        <v>0.05</v>
      </c>
      <c r="N3311" s="475">
        <f t="shared" si="147"/>
        <v>151820</v>
      </c>
    </row>
    <row r="3312" spans="7:14" ht="11.25" customHeight="1" x14ac:dyDescent="0.3">
      <c r="G3312" s="470"/>
      <c r="H3312" s="470">
        <v>3305</v>
      </c>
      <c r="I3312" s="455">
        <f t="shared" ca="1" si="145"/>
        <v>231371603051.0332</v>
      </c>
      <c r="J3312" s="455">
        <f t="array" ref="J3312">IFERROR(INDEX('Retirement Calculator'!K:K,MATCH('Lorri 401b'!N3312,'Retirement Calculator'!A:A,0),0),0)</f>
        <v>0</v>
      </c>
      <c r="K3312" s="455">
        <f t="shared" ca="1" si="143"/>
        <v>964048346.04597163</v>
      </c>
      <c r="L3312" s="455">
        <f t="shared" ca="1" si="144"/>
        <v>232335651397.07916</v>
      </c>
      <c r="M3312" s="471">
        <f t="shared" si="146"/>
        <v>0.05</v>
      </c>
      <c r="N3312" s="475">
        <f t="shared" si="147"/>
        <v>151850</v>
      </c>
    </row>
    <row r="3313" spans="7:14" ht="11.25" customHeight="1" x14ac:dyDescent="0.3">
      <c r="G3313" s="470"/>
      <c r="H3313" s="470">
        <v>3306</v>
      </c>
      <c r="I3313" s="455">
        <f t="shared" ca="1" si="145"/>
        <v>232335651397.07916</v>
      </c>
      <c r="J3313" s="455">
        <f t="array" ref="J3313">IFERROR(INDEX('Retirement Calculator'!K:K,MATCH('Lorri 401b'!N3313,'Retirement Calculator'!A:A,0),0),0)</f>
        <v>0</v>
      </c>
      <c r="K3313" s="455">
        <f t="shared" ca="1" si="143"/>
        <v>968065214.15449655</v>
      </c>
      <c r="L3313" s="455">
        <f t="shared" ca="1" si="144"/>
        <v>233303716611.23367</v>
      </c>
      <c r="M3313" s="471">
        <f t="shared" si="146"/>
        <v>0.05</v>
      </c>
      <c r="N3313" s="475">
        <f t="shared" si="147"/>
        <v>151881</v>
      </c>
    </row>
    <row r="3314" spans="7:14" ht="11.25" customHeight="1" x14ac:dyDescent="0.3">
      <c r="G3314" s="470"/>
      <c r="H3314" s="470">
        <v>3307</v>
      </c>
      <c r="I3314" s="455">
        <f t="shared" ca="1" si="145"/>
        <v>233303716611.23367</v>
      </c>
      <c r="J3314" s="455">
        <f t="array" ref="J3314">IFERROR(INDEX('Retirement Calculator'!K:K,MATCH('Lorri 401b'!N3314,'Retirement Calculator'!A:A,0),0),0)</f>
        <v>0</v>
      </c>
      <c r="K3314" s="455">
        <f t="shared" ca="1" si="143"/>
        <v>972098819.21347344</v>
      </c>
      <c r="L3314" s="455">
        <f t="shared" ca="1" si="144"/>
        <v>234275815430.44714</v>
      </c>
      <c r="M3314" s="471">
        <f t="shared" si="146"/>
        <v>0.05</v>
      </c>
      <c r="N3314" s="475">
        <f t="shared" si="147"/>
        <v>151911</v>
      </c>
    </row>
    <row r="3315" spans="7:14" ht="11.25" customHeight="1" x14ac:dyDescent="0.3">
      <c r="G3315" s="470"/>
      <c r="H3315" s="470">
        <v>3308</v>
      </c>
      <c r="I3315" s="455">
        <f t="shared" ca="1" si="145"/>
        <v>234275815430.44714</v>
      </c>
      <c r="J3315" s="455">
        <f t="array" ref="J3315">IFERROR(INDEX('Retirement Calculator'!K:K,MATCH('Lorri 401b'!N3315,'Retirement Calculator'!A:A,0),0),0)</f>
        <v>0</v>
      </c>
      <c r="K3315" s="455">
        <f t="shared" ca="1" si="143"/>
        <v>976149230.96019638</v>
      </c>
      <c r="L3315" s="455">
        <f t="shared" ca="1" si="144"/>
        <v>235251964661.40735</v>
      </c>
      <c r="M3315" s="471">
        <f t="shared" si="146"/>
        <v>0.05</v>
      </c>
      <c r="N3315" s="475">
        <f t="shared" si="147"/>
        <v>151942</v>
      </c>
    </row>
    <row r="3316" spans="7:14" ht="11.25" customHeight="1" x14ac:dyDescent="0.3">
      <c r="G3316" s="470"/>
      <c r="H3316" s="470">
        <v>3309</v>
      </c>
      <c r="I3316" s="455">
        <f t="shared" ca="1" si="145"/>
        <v>235251964661.40735</v>
      </c>
      <c r="J3316" s="455">
        <f t="array" ref="J3316">IFERROR(INDEX('Retirement Calculator'!K:K,MATCH('Lorri 401b'!N3316,'Retirement Calculator'!A:A,0),0),0)</f>
        <v>0</v>
      </c>
      <c r="K3316" s="455">
        <f t="shared" ca="1" si="143"/>
        <v>980216519.42253065</v>
      </c>
      <c r="L3316" s="455">
        <f t="shared" ca="1" si="144"/>
        <v>236232181180.82986</v>
      </c>
      <c r="M3316" s="471">
        <f t="shared" si="146"/>
        <v>0.05</v>
      </c>
      <c r="N3316" s="475">
        <f t="shared" si="147"/>
        <v>151973</v>
      </c>
    </row>
    <row r="3317" spans="7:14" ht="11.25" customHeight="1" x14ac:dyDescent="0.3">
      <c r="G3317" s="470"/>
      <c r="H3317" s="470">
        <v>3310</v>
      </c>
      <c r="I3317" s="455">
        <f t="shared" ca="1" si="145"/>
        <v>236232181180.82986</v>
      </c>
      <c r="J3317" s="455">
        <f t="array" ref="J3317">IFERROR(INDEX('Retirement Calculator'!K:K,MATCH('Lorri 401b'!N3317,'Retirement Calculator'!A:A,0),0),0)</f>
        <v>0</v>
      </c>
      <c r="K3317" s="455">
        <f t="shared" ca="1" si="143"/>
        <v>984300754.92012441</v>
      </c>
      <c r="L3317" s="455">
        <f t="shared" ca="1" si="144"/>
        <v>237216481935.75</v>
      </c>
      <c r="M3317" s="471">
        <f t="shared" si="146"/>
        <v>0.05</v>
      </c>
      <c r="N3317" s="475">
        <f t="shared" si="147"/>
        <v>152002</v>
      </c>
    </row>
    <row r="3318" spans="7:14" ht="11.25" customHeight="1" x14ac:dyDescent="0.3">
      <c r="G3318" s="470"/>
      <c r="H3318" s="470">
        <v>3311</v>
      </c>
      <c r="I3318" s="455">
        <f t="shared" ca="1" si="145"/>
        <v>237216481935.75</v>
      </c>
      <c r="J3318" s="455">
        <f t="array" ref="J3318">IFERROR(INDEX('Retirement Calculator'!K:K,MATCH('Lorri 401b'!N3318,'Retirement Calculator'!A:A,0),0),0)</f>
        <v>0</v>
      </c>
      <c r="K3318" s="455">
        <f t="shared" ca="1" si="143"/>
        <v>988402008.06562495</v>
      </c>
      <c r="L3318" s="455">
        <f t="shared" ca="1" si="144"/>
        <v>238204883943.81561</v>
      </c>
      <c r="M3318" s="471">
        <f t="shared" si="146"/>
        <v>0.05</v>
      </c>
      <c r="N3318" s="475">
        <f t="shared" si="147"/>
        <v>152033</v>
      </c>
    </row>
    <row r="3319" spans="7:14" ht="11.25" customHeight="1" x14ac:dyDescent="0.3">
      <c r="G3319" s="470"/>
      <c r="H3319" s="470">
        <v>3312</v>
      </c>
      <c r="I3319" s="455">
        <f t="shared" ca="1" si="145"/>
        <v>238204883943.81561</v>
      </c>
      <c r="J3319" s="455">
        <f t="array" ref="J3319">IFERROR(INDEX('Retirement Calculator'!K:K,MATCH('Lorri 401b'!N3319,'Retirement Calculator'!A:A,0),0),0)</f>
        <v>0</v>
      </c>
      <c r="K3319" s="455">
        <f t="shared" ca="1" si="143"/>
        <v>992520349.76589835</v>
      </c>
      <c r="L3319" s="455">
        <f t="shared" ca="1" si="144"/>
        <v>239197404293.58151</v>
      </c>
      <c r="M3319" s="471">
        <f t="shared" si="146"/>
        <v>0.05</v>
      </c>
      <c r="N3319" s="475">
        <f t="shared" si="147"/>
        <v>152063</v>
      </c>
    </row>
    <row r="3320" spans="7:14" ht="11.25" customHeight="1" x14ac:dyDescent="0.3">
      <c r="G3320" s="470"/>
      <c r="H3320" s="470">
        <v>3313</v>
      </c>
      <c r="I3320" s="455">
        <f t="shared" ca="1" si="145"/>
        <v>239197404293.58151</v>
      </c>
      <c r="J3320" s="455">
        <f t="array" ref="J3320">IFERROR(INDEX('Retirement Calculator'!K:K,MATCH('Lorri 401b'!N3320,'Retirement Calculator'!A:A,0),0),0)</f>
        <v>0</v>
      </c>
      <c r="K3320" s="455">
        <f t="shared" ca="1" si="143"/>
        <v>996655851.22325623</v>
      </c>
      <c r="L3320" s="455">
        <f t="shared" ca="1" si="144"/>
        <v>240194060144.80478</v>
      </c>
      <c r="M3320" s="471">
        <f t="shared" si="146"/>
        <v>0.05</v>
      </c>
      <c r="N3320" s="475">
        <f t="shared" si="147"/>
        <v>152094</v>
      </c>
    </row>
    <row r="3321" spans="7:14" ht="11.25" customHeight="1" x14ac:dyDescent="0.3">
      <c r="G3321" s="470"/>
      <c r="H3321" s="470">
        <v>3314</v>
      </c>
      <c r="I3321" s="455">
        <f t="shared" ca="1" si="145"/>
        <v>240194060144.80478</v>
      </c>
      <c r="J3321" s="455">
        <f t="array" ref="J3321">IFERROR(INDEX('Retirement Calculator'!K:K,MATCH('Lorri 401b'!N3321,'Retirement Calculator'!A:A,0),0),0)</f>
        <v>0</v>
      </c>
      <c r="K3321" s="455">
        <f t="shared" ca="1" si="143"/>
        <v>1000808583.9366865</v>
      </c>
      <c r="L3321" s="455">
        <f t="shared" ca="1" si="144"/>
        <v>241194868728.74146</v>
      </c>
      <c r="M3321" s="471">
        <f t="shared" si="146"/>
        <v>0.05</v>
      </c>
      <c r="N3321" s="475">
        <f t="shared" si="147"/>
        <v>152124</v>
      </c>
    </row>
    <row r="3322" spans="7:14" ht="11.25" customHeight="1" x14ac:dyDescent="0.3">
      <c r="G3322" s="470"/>
      <c r="H3322" s="470">
        <v>3315</v>
      </c>
      <c r="I3322" s="455">
        <f t="shared" ca="1" si="145"/>
        <v>241194868728.74146</v>
      </c>
      <c r="J3322" s="455">
        <f t="array" ref="J3322">IFERROR(INDEX('Retirement Calculator'!K:K,MATCH('Lorri 401b'!N3322,'Retirement Calculator'!A:A,0),0),0)</f>
        <v>0</v>
      </c>
      <c r="K3322" s="455">
        <f t="shared" ca="1" si="143"/>
        <v>1004978619.7030895</v>
      </c>
      <c r="L3322" s="455">
        <f t="shared" ca="1" si="144"/>
        <v>242199847348.44455</v>
      </c>
      <c r="M3322" s="471">
        <f t="shared" si="146"/>
        <v>0.05</v>
      </c>
      <c r="N3322" s="475">
        <f t="shared" si="147"/>
        <v>152155</v>
      </c>
    </row>
    <row r="3323" spans="7:14" ht="11.25" customHeight="1" x14ac:dyDescent="0.3">
      <c r="G3323" s="470"/>
      <c r="H3323" s="470">
        <v>3316</v>
      </c>
      <c r="I3323" s="455">
        <f t="shared" ca="1" si="145"/>
        <v>242199847348.44455</v>
      </c>
      <c r="J3323" s="455">
        <f t="array" ref="J3323">IFERROR(INDEX('Retirement Calculator'!K:K,MATCH('Lorri 401b'!N3323,'Retirement Calculator'!A:A,0),0),0)</f>
        <v>0</v>
      </c>
      <c r="K3323" s="455">
        <f t="shared" ref="K3323:K3577" ca="1" si="148">IPMT(M3323/12,1,12,-I3323+J3323,,0)</f>
        <v>1009166030.6185189</v>
      </c>
      <c r="L3323" s="455">
        <f t="shared" ref="L3323:L3577" ca="1" si="149">I3323-J3323+K3323</f>
        <v>243209013379.06308</v>
      </c>
      <c r="M3323" s="471">
        <f t="shared" si="146"/>
        <v>0.05</v>
      </c>
      <c r="N3323" s="475">
        <f t="shared" si="147"/>
        <v>152186</v>
      </c>
    </row>
    <row r="3324" spans="7:14" ht="11.25" customHeight="1" x14ac:dyDescent="0.3">
      <c r="G3324" s="470"/>
      <c r="H3324" s="470">
        <v>3317</v>
      </c>
      <c r="I3324" s="455">
        <f t="shared" ref="I3324:I3578" ca="1" si="150">L3323</f>
        <v>243209013379.06308</v>
      </c>
      <c r="J3324" s="455">
        <f t="array" ref="J3324">IFERROR(INDEX('Retirement Calculator'!K:K,MATCH('Lorri 401b'!N3324,'Retirement Calculator'!A:A,0),0),0)</f>
        <v>0</v>
      </c>
      <c r="K3324" s="455">
        <f t="shared" ca="1" si="148"/>
        <v>1013370889.0794295</v>
      </c>
      <c r="L3324" s="455">
        <f t="shared" ca="1" si="149"/>
        <v>244222384268.14252</v>
      </c>
      <c r="M3324" s="471">
        <f t="shared" ref="M3324:M3578" si="151">M3323</f>
        <v>0.05</v>
      </c>
      <c r="N3324" s="475">
        <f t="shared" ref="N3324:N3578" si="152">EDATE(N3323,1)</f>
        <v>152216</v>
      </c>
    </row>
    <row r="3325" spans="7:14" ht="11.25" customHeight="1" x14ac:dyDescent="0.3">
      <c r="G3325" s="470"/>
      <c r="H3325" s="470">
        <v>3318</v>
      </c>
      <c r="I3325" s="455">
        <f t="shared" ca="1" si="150"/>
        <v>244222384268.14252</v>
      </c>
      <c r="J3325" s="455">
        <f t="array" ref="J3325">IFERROR(INDEX('Retirement Calculator'!K:K,MATCH('Lorri 401b'!N3325,'Retirement Calculator'!A:A,0),0),0)</f>
        <v>0</v>
      </c>
      <c r="K3325" s="455">
        <f t="shared" ca="1" si="148"/>
        <v>1017593267.7839271</v>
      </c>
      <c r="L3325" s="455">
        <f t="shared" ca="1" si="149"/>
        <v>245239977535.92645</v>
      </c>
      <c r="M3325" s="471">
        <f t="shared" si="151"/>
        <v>0.05</v>
      </c>
      <c r="N3325" s="475">
        <f t="shared" si="152"/>
        <v>152247</v>
      </c>
    </row>
    <row r="3326" spans="7:14" ht="11.25" customHeight="1" x14ac:dyDescent="0.3">
      <c r="G3326" s="470"/>
      <c r="H3326" s="470">
        <v>3319</v>
      </c>
      <c r="I3326" s="455">
        <f t="shared" ca="1" si="150"/>
        <v>245239977535.92645</v>
      </c>
      <c r="J3326" s="455">
        <f t="array" ref="J3326">IFERROR(INDEX('Retirement Calculator'!K:K,MATCH('Lorri 401b'!N3326,'Retirement Calculator'!A:A,0),0),0)</f>
        <v>0</v>
      </c>
      <c r="K3326" s="455">
        <f t="shared" ca="1" si="148"/>
        <v>1021833239.733027</v>
      </c>
      <c r="L3326" s="455">
        <f t="shared" ca="1" si="149"/>
        <v>246261810775.65948</v>
      </c>
      <c r="M3326" s="471">
        <f t="shared" si="151"/>
        <v>0.05</v>
      </c>
      <c r="N3326" s="475">
        <f t="shared" si="152"/>
        <v>152277</v>
      </c>
    </row>
    <row r="3327" spans="7:14" ht="11.25" customHeight="1" x14ac:dyDescent="0.3">
      <c r="G3327" s="470"/>
      <c r="H3327" s="470">
        <v>3320</v>
      </c>
      <c r="I3327" s="455">
        <f t="shared" ca="1" si="150"/>
        <v>246261810775.65948</v>
      </c>
      <c r="J3327" s="455">
        <f t="array" ref="J3327">IFERROR(INDEX('Retirement Calculator'!K:K,MATCH('Lorri 401b'!N3327,'Retirement Calculator'!A:A,0),0),0)</f>
        <v>0</v>
      </c>
      <c r="K3327" s="455">
        <f t="shared" ca="1" si="148"/>
        <v>1026090878.2319145</v>
      </c>
      <c r="L3327" s="455">
        <f t="shared" ca="1" si="149"/>
        <v>247287901653.89139</v>
      </c>
      <c r="M3327" s="471">
        <f t="shared" si="151"/>
        <v>0.05</v>
      </c>
      <c r="N3327" s="475">
        <f t="shared" si="152"/>
        <v>152308</v>
      </c>
    </row>
    <row r="3328" spans="7:14" ht="11.25" customHeight="1" x14ac:dyDescent="0.3">
      <c r="G3328" s="470"/>
      <c r="H3328" s="470">
        <v>3321</v>
      </c>
      <c r="I3328" s="455">
        <f t="shared" ca="1" si="150"/>
        <v>247287901653.89139</v>
      </c>
      <c r="J3328" s="455">
        <f t="array" ref="J3328">IFERROR(INDEX('Retirement Calculator'!K:K,MATCH('Lorri 401b'!N3328,'Retirement Calculator'!A:A,0),0),0)</f>
        <v>0</v>
      </c>
      <c r="K3328" s="455">
        <f t="shared" ca="1" si="148"/>
        <v>1030366256.8912141</v>
      </c>
      <c r="L3328" s="455">
        <f t="shared" ca="1" si="149"/>
        <v>248318267910.78259</v>
      </c>
      <c r="M3328" s="471">
        <f t="shared" si="151"/>
        <v>0.05</v>
      </c>
      <c r="N3328" s="475">
        <f t="shared" si="152"/>
        <v>152339</v>
      </c>
    </row>
    <row r="3329" spans="7:14" ht="11.25" customHeight="1" x14ac:dyDescent="0.3">
      <c r="G3329" s="470"/>
      <c r="H3329" s="470">
        <v>3322</v>
      </c>
      <c r="I3329" s="455">
        <f t="shared" ca="1" si="150"/>
        <v>248318267910.78259</v>
      </c>
      <c r="J3329" s="455">
        <f t="array" ref="J3329">IFERROR(INDEX('Retirement Calculator'!K:K,MATCH('Lorri 401b'!N3329,'Retirement Calculator'!A:A,0),0),0)</f>
        <v>0</v>
      </c>
      <c r="K3329" s="455">
        <f t="shared" ca="1" si="148"/>
        <v>1034659449.628261</v>
      </c>
      <c r="L3329" s="455">
        <f t="shared" ca="1" si="149"/>
        <v>249352927360.41086</v>
      </c>
      <c r="M3329" s="471">
        <f t="shared" si="151"/>
        <v>0.05</v>
      </c>
      <c r="N3329" s="475">
        <f t="shared" si="152"/>
        <v>152367</v>
      </c>
    </row>
    <row r="3330" spans="7:14" ht="11.25" customHeight="1" x14ac:dyDescent="0.3">
      <c r="G3330" s="470"/>
      <c r="H3330" s="470">
        <v>3323</v>
      </c>
      <c r="I3330" s="455">
        <f t="shared" ca="1" si="150"/>
        <v>249352927360.41086</v>
      </c>
      <c r="J3330" s="455">
        <f t="array" ref="J3330">IFERROR(INDEX('Retirement Calculator'!K:K,MATCH('Lorri 401b'!N3330,'Retirement Calculator'!A:A,0),0),0)</f>
        <v>0</v>
      </c>
      <c r="K3330" s="455">
        <f t="shared" ca="1" si="148"/>
        <v>1038970530.6683786</v>
      </c>
      <c r="L3330" s="455">
        <f t="shared" ca="1" si="149"/>
        <v>250391897891.07922</v>
      </c>
      <c r="M3330" s="471">
        <f t="shared" si="151"/>
        <v>0.05</v>
      </c>
      <c r="N3330" s="475">
        <f t="shared" si="152"/>
        <v>152398</v>
      </c>
    </row>
    <row r="3331" spans="7:14" ht="11.25" customHeight="1" x14ac:dyDescent="0.3">
      <c r="G3331" s="470"/>
      <c r="H3331" s="470">
        <v>3324</v>
      </c>
      <c r="I3331" s="455">
        <f t="shared" ca="1" si="150"/>
        <v>250391897891.07922</v>
      </c>
      <c r="J3331" s="455">
        <f t="array" ref="J3331">IFERROR(INDEX('Retirement Calculator'!K:K,MATCH('Lorri 401b'!N3331,'Retirement Calculator'!A:A,0),0),0)</f>
        <v>0</v>
      </c>
      <c r="K3331" s="455">
        <f t="shared" ca="1" si="148"/>
        <v>1043299574.5461636</v>
      </c>
      <c r="L3331" s="455">
        <f t="shared" ca="1" si="149"/>
        <v>251435197465.6254</v>
      </c>
      <c r="M3331" s="471">
        <f t="shared" si="151"/>
        <v>0.05</v>
      </c>
      <c r="N3331" s="475">
        <f t="shared" si="152"/>
        <v>152428</v>
      </c>
    </row>
    <row r="3332" spans="7:14" ht="11.25" customHeight="1" x14ac:dyDescent="0.3">
      <c r="G3332" s="470"/>
      <c r="H3332" s="470">
        <v>3325</v>
      </c>
      <c r="I3332" s="455">
        <f t="shared" ca="1" si="150"/>
        <v>251435197465.6254</v>
      </c>
      <c r="J3332" s="455">
        <f t="array" ref="J3332">IFERROR(INDEX('Retirement Calculator'!K:K,MATCH('Lorri 401b'!N3332,'Retirement Calculator'!A:A,0),0),0)</f>
        <v>0</v>
      </c>
      <c r="K3332" s="455">
        <f t="shared" ca="1" si="148"/>
        <v>1047646656.1067725</v>
      </c>
      <c r="L3332" s="455">
        <f t="shared" ca="1" si="149"/>
        <v>252482844121.73218</v>
      </c>
      <c r="M3332" s="471">
        <f t="shared" si="151"/>
        <v>0.05</v>
      </c>
      <c r="N3332" s="475">
        <f t="shared" si="152"/>
        <v>152459</v>
      </c>
    </row>
    <row r="3333" spans="7:14" ht="11.25" customHeight="1" x14ac:dyDescent="0.3">
      <c r="G3333" s="470"/>
      <c r="H3333" s="470">
        <v>3326</v>
      </c>
      <c r="I3333" s="455">
        <f t="shared" ca="1" si="150"/>
        <v>252482844121.73218</v>
      </c>
      <c r="J3333" s="455">
        <f t="array" ref="J3333">IFERROR(INDEX('Retirement Calculator'!K:K,MATCH('Lorri 401b'!N3333,'Retirement Calculator'!A:A,0),0),0)</f>
        <v>0</v>
      </c>
      <c r="K3333" s="455">
        <f t="shared" ca="1" si="148"/>
        <v>1052011850.5072173</v>
      </c>
      <c r="L3333" s="455">
        <f t="shared" ca="1" si="149"/>
        <v>253534855972.23938</v>
      </c>
      <c r="M3333" s="471">
        <f t="shared" si="151"/>
        <v>0.05</v>
      </c>
      <c r="N3333" s="475">
        <f t="shared" si="152"/>
        <v>152489</v>
      </c>
    </row>
    <row r="3334" spans="7:14" ht="11.25" customHeight="1" x14ac:dyDescent="0.3">
      <c r="G3334" s="470"/>
      <c r="H3334" s="470">
        <v>3327</v>
      </c>
      <c r="I3334" s="455">
        <f t="shared" ca="1" si="150"/>
        <v>253534855972.23938</v>
      </c>
      <c r="J3334" s="455">
        <f t="array" ref="J3334">IFERROR(INDEX('Retirement Calculator'!K:K,MATCH('Lorri 401b'!N3334,'Retirement Calculator'!A:A,0),0),0)</f>
        <v>0</v>
      </c>
      <c r="K3334" s="455">
        <f t="shared" ca="1" si="148"/>
        <v>1056395233.2176641</v>
      </c>
      <c r="L3334" s="455">
        <f t="shared" ca="1" si="149"/>
        <v>254591251205.45703</v>
      </c>
      <c r="M3334" s="471">
        <f t="shared" si="151"/>
        <v>0.05</v>
      </c>
      <c r="N3334" s="475">
        <f t="shared" si="152"/>
        <v>152520</v>
      </c>
    </row>
    <row r="3335" spans="7:14" ht="11.25" customHeight="1" x14ac:dyDescent="0.3">
      <c r="G3335" s="470"/>
      <c r="H3335" s="470">
        <v>3328</v>
      </c>
      <c r="I3335" s="455">
        <f t="shared" ca="1" si="150"/>
        <v>254591251205.45703</v>
      </c>
      <c r="J3335" s="455">
        <f t="array" ref="J3335">IFERROR(INDEX('Retirement Calculator'!K:K,MATCH('Lorri 401b'!N3335,'Retirement Calculator'!A:A,0),0),0)</f>
        <v>0</v>
      </c>
      <c r="K3335" s="455">
        <f t="shared" ca="1" si="148"/>
        <v>1060796880.0227376</v>
      </c>
      <c r="L3335" s="455">
        <f t="shared" ca="1" si="149"/>
        <v>255652048085.47977</v>
      </c>
      <c r="M3335" s="471">
        <f t="shared" si="151"/>
        <v>0.05</v>
      </c>
      <c r="N3335" s="475">
        <f t="shared" si="152"/>
        <v>152551</v>
      </c>
    </row>
    <row r="3336" spans="7:14" ht="11.25" customHeight="1" x14ac:dyDescent="0.3">
      <c r="G3336" s="470"/>
      <c r="H3336" s="470">
        <v>3329</v>
      </c>
      <c r="I3336" s="455">
        <f t="shared" ca="1" si="150"/>
        <v>255652048085.47977</v>
      </c>
      <c r="J3336" s="455">
        <f t="array" ref="J3336">IFERROR(INDEX('Retirement Calculator'!K:K,MATCH('Lorri 401b'!N3336,'Retirement Calculator'!A:A,0),0),0)</f>
        <v>0</v>
      </c>
      <c r="K3336" s="455">
        <f t="shared" ca="1" si="148"/>
        <v>1065216867.0228324</v>
      </c>
      <c r="L3336" s="455">
        <f t="shared" ca="1" si="149"/>
        <v>256717264952.50259</v>
      </c>
      <c r="M3336" s="471">
        <f t="shared" si="151"/>
        <v>0.05</v>
      </c>
      <c r="N3336" s="475">
        <f t="shared" si="152"/>
        <v>152581</v>
      </c>
    </row>
    <row r="3337" spans="7:14" ht="11.25" customHeight="1" x14ac:dyDescent="0.3">
      <c r="G3337" s="470"/>
      <c r="H3337" s="470">
        <v>3330</v>
      </c>
      <c r="I3337" s="455">
        <f t="shared" ca="1" si="150"/>
        <v>256717264952.50259</v>
      </c>
      <c r="J3337" s="455">
        <f t="array" ref="J3337">IFERROR(INDEX('Retirement Calculator'!K:K,MATCH('Lorri 401b'!N3337,'Retirement Calculator'!A:A,0),0),0)</f>
        <v>0</v>
      </c>
      <c r="K3337" s="455">
        <f t="shared" ca="1" si="148"/>
        <v>1069655270.6354275</v>
      </c>
      <c r="L3337" s="455">
        <f t="shared" ca="1" si="149"/>
        <v>257786920223.13803</v>
      </c>
      <c r="M3337" s="471">
        <f t="shared" si="151"/>
        <v>0.05</v>
      </c>
      <c r="N3337" s="475">
        <f t="shared" si="152"/>
        <v>152612</v>
      </c>
    </row>
    <row r="3338" spans="7:14" ht="11.25" customHeight="1" x14ac:dyDescent="0.3">
      <c r="G3338" s="470"/>
      <c r="H3338" s="470">
        <v>3331</v>
      </c>
      <c r="I3338" s="455">
        <f t="shared" ca="1" si="150"/>
        <v>257786920223.13803</v>
      </c>
      <c r="J3338" s="455">
        <f t="array" ref="J3338">IFERROR(INDEX('Retirement Calculator'!K:K,MATCH('Lorri 401b'!N3338,'Retirement Calculator'!A:A,0),0),0)</f>
        <v>0</v>
      </c>
      <c r="K3338" s="455">
        <f t="shared" ca="1" si="148"/>
        <v>1074112167.5964084</v>
      </c>
      <c r="L3338" s="455">
        <f t="shared" ca="1" si="149"/>
        <v>258861032390.73444</v>
      </c>
      <c r="M3338" s="471">
        <f t="shared" si="151"/>
        <v>0.05</v>
      </c>
      <c r="N3338" s="475">
        <f t="shared" si="152"/>
        <v>152642</v>
      </c>
    </row>
    <row r="3339" spans="7:14" ht="11.25" customHeight="1" x14ac:dyDescent="0.3">
      <c r="G3339" s="470"/>
      <c r="H3339" s="470">
        <v>3332</v>
      </c>
      <c r="I3339" s="455">
        <f t="shared" ca="1" si="150"/>
        <v>258861032390.73444</v>
      </c>
      <c r="J3339" s="455">
        <f t="array" ref="J3339">IFERROR(INDEX('Retirement Calculator'!K:K,MATCH('Lorri 401b'!N3339,'Retirement Calculator'!A:A,0),0),0)</f>
        <v>0</v>
      </c>
      <c r="K3339" s="455">
        <f t="shared" ca="1" si="148"/>
        <v>1078587634.9613934</v>
      </c>
      <c r="L3339" s="455">
        <f t="shared" ca="1" si="149"/>
        <v>259939620025.69583</v>
      </c>
      <c r="M3339" s="471">
        <f t="shared" si="151"/>
        <v>0.05</v>
      </c>
      <c r="N3339" s="475">
        <f t="shared" si="152"/>
        <v>152673</v>
      </c>
    </row>
    <row r="3340" spans="7:14" ht="11.25" customHeight="1" x14ac:dyDescent="0.3">
      <c r="G3340" s="470"/>
      <c r="H3340" s="470">
        <v>3333</v>
      </c>
      <c r="I3340" s="455">
        <f t="shared" ca="1" si="150"/>
        <v>259939620025.69583</v>
      </c>
      <c r="J3340" s="455">
        <f t="array" ref="J3340">IFERROR(INDEX('Retirement Calculator'!K:K,MATCH('Lorri 401b'!N3340,'Retirement Calculator'!A:A,0),0),0)</f>
        <v>0</v>
      </c>
      <c r="K3340" s="455">
        <f t="shared" ca="1" si="148"/>
        <v>1083081750.1070659</v>
      </c>
      <c r="L3340" s="455">
        <f t="shared" ca="1" si="149"/>
        <v>261022701775.80289</v>
      </c>
      <c r="M3340" s="471">
        <f t="shared" si="151"/>
        <v>0.05</v>
      </c>
      <c r="N3340" s="475">
        <f t="shared" si="152"/>
        <v>152704</v>
      </c>
    </row>
    <row r="3341" spans="7:14" ht="11.25" customHeight="1" x14ac:dyDescent="0.3">
      <c r="G3341" s="470"/>
      <c r="H3341" s="470">
        <v>3334</v>
      </c>
      <c r="I3341" s="455">
        <f t="shared" ca="1" si="150"/>
        <v>261022701775.80289</v>
      </c>
      <c r="J3341" s="455">
        <f t="array" ref="J3341">IFERROR(INDEX('Retirement Calculator'!K:K,MATCH('Lorri 401b'!N3341,'Retirement Calculator'!A:A,0),0),0)</f>
        <v>0</v>
      </c>
      <c r="K3341" s="455">
        <f t="shared" ca="1" si="148"/>
        <v>1087594590.732512</v>
      </c>
      <c r="L3341" s="455">
        <f t="shared" ca="1" si="149"/>
        <v>262110296366.5354</v>
      </c>
      <c r="M3341" s="471">
        <f t="shared" si="151"/>
        <v>0.05</v>
      </c>
      <c r="N3341" s="475">
        <f t="shared" si="152"/>
        <v>152732</v>
      </c>
    </row>
    <row r="3342" spans="7:14" ht="11.25" customHeight="1" x14ac:dyDescent="0.3">
      <c r="G3342" s="470"/>
      <c r="H3342" s="470">
        <v>3335</v>
      </c>
      <c r="I3342" s="455">
        <f t="shared" ca="1" si="150"/>
        <v>262110296366.5354</v>
      </c>
      <c r="J3342" s="455">
        <f t="array" ref="J3342">IFERROR(INDEX('Retirement Calculator'!K:K,MATCH('Lorri 401b'!N3342,'Retirement Calculator'!A:A,0),0),0)</f>
        <v>0</v>
      </c>
      <c r="K3342" s="455">
        <f t="shared" ca="1" si="148"/>
        <v>1092126234.860564</v>
      </c>
      <c r="L3342" s="455">
        <f t="shared" ca="1" si="149"/>
        <v>263202422601.39597</v>
      </c>
      <c r="M3342" s="471">
        <f t="shared" si="151"/>
        <v>0.05</v>
      </c>
      <c r="N3342" s="475">
        <f t="shared" si="152"/>
        <v>152763</v>
      </c>
    </row>
    <row r="3343" spans="7:14" ht="11.25" customHeight="1" x14ac:dyDescent="0.3">
      <c r="G3343" s="470"/>
      <c r="H3343" s="470">
        <v>3336</v>
      </c>
      <c r="I3343" s="455">
        <f t="shared" ca="1" si="150"/>
        <v>263202422601.39597</v>
      </c>
      <c r="J3343" s="455">
        <f t="array" ref="J3343">IFERROR(INDEX('Retirement Calculator'!K:K,MATCH('Lorri 401b'!N3343,'Retirement Calculator'!A:A,0),0),0)</f>
        <v>0</v>
      </c>
      <c r="K3343" s="455">
        <f t="shared" ca="1" si="148"/>
        <v>1096676760.83915</v>
      </c>
      <c r="L3343" s="455">
        <f t="shared" ca="1" si="149"/>
        <v>264299099362.23511</v>
      </c>
      <c r="M3343" s="471">
        <f t="shared" si="151"/>
        <v>0.05</v>
      </c>
      <c r="N3343" s="475">
        <f t="shared" si="152"/>
        <v>152793</v>
      </c>
    </row>
    <row r="3344" spans="7:14" ht="11.25" customHeight="1" x14ac:dyDescent="0.3">
      <c r="G3344" s="470"/>
      <c r="H3344" s="470">
        <v>3337</v>
      </c>
      <c r="I3344" s="455">
        <f t="shared" ca="1" si="150"/>
        <v>264299099362.23511</v>
      </c>
      <c r="J3344" s="455">
        <f t="array" ref="J3344">IFERROR(INDEX('Retirement Calculator'!K:K,MATCH('Lorri 401b'!N3344,'Retirement Calculator'!A:A,0),0),0)</f>
        <v>0</v>
      </c>
      <c r="K3344" s="455">
        <f t="shared" ca="1" si="148"/>
        <v>1101246247.3426464</v>
      </c>
      <c r="L3344" s="455">
        <f t="shared" ca="1" si="149"/>
        <v>265400345609.57776</v>
      </c>
      <c r="M3344" s="471">
        <f t="shared" si="151"/>
        <v>0.05</v>
      </c>
      <c r="N3344" s="475">
        <f t="shared" si="152"/>
        <v>152824</v>
      </c>
    </row>
    <row r="3345" spans="7:14" ht="11.25" customHeight="1" x14ac:dyDescent="0.3">
      <c r="G3345" s="470"/>
      <c r="H3345" s="470">
        <v>3338</v>
      </c>
      <c r="I3345" s="455">
        <f t="shared" ca="1" si="150"/>
        <v>265400345609.57776</v>
      </c>
      <c r="J3345" s="455">
        <f t="array" ref="J3345">IFERROR(INDEX('Retirement Calculator'!K:K,MATCH('Lorri 401b'!N3345,'Retirement Calculator'!A:A,0),0),0)</f>
        <v>0</v>
      </c>
      <c r="K3345" s="455">
        <f t="shared" ca="1" si="148"/>
        <v>1105834773.3732407</v>
      </c>
      <c r="L3345" s="455">
        <f t="shared" ca="1" si="149"/>
        <v>266506180382.95099</v>
      </c>
      <c r="M3345" s="471">
        <f t="shared" si="151"/>
        <v>0.05</v>
      </c>
      <c r="N3345" s="475">
        <f t="shared" si="152"/>
        <v>152854</v>
      </c>
    </row>
    <row r="3346" spans="7:14" ht="11.25" customHeight="1" x14ac:dyDescent="0.3">
      <c r="G3346" s="470"/>
      <c r="H3346" s="470">
        <v>3339</v>
      </c>
      <c r="I3346" s="455">
        <f t="shared" ca="1" si="150"/>
        <v>266506180382.95099</v>
      </c>
      <c r="J3346" s="455">
        <f t="array" ref="J3346">IFERROR(INDEX('Retirement Calculator'!K:K,MATCH('Lorri 401b'!N3346,'Retirement Calculator'!A:A,0),0),0)</f>
        <v>0</v>
      </c>
      <c r="K3346" s="455">
        <f t="shared" ca="1" si="148"/>
        <v>1110442418.2622957</v>
      </c>
      <c r="L3346" s="455">
        <f t="shared" ca="1" si="149"/>
        <v>267616622801.21329</v>
      </c>
      <c r="M3346" s="471">
        <f t="shared" si="151"/>
        <v>0.05</v>
      </c>
      <c r="N3346" s="475">
        <f t="shared" si="152"/>
        <v>152885</v>
      </c>
    </row>
    <row r="3347" spans="7:14" ht="11.25" customHeight="1" x14ac:dyDescent="0.3">
      <c r="G3347" s="470"/>
      <c r="H3347" s="470">
        <v>3340</v>
      </c>
      <c r="I3347" s="455">
        <f t="shared" ca="1" si="150"/>
        <v>267616622801.21329</v>
      </c>
      <c r="J3347" s="455">
        <f t="array" ref="J3347">IFERROR(INDEX('Retirement Calculator'!K:K,MATCH('Lorri 401b'!N3347,'Retirement Calculator'!A:A,0),0),0)</f>
        <v>0</v>
      </c>
      <c r="K3347" s="455">
        <f t="shared" ca="1" si="148"/>
        <v>1115069261.6717219</v>
      </c>
      <c r="L3347" s="455">
        <f t="shared" ca="1" si="149"/>
        <v>268731692062.88501</v>
      </c>
      <c r="M3347" s="471">
        <f t="shared" si="151"/>
        <v>0.05</v>
      </c>
      <c r="N3347" s="475">
        <f t="shared" si="152"/>
        <v>152916</v>
      </c>
    </row>
    <row r="3348" spans="7:14" ht="11.25" customHeight="1" x14ac:dyDescent="0.3">
      <c r="G3348" s="470"/>
      <c r="H3348" s="470">
        <v>3341</v>
      </c>
      <c r="I3348" s="455">
        <f t="shared" ca="1" si="150"/>
        <v>268731692062.88501</v>
      </c>
      <c r="J3348" s="455">
        <f t="array" ref="J3348">IFERROR(INDEX('Retirement Calculator'!K:K,MATCH('Lorri 401b'!N3348,'Retirement Calculator'!A:A,0),0),0)</f>
        <v>0</v>
      </c>
      <c r="K3348" s="455">
        <f t="shared" ca="1" si="148"/>
        <v>1119715383.5953541</v>
      </c>
      <c r="L3348" s="455">
        <f t="shared" ca="1" si="149"/>
        <v>269851407446.48038</v>
      </c>
      <c r="M3348" s="471">
        <f t="shared" si="151"/>
        <v>0.05</v>
      </c>
      <c r="N3348" s="475">
        <f t="shared" si="152"/>
        <v>152946</v>
      </c>
    </row>
    <row r="3349" spans="7:14" ht="11.25" customHeight="1" x14ac:dyDescent="0.3">
      <c r="G3349" s="470"/>
      <c r="H3349" s="470">
        <v>3342</v>
      </c>
      <c r="I3349" s="455">
        <f t="shared" ca="1" si="150"/>
        <v>269851407446.48038</v>
      </c>
      <c r="J3349" s="455">
        <f t="array" ref="J3349">IFERROR(INDEX('Retirement Calculator'!K:K,MATCH('Lorri 401b'!N3349,'Retirement Calculator'!A:A,0),0),0)</f>
        <v>0</v>
      </c>
      <c r="K3349" s="455">
        <f t="shared" ca="1" si="148"/>
        <v>1124380864.3603349</v>
      </c>
      <c r="L3349" s="455">
        <f t="shared" ca="1" si="149"/>
        <v>270975788310.8407</v>
      </c>
      <c r="M3349" s="471">
        <f t="shared" si="151"/>
        <v>0.05</v>
      </c>
      <c r="N3349" s="475">
        <f t="shared" si="152"/>
        <v>152977</v>
      </c>
    </row>
    <row r="3350" spans="7:14" ht="11.25" customHeight="1" x14ac:dyDescent="0.3">
      <c r="G3350" s="470"/>
      <c r="H3350" s="470">
        <v>3343</v>
      </c>
      <c r="I3350" s="455">
        <f t="shared" ca="1" si="150"/>
        <v>270975788310.8407</v>
      </c>
      <c r="J3350" s="455">
        <f t="array" ref="J3350">IFERROR(INDEX('Retirement Calculator'!K:K,MATCH('Lorri 401b'!N3350,'Retirement Calculator'!A:A,0),0),0)</f>
        <v>0</v>
      </c>
      <c r="K3350" s="455">
        <f t="shared" ca="1" si="148"/>
        <v>1129065784.6285028</v>
      </c>
      <c r="L3350" s="455">
        <f t="shared" ca="1" si="149"/>
        <v>272104854095.46921</v>
      </c>
      <c r="M3350" s="471">
        <f t="shared" si="151"/>
        <v>0.05</v>
      </c>
      <c r="N3350" s="475">
        <f t="shared" si="152"/>
        <v>153007</v>
      </c>
    </row>
    <row r="3351" spans="7:14" ht="11.25" customHeight="1" x14ac:dyDescent="0.3">
      <c r="G3351" s="470"/>
      <c r="H3351" s="470">
        <v>3344</v>
      </c>
      <c r="I3351" s="455">
        <f t="shared" ca="1" si="150"/>
        <v>272104854095.46921</v>
      </c>
      <c r="J3351" s="455">
        <f t="array" ref="J3351">IFERROR(INDEX('Retirement Calculator'!K:K,MATCH('Lorri 401b'!N3351,'Retirement Calculator'!A:A,0),0),0)</f>
        <v>0</v>
      </c>
      <c r="K3351" s="455">
        <f t="shared" ca="1" si="148"/>
        <v>1133770225.3977883</v>
      </c>
      <c r="L3351" s="455">
        <f t="shared" ca="1" si="149"/>
        <v>273238624320.867</v>
      </c>
      <c r="M3351" s="471">
        <f t="shared" si="151"/>
        <v>0.05</v>
      </c>
      <c r="N3351" s="475">
        <f t="shared" si="152"/>
        <v>153038</v>
      </c>
    </row>
    <row r="3352" spans="7:14" ht="11.25" customHeight="1" x14ac:dyDescent="0.3">
      <c r="G3352" s="470"/>
      <c r="H3352" s="470">
        <v>3345</v>
      </c>
      <c r="I3352" s="455">
        <f t="shared" ca="1" si="150"/>
        <v>273238624320.867</v>
      </c>
      <c r="J3352" s="455">
        <f t="array" ref="J3352">IFERROR(INDEX('Retirement Calculator'!K:K,MATCH('Lorri 401b'!N3352,'Retirement Calculator'!A:A,0),0),0)</f>
        <v>0</v>
      </c>
      <c r="K3352" s="455">
        <f t="shared" ca="1" si="148"/>
        <v>1138494268.0036125</v>
      </c>
      <c r="L3352" s="455">
        <f t="shared" ca="1" si="149"/>
        <v>274377118588.87061</v>
      </c>
      <c r="M3352" s="471">
        <f t="shared" si="151"/>
        <v>0.05</v>
      </c>
      <c r="N3352" s="475">
        <f t="shared" si="152"/>
        <v>153069</v>
      </c>
    </row>
    <row r="3353" spans="7:14" ht="11.25" customHeight="1" x14ac:dyDescent="0.3">
      <c r="G3353" s="470"/>
      <c r="H3353" s="470">
        <v>3346</v>
      </c>
      <c r="I3353" s="455">
        <f t="shared" ca="1" si="150"/>
        <v>274377118588.87061</v>
      </c>
      <c r="J3353" s="455">
        <f t="array" ref="J3353">IFERROR(INDEX('Retirement Calculator'!K:K,MATCH('Lorri 401b'!N3353,'Retirement Calculator'!A:A,0),0),0)</f>
        <v>0</v>
      </c>
      <c r="K3353" s="455">
        <f t="shared" ca="1" si="148"/>
        <v>1143237994.1202941</v>
      </c>
      <c r="L3353" s="455">
        <f t="shared" ca="1" si="149"/>
        <v>275520356582.99091</v>
      </c>
      <c r="M3353" s="471">
        <f t="shared" si="151"/>
        <v>0.05</v>
      </c>
      <c r="N3353" s="475">
        <f t="shared" si="152"/>
        <v>153097</v>
      </c>
    </row>
    <row r="3354" spans="7:14" ht="11.25" customHeight="1" x14ac:dyDescent="0.3">
      <c r="G3354" s="470"/>
      <c r="H3354" s="470">
        <v>3347</v>
      </c>
      <c r="I3354" s="455">
        <f t="shared" ca="1" si="150"/>
        <v>275520356582.99091</v>
      </c>
      <c r="J3354" s="455">
        <f t="array" ref="J3354">IFERROR(INDEX('Retirement Calculator'!K:K,MATCH('Lorri 401b'!N3354,'Retirement Calculator'!A:A,0),0),0)</f>
        <v>0</v>
      </c>
      <c r="K3354" s="455">
        <f t="shared" ca="1" si="148"/>
        <v>1148001485.7624621</v>
      </c>
      <c r="L3354" s="455">
        <f t="shared" ca="1" si="149"/>
        <v>276668358068.75336</v>
      </c>
      <c r="M3354" s="471">
        <f t="shared" si="151"/>
        <v>0.05</v>
      </c>
      <c r="N3354" s="475">
        <f t="shared" si="152"/>
        <v>153128</v>
      </c>
    </row>
    <row r="3355" spans="7:14" ht="11.25" customHeight="1" x14ac:dyDescent="0.3">
      <c r="G3355" s="470"/>
      <c r="H3355" s="470">
        <v>3348</v>
      </c>
      <c r="I3355" s="455">
        <f t="shared" ca="1" si="150"/>
        <v>276668358068.75336</v>
      </c>
      <c r="J3355" s="455">
        <f t="array" ref="J3355">IFERROR(INDEX('Retirement Calculator'!K:K,MATCH('Lorri 401b'!N3355,'Retirement Calculator'!A:A,0),0),0)</f>
        <v>0</v>
      </c>
      <c r="K3355" s="455">
        <f t="shared" ca="1" si="148"/>
        <v>1152784825.2864723</v>
      </c>
      <c r="L3355" s="455">
        <f t="shared" ca="1" si="149"/>
        <v>277821142894.03986</v>
      </c>
      <c r="M3355" s="471">
        <f t="shared" si="151"/>
        <v>0.05</v>
      </c>
      <c r="N3355" s="475">
        <f t="shared" si="152"/>
        <v>153158</v>
      </c>
    </row>
    <row r="3356" spans="7:14" ht="11.25" customHeight="1" x14ac:dyDescent="0.3">
      <c r="G3356" s="470"/>
      <c r="H3356" s="470">
        <v>3349</v>
      </c>
      <c r="I3356" s="455">
        <f t="shared" ca="1" si="150"/>
        <v>277821142894.03986</v>
      </c>
      <c r="J3356" s="455">
        <f t="array" ref="J3356">IFERROR(INDEX('Retirement Calculator'!K:K,MATCH('Lorri 401b'!N3356,'Retirement Calculator'!A:A,0),0),0)</f>
        <v>0</v>
      </c>
      <c r="K3356" s="455">
        <f t="shared" ca="1" si="148"/>
        <v>1157588095.3918328</v>
      </c>
      <c r="L3356" s="455">
        <f t="shared" ca="1" si="149"/>
        <v>278978730989.4317</v>
      </c>
      <c r="M3356" s="471">
        <f t="shared" si="151"/>
        <v>0.05</v>
      </c>
      <c r="N3356" s="475">
        <f t="shared" si="152"/>
        <v>153189</v>
      </c>
    </row>
    <row r="3357" spans="7:14" ht="11.25" customHeight="1" x14ac:dyDescent="0.3">
      <c r="G3357" s="470"/>
      <c r="H3357" s="470">
        <v>3350</v>
      </c>
      <c r="I3357" s="455">
        <f t="shared" ca="1" si="150"/>
        <v>278978730989.4317</v>
      </c>
      <c r="J3357" s="455">
        <f t="array" ref="J3357">IFERROR(INDEX('Retirement Calculator'!K:K,MATCH('Lorri 401b'!N3357,'Retirement Calculator'!A:A,0),0),0)</f>
        <v>0</v>
      </c>
      <c r="K3357" s="455">
        <f t="shared" ca="1" si="148"/>
        <v>1162411379.122632</v>
      </c>
      <c r="L3357" s="455">
        <f t="shared" ca="1" si="149"/>
        <v>280141142368.55432</v>
      </c>
      <c r="M3357" s="471">
        <f t="shared" si="151"/>
        <v>0.05</v>
      </c>
      <c r="N3357" s="475">
        <f t="shared" si="152"/>
        <v>153219</v>
      </c>
    </row>
    <row r="3358" spans="7:14" ht="11.25" customHeight="1" x14ac:dyDescent="0.3">
      <c r="G3358" s="470"/>
      <c r="H3358" s="470">
        <v>3351</v>
      </c>
      <c r="I3358" s="455">
        <f t="shared" ca="1" si="150"/>
        <v>280141142368.55432</v>
      </c>
      <c r="J3358" s="455">
        <f t="array" ref="J3358">IFERROR(INDEX('Retirement Calculator'!K:K,MATCH('Lorri 401b'!N3358,'Retirement Calculator'!A:A,0),0),0)</f>
        <v>0</v>
      </c>
      <c r="K3358" s="455">
        <f t="shared" ca="1" si="148"/>
        <v>1167254759.8689764</v>
      </c>
      <c r="L3358" s="455">
        <f t="shared" ca="1" si="149"/>
        <v>281308397128.42328</v>
      </c>
      <c r="M3358" s="471">
        <f t="shared" si="151"/>
        <v>0.05</v>
      </c>
      <c r="N3358" s="475">
        <f t="shared" si="152"/>
        <v>153250</v>
      </c>
    </row>
    <row r="3359" spans="7:14" ht="11.25" customHeight="1" x14ac:dyDescent="0.3">
      <c r="G3359" s="470"/>
      <c r="H3359" s="470">
        <v>3352</v>
      </c>
      <c r="I3359" s="455">
        <f t="shared" ca="1" si="150"/>
        <v>281308397128.42328</v>
      </c>
      <c r="J3359" s="455">
        <f t="array" ref="J3359">IFERROR(INDEX('Retirement Calculator'!K:K,MATCH('Lorri 401b'!N3359,'Retirement Calculator'!A:A,0),0),0)</f>
        <v>0</v>
      </c>
      <c r="K3359" s="455">
        <f t="shared" ca="1" si="148"/>
        <v>1172118321.3684304</v>
      </c>
      <c r="L3359" s="455">
        <f t="shared" ca="1" si="149"/>
        <v>282480515449.79169</v>
      </c>
      <c r="M3359" s="471">
        <f t="shared" si="151"/>
        <v>0.05</v>
      </c>
      <c r="N3359" s="475">
        <f t="shared" si="152"/>
        <v>153281</v>
      </c>
    </row>
    <row r="3360" spans="7:14" ht="11.25" customHeight="1" x14ac:dyDescent="0.3">
      <c r="G3360" s="470"/>
      <c r="H3360" s="470">
        <v>3353</v>
      </c>
      <c r="I3360" s="455">
        <f t="shared" ca="1" si="150"/>
        <v>282480515449.79169</v>
      </c>
      <c r="J3360" s="455">
        <f t="array" ref="J3360">IFERROR(INDEX('Retirement Calculator'!K:K,MATCH('Lorri 401b'!N3360,'Retirement Calculator'!A:A,0),0),0)</f>
        <v>0</v>
      </c>
      <c r="K3360" s="455">
        <f t="shared" ca="1" si="148"/>
        <v>1177002147.7074654</v>
      </c>
      <c r="L3360" s="455">
        <f t="shared" ca="1" si="149"/>
        <v>283657517597.49915</v>
      </c>
      <c r="M3360" s="471">
        <f t="shared" si="151"/>
        <v>0.05</v>
      </c>
      <c r="N3360" s="475">
        <f t="shared" si="152"/>
        <v>153311</v>
      </c>
    </row>
    <row r="3361" spans="7:14" ht="11.25" customHeight="1" x14ac:dyDescent="0.3">
      <c r="G3361" s="470"/>
      <c r="H3361" s="470">
        <v>3354</v>
      </c>
      <c r="I3361" s="455">
        <f t="shared" ca="1" si="150"/>
        <v>283657517597.49915</v>
      </c>
      <c r="J3361" s="455">
        <f t="array" ref="J3361">IFERROR(INDEX('Retirement Calculator'!K:K,MATCH('Lorri 401b'!N3361,'Retirement Calculator'!A:A,0),0),0)</f>
        <v>0</v>
      </c>
      <c r="K3361" s="455">
        <f t="shared" ca="1" si="148"/>
        <v>1181906323.3229132</v>
      </c>
      <c r="L3361" s="455">
        <f t="shared" ca="1" si="149"/>
        <v>284839423920.82208</v>
      </c>
      <c r="M3361" s="471">
        <f t="shared" si="151"/>
        <v>0.05</v>
      </c>
      <c r="N3361" s="475">
        <f t="shared" si="152"/>
        <v>153342</v>
      </c>
    </row>
    <row r="3362" spans="7:14" ht="11.25" customHeight="1" x14ac:dyDescent="0.3">
      <c r="G3362" s="470"/>
      <c r="H3362" s="470">
        <v>3355</v>
      </c>
      <c r="I3362" s="455">
        <f t="shared" ca="1" si="150"/>
        <v>284839423920.82208</v>
      </c>
      <c r="J3362" s="455">
        <f t="array" ref="J3362">IFERROR(INDEX('Retirement Calculator'!K:K,MATCH('Lorri 401b'!N3362,'Retirement Calculator'!A:A,0),0),0)</f>
        <v>0</v>
      </c>
      <c r="K3362" s="455">
        <f t="shared" ca="1" si="148"/>
        <v>1186830933.0034254</v>
      </c>
      <c r="L3362" s="455">
        <f t="shared" ca="1" si="149"/>
        <v>286026254853.8255</v>
      </c>
      <c r="M3362" s="471">
        <f t="shared" si="151"/>
        <v>0.05</v>
      </c>
      <c r="N3362" s="475">
        <f t="shared" si="152"/>
        <v>153372</v>
      </c>
    </row>
    <row r="3363" spans="7:14" ht="11.25" customHeight="1" x14ac:dyDescent="0.3">
      <c r="G3363" s="470"/>
      <c r="H3363" s="470">
        <v>3356</v>
      </c>
      <c r="I3363" s="455">
        <f t="shared" ca="1" si="150"/>
        <v>286026254853.8255</v>
      </c>
      <c r="J3363" s="455">
        <f t="array" ref="J3363">IFERROR(INDEX('Retirement Calculator'!K:K,MATCH('Lorri 401b'!N3363,'Retirement Calculator'!A:A,0),0),0)</f>
        <v>0</v>
      </c>
      <c r="K3363" s="455">
        <f t="shared" ca="1" si="148"/>
        <v>1191776061.8909395</v>
      </c>
      <c r="L3363" s="455">
        <f t="shared" ca="1" si="149"/>
        <v>287218030915.71643</v>
      </c>
      <c r="M3363" s="471">
        <f t="shared" si="151"/>
        <v>0.05</v>
      </c>
      <c r="N3363" s="475">
        <f t="shared" si="152"/>
        <v>153403</v>
      </c>
    </row>
    <row r="3364" spans="7:14" ht="11.25" customHeight="1" x14ac:dyDescent="0.3">
      <c r="G3364" s="470"/>
      <c r="H3364" s="470">
        <v>3357</v>
      </c>
      <c r="I3364" s="455">
        <f t="shared" ca="1" si="150"/>
        <v>287218030915.71643</v>
      </c>
      <c r="J3364" s="455">
        <f t="array" ref="J3364">IFERROR(INDEX('Retirement Calculator'!K:K,MATCH('Lorri 401b'!N3364,'Retirement Calculator'!A:A,0),0),0)</f>
        <v>0</v>
      </c>
      <c r="K3364" s="455">
        <f t="shared" ca="1" si="148"/>
        <v>1196741795.4821517</v>
      </c>
      <c r="L3364" s="455">
        <f t="shared" ca="1" si="149"/>
        <v>288414772711.19861</v>
      </c>
      <c r="M3364" s="471">
        <f t="shared" si="151"/>
        <v>0.05</v>
      </c>
      <c r="N3364" s="475">
        <f t="shared" si="152"/>
        <v>153434</v>
      </c>
    </row>
    <row r="3365" spans="7:14" ht="11.25" customHeight="1" x14ac:dyDescent="0.3">
      <c r="G3365" s="470"/>
      <c r="H3365" s="470">
        <v>3358</v>
      </c>
      <c r="I3365" s="455">
        <f t="shared" ca="1" si="150"/>
        <v>288414772711.19861</v>
      </c>
      <c r="J3365" s="455">
        <f t="array" ref="J3365">IFERROR(INDEX('Retirement Calculator'!K:K,MATCH('Lorri 401b'!N3365,'Retirement Calculator'!A:A,0),0),0)</f>
        <v>0</v>
      </c>
      <c r="K3365" s="455">
        <f t="shared" ca="1" si="148"/>
        <v>1201728219.6299942</v>
      </c>
      <c r="L3365" s="455">
        <f t="shared" ca="1" si="149"/>
        <v>289616500930.82861</v>
      </c>
      <c r="M3365" s="471">
        <f t="shared" si="151"/>
        <v>0.05</v>
      </c>
      <c r="N3365" s="475">
        <f t="shared" si="152"/>
        <v>153463</v>
      </c>
    </row>
    <row r="3366" spans="7:14" ht="11.25" customHeight="1" x14ac:dyDescent="0.3">
      <c r="G3366" s="470"/>
      <c r="H3366" s="470">
        <v>3359</v>
      </c>
      <c r="I3366" s="455">
        <f t="shared" ca="1" si="150"/>
        <v>289616500930.82861</v>
      </c>
      <c r="J3366" s="455">
        <f t="array" ref="J3366">IFERROR(INDEX('Retirement Calculator'!K:K,MATCH('Lorri 401b'!N3366,'Retirement Calculator'!A:A,0),0),0)</f>
        <v>0</v>
      </c>
      <c r="K3366" s="455">
        <f t="shared" ca="1" si="148"/>
        <v>1206735420.5451193</v>
      </c>
      <c r="L3366" s="455">
        <f t="shared" ca="1" si="149"/>
        <v>290823236351.37372</v>
      </c>
      <c r="M3366" s="471">
        <f t="shared" si="151"/>
        <v>0.05</v>
      </c>
      <c r="N3366" s="475">
        <f t="shared" si="152"/>
        <v>153494</v>
      </c>
    </row>
    <row r="3367" spans="7:14" ht="11.25" customHeight="1" x14ac:dyDescent="0.3">
      <c r="G3367" s="470"/>
      <c r="H3367" s="470">
        <v>3360</v>
      </c>
      <c r="I3367" s="455">
        <f t="shared" ca="1" si="150"/>
        <v>290823236351.37372</v>
      </c>
      <c r="J3367" s="455">
        <f t="array" ref="J3367">IFERROR(INDEX('Retirement Calculator'!K:K,MATCH('Lorri 401b'!N3367,'Retirement Calculator'!A:A,0),0),0)</f>
        <v>0</v>
      </c>
      <c r="K3367" s="455">
        <f t="shared" ca="1" si="148"/>
        <v>1211763484.7973905</v>
      </c>
      <c r="L3367" s="455">
        <f t="shared" ca="1" si="149"/>
        <v>292034999836.17108</v>
      </c>
      <c r="M3367" s="471">
        <f t="shared" si="151"/>
        <v>0.05</v>
      </c>
      <c r="N3367" s="475">
        <f t="shared" si="152"/>
        <v>153524</v>
      </c>
    </row>
    <row r="3368" spans="7:14" ht="11.25" customHeight="1" x14ac:dyDescent="0.3">
      <c r="G3368" s="470"/>
      <c r="H3368" s="470">
        <v>3361</v>
      </c>
      <c r="I3368" s="455">
        <f t="shared" ca="1" si="150"/>
        <v>292034999836.17108</v>
      </c>
      <c r="J3368" s="455">
        <f t="array" ref="J3368">IFERROR(INDEX('Retirement Calculator'!K:K,MATCH('Lorri 401b'!N3368,'Retirement Calculator'!A:A,0),0),0)</f>
        <v>0</v>
      </c>
      <c r="K3368" s="455">
        <f t="shared" ca="1" si="148"/>
        <v>1216812499.3173795</v>
      </c>
      <c r="L3368" s="455">
        <f t="shared" ca="1" si="149"/>
        <v>293251812335.48846</v>
      </c>
      <c r="M3368" s="471">
        <f t="shared" si="151"/>
        <v>0.05</v>
      </c>
      <c r="N3368" s="475">
        <f t="shared" si="152"/>
        <v>153555</v>
      </c>
    </row>
    <row r="3369" spans="7:14" ht="11.25" customHeight="1" x14ac:dyDescent="0.3">
      <c r="G3369" s="470"/>
      <c r="H3369" s="470">
        <v>3362</v>
      </c>
      <c r="I3369" s="455">
        <f t="shared" ca="1" si="150"/>
        <v>293251812335.48846</v>
      </c>
      <c r="J3369" s="455">
        <f t="array" ref="J3369">IFERROR(INDEX('Retirement Calculator'!K:K,MATCH('Lorri 401b'!N3369,'Retirement Calculator'!A:A,0),0),0)</f>
        <v>0</v>
      </c>
      <c r="K3369" s="455">
        <f t="shared" ca="1" si="148"/>
        <v>1221882551.3978686</v>
      </c>
      <c r="L3369" s="455">
        <f t="shared" ca="1" si="149"/>
        <v>294473694886.88635</v>
      </c>
      <c r="M3369" s="471">
        <f t="shared" si="151"/>
        <v>0.05</v>
      </c>
      <c r="N3369" s="475">
        <f t="shared" si="152"/>
        <v>153585</v>
      </c>
    </row>
    <row r="3370" spans="7:14" ht="11.25" customHeight="1" x14ac:dyDescent="0.3">
      <c r="G3370" s="470"/>
      <c r="H3370" s="470">
        <v>3363</v>
      </c>
      <c r="I3370" s="455">
        <f t="shared" ca="1" si="150"/>
        <v>294473694886.88635</v>
      </c>
      <c r="J3370" s="455">
        <f t="array" ref="J3370">IFERROR(INDEX('Retirement Calculator'!K:K,MATCH('Lorri 401b'!N3370,'Retirement Calculator'!A:A,0),0),0)</f>
        <v>0</v>
      </c>
      <c r="K3370" s="455">
        <f t="shared" ca="1" si="148"/>
        <v>1226973728.6953597</v>
      </c>
      <c r="L3370" s="455">
        <f t="shared" ca="1" si="149"/>
        <v>295700668615.58173</v>
      </c>
      <c r="M3370" s="471">
        <f t="shared" si="151"/>
        <v>0.05</v>
      </c>
      <c r="N3370" s="475">
        <f t="shared" si="152"/>
        <v>153616</v>
      </c>
    </row>
    <row r="3371" spans="7:14" ht="11.25" customHeight="1" x14ac:dyDescent="0.3">
      <c r="G3371" s="470"/>
      <c r="H3371" s="470">
        <v>3364</v>
      </c>
      <c r="I3371" s="455">
        <f t="shared" ca="1" si="150"/>
        <v>295700668615.58173</v>
      </c>
      <c r="J3371" s="455">
        <f t="array" ref="J3371">IFERROR(INDEX('Retirement Calculator'!K:K,MATCH('Lorri 401b'!N3371,'Retirement Calculator'!A:A,0),0),0)</f>
        <v>0</v>
      </c>
      <c r="K3371" s="455">
        <f t="shared" ca="1" si="148"/>
        <v>1232086119.2315905</v>
      </c>
      <c r="L3371" s="455">
        <f t="shared" ca="1" si="149"/>
        <v>296932754734.81329</v>
      </c>
      <c r="M3371" s="471">
        <f t="shared" si="151"/>
        <v>0.05</v>
      </c>
      <c r="N3371" s="475">
        <f t="shared" si="152"/>
        <v>153647</v>
      </c>
    </row>
    <row r="3372" spans="7:14" ht="11.25" customHeight="1" x14ac:dyDescent="0.3">
      <c r="G3372" s="470"/>
      <c r="H3372" s="470">
        <v>3365</v>
      </c>
      <c r="I3372" s="455">
        <f t="shared" ca="1" si="150"/>
        <v>296932754734.81329</v>
      </c>
      <c r="J3372" s="455">
        <f t="array" ref="J3372">IFERROR(INDEX('Retirement Calculator'!K:K,MATCH('Lorri 401b'!N3372,'Retirement Calculator'!A:A,0),0),0)</f>
        <v>0</v>
      </c>
      <c r="K3372" s="455">
        <f t="shared" ca="1" si="148"/>
        <v>1237219811.3950553</v>
      </c>
      <c r="L3372" s="455">
        <f t="shared" ca="1" si="149"/>
        <v>298169974546.20837</v>
      </c>
      <c r="M3372" s="471">
        <f t="shared" si="151"/>
        <v>0.05</v>
      </c>
      <c r="N3372" s="475">
        <f t="shared" si="152"/>
        <v>153677</v>
      </c>
    </row>
    <row r="3373" spans="7:14" ht="11.25" customHeight="1" x14ac:dyDescent="0.3">
      <c r="G3373" s="470"/>
      <c r="H3373" s="470">
        <v>3366</v>
      </c>
      <c r="I3373" s="455">
        <f t="shared" ca="1" si="150"/>
        <v>298169974546.20837</v>
      </c>
      <c r="J3373" s="455">
        <f t="array" ref="J3373">IFERROR(INDEX('Retirement Calculator'!K:K,MATCH('Lorri 401b'!N3373,'Retirement Calculator'!A:A,0),0),0)</f>
        <v>0</v>
      </c>
      <c r="K3373" s="455">
        <f t="shared" ca="1" si="148"/>
        <v>1242374893.9425349</v>
      </c>
      <c r="L3373" s="455">
        <f t="shared" ca="1" si="149"/>
        <v>299412349440.15088</v>
      </c>
      <c r="M3373" s="471">
        <f t="shared" si="151"/>
        <v>0.05</v>
      </c>
      <c r="N3373" s="475">
        <f t="shared" si="152"/>
        <v>153708</v>
      </c>
    </row>
    <row r="3374" spans="7:14" ht="11.25" customHeight="1" x14ac:dyDescent="0.3">
      <c r="G3374" s="470"/>
      <c r="H3374" s="470">
        <v>3367</v>
      </c>
      <c r="I3374" s="455">
        <f t="shared" ca="1" si="150"/>
        <v>299412349440.15088</v>
      </c>
      <c r="J3374" s="455">
        <f t="array" ref="J3374">IFERROR(INDEX('Retirement Calculator'!K:K,MATCH('Lorri 401b'!N3374,'Retirement Calculator'!A:A,0),0),0)</f>
        <v>0</v>
      </c>
      <c r="K3374" s="455">
        <f t="shared" ca="1" si="148"/>
        <v>1247551456.0006287</v>
      </c>
      <c r="L3374" s="455">
        <f t="shared" ca="1" si="149"/>
        <v>300659900896.15149</v>
      </c>
      <c r="M3374" s="471">
        <f t="shared" si="151"/>
        <v>0.05</v>
      </c>
      <c r="N3374" s="475">
        <f t="shared" si="152"/>
        <v>153738</v>
      </c>
    </row>
    <row r="3375" spans="7:14" ht="11.25" customHeight="1" x14ac:dyDescent="0.3">
      <c r="G3375" s="470"/>
      <c r="H3375" s="470">
        <v>3368</v>
      </c>
      <c r="I3375" s="455">
        <f t="shared" ca="1" si="150"/>
        <v>300659900896.15149</v>
      </c>
      <c r="J3375" s="455">
        <f t="array" ref="J3375">IFERROR(INDEX('Retirement Calculator'!K:K,MATCH('Lorri 401b'!N3375,'Retirement Calculator'!A:A,0),0),0)</f>
        <v>0</v>
      </c>
      <c r="K3375" s="455">
        <f t="shared" ca="1" si="148"/>
        <v>1252749587.0672979</v>
      </c>
      <c r="L3375" s="455">
        <f t="shared" ca="1" si="149"/>
        <v>301912650483.21881</v>
      </c>
      <c r="M3375" s="471">
        <f t="shared" si="151"/>
        <v>0.05</v>
      </c>
      <c r="N3375" s="475">
        <f t="shared" si="152"/>
        <v>153769</v>
      </c>
    </row>
    <row r="3376" spans="7:14" ht="11.25" customHeight="1" x14ac:dyDescent="0.3">
      <c r="G3376" s="470"/>
      <c r="H3376" s="470">
        <v>3369</v>
      </c>
      <c r="I3376" s="455">
        <f t="shared" ca="1" si="150"/>
        <v>301912650483.21881</v>
      </c>
      <c r="J3376" s="455">
        <f t="array" ref="J3376">IFERROR(INDEX('Retirement Calculator'!K:K,MATCH('Lorri 401b'!N3376,'Retirement Calculator'!A:A,0),0),0)</f>
        <v>0</v>
      </c>
      <c r="K3376" s="455">
        <f t="shared" ca="1" si="148"/>
        <v>1257969377.0134118</v>
      </c>
      <c r="L3376" s="455">
        <f t="shared" ca="1" si="149"/>
        <v>303170619860.23224</v>
      </c>
      <c r="M3376" s="471">
        <f t="shared" si="151"/>
        <v>0.05</v>
      </c>
      <c r="N3376" s="475">
        <f t="shared" si="152"/>
        <v>153800</v>
      </c>
    </row>
    <row r="3377" spans="7:14" ht="11.25" customHeight="1" x14ac:dyDescent="0.3">
      <c r="G3377" s="470"/>
      <c r="H3377" s="470">
        <v>3370</v>
      </c>
      <c r="I3377" s="455">
        <f t="shared" ca="1" si="150"/>
        <v>303170619860.23224</v>
      </c>
      <c r="J3377" s="455">
        <f t="array" ref="J3377">IFERROR(INDEX('Retirement Calculator'!K:K,MATCH('Lorri 401b'!N3377,'Retirement Calculator'!A:A,0),0),0)</f>
        <v>0</v>
      </c>
      <c r="K3377" s="455">
        <f t="shared" ca="1" si="148"/>
        <v>1263210916.084301</v>
      </c>
      <c r="L3377" s="455">
        <f t="shared" ca="1" si="149"/>
        <v>304433830776.31653</v>
      </c>
      <c r="M3377" s="471">
        <f t="shared" si="151"/>
        <v>0.05</v>
      </c>
      <c r="N3377" s="475">
        <f t="shared" si="152"/>
        <v>153828</v>
      </c>
    </row>
    <row r="3378" spans="7:14" ht="11.25" customHeight="1" x14ac:dyDescent="0.3">
      <c r="G3378" s="470"/>
      <c r="H3378" s="470">
        <v>3371</v>
      </c>
      <c r="I3378" s="455">
        <f t="shared" ca="1" si="150"/>
        <v>304433830776.31653</v>
      </c>
      <c r="J3378" s="455">
        <f t="array" ref="J3378">IFERROR(INDEX('Retirement Calculator'!K:K,MATCH('Lorri 401b'!N3378,'Retirement Calculator'!A:A,0),0),0)</f>
        <v>0</v>
      </c>
      <c r="K3378" s="455">
        <f t="shared" ca="1" si="148"/>
        <v>1268474294.9013188</v>
      </c>
      <c r="L3378" s="455">
        <f t="shared" ca="1" si="149"/>
        <v>305702305071.21783</v>
      </c>
      <c r="M3378" s="471">
        <f t="shared" si="151"/>
        <v>0.05</v>
      </c>
      <c r="N3378" s="475">
        <f t="shared" si="152"/>
        <v>153859</v>
      </c>
    </row>
    <row r="3379" spans="7:14" ht="11.25" customHeight="1" x14ac:dyDescent="0.3">
      <c r="G3379" s="470"/>
      <c r="H3379" s="470">
        <v>3372</v>
      </c>
      <c r="I3379" s="455">
        <f t="shared" ca="1" si="150"/>
        <v>305702305071.21783</v>
      </c>
      <c r="J3379" s="455">
        <f t="array" ref="J3379">IFERROR(INDEX('Retirement Calculator'!K:K,MATCH('Lorri 401b'!N3379,'Retirement Calculator'!A:A,0),0),0)</f>
        <v>0</v>
      </c>
      <c r="K3379" s="455">
        <f t="shared" ca="1" si="148"/>
        <v>1273759604.4634075</v>
      </c>
      <c r="L3379" s="455">
        <f t="shared" ca="1" si="149"/>
        <v>306976064675.68121</v>
      </c>
      <c r="M3379" s="471">
        <f t="shared" si="151"/>
        <v>0.05</v>
      </c>
      <c r="N3379" s="475">
        <f t="shared" si="152"/>
        <v>153889</v>
      </c>
    </row>
    <row r="3380" spans="7:14" ht="11.25" customHeight="1" x14ac:dyDescent="0.3">
      <c r="G3380" s="470"/>
      <c r="H3380" s="470">
        <v>3373</v>
      </c>
      <c r="I3380" s="455">
        <f t="shared" ca="1" si="150"/>
        <v>306976064675.68121</v>
      </c>
      <c r="J3380" s="455">
        <f t="array" ref="J3380">IFERROR(INDEX('Retirement Calculator'!K:K,MATCH('Lorri 401b'!N3380,'Retirement Calculator'!A:A,0),0),0)</f>
        <v>0</v>
      </c>
      <c r="K3380" s="455">
        <f t="shared" ca="1" si="148"/>
        <v>1279066936.1486716</v>
      </c>
      <c r="L3380" s="455">
        <f t="shared" ca="1" si="149"/>
        <v>308255131611.8299</v>
      </c>
      <c r="M3380" s="471">
        <f t="shared" si="151"/>
        <v>0.05</v>
      </c>
      <c r="N3380" s="475">
        <f t="shared" si="152"/>
        <v>153920</v>
      </c>
    </row>
    <row r="3381" spans="7:14" ht="11.25" customHeight="1" x14ac:dyDescent="0.3">
      <c r="G3381" s="470"/>
      <c r="H3381" s="470">
        <v>3374</v>
      </c>
      <c r="I3381" s="455">
        <f t="shared" ca="1" si="150"/>
        <v>308255131611.8299</v>
      </c>
      <c r="J3381" s="455">
        <f t="array" ref="J3381">IFERROR(INDEX('Retirement Calculator'!K:K,MATCH('Lorri 401b'!N3381,'Retirement Calculator'!A:A,0),0),0)</f>
        <v>0</v>
      </c>
      <c r="K3381" s="455">
        <f t="shared" ca="1" si="148"/>
        <v>1284396381.7159579</v>
      </c>
      <c r="L3381" s="455">
        <f t="shared" ca="1" si="149"/>
        <v>309539527993.54584</v>
      </c>
      <c r="M3381" s="471">
        <f t="shared" si="151"/>
        <v>0.05</v>
      </c>
      <c r="N3381" s="475">
        <f t="shared" si="152"/>
        <v>153950</v>
      </c>
    </row>
    <row r="3382" spans="7:14" ht="11.25" customHeight="1" x14ac:dyDescent="0.3">
      <c r="G3382" s="470"/>
      <c r="H3382" s="470">
        <v>3375</v>
      </c>
      <c r="I3382" s="455">
        <f t="shared" ca="1" si="150"/>
        <v>309539527993.54584</v>
      </c>
      <c r="J3382" s="455">
        <f t="array" ref="J3382">IFERROR(INDEX('Retirement Calculator'!K:K,MATCH('Lorri 401b'!N3382,'Retirement Calculator'!A:A,0),0),0)</f>
        <v>0</v>
      </c>
      <c r="K3382" s="455">
        <f t="shared" ca="1" si="148"/>
        <v>1289748033.3064411</v>
      </c>
      <c r="L3382" s="455">
        <f t="shared" ca="1" si="149"/>
        <v>310829276026.85229</v>
      </c>
      <c r="M3382" s="471">
        <f t="shared" si="151"/>
        <v>0.05</v>
      </c>
      <c r="N3382" s="475">
        <f t="shared" si="152"/>
        <v>153981</v>
      </c>
    </row>
    <row r="3383" spans="7:14" ht="11.25" customHeight="1" x14ac:dyDescent="0.3">
      <c r="G3383" s="470"/>
      <c r="H3383" s="470">
        <v>3376</v>
      </c>
      <c r="I3383" s="455">
        <f t="shared" ca="1" si="150"/>
        <v>310829276026.85229</v>
      </c>
      <c r="J3383" s="455">
        <f t="array" ref="J3383">IFERROR(INDEX('Retirement Calculator'!K:K,MATCH('Lorri 401b'!N3383,'Retirement Calculator'!A:A,0),0),0)</f>
        <v>0</v>
      </c>
      <c r="K3383" s="455">
        <f t="shared" ca="1" si="148"/>
        <v>1295121983.4452178</v>
      </c>
      <c r="L3383" s="455">
        <f t="shared" ca="1" si="149"/>
        <v>312124398010.29749</v>
      </c>
      <c r="M3383" s="471">
        <f t="shared" si="151"/>
        <v>0.05</v>
      </c>
      <c r="N3383" s="475">
        <f t="shared" si="152"/>
        <v>154012</v>
      </c>
    </row>
    <row r="3384" spans="7:14" ht="11.25" customHeight="1" x14ac:dyDescent="0.3">
      <c r="G3384" s="470"/>
      <c r="H3384" s="470">
        <v>3377</v>
      </c>
      <c r="I3384" s="455">
        <f t="shared" ca="1" si="150"/>
        <v>312124398010.29749</v>
      </c>
      <c r="J3384" s="455">
        <f t="array" ref="J3384">IFERROR(INDEX('Retirement Calculator'!K:K,MATCH('Lorri 401b'!N3384,'Retirement Calculator'!A:A,0),0),0)</f>
        <v>0</v>
      </c>
      <c r="K3384" s="455">
        <f t="shared" ca="1" si="148"/>
        <v>1300518325.0429063</v>
      </c>
      <c r="L3384" s="455">
        <f t="shared" ca="1" si="149"/>
        <v>313424916335.34039</v>
      </c>
      <c r="M3384" s="471">
        <f t="shared" si="151"/>
        <v>0.05</v>
      </c>
      <c r="N3384" s="475">
        <f t="shared" si="152"/>
        <v>154042</v>
      </c>
    </row>
    <row r="3385" spans="7:14" ht="11.25" customHeight="1" x14ac:dyDescent="0.3">
      <c r="G3385" s="470"/>
      <c r="H3385" s="470">
        <v>3378</v>
      </c>
      <c r="I3385" s="455">
        <f t="shared" ca="1" si="150"/>
        <v>313424916335.34039</v>
      </c>
      <c r="J3385" s="455">
        <f t="array" ref="J3385">IFERROR(INDEX('Retirement Calculator'!K:K,MATCH('Lorri 401b'!N3385,'Retirement Calculator'!A:A,0),0),0)</f>
        <v>0</v>
      </c>
      <c r="K3385" s="455">
        <f t="shared" ca="1" si="148"/>
        <v>1305937151.3972516</v>
      </c>
      <c r="L3385" s="455">
        <f t="shared" ca="1" si="149"/>
        <v>314730853486.73767</v>
      </c>
      <c r="M3385" s="471">
        <f t="shared" si="151"/>
        <v>0.05</v>
      </c>
      <c r="N3385" s="475">
        <f t="shared" si="152"/>
        <v>154073</v>
      </c>
    </row>
    <row r="3386" spans="7:14" ht="11.25" customHeight="1" x14ac:dyDescent="0.3">
      <c r="G3386" s="470"/>
      <c r="H3386" s="470">
        <v>3379</v>
      </c>
      <c r="I3386" s="455">
        <f t="shared" ca="1" si="150"/>
        <v>314730853486.73767</v>
      </c>
      <c r="J3386" s="455">
        <f t="array" ref="J3386">IFERROR(INDEX('Retirement Calculator'!K:K,MATCH('Lorri 401b'!N3386,'Retirement Calculator'!A:A,0),0),0)</f>
        <v>0</v>
      </c>
      <c r="K3386" s="455">
        <f t="shared" ca="1" si="148"/>
        <v>1311378556.1947403</v>
      </c>
      <c r="L3386" s="455">
        <f t="shared" ca="1" si="149"/>
        <v>316042232042.93243</v>
      </c>
      <c r="M3386" s="471">
        <f t="shared" si="151"/>
        <v>0.05</v>
      </c>
      <c r="N3386" s="475">
        <f t="shared" si="152"/>
        <v>154103</v>
      </c>
    </row>
    <row r="3387" spans="7:14" ht="11.25" customHeight="1" x14ac:dyDescent="0.3">
      <c r="G3387" s="470"/>
      <c r="H3387" s="470">
        <v>3380</v>
      </c>
      <c r="I3387" s="455">
        <f t="shared" ca="1" si="150"/>
        <v>316042232042.93243</v>
      </c>
      <c r="J3387" s="455">
        <f t="array" ref="J3387">IFERROR(INDEX('Retirement Calculator'!K:K,MATCH('Lorri 401b'!N3387,'Retirement Calculator'!A:A,0),0),0)</f>
        <v>0</v>
      </c>
      <c r="K3387" s="455">
        <f t="shared" ca="1" si="148"/>
        <v>1316842633.5122185</v>
      </c>
      <c r="L3387" s="455">
        <f t="shared" ca="1" si="149"/>
        <v>317359074676.44464</v>
      </c>
      <c r="M3387" s="471">
        <f t="shared" si="151"/>
        <v>0.05</v>
      </c>
      <c r="N3387" s="475">
        <f t="shared" si="152"/>
        <v>154134</v>
      </c>
    </row>
    <row r="3388" spans="7:14" ht="11.25" customHeight="1" x14ac:dyDescent="0.3">
      <c r="G3388" s="470"/>
      <c r="H3388" s="470">
        <v>3381</v>
      </c>
      <c r="I3388" s="455">
        <f t="shared" ca="1" si="150"/>
        <v>317359074676.44464</v>
      </c>
      <c r="J3388" s="455">
        <f t="array" ref="J3388">IFERROR(INDEX('Retirement Calculator'!K:K,MATCH('Lorri 401b'!N3388,'Retirement Calculator'!A:A,0),0),0)</f>
        <v>0</v>
      </c>
      <c r="K3388" s="455">
        <f t="shared" ca="1" si="148"/>
        <v>1322329477.8185194</v>
      </c>
      <c r="L3388" s="455">
        <f t="shared" ca="1" si="149"/>
        <v>318681404154.26318</v>
      </c>
      <c r="M3388" s="471">
        <f t="shared" si="151"/>
        <v>0.05</v>
      </c>
      <c r="N3388" s="475">
        <f t="shared" si="152"/>
        <v>154165</v>
      </c>
    </row>
    <row r="3389" spans="7:14" ht="11.25" customHeight="1" x14ac:dyDescent="0.3">
      <c r="G3389" s="470"/>
      <c r="H3389" s="470">
        <v>3382</v>
      </c>
      <c r="I3389" s="455">
        <f t="shared" ca="1" si="150"/>
        <v>318681404154.26318</v>
      </c>
      <c r="J3389" s="455">
        <f t="array" ref="J3389">IFERROR(INDEX('Retirement Calculator'!K:K,MATCH('Lorri 401b'!N3389,'Retirement Calculator'!A:A,0),0),0)</f>
        <v>0</v>
      </c>
      <c r="K3389" s="455">
        <f t="shared" ca="1" si="148"/>
        <v>1327839183.9760966</v>
      </c>
      <c r="L3389" s="455">
        <f t="shared" ca="1" si="149"/>
        <v>320009243338.23926</v>
      </c>
      <c r="M3389" s="471">
        <f t="shared" si="151"/>
        <v>0.05</v>
      </c>
      <c r="N3389" s="475">
        <f t="shared" si="152"/>
        <v>154193</v>
      </c>
    </row>
    <row r="3390" spans="7:14" ht="11.25" customHeight="1" x14ac:dyDescent="0.3">
      <c r="G3390" s="470"/>
      <c r="H3390" s="470">
        <v>3383</v>
      </c>
      <c r="I3390" s="455">
        <f t="shared" ca="1" si="150"/>
        <v>320009243338.23926</v>
      </c>
      <c r="J3390" s="455">
        <f t="array" ref="J3390">IFERROR(INDEX('Retirement Calculator'!K:K,MATCH('Lorri 401b'!N3390,'Retirement Calculator'!A:A,0),0),0)</f>
        <v>0</v>
      </c>
      <c r="K3390" s="455">
        <f t="shared" ca="1" si="148"/>
        <v>1333371847.2426636</v>
      </c>
      <c r="L3390" s="455">
        <f t="shared" ca="1" si="149"/>
        <v>321342615185.48193</v>
      </c>
      <c r="M3390" s="471">
        <f t="shared" si="151"/>
        <v>0.05</v>
      </c>
      <c r="N3390" s="475">
        <f t="shared" si="152"/>
        <v>154224</v>
      </c>
    </row>
    <row r="3391" spans="7:14" ht="11.25" customHeight="1" x14ac:dyDescent="0.3">
      <c r="G3391" s="470"/>
      <c r="H3391" s="470">
        <v>3384</v>
      </c>
      <c r="I3391" s="455">
        <f t="shared" ca="1" si="150"/>
        <v>321342615185.48193</v>
      </c>
      <c r="J3391" s="455">
        <f t="array" ref="J3391">IFERROR(INDEX('Retirement Calculator'!K:K,MATCH('Lorri 401b'!N3391,'Retirement Calculator'!A:A,0),0),0)</f>
        <v>0</v>
      </c>
      <c r="K3391" s="455">
        <f t="shared" ca="1" si="148"/>
        <v>1338927563.2728415</v>
      </c>
      <c r="L3391" s="455">
        <f t="shared" ca="1" si="149"/>
        <v>322681542748.75476</v>
      </c>
      <c r="M3391" s="471">
        <f t="shared" si="151"/>
        <v>0.05</v>
      </c>
      <c r="N3391" s="475">
        <f t="shared" si="152"/>
        <v>154254</v>
      </c>
    </row>
    <row r="3392" spans="7:14" ht="11.25" customHeight="1" x14ac:dyDescent="0.3">
      <c r="G3392" s="470"/>
      <c r="H3392" s="470">
        <v>3385</v>
      </c>
      <c r="I3392" s="455">
        <f t="shared" ca="1" si="150"/>
        <v>322681542748.75476</v>
      </c>
      <c r="J3392" s="455">
        <f t="array" ref="J3392">IFERROR(INDEX('Retirement Calculator'!K:K,MATCH('Lorri 401b'!N3392,'Retirement Calculator'!A:A,0),0),0)</f>
        <v>0</v>
      </c>
      <c r="K3392" s="455">
        <f t="shared" ca="1" si="148"/>
        <v>1344506428.1198115</v>
      </c>
      <c r="L3392" s="455">
        <f t="shared" ca="1" si="149"/>
        <v>324026049176.87457</v>
      </c>
      <c r="M3392" s="471">
        <f t="shared" si="151"/>
        <v>0.05</v>
      </c>
      <c r="N3392" s="475">
        <f t="shared" si="152"/>
        <v>154285</v>
      </c>
    </row>
    <row r="3393" spans="7:14" ht="11.25" customHeight="1" x14ac:dyDescent="0.3">
      <c r="G3393" s="470"/>
      <c r="H3393" s="470">
        <v>3386</v>
      </c>
      <c r="I3393" s="455">
        <f t="shared" ca="1" si="150"/>
        <v>324026049176.87457</v>
      </c>
      <c r="J3393" s="455">
        <f t="array" ref="J3393">IFERROR(INDEX('Retirement Calculator'!K:K,MATCH('Lorri 401b'!N3393,'Retirement Calculator'!A:A,0),0),0)</f>
        <v>0</v>
      </c>
      <c r="K3393" s="455">
        <f t="shared" ca="1" si="148"/>
        <v>1350108538.2369773</v>
      </c>
      <c r="L3393" s="455">
        <f t="shared" ca="1" si="149"/>
        <v>325376157715.11157</v>
      </c>
      <c r="M3393" s="471">
        <f t="shared" si="151"/>
        <v>0.05</v>
      </c>
      <c r="N3393" s="475">
        <f t="shared" si="152"/>
        <v>154315</v>
      </c>
    </row>
    <row r="3394" spans="7:14" ht="11.25" customHeight="1" x14ac:dyDescent="0.3">
      <c r="G3394" s="470"/>
      <c r="H3394" s="470">
        <v>3387</v>
      </c>
      <c r="I3394" s="455">
        <f t="shared" ca="1" si="150"/>
        <v>325376157715.11157</v>
      </c>
      <c r="J3394" s="455">
        <f t="array" ref="J3394">IFERROR(INDEX('Retirement Calculator'!K:K,MATCH('Lorri 401b'!N3394,'Retirement Calculator'!A:A,0),0),0)</f>
        <v>0</v>
      </c>
      <c r="K3394" s="455">
        <f t="shared" ca="1" si="148"/>
        <v>1355733990.4796314</v>
      </c>
      <c r="L3394" s="455">
        <f t="shared" ca="1" si="149"/>
        <v>326731891705.59119</v>
      </c>
      <c r="M3394" s="471">
        <f t="shared" si="151"/>
        <v>0.05</v>
      </c>
      <c r="N3394" s="475">
        <f t="shared" si="152"/>
        <v>154346</v>
      </c>
    </row>
    <row r="3395" spans="7:14" ht="11.25" customHeight="1" x14ac:dyDescent="0.3">
      <c r="G3395" s="470"/>
      <c r="H3395" s="470">
        <v>3388</v>
      </c>
      <c r="I3395" s="455">
        <f t="shared" ca="1" si="150"/>
        <v>326731891705.59119</v>
      </c>
      <c r="J3395" s="455">
        <f t="array" ref="J3395">IFERROR(INDEX('Retirement Calculator'!K:K,MATCH('Lorri 401b'!N3395,'Retirement Calculator'!A:A,0),0),0)</f>
        <v>0</v>
      </c>
      <c r="K3395" s="455">
        <f t="shared" ca="1" si="148"/>
        <v>1361382882.1066298</v>
      </c>
      <c r="L3395" s="455">
        <f t="shared" ca="1" si="149"/>
        <v>328093274587.69781</v>
      </c>
      <c r="M3395" s="471">
        <f t="shared" si="151"/>
        <v>0.05</v>
      </c>
      <c r="N3395" s="475">
        <f t="shared" si="152"/>
        <v>154377</v>
      </c>
    </row>
    <row r="3396" spans="7:14" ht="11.25" customHeight="1" x14ac:dyDescent="0.3">
      <c r="G3396" s="470"/>
      <c r="H3396" s="470">
        <v>3389</v>
      </c>
      <c r="I3396" s="455">
        <f t="shared" ca="1" si="150"/>
        <v>328093274587.69781</v>
      </c>
      <c r="J3396" s="455">
        <f t="array" ref="J3396">IFERROR(INDEX('Retirement Calculator'!K:K,MATCH('Lorri 401b'!N3396,'Retirement Calculator'!A:A,0),0),0)</f>
        <v>0</v>
      </c>
      <c r="K3396" s="455">
        <f t="shared" ca="1" si="148"/>
        <v>1367055310.7820742</v>
      </c>
      <c r="L3396" s="455">
        <f t="shared" ca="1" si="149"/>
        <v>329460329898.47992</v>
      </c>
      <c r="M3396" s="471">
        <f t="shared" si="151"/>
        <v>0.05</v>
      </c>
      <c r="N3396" s="475">
        <f t="shared" si="152"/>
        <v>154407</v>
      </c>
    </row>
    <row r="3397" spans="7:14" ht="11.25" customHeight="1" x14ac:dyDescent="0.3">
      <c r="G3397" s="470"/>
      <c r="H3397" s="470">
        <v>3390</v>
      </c>
      <c r="I3397" s="455">
        <f t="shared" ca="1" si="150"/>
        <v>329460329898.47992</v>
      </c>
      <c r="J3397" s="455">
        <f t="array" ref="J3397">IFERROR(INDEX('Retirement Calculator'!K:K,MATCH('Lorri 401b'!N3397,'Retirement Calculator'!A:A,0),0),0)</f>
        <v>0</v>
      </c>
      <c r="K3397" s="455">
        <f t="shared" ca="1" si="148"/>
        <v>1372751374.5769997</v>
      </c>
      <c r="L3397" s="455">
        <f t="shared" ca="1" si="149"/>
        <v>330833081273.05695</v>
      </c>
      <c r="M3397" s="471">
        <f t="shared" si="151"/>
        <v>0.05</v>
      </c>
      <c r="N3397" s="475">
        <f t="shared" si="152"/>
        <v>154438</v>
      </c>
    </row>
    <row r="3398" spans="7:14" ht="11.25" customHeight="1" x14ac:dyDescent="0.3">
      <c r="G3398" s="470"/>
      <c r="H3398" s="470">
        <v>3391</v>
      </c>
      <c r="I3398" s="455">
        <f t="shared" ca="1" si="150"/>
        <v>330833081273.05695</v>
      </c>
      <c r="J3398" s="455">
        <f t="array" ref="J3398">IFERROR(INDEX('Retirement Calculator'!K:K,MATCH('Lorri 401b'!N3398,'Retirement Calculator'!A:A,0),0),0)</f>
        <v>0</v>
      </c>
      <c r="K3398" s="455">
        <f t="shared" ca="1" si="148"/>
        <v>1378471171.9710705</v>
      </c>
      <c r="L3398" s="455">
        <f t="shared" ca="1" si="149"/>
        <v>332211552445.02802</v>
      </c>
      <c r="M3398" s="471">
        <f t="shared" si="151"/>
        <v>0.05</v>
      </c>
      <c r="N3398" s="475">
        <f t="shared" si="152"/>
        <v>154468</v>
      </c>
    </row>
    <row r="3399" spans="7:14" ht="11.25" customHeight="1" x14ac:dyDescent="0.3">
      <c r="G3399" s="470"/>
      <c r="H3399" s="470">
        <v>3392</v>
      </c>
      <c r="I3399" s="455">
        <f t="shared" ca="1" si="150"/>
        <v>332211552445.02802</v>
      </c>
      <c r="J3399" s="455">
        <f t="array" ref="J3399">IFERROR(INDEX('Retirement Calculator'!K:K,MATCH('Lorri 401b'!N3399,'Retirement Calculator'!A:A,0),0),0)</f>
        <v>0</v>
      </c>
      <c r="K3399" s="455">
        <f t="shared" ca="1" si="148"/>
        <v>1384214801.8542833</v>
      </c>
      <c r="L3399" s="455">
        <f t="shared" ca="1" si="149"/>
        <v>333595767246.88232</v>
      </c>
      <c r="M3399" s="471">
        <f t="shared" si="151"/>
        <v>0.05</v>
      </c>
      <c r="N3399" s="475">
        <f t="shared" si="152"/>
        <v>154499</v>
      </c>
    </row>
    <row r="3400" spans="7:14" ht="11.25" customHeight="1" x14ac:dyDescent="0.3">
      <c r="G3400" s="470"/>
      <c r="H3400" s="470">
        <v>3393</v>
      </c>
      <c r="I3400" s="455">
        <f t="shared" ca="1" si="150"/>
        <v>333595767246.88232</v>
      </c>
      <c r="J3400" s="455">
        <f t="array" ref="J3400">IFERROR(INDEX('Retirement Calculator'!K:K,MATCH('Lorri 401b'!N3400,'Retirement Calculator'!A:A,0),0),0)</f>
        <v>0</v>
      </c>
      <c r="K3400" s="455">
        <f t="shared" ca="1" si="148"/>
        <v>1389982363.5286763</v>
      </c>
      <c r="L3400" s="455">
        <f t="shared" ca="1" si="149"/>
        <v>334985749610.41101</v>
      </c>
      <c r="M3400" s="471">
        <f t="shared" si="151"/>
        <v>0.05</v>
      </c>
      <c r="N3400" s="475">
        <f t="shared" si="152"/>
        <v>154530</v>
      </c>
    </row>
    <row r="3401" spans="7:14" ht="11.25" customHeight="1" x14ac:dyDescent="0.3">
      <c r="G3401" s="470"/>
      <c r="H3401" s="470">
        <v>3394</v>
      </c>
      <c r="I3401" s="455">
        <f t="shared" ca="1" si="150"/>
        <v>334985749610.41101</v>
      </c>
      <c r="J3401" s="455">
        <f t="array" ref="J3401">IFERROR(INDEX('Retirement Calculator'!K:K,MATCH('Lorri 401b'!N3401,'Retirement Calculator'!A:A,0),0),0)</f>
        <v>0</v>
      </c>
      <c r="K3401" s="455">
        <f t="shared" ca="1" si="148"/>
        <v>1395773956.7100458</v>
      </c>
      <c r="L3401" s="455">
        <f t="shared" ca="1" si="149"/>
        <v>336381523567.12103</v>
      </c>
      <c r="M3401" s="471">
        <f t="shared" si="151"/>
        <v>0.05</v>
      </c>
      <c r="N3401" s="475">
        <f t="shared" si="152"/>
        <v>154558</v>
      </c>
    </row>
    <row r="3402" spans="7:14" ht="11.25" customHeight="1" x14ac:dyDescent="0.3">
      <c r="G3402" s="470"/>
      <c r="H3402" s="470">
        <v>3395</v>
      </c>
      <c r="I3402" s="455">
        <f t="shared" ca="1" si="150"/>
        <v>336381523567.12103</v>
      </c>
      <c r="J3402" s="455">
        <f t="array" ref="J3402">IFERROR(INDEX('Retirement Calculator'!K:K,MATCH('Lorri 401b'!N3402,'Retirement Calculator'!A:A,0),0),0)</f>
        <v>0</v>
      </c>
      <c r="K3402" s="455">
        <f t="shared" ca="1" si="148"/>
        <v>1401589681.529671</v>
      </c>
      <c r="L3402" s="455">
        <f t="shared" ca="1" si="149"/>
        <v>337783113248.6507</v>
      </c>
      <c r="M3402" s="471">
        <f t="shared" si="151"/>
        <v>0.05</v>
      </c>
      <c r="N3402" s="475">
        <f t="shared" si="152"/>
        <v>154589</v>
      </c>
    </row>
    <row r="3403" spans="7:14" ht="11.25" customHeight="1" x14ac:dyDescent="0.3">
      <c r="G3403" s="470"/>
      <c r="H3403" s="470">
        <v>3396</v>
      </c>
      <c r="I3403" s="455">
        <f t="shared" ca="1" si="150"/>
        <v>337783113248.6507</v>
      </c>
      <c r="J3403" s="455">
        <f t="array" ref="J3403">IFERROR(INDEX('Retirement Calculator'!K:K,MATCH('Lorri 401b'!N3403,'Retirement Calculator'!A:A,0),0),0)</f>
        <v>0</v>
      </c>
      <c r="K3403" s="455">
        <f t="shared" ca="1" si="148"/>
        <v>1407429638.5360446</v>
      </c>
      <c r="L3403" s="455">
        <f t="shared" ca="1" si="149"/>
        <v>339190542887.18677</v>
      </c>
      <c r="M3403" s="471">
        <f t="shared" si="151"/>
        <v>0.05</v>
      </c>
      <c r="N3403" s="475">
        <f t="shared" si="152"/>
        <v>154619</v>
      </c>
    </row>
    <row r="3404" spans="7:14" ht="11.25" customHeight="1" x14ac:dyDescent="0.3">
      <c r="G3404" s="470"/>
      <c r="H3404" s="470">
        <v>3397</v>
      </c>
      <c r="I3404" s="455">
        <f t="shared" ca="1" si="150"/>
        <v>339190542887.18677</v>
      </c>
      <c r="J3404" s="455">
        <f t="array" ref="J3404">IFERROR(INDEX('Retirement Calculator'!K:K,MATCH('Lorri 401b'!N3404,'Retirement Calculator'!A:A,0),0),0)</f>
        <v>0</v>
      </c>
      <c r="K3404" s="455">
        <f t="shared" ca="1" si="148"/>
        <v>1413293928.6966114</v>
      </c>
      <c r="L3404" s="455">
        <f t="shared" ca="1" si="149"/>
        <v>340603836815.88336</v>
      </c>
      <c r="M3404" s="471">
        <f t="shared" si="151"/>
        <v>0.05</v>
      </c>
      <c r="N3404" s="475">
        <f t="shared" si="152"/>
        <v>154650</v>
      </c>
    </row>
    <row r="3405" spans="7:14" ht="11.25" customHeight="1" x14ac:dyDescent="0.3">
      <c r="G3405" s="470"/>
      <c r="H3405" s="470">
        <v>3398</v>
      </c>
      <c r="I3405" s="455">
        <f t="shared" ca="1" si="150"/>
        <v>340603836815.88336</v>
      </c>
      <c r="J3405" s="455">
        <f t="array" ref="J3405">IFERROR(INDEX('Retirement Calculator'!K:K,MATCH('Lorri 401b'!N3405,'Retirement Calculator'!A:A,0),0),0)</f>
        <v>0</v>
      </c>
      <c r="K3405" s="455">
        <f t="shared" ca="1" si="148"/>
        <v>1419182653.399514</v>
      </c>
      <c r="L3405" s="455">
        <f t="shared" ca="1" si="149"/>
        <v>342023019469.2829</v>
      </c>
      <c r="M3405" s="471">
        <f t="shared" si="151"/>
        <v>0.05</v>
      </c>
      <c r="N3405" s="475">
        <f t="shared" si="152"/>
        <v>154680</v>
      </c>
    </row>
    <row r="3406" spans="7:14" ht="11.25" customHeight="1" x14ac:dyDescent="0.3">
      <c r="G3406" s="470"/>
      <c r="H3406" s="470">
        <v>3399</v>
      </c>
      <c r="I3406" s="455">
        <f t="shared" ca="1" si="150"/>
        <v>342023019469.2829</v>
      </c>
      <c r="J3406" s="455">
        <f t="array" ref="J3406">IFERROR(INDEX('Retirement Calculator'!K:K,MATCH('Lorri 401b'!N3406,'Retirement Calculator'!A:A,0),0),0)</f>
        <v>0</v>
      </c>
      <c r="K3406" s="455">
        <f t="shared" ca="1" si="148"/>
        <v>1425095914.4553454</v>
      </c>
      <c r="L3406" s="455">
        <f t="shared" ca="1" si="149"/>
        <v>343448115383.73822</v>
      </c>
      <c r="M3406" s="471">
        <f t="shared" si="151"/>
        <v>0.05</v>
      </c>
      <c r="N3406" s="475">
        <f t="shared" si="152"/>
        <v>154711</v>
      </c>
    </row>
    <row r="3407" spans="7:14" ht="11.25" customHeight="1" x14ac:dyDescent="0.3">
      <c r="G3407" s="470"/>
      <c r="H3407" s="470">
        <v>3400</v>
      </c>
      <c r="I3407" s="455">
        <f t="shared" ca="1" si="150"/>
        <v>343448115383.73822</v>
      </c>
      <c r="J3407" s="455">
        <f t="array" ref="J3407">IFERROR(INDEX('Retirement Calculator'!K:K,MATCH('Lorri 401b'!N3407,'Retirement Calculator'!A:A,0),0),0)</f>
        <v>0</v>
      </c>
      <c r="K3407" s="455">
        <f t="shared" ca="1" si="148"/>
        <v>1431033814.0989091</v>
      </c>
      <c r="L3407" s="455">
        <f t="shared" ca="1" si="149"/>
        <v>344879149197.83716</v>
      </c>
      <c r="M3407" s="471">
        <f t="shared" si="151"/>
        <v>0.05</v>
      </c>
      <c r="N3407" s="475">
        <f t="shared" si="152"/>
        <v>154742</v>
      </c>
    </row>
    <row r="3408" spans="7:14" ht="11.25" customHeight="1" x14ac:dyDescent="0.3">
      <c r="G3408" s="470"/>
      <c r="H3408" s="470">
        <v>3401</v>
      </c>
      <c r="I3408" s="455">
        <f t="shared" ca="1" si="150"/>
        <v>344879149197.83716</v>
      </c>
      <c r="J3408" s="455">
        <f t="array" ref="J3408">IFERROR(INDEX('Retirement Calculator'!K:K,MATCH('Lorri 401b'!N3408,'Retirement Calculator'!A:A,0),0),0)</f>
        <v>0</v>
      </c>
      <c r="K3408" s="455">
        <f t="shared" ca="1" si="148"/>
        <v>1436996454.9909883</v>
      </c>
      <c r="L3408" s="455">
        <f t="shared" ca="1" si="149"/>
        <v>346316145652.82813</v>
      </c>
      <c r="M3408" s="471">
        <f t="shared" si="151"/>
        <v>0.05</v>
      </c>
      <c r="N3408" s="475">
        <f t="shared" si="152"/>
        <v>154772</v>
      </c>
    </row>
    <row r="3409" spans="7:14" ht="11.25" customHeight="1" x14ac:dyDescent="0.3">
      <c r="G3409" s="470"/>
      <c r="H3409" s="470">
        <v>3402</v>
      </c>
      <c r="I3409" s="455">
        <f t="shared" ca="1" si="150"/>
        <v>346316145652.82813</v>
      </c>
      <c r="J3409" s="455">
        <f t="array" ref="J3409">IFERROR(INDEX('Retirement Calculator'!K:K,MATCH('Lorri 401b'!N3409,'Retirement Calculator'!A:A,0),0),0)</f>
        <v>0</v>
      </c>
      <c r="K3409" s="455">
        <f t="shared" ca="1" si="148"/>
        <v>1442983940.2201171</v>
      </c>
      <c r="L3409" s="455">
        <f t="shared" ca="1" si="149"/>
        <v>347759129593.04822</v>
      </c>
      <c r="M3409" s="471">
        <f t="shared" si="151"/>
        <v>0.05</v>
      </c>
      <c r="N3409" s="475">
        <f t="shared" si="152"/>
        <v>154803</v>
      </c>
    </row>
    <row r="3410" spans="7:14" ht="11.25" customHeight="1" x14ac:dyDescent="0.3">
      <c r="G3410" s="470"/>
      <c r="H3410" s="470">
        <v>3403</v>
      </c>
      <c r="I3410" s="455">
        <f t="shared" ca="1" si="150"/>
        <v>347759129593.04822</v>
      </c>
      <c r="J3410" s="455">
        <f t="array" ref="J3410">IFERROR(INDEX('Retirement Calculator'!K:K,MATCH('Lorri 401b'!N3410,'Retirement Calculator'!A:A,0),0),0)</f>
        <v>0</v>
      </c>
      <c r="K3410" s="455">
        <f t="shared" ca="1" si="148"/>
        <v>1448996373.3043675</v>
      </c>
      <c r="L3410" s="455">
        <f t="shared" ca="1" si="149"/>
        <v>349208125966.3526</v>
      </c>
      <c r="M3410" s="471">
        <f t="shared" si="151"/>
        <v>0.05</v>
      </c>
      <c r="N3410" s="475">
        <f t="shared" si="152"/>
        <v>154833</v>
      </c>
    </row>
    <row r="3411" spans="7:14" ht="11.25" customHeight="1" x14ac:dyDescent="0.3">
      <c r="G3411" s="470"/>
      <c r="H3411" s="470">
        <v>3404</v>
      </c>
      <c r="I3411" s="455">
        <f t="shared" ca="1" si="150"/>
        <v>349208125966.3526</v>
      </c>
      <c r="J3411" s="455">
        <f t="array" ref="J3411">IFERROR(INDEX('Retirement Calculator'!K:K,MATCH('Lorri 401b'!N3411,'Retirement Calculator'!A:A,0),0),0)</f>
        <v>0</v>
      </c>
      <c r="K3411" s="455">
        <f t="shared" ca="1" si="148"/>
        <v>1455033858.1931357</v>
      </c>
      <c r="L3411" s="455">
        <f t="shared" ca="1" si="149"/>
        <v>350663159824.54572</v>
      </c>
      <c r="M3411" s="471">
        <f t="shared" si="151"/>
        <v>0.05</v>
      </c>
      <c r="N3411" s="475">
        <f t="shared" si="152"/>
        <v>154864</v>
      </c>
    </row>
    <row r="3412" spans="7:14" ht="11.25" customHeight="1" x14ac:dyDescent="0.3">
      <c r="G3412" s="470"/>
      <c r="H3412" s="470">
        <v>3405</v>
      </c>
      <c r="I3412" s="455">
        <f t="shared" ca="1" si="150"/>
        <v>350663159824.54572</v>
      </c>
      <c r="J3412" s="455">
        <f t="array" ref="J3412">IFERROR(INDEX('Retirement Calculator'!K:K,MATCH('Lorri 401b'!N3412,'Retirement Calculator'!A:A,0),0),0)</f>
        <v>0</v>
      </c>
      <c r="K3412" s="455">
        <f t="shared" ca="1" si="148"/>
        <v>1461096499.2689404</v>
      </c>
      <c r="L3412" s="455">
        <f t="shared" ca="1" si="149"/>
        <v>352124256323.81464</v>
      </c>
      <c r="M3412" s="471">
        <f t="shared" si="151"/>
        <v>0.05</v>
      </c>
      <c r="N3412" s="475">
        <f t="shared" si="152"/>
        <v>154895</v>
      </c>
    </row>
    <row r="3413" spans="7:14" ht="11.25" customHeight="1" x14ac:dyDescent="0.3">
      <c r="G3413" s="470"/>
      <c r="H3413" s="470">
        <v>3406</v>
      </c>
      <c r="I3413" s="455">
        <f t="shared" ca="1" si="150"/>
        <v>352124256323.81464</v>
      </c>
      <c r="J3413" s="455">
        <f t="array" ref="J3413">IFERROR(INDEX('Retirement Calculator'!K:K,MATCH('Lorri 401b'!N3413,'Retirement Calculator'!A:A,0),0),0)</f>
        <v>0</v>
      </c>
      <c r="K3413" s="455">
        <f t="shared" ca="1" si="148"/>
        <v>1467184401.3492277</v>
      </c>
      <c r="L3413" s="455">
        <f t="shared" ca="1" si="149"/>
        <v>353591440725.16388</v>
      </c>
      <c r="M3413" s="471">
        <f t="shared" si="151"/>
        <v>0.05</v>
      </c>
      <c r="N3413" s="475">
        <f t="shared" si="152"/>
        <v>154924</v>
      </c>
    </row>
    <row r="3414" spans="7:14" ht="11.25" customHeight="1" x14ac:dyDescent="0.3">
      <c r="G3414" s="470"/>
      <c r="H3414" s="470">
        <v>3407</v>
      </c>
      <c r="I3414" s="455">
        <f t="shared" ca="1" si="150"/>
        <v>353591440725.16388</v>
      </c>
      <c r="J3414" s="455">
        <f t="array" ref="J3414">IFERROR(INDEX('Retirement Calculator'!K:K,MATCH('Lorri 401b'!N3414,'Retirement Calculator'!A:A,0),0),0)</f>
        <v>0</v>
      </c>
      <c r="K3414" s="455">
        <f t="shared" ca="1" si="148"/>
        <v>1473297669.6881828</v>
      </c>
      <c r="L3414" s="455">
        <f t="shared" ca="1" si="149"/>
        <v>355064738394.85205</v>
      </c>
      <c r="M3414" s="471">
        <f t="shared" si="151"/>
        <v>0.05</v>
      </c>
      <c r="N3414" s="475">
        <f t="shared" si="152"/>
        <v>154955</v>
      </c>
    </row>
    <row r="3415" spans="7:14" ht="11.25" customHeight="1" x14ac:dyDescent="0.3">
      <c r="G3415" s="470"/>
      <c r="H3415" s="470">
        <v>3408</v>
      </c>
      <c r="I3415" s="455">
        <f t="shared" ca="1" si="150"/>
        <v>355064738394.85205</v>
      </c>
      <c r="J3415" s="455">
        <f t="array" ref="J3415">IFERROR(INDEX('Retirement Calculator'!K:K,MATCH('Lorri 401b'!N3415,'Retirement Calculator'!A:A,0),0),0)</f>
        <v>0</v>
      </c>
      <c r="K3415" s="455">
        <f t="shared" ca="1" si="148"/>
        <v>1479436409.9785502</v>
      </c>
      <c r="L3415" s="455">
        <f t="shared" ca="1" si="149"/>
        <v>356544174804.83063</v>
      </c>
      <c r="M3415" s="471">
        <f t="shared" si="151"/>
        <v>0.05</v>
      </c>
      <c r="N3415" s="475">
        <f t="shared" si="152"/>
        <v>154985</v>
      </c>
    </row>
    <row r="3416" spans="7:14" ht="11.25" customHeight="1" x14ac:dyDescent="0.3">
      <c r="G3416" s="470"/>
      <c r="H3416" s="470">
        <v>3409</v>
      </c>
      <c r="I3416" s="455">
        <f t="shared" ca="1" si="150"/>
        <v>356544174804.83063</v>
      </c>
      <c r="J3416" s="455">
        <f t="array" ref="J3416">IFERROR(INDEX('Retirement Calculator'!K:K,MATCH('Lorri 401b'!N3416,'Retirement Calculator'!A:A,0),0),0)</f>
        <v>0</v>
      </c>
      <c r="K3416" s="455">
        <f t="shared" ca="1" si="148"/>
        <v>1485600728.353461</v>
      </c>
      <c r="L3416" s="455">
        <f t="shared" ca="1" si="149"/>
        <v>358029775533.18408</v>
      </c>
      <c r="M3416" s="471">
        <f t="shared" si="151"/>
        <v>0.05</v>
      </c>
      <c r="N3416" s="475">
        <f t="shared" si="152"/>
        <v>155016</v>
      </c>
    </row>
    <row r="3417" spans="7:14" ht="11.25" customHeight="1" x14ac:dyDescent="0.3">
      <c r="G3417" s="470"/>
      <c r="H3417" s="470">
        <v>3410</v>
      </c>
      <c r="I3417" s="455">
        <f t="shared" ca="1" si="150"/>
        <v>358029775533.18408</v>
      </c>
      <c r="J3417" s="455">
        <f t="array" ref="J3417">IFERROR(INDEX('Retirement Calculator'!K:K,MATCH('Lorri 401b'!N3417,'Retirement Calculator'!A:A,0),0),0)</f>
        <v>0</v>
      </c>
      <c r="K3417" s="455">
        <f t="shared" ca="1" si="148"/>
        <v>1491790731.388267</v>
      </c>
      <c r="L3417" s="455">
        <f t="shared" ca="1" si="149"/>
        <v>359521566264.57233</v>
      </c>
      <c r="M3417" s="471">
        <f t="shared" si="151"/>
        <v>0.05</v>
      </c>
      <c r="N3417" s="475">
        <f t="shared" si="152"/>
        <v>155046</v>
      </c>
    </row>
    <row r="3418" spans="7:14" ht="11.25" customHeight="1" x14ac:dyDescent="0.3">
      <c r="G3418" s="470"/>
      <c r="H3418" s="470">
        <v>3411</v>
      </c>
      <c r="I3418" s="455">
        <f t="shared" ca="1" si="150"/>
        <v>359521566264.57233</v>
      </c>
      <c r="J3418" s="455">
        <f t="array" ref="J3418">IFERROR(INDEX('Retirement Calculator'!K:K,MATCH('Lorri 401b'!N3418,'Retirement Calculator'!A:A,0),0),0)</f>
        <v>0</v>
      </c>
      <c r="K3418" s="455">
        <f t="shared" ca="1" si="148"/>
        <v>1498006526.1023846</v>
      </c>
      <c r="L3418" s="455">
        <f t="shared" ca="1" si="149"/>
        <v>361019572790.67468</v>
      </c>
      <c r="M3418" s="471">
        <f t="shared" si="151"/>
        <v>0.05</v>
      </c>
      <c r="N3418" s="475">
        <f t="shared" si="152"/>
        <v>155077</v>
      </c>
    </row>
    <row r="3419" spans="7:14" ht="11.25" customHeight="1" x14ac:dyDescent="0.3">
      <c r="G3419" s="470"/>
      <c r="H3419" s="470">
        <v>3412</v>
      </c>
      <c r="I3419" s="455">
        <f t="shared" ca="1" si="150"/>
        <v>361019572790.67468</v>
      </c>
      <c r="J3419" s="455">
        <f t="array" ref="J3419">IFERROR(INDEX('Retirement Calculator'!K:K,MATCH('Lorri 401b'!N3419,'Retirement Calculator'!A:A,0),0),0)</f>
        <v>0</v>
      </c>
      <c r="K3419" s="455">
        <f t="shared" ca="1" si="148"/>
        <v>1504248219.9611444</v>
      </c>
      <c r="L3419" s="455">
        <f t="shared" ca="1" si="149"/>
        <v>362523821010.6358</v>
      </c>
      <c r="M3419" s="471">
        <f t="shared" si="151"/>
        <v>0.05</v>
      </c>
      <c r="N3419" s="475">
        <f t="shared" si="152"/>
        <v>155108</v>
      </c>
    </row>
    <row r="3420" spans="7:14" ht="11.25" customHeight="1" x14ac:dyDescent="0.3">
      <c r="G3420" s="470"/>
      <c r="H3420" s="470">
        <v>3413</v>
      </c>
      <c r="I3420" s="455">
        <f t="shared" ca="1" si="150"/>
        <v>362523821010.6358</v>
      </c>
      <c r="J3420" s="455">
        <f t="array" ref="J3420">IFERROR(INDEX('Retirement Calculator'!K:K,MATCH('Lorri 401b'!N3420,'Retirement Calculator'!A:A,0),0),0)</f>
        <v>0</v>
      </c>
      <c r="K3420" s="455">
        <f t="shared" ca="1" si="148"/>
        <v>1510515920.8776491</v>
      </c>
      <c r="L3420" s="455">
        <f t="shared" ca="1" si="149"/>
        <v>364034336931.51343</v>
      </c>
      <c r="M3420" s="471">
        <f t="shared" si="151"/>
        <v>0.05</v>
      </c>
      <c r="N3420" s="475">
        <f t="shared" si="152"/>
        <v>155138</v>
      </c>
    </row>
    <row r="3421" spans="7:14" ht="11.25" customHeight="1" x14ac:dyDescent="0.3">
      <c r="G3421" s="470"/>
      <c r="H3421" s="470">
        <v>3414</v>
      </c>
      <c r="I3421" s="455">
        <f t="shared" ca="1" si="150"/>
        <v>364034336931.51343</v>
      </c>
      <c r="J3421" s="455">
        <f t="array" ref="J3421">IFERROR(INDEX('Retirement Calculator'!K:K,MATCH('Lorri 401b'!N3421,'Retirement Calculator'!A:A,0),0),0)</f>
        <v>0</v>
      </c>
      <c r="K3421" s="455">
        <f t="shared" ca="1" si="148"/>
        <v>1516809737.2146392</v>
      </c>
      <c r="L3421" s="455">
        <f t="shared" ca="1" si="149"/>
        <v>365551146668.72809</v>
      </c>
      <c r="M3421" s="471">
        <f t="shared" si="151"/>
        <v>0.05</v>
      </c>
      <c r="N3421" s="475">
        <f t="shared" si="152"/>
        <v>155169</v>
      </c>
    </row>
    <row r="3422" spans="7:14" ht="11.25" customHeight="1" x14ac:dyDescent="0.3">
      <c r="G3422" s="470"/>
      <c r="H3422" s="470">
        <v>3415</v>
      </c>
      <c r="I3422" s="455">
        <f t="shared" ca="1" si="150"/>
        <v>365551146668.72809</v>
      </c>
      <c r="J3422" s="455">
        <f t="array" ref="J3422">IFERROR(INDEX('Retirement Calculator'!K:K,MATCH('Lorri 401b'!N3422,'Retirement Calculator'!A:A,0),0),0)</f>
        <v>0</v>
      </c>
      <c r="K3422" s="455">
        <f t="shared" ca="1" si="148"/>
        <v>1523129777.7863669</v>
      </c>
      <c r="L3422" s="455">
        <f t="shared" ca="1" si="149"/>
        <v>367074276446.51447</v>
      </c>
      <c r="M3422" s="471">
        <f t="shared" si="151"/>
        <v>0.05</v>
      </c>
      <c r="N3422" s="475">
        <f t="shared" si="152"/>
        <v>155199</v>
      </c>
    </row>
    <row r="3423" spans="7:14" ht="11.25" customHeight="1" x14ac:dyDescent="0.3">
      <c r="G3423" s="470"/>
      <c r="H3423" s="470">
        <v>3416</v>
      </c>
      <c r="I3423" s="455">
        <f t="shared" ca="1" si="150"/>
        <v>367074276446.51447</v>
      </c>
      <c r="J3423" s="455">
        <f t="array" ref="J3423">IFERROR(INDEX('Retirement Calculator'!K:K,MATCH('Lorri 401b'!N3423,'Retirement Calculator'!A:A,0),0),0)</f>
        <v>0</v>
      </c>
      <c r="K3423" s="455">
        <f t="shared" ca="1" si="148"/>
        <v>1529476151.860477</v>
      </c>
      <c r="L3423" s="455">
        <f t="shared" ca="1" si="149"/>
        <v>368603752598.37494</v>
      </c>
      <c r="M3423" s="471">
        <f t="shared" si="151"/>
        <v>0.05</v>
      </c>
      <c r="N3423" s="475">
        <f t="shared" si="152"/>
        <v>155230</v>
      </c>
    </row>
    <row r="3424" spans="7:14" ht="11.25" customHeight="1" x14ac:dyDescent="0.3">
      <c r="G3424" s="470"/>
      <c r="H3424" s="470">
        <v>3417</v>
      </c>
      <c r="I3424" s="455">
        <f t="shared" ca="1" si="150"/>
        <v>368603752598.37494</v>
      </c>
      <c r="J3424" s="455">
        <f t="array" ref="J3424">IFERROR(INDEX('Retirement Calculator'!K:K,MATCH('Lorri 401b'!N3424,'Retirement Calculator'!A:A,0),0),0)</f>
        <v>0</v>
      </c>
      <c r="K3424" s="455">
        <f t="shared" ca="1" si="148"/>
        <v>1535848969.1598957</v>
      </c>
      <c r="L3424" s="455">
        <f t="shared" ca="1" si="149"/>
        <v>370139601567.53485</v>
      </c>
      <c r="M3424" s="471">
        <f t="shared" si="151"/>
        <v>0.05</v>
      </c>
      <c r="N3424" s="475">
        <f t="shared" si="152"/>
        <v>155261</v>
      </c>
    </row>
    <row r="3425" spans="7:14" ht="11.25" customHeight="1" x14ac:dyDescent="0.3">
      <c r="G3425" s="470"/>
      <c r="H3425" s="470">
        <v>3418</v>
      </c>
      <c r="I3425" s="455">
        <f t="shared" ca="1" si="150"/>
        <v>370139601567.53485</v>
      </c>
      <c r="J3425" s="455">
        <f t="array" ref="J3425">IFERROR(INDEX('Retirement Calculator'!K:K,MATCH('Lorri 401b'!N3425,'Retirement Calculator'!A:A,0),0),0)</f>
        <v>0</v>
      </c>
      <c r="K3425" s="455">
        <f t="shared" ca="1" si="148"/>
        <v>1542248339.8647285</v>
      </c>
      <c r="L3425" s="455">
        <f t="shared" ca="1" si="149"/>
        <v>371681849907.3996</v>
      </c>
      <c r="M3425" s="471">
        <f t="shared" si="151"/>
        <v>0.05</v>
      </c>
      <c r="N3425" s="475">
        <f t="shared" si="152"/>
        <v>155289</v>
      </c>
    </row>
    <row r="3426" spans="7:14" ht="11.25" customHeight="1" x14ac:dyDescent="0.3">
      <c r="G3426" s="470"/>
      <c r="H3426" s="470">
        <v>3419</v>
      </c>
      <c r="I3426" s="455">
        <f t="shared" ca="1" si="150"/>
        <v>371681849907.3996</v>
      </c>
      <c r="J3426" s="455">
        <f t="array" ref="J3426">IFERROR(INDEX('Retirement Calculator'!K:K,MATCH('Lorri 401b'!N3426,'Retirement Calculator'!A:A,0),0),0)</f>
        <v>0</v>
      </c>
      <c r="K3426" s="455">
        <f t="shared" ca="1" si="148"/>
        <v>1548674374.6141651</v>
      </c>
      <c r="L3426" s="455">
        <f t="shared" ca="1" si="149"/>
        <v>373230524282.01373</v>
      </c>
      <c r="M3426" s="471">
        <f t="shared" si="151"/>
        <v>0.05</v>
      </c>
      <c r="N3426" s="475">
        <f t="shared" si="152"/>
        <v>155320</v>
      </c>
    </row>
    <row r="3427" spans="7:14" ht="11.25" customHeight="1" x14ac:dyDescent="0.3">
      <c r="G3427" s="470"/>
      <c r="H3427" s="470">
        <v>3420</v>
      </c>
      <c r="I3427" s="455">
        <f t="shared" ca="1" si="150"/>
        <v>373230524282.01373</v>
      </c>
      <c r="J3427" s="455">
        <f t="array" ref="J3427">IFERROR(INDEX('Retirement Calculator'!K:K,MATCH('Lorri 401b'!N3427,'Retirement Calculator'!A:A,0),0),0)</f>
        <v>0</v>
      </c>
      <c r="K3427" s="455">
        <f t="shared" ca="1" si="148"/>
        <v>1555127184.5083904</v>
      </c>
      <c r="L3427" s="455">
        <f t="shared" ca="1" si="149"/>
        <v>374785651466.52209</v>
      </c>
      <c r="M3427" s="471">
        <f t="shared" si="151"/>
        <v>0.05</v>
      </c>
      <c r="N3427" s="475">
        <f t="shared" si="152"/>
        <v>155350</v>
      </c>
    </row>
    <row r="3428" spans="7:14" ht="11.25" customHeight="1" x14ac:dyDescent="0.3">
      <c r="G3428" s="470"/>
      <c r="H3428" s="470">
        <v>3421</v>
      </c>
      <c r="I3428" s="455">
        <f t="shared" ca="1" si="150"/>
        <v>374785651466.52209</v>
      </c>
      <c r="J3428" s="455">
        <f t="array" ref="J3428">IFERROR(INDEX('Retirement Calculator'!K:K,MATCH('Lorri 401b'!N3428,'Retirement Calculator'!A:A,0),0),0)</f>
        <v>0</v>
      </c>
      <c r="K3428" s="455">
        <f t="shared" ca="1" si="148"/>
        <v>1561606881.1105087</v>
      </c>
      <c r="L3428" s="455">
        <f t="shared" ca="1" si="149"/>
        <v>376347258347.63263</v>
      </c>
      <c r="M3428" s="471">
        <f t="shared" si="151"/>
        <v>0.05</v>
      </c>
      <c r="N3428" s="475">
        <f t="shared" si="152"/>
        <v>155381</v>
      </c>
    </row>
    <row r="3429" spans="7:14" ht="11.25" customHeight="1" x14ac:dyDescent="0.3">
      <c r="G3429" s="470"/>
      <c r="H3429" s="470">
        <v>3422</v>
      </c>
      <c r="I3429" s="455">
        <f t="shared" ca="1" si="150"/>
        <v>376347258347.63263</v>
      </c>
      <c r="J3429" s="455">
        <f t="array" ref="J3429">IFERROR(INDEX('Retirement Calculator'!K:K,MATCH('Lorri 401b'!N3429,'Retirement Calculator'!A:A,0),0),0)</f>
        <v>0</v>
      </c>
      <c r="K3429" s="455">
        <f t="shared" ca="1" si="148"/>
        <v>1568113576.4484692</v>
      </c>
      <c r="L3429" s="455">
        <f t="shared" ca="1" si="149"/>
        <v>377915371924.08112</v>
      </c>
      <c r="M3429" s="471">
        <f t="shared" si="151"/>
        <v>0.05</v>
      </c>
      <c r="N3429" s="475">
        <f t="shared" si="152"/>
        <v>155411</v>
      </c>
    </row>
    <row r="3430" spans="7:14" ht="11.25" customHeight="1" x14ac:dyDescent="0.3">
      <c r="G3430" s="470"/>
      <c r="H3430" s="470">
        <v>3423</v>
      </c>
      <c r="I3430" s="455">
        <f t="shared" ca="1" si="150"/>
        <v>377915371924.08112</v>
      </c>
      <c r="J3430" s="455">
        <f t="array" ref="J3430">IFERROR(INDEX('Retirement Calculator'!K:K,MATCH('Lorri 401b'!N3430,'Retirement Calculator'!A:A,0),0),0)</f>
        <v>0</v>
      </c>
      <c r="K3430" s="455">
        <f t="shared" ca="1" si="148"/>
        <v>1574647383.0170047</v>
      </c>
      <c r="L3430" s="455">
        <f t="shared" ca="1" si="149"/>
        <v>379490019307.09814</v>
      </c>
      <c r="M3430" s="471">
        <f t="shared" si="151"/>
        <v>0.05</v>
      </c>
      <c r="N3430" s="475">
        <f t="shared" si="152"/>
        <v>155442</v>
      </c>
    </row>
    <row r="3431" spans="7:14" ht="11.25" customHeight="1" x14ac:dyDescent="0.3">
      <c r="G3431" s="470"/>
      <c r="H3431" s="470">
        <v>3424</v>
      </c>
      <c r="I3431" s="455">
        <f t="shared" ca="1" si="150"/>
        <v>379490019307.09814</v>
      </c>
      <c r="J3431" s="455">
        <f t="array" ref="J3431">IFERROR(INDEX('Retirement Calculator'!K:K,MATCH('Lorri 401b'!N3431,'Retirement Calculator'!A:A,0),0),0)</f>
        <v>0</v>
      </c>
      <c r="K3431" s="455">
        <f t="shared" ca="1" si="148"/>
        <v>1581208413.7795756</v>
      </c>
      <c r="L3431" s="455">
        <f t="shared" ca="1" si="149"/>
        <v>381071227720.87775</v>
      </c>
      <c r="M3431" s="471">
        <f t="shared" si="151"/>
        <v>0.05</v>
      </c>
      <c r="N3431" s="475">
        <f t="shared" si="152"/>
        <v>155473</v>
      </c>
    </row>
    <row r="3432" spans="7:14" ht="11.25" customHeight="1" x14ac:dyDescent="0.3">
      <c r="G3432" s="470"/>
      <c r="H3432" s="470">
        <v>3425</v>
      </c>
      <c r="I3432" s="455">
        <f t="shared" ca="1" si="150"/>
        <v>381071227720.87775</v>
      </c>
      <c r="J3432" s="455">
        <f t="array" ref="J3432">IFERROR(INDEX('Retirement Calculator'!K:K,MATCH('Lorri 401b'!N3432,'Retirement Calculator'!A:A,0),0),0)</f>
        <v>0</v>
      </c>
      <c r="K3432" s="455">
        <f t="shared" ca="1" si="148"/>
        <v>1587796782.1703238</v>
      </c>
      <c r="L3432" s="455">
        <f t="shared" ca="1" si="149"/>
        <v>382659024503.0481</v>
      </c>
      <c r="M3432" s="471">
        <f t="shared" si="151"/>
        <v>0.05</v>
      </c>
      <c r="N3432" s="475">
        <f t="shared" si="152"/>
        <v>155503</v>
      </c>
    </row>
    <row r="3433" spans="7:14" ht="11.25" customHeight="1" x14ac:dyDescent="0.3">
      <c r="G3433" s="470"/>
      <c r="H3433" s="470">
        <v>3426</v>
      </c>
      <c r="I3433" s="455">
        <f t="shared" ca="1" si="150"/>
        <v>382659024503.0481</v>
      </c>
      <c r="J3433" s="455">
        <f t="array" ref="J3433">IFERROR(INDEX('Retirement Calculator'!K:K,MATCH('Lorri 401b'!N3433,'Retirement Calculator'!A:A,0),0),0)</f>
        <v>0</v>
      </c>
      <c r="K3433" s="455">
        <f t="shared" ca="1" si="148"/>
        <v>1594412602.0960338</v>
      </c>
      <c r="L3433" s="455">
        <f t="shared" ca="1" si="149"/>
        <v>384253437105.1441</v>
      </c>
      <c r="M3433" s="471">
        <f t="shared" si="151"/>
        <v>0.05</v>
      </c>
      <c r="N3433" s="475">
        <f t="shared" si="152"/>
        <v>155534</v>
      </c>
    </row>
    <row r="3434" spans="7:14" ht="11.25" customHeight="1" x14ac:dyDescent="0.3">
      <c r="G3434" s="470"/>
      <c r="H3434" s="470">
        <v>3427</v>
      </c>
      <c r="I3434" s="455">
        <f t="shared" ca="1" si="150"/>
        <v>384253437105.1441</v>
      </c>
      <c r="J3434" s="455">
        <f t="array" ref="J3434">IFERROR(INDEX('Retirement Calculator'!K:K,MATCH('Lorri 401b'!N3434,'Retirement Calculator'!A:A,0),0),0)</f>
        <v>0</v>
      </c>
      <c r="K3434" s="455">
        <f t="shared" ca="1" si="148"/>
        <v>1601055987.9381003</v>
      </c>
      <c r="L3434" s="455">
        <f t="shared" ca="1" si="149"/>
        <v>385854493093.08221</v>
      </c>
      <c r="M3434" s="471">
        <f t="shared" si="151"/>
        <v>0.05</v>
      </c>
      <c r="N3434" s="475">
        <f t="shared" si="152"/>
        <v>155564</v>
      </c>
    </row>
    <row r="3435" spans="7:14" ht="11.25" customHeight="1" x14ac:dyDescent="0.3">
      <c r="G3435" s="470"/>
      <c r="H3435" s="470">
        <v>3428</v>
      </c>
      <c r="I3435" s="455">
        <f t="shared" ca="1" si="150"/>
        <v>385854493093.08221</v>
      </c>
      <c r="J3435" s="455">
        <f t="array" ref="J3435">IFERROR(INDEX('Retirement Calculator'!K:K,MATCH('Lorri 401b'!N3435,'Retirement Calculator'!A:A,0),0),0)</f>
        <v>0</v>
      </c>
      <c r="K3435" s="455">
        <f t="shared" ca="1" si="148"/>
        <v>1607727054.5545092</v>
      </c>
      <c r="L3435" s="455">
        <f t="shared" ca="1" si="149"/>
        <v>387462220147.63672</v>
      </c>
      <c r="M3435" s="471">
        <f t="shared" si="151"/>
        <v>0.05</v>
      </c>
      <c r="N3435" s="475">
        <f t="shared" si="152"/>
        <v>155595</v>
      </c>
    </row>
    <row r="3436" spans="7:14" ht="11.25" customHeight="1" x14ac:dyDescent="0.3">
      <c r="G3436" s="470"/>
      <c r="H3436" s="470">
        <v>3429</v>
      </c>
      <c r="I3436" s="455">
        <f t="shared" ca="1" si="150"/>
        <v>387462220147.63672</v>
      </c>
      <c r="J3436" s="455">
        <f t="array" ref="J3436">IFERROR(INDEX('Retirement Calculator'!K:K,MATCH('Lorri 401b'!N3436,'Retirement Calculator'!A:A,0),0),0)</f>
        <v>0</v>
      </c>
      <c r="K3436" s="455">
        <f t="shared" ca="1" si="148"/>
        <v>1614425917.2818196</v>
      </c>
      <c r="L3436" s="455">
        <f t="shared" ca="1" si="149"/>
        <v>389076646064.91852</v>
      </c>
      <c r="M3436" s="471">
        <f t="shared" si="151"/>
        <v>0.05</v>
      </c>
      <c r="N3436" s="475">
        <f t="shared" si="152"/>
        <v>155626</v>
      </c>
    </row>
    <row r="3437" spans="7:14" ht="11.25" customHeight="1" x14ac:dyDescent="0.3">
      <c r="G3437" s="470"/>
      <c r="H3437" s="470">
        <v>3430</v>
      </c>
      <c r="I3437" s="455">
        <f t="shared" ca="1" si="150"/>
        <v>389076646064.91852</v>
      </c>
      <c r="J3437" s="455">
        <f t="array" ref="J3437">IFERROR(INDEX('Retirement Calculator'!K:K,MATCH('Lorri 401b'!N3437,'Retirement Calculator'!A:A,0),0),0)</f>
        <v>0</v>
      </c>
      <c r="K3437" s="455">
        <f t="shared" ca="1" si="148"/>
        <v>1621152691.9371605</v>
      </c>
      <c r="L3437" s="455">
        <f t="shared" ca="1" si="149"/>
        <v>390697798756.85565</v>
      </c>
      <c r="M3437" s="471">
        <f t="shared" si="151"/>
        <v>0.05</v>
      </c>
      <c r="N3437" s="475">
        <f t="shared" si="152"/>
        <v>155654</v>
      </c>
    </row>
    <row r="3438" spans="7:14" ht="11.25" customHeight="1" x14ac:dyDescent="0.3">
      <c r="G3438" s="470"/>
      <c r="H3438" s="470">
        <v>3431</v>
      </c>
      <c r="I3438" s="455">
        <f t="shared" ca="1" si="150"/>
        <v>390697798756.85565</v>
      </c>
      <c r="J3438" s="455">
        <f t="array" ref="J3438">IFERROR(INDEX('Retirement Calculator'!K:K,MATCH('Lorri 401b'!N3438,'Retirement Calculator'!A:A,0),0),0)</f>
        <v>0</v>
      </c>
      <c r="K3438" s="455">
        <f t="shared" ca="1" si="148"/>
        <v>1627907494.8202319</v>
      </c>
      <c r="L3438" s="455">
        <f t="shared" ca="1" si="149"/>
        <v>392325706251.6759</v>
      </c>
      <c r="M3438" s="471">
        <f t="shared" si="151"/>
        <v>0.05</v>
      </c>
      <c r="N3438" s="475">
        <f t="shared" si="152"/>
        <v>155685</v>
      </c>
    </row>
    <row r="3439" spans="7:14" ht="11.25" customHeight="1" x14ac:dyDescent="0.3">
      <c r="G3439" s="470"/>
      <c r="H3439" s="470">
        <v>3432</v>
      </c>
      <c r="I3439" s="455">
        <f t="shared" ca="1" si="150"/>
        <v>392325706251.6759</v>
      </c>
      <c r="J3439" s="455">
        <f t="array" ref="J3439">IFERROR(INDEX('Retirement Calculator'!K:K,MATCH('Lorri 401b'!N3439,'Retirement Calculator'!A:A,0),0),0)</f>
        <v>0</v>
      </c>
      <c r="K3439" s="455">
        <f t="shared" ca="1" si="148"/>
        <v>1634690442.7153163</v>
      </c>
      <c r="L3439" s="455">
        <f t="shared" ca="1" si="149"/>
        <v>393960396694.39124</v>
      </c>
      <c r="M3439" s="471">
        <f t="shared" si="151"/>
        <v>0.05</v>
      </c>
      <c r="N3439" s="475">
        <f t="shared" si="152"/>
        <v>155715</v>
      </c>
    </row>
    <row r="3440" spans="7:14" ht="11.25" customHeight="1" x14ac:dyDescent="0.3">
      <c r="G3440" s="470"/>
      <c r="H3440" s="470">
        <v>3433</v>
      </c>
      <c r="I3440" s="455">
        <f t="shared" ca="1" si="150"/>
        <v>393960396694.39124</v>
      </c>
      <c r="J3440" s="455">
        <f t="array" ref="J3440">IFERROR(INDEX('Retirement Calculator'!K:K,MATCH('Lorri 401b'!N3440,'Retirement Calculator'!A:A,0),0),0)</f>
        <v>0</v>
      </c>
      <c r="K3440" s="455">
        <f t="shared" ca="1" si="148"/>
        <v>1641501652.8932967</v>
      </c>
      <c r="L3440" s="455">
        <f t="shared" ca="1" si="149"/>
        <v>395601898347.28455</v>
      </c>
      <c r="M3440" s="471">
        <f t="shared" si="151"/>
        <v>0.05</v>
      </c>
      <c r="N3440" s="475">
        <f t="shared" si="152"/>
        <v>155746</v>
      </c>
    </row>
    <row r="3441" spans="7:14" ht="11.25" customHeight="1" x14ac:dyDescent="0.3">
      <c r="G3441" s="470"/>
      <c r="H3441" s="470">
        <v>3434</v>
      </c>
      <c r="I3441" s="455">
        <f t="shared" ca="1" si="150"/>
        <v>395601898347.28455</v>
      </c>
      <c r="J3441" s="455">
        <f t="array" ref="J3441">IFERROR(INDEX('Retirement Calculator'!K:K,MATCH('Lorri 401b'!N3441,'Retirement Calculator'!A:A,0),0),0)</f>
        <v>0</v>
      </c>
      <c r="K3441" s="455">
        <f t="shared" ca="1" si="148"/>
        <v>1648341243.1136856</v>
      </c>
      <c r="L3441" s="455">
        <f t="shared" ca="1" si="149"/>
        <v>397250239590.39825</v>
      </c>
      <c r="M3441" s="471">
        <f t="shared" si="151"/>
        <v>0.05</v>
      </c>
      <c r="N3441" s="475">
        <f t="shared" si="152"/>
        <v>155776</v>
      </c>
    </row>
    <row r="3442" spans="7:14" ht="11.25" customHeight="1" x14ac:dyDescent="0.3">
      <c r="G3442" s="470"/>
      <c r="H3442" s="470">
        <v>3435</v>
      </c>
      <c r="I3442" s="455">
        <f t="shared" ca="1" si="150"/>
        <v>397250239590.39825</v>
      </c>
      <c r="J3442" s="455">
        <f t="array" ref="J3442">IFERROR(INDEX('Retirement Calculator'!K:K,MATCH('Lorri 401b'!N3442,'Retirement Calculator'!A:A,0),0),0)</f>
        <v>0</v>
      </c>
      <c r="K3442" s="455">
        <f t="shared" ca="1" si="148"/>
        <v>1655209331.6266594</v>
      </c>
      <c r="L3442" s="455">
        <f t="shared" ca="1" si="149"/>
        <v>398905448922.0249</v>
      </c>
      <c r="M3442" s="471">
        <f t="shared" si="151"/>
        <v>0.05</v>
      </c>
      <c r="N3442" s="475">
        <f t="shared" si="152"/>
        <v>155807</v>
      </c>
    </row>
    <row r="3443" spans="7:14" ht="11.25" customHeight="1" x14ac:dyDescent="0.3">
      <c r="G3443" s="470"/>
      <c r="H3443" s="470">
        <v>3436</v>
      </c>
      <c r="I3443" s="455">
        <f t="shared" ca="1" si="150"/>
        <v>398905448922.0249</v>
      </c>
      <c r="J3443" s="455">
        <f t="array" ref="J3443">IFERROR(INDEX('Retirement Calculator'!K:K,MATCH('Lorri 401b'!N3443,'Retirement Calculator'!A:A,0),0),0)</f>
        <v>0</v>
      </c>
      <c r="K3443" s="455">
        <f t="shared" ca="1" si="148"/>
        <v>1662106037.1751037</v>
      </c>
      <c r="L3443" s="455">
        <f t="shared" ca="1" si="149"/>
        <v>400567554959.20001</v>
      </c>
      <c r="M3443" s="471">
        <f t="shared" si="151"/>
        <v>0.05</v>
      </c>
      <c r="N3443" s="475">
        <f t="shared" si="152"/>
        <v>155838</v>
      </c>
    </row>
    <row r="3444" spans="7:14" ht="11.25" customHeight="1" x14ac:dyDescent="0.3">
      <c r="G3444" s="470"/>
      <c r="H3444" s="470">
        <v>3437</v>
      </c>
      <c r="I3444" s="455">
        <f t="shared" ca="1" si="150"/>
        <v>400567554959.20001</v>
      </c>
      <c r="J3444" s="455">
        <f t="array" ref="J3444">IFERROR(INDEX('Retirement Calculator'!K:K,MATCH('Lorri 401b'!N3444,'Retirement Calculator'!A:A,0),0),0)</f>
        <v>0</v>
      </c>
      <c r="K3444" s="455">
        <f t="shared" ca="1" si="148"/>
        <v>1669031478.9966667</v>
      </c>
      <c r="L3444" s="455">
        <f t="shared" ca="1" si="149"/>
        <v>402236586438.19666</v>
      </c>
      <c r="M3444" s="471">
        <f t="shared" si="151"/>
        <v>0.05</v>
      </c>
      <c r="N3444" s="475">
        <f t="shared" si="152"/>
        <v>155868</v>
      </c>
    </row>
    <row r="3445" spans="7:14" ht="11.25" customHeight="1" x14ac:dyDescent="0.3">
      <c r="G3445" s="470"/>
      <c r="H3445" s="470">
        <v>3438</v>
      </c>
      <c r="I3445" s="455">
        <f t="shared" ca="1" si="150"/>
        <v>402236586438.19666</v>
      </c>
      <c r="J3445" s="455">
        <f t="array" ref="J3445">IFERROR(INDEX('Retirement Calculator'!K:K,MATCH('Lorri 401b'!N3445,'Retirement Calculator'!A:A,0),0),0)</f>
        <v>0</v>
      </c>
      <c r="K3445" s="455">
        <f t="shared" ca="1" si="148"/>
        <v>1675985776.8258195</v>
      </c>
      <c r="L3445" s="455">
        <f t="shared" ca="1" si="149"/>
        <v>403912572215.02246</v>
      </c>
      <c r="M3445" s="471">
        <f t="shared" si="151"/>
        <v>0.05</v>
      </c>
      <c r="N3445" s="475">
        <f t="shared" si="152"/>
        <v>155899</v>
      </c>
    </row>
    <row r="3446" spans="7:14" ht="11.25" customHeight="1" x14ac:dyDescent="0.3">
      <c r="G3446" s="470"/>
      <c r="H3446" s="470">
        <v>3439</v>
      </c>
      <c r="I3446" s="455">
        <f t="shared" ca="1" si="150"/>
        <v>403912572215.02246</v>
      </c>
      <c r="J3446" s="455">
        <f t="array" ref="J3446">IFERROR(INDEX('Retirement Calculator'!K:K,MATCH('Lorri 401b'!N3446,'Retirement Calculator'!A:A,0),0),0)</f>
        <v>0</v>
      </c>
      <c r="K3446" s="455">
        <f t="shared" ca="1" si="148"/>
        <v>1682969050.895927</v>
      </c>
      <c r="L3446" s="455">
        <f t="shared" ca="1" si="149"/>
        <v>405595541265.9184</v>
      </c>
      <c r="M3446" s="471">
        <f t="shared" si="151"/>
        <v>0.05</v>
      </c>
      <c r="N3446" s="475">
        <f t="shared" si="152"/>
        <v>155929</v>
      </c>
    </row>
    <row r="3447" spans="7:14" ht="11.25" customHeight="1" x14ac:dyDescent="0.3">
      <c r="G3447" s="470"/>
      <c r="H3447" s="470">
        <v>3440</v>
      </c>
      <c r="I3447" s="455">
        <f t="shared" ca="1" si="150"/>
        <v>405595541265.9184</v>
      </c>
      <c r="J3447" s="455">
        <f t="array" ref="J3447">IFERROR(INDEX('Retirement Calculator'!K:K,MATCH('Lorri 401b'!N3447,'Retirement Calculator'!A:A,0),0),0)</f>
        <v>0</v>
      </c>
      <c r="K3447" s="455">
        <f t="shared" ca="1" si="148"/>
        <v>1689981421.9413266</v>
      </c>
      <c r="L3447" s="455">
        <f t="shared" ca="1" si="149"/>
        <v>407285522687.85974</v>
      </c>
      <c r="M3447" s="471">
        <f t="shared" si="151"/>
        <v>0.05</v>
      </c>
      <c r="N3447" s="475">
        <f t="shared" si="152"/>
        <v>155960</v>
      </c>
    </row>
    <row r="3448" spans="7:14" ht="11.25" customHeight="1" x14ac:dyDescent="0.3">
      <c r="G3448" s="470"/>
      <c r="H3448" s="470">
        <v>3441</v>
      </c>
      <c r="I3448" s="455">
        <f t="shared" ca="1" si="150"/>
        <v>407285522687.85974</v>
      </c>
      <c r="J3448" s="455">
        <f t="array" ref="J3448">IFERROR(INDEX('Retirement Calculator'!K:K,MATCH('Lorri 401b'!N3448,'Retirement Calculator'!A:A,0),0),0)</f>
        <v>0</v>
      </c>
      <c r="K3448" s="455">
        <f t="shared" ca="1" si="148"/>
        <v>1697023011.1994157</v>
      </c>
      <c r="L3448" s="455">
        <f t="shared" ca="1" si="149"/>
        <v>408982545699.05914</v>
      </c>
      <c r="M3448" s="471">
        <f t="shared" si="151"/>
        <v>0.05</v>
      </c>
      <c r="N3448" s="475">
        <f t="shared" si="152"/>
        <v>155991</v>
      </c>
    </row>
    <row r="3449" spans="7:14" ht="11.25" customHeight="1" x14ac:dyDescent="0.3">
      <c r="G3449" s="470"/>
      <c r="H3449" s="470">
        <v>3442</v>
      </c>
      <c r="I3449" s="455">
        <f t="shared" ca="1" si="150"/>
        <v>408982545699.05914</v>
      </c>
      <c r="J3449" s="455">
        <f t="array" ref="J3449">IFERROR(INDEX('Retirement Calculator'!K:K,MATCH('Lorri 401b'!N3449,'Retirement Calculator'!A:A,0),0),0)</f>
        <v>0</v>
      </c>
      <c r="K3449" s="455">
        <f t="shared" ca="1" si="148"/>
        <v>1704093940.4127464</v>
      </c>
      <c r="L3449" s="455">
        <f t="shared" ca="1" si="149"/>
        <v>410686639639.47186</v>
      </c>
      <c r="M3449" s="471">
        <f t="shared" si="151"/>
        <v>0.05</v>
      </c>
      <c r="N3449" s="475">
        <f t="shared" si="152"/>
        <v>156019</v>
      </c>
    </row>
    <row r="3450" spans="7:14" ht="11.25" customHeight="1" x14ac:dyDescent="0.3">
      <c r="G3450" s="470"/>
      <c r="H3450" s="470">
        <v>3443</v>
      </c>
      <c r="I3450" s="455">
        <f t="shared" ca="1" si="150"/>
        <v>410686639639.47186</v>
      </c>
      <c r="J3450" s="455">
        <f t="array" ref="J3450">IFERROR(INDEX('Retirement Calculator'!K:K,MATCH('Lorri 401b'!N3450,'Retirement Calculator'!A:A,0),0),0)</f>
        <v>0</v>
      </c>
      <c r="K3450" s="455">
        <f t="shared" ca="1" si="148"/>
        <v>1711194331.8311327</v>
      </c>
      <c r="L3450" s="455">
        <f t="shared" ca="1" si="149"/>
        <v>412397833971.30298</v>
      </c>
      <c r="M3450" s="471">
        <f t="shared" si="151"/>
        <v>0.05</v>
      </c>
      <c r="N3450" s="475">
        <f t="shared" si="152"/>
        <v>156050</v>
      </c>
    </row>
    <row r="3451" spans="7:14" ht="11.25" customHeight="1" x14ac:dyDescent="0.3">
      <c r="G3451" s="470"/>
      <c r="H3451" s="470">
        <v>3444</v>
      </c>
      <c r="I3451" s="455">
        <f t="shared" ca="1" si="150"/>
        <v>412397833971.30298</v>
      </c>
      <c r="J3451" s="455">
        <f t="array" ref="J3451">IFERROR(INDEX('Retirement Calculator'!K:K,MATCH('Lorri 401b'!N3451,'Retirement Calculator'!A:A,0),0),0)</f>
        <v>0</v>
      </c>
      <c r="K3451" s="455">
        <f t="shared" ca="1" si="148"/>
        <v>1718324308.2137623</v>
      </c>
      <c r="L3451" s="455">
        <f t="shared" ca="1" si="149"/>
        <v>414116158279.51672</v>
      </c>
      <c r="M3451" s="471">
        <f t="shared" si="151"/>
        <v>0.05</v>
      </c>
      <c r="N3451" s="475">
        <f t="shared" si="152"/>
        <v>156080</v>
      </c>
    </row>
    <row r="3452" spans="7:14" ht="11.25" customHeight="1" x14ac:dyDescent="0.3">
      <c r="G3452" s="470"/>
      <c r="H3452" s="470">
        <v>3445</v>
      </c>
      <c r="I3452" s="455">
        <f t="shared" ca="1" si="150"/>
        <v>414116158279.51672</v>
      </c>
      <c r="J3452" s="455">
        <f t="array" ref="J3452">IFERROR(INDEX('Retirement Calculator'!K:K,MATCH('Lorri 401b'!N3452,'Retirement Calculator'!A:A,0),0),0)</f>
        <v>0</v>
      </c>
      <c r="K3452" s="455">
        <f t="shared" ca="1" si="148"/>
        <v>1725483992.8313196</v>
      </c>
      <c r="L3452" s="455">
        <f t="shared" ca="1" si="149"/>
        <v>415841642272.34802</v>
      </c>
      <c r="M3452" s="471">
        <f t="shared" si="151"/>
        <v>0.05</v>
      </c>
      <c r="N3452" s="475">
        <f t="shared" si="152"/>
        <v>156111</v>
      </c>
    </row>
    <row r="3453" spans="7:14" ht="11.25" customHeight="1" x14ac:dyDescent="0.3">
      <c r="G3453" s="470"/>
      <c r="H3453" s="470">
        <v>3446</v>
      </c>
      <c r="I3453" s="455">
        <f t="shared" ca="1" si="150"/>
        <v>415841642272.34802</v>
      </c>
      <c r="J3453" s="455">
        <f t="array" ref="J3453">IFERROR(INDEX('Retirement Calculator'!K:K,MATCH('Lorri 401b'!N3453,'Retirement Calculator'!A:A,0),0),0)</f>
        <v>0</v>
      </c>
      <c r="K3453" s="455">
        <f t="shared" ca="1" si="148"/>
        <v>1732673509.4681168</v>
      </c>
      <c r="L3453" s="455">
        <f t="shared" ca="1" si="149"/>
        <v>417574315781.81616</v>
      </c>
      <c r="M3453" s="471">
        <f t="shared" si="151"/>
        <v>0.05</v>
      </c>
      <c r="N3453" s="475">
        <f t="shared" si="152"/>
        <v>156141</v>
      </c>
    </row>
    <row r="3454" spans="7:14" ht="11.25" customHeight="1" x14ac:dyDescent="0.3">
      <c r="G3454" s="470"/>
      <c r="H3454" s="470">
        <v>3447</v>
      </c>
      <c r="I3454" s="455">
        <f t="shared" ca="1" si="150"/>
        <v>417574315781.81616</v>
      </c>
      <c r="J3454" s="455">
        <f t="array" ref="J3454">IFERROR(INDEX('Retirement Calculator'!K:K,MATCH('Lorri 401b'!N3454,'Retirement Calculator'!A:A,0),0),0)</f>
        <v>0</v>
      </c>
      <c r="K3454" s="455">
        <f t="shared" ca="1" si="148"/>
        <v>1739892982.4242339</v>
      </c>
      <c r="L3454" s="455">
        <f t="shared" ca="1" si="149"/>
        <v>419314208764.24042</v>
      </c>
      <c r="M3454" s="471">
        <f t="shared" si="151"/>
        <v>0.05</v>
      </c>
      <c r="N3454" s="475">
        <f t="shared" si="152"/>
        <v>156172</v>
      </c>
    </row>
    <row r="3455" spans="7:14" ht="11.25" customHeight="1" x14ac:dyDescent="0.3">
      <c r="G3455" s="470"/>
      <c r="H3455" s="470">
        <v>3448</v>
      </c>
      <c r="I3455" s="455">
        <f t="shared" ca="1" si="150"/>
        <v>419314208764.24042</v>
      </c>
      <c r="J3455" s="455">
        <f t="array" ref="J3455">IFERROR(INDEX('Retirement Calculator'!K:K,MATCH('Lorri 401b'!N3455,'Retirement Calculator'!A:A,0),0),0)</f>
        <v>0</v>
      </c>
      <c r="K3455" s="455">
        <f t="shared" ca="1" si="148"/>
        <v>1747142536.5176685</v>
      </c>
      <c r="L3455" s="455">
        <f t="shared" ca="1" si="149"/>
        <v>421061351300.75806</v>
      </c>
      <c r="M3455" s="471">
        <f t="shared" si="151"/>
        <v>0.05</v>
      </c>
      <c r="N3455" s="475">
        <f t="shared" si="152"/>
        <v>156203</v>
      </c>
    </row>
    <row r="3456" spans="7:14" ht="11.25" customHeight="1" x14ac:dyDescent="0.3">
      <c r="G3456" s="470"/>
      <c r="H3456" s="470">
        <v>3449</v>
      </c>
      <c r="I3456" s="455">
        <f t="shared" ca="1" si="150"/>
        <v>421061351300.75806</v>
      </c>
      <c r="J3456" s="455">
        <f t="array" ref="J3456">IFERROR(INDEX('Retirement Calculator'!K:K,MATCH('Lorri 401b'!N3456,'Retirement Calculator'!A:A,0),0),0)</f>
        <v>0</v>
      </c>
      <c r="K3456" s="455">
        <f t="shared" ca="1" si="148"/>
        <v>1754422297.0864918</v>
      </c>
      <c r="L3456" s="455">
        <f t="shared" ca="1" si="149"/>
        <v>422815773597.84454</v>
      </c>
      <c r="M3456" s="471">
        <f t="shared" si="151"/>
        <v>0.05</v>
      </c>
      <c r="N3456" s="475">
        <f t="shared" si="152"/>
        <v>156233</v>
      </c>
    </row>
    <row r="3457" spans="7:14" ht="11.25" customHeight="1" x14ac:dyDescent="0.3">
      <c r="G3457" s="470"/>
      <c r="H3457" s="470">
        <v>3450</v>
      </c>
      <c r="I3457" s="455">
        <f t="shared" ca="1" si="150"/>
        <v>422815773597.84454</v>
      </c>
      <c r="J3457" s="455">
        <f t="array" ref="J3457">IFERROR(INDEX('Retirement Calculator'!K:K,MATCH('Lorri 401b'!N3457,'Retirement Calculator'!A:A,0),0),0)</f>
        <v>0</v>
      </c>
      <c r="K3457" s="455">
        <f t="shared" ca="1" si="148"/>
        <v>1761732389.991019</v>
      </c>
      <c r="L3457" s="455">
        <f t="shared" ca="1" si="149"/>
        <v>424577505987.83557</v>
      </c>
      <c r="M3457" s="471">
        <f t="shared" si="151"/>
        <v>0.05</v>
      </c>
      <c r="N3457" s="475">
        <f t="shared" si="152"/>
        <v>156264</v>
      </c>
    </row>
    <row r="3458" spans="7:14" ht="11.25" customHeight="1" x14ac:dyDescent="0.3">
      <c r="G3458" s="470"/>
      <c r="H3458" s="470">
        <v>3451</v>
      </c>
      <c r="I3458" s="455">
        <f t="shared" ca="1" si="150"/>
        <v>424577505987.83557</v>
      </c>
      <c r="J3458" s="455">
        <f t="array" ref="J3458">IFERROR(INDEX('Retirement Calculator'!K:K,MATCH('Lorri 401b'!N3458,'Retirement Calculator'!A:A,0),0),0)</f>
        <v>0</v>
      </c>
      <c r="K3458" s="455">
        <f t="shared" ca="1" si="148"/>
        <v>1769072941.6159816</v>
      </c>
      <c r="L3458" s="455">
        <f t="shared" ca="1" si="149"/>
        <v>426346578929.45154</v>
      </c>
      <c r="M3458" s="471">
        <f t="shared" si="151"/>
        <v>0.05</v>
      </c>
      <c r="N3458" s="475">
        <f t="shared" si="152"/>
        <v>156294</v>
      </c>
    </row>
    <row r="3459" spans="7:14" ht="11.25" customHeight="1" x14ac:dyDescent="0.3">
      <c r="G3459" s="470"/>
      <c r="H3459" s="470">
        <v>3452</v>
      </c>
      <c r="I3459" s="455">
        <f t="shared" ca="1" si="150"/>
        <v>426346578929.45154</v>
      </c>
      <c r="J3459" s="455">
        <f t="array" ref="J3459">IFERROR(INDEX('Retirement Calculator'!K:K,MATCH('Lorri 401b'!N3459,'Retirement Calculator'!A:A,0),0),0)</f>
        <v>0</v>
      </c>
      <c r="K3459" s="455">
        <f t="shared" ca="1" si="148"/>
        <v>1776444078.8727148</v>
      </c>
      <c r="L3459" s="455">
        <f t="shared" ca="1" si="149"/>
        <v>428123023008.32428</v>
      </c>
      <c r="M3459" s="471">
        <f t="shared" si="151"/>
        <v>0.05</v>
      </c>
      <c r="N3459" s="475">
        <f t="shared" si="152"/>
        <v>156325</v>
      </c>
    </row>
    <row r="3460" spans="7:14" ht="11.25" customHeight="1" x14ac:dyDescent="0.3">
      <c r="G3460" s="470"/>
      <c r="H3460" s="470">
        <v>3453</v>
      </c>
      <c r="I3460" s="455">
        <f t="shared" ca="1" si="150"/>
        <v>428123023008.32428</v>
      </c>
      <c r="J3460" s="455">
        <f t="array" ref="J3460">IFERROR(INDEX('Retirement Calculator'!K:K,MATCH('Lorri 401b'!N3460,'Retirement Calculator'!A:A,0),0),0)</f>
        <v>0</v>
      </c>
      <c r="K3460" s="455">
        <f t="shared" ca="1" si="148"/>
        <v>1783845929.2013514</v>
      </c>
      <c r="L3460" s="455">
        <f t="shared" ca="1" si="149"/>
        <v>429906868937.52563</v>
      </c>
      <c r="M3460" s="471">
        <f t="shared" si="151"/>
        <v>0.05</v>
      </c>
      <c r="N3460" s="475">
        <f t="shared" si="152"/>
        <v>156356</v>
      </c>
    </row>
    <row r="3461" spans="7:14" ht="11.25" customHeight="1" x14ac:dyDescent="0.3">
      <c r="G3461" s="470"/>
      <c r="H3461" s="470">
        <v>3454</v>
      </c>
      <c r="I3461" s="455">
        <f t="shared" ca="1" si="150"/>
        <v>429906868937.52563</v>
      </c>
      <c r="J3461" s="455">
        <f t="array" ref="J3461">IFERROR(INDEX('Retirement Calculator'!K:K,MATCH('Lorri 401b'!N3461,'Retirement Calculator'!A:A,0),0),0)</f>
        <v>0</v>
      </c>
      <c r="K3461" s="455">
        <f t="shared" ca="1" si="148"/>
        <v>1791278620.5730236</v>
      </c>
      <c r="L3461" s="455">
        <f t="shared" ca="1" si="149"/>
        <v>431698147558.09863</v>
      </c>
      <c r="M3461" s="471">
        <f t="shared" si="151"/>
        <v>0.05</v>
      </c>
      <c r="N3461" s="475">
        <f t="shared" si="152"/>
        <v>156385</v>
      </c>
    </row>
    <row r="3462" spans="7:14" ht="11.25" customHeight="1" x14ac:dyDescent="0.3">
      <c r="G3462" s="470"/>
      <c r="H3462" s="470">
        <v>3455</v>
      </c>
      <c r="I3462" s="455">
        <f t="shared" ca="1" si="150"/>
        <v>431698147558.09863</v>
      </c>
      <c r="J3462" s="455">
        <f t="array" ref="J3462">IFERROR(INDEX('Retirement Calculator'!K:K,MATCH('Lorri 401b'!N3462,'Retirement Calculator'!A:A,0),0),0)</f>
        <v>0</v>
      </c>
      <c r="K3462" s="455">
        <f t="shared" ca="1" si="148"/>
        <v>1798742281.4920776</v>
      </c>
      <c r="L3462" s="455">
        <f t="shared" ca="1" si="149"/>
        <v>433496889839.5907</v>
      </c>
      <c r="M3462" s="471">
        <f t="shared" si="151"/>
        <v>0.05</v>
      </c>
      <c r="N3462" s="475">
        <f t="shared" si="152"/>
        <v>156416</v>
      </c>
    </row>
    <row r="3463" spans="7:14" ht="11.25" customHeight="1" x14ac:dyDescent="0.3">
      <c r="G3463" s="470"/>
      <c r="H3463" s="470">
        <v>3456</v>
      </c>
      <c r="I3463" s="455">
        <f t="shared" ca="1" si="150"/>
        <v>433496889839.5907</v>
      </c>
      <c r="J3463" s="455">
        <f t="array" ref="J3463">IFERROR(INDEX('Retirement Calculator'!K:K,MATCH('Lorri 401b'!N3463,'Retirement Calculator'!A:A,0),0),0)</f>
        <v>0</v>
      </c>
      <c r="K3463" s="455">
        <f t="shared" ca="1" si="148"/>
        <v>1806237040.9982946</v>
      </c>
      <c r="L3463" s="455">
        <f t="shared" ca="1" si="149"/>
        <v>435303126880.58899</v>
      </c>
      <c r="M3463" s="471">
        <f t="shared" si="151"/>
        <v>0.05</v>
      </c>
      <c r="N3463" s="475">
        <f t="shared" si="152"/>
        <v>156446</v>
      </c>
    </row>
    <row r="3464" spans="7:14" ht="11.25" customHeight="1" x14ac:dyDescent="0.3">
      <c r="G3464" s="470"/>
      <c r="H3464" s="470">
        <v>3457</v>
      </c>
      <c r="I3464" s="455">
        <f t="shared" ca="1" si="150"/>
        <v>435303126880.58899</v>
      </c>
      <c r="J3464" s="455">
        <f t="array" ref="J3464">IFERROR(INDEX('Retirement Calculator'!K:K,MATCH('Lorri 401b'!N3464,'Retirement Calculator'!A:A,0),0),0)</f>
        <v>0</v>
      </c>
      <c r="K3464" s="455">
        <f t="shared" ca="1" si="148"/>
        <v>1813763028.6691206</v>
      </c>
      <c r="L3464" s="455">
        <f t="shared" ca="1" si="149"/>
        <v>437116889909.25812</v>
      </c>
      <c r="M3464" s="471">
        <f t="shared" si="151"/>
        <v>0.05</v>
      </c>
      <c r="N3464" s="475">
        <f t="shared" si="152"/>
        <v>156477</v>
      </c>
    </row>
    <row r="3465" spans="7:14" ht="11.25" customHeight="1" x14ac:dyDescent="0.3">
      <c r="G3465" s="470"/>
      <c r="H3465" s="470">
        <v>3458</v>
      </c>
      <c r="I3465" s="455">
        <f t="shared" ca="1" si="150"/>
        <v>437116889909.25812</v>
      </c>
      <c r="J3465" s="455">
        <f t="array" ref="J3465">IFERROR(INDEX('Retirement Calculator'!K:K,MATCH('Lorri 401b'!N3465,'Retirement Calculator'!A:A,0),0),0)</f>
        <v>0</v>
      </c>
      <c r="K3465" s="455">
        <f t="shared" ca="1" si="148"/>
        <v>1821320374.6219089</v>
      </c>
      <c r="L3465" s="455">
        <f t="shared" ca="1" si="149"/>
        <v>438938210283.88</v>
      </c>
      <c r="M3465" s="471">
        <f t="shared" si="151"/>
        <v>0.05</v>
      </c>
      <c r="N3465" s="475">
        <f t="shared" si="152"/>
        <v>156507</v>
      </c>
    </row>
    <row r="3466" spans="7:14" ht="11.25" customHeight="1" x14ac:dyDescent="0.3">
      <c r="G3466" s="470"/>
      <c r="H3466" s="470">
        <v>3459</v>
      </c>
      <c r="I3466" s="455">
        <f t="shared" ca="1" si="150"/>
        <v>438938210283.88</v>
      </c>
      <c r="J3466" s="455">
        <f t="array" ref="J3466">IFERROR(INDEX('Retirement Calculator'!K:K,MATCH('Lorri 401b'!N3466,'Retirement Calculator'!A:A,0),0),0)</f>
        <v>0</v>
      </c>
      <c r="K3466" s="455">
        <f t="shared" ca="1" si="148"/>
        <v>1828909209.5161669</v>
      </c>
      <c r="L3466" s="455">
        <f t="shared" ca="1" si="149"/>
        <v>440767119493.39618</v>
      </c>
      <c r="M3466" s="471">
        <f t="shared" si="151"/>
        <v>0.05</v>
      </c>
      <c r="N3466" s="475">
        <f t="shared" si="152"/>
        <v>156538</v>
      </c>
    </row>
    <row r="3467" spans="7:14" ht="11.25" customHeight="1" x14ac:dyDescent="0.3">
      <c r="G3467" s="470"/>
      <c r="H3467" s="470">
        <v>3460</v>
      </c>
      <c r="I3467" s="455">
        <f t="shared" ca="1" si="150"/>
        <v>440767119493.39618</v>
      </c>
      <c r="J3467" s="455">
        <f t="array" ref="J3467">IFERROR(INDEX('Retirement Calculator'!K:K,MATCH('Lorri 401b'!N3467,'Retirement Calculator'!A:A,0),0),0)</f>
        <v>0</v>
      </c>
      <c r="K3467" s="455">
        <f t="shared" ca="1" si="148"/>
        <v>1836529664.5558174</v>
      </c>
      <c r="L3467" s="455">
        <f t="shared" ca="1" si="149"/>
        <v>442603649157.95203</v>
      </c>
      <c r="M3467" s="471">
        <f t="shared" si="151"/>
        <v>0.05</v>
      </c>
      <c r="N3467" s="475">
        <f t="shared" si="152"/>
        <v>156569</v>
      </c>
    </row>
    <row r="3468" spans="7:14" ht="11.25" customHeight="1" x14ac:dyDescent="0.3">
      <c r="G3468" s="470"/>
      <c r="H3468" s="470">
        <v>3461</v>
      </c>
      <c r="I3468" s="455">
        <f t="shared" ca="1" si="150"/>
        <v>442603649157.95203</v>
      </c>
      <c r="J3468" s="455">
        <f t="array" ref="J3468">IFERROR(INDEX('Retirement Calculator'!K:K,MATCH('Lorri 401b'!N3468,'Retirement Calculator'!A:A,0),0),0)</f>
        <v>0</v>
      </c>
      <c r="K3468" s="455">
        <f t="shared" ca="1" si="148"/>
        <v>1844181871.4914665</v>
      </c>
      <c r="L3468" s="455">
        <f t="shared" ca="1" si="149"/>
        <v>444447831029.44348</v>
      </c>
      <c r="M3468" s="471">
        <f t="shared" si="151"/>
        <v>0.05</v>
      </c>
      <c r="N3468" s="475">
        <f t="shared" si="152"/>
        <v>156599</v>
      </c>
    </row>
    <row r="3469" spans="7:14" ht="11.25" customHeight="1" x14ac:dyDescent="0.3">
      <c r="G3469" s="470"/>
      <c r="H3469" s="470">
        <v>3462</v>
      </c>
      <c r="I3469" s="455">
        <f t="shared" ca="1" si="150"/>
        <v>444447831029.44348</v>
      </c>
      <c r="J3469" s="455">
        <f t="array" ref="J3469">IFERROR(INDEX('Retirement Calculator'!K:K,MATCH('Lorri 401b'!N3469,'Retirement Calculator'!A:A,0),0),0)</f>
        <v>0</v>
      </c>
      <c r="K3469" s="455">
        <f t="shared" ca="1" si="148"/>
        <v>1851865962.6226811</v>
      </c>
      <c r="L3469" s="455">
        <f t="shared" ca="1" si="149"/>
        <v>446299696992.06616</v>
      </c>
      <c r="M3469" s="471">
        <f t="shared" si="151"/>
        <v>0.05</v>
      </c>
      <c r="N3469" s="475">
        <f t="shared" si="152"/>
        <v>156630</v>
      </c>
    </row>
    <row r="3470" spans="7:14" ht="11.25" customHeight="1" x14ac:dyDescent="0.3">
      <c r="G3470" s="470"/>
      <c r="H3470" s="470">
        <v>3463</v>
      </c>
      <c r="I3470" s="455">
        <f t="shared" ca="1" si="150"/>
        <v>446299696992.06616</v>
      </c>
      <c r="J3470" s="455">
        <f t="array" ref="J3470">IFERROR(INDEX('Retirement Calculator'!K:K,MATCH('Lorri 401b'!N3470,'Retirement Calculator'!A:A,0),0),0)</f>
        <v>0</v>
      </c>
      <c r="K3470" s="455">
        <f t="shared" ca="1" si="148"/>
        <v>1859582070.8002756</v>
      </c>
      <c r="L3470" s="455">
        <f t="shared" ca="1" si="149"/>
        <v>448159279062.86646</v>
      </c>
      <c r="M3470" s="471">
        <f t="shared" si="151"/>
        <v>0.05</v>
      </c>
      <c r="N3470" s="475">
        <f t="shared" si="152"/>
        <v>156660</v>
      </c>
    </row>
    <row r="3471" spans="7:14" ht="11.25" customHeight="1" x14ac:dyDescent="0.3">
      <c r="G3471" s="470"/>
      <c r="H3471" s="470">
        <v>3464</v>
      </c>
      <c r="I3471" s="455">
        <f t="shared" ca="1" si="150"/>
        <v>448159279062.86646</v>
      </c>
      <c r="J3471" s="455">
        <f t="array" ref="J3471">IFERROR(INDEX('Retirement Calculator'!K:K,MATCH('Lorri 401b'!N3471,'Retirement Calculator'!A:A,0),0),0)</f>
        <v>0</v>
      </c>
      <c r="K3471" s="455">
        <f t="shared" ca="1" si="148"/>
        <v>1867330329.4286106</v>
      </c>
      <c r="L3471" s="455">
        <f t="shared" ca="1" si="149"/>
        <v>450026609392.29504</v>
      </c>
      <c r="M3471" s="471">
        <f t="shared" si="151"/>
        <v>0.05</v>
      </c>
      <c r="N3471" s="475">
        <f t="shared" si="152"/>
        <v>156691</v>
      </c>
    </row>
    <row r="3472" spans="7:14" ht="11.25" customHeight="1" x14ac:dyDescent="0.3">
      <c r="G3472" s="470"/>
      <c r="H3472" s="470">
        <v>3465</v>
      </c>
      <c r="I3472" s="455">
        <f t="shared" ca="1" si="150"/>
        <v>450026609392.29504</v>
      </c>
      <c r="J3472" s="455">
        <f t="array" ref="J3472">IFERROR(INDEX('Retirement Calculator'!K:K,MATCH('Lorri 401b'!N3472,'Retirement Calculator'!A:A,0),0),0)</f>
        <v>0</v>
      </c>
      <c r="K3472" s="455">
        <f t="shared" ca="1" si="148"/>
        <v>1875110872.4678957</v>
      </c>
      <c r="L3472" s="455">
        <f t="shared" ca="1" si="149"/>
        <v>451901720264.76294</v>
      </c>
      <c r="M3472" s="471">
        <f t="shared" si="151"/>
        <v>0.05</v>
      </c>
      <c r="N3472" s="475">
        <f t="shared" si="152"/>
        <v>156722</v>
      </c>
    </row>
    <row r="3473" spans="7:14" ht="11.25" customHeight="1" x14ac:dyDescent="0.3">
      <c r="G3473" s="470"/>
      <c r="H3473" s="470">
        <v>3466</v>
      </c>
      <c r="I3473" s="455">
        <f t="shared" ca="1" si="150"/>
        <v>451901720264.76294</v>
      </c>
      <c r="J3473" s="455">
        <f t="array" ref="J3473">IFERROR(INDEX('Retirement Calculator'!K:K,MATCH('Lorri 401b'!N3473,'Retirement Calculator'!A:A,0),0),0)</f>
        <v>0</v>
      </c>
      <c r="K3473" s="455">
        <f t="shared" ca="1" si="148"/>
        <v>1882923834.4365122</v>
      </c>
      <c r="L3473" s="455">
        <f t="shared" ca="1" si="149"/>
        <v>453784644099.19946</v>
      </c>
      <c r="M3473" s="471">
        <f t="shared" si="151"/>
        <v>0.05</v>
      </c>
      <c r="N3473" s="475">
        <f t="shared" si="152"/>
        <v>156750</v>
      </c>
    </row>
    <row r="3474" spans="7:14" ht="11.25" customHeight="1" x14ac:dyDescent="0.3">
      <c r="G3474" s="470"/>
      <c r="H3474" s="470">
        <v>3467</v>
      </c>
      <c r="I3474" s="455">
        <f t="shared" ca="1" si="150"/>
        <v>453784644099.19946</v>
      </c>
      <c r="J3474" s="455">
        <f t="array" ref="J3474">IFERROR(INDEX('Retirement Calculator'!K:K,MATCH('Lorri 401b'!N3474,'Retirement Calculator'!A:A,0),0),0)</f>
        <v>0</v>
      </c>
      <c r="K3474" s="455">
        <f t="shared" ca="1" si="148"/>
        <v>1890769350.4133308</v>
      </c>
      <c r="L3474" s="455">
        <f t="shared" ca="1" si="149"/>
        <v>455675413449.61279</v>
      </c>
      <c r="M3474" s="471">
        <f t="shared" si="151"/>
        <v>0.05</v>
      </c>
      <c r="N3474" s="475">
        <f t="shared" si="152"/>
        <v>156781</v>
      </c>
    </row>
    <row r="3475" spans="7:14" ht="11.25" customHeight="1" x14ac:dyDescent="0.3">
      <c r="G3475" s="470"/>
      <c r="H3475" s="470">
        <v>3468</v>
      </c>
      <c r="I3475" s="455">
        <f t="shared" ca="1" si="150"/>
        <v>455675413449.61279</v>
      </c>
      <c r="J3475" s="455">
        <f t="array" ref="J3475">IFERROR(INDEX('Retirement Calculator'!K:K,MATCH('Lorri 401b'!N3475,'Retirement Calculator'!A:A,0),0),0)</f>
        <v>0</v>
      </c>
      <c r="K3475" s="455">
        <f t="shared" ca="1" si="148"/>
        <v>1898647556.0400534</v>
      </c>
      <c r="L3475" s="455">
        <f t="shared" ca="1" si="149"/>
        <v>457574061005.65283</v>
      </c>
      <c r="M3475" s="471">
        <f t="shared" si="151"/>
        <v>0.05</v>
      </c>
      <c r="N3475" s="475">
        <f t="shared" si="152"/>
        <v>156811</v>
      </c>
    </row>
    <row r="3476" spans="7:14" ht="11.25" customHeight="1" x14ac:dyDescent="0.3">
      <c r="G3476" s="470"/>
      <c r="H3476" s="470">
        <v>3469</v>
      </c>
      <c r="I3476" s="455">
        <f t="shared" ca="1" si="150"/>
        <v>457574061005.65283</v>
      </c>
      <c r="J3476" s="455">
        <f t="array" ref="J3476">IFERROR(INDEX('Retirement Calculator'!K:K,MATCH('Lorri 401b'!N3476,'Retirement Calculator'!A:A,0),0),0)</f>
        <v>0</v>
      </c>
      <c r="K3476" s="455">
        <f t="shared" ca="1" si="148"/>
        <v>1906558587.5235534</v>
      </c>
      <c r="L3476" s="455">
        <f t="shared" ca="1" si="149"/>
        <v>459480619593.17639</v>
      </c>
      <c r="M3476" s="471">
        <f t="shared" si="151"/>
        <v>0.05</v>
      </c>
      <c r="N3476" s="475">
        <f t="shared" si="152"/>
        <v>156842</v>
      </c>
    </row>
    <row r="3477" spans="7:14" ht="11.25" customHeight="1" x14ac:dyDescent="0.3">
      <c r="G3477" s="470"/>
      <c r="H3477" s="470">
        <v>3470</v>
      </c>
      <c r="I3477" s="455">
        <f t="shared" ca="1" si="150"/>
        <v>459480619593.17639</v>
      </c>
      <c r="J3477" s="455">
        <f t="array" ref="J3477">IFERROR(INDEX('Retirement Calculator'!K:K,MATCH('Lorri 401b'!N3477,'Retirement Calculator'!A:A,0),0),0)</f>
        <v>0</v>
      </c>
      <c r="K3477" s="455">
        <f t="shared" ca="1" si="148"/>
        <v>1914502581.6382349</v>
      </c>
      <c r="L3477" s="455">
        <f t="shared" ca="1" si="149"/>
        <v>461395122174.81464</v>
      </c>
      <c r="M3477" s="471">
        <f t="shared" si="151"/>
        <v>0.05</v>
      </c>
      <c r="N3477" s="475">
        <f t="shared" si="152"/>
        <v>156872</v>
      </c>
    </row>
    <row r="3478" spans="7:14" ht="11.25" customHeight="1" x14ac:dyDescent="0.3">
      <c r="G3478" s="470"/>
      <c r="H3478" s="470">
        <v>3471</v>
      </c>
      <c r="I3478" s="455">
        <f t="shared" ca="1" si="150"/>
        <v>461395122174.81464</v>
      </c>
      <c r="J3478" s="455">
        <f t="array" ref="J3478">IFERROR(INDEX('Retirement Calculator'!K:K,MATCH('Lorri 401b'!N3478,'Retirement Calculator'!A:A,0),0),0)</f>
        <v>0</v>
      </c>
      <c r="K3478" s="455">
        <f t="shared" ca="1" si="148"/>
        <v>1922479675.7283943</v>
      </c>
      <c r="L3478" s="455">
        <f t="shared" ca="1" si="149"/>
        <v>463317601850.54303</v>
      </c>
      <c r="M3478" s="471">
        <f t="shared" si="151"/>
        <v>0.05</v>
      </c>
      <c r="N3478" s="475">
        <f t="shared" si="152"/>
        <v>156903</v>
      </c>
    </row>
    <row r="3479" spans="7:14" ht="11.25" customHeight="1" x14ac:dyDescent="0.3">
      <c r="G3479" s="470"/>
      <c r="H3479" s="470">
        <v>3472</v>
      </c>
      <c r="I3479" s="455">
        <f t="shared" ca="1" si="150"/>
        <v>463317601850.54303</v>
      </c>
      <c r="J3479" s="455">
        <f t="array" ref="J3479">IFERROR(INDEX('Retirement Calculator'!K:K,MATCH('Lorri 401b'!N3479,'Retirement Calculator'!A:A,0),0),0)</f>
        <v>0</v>
      </c>
      <c r="K3479" s="455">
        <f t="shared" ca="1" si="148"/>
        <v>1930490007.7105961</v>
      </c>
      <c r="L3479" s="455">
        <f t="shared" ca="1" si="149"/>
        <v>465248091858.2536</v>
      </c>
      <c r="M3479" s="471">
        <f t="shared" si="151"/>
        <v>0.05</v>
      </c>
      <c r="N3479" s="475">
        <f t="shared" si="152"/>
        <v>156934</v>
      </c>
    </row>
    <row r="3480" spans="7:14" ht="11.25" customHeight="1" x14ac:dyDescent="0.3">
      <c r="G3480" s="470"/>
      <c r="H3480" s="470">
        <v>3473</v>
      </c>
      <c r="I3480" s="455">
        <f t="shared" ca="1" si="150"/>
        <v>465248091858.2536</v>
      </c>
      <c r="J3480" s="455">
        <f t="array" ref="J3480">IFERROR(INDEX('Retirement Calculator'!K:K,MATCH('Lorri 401b'!N3480,'Retirement Calculator'!A:A,0),0),0)</f>
        <v>0</v>
      </c>
      <c r="K3480" s="455">
        <f t="shared" ca="1" si="148"/>
        <v>1938533716.0760567</v>
      </c>
      <c r="L3480" s="455">
        <f t="shared" ca="1" si="149"/>
        <v>467186625574.32965</v>
      </c>
      <c r="M3480" s="471">
        <f t="shared" si="151"/>
        <v>0.05</v>
      </c>
      <c r="N3480" s="475">
        <f t="shared" si="152"/>
        <v>156964</v>
      </c>
    </row>
    <row r="3481" spans="7:14" ht="11.25" customHeight="1" x14ac:dyDescent="0.3">
      <c r="G3481" s="470"/>
      <c r="H3481" s="470">
        <v>3474</v>
      </c>
      <c r="I3481" s="455">
        <f t="shared" ca="1" si="150"/>
        <v>467186625574.32965</v>
      </c>
      <c r="J3481" s="455">
        <f t="array" ref="J3481">IFERROR(INDEX('Retirement Calculator'!K:K,MATCH('Lorri 401b'!N3481,'Retirement Calculator'!A:A,0),0),0)</f>
        <v>0</v>
      </c>
      <c r="K3481" s="455">
        <f t="shared" ca="1" si="148"/>
        <v>1946610939.8930404</v>
      </c>
      <c r="L3481" s="455">
        <f t="shared" ca="1" si="149"/>
        <v>469133236514.22272</v>
      </c>
      <c r="M3481" s="471">
        <f t="shared" si="151"/>
        <v>0.05</v>
      </c>
      <c r="N3481" s="475">
        <f t="shared" si="152"/>
        <v>156995</v>
      </c>
    </row>
    <row r="3482" spans="7:14" ht="11.25" customHeight="1" x14ac:dyDescent="0.3">
      <c r="G3482" s="470"/>
      <c r="H3482" s="470">
        <v>3475</v>
      </c>
      <c r="I3482" s="455">
        <f t="shared" ca="1" si="150"/>
        <v>469133236514.22272</v>
      </c>
      <c r="J3482" s="455">
        <f t="array" ref="J3482">IFERROR(INDEX('Retirement Calculator'!K:K,MATCH('Lorri 401b'!N3482,'Retirement Calculator'!A:A,0),0),0)</f>
        <v>0</v>
      </c>
      <c r="K3482" s="455">
        <f t="shared" ca="1" si="148"/>
        <v>1954721818.8092613</v>
      </c>
      <c r="L3482" s="455">
        <f t="shared" ca="1" si="149"/>
        <v>471087958333.03198</v>
      </c>
      <c r="M3482" s="471">
        <f t="shared" si="151"/>
        <v>0.05</v>
      </c>
      <c r="N3482" s="475">
        <f t="shared" si="152"/>
        <v>157025</v>
      </c>
    </row>
    <row r="3483" spans="7:14" ht="11.25" customHeight="1" x14ac:dyDescent="0.3">
      <c r="G3483" s="470"/>
      <c r="H3483" s="470">
        <v>3476</v>
      </c>
      <c r="I3483" s="455">
        <f t="shared" ca="1" si="150"/>
        <v>471087958333.03198</v>
      </c>
      <c r="J3483" s="455">
        <f t="array" ref="J3483">IFERROR(INDEX('Retirement Calculator'!K:K,MATCH('Lorri 401b'!N3483,'Retirement Calculator'!A:A,0),0),0)</f>
        <v>0</v>
      </c>
      <c r="K3483" s="455">
        <f t="shared" ca="1" si="148"/>
        <v>1962866493.0542998</v>
      </c>
      <c r="L3483" s="455">
        <f t="shared" ca="1" si="149"/>
        <v>473050824826.0863</v>
      </c>
      <c r="M3483" s="471">
        <f t="shared" si="151"/>
        <v>0.05</v>
      </c>
      <c r="N3483" s="475">
        <f t="shared" si="152"/>
        <v>157056</v>
      </c>
    </row>
    <row r="3484" spans="7:14" ht="11.25" customHeight="1" x14ac:dyDescent="0.3">
      <c r="G3484" s="470"/>
      <c r="H3484" s="470">
        <v>3477</v>
      </c>
      <c r="I3484" s="455">
        <f t="shared" ca="1" si="150"/>
        <v>473050824826.0863</v>
      </c>
      <c r="J3484" s="455">
        <f t="array" ref="J3484">IFERROR(INDEX('Retirement Calculator'!K:K,MATCH('Lorri 401b'!N3484,'Retirement Calculator'!A:A,0),0),0)</f>
        <v>0</v>
      </c>
      <c r="K3484" s="455">
        <f t="shared" ca="1" si="148"/>
        <v>1971045103.4420261</v>
      </c>
      <c r="L3484" s="455">
        <f t="shared" ca="1" si="149"/>
        <v>475021869929.52832</v>
      </c>
      <c r="M3484" s="471">
        <f t="shared" si="151"/>
        <v>0.05</v>
      </c>
      <c r="N3484" s="475">
        <f t="shared" si="152"/>
        <v>157087</v>
      </c>
    </row>
    <row r="3485" spans="7:14" ht="11.25" customHeight="1" x14ac:dyDescent="0.3">
      <c r="G3485" s="470"/>
      <c r="H3485" s="470">
        <v>3478</v>
      </c>
      <c r="I3485" s="455">
        <f t="shared" ca="1" si="150"/>
        <v>475021869929.52832</v>
      </c>
      <c r="J3485" s="455">
        <f t="array" ref="J3485">IFERROR(INDEX('Retirement Calculator'!K:K,MATCH('Lorri 401b'!N3485,'Retirement Calculator'!A:A,0),0),0)</f>
        <v>0</v>
      </c>
      <c r="K3485" s="455">
        <f t="shared" ca="1" si="148"/>
        <v>1979257791.3730347</v>
      </c>
      <c r="L3485" s="455">
        <f t="shared" ca="1" si="149"/>
        <v>477001127720.90137</v>
      </c>
      <c r="M3485" s="471">
        <f t="shared" si="151"/>
        <v>0.05</v>
      </c>
      <c r="N3485" s="475">
        <f t="shared" si="152"/>
        <v>157115</v>
      </c>
    </row>
    <row r="3486" spans="7:14" ht="11.25" customHeight="1" x14ac:dyDescent="0.3">
      <c r="G3486" s="470"/>
      <c r="H3486" s="470">
        <v>3479</v>
      </c>
      <c r="I3486" s="455">
        <f t="shared" ca="1" si="150"/>
        <v>477001127720.90137</v>
      </c>
      <c r="J3486" s="455">
        <f t="array" ref="J3486">IFERROR(INDEX('Retirement Calculator'!K:K,MATCH('Lorri 401b'!N3486,'Retirement Calculator'!A:A,0),0),0)</f>
        <v>0</v>
      </c>
      <c r="K3486" s="455">
        <f t="shared" ca="1" si="148"/>
        <v>1987504698.8370891</v>
      </c>
      <c r="L3486" s="455">
        <f t="shared" ca="1" si="149"/>
        <v>478988632419.73846</v>
      </c>
      <c r="M3486" s="471">
        <f t="shared" si="151"/>
        <v>0.05</v>
      </c>
      <c r="N3486" s="475">
        <f t="shared" si="152"/>
        <v>157146</v>
      </c>
    </row>
    <row r="3487" spans="7:14" ht="11.25" customHeight="1" x14ac:dyDescent="0.3">
      <c r="G3487" s="470"/>
      <c r="H3487" s="470">
        <v>3480</v>
      </c>
      <c r="I3487" s="455">
        <f t="shared" ca="1" si="150"/>
        <v>478988632419.73846</v>
      </c>
      <c r="J3487" s="455">
        <f t="array" ref="J3487">IFERROR(INDEX('Retirement Calculator'!K:K,MATCH('Lorri 401b'!N3487,'Retirement Calculator'!A:A,0),0),0)</f>
        <v>0</v>
      </c>
      <c r="K3487" s="455">
        <f t="shared" ca="1" si="148"/>
        <v>1995785968.4155767</v>
      </c>
      <c r="L3487" s="455">
        <f t="shared" ca="1" si="149"/>
        <v>480984418388.15405</v>
      </c>
      <c r="M3487" s="471">
        <f t="shared" si="151"/>
        <v>0.05</v>
      </c>
      <c r="N3487" s="475">
        <f t="shared" si="152"/>
        <v>157176</v>
      </c>
    </row>
    <row r="3488" spans="7:14" ht="11.25" customHeight="1" x14ac:dyDescent="0.3">
      <c r="G3488" s="470"/>
      <c r="H3488" s="470">
        <v>3481</v>
      </c>
      <c r="I3488" s="455">
        <f t="shared" ca="1" si="150"/>
        <v>480984418388.15405</v>
      </c>
      <c r="J3488" s="455">
        <f t="array" ref="J3488">IFERROR(INDEX('Retirement Calculator'!K:K,MATCH('Lorri 401b'!N3488,'Retirement Calculator'!A:A,0),0),0)</f>
        <v>0</v>
      </c>
      <c r="K3488" s="455">
        <f t="shared" ca="1" si="148"/>
        <v>2004101743.2839751</v>
      </c>
      <c r="L3488" s="455">
        <f t="shared" ca="1" si="149"/>
        <v>482988520131.43805</v>
      </c>
      <c r="M3488" s="471">
        <f t="shared" si="151"/>
        <v>0.05</v>
      </c>
      <c r="N3488" s="475">
        <f t="shared" si="152"/>
        <v>157207</v>
      </c>
    </row>
    <row r="3489" spans="7:14" ht="11.25" customHeight="1" x14ac:dyDescent="0.3">
      <c r="G3489" s="470"/>
      <c r="H3489" s="470">
        <v>3482</v>
      </c>
      <c r="I3489" s="455">
        <f t="shared" ca="1" si="150"/>
        <v>482988520131.43805</v>
      </c>
      <c r="J3489" s="455">
        <f t="array" ref="J3489">IFERROR(INDEX('Retirement Calculator'!K:K,MATCH('Lorri 401b'!N3489,'Retirement Calculator'!A:A,0),0),0)</f>
        <v>0</v>
      </c>
      <c r="K3489" s="455">
        <f t="shared" ca="1" si="148"/>
        <v>2012452167.2143252</v>
      </c>
      <c r="L3489" s="455">
        <f t="shared" ca="1" si="149"/>
        <v>485000972298.6524</v>
      </c>
      <c r="M3489" s="471">
        <f t="shared" si="151"/>
        <v>0.05</v>
      </c>
      <c r="N3489" s="475">
        <f t="shared" si="152"/>
        <v>157237</v>
      </c>
    </row>
    <row r="3490" spans="7:14" ht="11.25" customHeight="1" x14ac:dyDescent="0.3">
      <c r="G3490" s="470"/>
      <c r="H3490" s="470">
        <v>3483</v>
      </c>
      <c r="I3490" s="455">
        <f t="shared" ca="1" si="150"/>
        <v>485000972298.6524</v>
      </c>
      <c r="J3490" s="455">
        <f t="array" ref="J3490">IFERROR(INDEX('Retirement Calculator'!K:K,MATCH('Lorri 401b'!N3490,'Retirement Calculator'!A:A,0),0),0)</f>
        <v>0</v>
      </c>
      <c r="K3490" s="455">
        <f t="shared" ca="1" si="148"/>
        <v>2020837384.5777183</v>
      </c>
      <c r="L3490" s="455">
        <f t="shared" ca="1" si="149"/>
        <v>487021809683.2301</v>
      </c>
      <c r="M3490" s="471">
        <f t="shared" si="151"/>
        <v>0.05</v>
      </c>
      <c r="N3490" s="475">
        <f t="shared" si="152"/>
        <v>157268</v>
      </c>
    </row>
    <row r="3491" spans="7:14" ht="11.25" customHeight="1" x14ac:dyDescent="0.3">
      <c r="G3491" s="470"/>
      <c r="H3491" s="470">
        <v>3484</v>
      </c>
      <c r="I3491" s="455">
        <f t="shared" ca="1" si="150"/>
        <v>487021809683.2301</v>
      </c>
      <c r="J3491" s="455">
        <f t="array" ref="J3491">IFERROR(INDEX('Retirement Calculator'!K:K,MATCH('Lorri 401b'!N3491,'Retirement Calculator'!A:A,0),0),0)</f>
        <v>0</v>
      </c>
      <c r="K3491" s="455">
        <f t="shared" ca="1" si="148"/>
        <v>2029257540.346792</v>
      </c>
      <c r="L3491" s="455">
        <f t="shared" ca="1" si="149"/>
        <v>489051067223.5769</v>
      </c>
      <c r="M3491" s="471">
        <f t="shared" si="151"/>
        <v>0.05</v>
      </c>
      <c r="N3491" s="475">
        <f t="shared" si="152"/>
        <v>157299</v>
      </c>
    </row>
    <row r="3492" spans="7:14" ht="11.25" customHeight="1" x14ac:dyDescent="0.3">
      <c r="G3492" s="470"/>
      <c r="H3492" s="470">
        <v>3485</v>
      </c>
      <c r="I3492" s="455">
        <f t="shared" ca="1" si="150"/>
        <v>489051067223.5769</v>
      </c>
      <c r="J3492" s="455">
        <f t="array" ref="J3492">IFERROR(INDEX('Retirement Calculator'!K:K,MATCH('Lorri 401b'!N3492,'Retirement Calculator'!A:A,0),0),0)</f>
        <v>0</v>
      </c>
      <c r="K3492" s="455">
        <f t="shared" ca="1" si="148"/>
        <v>2037712780.0982368</v>
      </c>
      <c r="L3492" s="455">
        <f t="shared" ca="1" si="149"/>
        <v>491088780003.67517</v>
      </c>
      <c r="M3492" s="471">
        <f t="shared" si="151"/>
        <v>0.05</v>
      </c>
      <c r="N3492" s="475">
        <f t="shared" si="152"/>
        <v>157329</v>
      </c>
    </row>
    <row r="3493" spans="7:14" ht="11.25" customHeight="1" x14ac:dyDescent="0.3">
      <c r="G3493" s="470"/>
      <c r="H3493" s="470">
        <v>3486</v>
      </c>
      <c r="I3493" s="455">
        <f t="shared" ca="1" si="150"/>
        <v>491088780003.67517</v>
      </c>
      <c r="J3493" s="455">
        <f t="array" ref="J3493">IFERROR(INDEX('Retirement Calculator'!K:K,MATCH('Lorri 401b'!N3493,'Retirement Calculator'!A:A,0),0),0)</f>
        <v>0</v>
      </c>
      <c r="K3493" s="455">
        <f t="shared" ca="1" si="148"/>
        <v>2046203250.0153131</v>
      </c>
      <c r="L3493" s="455">
        <f t="shared" ca="1" si="149"/>
        <v>493134983253.69049</v>
      </c>
      <c r="M3493" s="471">
        <f t="shared" si="151"/>
        <v>0.05</v>
      </c>
      <c r="N3493" s="475">
        <f t="shared" si="152"/>
        <v>157360</v>
      </c>
    </row>
    <row r="3494" spans="7:14" ht="11.25" customHeight="1" x14ac:dyDescent="0.3">
      <c r="G3494" s="470"/>
      <c r="H3494" s="470">
        <v>3487</v>
      </c>
      <c r="I3494" s="455">
        <f t="shared" ca="1" si="150"/>
        <v>493134983253.69049</v>
      </c>
      <c r="J3494" s="455">
        <f t="array" ref="J3494">IFERROR(INDEX('Retirement Calculator'!K:K,MATCH('Lorri 401b'!N3494,'Retirement Calculator'!A:A,0),0),0)</f>
        <v>0</v>
      </c>
      <c r="K3494" s="455">
        <f t="shared" ca="1" si="148"/>
        <v>2054729096.8903773</v>
      </c>
      <c r="L3494" s="455">
        <f t="shared" ca="1" si="149"/>
        <v>495189712350.58087</v>
      </c>
      <c r="M3494" s="471">
        <f t="shared" si="151"/>
        <v>0.05</v>
      </c>
      <c r="N3494" s="475">
        <f t="shared" si="152"/>
        <v>157390</v>
      </c>
    </row>
    <row r="3495" spans="7:14" ht="11.25" customHeight="1" x14ac:dyDescent="0.3">
      <c r="G3495" s="470"/>
      <c r="H3495" s="470">
        <v>3488</v>
      </c>
      <c r="I3495" s="455">
        <f t="shared" ca="1" si="150"/>
        <v>495189712350.58087</v>
      </c>
      <c r="J3495" s="455">
        <f t="array" ref="J3495">IFERROR(INDEX('Retirement Calculator'!K:K,MATCH('Lorri 401b'!N3495,'Retirement Calculator'!A:A,0),0),0)</f>
        <v>0</v>
      </c>
      <c r="K3495" s="455">
        <f t="shared" ca="1" si="148"/>
        <v>2063290468.1274204</v>
      </c>
      <c r="L3495" s="455">
        <f t="shared" ca="1" si="149"/>
        <v>497253002818.70831</v>
      </c>
      <c r="M3495" s="471">
        <f t="shared" si="151"/>
        <v>0.05</v>
      </c>
      <c r="N3495" s="475">
        <f t="shared" si="152"/>
        <v>157421</v>
      </c>
    </row>
    <row r="3496" spans="7:14" ht="11.25" customHeight="1" x14ac:dyDescent="0.3">
      <c r="G3496" s="470"/>
      <c r="H3496" s="470">
        <v>3489</v>
      </c>
      <c r="I3496" s="455">
        <f t="shared" ca="1" si="150"/>
        <v>497253002818.70831</v>
      </c>
      <c r="J3496" s="455">
        <f t="array" ref="J3496">IFERROR(INDEX('Retirement Calculator'!K:K,MATCH('Lorri 401b'!N3496,'Retirement Calculator'!A:A,0),0),0)</f>
        <v>0</v>
      </c>
      <c r="K3496" s="455">
        <f t="shared" ca="1" si="148"/>
        <v>2071887511.7446179</v>
      </c>
      <c r="L3496" s="455">
        <f t="shared" ca="1" si="149"/>
        <v>499324890330.45294</v>
      </c>
      <c r="M3496" s="471">
        <f t="shared" si="151"/>
        <v>0.05</v>
      </c>
      <c r="N3496" s="475">
        <f t="shared" si="152"/>
        <v>157452</v>
      </c>
    </row>
    <row r="3497" spans="7:14" ht="11.25" customHeight="1" x14ac:dyDescent="0.3">
      <c r="G3497" s="470"/>
      <c r="H3497" s="470">
        <v>3490</v>
      </c>
      <c r="I3497" s="455">
        <f t="shared" ca="1" si="150"/>
        <v>499324890330.45294</v>
      </c>
      <c r="J3497" s="455">
        <f t="array" ref="J3497">IFERROR(INDEX('Retirement Calculator'!K:K,MATCH('Lorri 401b'!N3497,'Retirement Calculator'!A:A,0),0),0)</f>
        <v>0</v>
      </c>
      <c r="K3497" s="455">
        <f t="shared" ca="1" si="148"/>
        <v>2080520376.3768873</v>
      </c>
      <c r="L3497" s="455">
        <f t="shared" ca="1" si="149"/>
        <v>501405410706.82983</v>
      </c>
      <c r="M3497" s="471">
        <f t="shared" si="151"/>
        <v>0.05</v>
      </c>
      <c r="N3497" s="475">
        <f t="shared" si="152"/>
        <v>157480</v>
      </c>
    </row>
    <row r="3498" spans="7:14" ht="11.25" customHeight="1" x14ac:dyDescent="0.3">
      <c r="G3498" s="470"/>
      <c r="H3498" s="470">
        <v>3491</v>
      </c>
      <c r="I3498" s="455">
        <f t="shared" ca="1" si="150"/>
        <v>501405410706.82983</v>
      </c>
      <c r="J3498" s="455">
        <f t="array" ref="J3498">IFERROR(INDEX('Retirement Calculator'!K:K,MATCH('Lorri 401b'!N3498,'Retirement Calculator'!A:A,0),0),0)</f>
        <v>0</v>
      </c>
      <c r="K3498" s="455">
        <f t="shared" ca="1" si="148"/>
        <v>2089189211.2784579</v>
      </c>
      <c r="L3498" s="455">
        <f t="shared" ca="1" si="149"/>
        <v>503494599918.10828</v>
      </c>
      <c r="M3498" s="471">
        <f t="shared" si="151"/>
        <v>0.05</v>
      </c>
      <c r="N3498" s="475">
        <f t="shared" si="152"/>
        <v>157511</v>
      </c>
    </row>
    <row r="3499" spans="7:14" ht="11.25" customHeight="1" x14ac:dyDescent="0.3">
      <c r="G3499" s="470"/>
      <c r="H3499" s="470">
        <v>3492</v>
      </c>
      <c r="I3499" s="455">
        <f t="shared" ca="1" si="150"/>
        <v>503494599918.10828</v>
      </c>
      <c r="J3499" s="455">
        <f t="array" ref="J3499">IFERROR(INDEX('Retirement Calculator'!K:K,MATCH('Lorri 401b'!N3499,'Retirement Calculator'!A:A,0),0),0)</f>
        <v>0</v>
      </c>
      <c r="K3499" s="455">
        <f t="shared" ca="1" si="148"/>
        <v>2097894166.3254511</v>
      </c>
      <c r="L3499" s="455">
        <f t="shared" ca="1" si="149"/>
        <v>505592494084.43372</v>
      </c>
      <c r="M3499" s="471">
        <f t="shared" si="151"/>
        <v>0.05</v>
      </c>
      <c r="N3499" s="475">
        <f t="shared" si="152"/>
        <v>157541</v>
      </c>
    </row>
    <row r="3500" spans="7:14" ht="11.25" customHeight="1" x14ac:dyDescent="0.3">
      <c r="G3500" s="470"/>
      <c r="H3500" s="470">
        <v>3493</v>
      </c>
      <c r="I3500" s="455">
        <f t="shared" ca="1" si="150"/>
        <v>505592494084.43372</v>
      </c>
      <c r="J3500" s="455">
        <f t="array" ref="J3500">IFERROR(INDEX('Retirement Calculator'!K:K,MATCH('Lorri 401b'!N3500,'Retirement Calculator'!A:A,0),0),0)</f>
        <v>0</v>
      </c>
      <c r="K3500" s="455">
        <f t="shared" ca="1" si="148"/>
        <v>2106635392.0184736</v>
      </c>
      <c r="L3500" s="455">
        <f t="shared" ca="1" si="149"/>
        <v>507699129476.45221</v>
      </c>
      <c r="M3500" s="471">
        <f t="shared" si="151"/>
        <v>0.05</v>
      </c>
      <c r="N3500" s="475">
        <f t="shared" si="152"/>
        <v>157572</v>
      </c>
    </row>
    <row r="3501" spans="7:14" ht="11.25" customHeight="1" x14ac:dyDescent="0.3">
      <c r="G3501" s="470"/>
      <c r="H3501" s="470">
        <v>3494</v>
      </c>
      <c r="I3501" s="455">
        <f t="shared" ca="1" si="150"/>
        <v>507699129476.45221</v>
      </c>
      <c r="J3501" s="455">
        <f t="array" ref="J3501">IFERROR(INDEX('Retirement Calculator'!K:K,MATCH('Lorri 401b'!N3501,'Retirement Calculator'!A:A,0),0),0)</f>
        <v>0</v>
      </c>
      <c r="K3501" s="455">
        <f t="shared" ca="1" si="148"/>
        <v>2115413039.4852178</v>
      </c>
      <c r="L3501" s="455">
        <f t="shared" ca="1" si="149"/>
        <v>509814542515.93744</v>
      </c>
      <c r="M3501" s="471">
        <f t="shared" si="151"/>
        <v>0.05</v>
      </c>
      <c r="N3501" s="475">
        <f t="shared" si="152"/>
        <v>157602</v>
      </c>
    </row>
    <row r="3502" spans="7:14" ht="11.25" customHeight="1" x14ac:dyDescent="0.3">
      <c r="G3502" s="470"/>
      <c r="H3502" s="470">
        <v>3495</v>
      </c>
      <c r="I3502" s="455">
        <f t="shared" ca="1" si="150"/>
        <v>509814542515.93744</v>
      </c>
      <c r="J3502" s="455">
        <f t="array" ref="J3502">IFERROR(INDEX('Retirement Calculator'!K:K,MATCH('Lorri 401b'!N3502,'Retirement Calculator'!A:A,0),0),0)</f>
        <v>0</v>
      </c>
      <c r="K3502" s="455">
        <f t="shared" ca="1" si="148"/>
        <v>2124227260.4830725</v>
      </c>
      <c r="L3502" s="455">
        <f t="shared" ca="1" si="149"/>
        <v>511938769776.42053</v>
      </c>
      <c r="M3502" s="471">
        <f t="shared" si="151"/>
        <v>0.05</v>
      </c>
      <c r="N3502" s="475">
        <f t="shared" si="152"/>
        <v>157633</v>
      </c>
    </row>
    <row r="3503" spans="7:14" ht="11.25" customHeight="1" x14ac:dyDescent="0.3">
      <c r="G3503" s="470"/>
      <c r="H3503" s="470">
        <v>3496</v>
      </c>
      <c r="I3503" s="455">
        <f t="shared" ca="1" si="150"/>
        <v>511938769776.42053</v>
      </c>
      <c r="J3503" s="455">
        <f t="array" ref="J3503">IFERROR(INDEX('Retirement Calculator'!K:K,MATCH('Lorri 401b'!N3503,'Retirement Calculator'!A:A,0),0),0)</f>
        <v>0</v>
      </c>
      <c r="K3503" s="455">
        <f t="shared" ca="1" si="148"/>
        <v>2133078207.4017525</v>
      </c>
      <c r="L3503" s="455">
        <f t="shared" ca="1" si="149"/>
        <v>514071847983.82227</v>
      </c>
      <c r="M3503" s="471">
        <f t="shared" si="151"/>
        <v>0.05</v>
      </c>
      <c r="N3503" s="475">
        <f t="shared" si="152"/>
        <v>157664</v>
      </c>
    </row>
    <row r="3504" spans="7:14" ht="11.25" customHeight="1" x14ac:dyDescent="0.3">
      <c r="G3504" s="470"/>
      <c r="H3504" s="470">
        <v>3497</v>
      </c>
      <c r="I3504" s="455">
        <f t="shared" ca="1" si="150"/>
        <v>514071847983.82227</v>
      </c>
      <c r="J3504" s="455">
        <f t="array" ref="J3504">IFERROR(INDEX('Retirement Calculator'!K:K,MATCH('Lorri 401b'!N3504,'Retirement Calculator'!A:A,0),0),0)</f>
        <v>0</v>
      </c>
      <c r="K3504" s="455">
        <f t="shared" ca="1" si="148"/>
        <v>2141966033.2659259</v>
      </c>
      <c r="L3504" s="455">
        <f t="shared" ca="1" si="149"/>
        <v>516213814017.0882</v>
      </c>
      <c r="M3504" s="471">
        <f t="shared" si="151"/>
        <v>0.05</v>
      </c>
      <c r="N3504" s="475">
        <f t="shared" si="152"/>
        <v>157694</v>
      </c>
    </row>
    <row r="3505" spans="7:14" ht="11.25" customHeight="1" x14ac:dyDescent="0.3">
      <c r="G3505" s="470"/>
      <c r="H3505" s="470">
        <v>3498</v>
      </c>
      <c r="I3505" s="455">
        <f t="shared" ca="1" si="150"/>
        <v>516213814017.0882</v>
      </c>
      <c r="J3505" s="455">
        <f t="array" ref="J3505">IFERROR(INDEX('Retirement Calculator'!K:K,MATCH('Lorri 401b'!N3505,'Retirement Calculator'!A:A,0),0),0)</f>
        <v>0</v>
      </c>
      <c r="K3505" s="455">
        <f t="shared" ca="1" si="148"/>
        <v>2150890891.7378678</v>
      </c>
      <c r="L3505" s="455">
        <f t="shared" ca="1" si="149"/>
        <v>518364704908.82605</v>
      </c>
      <c r="M3505" s="471">
        <f t="shared" si="151"/>
        <v>0.05</v>
      </c>
      <c r="N3505" s="475">
        <f t="shared" si="152"/>
        <v>157725</v>
      </c>
    </row>
    <row r="3506" spans="7:14" ht="11.25" customHeight="1" x14ac:dyDescent="0.3">
      <c r="G3506" s="470"/>
      <c r="H3506" s="470">
        <v>3499</v>
      </c>
      <c r="I3506" s="455">
        <f t="shared" ca="1" si="150"/>
        <v>518364704908.82605</v>
      </c>
      <c r="J3506" s="455">
        <f t="array" ref="J3506">IFERROR(INDEX('Retirement Calculator'!K:K,MATCH('Lorri 401b'!N3506,'Retirement Calculator'!A:A,0),0),0)</f>
        <v>0</v>
      </c>
      <c r="K3506" s="455">
        <f t="shared" ca="1" si="148"/>
        <v>2159852937.1201086</v>
      </c>
      <c r="L3506" s="455">
        <f t="shared" ca="1" si="149"/>
        <v>520524557845.94617</v>
      </c>
      <c r="M3506" s="471">
        <f t="shared" si="151"/>
        <v>0.05</v>
      </c>
      <c r="N3506" s="475">
        <f t="shared" si="152"/>
        <v>157755</v>
      </c>
    </row>
    <row r="3507" spans="7:14" ht="11.25" customHeight="1" x14ac:dyDescent="0.3">
      <c r="G3507" s="470"/>
      <c r="H3507" s="470">
        <v>3500</v>
      </c>
      <c r="I3507" s="455">
        <f t="shared" ca="1" si="150"/>
        <v>520524557845.94617</v>
      </c>
      <c r="J3507" s="455">
        <f t="array" ref="J3507">IFERROR(INDEX('Retirement Calculator'!K:K,MATCH('Lorri 401b'!N3507,'Retirement Calculator'!A:A,0),0),0)</f>
        <v>0</v>
      </c>
      <c r="K3507" s="455">
        <f t="shared" ca="1" si="148"/>
        <v>2168852324.3581095</v>
      </c>
      <c r="L3507" s="455">
        <f t="shared" ca="1" si="149"/>
        <v>522693410170.30426</v>
      </c>
      <c r="M3507" s="471">
        <f t="shared" si="151"/>
        <v>0.05</v>
      </c>
      <c r="N3507" s="475">
        <f t="shared" si="152"/>
        <v>157786</v>
      </c>
    </row>
    <row r="3508" spans="7:14" ht="11.25" customHeight="1" x14ac:dyDescent="0.3">
      <c r="G3508" s="470"/>
      <c r="H3508" s="470">
        <v>3501</v>
      </c>
      <c r="I3508" s="455">
        <f t="shared" ca="1" si="150"/>
        <v>522693410170.30426</v>
      </c>
      <c r="J3508" s="455">
        <f t="array" ref="J3508">IFERROR(INDEX('Retirement Calculator'!K:K,MATCH('Lorri 401b'!N3508,'Retirement Calculator'!A:A,0),0),0)</f>
        <v>0</v>
      </c>
      <c r="K3508" s="455">
        <f t="shared" ca="1" si="148"/>
        <v>2177889209.0429344</v>
      </c>
      <c r="L3508" s="455">
        <f t="shared" ca="1" si="149"/>
        <v>524871299379.34717</v>
      </c>
      <c r="M3508" s="471">
        <f t="shared" si="151"/>
        <v>0.05</v>
      </c>
      <c r="N3508" s="475">
        <f t="shared" si="152"/>
        <v>157817</v>
      </c>
    </row>
    <row r="3509" spans="7:14" ht="11.25" customHeight="1" x14ac:dyDescent="0.3">
      <c r="G3509" s="470"/>
      <c r="H3509" s="470">
        <v>3502</v>
      </c>
      <c r="I3509" s="455">
        <f t="shared" ca="1" si="150"/>
        <v>524871299379.34717</v>
      </c>
      <c r="J3509" s="455">
        <f t="array" ref="J3509">IFERROR(INDEX('Retirement Calculator'!K:K,MATCH('Lorri 401b'!N3509,'Retirement Calculator'!A:A,0),0),0)</f>
        <v>0</v>
      </c>
      <c r="K3509" s="455">
        <f t="shared" ca="1" si="148"/>
        <v>2186963747.4139466</v>
      </c>
      <c r="L3509" s="455">
        <f t="shared" ca="1" si="149"/>
        <v>527058263126.76111</v>
      </c>
      <c r="M3509" s="471">
        <f t="shared" si="151"/>
        <v>0.05</v>
      </c>
      <c r="N3509" s="475">
        <f t="shared" si="152"/>
        <v>157846</v>
      </c>
    </row>
    <row r="3510" spans="7:14" ht="11.25" customHeight="1" x14ac:dyDescent="0.3">
      <c r="G3510" s="470"/>
      <c r="H3510" s="470">
        <v>3503</v>
      </c>
      <c r="I3510" s="455">
        <f t="shared" ca="1" si="150"/>
        <v>527058263126.76111</v>
      </c>
      <c r="J3510" s="455">
        <f t="array" ref="J3510">IFERROR(INDEX('Retirement Calculator'!K:K,MATCH('Lorri 401b'!N3510,'Retirement Calculator'!A:A,0),0),0)</f>
        <v>0</v>
      </c>
      <c r="K3510" s="455">
        <f t="shared" ca="1" si="148"/>
        <v>2196076096.3615046</v>
      </c>
      <c r="L3510" s="455">
        <f t="shared" ca="1" si="149"/>
        <v>529254339223.12262</v>
      </c>
      <c r="M3510" s="471">
        <f t="shared" si="151"/>
        <v>0.05</v>
      </c>
      <c r="N3510" s="475">
        <f t="shared" si="152"/>
        <v>157877</v>
      </c>
    </row>
    <row r="3511" spans="7:14" ht="11.25" customHeight="1" x14ac:dyDescent="0.3">
      <c r="G3511" s="470"/>
      <c r="H3511" s="470">
        <v>3504</v>
      </c>
      <c r="I3511" s="455">
        <f t="shared" ca="1" si="150"/>
        <v>529254339223.12262</v>
      </c>
      <c r="J3511" s="455">
        <f t="array" ref="J3511">IFERROR(INDEX('Retirement Calculator'!K:K,MATCH('Lorri 401b'!N3511,'Retirement Calculator'!A:A,0),0),0)</f>
        <v>0</v>
      </c>
      <c r="K3511" s="455">
        <f t="shared" ca="1" si="148"/>
        <v>2205226413.429678</v>
      </c>
      <c r="L3511" s="455">
        <f t="shared" ca="1" si="149"/>
        <v>531459565636.55231</v>
      </c>
      <c r="M3511" s="471">
        <f t="shared" si="151"/>
        <v>0.05</v>
      </c>
      <c r="N3511" s="475">
        <f t="shared" si="152"/>
        <v>157907</v>
      </c>
    </row>
    <row r="3512" spans="7:14" ht="11.25" customHeight="1" x14ac:dyDescent="0.3">
      <c r="G3512" s="470"/>
      <c r="H3512" s="470">
        <v>3505</v>
      </c>
      <c r="I3512" s="455">
        <f t="shared" ca="1" si="150"/>
        <v>531459565636.55231</v>
      </c>
      <c r="J3512" s="455">
        <f t="array" ref="J3512">IFERROR(INDEX('Retirement Calculator'!K:K,MATCH('Lorri 401b'!N3512,'Retirement Calculator'!A:A,0),0),0)</f>
        <v>0</v>
      </c>
      <c r="K3512" s="455">
        <f t="shared" ca="1" si="148"/>
        <v>2214414856.8189678</v>
      </c>
      <c r="L3512" s="455">
        <f t="shared" ca="1" si="149"/>
        <v>533673980493.37128</v>
      </c>
      <c r="M3512" s="471">
        <f t="shared" si="151"/>
        <v>0.05</v>
      </c>
      <c r="N3512" s="475">
        <f t="shared" si="152"/>
        <v>157938</v>
      </c>
    </row>
    <row r="3513" spans="7:14" ht="11.25" customHeight="1" x14ac:dyDescent="0.3">
      <c r="G3513" s="470"/>
      <c r="H3513" s="470">
        <v>3506</v>
      </c>
      <c r="I3513" s="455">
        <f t="shared" ca="1" si="150"/>
        <v>533673980493.37128</v>
      </c>
      <c r="J3513" s="455">
        <f t="array" ref="J3513">IFERROR(INDEX('Retirement Calculator'!K:K,MATCH('Lorri 401b'!N3513,'Retirement Calculator'!A:A,0),0),0)</f>
        <v>0</v>
      </c>
      <c r="K3513" s="455">
        <f t="shared" ca="1" si="148"/>
        <v>2223641585.3890471</v>
      </c>
      <c r="L3513" s="455">
        <f t="shared" ca="1" si="149"/>
        <v>535897622078.76031</v>
      </c>
      <c r="M3513" s="471">
        <f t="shared" si="151"/>
        <v>0.05</v>
      </c>
      <c r="N3513" s="475">
        <f t="shared" si="152"/>
        <v>157968</v>
      </c>
    </row>
    <row r="3514" spans="7:14" ht="11.25" customHeight="1" x14ac:dyDescent="0.3">
      <c r="G3514" s="470"/>
      <c r="H3514" s="470">
        <v>3507</v>
      </c>
      <c r="I3514" s="455">
        <f t="shared" ca="1" si="150"/>
        <v>535897622078.76031</v>
      </c>
      <c r="J3514" s="455">
        <f t="array" ref="J3514">IFERROR(INDEX('Retirement Calculator'!K:K,MATCH('Lorri 401b'!N3514,'Retirement Calculator'!A:A,0),0),0)</f>
        <v>0</v>
      </c>
      <c r="K3514" s="455">
        <f t="shared" ca="1" si="148"/>
        <v>2232906758.6615014</v>
      </c>
      <c r="L3514" s="455">
        <f t="shared" ca="1" si="149"/>
        <v>538130528837.42181</v>
      </c>
      <c r="M3514" s="471">
        <f t="shared" si="151"/>
        <v>0.05</v>
      </c>
      <c r="N3514" s="475">
        <f t="shared" si="152"/>
        <v>157999</v>
      </c>
    </row>
    <row r="3515" spans="7:14" ht="11.25" customHeight="1" x14ac:dyDescent="0.3">
      <c r="G3515" s="470"/>
      <c r="H3515" s="470">
        <v>3508</v>
      </c>
      <c r="I3515" s="455">
        <f t="shared" ca="1" si="150"/>
        <v>538130528837.42181</v>
      </c>
      <c r="J3515" s="455">
        <f t="array" ref="J3515">IFERROR(INDEX('Retirement Calculator'!K:K,MATCH('Lorri 401b'!N3515,'Retirement Calculator'!A:A,0),0),0)</f>
        <v>0</v>
      </c>
      <c r="K3515" s="455">
        <f t="shared" ca="1" si="148"/>
        <v>2242210536.8225908</v>
      </c>
      <c r="L3515" s="455">
        <f t="shared" ca="1" si="149"/>
        <v>540372739374.24438</v>
      </c>
      <c r="M3515" s="471">
        <f t="shared" si="151"/>
        <v>0.05</v>
      </c>
      <c r="N3515" s="475">
        <f t="shared" si="152"/>
        <v>158030</v>
      </c>
    </row>
    <row r="3516" spans="7:14" ht="11.25" customHeight="1" x14ac:dyDescent="0.3">
      <c r="G3516" s="470"/>
      <c r="H3516" s="470">
        <v>3509</v>
      </c>
      <c r="I3516" s="455">
        <f t="shared" ca="1" si="150"/>
        <v>540372739374.24438</v>
      </c>
      <c r="J3516" s="455">
        <f t="array" ref="J3516">IFERROR(INDEX('Retirement Calculator'!K:K,MATCH('Lorri 401b'!N3516,'Retirement Calculator'!A:A,0),0),0)</f>
        <v>0</v>
      </c>
      <c r="K3516" s="455">
        <f t="shared" ca="1" si="148"/>
        <v>2251553080.7260184</v>
      </c>
      <c r="L3516" s="455">
        <f t="shared" ca="1" si="149"/>
        <v>542624292454.9704</v>
      </c>
      <c r="M3516" s="471">
        <f t="shared" si="151"/>
        <v>0.05</v>
      </c>
      <c r="N3516" s="475">
        <f t="shared" si="152"/>
        <v>158060</v>
      </c>
    </row>
    <row r="3517" spans="7:14" ht="11.25" customHeight="1" x14ac:dyDescent="0.3">
      <c r="G3517" s="470"/>
      <c r="H3517" s="470">
        <v>3510</v>
      </c>
      <c r="I3517" s="455">
        <f t="shared" ca="1" si="150"/>
        <v>542624292454.9704</v>
      </c>
      <c r="J3517" s="455">
        <f t="array" ref="J3517">IFERROR(INDEX('Retirement Calculator'!K:K,MATCH('Lorri 401b'!N3517,'Retirement Calculator'!A:A,0),0),0)</f>
        <v>0</v>
      </c>
      <c r="K3517" s="455">
        <f t="shared" ca="1" si="148"/>
        <v>2260934551.89571</v>
      </c>
      <c r="L3517" s="455">
        <f t="shared" ca="1" si="149"/>
        <v>544885227006.86609</v>
      </c>
      <c r="M3517" s="471">
        <f t="shared" si="151"/>
        <v>0.05</v>
      </c>
      <c r="N3517" s="475">
        <f t="shared" si="152"/>
        <v>158091</v>
      </c>
    </row>
    <row r="3518" spans="7:14" ht="11.25" customHeight="1" x14ac:dyDescent="0.3">
      <c r="G3518" s="470"/>
      <c r="H3518" s="470">
        <v>3511</v>
      </c>
      <c r="I3518" s="455">
        <f t="shared" ca="1" si="150"/>
        <v>544885227006.86609</v>
      </c>
      <c r="J3518" s="455">
        <f t="array" ref="J3518">IFERROR(INDEX('Retirement Calculator'!K:K,MATCH('Lorri 401b'!N3518,'Retirement Calculator'!A:A,0),0),0)</f>
        <v>0</v>
      </c>
      <c r="K3518" s="455">
        <f t="shared" ca="1" si="148"/>
        <v>2270355112.5286088</v>
      </c>
      <c r="L3518" s="455">
        <f t="shared" ca="1" si="149"/>
        <v>547155582119.39471</v>
      </c>
      <c r="M3518" s="471">
        <f t="shared" si="151"/>
        <v>0.05</v>
      </c>
      <c r="N3518" s="475">
        <f t="shared" si="152"/>
        <v>158121</v>
      </c>
    </row>
    <row r="3519" spans="7:14" ht="11.25" customHeight="1" x14ac:dyDescent="0.3">
      <c r="G3519" s="470"/>
      <c r="H3519" s="470">
        <v>3512</v>
      </c>
      <c r="I3519" s="455">
        <f t="shared" ca="1" si="150"/>
        <v>547155582119.39471</v>
      </c>
      <c r="J3519" s="455">
        <f t="array" ref="J3519">IFERROR(INDEX('Retirement Calculator'!K:K,MATCH('Lorri 401b'!N3519,'Retirement Calculator'!A:A,0),0),0)</f>
        <v>0</v>
      </c>
      <c r="K3519" s="455">
        <f t="shared" ca="1" si="148"/>
        <v>2279814925.497478</v>
      </c>
      <c r="L3519" s="455">
        <f t="shared" ca="1" si="149"/>
        <v>549435397044.89221</v>
      </c>
      <c r="M3519" s="471">
        <f t="shared" si="151"/>
        <v>0.05</v>
      </c>
      <c r="N3519" s="475">
        <f t="shared" si="152"/>
        <v>158152</v>
      </c>
    </row>
    <row r="3520" spans="7:14" ht="11.25" customHeight="1" x14ac:dyDescent="0.3">
      <c r="G3520" s="470"/>
      <c r="H3520" s="470">
        <v>3513</v>
      </c>
      <c r="I3520" s="455">
        <f t="shared" ca="1" si="150"/>
        <v>549435397044.89221</v>
      </c>
      <c r="J3520" s="455">
        <f t="array" ref="J3520">IFERROR(INDEX('Retirement Calculator'!K:K,MATCH('Lorri 401b'!N3520,'Retirement Calculator'!A:A,0),0),0)</f>
        <v>0</v>
      </c>
      <c r="K3520" s="455">
        <f t="shared" ca="1" si="148"/>
        <v>2289314154.3537173</v>
      </c>
      <c r="L3520" s="455">
        <f t="shared" ca="1" si="149"/>
        <v>551724711199.24597</v>
      </c>
      <c r="M3520" s="471">
        <f t="shared" si="151"/>
        <v>0.05</v>
      </c>
      <c r="N3520" s="475">
        <f t="shared" si="152"/>
        <v>158183</v>
      </c>
    </row>
    <row r="3521" spans="7:14" ht="11.25" customHeight="1" x14ac:dyDescent="0.3">
      <c r="G3521" s="470"/>
      <c r="H3521" s="470">
        <v>3514</v>
      </c>
      <c r="I3521" s="455">
        <f t="shared" ca="1" si="150"/>
        <v>551724711199.24597</v>
      </c>
      <c r="J3521" s="455">
        <f t="array" ref="J3521">IFERROR(INDEX('Retirement Calculator'!K:K,MATCH('Lorri 401b'!N3521,'Retirement Calculator'!A:A,0),0),0)</f>
        <v>0</v>
      </c>
      <c r="K3521" s="455">
        <f t="shared" ca="1" si="148"/>
        <v>2298852963.3301916</v>
      </c>
      <c r="L3521" s="455">
        <f t="shared" ca="1" si="149"/>
        <v>554023564162.57617</v>
      </c>
      <c r="M3521" s="471">
        <f t="shared" si="151"/>
        <v>0.05</v>
      </c>
      <c r="N3521" s="475">
        <f t="shared" si="152"/>
        <v>158211</v>
      </c>
    </row>
    <row r="3522" spans="7:14" ht="11.25" customHeight="1" x14ac:dyDescent="0.3">
      <c r="G3522" s="470"/>
      <c r="H3522" s="470">
        <v>3515</v>
      </c>
      <c r="I3522" s="455">
        <f t="shared" ca="1" si="150"/>
        <v>554023564162.57617</v>
      </c>
      <c r="J3522" s="455">
        <f t="array" ref="J3522">IFERROR(INDEX('Retirement Calculator'!K:K,MATCH('Lorri 401b'!N3522,'Retirement Calculator'!A:A,0),0),0)</f>
        <v>0</v>
      </c>
      <c r="K3522" s="455">
        <f t="shared" ca="1" si="148"/>
        <v>2308431517.3440676</v>
      </c>
      <c r="L3522" s="455">
        <f t="shared" ca="1" si="149"/>
        <v>556331995679.92029</v>
      </c>
      <c r="M3522" s="471">
        <f t="shared" si="151"/>
        <v>0.05</v>
      </c>
      <c r="N3522" s="475">
        <f t="shared" si="152"/>
        <v>158242</v>
      </c>
    </row>
    <row r="3523" spans="7:14" ht="11.25" customHeight="1" x14ac:dyDescent="0.3">
      <c r="G3523" s="470"/>
      <c r="H3523" s="470">
        <v>3516</v>
      </c>
      <c r="I3523" s="455">
        <f t="shared" ca="1" si="150"/>
        <v>556331995679.92029</v>
      </c>
      <c r="J3523" s="455">
        <f t="array" ref="J3523">IFERROR(INDEX('Retirement Calculator'!K:K,MATCH('Lorri 401b'!N3523,'Retirement Calculator'!A:A,0),0),0)</f>
        <v>0</v>
      </c>
      <c r="K3523" s="455">
        <f t="shared" ca="1" si="148"/>
        <v>2318049981.9996676</v>
      </c>
      <c r="L3523" s="455">
        <f t="shared" ca="1" si="149"/>
        <v>558650045661.91992</v>
      </c>
      <c r="M3523" s="471">
        <f t="shared" si="151"/>
        <v>0.05</v>
      </c>
      <c r="N3523" s="475">
        <f t="shared" si="152"/>
        <v>158272</v>
      </c>
    </row>
    <row r="3524" spans="7:14" ht="11.25" customHeight="1" x14ac:dyDescent="0.3">
      <c r="G3524" s="470"/>
      <c r="H3524" s="470">
        <v>3517</v>
      </c>
      <c r="I3524" s="455">
        <f t="shared" ca="1" si="150"/>
        <v>558650045661.91992</v>
      </c>
      <c r="J3524" s="455">
        <f t="array" ref="J3524">IFERROR(INDEX('Retirement Calculator'!K:K,MATCH('Lorri 401b'!N3524,'Retirement Calculator'!A:A,0),0),0)</f>
        <v>0</v>
      </c>
      <c r="K3524" s="455">
        <f t="shared" ca="1" si="148"/>
        <v>2327708523.5913329</v>
      </c>
      <c r="L3524" s="455">
        <f t="shared" ca="1" si="149"/>
        <v>560977754185.51123</v>
      </c>
      <c r="M3524" s="471">
        <f t="shared" si="151"/>
        <v>0.05</v>
      </c>
      <c r="N3524" s="475">
        <f t="shared" si="152"/>
        <v>158303</v>
      </c>
    </row>
    <row r="3525" spans="7:14" ht="11.25" customHeight="1" x14ac:dyDescent="0.3">
      <c r="G3525" s="470"/>
      <c r="H3525" s="470">
        <v>3518</v>
      </c>
      <c r="I3525" s="455">
        <f t="shared" ca="1" si="150"/>
        <v>560977754185.51123</v>
      </c>
      <c r="J3525" s="455">
        <f t="array" ref="J3525">IFERROR(INDEX('Retirement Calculator'!K:K,MATCH('Lorri 401b'!N3525,'Retirement Calculator'!A:A,0),0),0)</f>
        <v>0</v>
      </c>
      <c r="K3525" s="455">
        <f t="shared" ca="1" si="148"/>
        <v>2337407309.1062965</v>
      </c>
      <c r="L3525" s="455">
        <f t="shared" ca="1" si="149"/>
        <v>563315161494.61755</v>
      </c>
      <c r="M3525" s="471">
        <f t="shared" si="151"/>
        <v>0.05</v>
      </c>
      <c r="N3525" s="475">
        <f t="shared" si="152"/>
        <v>158333</v>
      </c>
    </row>
    <row r="3526" spans="7:14" ht="11.25" customHeight="1" x14ac:dyDescent="0.3">
      <c r="G3526" s="470"/>
      <c r="H3526" s="470">
        <v>3519</v>
      </c>
      <c r="I3526" s="455">
        <f t="shared" ca="1" si="150"/>
        <v>563315161494.61755</v>
      </c>
      <c r="J3526" s="455">
        <f t="array" ref="J3526">IFERROR(INDEX('Retirement Calculator'!K:K,MATCH('Lorri 401b'!N3526,'Retirement Calculator'!A:A,0),0),0)</f>
        <v>0</v>
      </c>
      <c r="K3526" s="455">
        <f t="shared" ca="1" si="148"/>
        <v>2347146506.2275729</v>
      </c>
      <c r="L3526" s="455">
        <f t="shared" ca="1" si="149"/>
        <v>565662308000.84509</v>
      </c>
      <c r="M3526" s="471">
        <f t="shared" si="151"/>
        <v>0.05</v>
      </c>
      <c r="N3526" s="475">
        <f t="shared" si="152"/>
        <v>158364</v>
      </c>
    </row>
    <row r="3527" spans="7:14" ht="11.25" customHeight="1" x14ac:dyDescent="0.3">
      <c r="G3527" s="470"/>
      <c r="H3527" s="470">
        <v>3520</v>
      </c>
      <c r="I3527" s="455">
        <f t="shared" ca="1" si="150"/>
        <v>565662308000.84509</v>
      </c>
      <c r="J3527" s="455">
        <f t="array" ref="J3527">IFERROR(INDEX('Retirement Calculator'!K:K,MATCH('Lorri 401b'!N3527,'Retirement Calculator'!A:A,0),0),0)</f>
        <v>0</v>
      </c>
      <c r="K3527" s="455">
        <f t="shared" ca="1" si="148"/>
        <v>2356926283.3368545</v>
      </c>
      <c r="L3527" s="455">
        <f t="shared" ca="1" si="149"/>
        <v>568019234284.18201</v>
      </c>
      <c r="M3527" s="471">
        <f t="shared" si="151"/>
        <v>0.05</v>
      </c>
      <c r="N3527" s="475">
        <f t="shared" si="152"/>
        <v>158395</v>
      </c>
    </row>
    <row r="3528" spans="7:14" ht="11.25" customHeight="1" x14ac:dyDescent="0.3">
      <c r="G3528" s="470"/>
      <c r="H3528" s="470">
        <v>3521</v>
      </c>
      <c r="I3528" s="455">
        <f t="shared" ca="1" si="150"/>
        <v>568019234284.18201</v>
      </c>
      <c r="J3528" s="455">
        <f t="array" ref="J3528">IFERROR(INDEX('Retirement Calculator'!K:K,MATCH('Lorri 401b'!N3528,'Retirement Calculator'!A:A,0),0),0)</f>
        <v>0</v>
      </c>
      <c r="K3528" s="455">
        <f t="shared" ca="1" si="148"/>
        <v>2366746809.5174251</v>
      </c>
      <c r="L3528" s="455">
        <f t="shared" ca="1" si="149"/>
        <v>570385981093.69946</v>
      </c>
      <c r="M3528" s="471">
        <f t="shared" si="151"/>
        <v>0.05</v>
      </c>
      <c r="N3528" s="475">
        <f t="shared" si="152"/>
        <v>158425</v>
      </c>
    </row>
    <row r="3529" spans="7:14" ht="11.25" customHeight="1" x14ac:dyDescent="0.3">
      <c r="G3529" s="470"/>
      <c r="H3529" s="470">
        <v>3522</v>
      </c>
      <c r="I3529" s="455">
        <f t="shared" ca="1" si="150"/>
        <v>570385981093.69946</v>
      </c>
      <c r="J3529" s="455">
        <f t="array" ref="J3529">IFERROR(INDEX('Retirement Calculator'!K:K,MATCH('Lorri 401b'!N3529,'Retirement Calculator'!A:A,0),0),0)</f>
        <v>0</v>
      </c>
      <c r="K3529" s="455">
        <f t="shared" ca="1" si="148"/>
        <v>2376608254.5570812</v>
      </c>
      <c r="L3529" s="455">
        <f t="shared" ca="1" si="149"/>
        <v>572762589348.25659</v>
      </c>
      <c r="M3529" s="471">
        <f t="shared" si="151"/>
        <v>0.05</v>
      </c>
      <c r="N3529" s="475">
        <f t="shared" si="152"/>
        <v>158456</v>
      </c>
    </row>
    <row r="3530" spans="7:14" ht="11.25" customHeight="1" x14ac:dyDescent="0.3">
      <c r="G3530" s="470"/>
      <c r="H3530" s="470">
        <v>3523</v>
      </c>
      <c r="I3530" s="455">
        <f t="shared" ca="1" si="150"/>
        <v>572762589348.25659</v>
      </c>
      <c r="J3530" s="455">
        <f t="array" ref="J3530">IFERROR(INDEX('Retirement Calculator'!K:K,MATCH('Lorri 401b'!N3530,'Retirement Calculator'!A:A,0),0),0)</f>
        <v>0</v>
      </c>
      <c r="K3530" s="455">
        <f t="shared" ca="1" si="148"/>
        <v>2386510788.9510689</v>
      </c>
      <c r="L3530" s="455">
        <f t="shared" ca="1" si="149"/>
        <v>575149100137.20764</v>
      </c>
      <c r="M3530" s="471">
        <f t="shared" si="151"/>
        <v>0.05</v>
      </c>
      <c r="N3530" s="475">
        <f t="shared" si="152"/>
        <v>158486</v>
      </c>
    </row>
    <row r="3531" spans="7:14" ht="11.25" customHeight="1" x14ac:dyDescent="0.3">
      <c r="G3531" s="470"/>
      <c r="H3531" s="470">
        <v>3524</v>
      </c>
      <c r="I3531" s="455">
        <f t="shared" ca="1" si="150"/>
        <v>575149100137.20764</v>
      </c>
      <c r="J3531" s="455">
        <f t="array" ref="J3531">IFERROR(INDEX('Retirement Calculator'!K:K,MATCH('Lorri 401b'!N3531,'Retirement Calculator'!A:A,0),0),0)</f>
        <v>0</v>
      </c>
      <c r="K3531" s="455">
        <f t="shared" ca="1" si="148"/>
        <v>2396454583.9050317</v>
      </c>
      <c r="L3531" s="455">
        <f t="shared" ca="1" si="149"/>
        <v>577545554721.11267</v>
      </c>
      <c r="M3531" s="471">
        <f t="shared" si="151"/>
        <v>0.05</v>
      </c>
      <c r="N3531" s="475">
        <f t="shared" si="152"/>
        <v>158517</v>
      </c>
    </row>
    <row r="3532" spans="7:14" ht="11.25" customHeight="1" x14ac:dyDescent="0.3">
      <c r="G3532" s="470"/>
      <c r="H3532" s="470">
        <v>3525</v>
      </c>
      <c r="I3532" s="455">
        <f t="shared" ca="1" si="150"/>
        <v>577545554721.11267</v>
      </c>
      <c r="J3532" s="455">
        <f t="array" ref="J3532">IFERROR(INDEX('Retirement Calculator'!K:K,MATCH('Lorri 401b'!N3532,'Retirement Calculator'!A:A,0),0),0)</f>
        <v>0</v>
      </c>
      <c r="K3532" s="455">
        <f t="shared" ca="1" si="148"/>
        <v>2406439811.3379693</v>
      </c>
      <c r="L3532" s="455">
        <f t="shared" ca="1" si="149"/>
        <v>579951994532.45068</v>
      </c>
      <c r="M3532" s="471">
        <f t="shared" si="151"/>
        <v>0.05</v>
      </c>
      <c r="N3532" s="475">
        <f t="shared" si="152"/>
        <v>158548</v>
      </c>
    </row>
    <row r="3533" spans="7:14" ht="11.25" customHeight="1" x14ac:dyDescent="0.3">
      <c r="G3533" s="470"/>
      <c r="H3533" s="470">
        <v>3526</v>
      </c>
      <c r="I3533" s="455">
        <f t="shared" ca="1" si="150"/>
        <v>579951994532.45068</v>
      </c>
      <c r="J3533" s="455">
        <f t="array" ref="J3533">IFERROR(INDEX('Retirement Calculator'!K:K,MATCH('Lorri 401b'!N3533,'Retirement Calculator'!A:A,0),0),0)</f>
        <v>0</v>
      </c>
      <c r="K3533" s="455">
        <f t="shared" ca="1" si="148"/>
        <v>2416466643.885211</v>
      </c>
      <c r="L3533" s="455">
        <f t="shared" ca="1" si="149"/>
        <v>582368461176.33594</v>
      </c>
      <c r="M3533" s="471">
        <f t="shared" si="151"/>
        <v>0.05</v>
      </c>
      <c r="N3533" s="475">
        <f t="shared" si="152"/>
        <v>158576</v>
      </c>
    </row>
    <row r="3534" spans="7:14" ht="11.25" customHeight="1" x14ac:dyDescent="0.3">
      <c r="G3534" s="470"/>
      <c r="H3534" s="470">
        <v>3527</v>
      </c>
      <c r="I3534" s="455">
        <f t="shared" ca="1" si="150"/>
        <v>582368461176.33594</v>
      </c>
      <c r="J3534" s="455">
        <f t="array" ref="J3534">IFERROR(INDEX('Retirement Calculator'!K:K,MATCH('Lorri 401b'!N3534,'Retirement Calculator'!A:A,0),0),0)</f>
        <v>0</v>
      </c>
      <c r="K3534" s="455">
        <f t="shared" ca="1" si="148"/>
        <v>2426535254.9013996</v>
      </c>
      <c r="L3534" s="455">
        <f t="shared" ca="1" si="149"/>
        <v>584794996431.2373</v>
      </c>
      <c r="M3534" s="471">
        <f t="shared" si="151"/>
        <v>0.05</v>
      </c>
      <c r="N3534" s="475">
        <f t="shared" si="152"/>
        <v>158607</v>
      </c>
    </row>
    <row r="3535" spans="7:14" ht="11.25" customHeight="1" x14ac:dyDescent="0.3">
      <c r="G3535" s="470"/>
      <c r="H3535" s="470">
        <v>3528</v>
      </c>
      <c r="I3535" s="455">
        <f t="shared" ca="1" si="150"/>
        <v>584794996431.2373</v>
      </c>
      <c r="J3535" s="455">
        <f t="array" ref="J3535">IFERROR(INDEX('Retirement Calculator'!K:K,MATCH('Lorri 401b'!N3535,'Retirement Calculator'!A:A,0),0),0)</f>
        <v>0</v>
      </c>
      <c r="K3535" s="455">
        <f t="shared" ca="1" si="148"/>
        <v>2436645818.4634886</v>
      </c>
      <c r="L3535" s="455">
        <f t="shared" ca="1" si="149"/>
        <v>587231642249.70081</v>
      </c>
      <c r="M3535" s="471">
        <f t="shared" si="151"/>
        <v>0.05</v>
      </c>
      <c r="N3535" s="475">
        <f t="shared" si="152"/>
        <v>158637</v>
      </c>
    </row>
    <row r="3536" spans="7:14" ht="11.25" customHeight="1" x14ac:dyDescent="0.3">
      <c r="G3536" s="470"/>
      <c r="H3536" s="470">
        <v>3529</v>
      </c>
      <c r="I3536" s="455">
        <f t="shared" ca="1" si="150"/>
        <v>587231642249.70081</v>
      </c>
      <c r="J3536" s="455">
        <f t="array" ref="J3536">IFERROR(INDEX('Retirement Calculator'!K:K,MATCH('Lorri 401b'!N3536,'Retirement Calculator'!A:A,0),0),0)</f>
        <v>0</v>
      </c>
      <c r="K3536" s="455">
        <f t="shared" ca="1" si="148"/>
        <v>2446798509.3737535</v>
      </c>
      <c r="L3536" s="455">
        <f t="shared" ca="1" si="149"/>
        <v>589678440759.07458</v>
      </c>
      <c r="M3536" s="471">
        <f t="shared" si="151"/>
        <v>0.05</v>
      </c>
      <c r="N3536" s="475">
        <f t="shared" si="152"/>
        <v>158668</v>
      </c>
    </row>
    <row r="3537" spans="7:14" ht="11.25" customHeight="1" x14ac:dyDescent="0.3">
      <c r="G3537" s="470"/>
      <c r="H3537" s="470">
        <v>3530</v>
      </c>
      <c r="I3537" s="455">
        <f t="shared" ca="1" si="150"/>
        <v>589678440759.07458</v>
      </c>
      <c r="J3537" s="455">
        <f t="array" ref="J3537">IFERROR(INDEX('Retirement Calculator'!K:K,MATCH('Lorri 401b'!N3537,'Retirement Calculator'!A:A,0),0),0)</f>
        <v>0</v>
      </c>
      <c r="K3537" s="455">
        <f t="shared" ca="1" si="148"/>
        <v>2456993503.1628108</v>
      </c>
      <c r="L3537" s="455">
        <f t="shared" ca="1" si="149"/>
        <v>592135434262.23743</v>
      </c>
      <c r="M3537" s="471">
        <f t="shared" si="151"/>
        <v>0.05</v>
      </c>
      <c r="N3537" s="475">
        <f t="shared" si="152"/>
        <v>158698</v>
      </c>
    </row>
    <row r="3538" spans="7:14" ht="11.25" customHeight="1" x14ac:dyDescent="0.3">
      <c r="G3538" s="470"/>
      <c r="H3538" s="470">
        <v>3531</v>
      </c>
      <c r="I3538" s="455">
        <f t="shared" ca="1" si="150"/>
        <v>592135434262.23743</v>
      </c>
      <c r="J3538" s="455">
        <f t="array" ref="J3538">IFERROR(INDEX('Retirement Calculator'!K:K,MATCH('Lorri 401b'!N3538,'Retirement Calculator'!A:A,0),0),0)</f>
        <v>0</v>
      </c>
      <c r="K3538" s="455">
        <f t="shared" ca="1" si="148"/>
        <v>2467230976.0926561</v>
      </c>
      <c r="L3538" s="455">
        <f t="shared" ca="1" si="149"/>
        <v>594602665238.33008</v>
      </c>
      <c r="M3538" s="471">
        <f t="shared" si="151"/>
        <v>0.05</v>
      </c>
      <c r="N3538" s="475">
        <f t="shared" si="152"/>
        <v>158729</v>
      </c>
    </row>
    <row r="3539" spans="7:14" ht="11.25" customHeight="1" x14ac:dyDescent="0.3">
      <c r="G3539" s="470"/>
      <c r="H3539" s="470">
        <v>3532</v>
      </c>
      <c r="I3539" s="455">
        <f t="shared" ca="1" si="150"/>
        <v>594602665238.33008</v>
      </c>
      <c r="J3539" s="455">
        <f t="array" ref="J3539">IFERROR(INDEX('Retirement Calculator'!K:K,MATCH('Lorri 401b'!N3539,'Retirement Calculator'!A:A,0),0),0)</f>
        <v>0</v>
      </c>
      <c r="K3539" s="455">
        <f t="shared" ca="1" si="148"/>
        <v>2477511105.1597085</v>
      </c>
      <c r="L3539" s="455">
        <f t="shared" ca="1" si="149"/>
        <v>597080176343.48975</v>
      </c>
      <c r="M3539" s="471">
        <f t="shared" si="151"/>
        <v>0.05</v>
      </c>
      <c r="N3539" s="475">
        <f t="shared" si="152"/>
        <v>158760</v>
      </c>
    </row>
    <row r="3540" spans="7:14" ht="11.25" customHeight="1" x14ac:dyDescent="0.3">
      <c r="G3540" s="470"/>
      <c r="H3540" s="470">
        <v>3533</v>
      </c>
      <c r="I3540" s="455">
        <f t="shared" ca="1" si="150"/>
        <v>597080176343.48975</v>
      </c>
      <c r="J3540" s="455">
        <f t="array" ref="J3540">IFERROR(INDEX('Retirement Calculator'!K:K,MATCH('Lorri 401b'!N3540,'Retirement Calculator'!A:A,0),0),0)</f>
        <v>0</v>
      </c>
      <c r="K3540" s="455">
        <f t="shared" ca="1" si="148"/>
        <v>2487834068.0978737</v>
      </c>
      <c r="L3540" s="455">
        <f t="shared" ca="1" si="149"/>
        <v>599568010411.58765</v>
      </c>
      <c r="M3540" s="471">
        <f t="shared" si="151"/>
        <v>0.05</v>
      </c>
      <c r="N3540" s="475">
        <f t="shared" si="152"/>
        <v>158790</v>
      </c>
    </row>
    <row r="3541" spans="7:14" ht="11.25" customHeight="1" x14ac:dyDescent="0.3">
      <c r="G3541" s="470"/>
      <c r="H3541" s="470">
        <v>3534</v>
      </c>
      <c r="I3541" s="455">
        <f t="shared" ca="1" si="150"/>
        <v>599568010411.58765</v>
      </c>
      <c r="J3541" s="455">
        <f t="array" ref="J3541">IFERROR(INDEX('Retirement Calculator'!K:K,MATCH('Lorri 401b'!N3541,'Retirement Calculator'!A:A,0),0),0)</f>
        <v>0</v>
      </c>
      <c r="K3541" s="455">
        <f t="shared" ca="1" si="148"/>
        <v>2498200043.3816152</v>
      </c>
      <c r="L3541" s="455">
        <f t="shared" ca="1" si="149"/>
        <v>602066210454.96924</v>
      </c>
      <c r="M3541" s="471">
        <f t="shared" si="151"/>
        <v>0.05</v>
      </c>
      <c r="N3541" s="475">
        <f t="shared" si="152"/>
        <v>158821</v>
      </c>
    </row>
    <row r="3542" spans="7:14" ht="11.25" customHeight="1" x14ac:dyDescent="0.3">
      <c r="G3542" s="470"/>
      <c r="H3542" s="470">
        <v>3535</v>
      </c>
      <c r="I3542" s="455">
        <f t="shared" ca="1" si="150"/>
        <v>602066210454.96924</v>
      </c>
      <c r="J3542" s="455">
        <f t="array" ref="J3542">IFERROR(INDEX('Retirement Calculator'!K:K,MATCH('Lorri 401b'!N3542,'Retirement Calculator'!A:A,0),0),0)</f>
        <v>0</v>
      </c>
      <c r="K3542" s="455">
        <f t="shared" ca="1" si="148"/>
        <v>2508609210.2290382</v>
      </c>
      <c r="L3542" s="455">
        <f t="shared" ca="1" si="149"/>
        <v>604574819665.19824</v>
      </c>
      <c r="M3542" s="471">
        <f t="shared" si="151"/>
        <v>0.05</v>
      </c>
      <c r="N3542" s="475">
        <f t="shared" si="152"/>
        <v>158851</v>
      </c>
    </row>
    <row r="3543" spans="7:14" ht="11.25" customHeight="1" x14ac:dyDescent="0.3">
      <c r="G3543" s="470"/>
      <c r="H3543" s="470">
        <v>3536</v>
      </c>
      <c r="I3543" s="455">
        <f t="shared" ca="1" si="150"/>
        <v>604574819665.19824</v>
      </c>
      <c r="J3543" s="455">
        <f t="array" ref="J3543">IFERROR(INDEX('Retirement Calculator'!K:K,MATCH('Lorri 401b'!N3543,'Retirement Calculator'!A:A,0),0),0)</f>
        <v>0</v>
      </c>
      <c r="K3543" s="455">
        <f t="shared" ca="1" si="148"/>
        <v>2519061748.6049929</v>
      </c>
      <c r="L3543" s="455">
        <f t="shared" ca="1" si="149"/>
        <v>607093881413.80322</v>
      </c>
      <c r="M3543" s="471">
        <f t="shared" si="151"/>
        <v>0.05</v>
      </c>
      <c r="N3543" s="475">
        <f t="shared" si="152"/>
        <v>158882</v>
      </c>
    </row>
    <row r="3544" spans="7:14" ht="11.25" customHeight="1" x14ac:dyDescent="0.3">
      <c r="G3544" s="470"/>
      <c r="H3544" s="470">
        <v>3537</v>
      </c>
      <c r="I3544" s="455">
        <f t="shared" ca="1" si="150"/>
        <v>607093881413.80322</v>
      </c>
      <c r="J3544" s="455">
        <f t="array" ref="J3544">IFERROR(INDEX('Retirement Calculator'!K:K,MATCH('Lorri 401b'!N3544,'Retirement Calculator'!A:A,0),0),0)</f>
        <v>0</v>
      </c>
      <c r="K3544" s="455">
        <f t="shared" ca="1" si="148"/>
        <v>2529557839.2241802</v>
      </c>
      <c r="L3544" s="455">
        <f t="shared" ca="1" si="149"/>
        <v>609623439253.02734</v>
      </c>
      <c r="M3544" s="471">
        <f t="shared" si="151"/>
        <v>0.05</v>
      </c>
      <c r="N3544" s="475">
        <f t="shared" si="152"/>
        <v>158913</v>
      </c>
    </row>
    <row r="3545" spans="7:14" ht="11.25" customHeight="1" x14ac:dyDescent="0.3">
      <c r="G3545" s="470"/>
      <c r="H3545" s="470">
        <v>3538</v>
      </c>
      <c r="I3545" s="455">
        <f t="shared" ca="1" si="150"/>
        <v>609623439253.02734</v>
      </c>
      <c r="J3545" s="455">
        <f t="array" ref="J3545">IFERROR(INDEX('Retirement Calculator'!K:K,MATCH('Lorri 401b'!N3545,'Retirement Calculator'!A:A,0),0),0)</f>
        <v>0</v>
      </c>
      <c r="K3545" s="455">
        <f t="shared" ca="1" si="148"/>
        <v>2540097663.5542808</v>
      </c>
      <c r="L3545" s="455">
        <f t="shared" ca="1" si="149"/>
        <v>612163536916.58167</v>
      </c>
      <c r="M3545" s="471">
        <f t="shared" si="151"/>
        <v>0.05</v>
      </c>
      <c r="N3545" s="475">
        <f t="shared" si="152"/>
        <v>158941</v>
      </c>
    </row>
    <row r="3546" spans="7:14" ht="11.25" customHeight="1" x14ac:dyDescent="0.3">
      <c r="G3546" s="470"/>
      <c r="H3546" s="470">
        <v>3539</v>
      </c>
      <c r="I3546" s="455">
        <f t="shared" ca="1" si="150"/>
        <v>612163536916.58167</v>
      </c>
      <c r="J3546" s="455">
        <f t="array" ref="J3546">IFERROR(INDEX('Retirement Calculator'!K:K,MATCH('Lorri 401b'!N3546,'Retirement Calculator'!A:A,0),0),0)</f>
        <v>0</v>
      </c>
      <c r="K3546" s="455">
        <f t="shared" ca="1" si="148"/>
        <v>2550681403.8190904</v>
      </c>
      <c r="L3546" s="455">
        <f t="shared" ca="1" si="149"/>
        <v>614714218320.40076</v>
      </c>
      <c r="M3546" s="471">
        <f t="shared" si="151"/>
        <v>0.05</v>
      </c>
      <c r="N3546" s="475">
        <f t="shared" si="152"/>
        <v>158972</v>
      </c>
    </row>
    <row r="3547" spans="7:14" ht="11.25" customHeight="1" x14ac:dyDescent="0.3">
      <c r="G3547" s="470"/>
      <c r="H3547" s="470">
        <v>3540</v>
      </c>
      <c r="I3547" s="455">
        <f t="shared" ca="1" si="150"/>
        <v>614714218320.40076</v>
      </c>
      <c r="J3547" s="455">
        <f t="array" ref="J3547">IFERROR(INDEX('Retirement Calculator'!K:K,MATCH('Lorri 401b'!N3547,'Retirement Calculator'!A:A,0),0),0)</f>
        <v>0</v>
      </c>
      <c r="K3547" s="455">
        <f t="shared" ca="1" si="148"/>
        <v>2561309243.0016699</v>
      </c>
      <c r="L3547" s="455">
        <f t="shared" ca="1" si="149"/>
        <v>617275527563.40247</v>
      </c>
      <c r="M3547" s="471">
        <f t="shared" si="151"/>
        <v>0.05</v>
      </c>
      <c r="N3547" s="475">
        <f t="shared" si="152"/>
        <v>159002</v>
      </c>
    </row>
    <row r="3548" spans="7:14" ht="11.25" customHeight="1" x14ac:dyDescent="0.3">
      <c r="G3548" s="470"/>
      <c r="H3548" s="470">
        <v>3541</v>
      </c>
      <c r="I3548" s="455">
        <f t="shared" ca="1" si="150"/>
        <v>617275527563.40247</v>
      </c>
      <c r="J3548" s="455">
        <f t="array" ref="J3548">IFERROR(INDEX('Retirement Calculator'!K:K,MATCH('Lorri 401b'!N3548,'Retirement Calculator'!A:A,0),0),0)</f>
        <v>0</v>
      </c>
      <c r="K3548" s="455">
        <f t="shared" ca="1" si="148"/>
        <v>2571981364.8475103</v>
      </c>
      <c r="L3548" s="455">
        <f t="shared" ca="1" si="149"/>
        <v>619847508928.25</v>
      </c>
      <c r="M3548" s="471">
        <f t="shared" si="151"/>
        <v>0.05</v>
      </c>
      <c r="N3548" s="475">
        <f t="shared" si="152"/>
        <v>159033</v>
      </c>
    </row>
    <row r="3549" spans="7:14" ht="11.25" customHeight="1" x14ac:dyDescent="0.3">
      <c r="G3549" s="470"/>
      <c r="H3549" s="470">
        <v>3542</v>
      </c>
      <c r="I3549" s="455">
        <f t="shared" ca="1" si="150"/>
        <v>619847508928.25</v>
      </c>
      <c r="J3549" s="455">
        <f t="array" ref="J3549">IFERROR(INDEX('Retirement Calculator'!K:K,MATCH('Lorri 401b'!N3549,'Retirement Calculator'!A:A,0),0),0)</f>
        <v>0</v>
      </c>
      <c r="K3549" s="455">
        <f t="shared" ca="1" si="148"/>
        <v>2582697953.8677082</v>
      </c>
      <c r="L3549" s="455">
        <f t="shared" ca="1" si="149"/>
        <v>622430206882.11768</v>
      </c>
      <c r="M3549" s="471">
        <f t="shared" si="151"/>
        <v>0.05</v>
      </c>
      <c r="N3549" s="475">
        <f t="shared" si="152"/>
        <v>159063</v>
      </c>
    </row>
    <row r="3550" spans="7:14" ht="11.25" customHeight="1" x14ac:dyDescent="0.3">
      <c r="G3550" s="470"/>
      <c r="H3550" s="470">
        <v>3543</v>
      </c>
      <c r="I3550" s="455">
        <f t="shared" ca="1" si="150"/>
        <v>622430206882.11768</v>
      </c>
      <c r="J3550" s="455">
        <f t="array" ref="J3550">IFERROR(INDEX('Retirement Calculator'!K:K,MATCH('Lorri 401b'!N3550,'Retirement Calculator'!A:A,0),0),0)</f>
        <v>0</v>
      </c>
      <c r="K3550" s="455">
        <f t="shared" ca="1" si="148"/>
        <v>2593459195.3421569</v>
      </c>
      <c r="L3550" s="455">
        <f t="shared" ca="1" si="149"/>
        <v>625023666077.45984</v>
      </c>
      <c r="M3550" s="471">
        <f t="shared" si="151"/>
        <v>0.05</v>
      </c>
      <c r="N3550" s="475">
        <f t="shared" si="152"/>
        <v>159094</v>
      </c>
    </row>
    <row r="3551" spans="7:14" ht="11.25" customHeight="1" x14ac:dyDescent="0.3">
      <c r="G3551" s="470"/>
      <c r="H3551" s="470">
        <v>3544</v>
      </c>
      <c r="I3551" s="455">
        <f t="shared" ca="1" si="150"/>
        <v>625023666077.45984</v>
      </c>
      <c r="J3551" s="455">
        <f t="array" ref="J3551">IFERROR(INDEX('Retirement Calculator'!K:K,MATCH('Lorri 401b'!N3551,'Retirement Calculator'!A:A,0),0),0)</f>
        <v>0</v>
      </c>
      <c r="K3551" s="455">
        <f t="shared" ca="1" si="148"/>
        <v>2604265275.3227491</v>
      </c>
      <c r="L3551" s="455">
        <f t="shared" ca="1" si="149"/>
        <v>627627931352.78259</v>
      </c>
      <c r="M3551" s="471">
        <f t="shared" si="151"/>
        <v>0.05</v>
      </c>
      <c r="N3551" s="475">
        <f t="shared" si="152"/>
        <v>159125</v>
      </c>
    </row>
    <row r="3552" spans="7:14" ht="11.25" customHeight="1" x14ac:dyDescent="0.3">
      <c r="G3552" s="470"/>
      <c r="H3552" s="470">
        <v>3545</v>
      </c>
      <c r="I3552" s="455">
        <f t="shared" ca="1" si="150"/>
        <v>627627931352.78259</v>
      </c>
      <c r="J3552" s="455">
        <f t="array" ref="J3552">IFERROR(INDEX('Retirement Calculator'!K:K,MATCH('Lorri 401b'!N3552,'Retirement Calculator'!A:A,0),0),0)</f>
        <v>0</v>
      </c>
      <c r="K3552" s="455">
        <f t="shared" ca="1" si="148"/>
        <v>2615116380.6365943</v>
      </c>
      <c r="L3552" s="455">
        <f t="shared" ca="1" si="149"/>
        <v>630243047733.41919</v>
      </c>
      <c r="M3552" s="471">
        <f t="shared" si="151"/>
        <v>0.05</v>
      </c>
      <c r="N3552" s="475">
        <f t="shared" si="152"/>
        <v>159155</v>
      </c>
    </row>
    <row r="3553" spans="7:14" ht="11.25" customHeight="1" x14ac:dyDescent="0.3">
      <c r="G3553" s="470"/>
      <c r="H3553" s="470">
        <v>3546</v>
      </c>
      <c r="I3553" s="455">
        <f t="shared" ca="1" si="150"/>
        <v>630243047733.41919</v>
      </c>
      <c r="J3553" s="455">
        <f t="array" ref="J3553">IFERROR(INDEX('Retirement Calculator'!K:K,MATCH('Lorri 401b'!N3553,'Retirement Calculator'!A:A,0),0),0)</f>
        <v>0</v>
      </c>
      <c r="K3553" s="455">
        <f t="shared" ca="1" si="148"/>
        <v>2626012698.8892465</v>
      </c>
      <c r="L3553" s="455">
        <f t="shared" ca="1" si="149"/>
        <v>632869060432.30847</v>
      </c>
      <c r="M3553" s="471">
        <f t="shared" si="151"/>
        <v>0.05</v>
      </c>
      <c r="N3553" s="475">
        <f t="shared" si="152"/>
        <v>159186</v>
      </c>
    </row>
    <row r="3554" spans="7:14" ht="11.25" customHeight="1" x14ac:dyDescent="0.3">
      <c r="G3554" s="470"/>
      <c r="H3554" s="470">
        <v>3547</v>
      </c>
      <c r="I3554" s="455">
        <f t="shared" ca="1" si="150"/>
        <v>632869060432.30847</v>
      </c>
      <c r="J3554" s="455">
        <f t="array" ref="J3554">IFERROR(INDEX('Retirement Calculator'!K:K,MATCH('Lorri 401b'!N3554,'Retirement Calculator'!A:A,0),0),0)</f>
        <v>0</v>
      </c>
      <c r="K3554" s="455">
        <f t="shared" ca="1" si="148"/>
        <v>2636954418.4679518</v>
      </c>
      <c r="L3554" s="455">
        <f t="shared" ca="1" si="149"/>
        <v>635506014850.77637</v>
      </c>
      <c r="M3554" s="471">
        <f t="shared" si="151"/>
        <v>0.05</v>
      </c>
      <c r="N3554" s="475">
        <f t="shared" si="152"/>
        <v>159216</v>
      </c>
    </row>
    <row r="3555" spans="7:14" ht="11.25" customHeight="1" x14ac:dyDescent="0.3">
      <c r="G3555" s="470"/>
      <c r="H3555" s="470">
        <v>3548</v>
      </c>
      <c r="I3555" s="455">
        <f t="shared" ca="1" si="150"/>
        <v>635506014850.77637</v>
      </c>
      <c r="J3555" s="455">
        <f t="array" ref="J3555">IFERROR(INDEX('Retirement Calculator'!K:K,MATCH('Lorri 401b'!N3555,'Retirement Calculator'!A:A,0),0),0)</f>
        <v>0</v>
      </c>
      <c r="K3555" s="455">
        <f t="shared" ca="1" si="148"/>
        <v>2647941728.5449014</v>
      </c>
      <c r="L3555" s="455">
        <f t="shared" ca="1" si="149"/>
        <v>638153956579.32129</v>
      </c>
      <c r="M3555" s="471">
        <f t="shared" si="151"/>
        <v>0.05</v>
      </c>
      <c r="N3555" s="475">
        <f t="shared" si="152"/>
        <v>159247</v>
      </c>
    </row>
    <row r="3556" spans="7:14" ht="11.25" customHeight="1" x14ac:dyDescent="0.3">
      <c r="G3556" s="470"/>
      <c r="H3556" s="470">
        <v>3549</v>
      </c>
      <c r="I3556" s="455">
        <f t="shared" ca="1" si="150"/>
        <v>638153956579.32129</v>
      </c>
      <c r="J3556" s="455">
        <f t="array" ref="J3556">IFERROR(INDEX('Retirement Calculator'!K:K,MATCH('Lorri 401b'!N3556,'Retirement Calculator'!A:A,0),0),0)</f>
        <v>0</v>
      </c>
      <c r="K3556" s="455">
        <f t="shared" ca="1" si="148"/>
        <v>2658974819.0805054</v>
      </c>
      <c r="L3556" s="455">
        <f t="shared" ca="1" si="149"/>
        <v>640812931398.40186</v>
      </c>
      <c r="M3556" s="471">
        <f t="shared" si="151"/>
        <v>0.05</v>
      </c>
      <c r="N3556" s="475">
        <f t="shared" si="152"/>
        <v>159278</v>
      </c>
    </row>
    <row r="3557" spans="7:14" ht="11.25" customHeight="1" x14ac:dyDescent="0.3">
      <c r="G3557" s="470"/>
      <c r="H3557" s="470">
        <v>3550</v>
      </c>
      <c r="I3557" s="455">
        <f t="shared" ca="1" si="150"/>
        <v>640812931398.40186</v>
      </c>
      <c r="J3557" s="455">
        <f t="array" ref="J3557">IFERROR(INDEX('Retirement Calculator'!K:K,MATCH('Lorri 401b'!N3557,'Retirement Calculator'!A:A,0),0),0)</f>
        <v>0</v>
      </c>
      <c r="K3557" s="455">
        <f t="shared" ca="1" si="148"/>
        <v>2670053880.8266745</v>
      </c>
      <c r="L3557" s="455">
        <f t="shared" ca="1" si="149"/>
        <v>643482985279.22852</v>
      </c>
      <c r="M3557" s="471">
        <f t="shared" si="151"/>
        <v>0.05</v>
      </c>
      <c r="N3557" s="475">
        <f t="shared" si="152"/>
        <v>159307</v>
      </c>
    </row>
    <row r="3558" spans="7:14" ht="11.25" customHeight="1" x14ac:dyDescent="0.3">
      <c r="G3558" s="470"/>
      <c r="H3558" s="470">
        <v>3551</v>
      </c>
      <c r="I3558" s="455">
        <f t="shared" ca="1" si="150"/>
        <v>643482985279.22852</v>
      </c>
      <c r="J3558" s="455">
        <f t="array" ref="J3558">IFERROR(INDEX('Retirement Calculator'!K:K,MATCH('Lorri 401b'!N3558,'Retirement Calculator'!A:A,0),0),0)</f>
        <v>0</v>
      </c>
      <c r="K3558" s="455">
        <f t="shared" ca="1" si="148"/>
        <v>2681179105.3301187</v>
      </c>
      <c r="L3558" s="455">
        <f t="shared" ca="1" si="149"/>
        <v>646164164384.55859</v>
      </c>
      <c r="M3558" s="471">
        <f t="shared" si="151"/>
        <v>0.05</v>
      </c>
      <c r="N3558" s="475">
        <f t="shared" si="152"/>
        <v>159338</v>
      </c>
    </row>
    <row r="3559" spans="7:14" ht="11.25" customHeight="1" x14ac:dyDescent="0.3">
      <c r="G3559" s="470"/>
      <c r="H3559" s="470">
        <v>3552</v>
      </c>
      <c r="I3559" s="455">
        <f t="shared" ca="1" si="150"/>
        <v>646164164384.55859</v>
      </c>
      <c r="J3559" s="455">
        <f t="array" ref="J3559">IFERROR(INDEX('Retirement Calculator'!K:K,MATCH('Lorri 401b'!N3559,'Retirement Calculator'!A:A,0),0),0)</f>
        <v>0</v>
      </c>
      <c r="K3559" s="455">
        <f t="shared" ca="1" si="148"/>
        <v>2692350684.9356608</v>
      </c>
      <c r="L3559" s="455">
        <f t="shared" ca="1" si="149"/>
        <v>648856515069.49426</v>
      </c>
      <c r="M3559" s="471">
        <f t="shared" si="151"/>
        <v>0.05</v>
      </c>
      <c r="N3559" s="475">
        <f t="shared" si="152"/>
        <v>159368</v>
      </c>
    </row>
    <row r="3560" spans="7:14" ht="11.25" customHeight="1" x14ac:dyDescent="0.3">
      <c r="G3560" s="470"/>
      <c r="H3560" s="470">
        <v>3553</v>
      </c>
      <c r="I3560" s="455">
        <f t="shared" ca="1" si="150"/>
        <v>648856515069.49426</v>
      </c>
      <c r="J3560" s="455">
        <f t="array" ref="J3560">IFERROR(INDEX('Retirement Calculator'!K:K,MATCH('Lorri 401b'!N3560,'Retirement Calculator'!A:A,0),0),0)</f>
        <v>0</v>
      </c>
      <c r="K3560" s="455">
        <f t="shared" ca="1" si="148"/>
        <v>2703568812.7895594</v>
      </c>
      <c r="L3560" s="455">
        <f t="shared" ca="1" si="149"/>
        <v>651560083882.28381</v>
      </c>
      <c r="M3560" s="471">
        <f t="shared" si="151"/>
        <v>0.05</v>
      </c>
      <c r="N3560" s="475">
        <f t="shared" si="152"/>
        <v>159399</v>
      </c>
    </row>
    <row r="3561" spans="7:14" ht="11.25" customHeight="1" x14ac:dyDescent="0.3">
      <c r="G3561" s="470"/>
      <c r="H3561" s="470">
        <v>3554</v>
      </c>
      <c r="I3561" s="455">
        <f t="shared" ca="1" si="150"/>
        <v>651560083882.28381</v>
      </c>
      <c r="J3561" s="455">
        <f t="array" ref="J3561">IFERROR(INDEX('Retirement Calculator'!K:K,MATCH('Lorri 401b'!N3561,'Retirement Calculator'!A:A,0),0),0)</f>
        <v>0</v>
      </c>
      <c r="K3561" s="455">
        <f t="shared" ca="1" si="148"/>
        <v>2714833682.8428493</v>
      </c>
      <c r="L3561" s="455">
        <f t="shared" ca="1" si="149"/>
        <v>654274917565.12671</v>
      </c>
      <c r="M3561" s="471">
        <f t="shared" si="151"/>
        <v>0.05</v>
      </c>
      <c r="N3561" s="475">
        <f t="shared" si="152"/>
        <v>159429</v>
      </c>
    </row>
    <row r="3562" spans="7:14" ht="11.25" customHeight="1" x14ac:dyDescent="0.3">
      <c r="G3562" s="470"/>
      <c r="H3562" s="470">
        <v>3555</v>
      </c>
      <c r="I3562" s="455">
        <f t="shared" ca="1" si="150"/>
        <v>654274917565.12671</v>
      </c>
      <c r="J3562" s="455">
        <f t="array" ref="J3562">IFERROR(INDEX('Retirement Calculator'!K:K,MATCH('Lorri 401b'!N3562,'Retirement Calculator'!A:A,0),0),0)</f>
        <v>0</v>
      </c>
      <c r="K3562" s="455">
        <f t="shared" ca="1" si="148"/>
        <v>2726145489.8546944</v>
      </c>
      <c r="L3562" s="455">
        <f t="shared" ca="1" si="149"/>
        <v>657001063054.98145</v>
      </c>
      <c r="M3562" s="471">
        <f t="shared" si="151"/>
        <v>0.05</v>
      </c>
      <c r="N3562" s="475">
        <f t="shared" si="152"/>
        <v>159460</v>
      </c>
    </row>
    <row r="3563" spans="7:14" ht="11.25" customHeight="1" x14ac:dyDescent="0.3">
      <c r="G3563" s="470"/>
      <c r="H3563" s="470">
        <v>3556</v>
      </c>
      <c r="I3563" s="455">
        <f t="shared" ca="1" si="150"/>
        <v>657001063054.98145</v>
      </c>
      <c r="J3563" s="455">
        <f t="array" ref="J3563">IFERROR(INDEX('Retirement Calculator'!K:K,MATCH('Lorri 401b'!N3563,'Retirement Calculator'!A:A,0),0),0)</f>
        <v>0</v>
      </c>
      <c r="K3563" s="455">
        <f t="shared" ca="1" si="148"/>
        <v>2737504429.3957558</v>
      </c>
      <c r="L3563" s="455">
        <f t="shared" ca="1" si="149"/>
        <v>659738567484.3772</v>
      </c>
      <c r="M3563" s="471">
        <f t="shared" si="151"/>
        <v>0.05</v>
      </c>
      <c r="N3563" s="475">
        <f t="shared" si="152"/>
        <v>159491</v>
      </c>
    </row>
    <row r="3564" spans="7:14" ht="11.25" customHeight="1" x14ac:dyDescent="0.3">
      <c r="G3564" s="470"/>
      <c r="H3564" s="470">
        <v>3557</v>
      </c>
      <c r="I3564" s="455">
        <f t="shared" ca="1" si="150"/>
        <v>659738567484.3772</v>
      </c>
      <c r="J3564" s="455">
        <f t="array" ref="J3564">IFERROR(INDEX('Retirement Calculator'!K:K,MATCH('Lorri 401b'!N3564,'Retirement Calculator'!A:A,0),0),0)</f>
        <v>0</v>
      </c>
      <c r="K3564" s="455">
        <f t="shared" ca="1" si="148"/>
        <v>2748910697.8515716</v>
      </c>
      <c r="L3564" s="455">
        <f t="shared" ca="1" si="149"/>
        <v>662487478182.22876</v>
      </c>
      <c r="M3564" s="471">
        <f t="shared" si="151"/>
        <v>0.05</v>
      </c>
      <c r="N3564" s="475">
        <f t="shared" si="152"/>
        <v>159521</v>
      </c>
    </row>
    <row r="3565" spans="7:14" ht="11.25" customHeight="1" x14ac:dyDescent="0.3">
      <c r="G3565" s="470"/>
      <c r="H3565" s="470">
        <v>3558</v>
      </c>
      <c r="I3565" s="455">
        <f t="shared" ca="1" si="150"/>
        <v>662487478182.22876</v>
      </c>
      <c r="J3565" s="455">
        <f t="array" ref="J3565">IFERROR(INDEX('Retirement Calculator'!K:K,MATCH('Lorri 401b'!N3565,'Retirement Calculator'!A:A,0),0),0)</f>
        <v>0</v>
      </c>
      <c r="K3565" s="455">
        <f t="shared" ca="1" si="148"/>
        <v>2760364492.4259529</v>
      </c>
      <c r="L3565" s="455">
        <f t="shared" ca="1" si="149"/>
        <v>665247842674.65466</v>
      </c>
      <c r="M3565" s="471">
        <f t="shared" si="151"/>
        <v>0.05</v>
      </c>
      <c r="N3565" s="475">
        <f t="shared" si="152"/>
        <v>159552</v>
      </c>
    </row>
    <row r="3566" spans="7:14" ht="11.25" customHeight="1" x14ac:dyDescent="0.3">
      <c r="G3566" s="470"/>
      <c r="H3566" s="470">
        <v>3559</v>
      </c>
      <c r="I3566" s="455">
        <f t="shared" ca="1" si="150"/>
        <v>665247842674.65466</v>
      </c>
      <c r="J3566" s="455">
        <f t="array" ref="J3566">IFERROR(INDEX('Retirement Calculator'!K:K,MATCH('Lorri 401b'!N3566,'Retirement Calculator'!A:A,0),0),0)</f>
        <v>0</v>
      </c>
      <c r="K3566" s="455">
        <f t="shared" ca="1" si="148"/>
        <v>2771866011.1443944</v>
      </c>
      <c r="L3566" s="455">
        <f t="shared" ca="1" si="149"/>
        <v>668019708685.79907</v>
      </c>
      <c r="M3566" s="471">
        <f t="shared" si="151"/>
        <v>0.05</v>
      </c>
      <c r="N3566" s="475">
        <f t="shared" si="152"/>
        <v>159582</v>
      </c>
    </row>
    <row r="3567" spans="7:14" ht="11.25" customHeight="1" x14ac:dyDescent="0.3">
      <c r="G3567" s="470"/>
      <c r="H3567" s="470">
        <v>3560</v>
      </c>
      <c r="I3567" s="455">
        <f t="shared" ca="1" si="150"/>
        <v>668019708685.79907</v>
      </c>
      <c r="J3567" s="455">
        <f t="array" ref="J3567">IFERROR(INDEX('Retirement Calculator'!K:K,MATCH('Lorri 401b'!N3567,'Retirement Calculator'!A:A,0),0),0)</f>
        <v>0</v>
      </c>
      <c r="K3567" s="455">
        <f t="shared" ca="1" si="148"/>
        <v>2783415452.8574963</v>
      </c>
      <c r="L3567" s="455">
        <f t="shared" ca="1" si="149"/>
        <v>670803124138.65662</v>
      </c>
      <c r="M3567" s="471">
        <f t="shared" si="151"/>
        <v>0.05</v>
      </c>
      <c r="N3567" s="475">
        <f t="shared" si="152"/>
        <v>159613</v>
      </c>
    </row>
    <row r="3568" spans="7:14" ht="11.25" customHeight="1" x14ac:dyDescent="0.3">
      <c r="G3568" s="470"/>
      <c r="H3568" s="470">
        <v>3561</v>
      </c>
      <c r="I3568" s="455">
        <f t="shared" ca="1" si="150"/>
        <v>670803124138.65662</v>
      </c>
      <c r="J3568" s="455">
        <f t="array" ref="J3568">IFERROR(INDEX('Retirement Calculator'!K:K,MATCH('Lorri 401b'!N3568,'Retirement Calculator'!A:A,0),0),0)</f>
        <v>0</v>
      </c>
      <c r="K3568" s="455">
        <f t="shared" ca="1" si="148"/>
        <v>2795013017.2444024</v>
      </c>
      <c r="L3568" s="455">
        <f t="shared" ca="1" si="149"/>
        <v>673598137155.901</v>
      </c>
      <c r="M3568" s="471">
        <f t="shared" si="151"/>
        <v>0.05</v>
      </c>
      <c r="N3568" s="475">
        <f t="shared" si="152"/>
        <v>159644</v>
      </c>
    </row>
    <row r="3569" spans="7:14" ht="11.25" customHeight="1" x14ac:dyDescent="0.3">
      <c r="G3569" s="470"/>
      <c r="H3569" s="470">
        <v>3562</v>
      </c>
      <c r="I3569" s="455">
        <f t="shared" ca="1" si="150"/>
        <v>673598137155.901</v>
      </c>
      <c r="J3569" s="455">
        <f t="array" ref="J3569">IFERROR(INDEX('Retirement Calculator'!K:K,MATCH('Lorri 401b'!N3569,'Retirement Calculator'!A:A,0),0),0)</f>
        <v>0</v>
      </c>
      <c r="K3569" s="455">
        <f t="shared" ca="1" si="148"/>
        <v>2806658904.8162541</v>
      </c>
      <c r="L3569" s="455">
        <f t="shared" ca="1" si="149"/>
        <v>676404796060.71729</v>
      </c>
      <c r="M3569" s="471">
        <f t="shared" si="151"/>
        <v>0.05</v>
      </c>
      <c r="N3569" s="475">
        <f t="shared" si="152"/>
        <v>159672</v>
      </c>
    </row>
    <row r="3570" spans="7:14" ht="11.25" customHeight="1" x14ac:dyDescent="0.3">
      <c r="G3570" s="470"/>
      <c r="H3570" s="470">
        <v>3563</v>
      </c>
      <c r="I3570" s="455">
        <f t="shared" ca="1" si="150"/>
        <v>676404796060.71729</v>
      </c>
      <c r="J3570" s="455">
        <f t="array" ref="J3570">IFERROR(INDEX('Retirement Calculator'!K:K,MATCH('Lorri 401b'!N3570,'Retirement Calculator'!A:A,0),0),0)</f>
        <v>0</v>
      </c>
      <c r="K3570" s="455">
        <f t="shared" ca="1" si="148"/>
        <v>2818353316.9196553</v>
      </c>
      <c r="L3570" s="455">
        <f t="shared" ca="1" si="149"/>
        <v>679223149377.63696</v>
      </c>
      <c r="M3570" s="471">
        <f t="shared" si="151"/>
        <v>0.05</v>
      </c>
      <c r="N3570" s="475">
        <f t="shared" si="152"/>
        <v>159703</v>
      </c>
    </row>
    <row r="3571" spans="7:14" ht="11.25" customHeight="1" x14ac:dyDescent="0.3">
      <c r="G3571" s="470"/>
      <c r="H3571" s="470">
        <v>3564</v>
      </c>
      <c r="I3571" s="455">
        <f t="shared" ca="1" si="150"/>
        <v>679223149377.63696</v>
      </c>
      <c r="J3571" s="455">
        <f t="array" ref="J3571">IFERROR(INDEX('Retirement Calculator'!K:K,MATCH('Lorri 401b'!N3571,'Retirement Calculator'!A:A,0),0),0)</f>
        <v>0</v>
      </c>
      <c r="K3571" s="455">
        <f t="shared" ca="1" si="148"/>
        <v>2830096455.7401538</v>
      </c>
      <c r="L3571" s="455">
        <f t="shared" ca="1" si="149"/>
        <v>682053245833.37708</v>
      </c>
      <c r="M3571" s="471">
        <f t="shared" si="151"/>
        <v>0.05</v>
      </c>
      <c r="N3571" s="475">
        <f t="shared" si="152"/>
        <v>159733</v>
      </c>
    </row>
    <row r="3572" spans="7:14" ht="11.25" customHeight="1" x14ac:dyDescent="0.3">
      <c r="G3572" s="470"/>
      <c r="H3572" s="470">
        <v>3565</v>
      </c>
      <c r="I3572" s="455">
        <f t="shared" ca="1" si="150"/>
        <v>682053245833.37708</v>
      </c>
      <c r="J3572" s="455">
        <f t="array" ref="J3572">IFERROR(INDEX('Retirement Calculator'!K:K,MATCH('Lorri 401b'!N3572,'Retirement Calculator'!A:A,0),0),0)</f>
        <v>0</v>
      </c>
      <c r="K3572" s="455">
        <f t="shared" ca="1" si="148"/>
        <v>2841888524.305738</v>
      </c>
      <c r="L3572" s="455">
        <f t="shared" ca="1" si="149"/>
        <v>684895134357.68286</v>
      </c>
      <c r="M3572" s="471">
        <f t="shared" si="151"/>
        <v>0.05</v>
      </c>
      <c r="N3572" s="475">
        <f t="shared" si="152"/>
        <v>159764</v>
      </c>
    </row>
    <row r="3573" spans="7:14" ht="11.25" customHeight="1" x14ac:dyDescent="0.3">
      <c r="G3573" s="470"/>
      <c r="H3573" s="470">
        <v>3566</v>
      </c>
      <c r="I3573" s="455">
        <f t="shared" ca="1" si="150"/>
        <v>684895134357.68286</v>
      </c>
      <c r="J3573" s="455">
        <f t="array" ref="J3573">IFERROR(INDEX('Retirement Calculator'!K:K,MATCH('Lorri 401b'!N3573,'Retirement Calculator'!A:A,0),0),0)</f>
        <v>0</v>
      </c>
      <c r="K3573" s="455">
        <f t="shared" ca="1" si="148"/>
        <v>2853729726.490345</v>
      </c>
      <c r="L3573" s="455">
        <f t="shared" ca="1" si="149"/>
        <v>687748864084.17322</v>
      </c>
      <c r="M3573" s="471">
        <f t="shared" si="151"/>
        <v>0.05</v>
      </c>
      <c r="N3573" s="475">
        <f t="shared" si="152"/>
        <v>159794</v>
      </c>
    </row>
    <row r="3574" spans="7:14" ht="11.25" customHeight="1" x14ac:dyDescent="0.3">
      <c r="G3574" s="470"/>
      <c r="H3574" s="470">
        <v>3567</v>
      </c>
      <c r="I3574" s="455">
        <f t="shared" ca="1" si="150"/>
        <v>687748864084.17322</v>
      </c>
      <c r="J3574" s="455">
        <f t="array" ref="J3574">IFERROR(INDEX('Retirement Calculator'!K:K,MATCH('Lorri 401b'!N3574,'Retirement Calculator'!A:A,0),0),0)</f>
        <v>0</v>
      </c>
      <c r="K3574" s="455">
        <f t="shared" ca="1" si="148"/>
        <v>2865620267.0173883</v>
      </c>
      <c r="L3574" s="455">
        <f t="shared" ca="1" si="149"/>
        <v>690614484351.19055</v>
      </c>
      <c r="M3574" s="471">
        <f t="shared" si="151"/>
        <v>0.05</v>
      </c>
      <c r="N3574" s="475">
        <f t="shared" si="152"/>
        <v>159825</v>
      </c>
    </row>
    <row r="3575" spans="7:14" ht="11.25" customHeight="1" x14ac:dyDescent="0.3">
      <c r="G3575" s="470"/>
      <c r="H3575" s="470">
        <v>3568</v>
      </c>
      <c r="I3575" s="455">
        <f t="shared" ca="1" si="150"/>
        <v>690614484351.19055</v>
      </c>
      <c r="J3575" s="455">
        <f t="array" ref="J3575">IFERROR(INDEX('Retirement Calculator'!K:K,MATCH('Lorri 401b'!N3575,'Retirement Calculator'!A:A,0),0),0)</f>
        <v>0</v>
      </c>
      <c r="K3575" s="455">
        <f t="shared" ca="1" si="148"/>
        <v>2877560351.463294</v>
      </c>
      <c r="L3575" s="455">
        <f t="shared" ca="1" si="149"/>
        <v>693492044702.65381</v>
      </c>
      <c r="M3575" s="471">
        <f t="shared" si="151"/>
        <v>0.05</v>
      </c>
      <c r="N3575" s="475">
        <f t="shared" si="152"/>
        <v>159856</v>
      </c>
    </row>
    <row r="3576" spans="7:14" ht="11.25" customHeight="1" x14ac:dyDescent="0.3">
      <c r="G3576" s="470"/>
      <c r="H3576" s="470">
        <v>3569</v>
      </c>
      <c r="I3576" s="455">
        <f t="shared" ca="1" si="150"/>
        <v>693492044702.65381</v>
      </c>
      <c r="J3576" s="455">
        <f t="array" ref="J3576">IFERROR(INDEX('Retirement Calculator'!K:K,MATCH('Lorri 401b'!N3576,'Retirement Calculator'!A:A,0),0),0)</f>
        <v>0</v>
      </c>
      <c r="K3576" s="455">
        <f t="shared" ca="1" si="148"/>
        <v>2889550186.2610574</v>
      </c>
      <c r="L3576" s="455">
        <f t="shared" ca="1" si="149"/>
        <v>696381594888.91492</v>
      </c>
      <c r="M3576" s="471">
        <f t="shared" si="151"/>
        <v>0.05</v>
      </c>
      <c r="N3576" s="475">
        <f t="shared" si="152"/>
        <v>159886</v>
      </c>
    </row>
    <row r="3577" spans="7:14" ht="11.25" customHeight="1" x14ac:dyDescent="0.3">
      <c r="G3577" s="470"/>
      <c r="H3577" s="470">
        <v>3570</v>
      </c>
      <c r="I3577" s="455">
        <f t="shared" ca="1" si="150"/>
        <v>696381594888.91492</v>
      </c>
      <c r="J3577" s="455">
        <f t="array" ref="J3577">IFERROR(INDEX('Retirement Calculator'!K:K,MATCH('Lorri 401b'!N3577,'Retirement Calculator'!A:A,0),0),0)</f>
        <v>0</v>
      </c>
      <c r="K3577" s="455">
        <f t="shared" ca="1" si="148"/>
        <v>2901589978.7038121</v>
      </c>
      <c r="L3577" s="455">
        <f t="shared" ca="1" si="149"/>
        <v>699283184867.61877</v>
      </c>
      <c r="M3577" s="471">
        <f t="shared" si="151"/>
        <v>0.05</v>
      </c>
      <c r="N3577" s="475">
        <f t="shared" si="152"/>
        <v>159917</v>
      </c>
    </row>
    <row r="3578" spans="7:14" ht="11.25" customHeight="1" x14ac:dyDescent="0.3">
      <c r="G3578" s="470"/>
      <c r="H3578" s="470">
        <v>3571</v>
      </c>
      <c r="I3578" s="455">
        <f t="shared" ca="1" si="150"/>
        <v>699283184867.61877</v>
      </c>
      <c r="J3578" s="455">
        <f t="array" ref="J3578">IFERROR(INDEX('Retirement Calculator'!K:K,MATCH('Lorri 401b'!N3578,'Retirement Calculator'!A:A,0),0),0)</f>
        <v>0</v>
      </c>
      <c r="K3578" s="455">
        <f t="shared" ref="K3578:K3832" ca="1" si="153">IPMT(M3578/12,1,12,-I3578+J3578,,0)</f>
        <v>2913679936.9484115</v>
      </c>
      <c r="L3578" s="455">
        <f t="shared" ref="L3578:L3832" ca="1" si="154">I3578-J3578+K3578</f>
        <v>702196864804.56714</v>
      </c>
      <c r="M3578" s="471">
        <f t="shared" si="151"/>
        <v>0.05</v>
      </c>
      <c r="N3578" s="475">
        <f t="shared" si="152"/>
        <v>159947</v>
      </c>
    </row>
    <row r="3579" spans="7:14" ht="11.25" customHeight="1" x14ac:dyDescent="0.3">
      <c r="G3579" s="470"/>
      <c r="H3579" s="470">
        <v>3572</v>
      </c>
      <c r="I3579" s="455">
        <f t="shared" ref="I3579:I3833" ca="1" si="155">L3578</f>
        <v>702196864804.56714</v>
      </c>
      <c r="J3579" s="455">
        <f t="array" ref="J3579">IFERROR(INDEX('Retirement Calculator'!K:K,MATCH('Lorri 401b'!N3579,'Retirement Calculator'!A:A,0),0),0)</f>
        <v>0</v>
      </c>
      <c r="K3579" s="455">
        <f t="shared" ca="1" si="153"/>
        <v>2925820270.0190296</v>
      </c>
      <c r="L3579" s="455">
        <f t="shared" ca="1" si="154"/>
        <v>705122685074.58618</v>
      </c>
      <c r="M3579" s="471">
        <f t="shared" ref="M3579:M3833" si="156">M3578</f>
        <v>0.05</v>
      </c>
      <c r="N3579" s="475">
        <f t="shared" ref="N3579:N3833" si="157">EDATE(N3578,1)</f>
        <v>159978</v>
      </c>
    </row>
    <row r="3580" spans="7:14" ht="11.25" customHeight="1" x14ac:dyDescent="0.3">
      <c r="G3580" s="470"/>
      <c r="H3580" s="470">
        <v>3573</v>
      </c>
      <c r="I3580" s="455">
        <f t="shared" ca="1" si="155"/>
        <v>705122685074.58618</v>
      </c>
      <c r="J3580" s="455">
        <f t="array" ref="J3580">IFERROR(INDEX('Retirement Calculator'!K:K,MATCH('Lorri 401b'!N3580,'Retirement Calculator'!A:A,0),0),0)</f>
        <v>0</v>
      </c>
      <c r="K3580" s="455">
        <f t="shared" ca="1" si="153"/>
        <v>2938011187.8107758</v>
      </c>
      <c r="L3580" s="455">
        <f t="shared" ca="1" si="154"/>
        <v>708060696262.39697</v>
      </c>
      <c r="M3580" s="471">
        <f t="shared" si="156"/>
        <v>0.05</v>
      </c>
      <c r="N3580" s="475">
        <f t="shared" si="157"/>
        <v>160009</v>
      </c>
    </row>
    <row r="3581" spans="7:14" ht="11.25" customHeight="1" x14ac:dyDescent="0.3">
      <c r="G3581" s="470"/>
      <c r="H3581" s="470">
        <v>3574</v>
      </c>
      <c r="I3581" s="455">
        <f t="shared" ca="1" si="155"/>
        <v>708060696262.39697</v>
      </c>
      <c r="J3581" s="455">
        <f t="array" ref="J3581">IFERROR(INDEX('Retirement Calculator'!K:K,MATCH('Lorri 401b'!N3581,'Retirement Calculator'!A:A,0),0),0)</f>
        <v>0</v>
      </c>
      <c r="K3581" s="455">
        <f t="shared" ca="1" si="153"/>
        <v>2950252901.0933208</v>
      </c>
      <c r="L3581" s="455">
        <f t="shared" ca="1" si="154"/>
        <v>711010949163.49023</v>
      </c>
      <c r="M3581" s="471">
        <f t="shared" si="156"/>
        <v>0.05</v>
      </c>
      <c r="N3581" s="475">
        <f t="shared" si="157"/>
        <v>160037</v>
      </c>
    </row>
    <row r="3582" spans="7:14" ht="11.25" customHeight="1" x14ac:dyDescent="0.3">
      <c r="G3582" s="470"/>
      <c r="H3582" s="470">
        <v>3575</v>
      </c>
      <c r="I3582" s="455">
        <f t="shared" ca="1" si="155"/>
        <v>711010949163.49023</v>
      </c>
      <c r="J3582" s="455">
        <f t="array" ref="J3582">IFERROR(INDEX('Retirement Calculator'!K:K,MATCH('Lorri 401b'!N3582,'Retirement Calculator'!A:A,0),0),0)</f>
        <v>0</v>
      </c>
      <c r="K3582" s="455">
        <f t="shared" ca="1" si="153"/>
        <v>2962545621.5145426</v>
      </c>
      <c r="L3582" s="455">
        <f t="shared" ca="1" si="154"/>
        <v>713973494785.00476</v>
      </c>
      <c r="M3582" s="471">
        <f t="shared" si="156"/>
        <v>0.05</v>
      </c>
      <c r="N3582" s="475">
        <f t="shared" si="157"/>
        <v>160068</v>
      </c>
    </row>
    <row r="3583" spans="7:14" ht="11.25" customHeight="1" x14ac:dyDescent="0.3">
      <c r="G3583" s="470"/>
      <c r="H3583" s="470">
        <v>3576</v>
      </c>
      <c r="I3583" s="455">
        <f t="shared" ca="1" si="155"/>
        <v>713973494785.00476</v>
      </c>
      <c r="J3583" s="455">
        <f t="array" ref="J3583">IFERROR(INDEX('Retirement Calculator'!K:K,MATCH('Lorri 401b'!N3583,'Retirement Calculator'!A:A,0),0),0)</f>
        <v>0</v>
      </c>
      <c r="K3583" s="455">
        <f t="shared" ca="1" si="153"/>
        <v>2974889561.6041865</v>
      </c>
      <c r="L3583" s="455">
        <f t="shared" ca="1" si="154"/>
        <v>716948384346.60889</v>
      </c>
      <c r="M3583" s="471">
        <f t="shared" si="156"/>
        <v>0.05</v>
      </c>
      <c r="N3583" s="475">
        <f t="shared" si="157"/>
        <v>160098</v>
      </c>
    </row>
    <row r="3584" spans="7:14" ht="11.25" customHeight="1" x14ac:dyDescent="0.3">
      <c r="G3584" s="470"/>
      <c r="H3584" s="470">
        <v>3577</v>
      </c>
      <c r="I3584" s="455">
        <f t="shared" ca="1" si="155"/>
        <v>716948384346.60889</v>
      </c>
      <c r="J3584" s="455">
        <f t="array" ref="J3584">IFERROR(INDEX('Retirement Calculator'!K:K,MATCH('Lorri 401b'!N3584,'Retirement Calculator'!A:A,0),0),0)</f>
        <v>0</v>
      </c>
      <c r="K3584" s="455">
        <f t="shared" ca="1" si="153"/>
        <v>2987284934.7775369</v>
      </c>
      <c r="L3584" s="455">
        <f t="shared" ca="1" si="154"/>
        <v>719935669281.38647</v>
      </c>
      <c r="M3584" s="471">
        <f t="shared" si="156"/>
        <v>0.05</v>
      </c>
      <c r="N3584" s="475">
        <f t="shared" si="157"/>
        <v>160129</v>
      </c>
    </row>
    <row r="3585" spans="7:14" ht="11.25" customHeight="1" x14ac:dyDescent="0.3">
      <c r="G3585" s="470"/>
      <c r="H3585" s="470">
        <v>3578</v>
      </c>
      <c r="I3585" s="455">
        <f t="shared" ca="1" si="155"/>
        <v>719935669281.38647</v>
      </c>
      <c r="J3585" s="455">
        <f t="array" ref="J3585">IFERROR(INDEX('Retirement Calculator'!K:K,MATCH('Lorri 401b'!N3585,'Retirement Calculator'!A:A,0),0),0)</f>
        <v>0</v>
      </c>
      <c r="K3585" s="455">
        <f t="shared" ca="1" si="153"/>
        <v>2999731955.3391104</v>
      </c>
      <c r="L3585" s="455">
        <f t="shared" ca="1" si="154"/>
        <v>722935401236.72559</v>
      </c>
      <c r="M3585" s="471">
        <f t="shared" si="156"/>
        <v>0.05</v>
      </c>
      <c r="N3585" s="475">
        <f t="shared" si="157"/>
        <v>160159</v>
      </c>
    </row>
    <row r="3586" spans="7:14" ht="11.25" customHeight="1" x14ac:dyDescent="0.3">
      <c r="G3586" s="470"/>
      <c r="H3586" s="470">
        <v>3579</v>
      </c>
      <c r="I3586" s="455">
        <f t="shared" ca="1" si="155"/>
        <v>722935401236.72559</v>
      </c>
      <c r="J3586" s="455">
        <f t="array" ref="J3586">IFERROR(INDEX('Retirement Calculator'!K:K,MATCH('Lorri 401b'!N3586,'Retirement Calculator'!A:A,0),0),0)</f>
        <v>0</v>
      </c>
      <c r="K3586" s="455">
        <f t="shared" ca="1" si="153"/>
        <v>3012230838.4863567</v>
      </c>
      <c r="L3586" s="455">
        <f t="shared" ca="1" si="154"/>
        <v>725947632075.21191</v>
      </c>
      <c r="M3586" s="471">
        <f t="shared" si="156"/>
        <v>0.05</v>
      </c>
      <c r="N3586" s="475">
        <f t="shared" si="157"/>
        <v>160190</v>
      </c>
    </row>
    <row r="3587" spans="7:14" ht="11.25" customHeight="1" x14ac:dyDescent="0.3">
      <c r="G3587" s="470"/>
      <c r="H3587" s="470">
        <v>3580</v>
      </c>
      <c r="I3587" s="455">
        <f t="shared" ca="1" si="155"/>
        <v>725947632075.21191</v>
      </c>
      <c r="J3587" s="455">
        <f t="array" ref="J3587">IFERROR(INDEX('Retirement Calculator'!K:K,MATCH('Lorri 401b'!N3587,'Retirement Calculator'!A:A,0),0),0)</f>
        <v>0</v>
      </c>
      <c r="K3587" s="455">
        <f t="shared" ca="1" si="153"/>
        <v>3024781800.3133831</v>
      </c>
      <c r="L3587" s="455">
        <f t="shared" ca="1" si="154"/>
        <v>728972413875.52527</v>
      </c>
      <c r="M3587" s="471">
        <f t="shared" si="156"/>
        <v>0.05</v>
      </c>
      <c r="N3587" s="475">
        <f t="shared" si="157"/>
        <v>160221</v>
      </c>
    </row>
    <row r="3588" spans="7:14" ht="11.25" customHeight="1" x14ac:dyDescent="0.3">
      <c r="G3588" s="470"/>
      <c r="H3588" s="470">
        <v>3581</v>
      </c>
      <c r="I3588" s="455">
        <f t="shared" ca="1" si="155"/>
        <v>728972413875.52527</v>
      </c>
      <c r="J3588" s="455">
        <f t="array" ref="J3588">IFERROR(INDEX('Retirement Calculator'!K:K,MATCH('Lorri 401b'!N3588,'Retirement Calculator'!A:A,0),0),0)</f>
        <v>0</v>
      </c>
      <c r="K3588" s="455">
        <f t="shared" ca="1" si="153"/>
        <v>3037385057.8146887</v>
      </c>
      <c r="L3588" s="455">
        <f t="shared" ca="1" si="154"/>
        <v>732009798933.33997</v>
      </c>
      <c r="M3588" s="471">
        <f t="shared" si="156"/>
        <v>0.05</v>
      </c>
      <c r="N3588" s="475">
        <f t="shared" si="157"/>
        <v>160251</v>
      </c>
    </row>
    <row r="3589" spans="7:14" ht="11.25" customHeight="1" x14ac:dyDescent="0.3">
      <c r="G3589" s="470"/>
      <c r="H3589" s="470">
        <v>3582</v>
      </c>
      <c r="I3589" s="455">
        <f t="shared" ca="1" si="155"/>
        <v>732009798933.33997</v>
      </c>
      <c r="J3589" s="455">
        <f t="array" ref="J3589">IFERROR(INDEX('Retirement Calculator'!K:K,MATCH('Lorri 401b'!N3589,'Retirement Calculator'!A:A,0),0),0)</f>
        <v>0</v>
      </c>
      <c r="K3589" s="455">
        <f t="shared" ca="1" si="153"/>
        <v>3050040828.8889165</v>
      </c>
      <c r="L3589" s="455">
        <f t="shared" ca="1" si="154"/>
        <v>735059839762.22888</v>
      </c>
      <c r="M3589" s="471">
        <f t="shared" si="156"/>
        <v>0.05</v>
      </c>
      <c r="N3589" s="475">
        <f t="shared" si="157"/>
        <v>160282</v>
      </c>
    </row>
    <row r="3590" spans="7:14" ht="11.25" customHeight="1" x14ac:dyDescent="0.3">
      <c r="G3590" s="470"/>
      <c r="H3590" s="470">
        <v>3583</v>
      </c>
      <c r="I3590" s="455">
        <f t="shared" ca="1" si="155"/>
        <v>735059839762.22888</v>
      </c>
      <c r="J3590" s="455">
        <f t="array" ref="J3590">IFERROR(INDEX('Retirement Calculator'!K:K,MATCH('Lorri 401b'!N3590,'Retirement Calculator'!A:A,0),0),0)</f>
        <v>0</v>
      </c>
      <c r="K3590" s="455">
        <f t="shared" ca="1" si="153"/>
        <v>3062749332.3426204</v>
      </c>
      <c r="L3590" s="455">
        <f t="shared" ca="1" si="154"/>
        <v>738122589094.57153</v>
      </c>
      <c r="M3590" s="471">
        <f t="shared" si="156"/>
        <v>0.05</v>
      </c>
      <c r="N3590" s="475">
        <f t="shared" si="157"/>
        <v>160312</v>
      </c>
    </row>
    <row r="3591" spans="7:14" ht="11.25" customHeight="1" x14ac:dyDescent="0.3">
      <c r="G3591" s="470"/>
      <c r="H3591" s="470">
        <v>3584</v>
      </c>
      <c r="I3591" s="455">
        <f t="shared" ca="1" si="155"/>
        <v>738122589094.57153</v>
      </c>
      <c r="J3591" s="455">
        <f t="array" ref="J3591">IFERROR(INDEX('Retirement Calculator'!K:K,MATCH('Lorri 401b'!N3591,'Retirement Calculator'!A:A,0),0),0)</f>
        <v>0</v>
      </c>
      <c r="K3591" s="455">
        <f t="shared" ca="1" si="153"/>
        <v>3075510787.8940482</v>
      </c>
      <c r="L3591" s="455">
        <f t="shared" ca="1" si="154"/>
        <v>741198099882.46558</v>
      </c>
      <c r="M3591" s="471">
        <f t="shared" si="156"/>
        <v>0.05</v>
      </c>
      <c r="N3591" s="475">
        <f t="shared" si="157"/>
        <v>160343</v>
      </c>
    </row>
    <row r="3592" spans="7:14" ht="11.25" customHeight="1" x14ac:dyDescent="0.3">
      <c r="G3592" s="470"/>
      <c r="H3592" s="470">
        <v>3585</v>
      </c>
      <c r="I3592" s="455">
        <f t="shared" ca="1" si="155"/>
        <v>741198099882.46558</v>
      </c>
      <c r="J3592" s="455">
        <f t="array" ref="J3592">IFERROR(INDEX('Retirement Calculator'!K:K,MATCH('Lorri 401b'!N3592,'Retirement Calculator'!A:A,0),0),0)</f>
        <v>0</v>
      </c>
      <c r="K3592" s="455">
        <f t="shared" ca="1" si="153"/>
        <v>3088325416.17694</v>
      </c>
      <c r="L3592" s="455">
        <f t="shared" ca="1" si="154"/>
        <v>744286425298.64246</v>
      </c>
      <c r="M3592" s="471">
        <f t="shared" si="156"/>
        <v>0.05</v>
      </c>
      <c r="N3592" s="475">
        <f t="shared" si="157"/>
        <v>160374</v>
      </c>
    </row>
    <row r="3593" spans="7:14" ht="11.25" customHeight="1" x14ac:dyDescent="0.3">
      <c r="G3593" s="470"/>
      <c r="H3593" s="470">
        <v>3586</v>
      </c>
      <c r="I3593" s="455">
        <f t="shared" ca="1" si="155"/>
        <v>744286425298.64246</v>
      </c>
      <c r="J3593" s="455">
        <f t="array" ref="J3593">IFERROR(INDEX('Retirement Calculator'!K:K,MATCH('Lorri 401b'!N3593,'Retirement Calculator'!A:A,0),0),0)</f>
        <v>0</v>
      </c>
      <c r="K3593" s="455">
        <f t="shared" ca="1" si="153"/>
        <v>3101193438.7443438</v>
      </c>
      <c r="L3593" s="455">
        <f t="shared" ca="1" si="154"/>
        <v>747387618737.38684</v>
      </c>
      <c r="M3593" s="471">
        <f t="shared" si="156"/>
        <v>0.05</v>
      </c>
      <c r="N3593" s="475">
        <f t="shared" si="157"/>
        <v>160402</v>
      </c>
    </row>
    <row r="3594" spans="7:14" ht="11.25" customHeight="1" x14ac:dyDescent="0.3">
      <c r="G3594" s="470"/>
      <c r="H3594" s="470">
        <v>3587</v>
      </c>
      <c r="I3594" s="455">
        <f t="shared" ca="1" si="155"/>
        <v>747387618737.38684</v>
      </c>
      <c r="J3594" s="455">
        <f t="array" ref="J3594">IFERROR(INDEX('Retirement Calculator'!K:K,MATCH('Lorri 401b'!N3594,'Retirement Calculator'!A:A,0),0),0)</f>
        <v>0</v>
      </c>
      <c r="K3594" s="455">
        <f t="shared" ca="1" si="153"/>
        <v>3114115078.0724449</v>
      </c>
      <c r="L3594" s="455">
        <f t="shared" ca="1" si="154"/>
        <v>750501733815.45923</v>
      </c>
      <c r="M3594" s="471">
        <f t="shared" si="156"/>
        <v>0.05</v>
      </c>
      <c r="N3594" s="475">
        <f t="shared" si="157"/>
        <v>160433</v>
      </c>
    </row>
    <row r="3595" spans="7:14" ht="11.25" customHeight="1" x14ac:dyDescent="0.3">
      <c r="G3595" s="470"/>
      <c r="H3595" s="470">
        <v>3588</v>
      </c>
      <c r="I3595" s="455">
        <f t="shared" ca="1" si="155"/>
        <v>750501733815.45923</v>
      </c>
      <c r="J3595" s="455">
        <f t="array" ref="J3595">IFERROR(INDEX('Retirement Calculator'!K:K,MATCH('Lorri 401b'!N3595,'Retirement Calculator'!A:A,0),0),0)</f>
        <v>0</v>
      </c>
      <c r="K3595" s="455">
        <f t="shared" ca="1" si="153"/>
        <v>3127090557.5644135</v>
      </c>
      <c r="L3595" s="455">
        <f t="shared" ca="1" si="154"/>
        <v>753628824373.02368</v>
      </c>
      <c r="M3595" s="471">
        <f t="shared" si="156"/>
        <v>0.05</v>
      </c>
      <c r="N3595" s="475">
        <f t="shared" si="157"/>
        <v>160463</v>
      </c>
    </row>
    <row r="3596" spans="7:14" ht="11.25" customHeight="1" x14ac:dyDescent="0.3">
      <c r="G3596" s="470"/>
      <c r="H3596" s="470">
        <v>3589</v>
      </c>
      <c r="I3596" s="455">
        <f t="shared" ca="1" si="155"/>
        <v>753628824373.02368</v>
      </c>
      <c r="J3596" s="455">
        <f t="array" ref="J3596">IFERROR(INDEX('Retirement Calculator'!K:K,MATCH('Lorri 401b'!N3596,'Retirement Calculator'!A:A,0),0),0)</f>
        <v>0</v>
      </c>
      <c r="K3596" s="455">
        <f t="shared" ca="1" si="153"/>
        <v>3140120101.5542655</v>
      </c>
      <c r="L3596" s="455">
        <f t="shared" ca="1" si="154"/>
        <v>756768944474.578</v>
      </c>
      <c r="M3596" s="471">
        <f t="shared" si="156"/>
        <v>0.05</v>
      </c>
      <c r="N3596" s="475">
        <f t="shared" si="157"/>
        <v>160494</v>
      </c>
    </row>
    <row r="3597" spans="7:14" ht="11.25" customHeight="1" x14ac:dyDescent="0.3">
      <c r="G3597" s="470"/>
      <c r="H3597" s="470">
        <v>3590</v>
      </c>
      <c r="I3597" s="455">
        <f t="shared" ca="1" si="155"/>
        <v>756768944474.578</v>
      </c>
      <c r="J3597" s="455">
        <f t="array" ref="J3597">IFERROR(INDEX('Retirement Calculator'!K:K,MATCH('Lorri 401b'!N3597,'Retirement Calculator'!A:A,0),0),0)</f>
        <v>0</v>
      </c>
      <c r="K3597" s="455">
        <f t="shared" ca="1" si="153"/>
        <v>3153203935.3107414</v>
      </c>
      <c r="L3597" s="455">
        <f t="shared" ca="1" si="154"/>
        <v>759922148409.88879</v>
      </c>
      <c r="M3597" s="471">
        <f t="shared" si="156"/>
        <v>0.05</v>
      </c>
      <c r="N3597" s="475">
        <f t="shared" si="157"/>
        <v>160524</v>
      </c>
    </row>
    <row r="3598" spans="7:14" ht="11.25" customHeight="1" x14ac:dyDescent="0.3">
      <c r="G3598" s="470"/>
      <c r="H3598" s="470">
        <v>3591</v>
      </c>
      <c r="I3598" s="455">
        <f t="shared" ca="1" si="155"/>
        <v>759922148409.88879</v>
      </c>
      <c r="J3598" s="455">
        <f t="array" ref="J3598">IFERROR(INDEX('Retirement Calculator'!K:K,MATCH('Lorri 401b'!N3598,'Retirement Calculator'!A:A,0),0),0)</f>
        <v>0</v>
      </c>
      <c r="K3598" s="455">
        <f t="shared" ca="1" si="153"/>
        <v>3166342285.0412035</v>
      </c>
      <c r="L3598" s="455">
        <f t="shared" ca="1" si="154"/>
        <v>763088490694.93005</v>
      </c>
      <c r="M3598" s="471">
        <f t="shared" si="156"/>
        <v>0.05</v>
      </c>
      <c r="N3598" s="475">
        <f t="shared" si="157"/>
        <v>160555</v>
      </c>
    </row>
    <row r="3599" spans="7:14" ht="11.25" customHeight="1" x14ac:dyDescent="0.3">
      <c r="G3599" s="470"/>
      <c r="H3599" s="470">
        <v>3592</v>
      </c>
      <c r="I3599" s="455">
        <f t="shared" ca="1" si="155"/>
        <v>763088490694.93005</v>
      </c>
      <c r="J3599" s="455">
        <f t="array" ref="J3599">IFERROR(INDEX('Retirement Calculator'!K:K,MATCH('Lorri 401b'!N3599,'Retirement Calculator'!A:A,0),0),0)</f>
        <v>0</v>
      </c>
      <c r="K3599" s="455">
        <f t="shared" ca="1" si="153"/>
        <v>3179535377.8955417</v>
      </c>
      <c r="L3599" s="455">
        <f t="shared" ca="1" si="154"/>
        <v>766268026072.82556</v>
      </c>
      <c r="M3599" s="471">
        <f t="shared" si="156"/>
        <v>0.05</v>
      </c>
      <c r="N3599" s="475">
        <f t="shared" si="157"/>
        <v>160586</v>
      </c>
    </row>
    <row r="3600" spans="7:14" ht="11.25" customHeight="1" x14ac:dyDescent="0.3">
      <c r="G3600" s="470"/>
      <c r="H3600" s="470">
        <v>3593</v>
      </c>
      <c r="I3600" s="455">
        <f t="shared" ca="1" si="155"/>
        <v>766268026072.82556</v>
      </c>
      <c r="J3600" s="455">
        <f t="array" ref="J3600">IFERROR(INDEX('Retirement Calculator'!K:K,MATCH('Lorri 401b'!N3600,'Retirement Calculator'!A:A,0),0),0)</f>
        <v>0</v>
      </c>
      <c r="K3600" s="455">
        <f t="shared" ca="1" si="153"/>
        <v>3192783441.9701066</v>
      </c>
      <c r="L3600" s="455">
        <f t="shared" ca="1" si="154"/>
        <v>769460809514.79565</v>
      </c>
      <c r="M3600" s="471">
        <f t="shared" si="156"/>
        <v>0.05</v>
      </c>
      <c r="N3600" s="475">
        <f t="shared" si="157"/>
        <v>160616</v>
      </c>
    </row>
    <row r="3601" spans="7:14" ht="11.25" customHeight="1" x14ac:dyDescent="0.3">
      <c r="G3601" s="470"/>
      <c r="H3601" s="470">
        <v>3594</v>
      </c>
      <c r="I3601" s="455">
        <f t="shared" ca="1" si="155"/>
        <v>769460809514.79565</v>
      </c>
      <c r="J3601" s="455">
        <f t="array" ref="J3601">IFERROR(INDEX('Retirement Calculator'!K:K,MATCH('Lorri 401b'!N3601,'Retirement Calculator'!A:A,0),0),0)</f>
        <v>0</v>
      </c>
      <c r="K3601" s="455">
        <f t="shared" ca="1" si="153"/>
        <v>3206086706.3116484</v>
      </c>
      <c r="L3601" s="455">
        <f t="shared" ca="1" si="154"/>
        <v>772666896221.1073</v>
      </c>
      <c r="M3601" s="471">
        <f t="shared" si="156"/>
        <v>0.05</v>
      </c>
      <c r="N3601" s="475">
        <f t="shared" si="157"/>
        <v>160647</v>
      </c>
    </row>
    <row r="3602" spans="7:14" ht="11.25" customHeight="1" x14ac:dyDescent="0.3">
      <c r="G3602" s="470"/>
      <c r="H3602" s="470">
        <v>3595</v>
      </c>
      <c r="I3602" s="455">
        <f t="shared" ca="1" si="155"/>
        <v>772666896221.1073</v>
      </c>
      <c r="J3602" s="455">
        <f t="array" ref="J3602">IFERROR(INDEX('Retirement Calculator'!K:K,MATCH('Lorri 401b'!N3602,'Retirement Calculator'!A:A,0),0),0)</f>
        <v>0</v>
      </c>
      <c r="K3602" s="455">
        <f t="shared" ca="1" si="153"/>
        <v>3219445400.9212804</v>
      </c>
      <c r="L3602" s="455">
        <f t="shared" ca="1" si="154"/>
        <v>775886341622.02856</v>
      </c>
      <c r="M3602" s="471">
        <f t="shared" si="156"/>
        <v>0.05</v>
      </c>
      <c r="N3602" s="475">
        <f t="shared" si="157"/>
        <v>160677</v>
      </c>
    </row>
    <row r="3603" spans="7:14" ht="11.25" customHeight="1" x14ac:dyDescent="0.3">
      <c r="G3603" s="470"/>
      <c r="H3603" s="470">
        <v>3596</v>
      </c>
      <c r="I3603" s="455">
        <f t="shared" ca="1" si="155"/>
        <v>775886341622.02856</v>
      </c>
      <c r="J3603" s="455">
        <f t="array" ref="J3603">IFERROR(INDEX('Retirement Calculator'!K:K,MATCH('Lorri 401b'!N3603,'Retirement Calculator'!A:A,0),0),0)</f>
        <v>0</v>
      </c>
      <c r="K3603" s="455">
        <f t="shared" ca="1" si="153"/>
        <v>3232859756.7584524</v>
      </c>
      <c r="L3603" s="455">
        <f t="shared" ca="1" si="154"/>
        <v>779119201378.78699</v>
      </c>
      <c r="M3603" s="471">
        <f t="shared" si="156"/>
        <v>0.05</v>
      </c>
      <c r="N3603" s="475">
        <f t="shared" si="157"/>
        <v>160708</v>
      </c>
    </row>
    <row r="3604" spans="7:14" ht="11.25" customHeight="1" x14ac:dyDescent="0.3">
      <c r="G3604" s="470"/>
      <c r="H3604" s="470">
        <v>3597</v>
      </c>
      <c r="I3604" s="455">
        <f t="shared" ca="1" si="155"/>
        <v>779119201378.78699</v>
      </c>
      <c r="J3604" s="455">
        <f t="array" ref="J3604">IFERROR(INDEX('Retirement Calculator'!K:K,MATCH('Lorri 401b'!N3604,'Retirement Calculator'!A:A,0),0),0)</f>
        <v>0</v>
      </c>
      <c r="K3604" s="455">
        <f t="shared" ca="1" si="153"/>
        <v>3246330005.7449455</v>
      </c>
      <c r="L3604" s="455">
        <f t="shared" ca="1" si="154"/>
        <v>782365531384.53198</v>
      </c>
      <c r="M3604" s="471">
        <f t="shared" si="156"/>
        <v>0.05</v>
      </c>
      <c r="N3604" s="475">
        <f t="shared" si="157"/>
        <v>160739</v>
      </c>
    </row>
    <row r="3605" spans="7:14" ht="11.25" customHeight="1" x14ac:dyDescent="0.3">
      <c r="G3605" s="470"/>
      <c r="H3605" s="470">
        <v>3598</v>
      </c>
      <c r="I3605" s="455">
        <f t="shared" ca="1" si="155"/>
        <v>782365531384.53198</v>
      </c>
      <c r="J3605" s="455">
        <f t="array" ref="J3605">IFERROR(INDEX('Retirement Calculator'!K:K,MATCH('Lorri 401b'!N3605,'Retirement Calculator'!A:A,0),0),0)</f>
        <v>0</v>
      </c>
      <c r="K3605" s="455">
        <f t="shared" ca="1" si="153"/>
        <v>3259856380.7688832</v>
      </c>
      <c r="L3605" s="455">
        <f t="shared" ca="1" si="154"/>
        <v>785625387765.3009</v>
      </c>
      <c r="M3605" s="471">
        <f t="shared" si="156"/>
        <v>0.05</v>
      </c>
      <c r="N3605" s="475">
        <f t="shared" si="157"/>
        <v>160768</v>
      </c>
    </row>
    <row r="3606" spans="7:14" ht="11.25" customHeight="1" x14ac:dyDescent="0.3">
      <c r="G3606" s="470"/>
      <c r="H3606" s="470">
        <v>3599</v>
      </c>
      <c r="I3606" s="455">
        <f t="shared" ca="1" si="155"/>
        <v>785625387765.3009</v>
      </c>
      <c r="J3606" s="455">
        <f t="array" ref="J3606">IFERROR(INDEX('Retirement Calculator'!K:K,MATCH('Lorri 401b'!N3606,'Retirement Calculator'!A:A,0),0),0)</f>
        <v>0</v>
      </c>
      <c r="K3606" s="455">
        <f t="shared" ca="1" si="153"/>
        <v>3273439115.6887536</v>
      </c>
      <c r="L3606" s="455">
        <f t="shared" ca="1" si="154"/>
        <v>788898826880.98962</v>
      </c>
      <c r="M3606" s="471">
        <f t="shared" si="156"/>
        <v>0.05</v>
      </c>
      <c r="N3606" s="475">
        <f t="shared" si="157"/>
        <v>160799</v>
      </c>
    </row>
    <row r="3607" spans="7:14" ht="11.25" customHeight="1" x14ac:dyDescent="0.3">
      <c r="G3607" s="470"/>
      <c r="H3607" s="470">
        <v>3600</v>
      </c>
      <c r="I3607" s="455">
        <f t="shared" ca="1" si="155"/>
        <v>788898826880.98962</v>
      </c>
      <c r="J3607" s="455">
        <f t="array" ref="J3607">IFERROR(INDEX('Retirement Calculator'!K:K,MATCH('Lorri 401b'!N3607,'Retirement Calculator'!A:A,0),0),0)</f>
        <v>0</v>
      </c>
      <c r="K3607" s="455">
        <f t="shared" ca="1" si="153"/>
        <v>3287078445.3374567</v>
      </c>
      <c r="L3607" s="455">
        <f t="shared" ca="1" si="154"/>
        <v>792185905326.32703</v>
      </c>
      <c r="M3607" s="471">
        <f t="shared" si="156"/>
        <v>0.05</v>
      </c>
      <c r="N3607" s="475">
        <f t="shared" si="157"/>
        <v>160829</v>
      </c>
    </row>
    <row r="3608" spans="7:14" ht="11.25" customHeight="1" x14ac:dyDescent="0.3">
      <c r="G3608" s="470"/>
      <c r="H3608" s="470">
        <v>3601</v>
      </c>
      <c r="I3608" s="455">
        <f t="shared" ca="1" si="155"/>
        <v>792185905326.32703</v>
      </c>
      <c r="J3608" s="455">
        <f t="array" ref="J3608">IFERROR(INDEX('Retirement Calculator'!K:K,MATCH('Lorri 401b'!N3608,'Retirement Calculator'!A:A,0),0),0)</f>
        <v>0</v>
      </c>
      <c r="K3608" s="455">
        <f t="shared" ca="1" si="153"/>
        <v>3300774605.5263624</v>
      </c>
      <c r="L3608" s="455">
        <f t="shared" ca="1" si="154"/>
        <v>795486679931.85339</v>
      </c>
      <c r="M3608" s="471">
        <f t="shared" si="156"/>
        <v>0.05</v>
      </c>
      <c r="N3608" s="475">
        <f t="shared" si="157"/>
        <v>160860</v>
      </c>
    </row>
    <row r="3609" spans="7:14" ht="11.25" customHeight="1" x14ac:dyDescent="0.3">
      <c r="G3609" s="470"/>
      <c r="H3609" s="470">
        <v>3602</v>
      </c>
      <c r="I3609" s="455">
        <f t="shared" ca="1" si="155"/>
        <v>795486679931.85339</v>
      </c>
      <c r="J3609" s="455">
        <f t="array" ref="J3609">IFERROR(INDEX('Retirement Calculator'!K:K,MATCH('Lorri 401b'!N3609,'Retirement Calculator'!A:A,0),0),0)</f>
        <v>0</v>
      </c>
      <c r="K3609" s="455">
        <f t="shared" ca="1" si="153"/>
        <v>3314527833.0493889</v>
      </c>
      <c r="L3609" s="455">
        <f t="shared" ca="1" si="154"/>
        <v>798801207764.90283</v>
      </c>
      <c r="M3609" s="471">
        <f t="shared" si="156"/>
        <v>0.05</v>
      </c>
      <c r="N3609" s="475">
        <f t="shared" si="157"/>
        <v>160890</v>
      </c>
    </row>
    <row r="3610" spans="7:14" ht="11.25" customHeight="1" x14ac:dyDescent="0.3">
      <c r="G3610" s="470"/>
      <c r="H3610" s="470">
        <v>3603</v>
      </c>
      <c r="I3610" s="455">
        <f t="shared" ca="1" si="155"/>
        <v>798801207764.90283</v>
      </c>
      <c r="J3610" s="455">
        <f t="array" ref="J3610">IFERROR(INDEX('Retirement Calculator'!K:K,MATCH('Lorri 401b'!N3610,'Retirement Calculator'!A:A,0),0),0)</f>
        <v>0</v>
      </c>
      <c r="K3610" s="455">
        <f t="shared" ca="1" si="153"/>
        <v>3328338365.6870952</v>
      </c>
      <c r="L3610" s="455">
        <f t="shared" ca="1" si="154"/>
        <v>802129546130.58997</v>
      </c>
      <c r="M3610" s="471">
        <f t="shared" si="156"/>
        <v>0.05</v>
      </c>
      <c r="N3610" s="475">
        <f t="shared" si="157"/>
        <v>160921</v>
      </c>
    </row>
    <row r="3611" spans="7:14" ht="11.25" customHeight="1" x14ac:dyDescent="0.3">
      <c r="G3611" s="470"/>
      <c r="H3611" s="470">
        <v>3604</v>
      </c>
      <c r="I3611" s="455">
        <f t="shared" ca="1" si="155"/>
        <v>802129546130.58997</v>
      </c>
      <c r="J3611" s="455">
        <f t="array" ref="J3611">IFERROR(INDEX('Retirement Calculator'!K:K,MATCH('Lorri 401b'!N3611,'Retirement Calculator'!A:A,0),0),0)</f>
        <v>0</v>
      </c>
      <c r="K3611" s="455">
        <f t="shared" ca="1" si="153"/>
        <v>3342206442.2107916</v>
      </c>
      <c r="L3611" s="455">
        <f t="shared" ca="1" si="154"/>
        <v>805471752572.80078</v>
      </c>
      <c r="M3611" s="471">
        <f t="shared" si="156"/>
        <v>0.05</v>
      </c>
      <c r="N3611" s="475">
        <f t="shared" si="157"/>
        <v>160952</v>
      </c>
    </row>
    <row r="3612" spans="7:14" ht="11.25" customHeight="1" x14ac:dyDescent="0.3">
      <c r="G3612" s="470"/>
      <c r="H3612" s="470">
        <v>3605</v>
      </c>
      <c r="I3612" s="455">
        <f t="shared" ca="1" si="155"/>
        <v>805471752572.80078</v>
      </c>
      <c r="J3612" s="455">
        <f t="array" ref="J3612">IFERROR(INDEX('Retirement Calculator'!K:K,MATCH('Lorri 401b'!N3612,'Retirement Calculator'!A:A,0),0),0)</f>
        <v>0</v>
      </c>
      <c r="K3612" s="455">
        <f t="shared" ca="1" si="153"/>
        <v>3356132302.3866701</v>
      </c>
      <c r="L3612" s="455">
        <f t="shared" ca="1" si="154"/>
        <v>808827884875.1875</v>
      </c>
      <c r="M3612" s="471">
        <f t="shared" si="156"/>
        <v>0.05</v>
      </c>
      <c r="N3612" s="475">
        <f t="shared" si="157"/>
        <v>160982</v>
      </c>
    </row>
    <row r="3613" spans="7:14" ht="11.25" customHeight="1" x14ac:dyDescent="0.3">
      <c r="G3613" s="470"/>
      <c r="H3613" s="470">
        <v>3606</v>
      </c>
      <c r="I3613" s="455">
        <f t="shared" ca="1" si="155"/>
        <v>808827884875.1875</v>
      </c>
      <c r="J3613" s="455">
        <f t="array" ref="J3613">IFERROR(INDEX('Retirement Calculator'!K:K,MATCH('Lorri 401b'!N3613,'Retirement Calculator'!A:A,0),0),0)</f>
        <v>0</v>
      </c>
      <c r="K3613" s="455">
        <f t="shared" ca="1" si="153"/>
        <v>3370116186.979948</v>
      </c>
      <c r="L3613" s="455">
        <f t="shared" ca="1" si="154"/>
        <v>812198001062.16748</v>
      </c>
      <c r="M3613" s="471">
        <f t="shared" si="156"/>
        <v>0.05</v>
      </c>
      <c r="N3613" s="475">
        <f t="shared" si="157"/>
        <v>161013</v>
      </c>
    </row>
    <row r="3614" spans="7:14" ht="11.25" customHeight="1" x14ac:dyDescent="0.3">
      <c r="G3614" s="470"/>
      <c r="H3614" s="470">
        <v>3607</v>
      </c>
      <c r="I3614" s="455">
        <f t="shared" ca="1" si="155"/>
        <v>812198001062.16748</v>
      </c>
      <c r="J3614" s="455">
        <f t="array" ref="J3614">IFERROR(INDEX('Retirement Calculator'!K:K,MATCH('Lorri 401b'!N3614,'Retirement Calculator'!A:A,0),0),0)</f>
        <v>0</v>
      </c>
      <c r="K3614" s="455">
        <f t="shared" ca="1" si="153"/>
        <v>3384158337.7590313</v>
      </c>
      <c r="L3614" s="455">
        <f t="shared" ca="1" si="154"/>
        <v>815582159399.92651</v>
      </c>
      <c r="M3614" s="471">
        <f t="shared" si="156"/>
        <v>0.05</v>
      </c>
      <c r="N3614" s="475">
        <f t="shared" si="157"/>
        <v>161043</v>
      </c>
    </row>
    <row r="3615" spans="7:14" ht="11.25" customHeight="1" x14ac:dyDescent="0.3">
      <c r="G3615" s="470"/>
      <c r="H3615" s="470">
        <v>3608</v>
      </c>
      <c r="I3615" s="455">
        <f t="shared" ca="1" si="155"/>
        <v>815582159399.92651</v>
      </c>
      <c r="J3615" s="455">
        <f t="array" ref="J3615">IFERROR(INDEX('Retirement Calculator'!K:K,MATCH('Lorri 401b'!N3615,'Retirement Calculator'!A:A,0),0),0)</f>
        <v>0</v>
      </c>
      <c r="K3615" s="455">
        <f t="shared" ca="1" si="153"/>
        <v>3398258997.4996939</v>
      </c>
      <c r="L3615" s="455">
        <f t="shared" ca="1" si="154"/>
        <v>818980418397.42615</v>
      </c>
      <c r="M3615" s="471">
        <f t="shared" si="156"/>
        <v>0.05</v>
      </c>
      <c r="N3615" s="475">
        <f t="shared" si="157"/>
        <v>161074</v>
      </c>
    </row>
    <row r="3616" spans="7:14" ht="11.25" customHeight="1" x14ac:dyDescent="0.3">
      <c r="G3616" s="470"/>
      <c r="H3616" s="470">
        <v>3609</v>
      </c>
      <c r="I3616" s="455">
        <f t="shared" ca="1" si="155"/>
        <v>818980418397.42615</v>
      </c>
      <c r="J3616" s="455">
        <f t="array" ref="J3616">IFERROR(INDEX('Retirement Calculator'!K:K,MATCH('Lorri 401b'!N3616,'Retirement Calculator'!A:A,0),0),0)</f>
        <v>0</v>
      </c>
      <c r="K3616" s="455">
        <f t="shared" ca="1" si="153"/>
        <v>3412418409.9892755</v>
      </c>
      <c r="L3616" s="455">
        <f t="shared" ca="1" si="154"/>
        <v>822392836807.41541</v>
      </c>
      <c r="M3616" s="471">
        <f t="shared" si="156"/>
        <v>0.05</v>
      </c>
      <c r="N3616" s="475">
        <f t="shared" si="157"/>
        <v>161105</v>
      </c>
    </row>
    <row r="3617" spans="7:14" ht="11.25" customHeight="1" x14ac:dyDescent="0.3">
      <c r="G3617" s="470"/>
      <c r="H3617" s="470">
        <v>3610</v>
      </c>
      <c r="I3617" s="455">
        <f t="shared" ca="1" si="155"/>
        <v>822392836807.41541</v>
      </c>
      <c r="J3617" s="455">
        <f t="array" ref="J3617">IFERROR(INDEX('Retirement Calculator'!K:K,MATCH('Lorri 401b'!N3617,'Retirement Calculator'!A:A,0),0),0)</f>
        <v>0</v>
      </c>
      <c r="K3617" s="455">
        <f t="shared" ca="1" si="153"/>
        <v>3426636820.0308976</v>
      </c>
      <c r="L3617" s="455">
        <f t="shared" ca="1" si="154"/>
        <v>825819473627.44629</v>
      </c>
      <c r="M3617" s="471">
        <f t="shared" si="156"/>
        <v>0.05</v>
      </c>
      <c r="N3617" s="475">
        <f t="shared" si="157"/>
        <v>161133</v>
      </c>
    </row>
    <row r="3618" spans="7:14" ht="11.25" customHeight="1" x14ac:dyDescent="0.3">
      <c r="G3618" s="470"/>
      <c r="H3618" s="470">
        <v>3611</v>
      </c>
      <c r="I3618" s="455">
        <f t="shared" ca="1" si="155"/>
        <v>825819473627.44629</v>
      </c>
      <c r="J3618" s="455">
        <f t="array" ref="J3618">IFERROR(INDEX('Retirement Calculator'!K:K,MATCH('Lorri 401b'!N3618,'Retirement Calculator'!A:A,0),0),0)</f>
        <v>0</v>
      </c>
      <c r="K3618" s="455">
        <f t="shared" ca="1" si="153"/>
        <v>3440914473.4476929</v>
      </c>
      <c r="L3618" s="455">
        <f t="shared" ca="1" si="154"/>
        <v>829260388100.89404</v>
      </c>
      <c r="M3618" s="471">
        <f t="shared" si="156"/>
        <v>0.05</v>
      </c>
      <c r="N3618" s="475">
        <f t="shared" si="157"/>
        <v>161164</v>
      </c>
    </row>
    <row r="3619" spans="7:14" ht="11.25" customHeight="1" x14ac:dyDescent="0.3">
      <c r="G3619" s="470"/>
      <c r="H3619" s="470">
        <v>3612</v>
      </c>
      <c r="I3619" s="455">
        <f t="shared" ca="1" si="155"/>
        <v>829260388100.89404</v>
      </c>
      <c r="J3619" s="455">
        <f t="array" ref="J3619">IFERROR(INDEX('Retirement Calculator'!K:K,MATCH('Lorri 401b'!N3619,'Retirement Calculator'!A:A,0),0),0)</f>
        <v>0</v>
      </c>
      <c r="K3619" s="455">
        <f t="shared" ca="1" si="153"/>
        <v>3455251617.0870585</v>
      </c>
      <c r="L3619" s="455">
        <f t="shared" ca="1" si="154"/>
        <v>832715639717.98108</v>
      </c>
      <c r="M3619" s="471">
        <f t="shared" si="156"/>
        <v>0.05</v>
      </c>
      <c r="N3619" s="475">
        <f t="shared" si="157"/>
        <v>161194</v>
      </c>
    </row>
    <row r="3620" spans="7:14" ht="11.25" customHeight="1" x14ac:dyDescent="0.3">
      <c r="G3620" s="470"/>
      <c r="H3620" s="470">
        <v>3613</v>
      </c>
      <c r="I3620" s="455">
        <f t="shared" ca="1" si="155"/>
        <v>832715639717.98108</v>
      </c>
      <c r="J3620" s="455">
        <f t="array" ref="J3620">IFERROR(INDEX('Retirement Calculator'!K:K,MATCH('Lorri 401b'!N3620,'Retirement Calculator'!A:A,0),0),0)</f>
        <v>0</v>
      </c>
      <c r="K3620" s="455">
        <f t="shared" ca="1" si="153"/>
        <v>3469648498.8249211</v>
      </c>
      <c r="L3620" s="455">
        <f t="shared" ca="1" si="154"/>
        <v>836185288216.80603</v>
      </c>
      <c r="M3620" s="471">
        <f t="shared" si="156"/>
        <v>0.05</v>
      </c>
      <c r="N3620" s="475">
        <f t="shared" si="157"/>
        <v>161225</v>
      </c>
    </row>
    <row r="3621" spans="7:14" ht="11.25" customHeight="1" x14ac:dyDescent="0.3">
      <c r="G3621" s="470"/>
      <c r="H3621" s="470">
        <v>3614</v>
      </c>
      <c r="I3621" s="455">
        <f t="shared" ca="1" si="155"/>
        <v>836185288216.80603</v>
      </c>
      <c r="J3621" s="455">
        <f t="array" ref="J3621">IFERROR(INDEX('Retirement Calculator'!K:K,MATCH('Lorri 401b'!N3621,'Retirement Calculator'!A:A,0),0),0)</f>
        <v>0</v>
      </c>
      <c r="K3621" s="455">
        <f t="shared" ca="1" si="153"/>
        <v>3484105367.570025</v>
      </c>
      <c r="L3621" s="455">
        <f t="shared" ca="1" si="154"/>
        <v>839669393584.3761</v>
      </c>
      <c r="M3621" s="471">
        <f t="shared" si="156"/>
        <v>0.05</v>
      </c>
      <c r="N3621" s="475">
        <f t="shared" si="157"/>
        <v>161255</v>
      </c>
    </row>
    <row r="3622" spans="7:14" ht="11.25" customHeight="1" x14ac:dyDescent="0.3">
      <c r="G3622" s="470"/>
      <c r="H3622" s="470">
        <v>3615</v>
      </c>
      <c r="I3622" s="455">
        <f t="shared" ca="1" si="155"/>
        <v>839669393584.3761</v>
      </c>
      <c r="J3622" s="455">
        <f t="array" ref="J3622">IFERROR(INDEX('Retirement Calculator'!K:K,MATCH('Lorri 401b'!N3622,'Retirement Calculator'!A:A,0),0),0)</f>
        <v>0</v>
      </c>
      <c r="K3622" s="455">
        <f t="shared" ca="1" si="153"/>
        <v>3498622473.2682338</v>
      </c>
      <c r="L3622" s="455">
        <f t="shared" ca="1" si="154"/>
        <v>843168016057.64429</v>
      </c>
      <c r="M3622" s="471">
        <f t="shared" si="156"/>
        <v>0.05</v>
      </c>
      <c r="N3622" s="475">
        <f t="shared" si="157"/>
        <v>161286</v>
      </c>
    </row>
    <row r="3623" spans="7:14" ht="11.25" customHeight="1" x14ac:dyDescent="0.3">
      <c r="G3623" s="470"/>
      <c r="H3623" s="470">
        <v>3616</v>
      </c>
      <c r="I3623" s="455">
        <f t="shared" ca="1" si="155"/>
        <v>843168016057.64429</v>
      </c>
      <c r="J3623" s="455">
        <f t="array" ref="J3623">IFERROR(INDEX('Retirement Calculator'!K:K,MATCH('Lorri 401b'!N3623,'Retirement Calculator'!A:A,0),0),0)</f>
        <v>0</v>
      </c>
      <c r="K3623" s="455">
        <f t="shared" ca="1" si="153"/>
        <v>3513200066.9068513</v>
      </c>
      <c r="L3623" s="455">
        <f t="shared" ca="1" si="154"/>
        <v>846681216124.55115</v>
      </c>
      <c r="M3623" s="471">
        <f t="shared" si="156"/>
        <v>0.05</v>
      </c>
      <c r="N3623" s="475">
        <f t="shared" si="157"/>
        <v>161317</v>
      </c>
    </row>
    <row r="3624" spans="7:14" ht="11.25" customHeight="1" x14ac:dyDescent="0.3">
      <c r="G3624" s="470"/>
      <c r="H3624" s="470">
        <v>3617</v>
      </c>
      <c r="I3624" s="455">
        <f t="shared" ca="1" si="155"/>
        <v>846681216124.55115</v>
      </c>
      <c r="J3624" s="455">
        <f t="array" ref="J3624">IFERROR(INDEX('Retirement Calculator'!K:K,MATCH('Lorri 401b'!N3624,'Retirement Calculator'!A:A,0),0),0)</f>
        <v>0</v>
      </c>
      <c r="K3624" s="455">
        <f t="shared" ca="1" si="153"/>
        <v>3527838400.5189629</v>
      </c>
      <c r="L3624" s="455">
        <f t="shared" ca="1" si="154"/>
        <v>850209054525.07007</v>
      </c>
      <c r="M3624" s="471">
        <f t="shared" si="156"/>
        <v>0.05</v>
      </c>
      <c r="N3624" s="475">
        <f t="shared" si="157"/>
        <v>161347</v>
      </c>
    </row>
    <row r="3625" spans="7:14" ht="11.25" customHeight="1" x14ac:dyDescent="0.3">
      <c r="G3625" s="470"/>
      <c r="H3625" s="470">
        <v>3618</v>
      </c>
      <c r="I3625" s="455">
        <f t="shared" ca="1" si="155"/>
        <v>850209054525.07007</v>
      </c>
      <c r="J3625" s="455">
        <f t="array" ref="J3625">IFERROR(INDEX('Retirement Calculator'!K:K,MATCH('Lorri 401b'!N3625,'Retirement Calculator'!A:A,0),0),0)</f>
        <v>0</v>
      </c>
      <c r="K3625" s="455">
        <f t="shared" ca="1" si="153"/>
        <v>3542537727.1877918</v>
      </c>
      <c r="L3625" s="455">
        <f t="shared" ca="1" si="154"/>
        <v>853751592252.25781</v>
      </c>
      <c r="M3625" s="471">
        <f t="shared" si="156"/>
        <v>0.05</v>
      </c>
      <c r="N3625" s="475">
        <f t="shared" si="157"/>
        <v>161378</v>
      </c>
    </row>
    <row r="3626" spans="7:14" ht="11.25" customHeight="1" x14ac:dyDescent="0.3">
      <c r="G3626" s="470"/>
      <c r="H3626" s="470">
        <v>3619</v>
      </c>
      <c r="I3626" s="455">
        <f t="shared" ca="1" si="155"/>
        <v>853751592252.25781</v>
      </c>
      <c r="J3626" s="455">
        <f t="array" ref="J3626">IFERROR(INDEX('Retirement Calculator'!K:K,MATCH('Lorri 401b'!N3626,'Retirement Calculator'!A:A,0),0),0)</f>
        <v>0</v>
      </c>
      <c r="K3626" s="455">
        <f t="shared" ca="1" si="153"/>
        <v>3557298301.051074</v>
      </c>
      <c r="L3626" s="455">
        <f t="shared" ca="1" si="154"/>
        <v>857308890553.30884</v>
      </c>
      <c r="M3626" s="471">
        <f t="shared" si="156"/>
        <v>0.05</v>
      </c>
      <c r="N3626" s="475">
        <f t="shared" si="157"/>
        <v>161408</v>
      </c>
    </row>
    <row r="3627" spans="7:14" ht="11.25" customHeight="1" x14ac:dyDescent="0.3">
      <c r="G3627" s="470"/>
      <c r="H3627" s="470">
        <v>3620</v>
      </c>
      <c r="I3627" s="455">
        <f t="shared" ca="1" si="155"/>
        <v>857308890553.30884</v>
      </c>
      <c r="J3627" s="455">
        <f t="array" ref="J3627">IFERROR(INDEX('Retirement Calculator'!K:K,MATCH('Lorri 401b'!N3627,'Retirement Calculator'!A:A,0),0),0)</f>
        <v>0</v>
      </c>
      <c r="K3627" s="455">
        <f t="shared" ca="1" si="153"/>
        <v>3572120377.3054533</v>
      </c>
      <c r="L3627" s="455">
        <f t="shared" ca="1" si="154"/>
        <v>860881010930.61426</v>
      </c>
      <c r="M3627" s="471">
        <f t="shared" si="156"/>
        <v>0.05</v>
      </c>
      <c r="N3627" s="475">
        <f t="shared" si="157"/>
        <v>161439</v>
      </c>
    </row>
    <row r="3628" spans="7:14" ht="11.25" customHeight="1" x14ac:dyDescent="0.3">
      <c r="G3628" s="470"/>
      <c r="H3628" s="470">
        <v>3621</v>
      </c>
      <c r="I3628" s="455">
        <f t="shared" ca="1" si="155"/>
        <v>860881010930.61426</v>
      </c>
      <c r="J3628" s="455">
        <f t="array" ref="J3628">IFERROR(INDEX('Retirement Calculator'!K:K,MATCH('Lorri 401b'!N3628,'Retirement Calculator'!A:A,0),0),0)</f>
        <v>0</v>
      </c>
      <c r="K3628" s="455">
        <f t="shared" ca="1" si="153"/>
        <v>3587004212.2108927</v>
      </c>
      <c r="L3628" s="455">
        <f t="shared" ca="1" si="154"/>
        <v>864468015142.8252</v>
      </c>
      <c r="M3628" s="471">
        <f t="shared" si="156"/>
        <v>0.05</v>
      </c>
      <c r="N3628" s="475">
        <f t="shared" si="157"/>
        <v>161470</v>
      </c>
    </row>
    <row r="3629" spans="7:14" ht="11.25" customHeight="1" x14ac:dyDescent="0.3">
      <c r="G3629" s="470"/>
      <c r="H3629" s="470">
        <v>3622</v>
      </c>
      <c r="I3629" s="455">
        <f t="shared" ca="1" si="155"/>
        <v>864468015142.8252</v>
      </c>
      <c r="J3629" s="455">
        <f t="array" ref="J3629">IFERROR(INDEX('Retirement Calculator'!K:K,MATCH('Lorri 401b'!N3629,'Retirement Calculator'!A:A,0),0),0)</f>
        <v>0</v>
      </c>
      <c r="K3629" s="455">
        <f t="shared" ca="1" si="153"/>
        <v>3601950063.0951056</v>
      </c>
      <c r="L3629" s="455">
        <f t="shared" ca="1" si="154"/>
        <v>868069965205.92029</v>
      </c>
      <c r="M3629" s="471">
        <f t="shared" si="156"/>
        <v>0.05</v>
      </c>
      <c r="N3629" s="475">
        <f t="shared" si="157"/>
        <v>161498</v>
      </c>
    </row>
    <row r="3630" spans="7:14" ht="11.25" customHeight="1" x14ac:dyDescent="0.3">
      <c r="G3630" s="470"/>
      <c r="H3630" s="470">
        <v>3623</v>
      </c>
      <c r="I3630" s="455">
        <f t="shared" ca="1" si="155"/>
        <v>868069965205.92029</v>
      </c>
      <c r="J3630" s="455">
        <f t="array" ref="J3630">IFERROR(INDEX('Retirement Calculator'!K:K,MATCH('Lorri 401b'!N3630,'Retirement Calculator'!A:A,0),0),0)</f>
        <v>0</v>
      </c>
      <c r="K3630" s="455">
        <f t="shared" ca="1" si="153"/>
        <v>3616958188.3580012</v>
      </c>
      <c r="L3630" s="455">
        <f t="shared" ca="1" si="154"/>
        <v>871686923394.27832</v>
      </c>
      <c r="M3630" s="471">
        <f t="shared" si="156"/>
        <v>0.05</v>
      </c>
      <c r="N3630" s="475">
        <f t="shared" si="157"/>
        <v>161529</v>
      </c>
    </row>
    <row r="3631" spans="7:14" ht="11.25" customHeight="1" x14ac:dyDescent="0.3">
      <c r="G3631" s="470"/>
      <c r="H3631" s="470">
        <v>3624</v>
      </c>
      <c r="I3631" s="455">
        <f t="shared" ca="1" si="155"/>
        <v>871686923394.27832</v>
      </c>
      <c r="J3631" s="455">
        <f t="array" ref="J3631">IFERROR(INDEX('Retirement Calculator'!K:K,MATCH('Lorri 401b'!N3631,'Retirement Calculator'!A:A,0),0),0)</f>
        <v>0</v>
      </c>
      <c r="K3631" s="455">
        <f t="shared" ca="1" si="153"/>
        <v>3632028847.4761596</v>
      </c>
      <c r="L3631" s="455">
        <f t="shared" ca="1" si="154"/>
        <v>875318952241.75452</v>
      </c>
      <c r="M3631" s="471">
        <f t="shared" si="156"/>
        <v>0.05</v>
      </c>
      <c r="N3631" s="475">
        <f t="shared" si="157"/>
        <v>161559</v>
      </c>
    </row>
    <row r="3632" spans="7:14" ht="11.25" customHeight="1" x14ac:dyDescent="0.3">
      <c r="G3632" s="470"/>
      <c r="H3632" s="470">
        <v>3625</v>
      </c>
      <c r="I3632" s="455">
        <f t="shared" ca="1" si="155"/>
        <v>875318952241.75452</v>
      </c>
      <c r="J3632" s="455">
        <f t="array" ref="J3632">IFERROR(INDEX('Retirement Calculator'!K:K,MATCH('Lorri 401b'!N3632,'Retirement Calculator'!A:A,0),0),0)</f>
        <v>0</v>
      </c>
      <c r="K3632" s="455">
        <f t="shared" ca="1" si="153"/>
        <v>3647162301.0073104</v>
      </c>
      <c r="L3632" s="455">
        <f t="shared" ca="1" si="154"/>
        <v>878966114542.76184</v>
      </c>
      <c r="M3632" s="471">
        <f t="shared" si="156"/>
        <v>0.05</v>
      </c>
      <c r="N3632" s="475">
        <f t="shared" si="157"/>
        <v>161590</v>
      </c>
    </row>
    <row r="3633" spans="7:14" ht="11.25" customHeight="1" x14ac:dyDescent="0.3">
      <c r="G3633" s="470"/>
      <c r="H3633" s="470">
        <v>3626</v>
      </c>
      <c r="I3633" s="455">
        <f t="shared" ca="1" si="155"/>
        <v>878966114542.76184</v>
      </c>
      <c r="J3633" s="455">
        <f t="array" ref="J3633">IFERROR(INDEX('Retirement Calculator'!K:K,MATCH('Lorri 401b'!N3633,'Retirement Calculator'!A:A,0),0),0)</f>
        <v>0</v>
      </c>
      <c r="K3633" s="455">
        <f t="shared" ca="1" si="153"/>
        <v>3662358810.5948415</v>
      </c>
      <c r="L3633" s="455">
        <f t="shared" ca="1" si="154"/>
        <v>882628473353.35669</v>
      </c>
      <c r="M3633" s="471">
        <f t="shared" si="156"/>
        <v>0.05</v>
      </c>
      <c r="N3633" s="475">
        <f t="shared" si="157"/>
        <v>161620</v>
      </c>
    </row>
    <row r="3634" spans="7:14" ht="11.25" customHeight="1" x14ac:dyDescent="0.3">
      <c r="G3634" s="470"/>
      <c r="H3634" s="470">
        <v>3627</v>
      </c>
      <c r="I3634" s="455">
        <f t="shared" ca="1" si="155"/>
        <v>882628473353.35669</v>
      </c>
      <c r="J3634" s="455">
        <f t="array" ref="J3634">IFERROR(INDEX('Retirement Calculator'!K:K,MATCH('Lorri 401b'!N3634,'Retirement Calculator'!A:A,0),0),0)</f>
        <v>0</v>
      </c>
      <c r="K3634" s="455">
        <f t="shared" ca="1" si="153"/>
        <v>3677618638.9723196</v>
      </c>
      <c r="L3634" s="455">
        <f t="shared" ca="1" si="154"/>
        <v>886306091992.32898</v>
      </c>
      <c r="M3634" s="471">
        <f t="shared" si="156"/>
        <v>0.05</v>
      </c>
      <c r="N3634" s="475">
        <f t="shared" si="157"/>
        <v>161651</v>
      </c>
    </row>
    <row r="3635" spans="7:14" ht="11.25" customHeight="1" x14ac:dyDescent="0.3">
      <c r="G3635" s="470"/>
      <c r="H3635" s="470">
        <v>3628</v>
      </c>
      <c r="I3635" s="455">
        <f t="shared" ca="1" si="155"/>
        <v>886306091992.32898</v>
      </c>
      <c r="J3635" s="455">
        <f t="array" ref="J3635">IFERROR(INDEX('Retirement Calculator'!K:K,MATCH('Lorri 401b'!N3635,'Retirement Calculator'!A:A,0),0),0)</f>
        <v>0</v>
      </c>
      <c r="K3635" s="455">
        <f t="shared" ca="1" si="153"/>
        <v>3692942049.9680371</v>
      </c>
      <c r="L3635" s="455">
        <f t="shared" ca="1" si="154"/>
        <v>889999034042.297</v>
      </c>
      <c r="M3635" s="471">
        <f t="shared" si="156"/>
        <v>0.05</v>
      </c>
      <c r="N3635" s="475">
        <f t="shared" si="157"/>
        <v>161682</v>
      </c>
    </row>
    <row r="3636" spans="7:14" ht="11.25" customHeight="1" x14ac:dyDescent="0.3">
      <c r="G3636" s="470"/>
      <c r="H3636" s="470">
        <v>3629</v>
      </c>
      <c r="I3636" s="455">
        <f t="shared" ca="1" si="155"/>
        <v>889999034042.297</v>
      </c>
      <c r="J3636" s="455">
        <f t="array" ref="J3636">IFERROR(INDEX('Retirement Calculator'!K:K,MATCH('Lorri 401b'!N3636,'Retirement Calculator'!A:A,0),0),0)</f>
        <v>0</v>
      </c>
      <c r="K3636" s="455">
        <f t="shared" ca="1" si="153"/>
        <v>3708329308.5095706</v>
      </c>
      <c r="L3636" s="455">
        <f t="shared" ca="1" si="154"/>
        <v>893707363350.80652</v>
      </c>
      <c r="M3636" s="471">
        <f t="shared" si="156"/>
        <v>0.05</v>
      </c>
      <c r="N3636" s="475">
        <f t="shared" si="157"/>
        <v>161712</v>
      </c>
    </row>
    <row r="3637" spans="7:14" ht="11.25" customHeight="1" x14ac:dyDescent="0.3">
      <c r="G3637" s="470"/>
      <c r="H3637" s="470">
        <v>3630</v>
      </c>
      <c r="I3637" s="455">
        <f t="shared" ca="1" si="155"/>
        <v>893707363350.80652</v>
      </c>
      <c r="J3637" s="455">
        <f t="array" ref="J3637">IFERROR(INDEX('Retirement Calculator'!K:K,MATCH('Lorri 401b'!N3637,'Retirement Calculator'!A:A,0),0),0)</f>
        <v>0</v>
      </c>
      <c r="K3637" s="455">
        <f t="shared" ca="1" si="153"/>
        <v>3723780680.6283603</v>
      </c>
      <c r="L3637" s="455">
        <f t="shared" ca="1" si="154"/>
        <v>897431144031.43494</v>
      </c>
      <c r="M3637" s="471">
        <f t="shared" si="156"/>
        <v>0.05</v>
      </c>
      <c r="N3637" s="475">
        <f t="shared" si="157"/>
        <v>161743</v>
      </c>
    </row>
    <row r="3638" spans="7:14" ht="11.25" customHeight="1" x14ac:dyDescent="0.3">
      <c r="G3638" s="470"/>
      <c r="H3638" s="470">
        <v>3631</v>
      </c>
      <c r="I3638" s="455">
        <f t="shared" ca="1" si="155"/>
        <v>897431144031.43494</v>
      </c>
      <c r="J3638" s="455">
        <f t="array" ref="J3638">IFERROR(INDEX('Retirement Calculator'!K:K,MATCH('Lorri 401b'!N3638,'Retirement Calculator'!A:A,0),0),0)</f>
        <v>0</v>
      </c>
      <c r="K3638" s="455">
        <f t="shared" ca="1" si="153"/>
        <v>3739296433.4643121</v>
      </c>
      <c r="L3638" s="455">
        <f t="shared" ca="1" si="154"/>
        <v>901170440464.89929</v>
      </c>
      <c r="M3638" s="471">
        <f t="shared" si="156"/>
        <v>0.05</v>
      </c>
      <c r="N3638" s="475">
        <f t="shared" si="157"/>
        <v>161773</v>
      </c>
    </row>
    <row r="3639" spans="7:14" ht="11.25" customHeight="1" x14ac:dyDescent="0.3">
      <c r="G3639" s="470"/>
      <c r="H3639" s="470">
        <v>3632</v>
      </c>
      <c r="I3639" s="455">
        <f t="shared" ca="1" si="155"/>
        <v>901170440464.89929</v>
      </c>
      <c r="J3639" s="455">
        <f t="array" ref="J3639">IFERROR(INDEX('Retirement Calculator'!K:K,MATCH('Lorri 401b'!N3639,'Retirement Calculator'!A:A,0),0),0)</f>
        <v>0</v>
      </c>
      <c r="K3639" s="455">
        <f t="shared" ca="1" si="153"/>
        <v>3754876835.2704129</v>
      </c>
      <c r="L3639" s="455">
        <f t="shared" ca="1" si="154"/>
        <v>904925317300.16968</v>
      </c>
      <c r="M3639" s="471">
        <f t="shared" si="156"/>
        <v>0.05</v>
      </c>
      <c r="N3639" s="475">
        <f t="shared" si="157"/>
        <v>161804</v>
      </c>
    </row>
    <row r="3640" spans="7:14" ht="11.25" customHeight="1" x14ac:dyDescent="0.3">
      <c r="G3640" s="470"/>
      <c r="H3640" s="470">
        <v>3633</v>
      </c>
      <c r="I3640" s="455">
        <f t="shared" ca="1" si="155"/>
        <v>904925317300.16968</v>
      </c>
      <c r="J3640" s="455">
        <f t="array" ref="J3640">IFERROR(INDEX('Retirement Calculator'!K:K,MATCH('Lorri 401b'!N3640,'Retirement Calculator'!A:A,0),0),0)</f>
        <v>0</v>
      </c>
      <c r="K3640" s="455">
        <f t="shared" ca="1" si="153"/>
        <v>3770522155.4173737</v>
      </c>
      <c r="L3640" s="455">
        <f t="shared" ca="1" si="154"/>
        <v>908695839455.58704</v>
      </c>
      <c r="M3640" s="471">
        <f t="shared" si="156"/>
        <v>0.05</v>
      </c>
      <c r="N3640" s="475">
        <f t="shared" si="157"/>
        <v>161835</v>
      </c>
    </row>
    <row r="3641" spans="7:14" ht="11.25" customHeight="1" x14ac:dyDescent="0.3">
      <c r="G3641" s="470"/>
      <c r="H3641" s="470">
        <v>3634</v>
      </c>
      <c r="I3641" s="455">
        <f t="shared" ca="1" si="155"/>
        <v>908695839455.58704</v>
      </c>
      <c r="J3641" s="455">
        <f t="array" ref="J3641">IFERROR(INDEX('Retirement Calculator'!K:K,MATCH('Lorri 401b'!N3641,'Retirement Calculator'!A:A,0),0),0)</f>
        <v>0</v>
      </c>
      <c r="K3641" s="455">
        <f t="shared" ca="1" si="153"/>
        <v>3786232664.3982792</v>
      </c>
      <c r="L3641" s="455">
        <f t="shared" ca="1" si="154"/>
        <v>912482072119.98535</v>
      </c>
      <c r="M3641" s="471">
        <f t="shared" si="156"/>
        <v>0.05</v>
      </c>
      <c r="N3641" s="475">
        <f t="shared" si="157"/>
        <v>161863</v>
      </c>
    </row>
    <row r="3642" spans="7:14" ht="11.25" customHeight="1" x14ac:dyDescent="0.3">
      <c r="G3642" s="470"/>
      <c r="H3642" s="470">
        <v>3635</v>
      </c>
      <c r="I3642" s="455">
        <f t="shared" ca="1" si="155"/>
        <v>912482072119.98535</v>
      </c>
      <c r="J3642" s="455">
        <f t="array" ref="J3642">IFERROR(INDEX('Retirement Calculator'!K:K,MATCH('Lorri 401b'!N3642,'Retirement Calculator'!A:A,0),0),0)</f>
        <v>0</v>
      </c>
      <c r="K3642" s="455">
        <f t="shared" ca="1" si="153"/>
        <v>3802008633.8332715</v>
      </c>
      <c r="L3642" s="455">
        <f t="shared" ca="1" si="154"/>
        <v>916284080753.8186</v>
      </c>
      <c r="M3642" s="471">
        <f t="shared" si="156"/>
        <v>0.05</v>
      </c>
      <c r="N3642" s="475">
        <f t="shared" si="157"/>
        <v>161894</v>
      </c>
    </row>
    <row r="3643" spans="7:14" ht="11.25" customHeight="1" x14ac:dyDescent="0.3">
      <c r="G3643" s="470"/>
      <c r="H3643" s="470">
        <v>3636</v>
      </c>
      <c r="I3643" s="455">
        <f t="shared" ca="1" si="155"/>
        <v>916284080753.8186</v>
      </c>
      <c r="J3643" s="455">
        <f t="array" ref="J3643">IFERROR(INDEX('Retirement Calculator'!K:K,MATCH('Lorri 401b'!N3643,'Retirement Calculator'!A:A,0),0),0)</f>
        <v>0</v>
      </c>
      <c r="K3643" s="455">
        <f t="shared" ca="1" si="153"/>
        <v>3817850336.4742441</v>
      </c>
      <c r="L3643" s="455">
        <f t="shared" ca="1" si="154"/>
        <v>920101931090.29285</v>
      </c>
      <c r="M3643" s="471">
        <f t="shared" si="156"/>
        <v>0.05</v>
      </c>
      <c r="N3643" s="475">
        <f t="shared" si="157"/>
        <v>161924</v>
      </c>
    </row>
    <row r="3644" spans="7:14" ht="11.25" customHeight="1" x14ac:dyDescent="0.3">
      <c r="G3644" s="470"/>
      <c r="H3644" s="470">
        <v>3637</v>
      </c>
      <c r="I3644" s="455">
        <f t="shared" ca="1" si="155"/>
        <v>920101931090.29285</v>
      </c>
      <c r="J3644" s="455">
        <f t="array" ref="J3644">IFERROR(INDEX('Retirement Calculator'!K:K,MATCH('Lorri 401b'!N3644,'Retirement Calculator'!A:A,0),0),0)</f>
        <v>0</v>
      </c>
      <c r="K3644" s="455">
        <f t="shared" ca="1" si="153"/>
        <v>3833758046.2095532</v>
      </c>
      <c r="L3644" s="455">
        <f t="shared" ca="1" si="154"/>
        <v>923935689136.50244</v>
      </c>
      <c r="M3644" s="471">
        <f t="shared" si="156"/>
        <v>0.05</v>
      </c>
      <c r="N3644" s="475">
        <f t="shared" si="157"/>
        <v>161955</v>
      </c>
    </row>
    <row r="3645" spans="7:14" ht="11.25" customHeight="1" x14ac:dyDescent="0.3">
      <c r="G3645" s="470"/>
      <c r="H3645" s="470">
        <v>3638</v>
      </c>
      <c r="I3645" s="455">
        <f t="shared" ca="1" si="155"/>
        <v>923935689136.50244</v>
      </c>
      <c r="J3645" s="455">
        <f t="array" ref="J3645">IFERROR(INDEX('Retirement Calculator'!K:K,MATCH('Lorri 401b'!N3645,'Retirement Calculator'!A:A,0),0),0)</f>
        <v>0</v>
      </c>
      <c r="K3645" s="455">
        <f t="shared" ca="1" si="153"/>
        <v>3849732038.0687594</v>
      </c>
      <c r="L3645" s="455">
        <f t="shared" ca="1" si="154"/>
        <v>927785421174.57117</v>
      </c>
      <c r="M3645" s="471">
        <f t="shared" si="156"/>
        <v>0.05</v>
      </c>
      <c r="N3645" s="475">
        <f t="shared" si="157"/>
        <v>161985</v>
      </c>
    </row>
    <row r="3646" spans="7:14" ht="11.25" customHeight="1" x14ac:dyDescent="0.3">
      <c r="G3646" s="470"/>
      <c r="H3646" s="470">
        <v>3639</v>
      </c>
      <c r="I3646" s="455">
        <f t="shared" ca="1" si="155"/>
        <v>927785421174.57117</v>
      </c>
      <c r="J3646" s="455">
        <f t="array" ref="J3646">IFERROR(INDEX('Retirement Calculator'!K:K,MATCH('Lorri 401b'!N3646,'Retirement Calculator'!A:A,0),0),0)</f>
        <v>0</v>
      </c>
      <c r="K3646" s="455">
        <f t="shared" ca="1" si="153"/>
        <v>3865772588.2273798</v>
      </c>
      <c r="L3646" s="455">
        <f t="shared" ca="1" si="154"/>
        <v>931651193762.79858</v>
      </c>
      <c r="M3646" s="471">
        <f t="shared" si="156"/>
        <v>0.05</v>
      </c>
      <c r="N3646" s="475">
        <f t="shared" si="157"/>
        <v>162016</v>
      </c>
    </row>
    <row r="3647" spans="7:14" ht="11.25" customHeight="1" x14ac:dyDescent="0.3">
      <c r="G3647" s="470"/>
      <c r="H3647" s="470">
        <v>3640</v>
      </c>
      <c r="I3647" s="455">
        <f t="shared" ca="1" si="155"/>
        <v>931651193762.79858</v>
      </c>
      <c r="J3647" s="455">
        <f t="array" ref="J3647">IFERROR(INDEX('Retirement Calculator'!K:K,MATCH('Lorri 401b'!N3647,'Retirement Calculator'!A:A,0),0),0)</f>
        <v>0</v>
      </c>
      <c r="K3647" s="455">
        <f t="shared" ca="1" si="153"/>
        <v>3881879974.0116606</v>
      </c>
      <c r="L3647" s="455">
        <f t="shared" ca="1" si="154"/>
        <v>935533073736.8103</v>
      </c>
      <c r="M3647" s="471">
        <f t="shared" si="156"/>
        <v>0.05</v>
      </c>
      <c r="N3647" s="475">
        <f t="shared" si="157"/>
        <v>162047</v>
      </c>
    </row>
    <row r="3648" spans="7:14" ht="11.25" customHeight="1" x14ac:dyDescent="0.3">
      <c r="G3648" s="470"/>
      <c r="H3648" s="470">
        <v>3641</v>
      </c>
      <c r="I3648" s="455">
        <f t="shared" ca="1" si="155"/>
        <v>935533073736.8103</v>
      </c>
      <c r="J3648" s="455">
        <f t="array" ref="J3648">IFERROR(INDEX('Retirement Calculator'!K:K,MATCH('Lorri 401b'!N3648,'Retirement Calculator'!A:A,0),0),0)</f>
        <v>0</v>
      </c>
      <c r="K3648" s="455">
        <f t="shared" ca="1" si="153"/>
        <v>3898054473.9033761</v>
      </c>
      <c r="L3648" s="455">
        <f t="shared" ca="1" si="154"/>
        <v>939431128210.71362</v>
      </c>
      <c r="M3648" s="471">
        <f t="shared" si="156"/>
        <v>0.05</v>
      </c>
      <c r="N3648" s="475">
        <f t="shared" si="157"/>
        <v>162077</v>
      </c>
    </row>
    <row r="3649" spans="7:14" ht="11.25" customHeight="1" x14ac:dyDescent="0.3">
      <c r="G3649" s="470"/>
      <c r="H3649" s="470">
        <v>3642</v>
      </c>
      <c r="I3649" s="455">
        <f t="shared" ca="1" si="155"/>
        <v>939431128210.71362</v>
      </c>
      <c r="J3649" s="455">
        <f t="array" ref="J3649">IFERROR(INDEX('Retirement Calculator'!K:K,MATCH('Lorri 401b'!N3649,'Retirement Calculator'!A:A,0),0),0)</f>
        <v>0</v>
      </c>
      <c r="K3649" s="455">
        <f t="shared" ca="1" si="153"/>
        <v>3914296367.5446396</v>
      </c>
      <c r="L3649" s="455">
        <f t="shared" ca="1" si="154"/>
        <v>943345424578.2583</v>
      </c>
      <c r="M3649" s="471">
        <f t="shared" si="156"/>
        <v>0.05</v>
      </c>
      <c r="N3649" s="475">
        <f t="shared" si="157"/>
        <v>162108</v>
      </c>
    </row>
    <row r="3650" spans="7:14" ht="11.25" customHeight="1" x14ac:dyDescent="0.3">
      <c r="G3650" s="470"/>
      <c r="H3650" s="470">
        <v>3643</v>
      </c>
      <c r="I3650" s="455">
        <f t="shared" ca="1" si="155"/>
        <v>943345424578.2583</v>
      </c>
      <c r="J3650" s="455">
        <f t="array" ref="J3650">IFERROR(INDEX('Retirement Calculator'!K:K,MATCH('Lorri 401b'!N3650,'Retirement Calculator'!A:A,0),0),0)</f>
        <v>0</v>
      </c>
      <c r="K3650" s="455">
        <f t="shared" ca="1" si="153"/>
        <v>3930605935.742743</v>
      </c>
      <c r="L3650" s="455">
        <f t="shared" ca="1" si="154"/>
        <v>947276030514.0011</v>
      </c>
      <c r="M3650" s="471">
        <f t="shared" si="156"/>
        <v>0.05</v>
      </c>
      <c r="N3650" s="475">
        <f t="shared" si="157"/>
        <v>162138</v>
      </c>
    </row>
    <row r="3651" spans="7:14" ht="11.25" customHeight="1" x14ac:dyDescent="0.3">
      <c r="G3651" s="470"/>
      <c r="H3651" s="470">
        <v>3644</v>
      </c>
      <c r="I3651" s="455">
        <f t="shared" ca="1" si="155"/>
        <v>947276030514.0011</v>
      </c>
      <c r="J3651" s="455">
        <f t="array" ref="J3651">IFERROR(INDEX('Retirement Calculator'!K:K,MATCH('Lorri 401b'!N3651,'Retirement Calculator'!A:A,0),0),0)</f>
        <v>0</v>
      </c>
      <c r="K3651" s="455">
        <f t="shared" ca="1" si="153"/>
        <v>3946983460.4750042</v>
      </c>
      <c r="L3651" s="455">
        <f t="shared" ca="1" si="154"/>
        <v>951223013974.47607</v>
      </c>
      <c r="M3651" s="471">
        <f t="shared" si="156"/>
        <v>0.05</v>
      </c>
      <c r="N3651" s="475">
        <f t="shared" si="157"/>
        <v>162169</v>
      </c>
    </row>
    <row r="3652" spans="7:14" ht="11.25" customHeight="1" x14ac:dyDescent="0.3">
      <c r="G3652" s="470"/>
      <c r="H3652" s="470">
        <v>3645</v>
      </c>
      <c r="I3652" s="455">
        <f t="shared" ca="1" si="155"/>
        <v>951223013974.47607</v>
      </c>
      <c r="J3652" s="455">
        <f t="array" ref="J3652">IFERROR(INDEX('Retirement Calculator'!K:K,MATCH('Lorri 401b'!N3652,'Retirement Calculator'!A:A,0),0),0)</f>
        <v>0</v>
      </c>
      <c r="K3652" s="455">
        <f t="shared" ca="1" si="153"/>
        <v>3963429224.8936501</v>
      </c>
      <c r="L3652" s="455">
        <f t="shared" ca="1" si="154"/>
        <v>955186443199.36975</v>
      </c>
      <c r="M3652" s="471">
        <f t="shared" si="156"/>
        <v>0.05</v>
      </c>
      <c r="N3652" s="475">
        <f t="shared" si="157"/>
        <v>162200</v>
      </c>
    </row>
    <row r="3653" spans="7:14" ht="11.25" customHeight="1" x14ac:dyDescent="0.3">
      <c r="G3653" s="470"/>
      <c r="H3653" s="470">
        <v>3646</v>
      </c>
      <c r="I3653" s="455">
        <f t="shared" ca="1" si="155"/>
        <v>955186443199.36975</v>
      </c>
      <c r="J3653" s="455">
        <f t="array" ref="J3653">IFERROR(INDEX('Retirement Calculator'!K:K,MATCH('Lorri 401b'!N3653,'Retirement Calculator'!A:A,0),0),0)</f>
        <v>0</v>
      </c>
      <c r="K3653" s="455">
        <f t="shared" ca="1" si="153"/>
        <v>3979943513.3307076</v>
      </c>
      <c r="L3653" s="455">
        <f t="shared" ca="1" si="154"/>
        <v>959166386712.70044</v>
      </c>
      <c r="M3653" s="471">
        <f t="shared" si="156"/>
        <v>0.05</v>
      </c>
      <c r="N3653" s="475">
        <f t="shared" si="157"/>
        <v>162229</v>
      </c>
    </row>
    <row r="3654" spans="7:14" ht="11.25" customHeight="1" x14ac:dyDescent="0.3">
      <c r="G3654" s="470"/>
      <c r="H3654" s="470">
        <v>3647</v>
      </c>
      <c r="I3654" s="455">
        <f t="shared" ca="1" si="155"/>
        <v>959166386712.70044</v>
      </c>
      <c r="J3654" s="455">
        <f t="array" ref="J3654">IFERROR(INDEX('Retirement Calculator'!K:K,MATCH('Lorri 401b'!N3654,'Retirement Calculator'!A:A,0),0),0)</f>
        <v>0</v>
      </c>
      <c r="K3654" s="455">
        <f t="shared" ca="1" si="153"/>
        <v>3996526611.3029184</v>
      </c>
      <c r="L3654" s="455">
        <f t="shared" ca="1" si="154"/>
        <v>963162913324.00342</v>
      </c>
      <c r="M3654" s="471">
        <f t="shared" si="156"/>
        <v>0.05</v>
      </c>
      <c r="N3654" s="475">
        <f t="shared" si="157"/>
        <v>162260</v>
      </c>
    </row>
    <row r="3655" spans="7:14" ht="11.25" customHeight="1" x14ac:dyDescent="0.3">
      <c r="G3655" s="470"/>
      <c r="H3655" s="470">
        <v>3648</v>
      </c>
      <c r="I3655" s="455">
        <f t="shared" ca="1" si="155"/>
        <v>963162913324.00342</v>
      </c>
      <c r="J3655" s="455">
        <f t="array" ref="J3655">IFERROR(INDEX('Retirement Calculator'!K:K,MATCH('Lorri 401b'!N3655,'Retirement Calculator'!A:A,0),0),0)</f>
        <v>0</v>
      </c>
      <c r="K3655" s="455">
        <f t="shared" ca="1" si="153"/>
        <v>4013178805.5166812</v>
      </c>
      <c r="L3655" s="455">
        <f t="shared" ca="1" si="154"/>
        <v>967176092129.52014</v>
      </c>
      <c r="M3655" s="471">
        <f t="shared" si="156"/>
        <v>0.05</v>
      </c>
      <c r="N3655" s="475">
        <f t="shared" si="157"/>
        <v>162290</v>
      </c>
    </row>
    <row r="3656" spans="7:14" ht="11.25" customHeight="1" x14ac:dyDescent="0.3">
      <c r="G3656" s="470"/>
      <c r="H3656" s="470">
        <v>3649</v>
      </c>
      <c r="I3656" s="455">
        <f t="shared" ca="1" si="155"/>
        <v>967176092129.52014</v>
      </c>
      <c r="J3656" s="455">
        <f t="array" ref="J3656">IFERROR(INDEX('Retirement Calculator'!K:K,MATCH('Lorri 401b'!N3656,'Retirement Calculator'!A:A,0),0),0)</f>
        <v>0</v>
      </c>
      <c r="K3656" s="455">
        <f t="shared" ca="1" si="153"/>
        <v>4029900383.8730006</v>
      </c>
      <c r="L3656" s="455">
        <f t="shared" ca="1" si="154"/>
        <v>971205992513.39319</v>
      </c>
      <c r="M3656" s="471">
        <f t="shared" si="156"/>
        <v>0.05</v>
      </c>
      <c r="N3656" s="475">
        <f t="shared" si="157"/>
        <v>162321</v>
      </c>
    </row>
    <row r="3657" spans="7:14" ht="11.25" customHeight="1" x14ac:dyDescent="0.3">
      <c r="G3657" s="470"/>
      <c r="H3657" s="470">
        <v>3650</v>
      </c>
      <c r="I3657" s="455">
        <f t="shared" ca="1" si="155"/>
        <v>971205992513.39319</v>
      </c>
      <c r="J3657" s="455">
        <f t="array" ref="J3657">IFERROR(INDEX('Retirement Calculator'!K:K,MATCH('Lorri 401b'!N3657,'Retirement Calculator'!A:A,0),0),0)</f>
        <v>0</v>
      </c>
      <c r="K3657" s="455">
        <f t="shared" ca="1" si="153"/>
        <v>4046691635.4724717</v>
      </c>
      <c r="L3657" s="455">
        <f t="shared" ca="1" si="154"/>
        <v>975252684148.8656</v>
      </c>
      <c r="M3657" s="471">
        <f t="shared" si="156"/>
        <v>0.05</v>
      </c>
      <c r="N3657" s="475">
        <f t="shared" si="157"/>
        <v>162351</v>
      </c>
    </row>
    <row r="3658" spans="7:14" ht="11.25" customHeight="1" x14ac:dyDescent="0.3">
      <c r="G3658" s="470"/>
      <c r="H3658" s="470">
        <v>3651</v>
      </c>
      <c r="I3658" s="455">
        <f t="shared" ca="1" si="155"/>
        <v>975252684148.8656</v>
      </c>
      <c r="J3658" s="455">
        <f t="array" ref="J3658">IFERROR(INDEX('Retirement Calculator'!K:K,MATCH('Lorri 401b'!N3658,'Retirement Calculator'!A:A,0),0),0)</f>
        <v>0</v>
      </c>
      <c r="K3658" s="455">
        <f t="shared" ca="1" si="153"/>
        <v>4063552850.6202731</v>
      </c>
      <c r="L3658" s="455">
        <f t="shared" ca="1" si="154"/>
        <v>979316236999.48584</v>
      </c>
      <c r="M3658" s="471">
        <f t="shared" si="156"/>
        <v>0.05</v>
      </c>
      <c r="N3658" s="475">
        <f t="shared" si="157"/>
        <v>162382</v>
      </c>
    </row>
    <row r="3659" spans="7:14" ht="11.25" customHeight="1" x14ac:dyDescent="0.3">
      <c r="G3659" s="470"/>
      <c r="H3659" s="470">
        <v>3652</v>
      </c>
      <c r="I3659" s="455">
        <f t="shared" ca="1" si="155"/>
        <v>979316236999.48584</v>
      </c>
      <c r="J3659" s="455">
        <f t="array" ref="J3659">IFERROR(INDEX('Retirement Calculator'!K:K,MATCH('Lorri 401b'!N3659,'Retirement Calculator'!A:A,0),0),0)</f>
        <v>0</v>
      </c>
      <c r="K3659" s="455">
        <f t="shared" ca="1" si="153"/>
        <v>4080484320.8311911</v>
      </c>
      <c r="L3659" s="455">
        <f t="shared" ca="1" si="154"/>
        <v>983396721320.31702</v>
      </c>
      <c r="M3659" s="471">
        <f t="shared" si="156"/>
        <v>0.05</v>
      </c>
      <c r="N3659" s="475">
        <f t="shared" si="157"/>
        <v>162413</v>
      </c>
    </row>
    <row r="3660" spans="7:14" ht="11.25" customHeight="1" x14ac:dyDescent="0.3">
      <c r="G3660" s="470"/>
      <c r="H3660" s="470">
        <v>3653</v>
      </c>
      <c r="I3660" s="455">
        <f t="shared" ca="1" si="155"/>
        <v>983396721320.31702</v>
      </c>
      <c r="J3660" s="455">
        <f t="array" ref="J3660">IFERROR(INDEX('Retirement Calculator'!K:K,MATCH('Lorri 401b'!N3660,'Retirement Calculator'!A:A,0),0),0)</f>
        <v>0</v>
      </c>
      <c r="K3660" s="455">
        <f t="shared" ca="1" si="153"/>
        <v>4097486338.8346539</v>
      </c>
      <c r="L3660" s="455">
        <f t="shared" ca="1" si="154"/>
        <v>987494207659.15161</v>
      </c>
      <c r="M3660" s="471">
        <f t="shared" si="156"/>
        <v>0.05</v>
      </c>
      <c r="N3660" s="475">
        <f t="shared" si="157"/>
        <v>162443</v>
      </c>
    </row>
    <row r="3661" spans="7:14" ht="11.25" customHeight="1" x14ac:dyDescent="0.3">
      <c r="G3661" s="470"/>
      <c r="H3661" s="470">
        <v>3654</v>
      </c>
      <c r="I3661" s="455">
        <f t="shared" ca="1" si="155"/>
        <v>987494207659.15161</v>
      </c>
      <c r="J3661" s="455">
        <f t="array" ref="J3661">IFERROR(INDEX('Retirement Calculator'!K:K,MATCH('Lorri 401b'!N3661,'Retirement Calculator'!A:A,0),0),0)</f>
        <v>0</v>
      </c>
      <c r="K3661" s="455">
        <f t="shared" ca="1" si="153"/>
        <v>4114559198.5797977</v>
      </c>
      <c r="L3661" s="455">
        <f t="shared" ca="1" si="154"/>
        <v>991608766857.73145</v>
      </c>
      <c r="M3661" s="471">
        <f t="shared" si="156"/>
        <v>0.05</v>
      </c>
      <c r="N3661" s="475">
        <f t="shared" si="157"/>
        <v>162474</v>
      </c>
    </row>
    <row r="3662" spans="7:14" ht="11.25" customHeight="1" x14ac:dyDescent="0.3">
      <c r="G3662" s="470"/>
      <c r="H3662" s="470">
        <v>3655</v>
      </c>
      <c r="I3662" s="455">
        <f t="shared" ca="1" si="155"/>
        <v>991608766857.73145</v>
      </c>
      <c r="J3662" s="455">
        <f t="array" ref="J3662">IFERROR(INDEX('Retirement Calculator'!K:K,MATCH('Lorri 401b'!N3662,'Retirement Calculator'!A:A,0),0),0)</f>
        <v>0</v>
      </c>
      <c r="K3662" s="455">
        <f t="shared" ca="1" si="153"/>
        <v>4131703195.2405472</v>
      </c>
      <c r="L3662" s="455">
        <f t="shared" ca="1" si="154"/>
        <v>995740470052.97205</v>
      </c>
      <c r="M3662" s="471">
        <f t="shared" si="156"/>
        <v>0.05</v>
      </c>
      <c r="N3662" s="475">
        <f t="shared" si="157"/>
        <v>162504</v>
      </c>
    </row>
    <row r="3663" spans="7:14" ht="11.25" customHeight="1" x14ac:dyDescent="0.3">
      <c r="G3663" s="470"/>
      <c r="H3663" s="470">
        <v>3656</v>
      </c>
      <c r="I3663" s="455">
        <f t="shared" ca="1" si="155"/>
        <v>995740470052.97205</v>
      </c>
      <c r="J3663" s="455">
        <f t="array" ref="J3663">IFERROR(INDEX('Retirement Calculator'!K:K,MATCH('Lorri 401b'!N3663,'Retirement Calculator'!A:A,0),0),0)</f>
        <v>0</v>
      </c>
      <c r="K3663" s="455">
        <f t="shared" ca="1" si="153"/>
        <v>4148918625.2207165</v>
      </c>
      <c r="L3663" s="455">
        <f t="shared" ca="1" si="154"/>
        <v>999889388678.19275</v>
      </c>
      <c r="M3663" s="471">
        <f t="shared" si="156"/>
        <v>0.05</v>
      </c>
      <c r="N3663" s="475">
        <f t="shared" si="157"/>
        <v>162535</v>
      </c>
    </row>
    <row r="3664" spans="7:14" ht="11.25" customHeight="1" x14ac:dyDescent="0.3">
      <c r="G3664" s="470"/>
      <c r="H3664" s="470">
        <v>3657</v>
      </c>
      <c r="I3664" s="455">
        <f t="shared" ca="1" si="155"/>
        <v>999889388678.19275</v>
      </c>
      <c r="J3664" s="455">
        <f t="array" ref="J3664">IFERROR(INDEX('Retirement Calculator'!K:K,MATCH('Lorri 401b'!N3664,'Retirement Calculator'!A:A,0),0),0)</f>
        <v>0</v>
      </c>
      <c r="K3664" s="455">
        <f t="shared" ca="1" si="153"/>
        <v>4166205786.1591363</v>
      </c>
      <c r="L3664" s="455">
        <f t="shared" ca="1" si="154"/>
        <v>1004055594464.3519</v>
      </c>
      <c r="M3664" s="471">
        <f t="shared" si="156"/>
        <v>0.05</v>
      </c>
      <c r="N3664" s="475">
        <f t="shared" si="157"/>
        <v>162566</v>
      </c>
    </row>
    <row r="3665" spans="7:14" ht="11.25" customHeight="1" x14ac:dyDescent="0.3">
      <c r="G3665" s="470"/>
      <c r="H3665" s="470">
        <v>3658</v>
      </c>
      <c r="I3665" s="455">
        <f t="shared" ca="1" si="155"/>
        <v>1004055594464.3519</v>
      </c>
      <c r="J3665" s="455">
        <f t="array" ref="J3665">IFERROR(INDEX('Retirement Calculator'!K:K,MATCH('Lorri 401b'!N3665,'Retirement Calculator'!A:A,0),0),0)</f>
        <v>0</v>
      </c>
      <c r="K3665" s="455">
        <f t="shared" ca="1" si="153"/>
        <v>4183564976.9347997</v>
      </c>
      <c r="L3665" s="455">
        <f t="shared" ca="1" si="154"/>
        <v>1008239159441.2867</v>
      </c>
      <c r="M3665" s="471">
        <f t="shared" si="156"/>
        <v>0.05</v>
      </c>
      <c r="N3665" s="475">
        <f t="shared" si="157"/>
        <v>162594</v>
      </c>
    </row>
    <row r="3666" spans="7:14" ht="11.25" customHeight="1" x14ac:dyDescent="0.3">
      <c r="G3666" s="470"/>
      <c r="H3666" s="470">
        <v>3659</v>
      </c>
      <c r="I3666" s="455">
        <f t="shared" ca="1" si="155"/>
        <v>1008239159441.2867</v>
      </c>
      <c r="J3666" s="455">
        <f t="array" ref="J3666">IFERROR(INDEX('Retirement Calculator'!K:K,MATCH('Lorri 401b'!N3666,'Retirement Calculator'!A:A,0),0),0)</f>
        <v>0</v>
      </c>
      <c r="K3666" s="455">
        <f t="shared" ca="1" si="153"/>
        <v>4200996497.6720276</v>
      </c>
      <c r="L3666" s="455">
        <f t="shared" ca="1" si="154"/>
        <v>1012440155938.9587</v>
      </c>
      <c r="M3666" s="471">
        <f t="shared" si="156"/>
        <v>0.05</v>
      </c>
      <c r="N3666" s="475">
        <f t="shared" si="157"/>
        <v>162625</v>
      </c>
    </row>
    <row r="3667" spans="7:14" ht="11.25" customHeight="1" x14ac:dyDescent="0.3">
      <c r="G3667" s="470"/>
      <c r="H3667" s="470">
        <v>3660</v>
      </c>
      <c r="I3667" s="455">
        <f t="shared" ca="1" si="155"/>
        <v>1012440155938.9587</v>
      </c>
      <c r="J3667" s="455">
        <f t="array" ref="J3667">IFERROR(INDEX('Retirement Calculator'!K:K,MATCH('Lorri 401b'!N3667,'Retirement Calculator'!A:A,0),0),0)</f>
        <v>0</v>
      </c>
      <c r="K3667" s="455">
        <f t="shared" ca="1" si="153"/>
        <v>4218500649.7456613</v>
      </c>
      <c r="L3667" s="455">
        <f t="shared" ca="1" si="154"/>
        <v>1016658656588.7043</v>
      </c>
      <c r="M3667" s="471">
        <f t="shared" si="156"/>
        <v>0.05</v>
      </c>
      <c r="N3667" s="475">
        <f t="shared" si="157"/>
        <v>162655</v>
      </c>
    </row>
    <row r="3668" spans="7:14" ht="11.25" customHeight="1" x14ac:dyDescent="0.3">
      <c r="G3668" s="470"/>
      <c r="H3668" s="470">
        <v>3661</v>
      </c>
      <c r="I3668" s="455">
        <f t="shared" ca="1" si="155"/>
        <v>1016658656588.7043</v>
      </c>
      <c r="J3668" s="455">
        <f t="array" ref="J3668">IFERROR(INDEX('Retirement Calculator'!K:K,MATCH('Lorri 401b'!N3668,'Retirement Calculator'!A:A,0),0),0)</f>
        <v>0</v>
      </c>
      <c r="K3668" s="455">
        <f t="shared" ca="1" si="153"/>
        <v>4236077735.7862682</v>
      </c>
      <c r="L3668" s="455">
        <f t="shared" ca="1" si="154"/>
        <v>1020894734324.4906</v>
      </c>
      <c r="M3668" s="471">
        <f t="shared" si="156"/>
        <v>0.05</v>
      </c>
      <c r="N3668" s="475">
        <f t="shared" si="157"/>
        <v>162686</v>
      </c>
    </row>
    <row r="3669" spans="7:14" ht="11.25" customHeight="1" x14ac:dyDescent="0.3">
      <c r="G3669" s="470"/>
      <c r="H3669" s="470">
        <v>3662</v>
      </c>
      <c r="I3669" s="455">
        <f t="shared" ca="1" si="155"/>
        <v>1020894734324.4906</v>
      </c>
      <c r="J3669" s="455">
        <f t="array" ref="J3669">IFERROR(INDEX('Retirement Calculator'!K:K,MATCH('Lorri 401b'!N3669,'Retirement Calculator'!A:A,0),0),0)</f>
        <v>0</v>
      </c>
      <c r="K3669" s="455">
        <f t="shared" ca="1" si="153"/>
        <v>4253728059.6853776</v>
      </c>
      <c r="L3669" s="455">
        <f t="shared" ca="1" si="154"/>
        <v>1025148462384.176</v>
      </c>
      <c r="M3669" s="471">
        <f t="shared" si="156"/>
        <v>0.05</v>
      </c>
      <c r="N3669" s="475">
        <f t="shared" si="157"/>
        <v>162716</v>
      </c>
    </row>
    <row r="3670" spans="7:14" ht="11.25" customHeight="1" x14ac:dyDescent="0.3">
      <c r="G3670" s="470"/>
      <c r="H3670" s="470">
        <v>3663</v>
      </c>
      <c r="I3670" s="455">
        <f t="shared" ca="1" si="155"/>
        <v>1025148462384.176</v>
      </c>
      <c r="J3670" s="455">
        <f t="array" ref="J3670">IFERROR(INDEX('Retirement Calculator'!K:K,MATCH('Lorri 401b'!N3670,'Retirement Calculator'!A:A,0),0),0)</f>
        <v>0</v>
      </c>
      <c r="K3670" s="455">
        <f t="shared" ca="1" si="153"/>
        <v>4271451926.6007333</v>
      </c>
      <c r="L3670" s="455">
        <f t="shared" ca="1" si="154"/>
        <v>1029419914310.7767</v>
      </c>
      <c r="M3670" s="471">
        <f t="shared" si="156"/>
        <v>0.05</v>
      </c>
      <c r="N3670" s="475">
        <f t="shared" si="157"/>
        <v>162747</v>
      </c>
    </row>
    <row r="3671" spans="7:14" ht="11.25" customHeight="1" x14ac:dyDescent="0.3">
      <c r="G3671" s="470"/>
      <c r="H3671" s="470">
        <v>3664</v>
      </c>
      <c r="I3671" s="455">
        <f t="shared" ca="1" si="155"/>
        <v>1029419914310.7767</v>
      </c>
      <c r="J3671" s="455">
        <f t="array" ref="J3671">IFERROR(INDEX('Retirement Calculator'!K:K,MATCH('Lorri 401b'!N3671,'Retirement Calculator'!A:A,0),0),0)</f>
        <v>0</v>
      </c>
      <c r="K3671" s="455">
        <f t="shared" ca="1" si="153"/>
        <v>4289249642.9615698</v>
      </c>
      <c r="L3671" s="455">
        <f t="shared" ca="1" si="154"/>
        <v>1033709163953.7383</v>
      </c>
      <c r="M3671" s="471">
        <f t="shared" si="156"/>
        <v>0.05</v>
      </c>
      <c r="N3671" s="475">
        <f t="shared" si="157"/>
        <v>162778</v>
      </c>
    </row>
    <row r="3672" spans="7:14" ht="11.25" customHeight="1" x14ac:dyDescent="0.3">
      <c r="G3672" s="470"/>
      <c r="H3672" s="470">
        <v>3665</v>
      </c>
      <c r="I3672" s="455">
        <f t="shared" ca="1" si="155"/>
        <v>1033709163953.7383</v>
      </c>
      <c r="J3672" s="455">
        <f t="array" ref="J3672">IFERROR(INDEX('Retirement Calculator'!K:K,MATCH('Lorri 401b'!N3672,'Retirement Calculator'!A:A,0),0),0)</f>
        <v>0</v>
      </c>
      <c r="K3672" s="455">
        <f t="shared" ca="1" si="153"/>
        <v>4307121516.4739094</v>
      </c>
      <c r="L3672" s="455">
        <f t="shared" ca="1" si="154"/>
        <v>1038016285470.2122</v>
      </c>
      <c r="M3672" s="471">
        <f t="shared" si="156"/>
        <v>0.05</v>
      </c>
      <c r="N3672" s="475">
        <f t="shared" si="157"/>
        <v>162808</v>
      </c>
    </row>
    <row r="3673" spans="7:14" ht="11.25" customHeight="1" x14ac:dyDescent="0.3">
      <c r="G3673" s="470"/>
      <c r="H3673" s="470">
        <v>3666</v>
      </c>
      <c r="I3673" s="455">
        <f t="shared" ca="1" si="155"/>
        <v>1038016285470.2122</v>
      </c>
      <c r="J3673" s="455">
        <f t="array" ref="J3673">IFERROR(INDEX('Retirement Calculator'!K:K,MATCH('Lorri 401b'!N3673,'Retirement Calculator'!A:A,0),0),0)</f>
        <v>0</v>
      </c>
      <c r="K3673" s="455">
        <f t="shared" ca="1" si="153"/>
        <v>4325067856.1258841</v>
      </c>
      <c r="L3673" s="455">
        <f t="shared" ca="1" si="154"/>
        <v>1042341353326.338</v>
      </c>
      <c r="M3673" s="471">
        <f t="shared" si="156"/>
        <v>0.05</v>
      </c>
      <c r="N3673" s="475">
        <f t="shared" si="157"/>
        <v>162839</v>
      </c>
    </row>
    <row r="3674" spans="7:14" ht="11.25" customHeight="1" x14ac:dyDescent="0.3">
      <c r="G3674" s="470"/>
      <c r="H3674" s="470">
        <v>3667</v>
      </c>
      <c r="I3674" s="455">
        <f t="shared" ca="1" si="155"/>
        <v>1042341353326.338</v>
      </c>
      <c r="J3674" s="455">
        <f t="array" ref="J3674">IFERROR(INDEX('Retirement Calculator'!K:K,MATCH('Lorri 401b'!N3674,'Retirement Calculator'!A:A,0),0),0)</f>
        <v>0</v>
      </c>
      <c r="K3674" s="455">
        <f t="shared" ca="1" si="153"/>
        <v>4343088972.1930752</v>
      </c>
      <c r="L3674" s="455">
        <f t="shared" ca="1" si="154"/>
        <v>1046684442298.5311</v>
      </c>
      <c r="M3674" s="471">
        <f t="shared" si="156"/>
        <v>0.05</v>
      </c>
      <c r="N3674" s="475">
        <f t="shared" si="157"/>
        <v>162869</v>
      </c>
    </row>
    <row r="3675" spans="7:14" ht="11.25" customHeight="1" x14ac:dyDescent="0.3">
      <c r="G3675" s="470"/>
      <c r="H3675" s="470">
        <v>3668</v>
      </c>
      <c r="I3675" s="455">
        <f t="shared" ca="1" si="155"/>
        <v>1046684442298.5311</v>
      </c>
      <c r="J3675" s="455">
        <f t="array" ref="J3675">IFERROR(INDEX('Retirement Calculator'!K:K,MATCH('Lorri 401b'!N3675,'Retirement Calculator'!A:A,0),0),0)</f>
        <v>0</v>
      </c>
      <c r="K3675" s="455">
        <f t="shared" ca="1" si="153"/>
        <v>4361185176.2438793</v>
      </c>
      <c r="L3675" s="455">
        <f t="shared" ca="1" si="154"/>
        <v>1051045627474.775</v>
      </c>
      <c r="M3675" s="471">
        <f t="shared" si="156"/>
        <v>0.05</v>
      </c>
      <c r="N3675" s="475">
        <f t="shared" si="157"/>
        <v>162900</v>
      </c>
    </row>
    <row r="3676" spans="7:14" ht="11.25" customHeight="1" x14ac:dyDescent="0.3">
      <c r="G3676" s="470"/>
      <c r="H3676" s="470">
        <v>3669</v>
      </c>
      <c r="I3676" s="455">
        <f t="shared" ca="1" si="155"/>
        <v>1051045627474.775</v>
      </c>
      <c r="J3676" s="455">
        <f t="array" ref="J3676">IFERROR(INDEX('Retirement Calculator'!K:K,MATCH('Lorri 401b'!N3676,'Retirement Calculator'!A:A,0),0),0)</f>
        <v>0</v>
      </c>
      <c r="K3676" s="455">
        <f t="shared" ca="1" si="153"/>
        <v>4379356781.1448956</v>
      </c>
      <c r="L3676" s="455">
        <f t="shared" ca="1" si="154"/>
        <v>1055424984255.9199</v>
      </c>
      <c r="M3676" s="471">
        <f t="shared" si="156"/>
        <v>0.05</v>
      </c>
      <c r="N3676" s="475">
        <f t="shared" si="157"/>
        <v>162931</v>
      </c>
    </row>
    <row r="3677" spans="7:14" ht="11.25" customHeight="1" x14ac:dyDescent="0.3">
      <c r="G3677" s="470"/>
      <c r="H3677" s="470">
        <v>3670</v>
      </c>
      <c r="I3677" s="455">
        <f t="shared" ca="1" si="155"/>
        <v>1055424984255.9199</v>
      </c>
      <c r="J3677" s="455">
        <f t="array" ref="J3677">IFERROR(INDEX('Retirement Calculator'!K:K,MATCH('Lorri 401b'!N3677,'Retirement Calculator'!A:A,0),0),0)</f>
        <v>0</v>
      </c>
      <c r="K3677" s="455">
        <f t="shared" ca="1" si="153"/>
        <v>4397604101.0663328</v>
      </c>
      <c r="L3677" s="455">
        <f t="shared" ca="1" si="154"/>
        <v>1059822588356.9862</v>
      </c>
      <c r="M3677" s="471">
        <f t="shared" si="156"/>
        <v>0.05</v>
      </c>
      <c r="N3677" s="475">
        <f t="shared" si="157"/>
        <v>162959</v>
      </c>
    </row>
    <row r="3678" spans="7:14" ht="11.25" customHeight="1" x14ac:dyDescent="0.3">
      <c r="G3678" s="470"/>
      <c r="H3678" s="470">
        <v>3671</v>
      </c>
      <c r="I3678" s="455">
        <f t="shared" ca="1" si="155"/>
        <v>1059822588356.9862</v>
      </c>
      <c r="J3678" s="455">
        <f t="array" ref="J3678">IFERROR(INDEX('Retirement Calculator'!K:K,MATCH('Lorri 401b'!N3678,'Retirement Calculator'!A:A,0),0),0)</f>
        <v>0</v>
      </c>
      <c r="K3678" s="455">
        <f t="shared" ca="1" si="153"/>
        <v>4415927451.487442</v>
      </c>
      <c r="L3678" s="455">
        <f t="shared" ca="1" si="154"/>
        <v>1064238515808.4736</v>
      </c>
      <c r="M3678" s="471">
        <f t="shared" si="156"/>
        <v>0.05</v>
      </c>
      <c r="N3678" s="475">
        <f t="shared" si="157"/>
        <v>162990</v>
      </c>
    </row>
    <row r="3679" spans="7:14" ht="11.25" customHeight="1" x14ac:dyDescent="0.3">
      <c r="G3679" s="470"/>
      <c r="H3679" s="470">
        <v>3672</v>
      </c>
      <c r="I3679" s="455">
        <f t="shared" ca="1" si="155"/>
        <v>1064238515808.4736</v>
      </c>
      <c r="J3679" s="455">
        <f t="array" ref="J3679">IFERROR(INDEX('Retirement Calculator'!K:K,MATCH('Lorri 401b'!N3679,'Retirement Calculator'!A:A,0),0),0)</f>
        <v>0</v>
      </c>
      <c r="K3679" s="455">
        <f t="shared" ca="1" si="153"/>
        <v>4434327149.201973</v>
      </c>
      <c r="L3679" s="455">
        <f t="shared" ca="1" si="154"/>
        <v>1068672842957.6757</v>
      </c>
      <c r="M3679" s="471">
        <f t="shared" si="156"/>
        <v>0.05</v>
      </c>
      <c r="N3679" s="475">
        <f t="shared" si="157"/>
        <v>163020</v>
      </c>
    </row>
    <row r="3680" spans="7:14" ht="11.25" customHeight="1" x14ac:dyDescent="0.3">
      <c r="G3680" s="470"/>
      <c r="H3680" s="470">
        <v>3673</v>
      </c>
      <c r="I3680" s="455">
        <f t="shared" ca="1" si="155"/>
        <v>1068672842957.6757</v>
      </c>
      <c r="J3680" s="455">
        <f t="array" ref="J3680">IFERROR(INDEX('Retirement Calculator'!K:K,MATCH('Lorri 401b'!N3680,'Retirement Calculator'!A:A,0),0),0)</f>
        <v>0</v>
      </c>
      <c r="K3680" s="455">
        <f t="shared" ca="1" si="153"/>
        <v>4452803512.3236485</v>
      </c>
      <c r="L3680" s="455">
        <f t="shared" ca="1" si="154"/>
        <v>1073125646469.9993</v>
      </c>
      <c r="M3680" s="471">
        <f t="shared" si="156"/>
        <v>0.05</v>
      </c>
      <c r="N3680" s="475">
        <f t="shared" si="157"/>
        <v>163051</v>
      </c>
    </row>
    <row r="3681" spans="7:14" ht="11.25" customHeight="1" x14ac:dyDescent="0.3">
      <c r="G3681" s="470"/>
      <c r="H3681" s="470">
        <v>3674</v>
      </c>
      <c r="I3681" s="455">
        <f t="shared" ca="1" si="155"/>
        <v>1073125646469.9993</v>
      </c>
      <c r="J3681" s="455">
        <f t="array" ref="J3681">IFERROR(INDEX('Retirement Calculator'!K:K,MATCH('Lorri 401b'!N3681,'Retirement Calculator'!A:A,0),0),0)</f>
        <v>0</v>
      </c>
      <c r="K3681" s="455">
        <f t="shared" ca="1" si="153"/>
        <v>4471356860.2916632</v>
      </c>
      <c r="L3681" s="455">
        <f t="shared" ca="1" si="154"/>
        <v>1077597003330.2909</v>
      </c>
      <c r="M3681" s="471">
        <f t="shared" si="156"/>
        <v>0.05</v>
      </c>
      <c r="N3681" s="475">
        <f t="shared" si="157"/>
        <v>163081</v>
      </c>
    </row>
    <row r="3682" spans="7:14" ht="11.25" customHeight="1" x14ac:dyDescent="0.3">
      <c r="G3682" s="470"/>
      <c r="H3682" s="470">
        <v>3675</v>
      </c>
      <c r="I3682" s="455">
        <f t="shared" ca="1" si="155"/>
        <v>1077597003330.2909</v>
      </c>
      <c r="J3682" s="455">
        <f t="array" ref="J3682">IFERROR(INDEX('Retirement Calculator'!K:K,MATCH('Lorri 401b'!N3682,'Retirement Calculator'!A:A,0),0),0)</f>
        <v>0</v>
      </c>
      <c r="K3682" s="455">
        <f t="shared" ca="1" si="153"/>
        <v>4489987513.8762112</v>
      </c>
      <c r="L3682" s="455">
        <f t="shared" ca="1" si="154"/>
        <v>1082086990844.1671</v>
      </c>
      <c r="M3682" s="471">
        <f t="shared" si="156"/>
        <v>0.05</v>
      </c>
      <c r="N3682" s="475">
        <f t="shared" si="157"/>
        <v>163112</v>
      </c>
    </row>
    <row r="3683" spans="7:14" ht="11.25" customHeight="1" x14ac:dyDescent="0.3">
      <c r="G3683" s="470"/>
      <c r="H3683" s="470">
        <v>3676</v>
      </c>
      <c r="I3683" s="455">
        <f t="shared" ca="1" si="155"/>
        <v>1082086990844.1671</v>
      </c>
      <c r="J3683" s="455">
        <f t="array" ref="J3683">IFERROR(INDEX('Retirement Calculator'!K:K,MATCH('Lorri 401b'!N3683,'Retirement Calculator'!A:A,0),0),0)</f>
        <v>0</v>
      </c>
      <c r="K3683" s="455">
        <f t="shared" ca="1" si="153"/>
        <v>4508695795.1840296</v>
      </c>
      <c r="L3683" s="455">
        <f t="shared" ca="1" si="154"/>
        <v>1086595686639.3512</v>
      </c>
      <c r="M3683" s="471">
        <f t="shared" si="156"/>
        <v>0.05</v>
      </c>
      <c r="N3683" s="475">
        <f t="shared" si="157"/>
        <v>163143</v>
      </c>
    </row>
    <row r="3684" spans="7:14" ht="11.25" customHeight="1" x14ac:dyDescent="0.3">
      <c r="G3684" s="470"/>
      <c r="H3684" s="470">
        <v>3677</v>
      </c>
      <c r="I3684" s="455">
        <f t="shared" ca="1" si="155"/>
        <v>1086595686639.3512</v>
      </c>
      <c r="J3684" s="455">
        <f t="array" ref="J3684">IFERROR(INDEX('Retirement Calculator'!K:K,MATCH('Lorri 401b'!N3684,'Retirement Calculator'!A:A,0),0),0)</f>
        <v>0</v>
      </c>
      <c r="K3684" s="455">
        <f t="shared" ca="1" si="153"/>
        <v>4527482027.6639633</v>
      </c>
      <c r="L3684" s="455">
        <f t="shared" ca="1" si="154"/>
        <v>1091123168667.0151</v>
      </c>
      <c r="M3684" s="471">
        <f t="shared" si="156"/>
        <v>0.05</v>
      </c>
      <c r="N3684" s="475">
        <f t="shared" si="157"/>
        <v>163173</v>
      </c>
    </row>
    <row r="3685" spans="7:14" ht="11.25" customHeight="1" x14ac:dyDescent="0.3">
      <c r="G3685" s="470"/>
      <c r="H3685" s="470">
        <v>3678</v>
      </c>
      <c r="I3685" s="455">
        <f t="shared" ca="1" si="155"/>
        <v>1091123168667.0151</v>
      </c>
      <c r="J3685" s="455">
        <f t="array" ref="J3685">IFERROR(INDEX('Retirement Calculator'!K:K,MATCH('Lorri 401b'!N3685,'Retirement Calculator'!A:A,0),0),0)</f>
        <v>0</v>
      </c>
      <c r="K3685" s="455">
        <f t="shared" ca="1" si="153"/>
        <v>4546346536.1125631</v>
      </c>
      <c r="L3685" s="455">
        <f t="shared" ca="1" si="154"/>
        <v>1095669515203.1277</v>
      </c>
      <c r="M3685" s="471">
        <f t="shared" si="156"/>
        <v>0.05</v>
      </c>
      <c r="N3685" s="475">
        <f t="shared" si="157"/>
        <v>163204</v>
      </c>
    </row>
    <row r="3686" spans="7:14" ht="11.25" customHeight="1" x14ac:dyDescent="0.3">
      <c r="G3686" s="470"/>
      <c r="H3686" s="470">
        <v>3679</v>
      </c>
      <c r="I3686" s="455">
        <f t="shared" ca="1" si="155"/>
        <v>1095669515203.1277</v>
      </c>
      <c r="J3686" s="455">
        <f t="array" ref="J3686">IFERROR(INDEX('Retirement Calculator'!K:K,MATCH('Lorri 401b'!N3686,'Retirement Calculator'!A:A,0),0),0)</f>
        <v>0</v>
      </c>
      <c r="K3686" s="455">
        <f t="shared" ca="1" si="153"/>
        <v>4565289646.679698</v>
      </c>
      <c r="L3686" s="455">
        <f t="shared" ca="1" si="154"/>
        <v>1100234804849.8074</v>
      </c>
      <c r="M3686" s="471">
        <f t="shared" si="156"/>
        <v>0.05</v>
      </c>
      <c r="N3686" s="475">
        <f t="shared" si="157"/>
        <v>163234</v>
      </c>
    </row>
    <row r="3687" spans="7:14" ht="11.25" customHeight="1" x14ac:dyDescent="0.3">
      <c r="G3687" s="470"/>
      <c r="H3687" s="470">
        <v>3680</v>
      </c>
      <c r="I3687" s="455">
        <f t="shared" ca="1" si="155"/>
        <v>1100234804849.8074</v>
      </c>
      <c r="J3687" s="455">
        <f t="array" ref="J3687">IFERROR(INDEX('Retirement Calculator'!K:K,MATCH('Lorri 401b'!N3687,'Retirement Calculator'!A:A,0),0),0)</f>
        <v>0</v>
      </c>
      <c r="K3687" s="455">
        <f t="shared" ca="1" si="153"/>
        <v>4584311686.874197</v>
      </c>
      <c r="L3687" s="455">
        <f t="shared" ca="1" si="154"/>
        <v>1104819116536.6816</v>
      </c>
      <c r="M3687" s="471">
        <f t="shared" si="156"/>
        <v>0.05</v>
      </c>
      <c r="N3687" s="475">
        <f t="shared" si="157"/>
        <v>163265</v>
      </c>
    </row>
    <row r="3688" spans="7:14" ht="11.25" customHeight="1" x14ac:dyDescent="0.3">
      <c r="G3688" s="470"/>
      <c r="H3688" s="470">
        <v>3681</v>
      </c>
      <c r="I3688" s="455">
        <f t="shared" ca="1" si="155"/>
        <v>1104819116536.6816</v>
      </c>
      <c r="J3688" s="455">
        <f t="array" ref="J3688">IFERROR(INDEX('Retirement Calculator'!K:K,MATCH('Lorri 401b'!N3688,'Retirement Calculator'!A:A,0),0),0)</f>
        <v>0</v>
      </c>
      <c r="K3688" s="455">
        <f t="shared" ca="1" si="153"/>
        <v>4603412985.5695066</v>
      </c>
      <c r="L3688" s="455">
        <f t="shared" ca="1" si="154"/>
        <v>1109422529522.2512</v>
      </c>
      <c r="M3688" s="471">
        <f t="shared" si="156"/>
        <v>0.05</v>
      </c>
      <c r="N3688" s="475">
        <f t="shared" si="157"/>
        <v>163296</v>
      </c>
    </row>
    <row r="3689" spans="7:14" ht="11.25" customHeight="1" x14ac:dyDescent="0.3">
      <c r="G3689" s="470"/>
      <c r="H3689" s="470">
        <v>3682</v>
      </c>
      <c r="I3689" s="455">
        <f t="shared" ca="1" si="155"/>
        <v>1109422529522.2512</v>
      </c>
      <c r="J3689" s="455">
        <f t="array" ref="J3689">IFERROR(INDEX('Retirement Calculator'!K:K,MATCH('Lorri 401b'!N3689,'Retirement Calculator'!A:A,0),0),0)</f>
        <v>0</v>
      </c>
      <c r="K3689" s="455">
        <f t="shared" ca="1" si="153"/>
        <v>4622593873.0093803</v>
      </c>
      <c r="L3689" s="455">
        <f t="shared" ca="1" si="154"/>
        <v>1114045123395.2605</v>
      </c>
      <c r="M3689" s="471">
        <f t="shared" si="156"/>
        <v>0.05</v>
      </c>
      <c r="N3689" s="475">
        <f t="shared" si="157"/>
        <v>163324</v>
      </c>
    </row>
    <row r="3690" spans="7:14" ht="11.25" customHeight="1" x14ac:dyDescent="0.3">
      <c r="G3690" s="470"/>
      <c r="H3690" s="470">
        <v>3683</v>
      </c>
      <c r="I3690" s="455">
        <f t="shared" ca="1" si="155"/>
        <v>1114045123395.2605</v>
      </c>
      <c r="J3690" s="455">
        <f t="array" ref="J3690">IFERROR(INDEX('Retirement Calculator'!K:K,MATCH('Lorri 401b'!N3690,'Retirement Calculator'!A:A,0),0),0)</f>
        <v>0</v>
      </c>
      <c r="K3690" s="455">
        <f t="shared" ca="1" si="153"/>
        <v>4641854680.8135853</v>
      </c>
      <c r="L3690" s="455">
        <f t="shared" ca="1" si="154"/>
        <v>1118686978076.074</v>
      </c>
      <c r="M3690" s="471">
        <f t="shared" si="156"/>
        <v>0.05</v>
      </c>
      <c r="N3690" s="475">
        <f t="shared" si="157"/>
        <v>163355</v>
      </c>
    </row>
    <row r="3691" spans="7:14" ht="11.25" customHeight="1" x14ac:dyDescent="0.3">
      <c r="G3691" s="470"/>
      <c r="H3691" s="470">
        <v>3684</v>
      </c>
      <c r="I3691" s="455">
        <f t="shared" ca="1" si="155"/>
        <v>1118686978076.074</v>
      </c>
      <c r="J3691" s="455">
        <f t="array" ref="J3691">IFERROR(INDEX('Retirement Calculator'!K:K,MATCH('Lorri 401b'!N3691,'Retirement Calculator'!A:A,0),0),0)</f>
        <v>0</v>
      </c>
      <c r="K3691" s="455">
        <f t="shared" ca="1" si="153"/>
        <v>4661195741.9836416</v>
      </c>
      <c r="L3691" s="455">
        <f t="shared" ca="1" si="154"/>
        <v>1123348173818.0576</v>
      </c>
      <c r="M3691" s="471">
        <f t="shared" si="156"/>
        <v>0.05</v>
      </c>
      <c r="N3691" s="475">
        <f t="shared" si="157"/>
        <v>163385</v>
      </c>
    </row>
    <row r="3692" spans="7:14" ht="11.25" customHeight="1" x14ac:dyDescent="0.3">
      <c r="G3692" s="470"/>
      <c r="H3692" s="470">
        <v>3685</v>
      </c>
      <c r="I3692" s="455">
        <f t="shared" ca="1" si="155"/>
        <v>1123348173818.0576</v>
      </c>
      <c r="J3692" s="455">
        <f t="array" ref="J3692">IFERROR(INDEX('Retirement Calculator'!K:K,MATCH('Lorri 401b'!N3692,'Retirement Calculator'!A:A,0),0),0)</f>
        <v>0</v>
      </c>
      <c r="K3692" s="455">
        <f t="shared" ca="1" si="153"/>
        <v>4680617390.9085732</v>
      </c>
      <c r="L3692" s="455">
        <f t="shared" ca="1" si="154"/>
        <v>1128028791208.9663</v>
      </c>
      <c r="M3692" s="471">
        <f t="shared" si="156"/>
        <v>0.05</v>
      </c>
      <c r="N3692" s="475">
        <f t="shared" si="157"/>
        <v>163416</v>
      </c>
    </row>
    <row r="3693" spans="7:14" ht="11.25" customHeight="1" x14ac:dyDescent="0.3">
      <c r="G3693" s="470"/>
      <c r="H3693" s="470">
        <v>3686</v>
      </c>
      <c r="I3693" s="455">
        <f t="shared" ca="1" si="155"/>
        <v>1128028791208.9663</v>
      </c>
      <c r="J3693" s="455">
        <f t="array" ref="J3693">IFERROR(INDEX('Retirement Calculator'!K:K,MATCH('Lorri 401b'!N3693,'Retirement Calculator'!A:A,0),0),0)</f>
        <v>0</v>
      </c>
      <c r="K3693" s="455">
        <f t="shared" ca="1" si="153"/>
        <v>4700119963.3706932</v>
      </c>
      <c r="L3693" s="455">
        <f t="shared" ca="1" si="154"/>
        <v>1132728911172.3369</v>
      </c>
      <c r="M3693" s="471">
        <f t="shared" si="156"/>
        <v>0.05</v>
      </c>
      <c r="N3693" s="475">
        <f t="shared" si="157"/>
        <v>163446</v>
      </c>
    </row>
    <row r="3694" spans="7:14" ht="11.25" customHeight="1" x14ac:dyDescent="0.3">
      <c r="G3694" s="470"/>
      <c r="H3694" s="470">
        <v>3687</v>
      </c>
      <c r="I3694" s="455">
        <f t="shared" ca="1" si="155"/>
        <v>1132728911172.3369</v>
      </c>
      <c r="J3694" s="455">
        <f t="array" ref="J3694">IFERROR(INDEX('Retirement Calculator'!K:K,MATCH('Lorri 401b'!N3694,'Retirement Calculator'!A:A,0),0),0)</f>
        <v>0</v>
      </c>
      <c r="K3694" s="455">
        <f t="shared" ca="1" si="153"/>
        <v>4719703796.551404</v>
      </c>
      <c r="L3694" s="455">
        <f t="shared" ca="1" si="154"/>
        <v>1137448614968.8884</v>
      </c>
      <c r="M3694" s="471">
        <f t="shared" si="156"/>
        <v>0.05</v>
      </c>
      <c r="N3694" s="475">
        <f t="shared" si="157"/>
        <v>163477</v>
      </c>
    </row>
    <row r="3695" spans="7:14" ht="11.25" customHeight="1" x14ac:dyDescent="0.3">
      <c r="G3695" s="470"/>
      <c r="H3695" s="470">
        <v>3688</v>
      </c>
      <c r="I3695" s="455">
        <f t="shared" ca="1" si="155"/>
        <v>1137448614968.8884</v>
      </c>
      <c r="J3695" s="455">
        <f t="array" ref="J3695">IFERROR(INDEX('Retirement Calculator'!K:K,MATCH('Lorri 401b'!N3695,'Retirement Calculator'!A:A,0),0),0)</f>
        <v>0</v>
      </c>
      <c r="K3695" s="455">
        <f t="shared" ca="1" si="153"/>
        <v>4739369229.037035</v>
      </c>
      <c r="L3695" s="455">
        <f t="shared" ca="1" si="154"/>
        <v>1142187984197.9255</v>
      </c>
      <c r="M3695" s="471">
        <f t="shared" si="156"/>
        <v>0.05</v>
      </c>
      <c r="N3695" s="475">
        <f t="shared" si="157"/>
        <v>163508</v>
      </c>
    </row>
    <row r="3696" spans="7:14" ht="11.25" customHeight="1" x14ac:dyDescent="0.3">
      <c r="G3696" s="470"/>
      <c r="H3696" s="470">
        <v>3689</v>
      </c>
      <c r="I3696" s="455">
        <f t="shared" ca="1" si="155"/>
        <v>1142187984197.9255</v>
      </c>
      <c r="J3696" s="455">
        <f t="array" ref="J3696">IFERROR(INDEX('Retirement Calculator'!K:K,MATCH('Lorri 401b'!N3696,'Retirement Calculator'!A:A,0),0),0)</f>
        <v>0</v>
      </c>
      <c r="K3696" s="455">
        <f t="shared" ca="1" si="153"/>
        <v>4759116600.8246899</v>
      </c>
      <c r="L3696" s="455">
        <f t="shared" ca="1" si="154"/>
        <v>1146947100798.7502</v>
      </c>
      <c r="M3696" s="471">
        <f t="shared" si="156"/>
        <v>0.05</v>
      </c>
      <c r="N3696" s="475">
        <f t="shared" si="157"/>
        <v>163538</v>
      </c>
    </row>
    <row r="3697" spans="7:14" ht="11.25" customHeight="1" x14ac:dyDescent="0.3">
      <c r="G3697" s="470"/>
      <c r="H3697" s="470">
        <v>3690</v>
      </c>
      <c r="I3697" s="455">
        <f t="shared" ca="1" si="155"/>
        <v>1146947100798.7502</v>
      </c>
      <c r="J3697" s="455">
        <f t="array" ref="J3697">IFERROR(INDEX('Retirement Calculator'!K:K,MATCH('Lorri 401b'!N3697,'Retirement Calculator'!A:A,0),0),0)</f>
        <v>0</v>
      </c>
      <c r="K3697" s="455">
        <f t="shared" ca="1" si="153"/>
        <v>4778946253.328126</v>
      </c>
      <c r="L3697" s="455">
        <f t="shared" ca="1" si="154"/>
        <v>1151726047052.0784</v>
      </c>
      <c r="M3697" s="471">
        <f t="shared" si="156"/>
        <v>0.05</v>
      </c>
      <c r="N3697" s="475">
        <f t="shared" si="157"/>
        <v>163569</v>
      </c>
    </row>
    <row r="3698" spans="7:14" ht="11.25" customHeight="1" x14ac:dyDescent="0.3">
      <c r="G3698" s="470"/>
      <c r="H3698" s="470">
        <v>3691</v>
      </c>
      <c r="I3698" s="455">
        <f t="shared" ca="1" si="155"/>
        <v>1151726047052.0784</v>
      </c>
      <c r="J3698" s="455">
        <f t="array" ref="J3698">IFERROR(INDEX('Retirement Calculator'!K:K,MATCH('Lorri 401b'!N3698,'Retirement Calculator'!A:A,0),0),0)</f>
        <v>0</v>
      </c>
      <c r="K3698" s="455">
        <f t="shared" ca="1" si="153"/>
        <v>4798858529.3836594</v>
      </c>
      <c r="L3698" s="455">
        <f t="shared" ca="1" si="154"/>
        <v>1156524905581.4619</v>
      </c>
      <c r="M3698" s="471">
        <f t="shared" si="156"/>
        <v>0.05</v>
      </c>
      <c r="N3698" s="475">
        <f t="shared" si="157"/>
        <v>163599</v>
      </c>
    </row>
    <row r="3699" spans="7:14" ht="11.25" customHeight="1" x14ac:dyDescent="0.3">
      <c r="G3699" s="470"/>
      <c r="H3699" s="470">
        <v>3692</v>
      </c>
      <c r="I3699" s="455">
        <f t="shared" ca="1" si="155"/>
        <v>1156524905581.4619</v>
      </c>
      <c r="J3699" s="455">
        <f t="array" ref="J3699">IFERROR(INDEX('Retirement Calculator'!K:K,MATCH('Lorri 401b'!N3699,'Retirement Calculator'!A:A,0),0),0)</f>
        <v>0</v>
      </c>
      <c r="K3699" s="455">
        <f t="shared" ca="1" si="153"/>
        <v>4818853773.2560911</v>
      </c>
      <c r="L3699" s="455">
        <f t="shared" ca="1" si="154"/>
        <v>1161343759354.718</v>
      </c>
      <c r="M3699" s="471">
        <f t="shared" si="156"/>
        <v>0.05</v>
      </c>
      <c r="N3699" s="475">
        <f t="shared" si="157"/>
        <v>163630</v>
      </c>
    </row>
    <row r="3700" spans="7:14" ht="11.25" customHeight="1" x14ac:dyDescent="0.3">
      <c r="G3700" s="470"/>
      <c r="H3700" s="470">
        <v>3693</v>
      </c>
      <c r="I3700" s="455">
        <f t="shared" ca="1" si="155"/>
        <v>1161343759354.718</v>
      </c>
      <c r="J3700" s="455">
        <f t="array" ref="J3700">IFERROR(INDEX('Retirement Calculator'!K:K,MATCH('Lorri 401b'!N3700,'Retirement Calculator'!A:A,0),0),0)</f>
        <v>0</v>
      </c>
      <c r="K3700" s="455">
        <f t="shared" ca="1" si="153"/>
        <v>4838932330.6446581</v>
      </c>
      <c r="L3700" s="455">
        <f t="shared" ca="1" si="154"/>
        <v>1166182691685.3628</v>
      </c>
      <c r="M3700" s="471">
        <f t="shared" si="156"/>
        <v>0.05</v>
      </c>
      <c r="N3700" s="475">
        <f t="shared" si="157"/>
        <v>163661</v>
      </c>
    </row>
    <row r="3701" spans="7:14" ht="11.25" customHeight="1" x14ac:dyDescent="0.3">
      <c r="G3701" s="470"/>
      <c r="H3701" s="470">
        <v>3694</v>
      </c>
      <c r="I3701" s="455">
        <f t="shared" ca="1" si="155"/>
        <v>1166182691685.3628</v>
      </c>
      <c r="J3701" s="455">
        <f t="array" ref="J3701">IFERROR(INDEX('Retirement Calculator'!K:K,MATCH('Lorri 401b'!N3701,'Retirement Calculator'!A:A,0),0),0)</f>
        <v>0</v>
      </c>
      <c r="K3701" s="455">
        <f t="shared" ca="1" si="153"/>
        <v>4859094548.6890116</v>
      </c>
      <c r="L3701" s="455">
        <f t="shared" ca="1" si="154"/>
        <v>1171041786234.0518</v>
      </c>
      <c r="M3701" s="471">
        <f t="shared" si="156"/>
        <v>0.05</v>
      </c>
      <c r="N3701" s="475">
        <f t="shared" si="157"/>
        <v>163690</v>
      </c>
    </row>
    <row r="3702" spans="7:14" ht="11.25" customHeight="1" x14ac:dyDescent="0.3">
      <c r="G3702" s="470"/>
      <c r="H3702" s="470">
        <v>3695</v>
      </c>
      <c r="I3702" s="455">
        <f t="shared" ca="1" si="155"/>
        <v>1171041786234.0518</v>
      </c>
      <c r="J3702" s="455">
        <f t="array" ref="J3702">IFERROR(INDEX('Retirement Calculator'!K:K,MATCH('Lorri 401b'!N3702,'Retirement Calculator'!A:A,0),0),0)</f>
        <v>0</v>
      </c>
      <c r="K3702" s="455">
        <f t="shared" ca="1" si="153"/>
        <v>4879340775.9752159</v>
      </c>
      <c r="L3702" s="455">
        <f t="shared" ca="1" si="154"/>
        <v>1175921127010.0269</v>
      </c>
      <c r="M3702" s="471">
        <f t="shared" si="156"/>
        <v>0.05</v>
      </c>
      <c r="N3702" s="475">
        <f t="shared" si="157"/>
        <v>163721</v>
      </c>
    </row>
    <row r="3703" spans="7:14" ht="11.25" customHeight="1" x14ac:dyDescent="0.3">
      <c r="G3703" s="470"/>
      <c r="H3703" s="470">
        <v>3696</v>
      </c>
      <c r="I3703" s="455">
        <f t="shared" ca="1" si="155"/>
        <v>1175921127010.0269</v>
      </c>
      <c r="J3703" s="455">
        <f t="array" ref="J3703">IFERROR(INDEX('Retirement Calculator'!K:K,MATCH('Lorri 401b'!N3703,'Retirement Calculator'!A:A,0),0),0)</f>
        <v>0</v>
      </c>
      <c r="K3703" s="455">
        <f t="shared" ca="1" si="153"/>
        <v>4899671362.5417786</v>
      </c>
      <c r="L3703" s="455">
        <f t="shared" ca="1" si="154"/>
        <v>1180820798372.5686</v>
      </c>
      <c r="M3703" s="471">
        <f t="shared" si="156"/>
        <v>0.05</v>
      </c>
      <c r="N3703" s="475">
        <f t="shared" si="157"/>
        <v>163751</v>
      </c>
    </row>
    <row r="3704" spans="7:14" ht="11.25" customHeight="1" x14ac:dyDescent="0.3">
      <c r="G3704" s="470"/>
      <c r="H3704" s="470">
        <v>3697</v>
      </c>
      <c r="I3704" s="455">
        <f t="shared" ca="1" si="155"/>
        <v>1180820798372.5686</v>
      </c>
      <c r="J3704" s="455">
        <f t="array" ref="J3704">IFERROR(INDEX('Retirement Calculator'!K:K,MATCH('Lorri 401b'!N3704,'Retirement Calculator'!A:A,0),0),0)</f>
        <v>0</v>
      </c>
      <c r="K3704" s="455">
        <f t="shared" ca="1" si="153"/>
        <v>4920086659.8857021</v>
      </c>
      <c r="L3704" s="455">
        <f t="shared" ca="1" si="154"/>
        <v>1185740885032.4543</v>
      </c>
      <c r="M3704" s="471">
        <f t="shared" si="156"/>
        <v>0.05</v>
      </c>
      <c r="N3704" s="475">
        <f t="shared" si="157"/>
        <v>163782</v>
      </c>
    </row>
    <row r="3705" spans="7:14" ht="11.25" customHeight="1" x14ac:dyDescent="0.3">
      <c r="G3705" s="470"/>
      <c r="H3705" s="470">
        <v>3698</v>
      </c>
      <c r="I3705" s="455">
        <f t="shared" ca="1" si="155"/>
        <v>1185740885032.4543</v>
      </c>
      <c r="J3705" s="455">
        <f t="array" ref="J3705">IFERROR(INDEX('Retirement Calculator'!K:K,MATCH('Lorri 401b'!N3705,'Retirement Calculator'!A:A,0),0),0)</f>
        <v>0</v>
      </c>
      <c r="K3705" s="455">
        <f t="shared" ca="1" si="153"/>
        <v>4940587020.9685593</v>
      </c>
      <c r="L3705" s="455">
        <f t="shared" ca="1" si="154"/>
        <v>1190681472053.4229</v>
      </c>
      <c r="M3705" s="471">
        <f t="shared" si="156"/>
        <v>0.05</v>
      </c>
      <c r="N3705" s="475">
        <f t="shared" si="157"/>
        <v>163812</v>
      </c>
    </row>
    <row r="3706" spans="7:14" ht="11.25" customHeight="1" x14ac:dyDescent="0.3">
      <c r="G3706" s="470"/>
      <c r="H3706" s="470">
        <v>3699</v>
      </c>
      <c r="I3706" s="455">
        <f t="shared" ca="1" si="155"/>
        <v>1190681472053.4229</v>
      </c>
      <c r="J3706" s="455">
        <f t="array" ref="J3706">IFERROR(INDEX('Retirement Calculator'!K:K,MATCH('Lorri 401b'!N3706,'Retirement Calculator'!A:A,0),0),0)</f>
        <v>0</v>
      </c>
      <c r="K3706" s="455">
        <f t="shared" ca="1" si="153"/>
        <v>4961172800.2225952</v>
      </c>
      <c r="L3706" s="455">
        <f t="shared" ca="1" si="154"/>
        <v>1195642644853.6455</v>
      </c>
      <c r="M3706" s="471">
        <f t="shared" si="156"/>
        <v>0.05</v>
      </c>
      <c r="N3706" s="475">
        <f t="shared" si="157"/>
        <v>163843</v>
      </c>
    </row>
    <row r="3707" spans="7:14" ht="11.25" customHeight="1" x14ac:dyDescent="0.3">
      <c r="G3707" s="470"/>
      <c r="H3707" s="470">
        <v>3700</v>
      </c>
      <c r="I3707" s="455">
        <f t="shared" ca="1" si="155"/>
        <v>1195642644853.6455</v>
      </c>
      <c r="J3707" s="455">
        <f t="array" ref="J3707">IFERROR(INDEX('Retirement Calculator'!K:K,MATCH('Lorri 401b'!N3707,'Retirement Calculator'!A:A,0),0),0)</f>
        <v>0</v>
      </c>
      <c r="K3707" s="455">
        <f t="shared" ca="1" si="153"/>
        <v>4981844353.5568562</v>
      </c>
      <c r="L3707" s="455">
        <f t="shared" ca="1" si="154"/>
        <v>1200624489207.2024</v>
      </c>
      <c r="M3707" s="471">
        <f t="shared" si="156"/>
        <v>0.05</v>
      </c>
      <c r="N3707" s="475">
        <f t="shared" si="157"/>
        <v>163874</v>
      </c>
    </row>
    <row r="3708" spans="7:14" ht="11.25" customHeight="1" x14ac:dyDescent="0.3">
      <c r="G3708" s="470"/>
      <c r="H3708" s="470">
        <v>3701</v>
      </c>
      <c r="I3708" s="455">
        <f t="shared" ca="1" si="155"/>
        <v>1200624489207.2024</v>
      </c>
      <c r="J3708" s="455">
        <f t="array" ref="J3708">IFERROR(INDEX('Retirement Calculator'!K:K,MATCH('Lorri 401b'!N3708,'Retirement Calculator'!A:A,0),0),0)</f>
        <v>0</v>
      </c>
      <c r="K3708" s="455">
        <f t="shared" ca="1" si="153"/>
        <v>5002602038.3633432</v>
      </c>
      <c r="L3708" s="455">
        <f t="shared" ca="1" si="154"/>
        <v>1205627091245.5657</v>
      </c>
      <c r="M3708" s="471">
        <f t="shared" si="156"/>
        <v>0.05</v>
      </c>
      <c r="N3708" s="475">
        <f t="shared" si="157"/>
        <v>163904</v>
      </c>
    </row>
    <row r="3709" spans="7:14" ht="11.25" customHeight="1" x14ac:dyDescent="0.3">
      <c r="G3709" s="470"/>
      <c r="H3709" s="470">
        <v>3702</v>
      </c>
      <c r="I3709" s="455">
        <f t="shared" ca="1" si="155"/>
        <v>1205627091245.5657</v>
      </c>
      <c r="J3709" s="455">
        <f t="array" ref="J3709">IFERROR(INDEX('Retirement Calculator'!K:K,MATCH('Lorri 401b'!N3709,'Retirement Calculator'!A:A,0),0),0)</f>
        <v>0</v>
      </c>
      <c r="K3709" s="455">
        <f t="shared" ca="1" si="153"/>
        <v>5023446213.5231905</v>
      </c>
      <c r="L3709" s="455">
        <f t="shared" ca="1" si="154"/>
        <v>1210650537459.0889</v>
      </c>
      <c r="M3709" s="471">
        <f t="shared" si="156"/>
        <v>0.05</v>
      </c>
      <c r="N3709" s="475">
        <f t="shared" si="157"/>
        <v>163935</v>
      </c>
    </row>
    <row r="3710" spans="7:14" ht="11.25" customHeight="1" x14ac:dyDescent="0.3">
      <c r="G3710" s="470"/>
      <c r="H3710" s="470">
        <v>3703</v>
      </c>
      <c r="I3710" s="455">
        <f t="shared" ca="1" si="155"/>
        <v>1210650537459.0889</v>
      </c>
      <c r="J3710" s="455">
        <f t="array" ref="J3710">IFERROR(INDEX('Retirement Calculator'!K:K,MATCH('Lorri 401b'!N3710,'Retirement Calculator'!A:A,0),0),0)</f>
        <v>0</v>
      </c>
      <c r="K3710" s="455">
        <f t="shared" ca="1" si="153"/>
        <v>5044377239.4128704</v>
      </c>
      <c r="L3710" s="455">
        <f t="shared" ca="1" si="154"/>
        <v>1215694914698.5017</v>
      </c>
      <c r="M3710" s="471">
        <f t="shared" si="156"/>
        <v>0.05</v>
      </c>
      <c r="N3710" s="475">
        <f t="shared" si="157"/>
        <v>163965</v>
      </c>
    </row>
    <row r="3711" spans="7:14" ht="11.25" customHeight="1" x14ac:dyDescent="0.3">
      <c r="G3711" s="470"/>
      <c r="H3711" s="470">
        <v>3704</v>
      </c>
      <c r="I3711" s="455">
        <f t="shared" ca="1" si="155"/>
        <v>1215694914698.5017</v>
      </c>
      <c r="J3711" s="455">
        <f t="array" ref="J3711">IFERROR(INDEX('Retirement Calculator'!K:K,MATCH('Lorri 401b'!N3711,'Retirement Calculator'!A:A,0),0),0)</f>
        <v>0</v>
      </c>
      <c r="K3711" s="455">
        <f t="shared" ca="1" si="153"/>
        <v>5065395477.9104233</v>
      </c>
      <c r="L3711" s="455">
        <f t="shared" ca="1" si="154"/>
        <v>1220760310176.4121</v>
      </c>
      <c r="M3711" s="471">
        <f t="shared" si="156"/>
        <v>0.05</v>
      </c>
      <c r="N3711" s="475">
        <f t="shared" si="157"/>
        <v>163996</v>
      </c>
    </row>
    <row r="3712" spans="7:14" ht="11.25" customHeight="1" x14ac:dyDescent="0.3">
      <c r="G3712" s="470"/>
      <c r="H3712" s="470">
        <v>3705</v>
      </c>
      <c r="I3712" s="455">
        <f t="shared" ca="1" si="155"/>
        <v>1220760310176.4121</v>
      </c>
      <c r="J3712" s="455">
        <f t="array" ref="J3712">IFERROR(INDEX('Retirement Calculator'!K:K,MATCH('Lorri 401b'!N3712,'Retirement Calculator'!A:A,0),0),0)</f>
        <v>0</v>
      </c>
      <c r="K3712" s="455">
        <f t="shared" ca="1" si="153"/>
        <v>5086501292.4017172</v>
      </c>
      <c r="L3712" s="455">
        <f t="shared" ca="1" si="154"/>
        <v>1225846811468.8137</v>
      </c>
      <c r="M3712" s="471">
        <f t="shared" si="156"/>
        <v>0.05</v>
      </c>
      <c r="N3712" s="475">
        <f t="shared" si="157"/>
        <v>164027</v>
      </c>
    </row>
    <row r="3713" spans="7:14" ht="11.25" customHeight="1" x14ac:dyDescent="0.3">
      <c r="G3713" s="470"/>
      <c r="H3713" s="470">
        <v>3706</v>
      </c>
      <c r="I3713" s="455">
        <f t="shared" ca="1" si="155"/>
        <v>1225846811468.8137</v>
      </c>
      <c r="J3713" s="455">
        <f t="array" ref="J3713">IFERROR(INDEX('Retirement Calculator'!K:K,MATCH('Lorri 401b'!N3713,'Retirement Calculator'!A:A,0),0),0)</f>
        <v>0</v>
      </c>
      <c r="K3713" s="455">
        <f t="shared" ca="1" si="153"/>
        <v>5107695047.7867241</v>
      </c>
      <c r="L3713" s="455">
        <f t="shared" ca="1" si="154"/>
        <v>1230954506516.6003</v>
      </c>
      <c r="M3713" s="471">
        <f t="shared" si="156"/>
        <v>0.05</v>
      </c>
      <c r="N3713" s="475">
        <f t="shared" si="157"/>
        <v>164055</v>
      </c>
    </row>
    <row r="3714" spans="7:14" ht="11.25" customHeight="1" x14ac:dyDescent="0.3">
      <c r="G3714" s="470"/>
      <c r="H3714" s="470">
        <v>3707</v>
      </c>
      <c r="I3714" s="455">
        <f t="shared" ca="1" si="155"/>
        <v>1230954506516.6003</v>
      </c>
      <c r="J3714" s="455">
        <f t="array" ref="J3714">IFERROR(INDEX('Retirement Calculator'!K:K,MATCH('Lorri 401b'!N3714,'Retirement Calculator'!A:A,0),0),0)</f>
        <v>0</v>
      </c>
      <c r="K3714" s="455">
        <f t="shared" ca="1" si="153"/>
        <v>5128977110.4858351</v>
      </c>
      <c r="L3714" s="455">
        <f t="shared" ca="1" si="154"/>
        <v>1236083483627.0862</v>
      </c>
      <c r="M3714" s="471">
        <f t="shared" si="156"/>
        <v>0.05</v>
      </c>
      <c r="N3714" s="475">
        <f t="shared" si="157"/>
        <v>164086</v>
      </c>
    </row>
    <row r="3715" spans="7:14" ht="11.25" customHeight="1" x14ac:dyDescent="0.3">
      <c r="G3715" s="470"/>
      <c r="H3715" s="470">
        <v>3708</v>
      </c>
      <c r="I3715" s="455">
        <f t="shared" ca="1" si="155"/>
        <v>1236083483627.0862</v>
      </c>
      <c r="J3715" s="455">
        <f t="array" ref="J3715">IFERROR(INDEX('Retirement Calculator'!K:K,MATCH('Lorri 401b'!N3715,'Retirement Calculator'!A:A,0),0),0)</f>
        <v>0</v>
      </c>
      <c r="K3715" s="455">
        <f t="shared" ca="1" si="153"/>
        <v>5150347848.4461927</v>
      </c>
      <c r="L3715" s="455">
        <f t="shared" ca="1" si="154"/>
        <v>1241233831475.5325</v>
      </c>
      <c r="M3715" s="471">
        <f t="shared" si="156"/>
        <v>0.05</v>
      </c>
      <c r="N3715" s="475">
        <f t="shared" si="157"/>
        <v>164116</v>
      </c>
    </row>
    <row r="3716" spans="7:14" ht="11.25" customHeight="1" x14ac:dyDescent="0.3">
      <c r="G3716" s="470"/>
      <c r="H3716" s="470">
        <v>3709</v>
      </c>
      <c r="I3716" s="455">
        <f t="shared" ca="1" si="155"/>
        <v>1241233831475.5325</v>
      </c>
      <c r="J3716" s="455">
        <f t="array" ref="J3716">IFERROR(INDEX('Retirement Calculator'!K:K,MATCH('Lorri 401b'!N3716,'Retirement Calculator'!A:A,0),0),0)</f>
        <v>0</v>
      </c>
      <c r="K3716" s="455">
        <f t="shared" ca="1" si="153"/>
        <v>5171807631.1480522</v>
      </c>
      <c r="L3716" s="455">
        <f t="shared" ca="1" si="154"/>
        <v>1246405639106.6804</v>
      </c>
      <c r="M3716" s="471">
        <f t="shared" si="156"/>
        <v>0.05</v>
      </c>
      <c r="N3716" s="475">
        <f t="shared" si="157"/>
        <v>164147</v>
      </c>
    </row>
    <row r="3717" spans="7:14" ht="11.25" customHeight="1" x14ac:dyDescent="0.3">
      <c r="G3717" s="470"/>
      <c r="H3717" s="470">
        <v>3710</v>
      </c>
      <c r="I3717" s="455">
        <f t="shared" ca="1" si="155"/>
        <v>1246405639106.6804</v>
      </c>
      <c r="J3717" s="455">
        <f t="array" ref="J3717">IFERROR(INDEX('Retirement Calculator'!K:K,MATCH('Lorri 401b'!N3717,'Retirement Calculator'!A:A,0),0),0)</f>
        <v>0</v>
      </c>
      <c r="K3717" s="455">
        <f t="shared" ca="1" si="153"/>
        <v>5193356829.6111679</v>
      </c>
      <c r="L3717" s="455">
        <f t="shared" ca="1" si="154"/>
        <v>1251598995936.2915</v>
      </c>
      <c r="M3717" s="471">
        <f t="shared" si="156"/>
        <v>0.05</v>
      </c>
      <c r="N3717" s="475">
        <f t="shared" si="157"/>
        <v>164177</v>
      </c>
    </row>
    <row r="3718" spans="7:14" ht="11.25" customHeight="1" x14ac:dyDescent="0.3">
      <c r="G3718" s="470"/>
      <c r="H3718" s="470">
        <v>3711</v>
      </c>
      <c r="I3718" s="455">
        <f t="shared" ca="1" si="155"/>
        <v>1251598995936.2915</v>
      </c>
      <c r="J3718" s="455">
        <f t="array" ref="J3718">IFERROR(INDEX('Retirement Calculator'!K:K,MATCH('Lorri 401b'!N3718,'Retirement Calculator'!A:A,0),0),0)</f>
        <v>0</v>
      </c>
      <c r="K3718" s="455">
        <f t="shared" ca="1" si="153"/>
        <v>5214995816.4012146</v>
      </c>
      <c r="L3718" s="455">
        <f t="shared" ca="1" si="154"/>
        <v>1256813991752.6926</v>
      </c>
      <c r="M3718" s="471">
        <f t="shared" si="156"/>
        <v>0.05</v>
      </c>
      <c r="N3718" s="475">
        <f t="shared" si="157"/>
        <v>164208</v>
      </c>
    </row>
    <row r="3719" spans="7:14" ht="11.25" customHeight="1" x14ac:dyDescent="0.3">
      <c r="G3719" s="470"/>
      <c r="H3719" s="470">
        <v>3712</v>
      </c>
      <c r="I3719" s="455">
        <f t="shared" ca="1" si="155"/>
        <v>1256813991752.6926</v>
      </c>
      <c r="J3719" s="455">
        <f t="array" ref="J3719">IFERROR(INDEX('Retirement Calculator'!K:K,MATCH('Lorri 401b'!N3719,'Retirement Calculator'!A:A,0),0),0)</f>
        <v>0</v>
      </c>
      <c r="K3719" s="455">
        <f t="shared" ca="1" si="153"/>
        <v>5236724965.636219</v>
      </c>
      <c r="L3719" s="455">
        <f t="shared" ca="1" si="154"/>
        <v>1262050716718.3289</v>
      </c>
      <c r="M3719" s="471">
        <f t="shared" si="156"/>
        <v>0.05</v>
      </c>
      <c r="N3719" s="475">
        <f t="shared" si="157"/>
        <v>164239</v>
      </c>
    </row>
    <row r="3720" spans="7:14" ht="11.25" customHeight="1" x14ac:dyDescent="0.3">
      <c r="G3720" s="470"/>
      <c r="H3720" s="470">
        <v>3713</v>
      </c>
      <c r="I3720" s="455">
        <f t="shared" ca="1" si="155"/>
        <v>1262050716718.3289</v>
      </c>
      <c r="J3720" s="455">
        <f t="array" ref="J3720">IFERROR(INDEX('Retirement Calculator'!K:K,MATCH('Lorri 401b'!N3720,'Retirement Calculator'!A:A,0),0),0)</f>
        <v>0</v>
      </c>
      <c r="K3720" s="455">
        <f t="shared" ca="1" si="153"/>
        <v>5258544652.9930372</v>
      </c>
      <c r="L3720" s="455">
        <f t="shared" ca="1" si="154"/>
        <v>1267309261371.3218</v>
      </c>
      <c r="M3720" s="471">
        <f t="shared" si="156"/>
        <v>0.05</v>
      </c>
      <c r="N3720" s="475">
        <f t="shared" si="157"/>
        <v>164269</v>
      </c>
    </row>
    <row r="3721" spans="7:14" ht="11.25" customHeight="1" x14ac:dyDescent="0.3">
      <c r="G3721" s="470"/>
      <c r="H3721" s="470">
        <v>3714</v>
      </c>
      <c r="I3721" s="455">
        <f t="shared" ca="1" si="155"/>
        <v>1267309261371.3218</v>
      </c>
      <c r="J3721" s="455">
        <f t="array" ref="J3721">IFERROR(INDEX('Retirement Calculator'!K:K,MATCH('Lorri 401b'!N3721,'Retirement Calculator'!A:A,0),0),0)</f>
        <v>0</v>
      </c>
      <c r="K3721" s="455">
        <f t="shared" ca="1" si="153"/>
        <v>5280455255.7138405</v>
      </c>
      <c r="L3721" s="455">
        <f t="shared" ca="1" si="154"/>
        <v>1272589716627.0356</v>
      </c>
      <c r="M3721" s="471">
        <f t="shared" si="156"/>
        <v>0.05</v>
      </c>
      <c r="N3721" s="475">
        <f t="shared" si="157"/>
        <v>164300</v>
      </c>
    </row>
    <row r="3722" spans="7:14" ht="11.25" customHeight="1" x14ac:dyDescent="0.3">
      <c r="G3722" s="470"/>
      <c r="H3722" s="470">
        <v>3715</v>
      </c>
      <c r="I3722" s="455">
        <f t="shared" ca="1" si="155"/>
        <v>1272589716627.0356</v>
      </c>
      <c r="J3722" s="455">
        <f t="array" ref="J3722">IFERROR(INDEX('Retirement Calculator'!K:K,MATCH('Lorri 401b'!N3722,'Retirement Calculator'!A:A,0),0),0)</f>
        <v>0</v>
      </c>
      <c r="K3722" s="455">
        <f t="shared" ca="1" si="153"/>
        <v>5302457152.612648</v>
      </c>
      <c r="L3722" s="455">
        <f t="shared" ca="1" si="154"/>
        <v>1277892173779.6482</v>
      </c>
      <c r="M3722" s="471">
        <f t="shared" si="156"/>
        <v>0.05</v>
      </c>
      <c r="N3722" s="475">
        <f t="shared" si="157"/>
        <v>164330</v>
      </c>
    </row>
    <row r="3723" spans="7:14" ht="11.25" customHeight="1" x14ac:dyDescent="0.3">
      <c r="G3723" s="470"/>
      <c r="H3723" s="470">
        <v>3716</v>
      </c>
      <c r="I3723" s="455">
        <f t="shared" ca="1" si="155"/>
        <v>1277892173779.6482</v>
      </c>
      <c r="J3723" s="455">
        <f t="array" ref="J3723">IFERROR(INDEX('Retirement Calculator'!K:K,MATCH('Lorri 401b'!N3723,'Retirement Calculator'!A:A,0),0),0)</f>
        <v>0</v>
      </c>
      <c r="K3723" s="455">
        <f t="shared" ca="1" si="153"/>
        <v>5324550724.0818672</v>
      </c>
      <c r="L3723" s="455">
        <f t="shared" ca="1" si="154"/>
        <v>1283216724503.73</v>
      </c>
      <c r="M3723" s="471">
        <f t="shared" si="156"/>
        <v>0.05</v>
      </c>
      <c r="N3723" s="475">
        <f t="shared" si="157"/>
        <v>164361</v>
      </c>
    </row>
    <row r="3724" spans="7:14" ht="11.25" customHeight="1" x14ac:dyDescent="0.3">
      <c r="G3724" s="470"/>
      <c r="H3724" s="470">
        <v>3717</v>
      </c>
      <c r="I3724" s="455">
        <f t="shared" ca="1" si="155"/>
        <v>1283216724503.73</v>
      </c>
      <c r="J3724" s="455">
        <f t="array" ref="J3724">IFERROR(INDEX('Retirement Calculator'!K:K,MATCH('Lorri 401b'!N3724,'Retirement Calculator'!A:A,0),0),0)</f>
        <v>0</v>
      </c>
      <c r="K3724" s="455">
        <f t="shared" ca="1" si="153"/>
        <v>5346736352.098875</v>
      </c>
      <c r="L3724" s="455">
        <f t="shared" ca="1" si="154"/>
        <v>1288563460855.8289</v>
      </c>
      <c r="M3724" s="471">
        <f t="shared" si="156"/>
        <v>0.05</v>
      </c>
      <c r="N3724" s="475">
        <f t="shared" si="157"/>
        <v>164392</v>
      </c>
    </row>
    <row r="3725" spans="7:14" ht="11.25" customHeight="1" x14ac:dyDescent="0.3">
      <c r="G3725" s="470"/>
      <c r="H3725" s="470">
        <v>3718</v>
      </c>
      <c r="I3725" s="455">
        <f t="shared" ca="1" si="155"/>
        <v>1288563460855.8289</v>
      </c>
      <c r="J3725" s="455">
        <f t="array" ref="J3725">IFERROR(INDEX('Retirement Calculator'!K:K,MATCH('Lorri 401b'!N3725,'Retirement Calculator'!A:A,0),0),0)</f>
        <v>0</v>
      </c>
      <c r="K3725" s="455">
        <f t="shared" ca="1" si="153"/>
        <v>5369014420.2326202</v>
      </c>
      <c r="L3725" s="455">
        <f t="shared" ca="1" si="154"/>
        <v>1293932475276.0615</v>
      </c>
      <c r="M3725" s="471">
        <f t="shared" si="156"/>
        <v>0.05</v>
      </c>
      <c r="N3725" s="475">
        <f t="shared" si="157"/>
        <v>164420</v>
      </c>
    </row>
    <row r="3726" spans="7:14" ht="11.25" customHeight="1" x14ac:dyDescent="0.3">
      <c r="G3726" s="470"/>
      <c r="H3726" s="470">
        <v>3719</v>
      </c>
      <c r="I3726" s="455">
        <f t="shared" ca="1" si="155"/>
        <v>1293932475276.0615</v>
      </c>
      <c r="J3726" s="455">
        <f t="array" ref="J3726">IFERROR(INDEX('Retirement Calculator'!K:K,MATCH('Lorri 401b'!N3726,'Retirement Calculator'!A:A,0),0),0)</f>
        <v>0</v>
      </c>
      <c r="K3726" s="455">
        <f t="shared" ca="1" si="153"/>
        <v>5391385313.6502562</v>
      </c>
      <c r="L3726" s="455">
        <f t="shared" ca="1" si="154"/>
        <v>1299323860589.7117</v>
      </c>
      <c r="M3726" s="471">
        <f t="shared" si="156"/>
        <v>0.05</v>
      </c>
      <c r="N3726" s="475">
        <f t="shared" si="157"/>
        <v>164451</v>
      </c>
    </row>
    <row r="3727" spans="7:14" ht="11.25" customHeight="1" x14ac:dyDescent="0.3">
      <c r="G3727" s="470"/>
      <c r="H3727" s="470">
        <v>3720</v>
      </c>
      <c r="I3727" s="455">
        <f t="shared" ca="1" si="155"/>
        <v>1299323860589.7117</v>
      </c>
      <c r="J3727" s="455">
        <f t="array" ref="J3727">IFERROR(INDEX('Retirement Calculator'!K:K,MATCH('Lorri 401b'!N3727,'Retirement Calculator'!A:A,0),0),0)</f>
        <v>0</v>
      </c>
      <c r="K3727" s="455">
        <f t="shared" ca="1" si="153"/>
        <v>5413849419.1237984</v>
      </c>
      <c r="L3727" s="455">
        <f t="shared" ca="1" si="154"/>
        <v>1304737710008.8354</v>
      </c>
      <c r="M3727" s="471">
        <f t="shared" si="156"/>
        <v>0.05</v>
      </c>
      <c r="N3727" s="475">
        <f t="shared" si="157"/>
        <v>164481</v>
      </c>
    </row>
    <row r="3728" spans="7:14" ht="11.25" customHeight="1" x14ac:dyDescent="0.3">
      <c r="G3728" s="470"/>
      <c r="H3728" s="470">
        <v>3721</v>
      </c>
      <c r="I3728" s="455">
        <f t="shared" ca="1" si="155"/>
        <v>1304737710008.8354</v>
      </c>
      <c r="J3728" s="455">
        <f t="array" ref="J3728">IFERROR(INDEX('Retirement Calculator'!K:K,MATCH('Lorri 401b'!N3728,'Retirement Calculator'!A:A,0),0),0)</f>
        <v>0</v>
      </c>
      <c r="K3728" s="455">
        <f t="shared" ca="1" si="153"/>
        <v>5436407125.0368147</v>
      </c>
      <c r="L3728" s="455">
        <f t="shared" ca="1" si="154"/>
        <v>1310174117133.8723</v>
      </c>
      <c r="M3728" s="471">
        <f t="shared" si="156"/>
        <v>0.05</v>
      </c>
      <c r="N3728" s="475">
        <f t="shared" si="157"/>
        <v>164512</v>
      </c>
    </row>
    <row r="3729" spans="7:14" ht="11.25" customHeight="1" x14ac:dyDescent="0.3">
      <c r="G3729" s="470"/>
      <c r="H3729" s="470">
        <v>3722</v>
      </c>
      <c r="I3729" s="455">
        <f t="shared" ca="1" si="155"/>
        <v>1310174117133.8723</v>
      </c>
      <c r="J3729" s="455">
        <f t="array" ref="J3729">IFERROR(INDEX('Retirement Calculator'!K:K,MATCH('Lorri 401b'!N3729,'Retirement Calculator'!A:A,0),0),0)</f>
        <v>0</v>
      </c>
      <c r="K3729" s="455">
        <f t="shared" ca="1" si="153"/>
        <v>5459058821.3911343</v>
      </c>
      <c r="L3729" s="455">
        <f t="shared" ca="1" si="154"/>
        <v>1315633175955.2634</v>
      </c>
      <c r="M3729" s="471">
        <f t="shared" si="156"/>
        <v>0.05</v>
      </c>
      <c r="N3729" s="475">
        <f t="shared" si="157"/>
        <v>164542</v>
      </c>
    </row>
    <row r="3730" spans="7:14" ht="11.25" customHeight="1" x14ac:dyDescent="0.3">
      <c r="G3730" s="470"/>
      <c r="H3730" s="470">
        <v>3723</v>
      </c>
      <c r="I3730" s="455">
        <f t="shared" ca="1" si="155"/>
        <v>1315633175955.2634</v>
      </c>
      <c r="J3730" s="455">
        <f t="array" ref="J3730">IFERROR(INDEX('Retirement Calculator'!K:K,MATCH('Lorri 401b'!N3730,'Retirement Calculator'!A:A,0),0),0)</f>
        <v>0</v>
      </c>
      <c r="K3730" s="455">
        <f t="shared" ca="1" si="153"/>
        <v>5481804899.8135977</v>
      </c>
      <c r="L3730" s="455">
        <f t="shared" ca="1" si="154"/>
        <v>1321114980855.0769</v>
      </c>
      <c r="M3730" s="471">
        <f t="shared" si="156"/>
        <v>0.05</v>
      </c>
      <c r="N3730" s="475">
        <f t="shared" si="157"/>
        <v>164573</v>
      </c>
    </row>
    <row r="3731" spans="7:14" ht="11.25" customHeight="1" x14ac:dyDescent="0.3">
      <c r="G3731" s="470"/>
      <c r="H3731" s="470">
        <v>3724</v>
      </c>
      <c r="I3731" s="455">
        <f t="shared" ca="1" si="155"/>
        <v>1321114980855.0769</v>
      </c>
      <c r="J3731" s="455">
        <f t="array" ref="J3731">IFERROR(INDEX('Retirement Calculator'!K:K,MATCH('Lorri 401b'!N3731,'Retirement Calculator'!A:A,0),0),0)</f>
        <v>0</v>
      </c>
      <c r="K3731" s="455">
        <f t="shared" ca="1" si="153"/>
        <v>5504645753.5628204</v>
      </c>
      <c r="L3731" s="455">
        <f t="shared" ca="1" si="154"/>
        <v>1326619626608.6396</v>
      </c>
      <c r="M3731" s="471">
        <f t="shared" si="156"/>
        <v>0.05</v>
      </c>
      <c r="N3731" s="475">
        <f t="shared" si="157"/>
        <v>164604</v>
      </c>
    </row>
    <row r="3732" spans="7:14" ht="11.25" customHeight="1" x14ac:dyDescent="0.3">
      <c r="G3732" s="470"/>
      <c r="H3732" s="470">
        <v>3725</v>
      </c>
      <c r="I3732" s="455">
        <f t="shared" ca="1" si="155"/>
        <v>1326619626608.6396</v>
      </c>
      <c r="J3732" s="455">
        <f t="array" ref="J3732">IFERROR(INDEX('Retirement Calculator'!K:K,MATCH('Lorri 401b'!N3732,'Retirement Calculator'!A:A,0),0),0)</f>
        <v>0</v>
      </c>
      <c r="K3732" s="455">
        <f t="shared" ca="1" si="153"/>
        <v>5527581777.5359983</v>
      </c>
      <c r="L3732" s="455">
        <f t="shared" ca="1" si="154"/>
        <v>1332147208386.1755</v>
      </c>
      <c r="M3732" s="471">
        <f t="shared" si="156"/>
        <v>0.05</v>
      </c>
      <c r="N3732" s="475">
        <f t="shared" si="157"/>
        <v>164634</v>
      </c>
    </row>
    <row r="3733" spans="7:14" ht="11.25" customHeight="1" x14ac:dyDescent="0.3">
      <c r="G3733" s="470"/>
      <c r="H3733" s="470">
        <v>3726</v>
      </c>
      <c r="I3733" s="455">
        <f t="shared" ca="1" si="155"/>
        <v>1332147208386.1755</v>
      </c>
      <c r="J3733" s="455">
        <f t="array" ref="J3733">IFERROR(INDEX('Retirement Calculator'!K:K,MATCH('Lorri 401b'!N3733,'Retirement Calculator'!A:A,0),0),0)</f>
        <v>0</v>
      </c>
      <c r="K3733" s="455">
        <f t="shared" ca="1" si="153"/>
        <v>5550613368.2757311</v>
      </c>
      <c r="L3733" s="455">
        <f t="shared" ca="1" si="154"/>
        <v>1337697821754.4512</v>
      </c>
      <c r="M3733" s="471">
        <f t="shared" si="156"/>
        <v>0.05</v>
      </c>
      <c r="N3733" s="475">
        <f t="shared" si="157"/>
        <v>164665</v>
      </c>
    </row>
    <row r="3734" spans="7:14" ht="11.25" customHeight="1" x14ac:dyDescent="0.3">
      <c r="G3734" s="470"/>
      <c r="H3734" s="470">
        <v>3727</v>
      </c>
      <c r="I3734" s="455">
        <f t="shared" ca="1" si="155"/>
        <v>1337697821754.4512</v>
      </c>
      <c r="J3734" s="455">
        <f t="array" ref="J3734">IFERROR(INDEX('Retirement Calculator'!K:K,MATCH('Lorri 401b'!N3734,'Retirement Calculator'!A:A,0),0),0)</f>
        <v>0</v>
      </c>
      <c r="K3734" s="455">
        <f t="shared" ca="1" si="153"/>
        <v>5573740923.9768801</v>
      </c>
      <c r="L3734" s="455">
        <f t="shared" ca="1" si="154"/>
        <v>1343271562678.428</v>
      </c>
      <c r="M3734" s="471">
        <f t="shared" si="156"/>
        <v>0.05</v>
      </c>
      <c r="N3734" s="475">
        <f t="shared" si="157"/>
        <v>164695</v>
      </c>
    </row>
    <row r="3735" spans="7:14" ht="11.25" customHeight="1" x14ac:dyDescent="0.3">
      <c r="G3735" s="470"/>
      <c r="H3735" s="470">
        <v>3728</v>
      </c>
      <c r="I3735" s="455">
        <f t="shared" ca="1" si="155"/>
        <v>1343271562678.428</v>
      </c>
      <c r="J3735" s="455">
        <f t="array" ref="J3735">IFERROR(INDEX('Retirement Calculator'!K:K,MATCH('Lorri 401b'!N3735,'Retirement Calculator'!A:A,0),0),0)</f>
        <v>0</v>
      </c>
      <c r="K3735" s="455">
        <f t="shared" ca="1" si="153"/>
        <v>5596964844.4934502</v>
      </c>
      <c r="L3735" s="455">
        <f t="shared" ca="1" si="154"/>
        <v>1348868527522.9214</v>
      </c>
      <c r="M3735" s="471">
        <f t="shared" si="156"/>
        <v>0.05</v>
      </c>
      <c r="N3735" s="475">
        <f t="shared" si="157"/>
        <v>164726</v>
      </c>
    </row>
    <row r="3736" spans="7:14" ht="11.25" customHeight="1" x14ac:dyDescent="0.3">
      <c r="G3736" s="470"/>
      <c r="H3736" s="470">
        <v>3729</v>
      </c>
      <c r="I3736" s="455">
        <f t="shared" ca="1" si="155"/>
        <v>1348868527522.9214</v>
      </c>
      <c r="J3736" s="455">
        <f t="array" ref="J3736">IFERROR(INDEX('Retirement Calculator'!K:K,MATCH('Lorri 401b'!N3736,'Retirement Calculator'!A:A,0),0),0)</f>
        <v>0</v>
      </c>
      <c r="K3736" s="455">
        <f t="shared" ca="1" si="153"/>
        <v>5620285531.3455057</v>
      </c>
      <c r="L3736" s="455">
        <f t="shared" ca="1" si="154"/>
        <v>1354488813054.2668</v>
      </c>
      <c r="M3736" s="471">
        <f t="shared" si="156"/>
        <v>0.05</v>
      </c>
      <c r="N3736" s="475">
        <f t="shared" si="157"/>
        <v>164757</v>
      </c>
    </row>
    <row r="3737" spans="7:14" ht="11.25" customHeight="1" x14ac:dyDescent="0.3">
      <c r="G3737" s="470"/>
      <c r="H3737" s="470">
        <v>3730</v>
      </c>
      <c r="I3737" s="455">
        <f t="shared" ca="1" si="155"/>
        <v>1354488813054.2668</v>
      </c>
      <c r="J3737" s="455">
        <f t="array" ref="J3737">IFERROR(INDEX('Retirement Calculator'!K:K,MATCH('Lorri 401b'!N3737,'Retirement Calculator'!A:A,0),0),0)</f>
        <v>0</v>
      </c>
      <c r="K3737" s="455">
        <f t="shared" ca="1" si="153"/>
        <v>5643703387.7261114</v>
      </c>
      <c r="L3737" s="455">
        <f t="shared" ca="1" si="154"/>
        <v>1360132516441.9929</v>
      </c>
      <c r="M3737" s="471">
        <f t="shared" si="156"/>
        <v>0.05</v>
      </c>
      <c r="N3737" s="475">
        <f t="shared" si="157"/>
        <v>164785</v>
      </c>
    </row>
    <row r="3738" spans="7:14" ht="11.25" customHeight="1" x14ac:dyDescent="0.3">
      <c r="G3738" s="470"/>
      <c r="H3738" s="470">
        <v>3731</v>
      </c>
      <c r="I3738" s="455">
        <f t="shared" ca="1" si="155"/>
        <v>1360132516441.9929</v>
      </c>
      <c r="J3738" s="455">
        <f t="array" ref="J3738">IFERROR(INDEX('Retirement Calculator'!K:K,MATCH('Lorri 401b'!N3738,'Retirement Calculator'!A:A,0),0),0)</f>
        <v>0</v>
      </c>
      <c r="K3738" s="455">
        <f t="shared" ca="1" si="153"/>
        <v>5667218818.5083036</v>
      </c>
      <c r="L3738" s="455">
        <f t="shared" ca="1" si="154"/>
        <v>1365799735260.5012</v>
      </c>
      <c r="M3738" s="471">
        <f t="shared" si="156"/>
        <v>0.05</v>
      </c>
      <c r="N3738" s="475">
        <f t="shared" si="157"/>
        <v>164816</v>
      </c>
    </row>
    <row r="3739" spans="7:14" ht="11.25" customHeight="1" x14ac:dyDescent="0.3">
      <c r="G3739" s="470"/>
      <c r="H3739" s="470">
        <v>3732</v>
      </c>
      <c r="I3739" s="455">
        <f t="shared" ca="1" si="155"/>
        <v>1365799735260.5012</v>
      </c>
      <c r="J3739" s="455">
        <f t="array" ref="J3739">IFERROR(INDEX('Retirement Calculator'!K:K,MATCH('Lorri 401b'!N3739,'Retirement Calculator'!A:A,0),0),0)</f>
        <v>0</v>
      </c>
      <c r="K3739" s="455">
        <f t="shared" ca="1" si="153"/>
        <v>5690832230.2520885</v>
      </c>
      <c r="L3739" s="455">
        <f t="shared" ca="1" si="154"/>
        <v>1371490567490.7534</v>
      </c>
      <c r="M3739" s="471">
        <f t="shared" si="156"/>
        <v>0.05</v>
      </c>
      <c r="N3739" s="475">
        <f t="shared" si="157"/>
        <v>164846</v>
      </c>
    </row>
    <row r="3740" spans="7:14" ht="11.25" customHeight="1" x14ac:dyDescent="0.3">
      <c r="G3740" s="470"/>
      <c r="H3740" s="470">
        <v>3733</v>
      </c>
      <c r="I3740" s="455">
        <f t="shared" ca="1" si="155"/>
        <v>1371490567490.7534</v>
      </c>
      <c r="J3740" s="455">
        <f t="array" ref="J3740">IFERROR(INDEX('Retirement Calculator'!K:K,MATCH('Lorri 401b'!N3740,'Retirement Calculator'!A:A,0),0),0)</f>
        <v>0</v>
      </c>
      <c r="K3740" s="455">
        <f t="shared" ca="1" si="153"/>
        <v>5714544031.2114725</v>
      </c>
      <c r="L3740" s="455">
        <f t="shared" ca="1" si="154"/>
        <v>1377205111521.9648</v>
      </c>
      <c r="M3740" s="471">
        <f t="shared" si="156"/>
        <v>0.05</v>
      </c>
      <c r="N3740" s="475">
        <f t="shared" si="157"/>
        <v>164877</v>
      </c>
    </row>
    <row r="3741" spans="7:14" ht="11.25" customHeight="1" x14ac:dyDescent="0.3">
      <c r="G3741" s="470"/>
      <c r="H3741" s="470">
        <v>3734</v>
      </c>
      <c r="I3741" s="455">
        <f t="shared" ca="1" si="155"/>
        <v>1377205111521.9648</v>
      </c>
      <c r="J3741" s="455">
        <f t="array" ref="J3741">IFERROR(INDEX('Retirement Calculator'!K:K,MATCH('Lorri 401b'!N3741,'Retirement Calculator'!A:A,0),0),0)</f>
        <v>0</v>
      </c>
      <c r="K3741" s="455">
        <f t="shared" ca="1" si="153"/>
        <v>5738354631.3415203</v>
      </c>
      <c r="L3741" s="455">
        <f t="shared" ca="1" si="154"/>
        <v>1382943466153.3064</v>
      </c>
      <c r="M3741" s="471">
        <f t="shared" si="156"/>
        <v>0.05</v>
      </c>
      <c r="N3741" s="475">
        <f t="shared" si="157"/>
        <v>164907</v>
      </c>
    </row>
    <row r="3742" spans="7:14" ht="11.25" customHeight="1" x14ac:dyDescent="0.3">
      <c r="G3742" s="470"/>
      <c r="H3742" s="470">
        <v>3735</v>
      </c>
      <c r="I3742" s="455">
        <f t="shared" ca="1" si="155"/>
        <v>1382943466153.3064</v>
      </c>
      <c r="J3742" s="455">
        <f t="array" ref="J3742">IFERROR(INDEX('Retirement Calculator'!K:K,MATCH('Lorri 401b'!N3742,'Retirement Calculator'!A:A,0),0),0)</f>
        <v>0</v>
      </c>
      <c r="K3742" s="455">
        <f t="shared" ca="1" si="153"/>
        <v>5762264442.3054428</v>
      </c>
      <c r="L3742" s="455">
        <f t="shared" ca="1" si="154"/>
        <v>1388705730595.6118</v>
      </c>
      <c r="M3742" s="471">
        <f t="shared" si="156"/>
        <v>0.05</v>
      </c>
      <c r="N3742" s="475">
        <f t="shared" si="157"/>
        <v>164938</v>
      </c>
    </row>
    <row r="3743" spans="7:14" ht="11.25" customHeight="1" x14ac:dyDescent="0.3">
      <c r="G3743" s="470"/>
      <c r="H3743" s="470">
        <v>3736</v>
      </c>
      <c r="I3743" s="455">
        <f t="shared" ca="1" si="155"/>
        <v>1388705730595.6118</v>
      </c>
      <c r="J3743" s="455">
        <f t="array" ref="J3743">IFERROR(INDEX('Retirement Calculator'!K:K,MATCH('Lorri 401b'!N3743,'Retirement Calculator'!A:A,0),0),0)</f>
        <v>0</v>
      </c>
      <c r="K3743" s="455">
        <f t="shared" ca="1" si="153"/>
        <v>5786273877.4817162</v>
      </c>
      <c r="L3743" s="455">
        <f t="shared" ca="1" si="154"/>
        <v>1394492004473.0935</v>
      </c>
      <c r="M3743" s="471">
        <f t="shared" si="156"/>
        <v>0.05</v>
      </c>
      <c r="N3743" s="475">
        <f t="shared" si="157"/>
        <v>164969</v>
      </c>
    </row>
    <row r="3744" spans="7:14" ht="11.25" customHeight="1" x14ac:dyDescent="0.3">
      <c r="G3744" s="470"/>
      <c r="H3744" s="470">
        <v>3737</v>
      </c>
      <c r="I3744" s="455">
        <f t="shared" ca="1" si="155"/>
        <v>1394492004473.0935</v>
      </c>
      <c r="J3744" s="455">
        <f t="array" ref="J3744">IFERROR(INDEX('Retirement Calculator'!K:K,MATCH('Lorri 401b'!N3744,'Retirement Calculator'!A:A,0),0),0)</f>
        <v>0</v>
      </c>
      <c r="K3744" s="455">
        <f t="shared" ca="1" si="153"/>
        <v>5810383351.9712229</v>
      </c>
      <c r="L3744" s="455">
        <f t="shared" ca="1" si="154"/>
        <v>1400302387825.0647</v>
      </c>
      <c r="M3744" s="471">
        <f t="shared" si="156"/>
        <v>0.05</v>
      </c>
      <c r="N3744" s="475">
        <f t="shared" si="157"/>
        <v>164999</v>
      </c>
    </row>
    <row r="3745" spans="7:14" ht="11.25" customHeight="1" x14ac:dyDescent="0.3">
      <c r="G3745" s="470"/>
      <c r="H3745" s="470">
        <v>3738</v>
      </c>
      <c r="I3745" s="455">
        <f t="shared" ca="1" si="155"/>
        <v>1400302387825.0647</v>
      </c>
      <c r="J3745" s="455">
        <f t="array" ref="J3745">IFERROR(INDEX('Retirement Calculator'!K:K,MATCH('Lorri 401b'!N3745,'Retirement Calculator'!A:A,0),0),0)</f>
        <v>0</v>
      </c>
      <c r="K3745" s="455">
        <f t="shared" ca="1" si="153"/>
        <v>5834593282.6044359</v>
      </c>
      <c r="L3745" s="455">
        <f t="shared" ca="1" si="154"/>
        <v>1406136981107.6692</v>
      </c>
      <c r="M3745" s="471">
        <f t="shared" si="156"/>
        <v>0.05</v>
      </c>
      <c r="N3745" s="475">
        <f t="shared" si="157"/>
        <v>165030</v>
      </c>
    </row>
    <row r="3746" spans="7:14" ht="11.25" customHeight="1" x14ac:dyDescent="0.3">
      <c r="G3746" s="470"/>
      <c r="H3746" s="470">
        <v>3739</v>
      </c>
      <c r="I3746" s="455">
        <f t="shared" ca="1" si="155"/>
        <v>1406136981107.6692</v>
      </c>
      <c r="J3746" s="455">
        <f t="array" ref="J3746">IFERROR(INDEX('Retirement Calculator'!K:K,MATCH('Lorri 401b'!N3746,'Retirement Calculator'!A:A,0),0),0)</f>
        <v>0</v>
      </c>
      <c r="K3746" s="455">
        <f t="shared" ca="1" si="153"/>
        <v>5858904087.9486217</v>
      </c>
      <c r="L3746" s="455">
        <f t="shared" ca="1" si="154"/>
        <v>1411995885195.6179</v>
      </c>
      <c r="M3746" s="471">
        <f t="shared" si="156"/>
        <v>0.05</v>
      </c>
      <c r="N3746" s="475">
        <f t="shared" si="157"/>
        <v>165060</v>
      </c>
    </row>
    <row r="3747" spans="7:14" ht="11.25" customHeight="1" x14ac:dyDescent="0.3">
      <c r="G3747" s="470"/>
      <c r="H3747" s="470">
        <v>3740</v>
      </c>
      <c r="I3747" s="455">
        <f t="shared" ca="1" si="155"/>
        <v>1411995885195.6179</v>
      </c>
      <c r="J3747" s="455">
        <f t="array" ref="J3747">IFERROR(INDEX('Retirement Calculator'!K:K,MATCH('Lorri 401b'!N3747,'Retirement Calculator'!A:A,0),0),0)</f>
        <v>0</v>
      </c>
      <c r="K3747" s="455">
        <f t="shared" ca="1" si="153"/>
        <v>5883316188.3150749</v>
      </c>
      <c r="L3747" s="455">
        <f t="shared" ca="1" si="154"/>
        <v>1417879201383.9331</v>
      </c>
      <c r="M3747" s="471">
        <f t="shared" si="156"/>
        <v>0.05</v>
      </c>
      <c r="N3747" s="475">
        <f t="shared" si="157"/>
        <v>165091</v>
      </c>
    </row>
    <row r="3748" spans="7:14" ht="11.25" customHeight="1" x14ac:dyDescent="0.3">
      <c r="G3748" s="470"/>
      <c r="H3748" s="470">
        <v>3741</v>
      </c>
      <c r="I3748" s="455">
        <f t="shared" ca="1" si="155"/>
        <v>1417879201383.9331</v>
      </c>
      <c r="J3748" s="455">
        <f t="array" ref="J3748">IFERROR(INDEX('Retirement Calculator'!K:K,MATCH('Lorri 401b'!N3748,'Retirement Calculator'!A:A,0),0),0)</f>
        <v>0</v>
      </c>
      <c r="K3748" s="455">
        <f t="shared" ca="1" si="153"/>
        <v>5907830005.7663879</v>
      </c>
      <c r="L3748" s="455">
        <f t="shared" ca="1" si="154"/>
        <v>1423787031389.6995</v>
      </c>
      <c r="M3748" s="471">
        <f t="shared" si="156"/>
        <v>0.05</v>
      </c>
      <c r="N3748" s="475">
        <f t="shared" si="157"/>
        <v>165122</v>
      </c>
    </row>
    <row r="3749" spans="7:14" ht="11.25" customHeight="1" x14ac:dyDescent="0.3">
      <c r="G3749" s="470"/>
      <c r="H3749" s="470">
        <v>3742</v>
      </c>
      <c r="I3749" s="455">
        <f t="shared" ca="1" si="155"/>
        <v>1423787031389.6995</v>
      </c>
      <c r="J3749" s="455">
        <f t="array" ref="J3749">IFERROR(INDEX('Retirement Calculator'!K:K,MATCH('Lorri 401b'!N3749,'Retirement Calculator'!A:A,0),0),0)</f>
        <v>0</v>
      </c>
      <c r="K3749" s="455">
        <f t="shared" ca="1" si="153"/>
        <v>5932445964.1237478</v>
      </c>
      <c r="L3749" s="455">
        <f t="shared" ca="1" si="154"/>
        <v>1429719477353.8232</v>
      </c>
      <c r="M3749" s="471">
        <f t="shared" si="156"/>
        <v>0.05</v>
      </c>
      <c r="N3749" s="475">
        <f t="shared" si="157"/>
        <v>165151</v>
      </c>
    </row>
    <row r="3750" spans="7:14" ht="11.25" customHeight="1" x14ac:dyDescent="0.3">
      <c r="G3750" s="470"/>
      <c r="H3750" s="470">
        <v>3743</v>
      </c>
      <c r="I3750" s="455">
        <f t="shared" ca="1" si="155"/>
        <v>1429719477353.8232</v>
      </c>
      <c r="J3750" s="455">
        <f t="array" ref="J3750">IFERROR(INDEX('Retirement Calculator'!K:K,MATCH('Lorri 401b'!N3750,'Retirement Calculator'!A:A,0),0),0)</f>
        <v>0</v>
      </c>
      <c r="K3750" s="455">
        <f t="shared" ca="1" si="153"/>
        <v>5957164488.9742632</v>
      </c>
      <c r="L3750" s="455">
        <f t="shared" ca="1" si="154"/>
        <v>1435676641842.7976</v>
      </c>
      <c r="M3750" s="471">
        <f t="shared" si="156"/>
        <v>0.05</v>
      </c>
      <c r="N3750" s="475">
        <f t="shared" si="157"/>
        <v>165182</v>
      </c>
    </row>
    <row r="3751" spans="7:14" ht="11.25" customHeight="1" x14ac:dyDescent="0.3">
      <c r="G3751" s="470"/>
      <c r="H3751" s="470">
        <v>3744</v>
      </c>
      <c r="I3751" s="455">
        <f t="shared" ca="1" si="155"/>
        <v>1435676641842.7976</v>
      </c>
      <c r="J3751" s="455">
        <f t="array" ref="J3751">IFERROR(INDEX('Retirement Calculator'!K:K,MATCH('Lorri 401b'!N3751,'Retirement Calculator'!A:A,0),0),0)</f>
        <v>0</v>
      </c>
      <c r="K3751" s="455">
        <f t="shared" ca="1" si="153"/>
        <v>5981986007.6783237</v>
      </c>
      <c r="L3751" s="455">
        <f t="shared" ca="1" si="154"/>
        <v>1441658627850.4758</v>
      </c>
      <c r="M3751" s="471">
        <f t="shared" si="156"/>
        <v>0.05</v>
      </c>
      <c r="N3751" s="475">
        <f t="shared" si="157"/>
        <v>165212</v>
      </c>
    </row>
    <row r="3752" spans="7:14" ht="11.25" customHeight="1" x14ac:dyDescent="0.3">
      <c r="G3752" s="470"/>
      <c r="H3752" s="470">
        <v>3745</v>
      </c>
      <c r="I3752" s="455">
        <f t="shared" ca="1" si="155"/>
        <v>1441658627850.4758</v>
      </c>
      <c r="J3752" s="455">
        <f t="array" ref="J3752">IFERROR(INDEX('Retirement Calculator'!K:K,MATCH('Lorri 401b'!N3752,'Retirement Calculator'!A:A,0),0),0)</f>
        <v>0</v>
      </c>
      <c r="K3752" s="455">
        <f t="shared" ca="1" si="153"/>
        <v>6006910949.3769827</v>
      </c>
      <c r="L3752" s="455">
        <f t="shared" ca="1" si="154"/>
        <v>1447665538799.8528</v>
      </c>
      <c r="M3752" s="471">
        <f t="shared" si="156"/>
        <v>0.05</v>
      </c>
      <c r="N3752" s="475">
        <f t="shared" si="157"/>
        <v>165243</v>
      </c>
    </row>
    <row r="3753" spans="7:14" ht="11.25" customHeight="1" x14ac:dyDescent="0.3">
      <c r="G3753" s="470"/>
      <c r="H3753" s="470">
        <v>3746</v>
      </c>
      <c r="I3753" s="455">
        <f t="shared" ca="1" si="155"/>
        <v>1447665538799.8528</v>
      </c>
      <c r="J3753" s="455">
        <f t="array" ref="J3753">IFERROR(INDEX('Retirement Calculator'!K:K,MATCH('Lorri 401b'!N3753,'Retirement Calculator'!A:A,0),0),0)</f>
        <v>0</v>
      </c>
      <c r="K3753" s="455">
        <f t="shared" ca="1" si="153"/>
        <v>6031939744.9993868</v>
      </c>
      <c r="L3753" s="455">
        <f t="shared" ca="1" si="154"/>
        <v>1453697478544.8521</v>
      </c>
      <c r="M3753" s="471">
        <f t="shared" si="156"/>
        <v>0.05</v>
      </c>
      <c r="N3753" s="475">
        <f t="shared" si="157"/>
        <v>165273</v>
      </c>
    </row>
    <row r="3754" spans="7:14" ht="11.25" customHeight="1" x14ac:dyDescent="0.3">
      <c r="G3754" s="470"/>
      <c r="H3754" s="470">
        <v>3747</v>
      </c>
      <c r="I3754" s="455">
        <f t="shared" ca="1" si="155"/>
        <v>1453697478544.8521</v>
      </c>
      <c r="J3754" s="455">
        <f t="array" ref="J3754">IFERROR(INDEX('Retirement Calculator'!K:K,MATCH('Lorri 401b'!N3754,'Retirement Calculator'!A:A,0),0),0)</f>
        <v>0</v>
      </c>
      <c r="K3754" s="455">
        <f t="shared" ca="1" si="153"/>
        <v>6057072827.2702169</v>
      </c>
      <c r="L3754" s="455">
        <f t="shared" ca="1" si="154"/>
        <v>1459754551372.1223</v>
      </c>
      <c r="M3754" s="471">
        <f t="shared" si="156"/>
        <v>0.05</v>
      </c>
      <c r="N3754" s="475">
        <f t="shared" si="157"/>
        <v>165304</v>
      </c>
    </row>
    <row r="3755" spans="7:14" ht="11.25" customHeight="1" x14ac:dyDescent="0.3">
      <c r="G3755" s="470"/>
      <c r="H3755" s="470">
        <v>3748</v>
      </c>
      <c r="I3755" s="455">
        <f t="shared" ca="1" si="155"/>
        <v>1459754551372.1223</v>
      </c>
      <c r="J3755" s="455">
        <f t="array" ref="J3755">IFERROR(INDEX('Retirement Calculator'!K:K,MATCH('Lorri 401b'!N3755,'Retirement Calculator'!A:A,0),0),0)</f>
        <v>0</v>
      </c>
      <c r="K3755" s="455">
        <f t="shared" ca="1" si="153"/>
        <v>6082310630.7171764</v>
      </c>
      <c r="L3755" s="455">
        <f t="shared" ca="1" si="154"/>
        <v>1465836862002.8396</v>
      </c>
      <c r="M3755" s="471">
        <f t="shared" si="156"/>
        <v>0.05</v>
      </c>
      <c r="N3755" s="475">
        <f t="shared" si="157"/>
        <v>165335</v>
      </c>
    </row>
    <row r="3756" spans="7:14" ht="11.25" customHeight="1" x14ac:dyDescent="0.3">
      <c r="G3756" s="470"/>
      <c r="H3756" s="470">
        <v>3749</v>
      </c>
      <c r="I3756" s="455">
        <f t="shared" ca="1" si="155"/>
        <v>1465836862002.8396</v>
      </c>
      <c r="J3756" s="455">
        <f t="array" ref="J3756">IFERROR(INDEX('Retirement Calculator'!K:K,MATCH('Lorri 401b'!N3756,'Retirement Calculator'!A:A,0),0),0)</f>
        <v>0</v>
      </c>
      <c r="K3756" s="455">
        <f t="shared" ca="1" si="153"/>
        <v>6107653591.6784983</v>
      </c>
      <c r="L3756" s="455">
        <f t="shared" ca="1" si="154"/>
        <v>1471944515594.5181</v>
      </c>
      <c r="M3756" s="471">
        <f t="shared" si="156"/>
        <v>0.05</v>
      </c>
      <c r="N3756" s="475">
        <f t="shared" si="157"/>
        <v>165365</v>
      </c>
    </row>
    <row r="3757" spans="7:14" ht="11.25" customHeight="1" x14ac:dyDescent="0.3">
      <c r="G3757" s="470"/>
      <c r="H3757" s="470">
        <v>3750</v>
      </c>
      <c r="I3757" s="455">
        <f t="shared" ca="1" si="155"/>
        <v>1471944515594.5181</v>
      </c>
      <c r="J3757" s="455">
        <f t="array" ref="J3757">IFERROR(INDEX('Retirement Calculator'!K:K,MATCH('Lorri 401b'!N3757,'Retirement Calculator'!A:A,0),0),0)</f>
        <v>0</v>
      </c>
      <c r="K3757" s="455">
        <f t="shared" ca="1" si="153"/>
        <v>6133102148.3104916</v>
      </c>
      <c r="L3757" s="455">
        <f t="shared" ca="1" si="154"/>
        <v>1478077617742.8286</v>
      </c>
      <c r="M3757" s="471">
        <f t="shared" si="156"/>
        <v>0.05</v>
      </c>
      <c r="N3757" s="475">
        <f t="shared" si="157"/>
        <v>165396</v>
      </c>
    </row>
    <row r="3758" spans="7:14" ht="11.25" customHeight="1" x14ac:dyDescent="0.3">
      <c r="G3758" s="470"/>
      <c r="H3758" s="470">
        <v>3751</v>
      </c>
      <c r="I3758" s="455">
        <f t="shared" ca="1" si="155"/>
        <v>1478077617742.8286</v>
      </c>
      <c r="J3758" s="455">
        <f t="array" ref="J3758">IFERROR(INDEX('Retirement Calculator'!K:K,MATCH('Lorri 401b'!N3758,'Retirement Calculator'!A:A,0),0),0)</f>
        <v>0</v>
      </c>
      <c r="K3758" s="455">
        <f t="shared" ca="1" si="153"/>
        <v>6158656740.5951195</v>
      </c>
      <c r="L3758" s="455">
        <f t="shared" ca="1" si="154"/>
        <v>1484236274483.4238</v>
      </c>
      <c r="M3758" s="471">
        <f t="shared" si="156"/>
        <v>0.05</v>
      </c>
      <c r="N3758" s="475">
        <f t="shared" si="157"/>
        <v>165426</v>
      </c>
    </row>
    <row r="3759" spans="7:14" ht="11.25" customHeight="1" x14ac:dyDescent="0.3">
      <c r="G3759" s="470"/>
      <c r="H3759" s="470">
        <v>3752</v>
      </c>
      <c r="I3759" s="455">
        <f t="shared" ca="1" si="155"/>
        <v>1484236274483.4238</v>
      </c>
      <c r="J3759" s="455">
        <f t="array" ref="J3759">IFERROR(INDEX('Retirement Calculator'!K:K,MATCH('Lorri 401b'!N3759,'Retirement Calculator'!A:A,0),0),0)</f>
        <v>0</v>
      </c>
      <c r="K3759" s="455">
        <f t="shared" ca="1" si="153"/>
        <v>6184317810.347599</v>
      </c>
      <c r="L3759" s="455">
        <f t="shared" ca="1" si="154"/>
        <v>1490420592293.7715</v>
      </c>
      <c r="M3759" s="471">
        <f t="shared" si="156"/>
        <v>0.05</v>
      </c>
      <c r="N3759" s="475">
        <f t="shared" si="157"/>
        <v>165457</v>
      </c>
    </row>
    <row r="3760" spans="7:14" ht="11.25" customHeight="1" x14ac:dyDescent="0.3">
      <c r="G3760" s="470"/>
      <c r="H3760" s="470">
        <v>3753</v>
      </c>
      <c r="I3760" s="455">
        <f t="shared" ca="1" si="155"/>
        <v>1490420592293.7715</v>
      </c>
      <c r="J3760" s="455">
        <f t="array" ref="J3760">IFERROR(INDEX('Retirement Calculator'!K:K,MATCH('Lorri 401b'!N3760,'Retirement Calculator'!A:A,0),0),0)</f>
        <v>0</v>
      </c>
      <c r="K3760" s="455">
        <f t="shared" ca="1" si="153"/>
        <v>6210085801.2240477</v>
      </c>
      <c r="L3760" s="455">
        <f t="shared" ca="1" si="154"/>
        <v>1496630678094.9956</v>
      </c>
      <c r="M3760" s="471">
        <f t="shared" si="156"/>
        <v>0.05</v>
      </c>
      <c r="N3760" s="475">
        <f t="shared" si="157"/>
        <v>165488</v>
      </c>
    </row>
    <row r="3761" spans="7:14" ht="11.25" customHeight="1" x14ac:dyDescent="0.3">
      <c r="G3761" s="470"/>
      <c r="H3761" s="470">
        <v>3754</v>
      </c>
      <c r="I3761" s="455">
        <f t="shared" ca="1" si="155"/>
        <v>1496630678094.9956</v>
      </c>
      <c r="J3761" s="455">
        <f t="array" ref="J3761">IFERROR(INDEX('Retirement Calculator'!K:K,MATCH('Lorri 401b'!N3761,'Retirement Calculator'!A:A,0),0),0)</f>
        <v>0</v>
      </c>
      <c r="K3761" s="455">
        <f t="shared" ca="1" si="153"/>
        <v>6235961158.7291479</v>
      </c>
      <c r="L3761" s="455">
        <f t="shared" ca="1" si="154"/>
        <v>1502866639253.7249</v>
      </c>
      <c r="M3761" s="471">
        <f t="shared" si="156"/>
        <v>0.05</v>
      </c>
      <c r="N3761" s="475">
        <f t="shared" si="157"/>
        <v>165516</v>
      </c>
    </row>
    <row r="3762" spans="7:14" ht="11.25" customHeight="1" x14ac:dyDescent="0.3">
      <c r="G3762" s="470"/>
      <c r="H3762" s="470">
        <v>3755</v>
      </c>
      <c r="I3762" s="455">
        <f t="shared" ca="1" si="155"/>
        <v>1502866639253.7249</v>
      </c>
      <c r="J3762" s="455">
        <f t="array" ref="J3762">IFERROR(INDEX('Retirement Calculator'!K:K,MATCH('Lorri 401b'!N3762,'Retirement Calculator'!A:A,0),0),0)</f>
        <v>0</v>
      </c>
      <c r="K3762" s="455">
        <f t="shared" ca="1" si="153"/>
        <v>6261944330.2238531</v>
      </c>
      <c r="L3762" s="455">
        <f t="shared" ca="1" si="154"/>
        <v>1509128583583.9487</v>
      </c>
      <c r="M3762" s="471">
        <f t="shared" si="156"/>
        <v>0.05</v>
      </c>
      <c r="N3762" s="475">
        <f t="shared" si="157"/>
        <v>165547</v>
      </c>
    </row>
    <row r="3763" spans="7:14" ht="11.25" customHeight="1" x14ac:dyDescent="0.3">
      <c r="G3763" s="470"/>
      <c r="H3763" s="470">
        <v>3756</v>
      </c>
      <c r="I3763" s="455">
        <f t="shared" ca="1" si="155"/>
        <v>1509128583583.9487</v>
      </c>
      <c r="J3763" s="455">
        <f t="array" ref="J3763">IFERROR(INDEX('Retirement Calculator'!K:K,MATCH('Lorri 401b'!N3763,'Retirement Calculator'!A:A,0),0),0)</f>
        <v>0</v>
      </c>
      <c r="K3763" s="455">
        <f t="shared" ca="1" si="153"/>
        <v>6288035764.9331198</v>
      </c>
      <c r="L3763" s="455">
        <f t="shared" ca="1" si="154"/>
        <v>1515416619348.8818</v>
      </c>
      <c r="M3763" s="471">
        <f t="shared" si="156"/>
        <v>0.05</v>
      </c>
      <c r="N3763" s="475">
        <f t="shared" si="157"/>
        <v>165577</v>
      </c>
    </row>
    <row r="3764" spans="7:14" ht="11.25" customHeight="1" x14ac:dyDescent="0.3">
      <c r="G3764" s="470"/>
      <c r="H3764" s="470">
        <v>3757</v>
      </c>
      <c r="I3764" s="455">
        <f t="shared" ca="1" si="155"/>
        <v>1515416619348.8818</v>
      </c>
      <c r="J3764" s="455">
        <f t="array" ref="J3764">IFERROR(INDEX('Retirement Calculator'!K:K,MATCH('Lorri 401b'!N3764,'Retirement Calculator'!A:A,0),0),0)</f>
        <v>0</v>
      </c>
      <c r="K3764" s="455">
        <f t="shared" ca="1" si="153"/>
        <v>6314235913.9536743</v>
      </c>
      <c r="L3764" s="455">
        <f t="shared" ca="1" si="154"/>
        <v>1521730855262.8354</v>
      </c>
      <c r="M3764" s="471">
        <f t="shared" si="156"/>
        <v>0.05</v>
      </c>
      <c r="N3764" s="475">
        <f t="shared" si="157"/>
        <v>165608</v>
      </c>
    </row>
    <row r="3765" spans="7:14" ht="11.25" customHeight="1" x14ac:dyDescent="0.3">
      <c r="G3765" s="470"/>
      <c r="H3765" s="470">
        <v>3758</v>
      </c>
      <c r="I3765" s="455">
        <f t="shared" ca="1" si="155"/>
        <v>1521730855262.8354</v>
      </c>
      <c r="J3765" s="455">
        <f t="array" ref="J3765">IFERROR(INDEX('Retirement Calculator'!K:K,MATCH('Lorri 401b'!N3765,'Retirement Calculator'!A:A,0),0),0)</f>
        <v>0</v>
      </c>
      <c r="K3765" s="455">
        <f t="shared" ca="1" si="153"/>
        <v>6340545230.2618141</v>
      </c>
      <c r="L3765" s="455">
        <f t="shared" ca="1" si="154"/>
        <v>1528071400493.0972</v>
      </c>
      <c r="M3765" s="471">
        <f t="shared" si="156"/>
        <v>0.05</v>
      </c>
      <c r="N3765" s="475">
        <f t="shared" si="157"/>
        <v>165638</v>
      </c>
    </row>
    <row r="3766" spans="7:14" ht="11.25" customHeight="1" x14ac:dyDescent="0.3">
      <c r="G3766" s="470"/>
      <c r="H3766" s="470">
        <v>3759</v>
      </c>
      <c r="I3766" s="455">
        <f t="shared" ca="1" si="155"/>
        <v>1528071400493.0972</v>
      </c>
      <c r="J3766" s="455">
        <f t="array" ref="J3766">IFERROR(INDEX('Retirement Calculator'!K:K,MATCH('Lorri 401b'!N3766,'Retirement Calculator'!A:A,0),0),0)</f>
        <v>0</v>
      </c>
      <c r="K3766" s="455">
        <f t="shared" ca="1" si="153"/>
        <v>6366964168.7212381</v>
      </c>
      <c r="L3766" s="455">
        <f t="shared" ca="1" si="154"/>
        <v>1534438364661.8184</v>
      </c>
      <c r="M3766" s="471">
        <f t="shared" si="156"/>
        <v>0.05</v>
      </c>
      <c r="N3766" s="475">
        <f t="shared" si="157"/>
        <v>165669</v>
      </c>
    </row>
    <row r="3767" spans="7:14" ht="11.25" customHeight="1" x14ac:dyDescent="0.3">
      <c r="G3767" s="470"/>
      <c r="H3767" s="470">
        <v>3760</v>
      </c>
      <c r="I3767" s="455">
        <f t="shared" ca="1" si="155"/>
        <v>1534438364661.8184</v>
      </c>
      <c r="J3767" s="455">
        <f t="array" ref="J3767">IFERROR(INDEX('Retirement Calculator'!K:K,MATCH('Lorri 401b'!N3767,'Retirement Calculator'!A:A,0),0),0)</f>
        <v>0</v>
      </c>
      <c r="K3767" s="455">
        <f t="shared" ca="1" si="153"/>
        <v>6393493186.09091</v>
      </c>
      <c r="L3767" s="455">
        <f t="shared" ca="1" si="154"/>
        <v>1540831857847.9092</v>
      </c>
      <c r="M3767" s="471">
        <f t="shared" si="156"/>
        <v>0.05</v>
      </c>
      <c r="N3767" s="475">
        <f t="shared" si="157"/>
        <v>165700</v>
      </c>
    </row>
    <row r="3768" spans="7:14" ht="11.25" customHeight="1" x14ac:dyDescent="0.3">
      <c r="G3768" s="470"/>
      <c r="H3768" s="470">
        <v>3761</v>
      </c>
      <c r="I3768" s="455">
        <f t="shared" ca="1" si="155"/>
        <v>1540831857847.9092</v>
      </c>
      <c r="J3768" s="455">
        <f t="array" ref="J3768">IFERROR(INDEX('Retirement Calculator'!K:K,MATCH('Lorri 401b'!N3768,'Retirement Calculator'!A:A,0),0),0)</f>
        <v>0</v>
      </c>
      <c r="K3768" s="455">
        <f t="shared" ca="1" si="153"/>
        <v>6420132741.0329552</v>
      </c>
      <c r="L3768" s="455">
        <f t="shared" ca="1" si="154"/>
        <v>1547251990588.9421</v>
      </c>
      <c r="M3768" s="471">
        <f t="shared" si="156"/>
        <v>0.05</v>
      </c>
      <c r="N3768" s="475">
        <f t="shared" si="157"/>
        <v>165730</v>
      </c>
    </row>
    <row r="3769" spans="7:14" ht="11.25" customHeight="1" x14ac:dyDescent="0.3">
      <c r="G3769" s="470"/>
      <c r="H3769" s="470">
        <v>3762</v>
      </c>
      <c r="I3769" s="455">
        <f t="shared" ca="1" si="155"/>
        <v>1547251990588.9421</v>
      </c>
      <c r="J3769" s="455">
        <f t="array" ref="J3769">IFERROR(INDEX('Retirement Calculator'!K:K,MATCH('Lorri 401b'!N3769,'Retirement Calculator'!A:A,0),0),0)</f>
        <v>0</v>
      </c>
      <c r="K3769" s="455">
        <f t="shared" ca="1" si="153"/>
        <v>6446883294.1205921</v>
      </c>
      <c r="L3769" s="455">
        <f t="shared" ca="1" si="154"/>
        <v>1553698873883.0627</v>
      </c>
      <c r="M3769" s="471">
        <f t="shared" si="156"/>
        <v>0.05</v>
      </c>
      <c r="N3769" s="475">
        <f t="shared" si="157"/>
        <v>165761</v>
      </c>
    </row>
    <row r="3770" spans="7:14" ht="11.25" customHeight="1" x14ac:dyDescent="0.3">
      <c r="G3770" s="470"/>
      <c r="H3770" s="470">
        <v>3763</v>
      </c>
      <c r="I3770" s="455">
        <f t="shared" ca="1" si="155"/>
        <v>1553698873883.0627</v>
      </c>
      <c r="J3770" s="455">
        <f t="array" ref="J3770">IFERROR(INDEX('Retirement Calculator'!K:K,MATCH('Lorri 401b'!N3770,'Retirement Calculator'!A:A,0),0),0)</f>
        <v>0</v>
      </c>
      <c r="K3770" s="455">
        <f t="shared" ca="1" si="153"/>
        <v>6473745307.8460951</v>
      </c>
      <c r="L3770" s="455">
        <f t="shared" ca="1" si="154"/>
        <v>1560172619190.9089</v>
      </c>
      <c r="M3770" s="471">
        <f t="shared" si="156"/>
        <v>0.05</v>
      </c>
      <c r="N3770" s="475">
        <f t="shared" si="157"/>
        <v>165791</v>
      </c>
    </row>
    <row r="3771" spans="7:14" ht="11.25" customHeight="1" x14ac:dyDescent="0.3">
      <c r="G3771" s="470"/>
      <c r="H3771" s="470">
        <v>3764</v>
      </c>
      <c r="I3771" s="455">
        <f t="shared" ca="1" si="155"/>
        <v>1560172619190.9089</v>
      </c>
      <c r="J3771" s="455">
        <f t="array" ref="J3771">IFERROR(INDEX('Retirement Calculator'!K:K,MATCH('Lorri 401b'!N3771,'Retirement Calculator'!A:A,0),0),0)</f>
        <v>0</v>
      </c>
      <c r="K3771" s="455">
        <f t="shared" ca="1" si="153"/>
        <v>6500719246.628787</v>
      </c>
      <c r="L3771" s="455">
        <f t="shared" ca="1" si="154"/>
        <v>1566673338437.5378</v>
      </c>
      <c r="M3771" s="471">
        <f t="shared" si="156"/>
        <v>0.05</v>
      </c>
      <c r="N3771" s="475">
        <f t="shared" si="157"/>
        <v>165822</v>
      </c>
    </row>
    <row r="3772" spans="7:14" ht="11.25" customHeight="1" x14ac:dyDescent="0.3">
      <c r="G3772" s="470"/>
      <c r="H3772" s="470">
        <v>3765</v>
      </c>
      <c r="I3772" s="455">
        <f t="shared" ca="1" si="155"/>
        <v>1566673338437.5378</v>
      </c>
      <c r="J3772" s="455">
        <f t="array" ref="J3772">IFERROR(INDEX('Retirement Calculator'!K:K,MATCH('Lorri 401b'!N3772,'Retirement Calculator'!A:A,0),0),0)</f>
        <v>0</v>
      </c>
      <c r="K3772" s="455">
        <f t="shared" ca="1" si="153"/>
        <v>6527805576.8230743</v>
      </c>
      <c r="L3772" s="455">
        <f t="shared" ca="1" si="154"/>
        <v>1573201144014.3608</v>
      </c>
      <c r="M3772" s="471">
        <f t="shared" si="156"/>
        <v>0.05</v>
      </c>
      <c r="N3772" s="475">
        <f t="shared" si="157"/>
        <v>165853</v>
      </c>
    </row>
    <row r="3773" spans="7:14" ht="11.25" customHeight="1" x14ac:dyDescent="0.3">
      <c r="G3773" s="470"/>
      <c r="H3773" s="470">
        <v>3766</v>
      </c>
      <c r="I3773" s="455">
        <f t="shared" ca="1" si="155"/>
        <v>1573201144014.3608</v>
      </c>
      <c r="J3773" s="455">
        <f t="array" ref="J3773">IFERROR(INDEX('Retirement Calculator'!K:K,MATCH('Lorri 401b'!N3773,'Retirement Calculator'!A:A,0),0),0)</f>
        <v>0</v>
      </c>
      <c r="K3773" s="455">
        <f t="shared" ca="1" si="153"/>
        <v>6555004766.7265034</v>
      </c>
      <c r="L3773" s="455">
        <f t="shared" ca="1" si="154"/>
        <v>1579756148781.0874</v>
      </c>
      <c r="M3773" s="471">
        <f t="shared" si="156"/>
        <v>0.05</v>
      </c>
      <c r="N3773" s="475">
        <f t="shared" si="157"/>
        <v>165881</v>
      </c>
    </row>
    <row r="3774" spans="7:14" ht="11.25" customHeight="1" x14ac:dyDescent="0.3">
      <c r="G3774" s="470"/>
      <c r="H3774" s="470">
        <v>3767</v>
      </c>
      <c r="I3774" s="455">
        <f t="shared" ca="1" si="155"/>
        <v>1579756148781.0874</v>
      </c>
      <c r="J3774" s="455">
        <f t="array" ref="J3774">IFERROR(INDEX('Retirement Calculator'!K:K,MATCH('Lorri 401b'!N3774,'Retirement Calculator'!A:A,0),0),0)</f>
        <v>0</v>
      </c>
      <c r="K3774" s="455">
        <f t="shared" ca="1" si="153"/>
        <v>6582317286.5878639</v>
      </c>
      <c r="L3774" s="455">
        <f t="shared" ca="1" si="154"/>
        <v>1586338466067.6753</v>
      </c>
      <c r="M3774" s="471">
        <f t="shared" si="156"/>
        <v>0.05</v>
      </c>
      <c r="N3774" s="475">
        <f t="shared" si="157"/>
        <v>165912</v>
      </c>
    </row>
    <row r="3775" spans="7:14" ht="11.25" customHeight="1" x14ac:dyDescent="0.3">
      <c r="G3775" s="470"/>
      <c r="H3775" s="470">
        <v>3768</v>
      </c>
      <c r="I3775" s="455">
        <f t="shared" ca="1" si="155"/>
        <v>1586338466067.6753</v>
      </c>
      <c r="J3775" s="455">
        <f t="array" ref="J3775">IFERROR(INDEX('Retirement Calculator'!K:K,MATCH('Lorri 401b'!N3775,'Retirement Calculator'!A:A,0),0),0)</f>
        <v>0</v>
      </c>
      <c r="K3775" s="455">
        <f t="shared" ca="1" si="153"/>
        <v>6609743608.6153135</v>
      </c>
      <c r="L3775" s="455">
        <f t="shared" ca="1" si="154"/>
        <v>1592948209676.2905</v>
      </c>
      <c r="M3775" s="471">
        <f t="shared" si="156"/>
        <v>0.05</v>
      </c>
      <c r="N3775" s="475">
        <f t="shared" si="157"/>
        <v>165942</v>
      </c>
    </row>
    <row r="3776" spans="7:14" ht="11.25" customHeight="1" x14ac:dyDescent="0.3">
      <c r="G3776" s="470"/>
      <c r="H3776" s="470">
        <v>3769</v>
      </c>
      <c r="I3776" s="455">
        <f t="shared" ca="1" si="155"/>
        <v>1592948209676.2905</v>
      </c>
      <c r="J3776" s="455">
        <f t="array" ref="J3776">IFERROR(INDEX('Retirement Calculator'!K:K,MATCH('Lorri 401b'!N3776,'Retirement Calculator'!A:A,0),0),0)</f>
        <v>0</v>
      </c>
      <c r="K3776" s="455">
        <f t="shared" ca="1" si="153"/>
        <v>6637284206.9845438</v>
      </c>
      <c r="L3776" s="455">
        <f t="shared" ca="1" si="154"/>
        <v>1599585493883.2751</v>
      </c>
      <c r="M3776" s="471">
        <f t="shared" si="156"/>
        <v>0.05</v>
      </c>
      <c r="N3776" s="475">
        <f t="shared" si="157"/>
        <v>165973</v>
      </c>
    </row>
    <row r="3777" spans="7:14" ht="11.25" customHeight="1" x14ac:dyDescent="0.3">
      <c r="G3777" s="470"/>
      <c r="H3777" s="470">
        <v>3770</v>
      </c>
      <c r="I3777" s="455">
        <f t="shared" ca="1" si="155"/>
        <v>1599585493883.2751</v>
      </c>
      <c r="J3777" s="455">
        <f t="array" ref="J3777">IFERROR(INDEX('Retirement Calculator'!K:K,MATCH('Lorri 401b'!N3777,'Retirement Calculator'!A:A,0),0),0)</f>
        <v>0</v>
      </c>
      <c r="K3777" s="455">
        <f t="shared" ca="1" si="153"/>
        <v>6664939557.8469801</v>
      </c>
      <c r="L3777" s="455">
        <f t="shared" ca="1" si="154"/>
        <v>1606250433441.1221</v>
      </c>
      <c r="M3777" s="471">
        <f t="shared" si="156"/>
        <v>0.05</v>
      </c>
      <c r="N3777" s="475">
        <f t="shared" si="157"/>
        <v>166003</v>
      </c>
    </row>
    <row r="3778" spans="7:14" ht="11.25" customHeight="1" x14ac:dyDescent="0.3">
      <c r="G3778" s="470"/>
      <c r="H3778" s="470">
        <v>3771</v>
      </c>
      <c r="I3778" s="455">
        <f t="shared" ca="1" si="155"/>
        <v>1606250433441.1221</v>
      </c>
      <c r="J3778" s="455">
        <f t="array" ref="J3778">IFERROR(INDEX('Retirement Calculator'!K:K,MATCH('Lorri 401b'!N3778,'Retirement Calculator'!A:A,0),0),0)</f>
        <v>0</v>
      </c>
      <c r="K3778" s="455">
        <f t="shared" ca="1" si="153"/>
        <v>6692710139.3380089</v>
      </c>
      <c r="L3778" s="455">
        <f t="shared" ca="1" si="154"/>
        <v>1612943143580.46</v>
      </c>
      <c r="M3778" s="471">
        <f t="shared" si="156"/>
        <v>0.05</v>
      </c>
      <c r="N3778" s="475">
        <f t="shared" si="157"/>
        <v>166034</v>
      </c>
    </row>
    <row r="3779" spans="7:14" ht="11.25" customHeight="1" x14ac:dyDescent="0.3">
      <c r="G3779" s="470"/>
      <c r="H3779" s="470">
        <v>3772</v>
      </c>
      <c r="I3779" s="455">
        <f t="shared" ca="1" si="155"/>
        <v>1612943143580.46</v>
      </c>
      <c r="J3779" s="455">
        <f t="array" ref="J3779">IFERROR(INDEX('Retirement Calculator'!K:K,MATCH('Lorri 401b'!N3779,'Retirement Calculator'!A:A,0),0),0)</f>
        <v>0</v>
      </c>
      <c r="K3779" s="455">
        <f t="shared" ca="1" si="153"/>
        <v>6720596431.5852499</v>
      </c>
      <c r="L3779" s="455">
        <f t="shared" ca="1" si="154"/>
        <v>1619663740012.0452</v>
      </c>
      <c r="M3779" s="471">
        <f t="shared" si="156"/>
        <v>0.05</v>
      </c>
      <c r="N3779" s="475">
        <f t="shared" si="157"/>
        <v>166065</v>
      </c>
    </row>
    <row r="3780" spans="7:14" ht="11.25" customHeight="1" x14ac:dyDescent="0.3">
      <c r="G3780" s="470"/>
      <c r="H3780" s="470">
        <v>3773</v>
      </c>
      <c r="I3780" s="455">
        <f t="shared" ca="1" si="155"/>
        <v>1619663740012.0452</v>
      </c>
      <c r="J3780" s="455">
        <f t="array" ref="J3780">IFERROR(INDEX('Retirement Calculator'!K:K,MATCH('Lorri 401b'!N3780,'Retirement Calculator'!A:A,0),0),0)</f>
        <v>0</v>
      </c>
      <c r="K3780" s="455">
        <f t="shared" ca="1" si="153"/>
        <v>6748598916.716855</v>
      </c>
      <c r="L3780" s="455">
        <f t="shared" ca="1" si="154"/>
        <v>1626412338928.762</v>
      </c>
      <c r="M3780" s="471">
        <f t="shared" si="156"/>
        <v>0.05</v>
      </c>
      <c r="N3780" s="475">
        <f t="shared" si="157"/>
        <v>166095</v>
      </c>
    </row>
    <row r="3781" spans="7:14" ht="11.25" customHeight="1" x14ac:dyDescent="0.3">
      <c r="G3781" s="470"/>
      <c r="H3781" s="470">
        <v>3774</v>
      </c>
      <c r="I3781" s="455">
        <f t="shared" ca="1" si="155"/>
        <v>1626412338928.762</v>
      </c>
      <c r="J3781" s="455">
        <f t="array" ref="J3781">IFERROR(INDEX('Retirement Calculator'!K:K,MATCH('Lorri 401b'!N3781,'Retirement Calculator'!A:A,0),0),0)</f>
        <v>0</v>
      </c>
      <c r="K3781" s="455">
        <f t="shared" ca="1" si="153"/>
        <v>6776718078.8698416</v>
      </c>
      <c r="L3781" s="455">
        <f t="shared" ca="1" si="154"/>
        <v>1633189057007.6318</v>
      </c>
      <c r="M3781" s="471">
        <f t="shared" si="156"/>
        <v>0.05</v>
      </c>
      <c r="N3781" s="475">
        <f t="shared" si="157"/>
        <v>166126</v>
      </c>
    </row>
    <row r="3782" spans="7:14" ht="11.25" customHeight="1" x14ac:dyDescent="0.3">
      <c r="G3782" s="470"/>
      <c r="H3782" s="470">
        <v>3775</v>
      </c>
      <c r="I3782" s="455">
        <f t="shared" ca="1" si="155"/>
        <v>1633189057007.6318</v>
      </c>
      <c r="J3782" s="455">
        <f t="array" ref="J3782">IFERROR(INDEX('Retirement Calculator'!K:K,MATCH('Lorri 401b'!N3782,'Retirement Calculator'!A:A,0),0),0)</f>
        <v>0</v>
      </c>
      <c r="K3782" s="455">
        <f t="shared" ca="1" si="153"/>
        <v>6804954404.1984663</v>
      </c>
      <c r="L3782" s="455">
        <f t="shared" ca="1" si="154"/>
        <v>1639994011411.8303</v>
      </c>
      <c r="M3782" s="471">
        <f t="shared" si="156"/>
        <v>0.05</v>
      </c>
      <c r="N3782" s="475">
        <f t="shared" si="157"/>
        <v>166156</v>
      </c>
    </row>
    <row r="3783" spans="7:14" ht="11.25" customHeight="1" x14ac:dyDescent="0.3">
      <c r="G3783" s="470"/>
      <c r="H3783" s="470">
        <v>3776</v>
      </c>
      <c r="I3783" s="455">
        <f t="shared" ca="1" si="155"/>
        <v>1639994011411.8303</v>
      </c>
      <c r="J3783" s="455">
        <f t="array" ref="J3783">IFERROR(INDEX('Retirement Calculator'!K:K,MATCH('Lorri 401b'!N3783,'Retirement Calculator'!A:A,0),0),0)</f>
        <v>0</v>
      </c>
      <c r="K3783" s="455">
        <f t="shared" ca="1" si="153"/>
        <v>6833308380.8826265</v>
      </c>
      <c r="L3783" s="455">
        <f t="shared" ca="1" si="154"/>
        <v>1646827319792.7129</v>
      </c>
      <c r="M3783" s="471">
        <f t="shared" si="156"/>
        <v>0.05</v>
      </c>
      <c r="N3783" s="475">
        <f t="shared" si="157"/>
        <v>166187</v>
      </c>
    </row>
    <row r="3784" spans="7:14" ht="11.25" customHeight="1" x14ac:dyDescent="0.3">
      <c r="G3784" s="470"/>
      <c r="H3784" s="470">
        <v>3777</v>
      </c>
      <c r="I3784" s="455">
        <f t="shared" ca="1" si="155"/>
        <v>1646827319792.7129</v>
      </c>
      <c r="J3784" s="455">
        <f t="array" ref="J3784">IFERROR(INDEX('Retirement Calculator'!K:K,MATCH('Lorri 401b'!N3784,'Retirement Calculator'!A:A,0),0),0)</f>
        <v>0</v>
      </c>
      <c r="K3784" s="455">
        <f t="shared" ca="1" si="153"/>
        <v>6861780499.1363039</v>
      </c>
      <c r="L3784" s="455">
        <f t="shared" ca="1" si="154"/>
        <v>1653689100291.8491</v>
      </c>
      <c r="M3784" s="471">
        <f t="shared" si="156"/>
        <v>0.05</v>
      </c>
      <c r="N3784" s="475">
        <f t="shared" si="157"/>
        <v>166218</v>
      </c>
    </row>
    <row r="3785" spans="7:14" ht="11.25" customHeight="1" x14ac:dyDescent="0.3">
      <c r="G3785" s="470"/>
      <c r="H3785" s="470">
        <v>3778</v>
      </c>
      <c r="I3785" s="455">
        <f t="shared" ca="1" si="155"/>
        <v>1653689100291.8491</v>
      </c>
      <c r="J3785" s="455">
        <f t="array" ref="J3785">IFERROR(INDEX('Retirement Calculator'!K:K,MATCH('Lorri 401b'!N3785,'Retirement Calculator'!A:A,0),0),0)</f>
        <v>0</v>
      </c>
      <c r="K3785" s="455">
        <f t="shared" ca="1" si="153"/>
        <v>6890371251.2160378</v>
      </c>
      <c r="L3785" s="455">
        <f t="shared" ca="1" si="154"/>
        <v>1660579471543.0652</v>
      </c>
      <c r="M3785" s="471">
        <f t="shared" si="156"/>
        <v>0.05</v>
      </c>
      <c r="N3785" s="475">
        <f t="shared" si="157"/>
        <v>166246</v>
      </c>
    </row>
    <row r="3786" spans="7:14" ht="11.25" customHeight="1" x14ac:dyDescent="0.3">
      <c r="G3786" s="470"/>
      <c r="H3786" s="470">
        <v>3779</v>
      </c>
      <c r="I3786" s="455">
        <f t="shared" ca="1" si="155"/>
        <v>1660579471543.0652</v>
      </c>
      <c r="J3786" s="455">
        <f t="array" ref="J3786">IFERROR(INDEX('Retirement Calculator'!K:K,MATCH('Lorri 401b'!N3786,'Retirement Calculator'!A:A,0),0),0)</f>
        <v>0</v>
      </c>
      <c r="K3786" s="455">
        <f t="shared" ca="1" si="153"/>
        <v>6919081131.4294386</v>
      </c>
      <c r="L3786" s="455">
        <f t="shared" ca="1" si="154"/>
        <v>1667498552674.4946</v>
      </c>
      <c r="M3786" s="471">
        <f t="shared" si="156"/>
        <v>0.05</v>
      </c>
      <c r="N3786" s="475">
        <f t="shared" si="157"/>
        <v>166277</v>
      </c>
    </row>
    <row r="3787" spans="7:14" ht="11.25" customHeight="1" x14ac:dyDescent="0.3">
      <c r="G3787" s="470"/>
      <c r="H3787" s="470">
        <v>3780</v>
      </c>
      <c r="I3787" s="455">
        <f t="shared" ca="1" si="155"/>
        <v>1667498552674.4946</v>
      </c>
      <c r="J3787" s="455">
        <f t="array" ref="J3787">IFERROR(INDEX('Retirement Calculator'!K:K,MATCH('Lorri 401b'!N3787,'Retirement Calculator'!A:A,0),0),0)</f>
        <v>0</v>
      </c>
      <c r="K3787" s="455">
        <f t="shared" ca="1" si="153"/>
        <v>6947910636.1437273</v>
      </c>
      <c r="L3787" s="455">
        <f t="shared" ca="1" si="154"/>
        <v>1674446463310.6384</v>
      </c>
      <c r="M3787" s="471">
        <f t="shared" si="156"/>
        <v>0.05</v>
      </c>
      <c r="N3787" s="475">
        <f t="shared" si="157"/>
        <v>166307</v>
      </c>
    </row>
    <row r="3788" spans="7:14" ht="11.25" customHeight="1" x14ac:dyDescent="0.3">
      <c r="G3788" s="470"/>
      <c r="H3788" s="470">
        <v>3781</v>
      </c>
      <c r="I3788" s="455">
        <f t="shared" ca="1" si="155"/>
        <v>1674446463310.6384</v>
      </c>
      <c r="J3788" s="455">
        <f t="array" ref="J3788">IFERROR(INDEX('Retirement Calculator'!K:K,MATCH('Lorri 401b'!N3788,'Retirement Calculator'!A:A,0),0),0)</f>
        <v>0</v>
      </c>
      <c r="K3788" s="455">
        <f t="shared" ca="1" si="153"/>
        <v>6976860263.7943268</v>
      </c>
      <c r="L3788" s="455">
        <f t="shared" ca="1" si="154"/>
        <v>1681423323574.4329</v>
      </c>
      <c r="M3788" s="471">
        <f t="shared" si="156"/>
        <v>0.05</v>
      </c>
      <c r="N3788" s="475">
        <f t="shared" si="157"/>
        <v>166338</v>
      </c>
    </row>
    <row r="3789" spans="7:14" ht="11.25" customHeight="1" x14ac:dyDescent="0.3">
      <c r="G3789" s="470"/>
      <c r="H3789" s="470">
        <v>3782</v>
      </c>
      <c r="I3789" s="455">
        <f t="shared" ca="1" si="155"/>
        <v>1681423323574.4329</v>
      </c>
      <c r="J3789" s="455">
        <f t="array" ref="J3789">IFERROR(INDEX('Retirement Calculator'!K:K,MATCH('Lorri 401b'!N3789,'Retirement Calculator'!A:A,0),0),0)</f>
        <v>0</v>
      </c>
      <c r="K3789" s="455">
        <f t="shared" ca="1" si="153"/>
        <v>7005930514.8934698</v>
      </c>
      <c r="L3789" s="455">
        <f t="shared" ca="1" si="154"/>
        <v>1688429254089.3264</v>
      </c>
      <c r="M3789" s="471">
        <f t="shared" si="156"/>
        <v>0.05</v>
      </c>
      <c r="N3789" s="475">
        <f t="shared" si="157"/>
        <v>166368</v>
      </c>
    </row>
    <row r="3790" spans="7:14" ht="11.25" customHeight="1" x14ac:dyDescent="0.3">
      <c r="G3790" s="470"/>
      <c r="H3790" s="470">
        <v>3783</v>
      </c>
      <c r="I3790" s="455">
        <f t="shared" ca="1" si="155"/>
        <v>1688429254089.3264</v>
      </c>
      <c r="J3790" s="455">
        <f t="array" ref="J3790">IFERROR(INDEX('Retirement Calculator'!K:K,MATCH('Lorri 401b'!N3790,'Retirement Calculator'!A:A,0),0),0)</f>
        <v>0</v>
      </c>
      <c r="K3790" s="455">
        <f t="shared" ca="1" si="153"/>
        <v>7035121892.0388603</v>
      </c>
      <c r="L3790" s="455">
        <f t="shared" ca="1" si="154"/>
        <v>1695464375981.3652</v>
      </c>
      <c r="M3790" s="471">
        <f t="shared" si="156"/>
        <v>0.05</v>
      </c>
      <c r="N3790" s="475">
        <f t="shared" si="157"/>
        <v>166399</v>
      </c>
    </row>
    <row r="3791" spans="7:14" ht="11.25" customHeight="1" x14ac:dyDescent="0.3">
      <c r="G3791" s="470"/>
      <c r="H3791" s="470">
        <v>3784</v>
      </c>
      <c r="I3791" s="455">
        <f t="shared" ca="1" si="155"/>
        <v>1695464375981.3652</v>
      </c>
      <c r="J3791" s="455">
        <f t="array" ref="J3791">IFERROR(INDEX('Retirement Calculator'!K:K,MATCH('Lorri 401b'!N3791,'Retirement Calculator'!A:A,0),0),0)</f>
        <v>0</v>
      </c>
      <c r="K3791" s="455">
        <f t="shared" ca="1" si="153"/>
        <v>7064434899.9223547</v>
      </c>
      <c r="L3791" s="455">
        <f t="shared" ca="1" si="154"/>
        <v>1702528810881.2876</v>
      </c>
      <c r="M3791" s="471">
        <f t="shared" si="156"/>
        <v>0.05</v>
      </c>
      <c r="N3791" s="475">
        <f t="shared" si="157"/>
        <v>166430</v>
      </c>
    </row>
    <row r="3792" spans="7:14" ht="11.25" customHeight="1" x14ac:dyDescent="0.3">
      <c r="G3792" s="470"/>
      <c r="H3792" s="470">
        <v>3785</v>
      </c>
      <c r="I3792" s="455">
        <f t="shared" ca="1" si="155"/>
        <v>1702528810881.2876</v>
      </c>
      <c r="J3792" s="455">
        <f t="array" ref="J3792">IFERROR(INDEX('Retirement Calculator'!K:K,MATCH('Lorri 401b'!N3792,'Retirement Calculator'!A:A,0),0),0)</f>
        <v>0</v>
      </c>
      <c r="K3792" s="455">
        <f t="shared" ca="1" si="153"/>
        <v>7093870045.3386984</v>
      </c>
      <c r="L3792" s="455">
        <f t="shared" ca="1" si="154"/>
        <v>1709622680926.6262</v>
      </c>
      <c r="M3792" s="471">
        <f t="shared" si="156"/>
        <v>0.05</v>
      </c>
      <c r="N3792" s="475">
        <f t="shared" si="157"/>
        <v>166460</v>
      </c>
    </row>
    <row r="3793" spans="7:14" ht="11.25" customHeight="1" x14ac:dyDescent="0.3">
      <c r="G3793" s="470"/>
      <c r="H3793" s="470">
        <v>3786</v>
      </c>
      <c r="I3793" s="455">
        <f t="shared" ca="1" si="155"/>
        <v>1709622680926.6262</v>
      </c>
      <c r="J3793" s="455">
        <f t="array" ref="J3793">IFERROR(INDEX('Retirement Calculator'!K:K,MATCH('Lorri 401b'!N3793,'Retirement Calculator'!A:A,0),0),0)</f>
        <v>0</v>
      </c>
      <c r="K3793" s="455">
        <f t="shared" ca="1" si="153"/>
        <v>7123427837.1942759</v>
      </c>
      <c r="L3793" s="455">
        <f t="shared" ca="1" si="154"/>
        <v>1716746108763.8206</v>
      </c>
      <c r="M3793" s="471">
        <f t="shared" si="156"/>
        <v>0.05</v>
      </c>
      <c r="N3793" s="475">
        <f t="shared" si="157"/>
        <v>166491</v>
      </c>
    </row>
    <row r="3794" spans="7:14" ht="11.25" customHeight="1" x14ac:dyDescent="0.3">
      <c r="G3794" s="470"/>
      <c r="H3794" s="470">
        <v>3787</v>
      </c>
      <c r="I3794" s="455">
        <f t="shared" ca="1" si="155"/>
        <v>1716746108763.8206</v>
      </c>
      <c r="J3794" s="455">
        <f t="array" ref="J3794">IFERROR(INDEX('Retirement Calculator'!K:K,MATCH('Lorri 401b'!N3794,'Retirement Calculator'!A:A,0),0),0)</f>
        <v>0</v>
      </c>
      <c r="K3794" s="455">
        <f t="shared" ca="1" si="153"/>
        <v>7153108786.5159187</v>
      </c>
      <c r="L3794" s="455">
        <f t="shared" ca="1" si="154"/>
        <v>1723899217550.3364</v>
      </c>
      <c r="M3794" s="471">
        <f t="shared" si="156"/>
        <v>0.05</v>
      </c>
      <c r="N3794" s="475">
        <f t="shared" si="157"/>
        <v>166521</v>
      </c>
    </row>
    <row r="3795" spans="7:14" ht="11.25" customHeight="1" x14ac:dyDescent="0.3">
      <c r="G3795" s="470"/>
      <c r="H3795" s="470">
        <v>3788</v>
      </c>
      <c r="I3795" s="455">
        <f t="shared" ca="1" si="155"/>
        <v>1723899217550.3364</v>
      </c>
      <c r="J3795" s="455">
        <f t="array" ref="J3795">IFERROR(INDEX('Retirement Calculator'!K:K,MATCH('Lorri 401b'!N3795,'Retirement Calculator'!A:A,0),0),0)</f>
        <v>0</v>
      </c>
      <c r="K3795" s="455">
        <f t="shared" ca="1" si="153"/>
        <v>7182913406.4597349</v>
      </c>
      <c r="L3795" s="455">
        <f t="shared" ca="1" si="154"/>
        <v>1731082130956.7961</v>
      </c>
      <c r="M3795" s="471">
        <f t="shared" si="156"/>
        <v>0.05</v>
      </c>
      <c r="N3795" s="475">
        <f t="shared" si="157"/>
        <v>166552</v>
      </c>
    </row>
    <row r="3796" spans="7:14" ht="11.25" customHeight="1" x14ac:dyDescent="0.3">
      <c r="G3796" s="470"/>
      <c r="H3796" s="470">
        <v>3789</v>
      </c>
      <c r="I3796" s="455">
        <f t="shared" ca="1" si="155"/>
        <v>1731082130956.7961</v>
      </c>
      <c r="J3796" s="455">
        <f t="array" ref="J3796">IFERROR(INDEX('Retirement Calculator'!K:K,MATCH('Lorri 401b'!N3796,'Retirement Calculator'!A:A,0),0),0)</f>
        <v>0</v>
      </c>
      <c r="K3796" s="455">
        <f t="shared" ca="1" si="153"/>
        <v>7212842212.3199835</v>
      </c>
      <c r="L3796" s="455">
        <f t="shared" ca="1" si="154"/>
        <v>1738294973169.1162</v>
      </c>
      <c r="M3796" s="471">
        <f t="shared" si="156"/>
        <v>0.05</v>
      </c>
      <c r="N3796" s="475">
        <f t="shared" si="157"/>
        <v>166583</v>
      </c>
    </row>
    <row r="3797" spans="7:14" ht="11.25" customHeight="1" x14ac:dyDescent="0.3">
      <c r="G3797" s="470"/>
      <c r="H3797" s="470">
        <v>3790</v>
      </c>
      <c r="I3797" s="455">
        <f t="shared" ca="1" si="155"/>
        <v>1738294973169.1162</v>
      </c>
      <c r="J3797" s="455">
        <f t="array" ref="J3797">IFERROR(INDEX('Retirement Calculator'!K:K,MATCH('Lorri 401b'!N3797,'Retirement Calculator'!A:A,0),0),0)</f>
        <v>0</v>
      </c>
      <c r="K3797" s="455">
        <f t="shared" ca="1" si="153"/>
        <v>7242895721.5379839</v>
      </c>
      <c r="L3797" s="455">
        <f t="shared" ca="1" si="154"/>
        <v>1745537868890.6543</v>
      </c>
      <c r="M3797" s="471">
        <f t="shared" si="156"/>
        <v>0.05</v>
      </c>
      <c r="N3797" s="475">
        <f t="shared" si="157"/>
        <v>166612</v>
      </c>
    </row>
    <row r="3798" spans="7:14" ht="11.25" customHeight="1" x14ac:dyDescent="0.3">
      <c r="G3798" s="470"/>
      <c r="H3798" s="470">
        <v>3791</v>
      </c>
      <c r="I3798" s="455">
        <f t="shared" ca="1" si="155"/>
        <v>1745537868890.6543</v>
      </c>
      <c r="J3798" s="455">
        <f t="array" ref="J3798">IFERROR(INDEX('Retirement Calculator'!K:K,MATCH('Lorri 401b'!N3798,'Retirement Calculator'!A:A,0),0),0)</f>
        <v>0</v>
      </c>
      <c r="K3798" s="455">
        <f t="shared" ca="1" si="153"/>
        <v>7273074453.7110605</v>
      </c>
      <c r="L3798" s="455">
        <f t="shared" ca="1" si="154"/>
        <v>1752810943344.3655</v>
      </c>
      <c r="M3798" s="471">
        <f t="shared" si="156"/>
        <v>0.05</v>
      </c>
      <c r="N3798" s="475">
        <f t="shared" si="157"/>
        <v>166643</v>
      </c>
    </row>
    <row r="3799" spans="7:14" ht="11.25" customHeight="1" x14ac:dyDescent="0.3">
      <c r="G3799" s="470"/>
      <c r="H3799" s="470">
        <v>3792</v>
      </c>
      <c r="I3799" s="455">
        <f t="shared" ca="1" si="155"/>
        <v>1752810943344.3655</v>
      </c>
      <c r="J3799" s="455">
        <f t="array" ref="J3799">IFERROR(INDEX('Retirement Calculator'!K:K,MATCH('Lorri 401b'!N3799,'Retirement Calculator'!A:A,0),0),0)</f>
        <v>0</v>
      </c>
      <c r="K3799" s="455">
        <f t="shared" ca="1" si="153"/>
        <v>7303378930.6015215</v>
      </c>
      <c r="L3799" s="455">
        <f t="shared" ca="1" si="154"/>
        <v>1760114322274.967</v>
      </c>
      <c r="M3799" s="471">
        <f t="shared" si="156"/>
        <v>0.05</v>
      </c>
      <c r="N3799" s="475">
        <f t="shared" si="157"/>
        <v>166673</v>
      </c>
    </row>
    <row r="3800" spans="7:14" ht="11.25" customHeight="1" x14ac:dyDescent="0.3">
      <c r="G3800" s="470"/>
      <c r="H3800" s="470">
        <v>3793</v>
      </c>
      <c r="I3800" s="455">
        <f t="shared" ca="1" si="155"/>
        <v>1760114322274.967</v>
      </c>
      <c r="J3800" s="455">
        <f t="array" ref="J3800">IFERROR(INDEX('Retirement Calculator'!K:K,MATCH('Lorri 401b'!N3800,'Retirement Calculator'!A:A,0),0),0)</f>
        <v>0</v>
      </c>
      <c r="K3800" s="455">
        <f t="shared" ca="1" si="153"/>
        <v>7333809676.1456957</v>
      </c>
      <c r="L3800" s="455">
        <f t="shared" ca="1" si="154"/>
        <v>1767448131951.1128</v>
      </c>
      <c r="M3800" s="471">
        <f t="shared" si="156"/>
        <v>0.05</v>
      </c>
      <c r="N3800" s="475">
        <f t="shared" si="157"/>
        <v>166704</v>
      </c>
    </row>
    <row r="3801" spans="7:14" ht="11.25" customHeight="1" x14ac:dyDescent="0.3">
      <c r="G3801" s="470"/>
      <c r="H3801" s="470">
        <v>3794</v>
      </c>
      <c r="I3801" s="455">
        <f t="shared" ca="1" si="155"/>
        <v>1767448131951.1128</v>
      </c>
      <c r="J3801" s="455">
        <f t="array" ref="J3801">IFERROR(INDEX('Retirement Calculator'!K:K,MATCH('Lorri 401b'!N3801,'Retirement Calculator'!A:A,0),0),0)</f>
        <v>0</v>
      </c>
      <c r="K3801" s="455">
        <f t="shared" ca="1" si="153"/>
        <v>7364367216.4629698</v>
      </c>
      <c r="L3801" s="455">
        <f t="shared" ca="1" si="154"/>
        <v>1774812499167.5757</v>
      </c>
      <c r="M3801" s="471">
        <f t="shared" si="156"/>
        <v>0.05</v>
      </c>
      <c r="N3801" s="475">
        <f t="shared" si="157"/>
        <v>166734</v>
      </c>
    </row>
    <row r="3802" spans="7:14" ht="11.25" customHeight="1" x14ac:dyDescent="0.3">
      <c r="G3802" s="470"/>
      <c r="H3802" s="470">
        <v>3795</v>
      </c>
      <c r="I3802" s="455">
        <f t="shared" ca="1" si="155"/>
        <v>1774812499167.5757</v>
      </c>
      <c r="J3802" s="455">
        <f t="array" ref="J3802">IFERROR(INDEX('Retirement Calculator'!K:K,MATCH('Lorri 401b'!N3802,'Retirement Calculator'!A:A,0),0),0)</f>
        <v>0</v>
      </c>
      <c r="K3802" s="455">
        <f t="shared" ca="1" si="153"/>
        <v>7395052079.8648987</v>
      </c>
      <c r="L3802" s="455">
        <f t="shared" ca="1" si="154"/>
        <v>1782207551247.4407</v>
      </c>
      <c r="M3802" s="471">
        <f t="shared" si="156"/>
        <v>0.05</v>
      </c>
      <c r="N3802" s="475">
        <f t="shared" si="157"/>
        <v>166765</v>
      </c>
    </row>
    <row r="3803" spans="7:14" ht="11.25" customHeight="1" x14ac:dyDescent="0.3">
      <c r="G3803" s="470"/>
      <c r="H3803" s="470">
        <v>3796</v>
      </c>
      <c r="I3803" s="455">
        <f t="shared" ca="1" si="155"/>
        <v>1782207551247.4407</v>
      </c>
      <c r="J3803" s="455">
        <f t="array" ref="J3803">IFERROR(INDEX('Retirement Calculator'!K:K,MATCH('Lorri 401b'!N3803,'Retirement Calculator'!A:A,0),0),0)</f>
        <v>0</v>
      </c>
      <c r="K3803" s="455">
        <f t="shared" ca="1" si="153"/>
        <v>7425864796.864337</v>
      </c>
      <c r="L3803" s="455">
        <f t="shared" ca="1" si="154"/>
        <v>1789633416044.3049</v>
      </c>
      <c r="M3803" s="471">
        <f t="shared" si="156"/>
        <v>0.05</v>
      </c>
      <c r="N3803" s="475">
        <f t="shared" si="157"/>
        <v>166796</v>
      </c>
    </row>
    <row r="3804" spans="7:14" ht="11.25" customHeight="1" x14ac:dyDescent="0.3">
      <c r="G3804" s="470"/>
      <c r="H3804" s="470">
        <v>3797</v>
      </c>
      <c r="I3804" s="455">
        <f t="shared" ca="1" si="155"/>
        <v>1789633416044.3049</v>
      </c>
      <c r="J3804" s="455">
        <f t="array" ref="J3804">IFERROR(INDEX('Retirement Calculator'!K:K,MATCH('Lorri 401b'!N3804,'Retirement Calculator'!A:A,0),0),0)</f>
        <v>0</v>
      </c>
      <c r="K3804" s="455">
        <f t="shared" ca="1" si="153"/>
        <v>7456805900.1846037</v>
      </c>
      <c r="L3804" s="455">
        <f t="shared" ca="1" si="154"/>
        <v>1797090221944.4895</v>
      </c>
      <c r="M3804" s="471">
        <f t="shared" si="156"/>
        <v>0.05</v>
      </c>
      <c r="N3804" s="475">
        <f t="shared" si="157"/>
        <v>166826</v>
      </c>
    </row>
    <row r="3805" spans="7:14" ht="11.25" customHeight="1" x14ac:dyDescent="0.3">
      <c r="G3805" s="470"/>
      <c r="H3805" s="470">
        <v>3798</v>
      </c>
      <c r="I3805" s="455">
        <f t="shared" ca="1" si="155"/>
        <v>1797090221944.4895</v>
      </c>
      <c r="J3805" s="455">
        <f t="array" ref="J3805">IFERROR(INDEX('Retirement Calculator'!K:K,MATCH('Lorri 401b'!N3805,'Retirement Calculator'!A:A,0),0),0)</f>
        <v>0</v>
      </c>
      <c r="K3805" s="455">
        <f t="shared" ca="1" si="153"/>
        <v>7487875924.7687073</v>
      </c>
      <c r="L3805" s="455">
        <f t="shared" ca="1" si="154"/>
        <v>1804578097869.2583</v>
      </c>
      <c r="M3805" s="471">
        <f t="shared" si="156"/>
        <v>0.05</v>
      </c>
      <c r="N3805" s="475">
        <f t="shared" si="157"/>
        <v>166857</v>
      </c>
    </row>
    <row r="3806" spans="7:14" ht="11.25" customHeight="1" x14ac:dyDescent="0.3">
      <c r="G3806" s="470"/>
      <c r="H3806" s="470">
        <v>3799</v>
      </c>
      <c r="I3806" s="455">
        <f t="shared" ca="1" si="155"/>
        <v>1804578097869.2583</v>
      </c>
      <c r="J3806" s="455">
        <f t="array" ref="J3806">IFERROR(INDEX('Retirement Calculator'!K:K,MATCH('Lorri 401b'!N3806,'Retirement Calculator'!A:A,0),0),0)</f>
        <v>0</v>
      </c>
      <c r="K3806" s="455">
        <f t="shared" ca="1" si="153"/>
        <v>7519075407.7885761</v>
      </c>
      <c r="L3806" s="455">
        <f t="shared" ca="1" si="154"/>
        <v>1812097173277.0469</v>
      </c>
      <c r="M3806" s="471">
        <f t="shared" si="156"/>
        <v>0.05</v>
      </c>
      <c r="N3806" s="475">
        <f t="shared" si="157"/>
        <v>166887</v>
      </c>
    </row>
    <row r="3807" spans="7:14" ht="11.25" customHeight="1" x14ac:dyDescent="0.3">
      <c r="G3807" s="470"/>
      <c r="H3807" s="470">
        <v>3800</v>
      </c>
      <c r="I3807" s="455">
        <f t="shared" ca="1" si="155"/>
        <v>1812097173277.0469</v>
      </c>
      <c r="J3807" s="455">
        <f t="array" ref="J3807">IFERROR(INDEX('Retirement Calculator'!K:K,MATCH('Lorri 401b'!N3807,'Retirement Calculator'!A:A,0),0),0)</f>
        <v>0</v>
      </c>
      <c r="K3807" s="455">
        <f t="shared" ca="1" si="153"/>
        <v>7550404888.6543617</v>
      </c>
      <c r="L3807" s="455">
        <f t="shared" ca="1" si="154"/>
        <v>1819647578165.7012</v>
      </c>
      <c r="M3807" s="471">
        <f t="shared" si="156"/>
        <v>0.05</v>
      </c>
      <c r="N3807" s="475">
        <f t="shared" si="157"/>
        <v>166918</v>
      </c>
    </row>
    <row r="3808" spans="7:14" ht="11.25" customHeight="1" x14ac:dyDescent="0.3">
      <c r="G3808" s="470"/>
      <c r="H3808" s="470">
        <v>3801</v>
      </c>
      <c r="I3808" s="455">
        <f t="shared" ca="1" si="155"/>
        <v>1819647578165.7012</v>
      </c>
      <c r="J3808" s="455">
        <f t="array" ref="J3808">IFERROR(INDEX('Retirement Calculator'!K:K,MATCH('Lorri 401b'!N3808,'Retirement Calculator'!A:A,0),0),0)</f>
        <v>0</v>
      </c>
      <c r="K3808" s="455">
        <f t="shared" ca="1" si="153"/>
        <v>7581864909.0237541</v>
      </c>
      <c r="L3808" s="455">
        <f t="shared" ca="1" si="154"/>
        <v>1827229443074.7249</v>
      </c>
      <c r="M3808" s="471">
        <f t="shared" si="156"/>
        <v>0.05</v>
      </c>
      <c r="N3808" s="475">
        <f t="shared" si="157"/>
        <v>166949</v>
      </c>
    </row>
    <row r="3809" spans="7:14" ht="11.25" customHeight="1" x14ac:dyDescent="0.3">
      <c r="G3809" s="470"/>
      <c r="H3809" s="470">
        <v>3802</v>
      </c>
      <c r="I3809" s="455">
        <f t="shared" ca="1" si="155"/>
        <v>1827229443074.7249</v>
      </c>
      <c r="J3809" s="455">
        <f t="array" ref="J3809">IFERROR(INDEX('Retirement Calculator'!K:K,MATCH('Lorri 401b'!N3809,'Retirement Calculator'!A:A,0),0),0)</f>
        <v>0</v>
      </c>
      <c r="K3809" s="455">
        <f t="shared" ca="1" si="153"/>
        <v>7613456012.8113537</v>
      </c>
      <c r="L3809" s="455">
        <f t="shared" ca="1" si="154"/>
        <v>1834842899087.5361</v>
      </c>
      <c r="M3809" s="471">
        <f t="shared" si="156"/>
        <v>0.05</v>
      </c>
      <c r="N3809" s="475">
        <f t="shared" si="157"/>
        <v>166977</v>
      </c>
    </row>
    <row r="3810" spans="7:14" ht="11.25" customHeight="1" x14ac:dyDescent="0.3">
      <c r="G3810" s="470"/>
      <c r="H3810" s="470">
        <v>3803</v>
      </c>
      <c r="I3810" s="455">
        <f t="shared" ca="1" si="155"/>
        <v>1834842899087.5361</v>
      </c>
      <c r="J3810" s="455">
        <f t="array" ref="J3810">IFERROR(INDEX('Retirement Calculator'!K:K,MATCH('Lorri 401b'!N3810,'Retirement Calculator'!A:A,0),0),0)</f>
        <v>0</v>
      </c>
      <c r="K3810" s="455">
        <f t="shared" ca="1" si="153"/>
        <v>7645178746.1980667</v>
      </c>
      <c r="L3810" s="455">
        <f t="shared" ca="1" si="154"/>
        <v>1842488077833.7341</v>
      </c>
      <c r="M3810" s="471">
        <f t="shared" si="156"/>
        <v>0.05</v>
      </c>
      <c r="N3810" s="475">
        <f t="shared" si="157"/>
        <v>167008</v>
      </c>
    </row>
    <row r="3811" spans="7:14" ht="11.25" customHeight="1" x14ac:dyDescent="0.3">
      <c r="G3811" s="470"/>
      <c r="H3811" s="470">
        <v>3804</v>
      </c>
      <c r="I3811" s="455">
        <f t="shared" ca="1" si="155"/>
        <v>1842488077833.7341</v>
      </c>
      <c r="J3811" s="455">
        <f t="array" ref="J3811">IFERROR(INDEX('Retirement Calculator'!K:K,MATCH('Lorri 401b'!N3811,'Retirement Calculator'!A:A,0),0),0)</f>
        <v>0</v>
      </c>
      <c r="K3811" s="455">
        <f t="shared" ca="1" si="153"/>
        <v>7677033657.6405592</v>
      </c>
      <c r="L3811" s="455">
        <f t="shared" ca="1" si="154"/>
        <v>1850165111491.3748</v>
      </c>
      <c r="M3811" s="471">
        <f t="shared" si="156"/>
        <v>0.05</v>
      </c>
      <c r="N3811" s="475">
        <f t="shared" si="157"/>
        <v>167038</v>
      </c>
    </row>
    <row r="3812" spans="7:14" ht="11.25" customHeight="1" x14ac:dyDescent="0.3">
      <c r="G3812" s="470"/>
      <c r="H3812" s="470">
        <v>3805</v>
      </c>
      <c r="I3812" s="455">
        <f t="shared" ca="1" si="155"/>
        <v>1850165111491.3748</v>
      </c>
      <c r="J3812" s="455">
        <f t="array" ref="J3812">IFERROR(INDEX('Retirement Calculator'!K:K,MATCH('Lorri 401b'!N3812,'Retirement Calculator'!A:A,0),0),0)</f>
        <v>0</v>
      </c>
      <c r="K3812" s="455">
        <f t="shared" ca="1" si="153"/>
        <v>7709021297.8807278</v>
      </c>
      <c r="L3812" s="455">
        <f t="shared" ca="1" si="154"/>
        <v>1857874132789.2554</v>
      </c>
      <c r="M3812" s="471">
        <f t="shared" si="156"/>
        <v>0.05</v>
      </c>
      <c r="N3812" s="475">
        <f t="shared" si="157"/>
        <v>167069</v>
      </c>
    </row>
    <row r="3813" spans="7:14" ht="11.25" customHeight="1" x14ac:dyDescent="0.3">
      <c r="G3813" s="470"/>
      <c r="H3813" s="470">
        <v>3806</v>
      </c>
      <c r="I3813" s="455">
        <f t="shared" ca="1" si="155"/>
        <v>1857874132789.2554</v>
      </c>
      <c r="J3813" s="455">
        <f t="array" ref="J3813">IFERROR(INDEX('Retirement Calculator'!K:K,MATCH('Lorri 401b'!N3813,'Retirement Calculator'!A:A,0),0),0)</f>
        <v>0</v>
      </c>
      <c r="K3813" s="455">
        <f t="shared" ca="1" si="153"/>
        <v>7741142219.9552307</v>
      </c>
      <c r="L3813" s="455">
        <f t="shared" ca="1" si="154"/>
        <v>1865615275009.2107</v>
      </c>
      <c r="M3813" s="471">
        <f t="shared" si="156"/>
        <v>0.05</v>
      </c>
      <c r="N3813" s="475">
        <f t="shared" si="157"/>
        <v>167099</v>
      </c>
    </row>
    <row r="3814" spans="7:14" ht="11.25" customHeight="1" x14ac:dyDescent="0.3">
      <c r="G3814" s="470"/>
      <c r="H3814" s="470">
        <v>3807</v>
      </c>
      <c r="I3814" s="455">
        <f t="shared" ca="1" si="155"/>
        <v>1865615275009.2107</v>
      </c>
      <c r="J3814" s="455">
        <f t="array" ref="J3814">IFERROR(INDEX('Retirement Calculator'!K:K,MATCH('Lorri 401b'!N3814,'Retirement Calculator'!A:A,0),0),0)</f>
        <v>0</v>
      </c>
      <c r="K3814" s="455">
        <f t="shared" ca="1" si="153"/>
        <v>7773396979.2050447</v>
      </c>
      <c r="L3814" s="455">
        <f t="shared" ca="1" si="154"/>
        <v>1873388671988.4158</v>
      </c>
      <c r="M3814" s="471">
        <f t="shared" si="156"/>
        <v>0.05</v>
      </c>
      <c r="N3814" s="475">
        <f t="shared" si="157"/>
        <v>167130</v>
      </c>
    </row>
    <row r="3815" spans="7:14" ht="11.25" customHeight="1" x14ac:dyDescent="0.3">
      <c r="G3815" s="470"/>
      <c r="H3815" s="470">
        <v>3808</v>
      </c>
      <c r="I3815" s="455">
        <f t="shared" ca="1" si="155"/>
        <v>1873388671988.4158</v>
      </c>
      <c r="J3815" s="455">
        <f t="array" ref="J3815">IFERROR(INDEX('Retirement Calculator'!K:K,MATCH('Lorri 401b'!N3815,'Retirement Calculator'!A:A,0),0),0)</f>
        <v>0</v>
      </c>
      <c r="K3815" s="455">
        <f t="shared" ca="1" si="153"/>
        <v>7805786133.2850647</v>
      </c>
      <c r="L3815" s="455">
        <f t="shared" ca="1" si="154"/>
        <v>1881194458121.7009</v>
      </c>
      <c r="M3815" s="471">
        <f t="shared" si="156"/>
        <v>0.05</v>
      </c>
      <c r="N3815" s="475">
        <f t="shared" si="157"/>
        <v>167161</v>
      </c>
    </row>
    <row r="3816" spans="7:14" ht="11.25" customHeight="1" x14ac:dyDescent="0.3">
      <c r="G3816" s="470"/>
      <c r="H3816" s="470">
        <v>3809</v>
      </c>
      <c r="I3816" s="455">
        <f t="shared" ca="1" si="155"/>
        <v>1881194458121.7009</v>
      </c>
      <c r="J3816" s="455">
        <f t="array" ref="J3816">IFERROR(INDEX('Retirement Calculator'!K:K,MATCH('Lorri 401b'!N3816,'Retirement Calculator'!A:A,0),0),0)</f>
        <v>0</v>
      </c>
      <c r="K3816" s="455">
        <f t="shared" ca="1" si="153"/>
        <v>7838310242.1737547</v>
      </c>
      <c r="L3816" s="455">
        <f t="shared" ca="1" si="154"/>
        <v>1889032768363.8748</v>
      </c>
      <c r="M3816" s="471">
        <f t="shared" si="156"/>
        <v>0.05</v>
      </c>
      <c r="N3816" s="475">
        <f t="shared" si="157"/>
        <v>167191</v>
      </c>
    </row>
    <row r="3817" spans="7:14" ht="11.25" customHeight="1" x14ac:dyDescent="0.3">
      <c r="G3817" s="470"/>
      <c r="H3817" s="470">
        <v>3810</v>
      </c>
      <c r="I3817" s="455">
        <f t="shared" ca="1" si="155"/>
        <v>1889032768363.8748</v>
      </c>
      <c r="J3817" s="455">
        <f t="array" ref="J3817">IFERROR(INDEX('Retirement Calculator'!K:K,MATCH('Lorri 401b'!N3817,'Retirement Calculator'!A:A,0),0),0)</f>
        <v>0</v>
      </c>
      <c r="K3817" s="455">
        <f t="shared" ca="1" si="153"/>
        <v>7870969868.1828117</v>
      </c>
      <c r="L3817" s="455">
        <f t="shared" ca="1" si="154"/>
        <v>1896903738232.0576</v>
      </c>
      <c r="M3817" s="471">
        <f t="shared" si="156"/>
        <v>0.05</v>
      </c>
      <c r="N3817" s="475">
        <f t="shared" si="157"/>
        <v>167222</v>
      </c>
    </row>
    <row r="3818" spans="7:14" ht="11.25" customHeight="1" x14ac:dyDescent="0.3">
      <c r="G3818" s="470"/>
      <c r="H3818" s="470">
        <v>3811</v>
      </c>
      <c r="I3818" s="455">
        <f t="shared" ca="1" si="155"/>
        <v>1896903738232.0576</v>
      </c>
      <c r="J3818" s="455">
        <f t="array" ref="J3818">IFERROR(INDEX('Retirement Calculator'!K:K,MATCH('Lorri 401b'!N3818,'Retirement Calculator'!A:A,0),0),0)</f>
        <v>0</v>
      </c>
      <c r="K3818" s="455">
        <f t="shared" ca="1" si="153"/>
        <v>7903765575.9669075</v>
      </c>
      <c r="L3818" s="455">
        <f t="shared" ca="1" si="154"/>
        <v>1904807503808.0244</v>
      </c>
      <c r="M3818" s="471">
        <f t="shared" si="156"/>
        <v>0.05</v>
      </c>
      <c r="N3818" s="475">
        <f t="shared" si="157"/>
        <v>167252</v>
      </c>
    </row>
    <row r="3819" spans="7:14" ht="11.25" customHeight="1" x14ac:dyDescent="0.3">
      <c r="G3819" s="470"/>
      <c r="H3819" s="470">
        <v>3812</v>
      </c>
      <c r="I3819" s="455">
        <f t="shared" ca="1" si="155"/>
        <v>1904807503808.0244</v>
      </c>
      <c r="J3819" s="455">
        <f t="array" ref="J3819">IFERROR(INDEX('Retirement Calculator'!K:K,MATCH('Lorri 401b'!N3819,'Retirement Calculator'!A:A,0),0),0)</f>
        <v>0</v>
      </c>
      <c r="K3819" s="455">
        <f t="shared" ca="1" si="153"/>
        <v>7936697932.5334349</v>
      </c>
      <c r="L3819" s="455">
        <f t="shared" ca="1" si="154"/>
        <v>1912744201740.5579</v>
      </c>
      <c r="M3819" s="471">
        <f t="shared" si="156"/>
        <v>0.05</v>
      </c>
      <c r="N3819" s="475">
        <f t="shared" si="157"/>
        <v>167283</v>
      </c>
    </row>
    <row r="3820" spans="7:14" ht="11.25" customHeight="1" x14ac:dyDescent="0.3">
      <c r="G3820" s="470"/>
      <c r="H3820" s="470">
        <v>3813</v>
      </c>
      <c r="I3820" s="455">
        <f t="shared" ca="1" si="155"/>
        <v>1912744201740.5579</v>
      </c>
      <c r="J3820" s="455">
        <f t="array" ref="J3820">IFERROR(INDEX('Retirement Calculator'!K:K,MATCH('Lorri 401b'!N3820,'Retirement Calculator'!A:A,0),0),0)</f>
        <v>0</v>
      </c>
      <c r="K3820" s="455">
        <f t="shared" ca="1" si="153"/>
        <v>7969767507.2523241</v>
      </c>
      <c r="L3820" s="455">
        <f t="shared" ca="1" si="154"/>
        <v>1920713969247.8103</v>
      </c>
      <c r="M3820" s="471">
        <f t="shared" si="156"/>
        <v>0.05</v>
      </c>
      <c r="N3820" s="475">
        <f t="shared" si="157"/>
        <v>167314</v>
      </c>
    </row>
    <row r="3821" spans="7:14" ht="11.25" customHeight="1" x14ac:dyDescent="0.3">
      <c r="G3821" s="470"/>
      <c r="H3821" s="470">
        <v>3814</v>
      </c>
      <c r="I3821" s="455">
        <f t="shared" ca="1" si="155"/>
        <v>1920713969247.8103</v>
      </c>
      <c r="J3821" s="455">
        <f t="array" ref="J3821">IFERROR(INDEX('Retirement Calculator'!K:K,MATCH('Lorri 401b'!N3821,'Retirement Calculator'!A:A,0),0),0)</f>
        <v>0</v>
      </c>
      <c r="K3821" s="455">
        <f t="shared" ca="1" si="153"/>
        <v>8002974871.8658762</v>
      </c>
      <c r="L3821" s="455">
        <f t="shared" ca="1" si="154"/>
        <v>1928716944119.6763</v>
      </c>
      <c r="M3821" s="471">
        <f t="shared" si="156"/>
        <v>0.05</v>
      </c>
      <c r="N3821" s="475">
        <f t="shared" si="157"/>
        <v>167342</v>
      </c>
    </row>
    <row r="3822" spans="7:14" ht="11.25" customHeight="1" x14ac:dyDescent="0.3">
      <c r="G3822" s="470"/>
      <c r="H3822" s="470">
        <v>3815</v>
      </c>
      <c r="I3822" s="455">
        <f t="shared" ca="1" si="155"/>
        <v>1928716944119.6763</v>
      </c>
      <c r="J3822" s="455">
        <f t="array" ref="J3822">IFERROR(INDEX('Retirement Calculator'!K:K,MATCH('Lorri 401b'!N3822,'Retirement Calculator'!A:A,0),0),0)</f>
        <v>0</v>
      </c>
      <c r="K3822" s="455">
        <f t="shared" ca="1" si="153"/>
        <v>8036320600.4986506</v>
      </c>
      <c r="L3822" s="455">
        <f t="shared" ca="1" si="154"/>
        <v>1936753264720.1748</v>
      </c>
      <c r="M3822" s="471">
        <f t="shared" si="156"/>
        <v>0.05</v>
      </c>
      <c r="N3822" s="475">
        <f t="shared" si="157"/>
        <v>167373</v>
      </c>
    </row>
    <row r="3823" spans="7:14" ht="11.25" customHeight="1" x14ac:dyDescent="0.3">
      <c r="G3823" s="470"/>
      <c r="H3823" s="470">
        <v>3816</v>
      </c>
      <c r="I3823" s="455">
        <f t="shared" ca="1" si="155"/>
        <v>1936753264720.1748</v>
      </c>
      <c r="J3823" s="455">
        <f t="array" ref="J3823">IFERROR(INDEX('Retirement Calculator'!K:K,MATCH('Lorri 401b'!N3823,'Retirement Calculator'!A:A,0),0),0)</f>
        <v>0</v>
      </c>
      <c r="K3823" s="455">
        <f t="shared" ca="1" si="153"/>
        <v>8069805269.6673946</v>
      </c>
      <c r="L3823" s="455">
        <f t="shared" ca="1" si="154"/>
        <v>1944823069989.8423</v>
      </c>
      <c r="M3823" s="471">
        <f t="shared" si="156"/>
        <v>0.05</v>
      </c>
      <c r="N3823" s="475">
        <f t="shared" si="157"/>
        <v>167403</v>
      </c>
    </row>
    <row r="3824" spans="7:14" ht="11.25" customHeight="1" x14ac:dyDescent="0.3">
      <c r="G3824" s="470"/>
      <c r="H3824" s="470">
        <v>3817</v>
      </c>
      <c r="I3824" s="455">
        <f t="shared" ca="1" si="155"/>
        <v>1944823069989.8423</v>
      </c>
      <c r="J3824" s="455">
        <f t="array" ref="J3824">IFERROR(INDEX('Retirement Calculator'!K:K,MATCH('Lorri 401b'!N3824,'Retirement Calculator'!A:A,0),0),0)</f>
        <v>0</v>
      </c>
      <c r="K3824" s="455">
        <f t="shared" ca="1" si="153"/>
        <v>8103429458.2910089</v>
      </c>
      <c r="L3824" s="455">
        <f t="shared" ca="1" si="154"/>
        <v>1952926499448.1333</v>
      </c>
      <c r="M3824" s="471">
        <f t="shared" si="156"/>
        <v>0.05</v>
      </c>
      <c r="N3824" s="475">
        <f t="shared" si="157"/>
        <v>167434</v>
      </c>
    </row>
    <row r="3825" spans="7:14" ht="11.25" customHeight="1" x14ac:dyDescent="0.3">
      <c r="G3825" s="470"/>
      <c r="H3825" s="470">
        <v>3818</v>
      </c>
      <c r="I3825" s="455">
        <f t="shared" ca="1" si="155"/>
        <v>1952926499448.1333</v>
      </c>
      <c r="J3825" s="455">
        <f t="array" ref="J3825">IFERROR(INDEX('Retirement Calculator'!K:K,MATCH('Lorri 401b'!N3825,'Retirement Calculator'!A:A,0),0),0)</f>
        <v>0</v>
      </c>
      <c r="K3825" s="455">
        <f t="shared" ca="1" si="153"/>
        <v>8137193747.7005548</v>
      </c>
      <c r="L3825" s="455">
        <f t="shared" ca="1" si="154"/>
        <v>1961063693195.8337</v>
      </c>
      <c r="M3825" s="471">
        <f t="shared" si="156"/>
        <v>0.05</v>
      </c>
      <c r="N3825" s="475">
        <f t="shared" si="157"/>
        <v>167464</v>
      </c>
    </row>
    <row r="3826" spans="7:14" ht="11.25" customHeight="1" x14ac:dyDescent="0.3">
      <c r="G3826" s="470"/>
      <c r="H3826" s="470">
        <v>3819</v>
      </c>
      <c r="I3826" s="455">
        <f t="shared" ca="1" si="155"/>
        <v>1961063693195.8337</v>
      </c>
      <c r="J3826" s="455">
        <f t="array" ref="J3826">IFERROR(INDEX('Retirement Calculator'!K:K,MATCH('Lorri 401b'!N3826,'Retirement Calculator'!A:A,0),0),0)</f>
        <v>0</v>
      </c>
      <c r="K3826" s="455">
        <f t="shared" ca="1" si="153"/>
        <v>8171098721.6493073</v>
      </c>
      <c r="L3826" s="455">
        <f t="shared" ca="1" si="154"/>
        <v>1969234791917.4832</v>
      </c>
      <c r="M3826" s="471">
        <f t="shared" si="156"/>
        <v>0.05</v>
      </c>
      <c r="N3826" s="475">
        <f t="shared" si="157"/>
        <v>167495</v>
      </c>
    </row>
    <row r="3827" spans="7:14" ht="11.25" customHeight="1" x14ac:dyDescent="0.3">
      <c r="G3827" s="470"/>
      <c r="H3827" s="470">
        <v>3820</v>
      </c>
      <c r="I3827" s="455">
        <f t="shared" ca="1" si="155"/>
        <v>1969234791917.4832</v>
      </c>
      <c r="J3827" s="455">
        <f t="array" ref="J3827">IFERROR(INDEX('Retirement Calculator'!K:K,MATCH('Lorri 401b'!N3827,'Retirement Calculator'!A:A,0),0),0)</f>
        <v>0</v>
      </c>
      <c r="K3827" s="455">
        <f t="shared" ca="1" si="153"/>
        <v>8205144966.3228464</v>
      </c>
      <c r="L3827" s="455">
        <f t="shared" ca="1" si="154"/>
        <v>1977439936883.8059</v>
      </c>
      <c r="M3827" s="471">
        <f t="shared" si="156"/>
        <v>0.05</v>
      </c>
      <c r="N3827" s="475">
        <f t="shared" si="157"/>
        <v>167526</v>
      </c>
    </row>
    <row r="3828" spans="7:14" ht="11.25" customHeight="1" x14ac:dyDescent="0.3">
      <c r="G3828" s="470"/>
      <c r="H3828" s="470">
        <v>3821</v>
      </c>
      <c r="I3828" s="455">
        <f t="shared" ca="1" si="155"/>
        <v>1977439936883.8059</v>
      </c>
      <c r="J3828" s="455">
        <f t="array" ref="J3828">IFERROR(INDEX('Retirement Calculator'!K:K,MATCH('Lorri 401b'!N3828,'Retirement Calculator'!A:A,0),0),0)</f>
        <v>0</v>
      </c>
      <c r="K3828" s="455">
        <f t="shared" ca="1" si="153"/>
        <v>8239333070.3491907</v>
      </c>
      <c r="L3828" s="455">
        <f t="shared" ca="1" si="154"/>
        <v>1985679269954.155</v>
      </c>
      <c r="M3828" s="471">
        <f t="shared" si="156"/>
        <v>0.05</v>
      </c>
      <c r="N3828" s="475">
        <f t="shared" si="157"/>
        <v>167556</v>
      </c>
    </row>
    <row r="3829" spans="7:14" ht="11.25" customHeight="1" x14ac:dyDescent="0.3">
      <c r="G3829" s="470"/>
      <c r="H3829" s="470">
        <v>3822</v>
      </c>
      <c r="I3829" s="455">
        <f t="shared" ca="1" si="155"/>
        <v>1985679269954.155</v>
      </c>
      <c r="J3829" s="455">
        <f t="array" ref="J3829">IFERROR(INDEX('Retirement Calculator'!K:K,MATCH('Lorri 401b'!N3829,'Retirement Calculator'!A:A,0),0),0)</f>
        <v>0</v>
      </c>
      <c r="K3829" s="455">
        <f t="shared" ca="1" si="153"/>
        <v>8273663624.80898</v>
      </c>
      <c r="L3829" s="455">
        <f t="shared" ca="1" si="154"/>
        <v>1993952933578.9641</v>
      </c>
      <c r="M3829" s="471">
        <f t="shared" si="156"/>
        <v>0.05</v>
      </c>
      <c r="N3829" s="475">
        <f t="shared" si="157"/>
        <v>167587</v>
      </c>
    </row>
    <row r="3830" spans="7:14" ht="11.25" customHeight="1" x14ac:dyDescent="0.3">
      <c r="G3830" s="470"/>
      <c r="H3830" s="470">
        <v>3823</v>
      </c>
      <c r="I3830" s="455">
        <f t="shared" ca="1" si="155"/>
        <v>1993952933578.9641</v>
      </c>
      <c r="J3830" s="455">
        <f t="array" ref="J3830">IFERROR(INDEX('Retirement Calculator'!K:K,MATCH('Lorri 401b'!N3830,'Retirement Calculator'!A:A,0),0),0)</f>
        <v>0</v>
      </c>
      <c r="K3830" s="455">
        <f t="shared" ca="1" si="153"/>
        <v>8308137223.2456837</v>
      </c>
      <c r="L3830" s="455">
        <f t="shared" ca="1" si="154"/>
        <v>2002261070802.2097</v>
      </c>
      <c r="M3830" s="471">
        <f t="shared" si="156"/>
        <v>0.05</v>
      </c>
      <c r="N3830" s="475">
        <f t="shared" si="157"/>
        <v>167617</v>
      </c>
    </row>
    <row r="3831" spans="7:14" ht="11.25" customHeight="1" x14ac:dyDescent="0.3">
      <c r="G3831" s="470"/>
      <c r="H3831" s="470">
        <v>3824</v>
      </c>
      <c r="I3831" s="455">
        <f t="shared" ca="1" si="155"/>
        <v>2002261070802.2097</v>
      </c>
      <c r="J3831" s="455">
        <f t="array" ref="J3831">IFERROR(INDEX('Retirement Calculator'!K:K,MATCH('Lorri 401b'!N3831,'Retirement Calculator'!A:A,0),0),0)</f>
        <v>0</v>
      </c>
      <c r="K3831" s="455">
        <f t="shared" ca="1" si="153"/>
        <v>8342754461.6758738</v>
      </c>
      <c r="L3831" s="455">
        <f t="shared" ca="1" si="154"/>
        <v>2010603825263.8855</v>
      </c>
      <c r="M3831" s="471">
        <f t="shared" si="156"/>
        <v>0.05</v>
      </c>
      <c r="N3831" s="475">
        <f t="shared" si="157"/>
        <v>167648</v>
      </c>
    </row>
    <row r="3832" spans="7:14" ht="11.25" customHeight="1" x14ac:dyDescent="0.3">
      <c r="G3832" s="470"/>
      <c r="H3832" s="470">
        <v>3825</v>
      </c>
      <c r="I3832" s="455">
        <f t="shared" ca="1" si="155"/>
        <v>2010603825263.8855</v>
      </c>
      <c r="J3832" s="455">
        <f t="array" ref="J3832">IFERROR(INDEX('Retirement Calculator'!K:K,MATCH('Lorri 401b'!N3832,'Retirement Calculator'!A:A,0),0),0)</f>
        <v>0</v>
      </c>
      <c r="K3832" s="455">
        <f t="shared" ca="1" si="153"/>
        <v>8377515938.5995226</v>
      </c>
      <c r="L3832" s="455">
        <f t="shared" ca="1" si="154"/>
        <v>2018981341202.4851</v>
      </c>
      <c r="M3832" s="471">
        <f t="shared" si="156"/>
        <v>0.05</v>
      </c>
      <c r="N3832" s="475">
        <f t="shared" si="157"/>
        <v>167679</v>
      </c>
    </row>
    <row r="3833" spans="7:14" ht="11.25" customHeight="1" x14ac:dyDescent="0.3">
      <c r="G3833" s="470"/>
      <c r="H3833" s="470">
        <v>3826</v>
      </c>
      <c r="I3833" s="455">
        <f t="shared" ca="1" si="155"/>
        <v>2018981341202.4851</v>
      </c>
      <c r="J3833" s="455">
        <f t="array" ref="J3833">IFERROR(INDEX('Retirement Calculator'!K:K,MATCH('Lorri 401b'!N3833,'Retirement Calculator'!A:A,0),0),0)</f>
        <v>0</v>
      </c>
      <c r="K3833" s="455">
        <f t="shared" ref="K3833:K4087" ca="1" si="158">IPMT(M3833/12,1,12,-I3833+J3833,,0)</f>
        <v>8412422255.010354</v>
      </c>
      <c r="L3833" s="455">
        <f t="shared" ref="L3833:L4087" ca="1" si="159">I3833-J3833+K3833</f>
        <v>2027393763457.4954</v>
      </c>
      <c r="M3833" s="471">
        <f t="shared" si="156"/>
        <v>0.05</v>
      </c>
      <c r="N3833" s="475">
        <f t="shared" si="157"/>
        <v>167707</v>
      </c>
    </row>
    <row r="3834" spans="7:14" ht="11.25" customHeight="1" x14ac:dyDescent="0.3">
      <c r="G3834" s="470"/>
      <c r="H3834" s="470">
        <v>3827</v>
      </c>
      <c r="I3834" s="455">
        <f t="shared" ref="I3834:I4088" ca="1" si="160">L3833</f>
        <v>2027393763457.4954</v>
      </c>
      <c r="J3834" s="455">
        <f t="array" ref="J3834">IFERROR(INDEX('Retirement Calculator'!K:K,MATCH('Lorri 401b'!N3834,'Retirement Calculator'!A:A,0),0),0)</f>
        <v>0</v>
      </c>
      <c r="K3834" s="455">
        <f t="shared" ca="1" si="158"/>
        <v>8447474014.40623</v>
      </c>
      <c r="L3834" s="455">
        <f t="shared" ca="1" si="159"/>
        <v>2035841237471.9016</v>
      </c>
      <c r="M3834" s="471">
        <f t="shared" ref="M3834:M4088" si="161">M3833</f>
        <v>0.05</v>
      </c>
      <c r="N3834" s="475">
        <f t="shared" ref="N3834:N4088" si="162">EDATE(N3833,1)</f>
        <v>167738</v>
      </c>
    </row>
    <row r="3835" spans="7:14" ht="11.25" customHeight="1" x14ac:dyDescent="0.3">
      <c r="G3835" s="470"/>
      <c r="H3835" s="470">
        <v>3828</v>
      </c>
      <c r="I3835" s="455">
        <f t="shared" ca="1" si="160"/>
        <v>2035841237471.9016</v>
      </c>
      <c r="J3835" s="455">
        <f t="array" ref="J3835">IFERROR(INDEX('Retirement Calculator'!K:K,MATCH('Lorri 401b'!N3835,'Retirement Calculator'!A:A,0),0),0)</f>
        <v>0</v>
      </c>
      <c r="K3835" s="455">
        <f t="shared" ca="1" si="158"/>
        <v>8482671822.7995901</v>
      </c>
      <c r="L3835" s="455">
        <f t="shared" ca="1" si="159"/>
        <v>2044323909294.7012</v>
      </c>
      <c r="M3835" s="471">
        <f t="shared" si="161"/>
        <v>0.05</v>
      </c>
      <c r="N3835" s="475">
        <f t="shared" si="162"/>
        <v>167768</v>
      </c>
    </row>
    <row r="3836" spans="7:14" ht="11.25" customHeight="1" x14ac:dyDescent="0.3">
      <c r="G3836" s="470"/>
      <c r="H3836" s="470">
        <v>3829</v>
      </c>
      <c r="I3836" s="455">
        <f t="shared" ca="1" si="160"/>
        <v>2044323909294.7012</v>
      </c>
      <c r="J3836" s="455">
        <f t="array" ref="J3836">IFERROR(INDEX('Retirement Calculator'!K:K,MATCH('Lorri 401b'!N3836,'Retirement Calculator'!A:A,0),0),0)</f>
        <v>0</v>
      </c>
      <c r="K3836" s="455">
        <f t="shared" ca="1" si="158"/>
        <v>8518016288.7279215</v>
      </c>
      <c r="L3836" s="455">
        <f t="shared" ca="1" si="159"/>
        <v>2052841925583.4292</v>
      </c>
      <c r="M3836" s="471">
        <f t="shared" si="161"/>
        <v>0.05</v>
      </c>
      <c r="N3836" s="475">
        <f t="shared" si="162"/>
        <v>167799</v>
      </c>
    </row>
    <row r="3837" spans="7:14" ht="11.25" customHeight="1" x14ac:dyDescent="0.3">
      <c r="G3837" s="470"/>
      <c r="H3837" s="470">
        <v>3830</v>
      </c>
      <c r="I3837" s="455">
        <f t="shared" ca="1" si="160"/>
        <v>2052841925583.4292</v>
      </c>
      <c r="J3837" s="455">
        <f t="array" ref="J3837">IFERROR(INDEX('Retirement Calculator'!K:K,MATCH('Lorri 401b'!N3837,'Retirement Calculator'!A:A,0),0),0)</f>
        <v>0</v>
      </c>
      <c r="K3837" s="455">
        <f t="shared" ca="1" si="158"/>
        <v>8553508023.2642889</v>
      </c>
      <c r="L3837" s="455">
        <f t="shared" ca="1" si="159"/>
        <v>2061395433606.6936</v>
      </c>
      <c r="M3837" s="471">
        <f t="shared" si="161"/>
        <v>0.05</v>
      </c>
      <c r="N3837" s="475">
        <f t="shared" si="162"/>
        <v>167829</v>
      </c>
    </row>
    <row r="3838" spans="7:14" ht="11.25" customHeight="1" x14ac:dyDescent="0.3">
      <c r="G3838" s="470"/>
      <c r="H3838" s="470">
        <v>3831</v>
      </c>
      <c r="I3838" s="455">
        <f t="shared" ca="1" si="160"/>
        <v>2061395433606.6936</v>
      </c>
      <c r="J3838" s="455">
        <f t="array" ref="J3838">IFERROR(INDEX('Retirement Calculator'!K:K,MATCH('Lorri 401b'!N3838,'Retirement Calculator'!A:A,0),0),0)</f>
        <v>0</v>
      </c>
      <c r="K3838" s="455">
        <f t="shared" ca="1" si="158"/>
        <v>8589147640.0278902</v>
      </c>
      <c r="L3838" s="455">
        <f t="shared" ca="1" si="159"/>
        <v>2069984581246.7214</v>
      </c>
      <c r="M3838" s="471">
        <f t="shared" si="161"/>
        <v>0.05</v>
      </c>
      <c r="N3838" s="475">
        <f t="shared" si="162"/>
        <v>167860</v>
      </c>
    </row>
    <row r="3839" spans="7:14" ht="11.25" customHeight="1" x14ac:dyDescent="0.3">
      <c r="G3839" s="470"/>
      <c r="H3839" s="470">
        <v>3832</v>
      </c>
      <c r="I3839" s="455">
        <f t="shared" ca="1" si="160"/>
        <v>2069984581246.7214</v>
      </c>
      <c r="J3839" s="455">
        <f t="array" ref="J3839">IFERROR(INDEX('Retirement Calculator'!K:K,MATCH('Lorri 401b'!N3839,'Retirement Calculator'!A:A,0),0),0)</f>
        <v>0</v>
      </c>
      <c r="K3839" s="455">
        <f t="shared" ca="1" si="158"/>
        <v>8624935755.1946716</v>
      </c>
      <c r="L3839" s="455">
        <f t="shared" ca="1" si="159"/>
        <v>2078609517001.916</v>
      </c>
      <c r="M3839" s="471">
        <f t="shared" si="161"/>
        <v>0.05</v>
      </c>
      <c r="N3839" s="475">
        <f t="shared" si="162"/>
        <v>167891</v>
      </c>
    </row>
    <row r="3840" spans="7:14" ht="11.25" customHeight="1" x14ac:dyDescent="0.3">
      <c r="G3840" s="470"/>
      <c r="H3840" s="470">
        <v>3833</v>
      </c>
      <c r="I3840" s="455">
        <f t="shared" ca="1" si="160"/>
        <v>2078609517001.916</v>
      </c>
      <c r="J3840" s="455">
        <f t="array" ref="J3840">IFERROR(INDEX('Retirement Calculator'!K:K,MATCH('Lorri 401b'!N3840,'Retirement Calculator'!A:A,0),0),0)</f>
        <v>0</v>
      </c>
      <c r="K3840" s="455">
        <f t="shared" ca="1" si="158"/>
        <v>8660872987.5079842</v>
      </c>
      <c r="L3840" s="455">
        <f t="shared" ca="1" si="159"/>
        <v>2087270389989.4241</v>
      </c>
      <c r="M3840" s="471">
        <f t="shared" si="161"/>
        <v>0.05</v>
      </c>
      <c r="N3840" s="475">
        <f t="shared" si="162"/>
        <v>167921</v>
      </c>
    </row>
    <row r="3841" spans="7:14" ht="11.25" customHeight="1" x14ac:dyDescent="0.3">
      <c r="G3841" s="470"/>
      <c r="H3841" s="470">
        <v>3834</v>
      </c>
      <c r="I3841" s="455">
        <f t="shared" ca="1" si="160"/>
        <v>2087270389989.4241</v>
      </c>
      <c r="J3841" s="455">
        <f t="array" ref="J3841">IFERROR(INDEX('Retirement Calculator'!K:K,MATCH('Lorri 401b'!N3841,'Retirement Calculator'!A:A,0),0),0)</f>
        <v>0</v>
      </c>
      <c r="K3841" s="455">
        <f t="shared" ca="1" si="158"/>
        <v>8696959958.2892666</v>
      </c>
      <c r="L3841" s="455">
        <f t="shared" ca="1" si="159"/>
        <v>2095967349947.7134</v>
      </c>
      <c r="M3841" s="471">
        <f t="shared" si="161"/>
        <v>0.05</v>
      </c>
      <c r="N3841" s="475">
        <f t="shared" si="162"/>
        <v>167952</v>
      </c>
    </row>
    <row r="3842" spans="7:14" ht="11.25" customHeight="1" x14ac:dyDescent="0.3">
      <c r="G3842" s="470"/>
      <c r="H3842" s="470">
        <v>3835</v>
      </c>
      <c r="I3842" s="455">
        <f t="shared" ca="1" si="160"/>
        <v>2095967349947.7134</v>
      </c>
      <c r="J3842" s="455">
        <f t="array" ref="J3842">IFERROR(INDEX('Retirement Calculator'!K:K,MATCH('Lorri 401b'!N3842,'Retirement Calculator'!A:A,0),0),0)</f>
        <v>0</v>
      </c>
      <c r="K3842" s="455">
        <f t="shared" ca="1" si="158"/>
        <v>8733197291.4488049</v>
      </c>
      <c r="L3842" s="455">
        <f t="shared" ca="1" si="159"/>
        <v>2104700547239.1621</v>
      </c>
      <c r="M3842" s="471">
        <f t="shared" si="161"/>
        <v>0.05</v>
      </c>
      <c r="N3842" s="475">
        <f t="shared" si="162"/>
        <v>167982</v>
      </c>
    </row>
    <row r="3843" spans="7:14" ht="11.25" customHeight="1" x14ac:dyDescent="0.3">
      <c r="G3843" s="470"/>
      <c r="H3843" s="470">
        <v>3836</v>
      </c>
      <c r="I3843" s="455">
        <f t="shared" ca="1" si="160"/>
        <v>2104700547239.1621</v>
      </c>
      <c r="J3843" s="455">
        <f t="array" ref="J3843">IFERROR(INDEX('Retirement Calculator'!K:K,MATCH('Lorri 401b'!N3843,'Retirement Calculator'!A:A,0),0),0)</f>
        <v>0</v>
      </c>
      <c r="K3843" s="455">
        <f t="shared" ca="1" si="158"/>
        <v>8769585613.4965096</v>
      </c>
      <c r="L3843" s="455">
        <f t="shared" ca="1" si="159"/>
        <v>2113470132852.6587</v>
      </c>
      <c r="M3843" s="471">
        <f t="shared" si="161"/>
        <v>0.05</v>
      </c>
      <c r="N3843" s="475">
        <f t="shared" si="162"/>
        <v>168013</v>
      </c>
    </row>
    <row r="3844" spans="7:14" ht="11.25" customHeight="1" x14ac:dyDescent="0.3">
      <c r="G3844" s="470"/>
      <c r="H3844" s="470">
        <v>3837</v>
      </c>
      <c r="I3844" s="455">
        <f t="shared" ca="1" si="160"/>
        <v>2113470132852.6587</v>
      </c>
      <c r="J3844" s="455">
        <f t="array" ref="J3844">IFERROR(INDEX('Retirement Calculator'!K:K,MATCH('Lorri 401b'!N3844,'Retirement Calculator'!A:A,0),0),0)</f>
        <v>0</v>
      </c>
      <c r="K3844" s="455">
        <f t="shared" ca="1" si="158"/>
        <v>8806125553.5527439</v>
      </c>
      <c r="L3844" s="455">
        <f t="shared" ca="1" si="159"/>
        <v>2122276258406.2114</v>
      </c>
      <c r="M3844" s="471">
        <f t="shared" si="161"/>
        <v>0.05</v>
      </c>
      <c r="N3844" s="475">
        <f t="shared" si="162"/>
        <v>168044</v>
      </c>
    </row>
    <row r="3845" spans="7:14" ht="11.25" customHeight="1" x14ac:dyDescent="0.3">
      <c r="G3845" s="470"/>
      <c r="H3845" s="470">
        <v>3838</v>
      </c>
      <c r="I3845" s="455">
        <f t="shared" ca="1" si="160"/>
        <v>2122276258406.2114</v>
      </c>
      <c r="J3845" s="455">
        <f t="array" ref="J3845">IFERROR(INDEX('Retirement Calculator'!K:K,MATCH('Lorri 401b'!N3845,'Retirement Calculator'!A:A,0),0),0)</f>
        <v>0</v>
      </c>
      <c r="K3845" s="455">
        <f t="shared" ca="1" si="158"/>
        <v>8842817743.3592129</v>
      </c>
      <c r="L3845" s="455">
        <f t="shared" ca="1" si="159"/>
        <v>2131119076149.5706</v>
      </c>
      <c r="M3845" s="471">
        <f t="shared" si="161"/>
        <v>0.05</v>
      </c>
      <c r="N3845" s="475">
        <f t="shared" si="162"/>
        <v>168073</v>
      </c>
    </row>
    <row r="3846" spans="7:14" ht="11.25" customHeight="1" x14ac:dyDescent="0.3">
      <c r="G3846" s="470"/>
      <c r="H3846" s="470">
        <v>3839</v>
      </c>
      <c r="I3846" s="455">
        <f t="shared" ca="1" si="160"/>
        <v>2131119076149.5706</v>
      </c>
      <c r="J3846" s="455">
        <f t="array" ref="J3846">IFERROR(INDEX('Retirement Calculator'!K:K,MATCH('Lorri 401b'!N3846,'Retirement Calculator'!A:A,0),0),0)</f>
        <v>0</v>
      </c>
      <c r="K3846" s="455">
        <f t="shared" ca="1" si="158"/>
        <v>8879662817.2898769</v>
      </c>
      <c r="L3846" s="455">
        <f t="shared" ca="1" si="159"/>
        <v>2139998738966.8604</v>
      </c>
      <c r="M3846" s="471">
        <f t="shared" si="161"/>
        <v>0.05</v>
      </c>
      <c r="N3846" s="475">
        <f t="shared" si="162"/>
        <v>168104</v>
      </c>
    </row>
    <row r="3847" spans="7:14" ht="11.25" customHeight="1" x14ac:dyDescent="0.3">
      <c r="G3847" s="470"/>
      <c r="H3847" s="470">
        <v>3840</v>
      </c>
      <c r="I3847" s="455">
        <f t="shared" ca="1" si="160"/>
        <v>2139998738966.8604</v>
      </c>
      <c r="J3847" s="455">
        <f t="array" ref="J3847">IFERROR(INDEX('Retirement Calculator'!K:K,MATCH('Lorri 401b'!N3847,'Retirement Calculator'!A:A,0),0),0)</f>
        <v>0</v>
      </c>
      <c r="K3847" s="455">
        <f t="shared" ca="1" si="158"/>
        <v>8916661412.3619175</v>
      </c>
      <c r="L3847" s="455">
        <f t="shared" ca="1" si="159"/>
        <v>2148915400379.2222</v>
      </c>
      <c r="M3847" s="471">
        <f t="shared" si="161"/>
        <v>0.05</v>
      </c>
      <c r="N3847" s="475">
        <f t="shared" si="162"/>
        <v>168134</v>
      </c>
    </row>
    <row r="3848" spans="7:14" ht="11.25" customHeight="1" x14ac:dyDescent="0.3">
      <c r="G3848" s="470"/>
      <c r="H3848" s="470">
        <v>3841</v>
      </c>
      <c r="I3848" s="455">
        <f t="shared" ca="1" si="160"/>
        <v>2148915400379.2222</v>
      </c>
      <c r="J3848" s="455">
        <f t="array" ref="J3848">IFERROR(INDEX('Retirement Calculator'!K:K,MATCH('Lorri 401b'!N3848,'Retirement Calculator'!A:A,0),0),0)</f>
        <v>0</v>
      </c>
      <c r="K3848" s="455">
        <f t="shared" ca="1" si="158"/>
        <v>8953814168.2467575</v>
      </c>
      <c r="L3848" s="455">
        <f t="shared" ca="1" si="159"/>
        <v>2157869214547.469</v>
      </c>
      <c r="M3848" s="471">
        <f t="shared" si="161"/>
        <v>0.05</v>
      </c>
      <c r="N3848" s="475">
        <f t="shared" si="162"/>
        <v>168165</v>
      </c>
    </row>
    <row r="3849" spans="7:14" ht="11.25" customHeight="1" x14ac:dyDescent="0.3">
      <c r="G3849" s="470"/>
      <c r="H3849" s="470">
        <v>3842</v>
      </c>
      <c r="I3849" s="455">
        <f t="shared" ca="1" si="160"/>
        <v>2157869214547.469</v>
      </c>
      <c r="J3849" s="455">
        <f t="array" ref="J3849">IFERROR(INDEX('Retirement Calculator'!K:K,MATCH('Lorri 401b'!N3849,'Retirement Calculator'!A:A,0),0),0)</f>
        <v>0</v>
      </c>
      <c r="K3849" s="455">
        <f t="shared" ca="1" si="158"/>
        <v>8991121727.2811203</v>
      </c>
      <c r="L3849" s="455">
        <f t="shared" ca="1" si="159"/>
        <v>2166860336274.75</v>
      </c>
      <c r="M3849" s="471">
        <f t="shared" si="161"/>
        <v>0.05</v>
      </c>
      <c r="N3849" s="475">
        <f t="shared" si="162"/>
        <v>168195</v>
      </c>
    </row>
    <row r="3850" spans="7:14" ht="11.25" customHeight="1" x14ac:dyDescent="0.3">
      <c r="G3850" s="470"/>
      <c r="H3850" s="470">
        <v>3843</v>
      </c>
      <c r="I3850" s="455">
        <f t="shared" ca="1" si="160"/>
        <v>2166860336274.75</v>
      </c>
      <c r="J3850" s="455">
        <f t="array" ref="J3850">IFERROR(INDEX('Retirement Calculator'!K:K,MATCH('Lorri 401b'!N3850,'Retirement Calculator'!A:A,0),0),0)</f>
        <v>0</v>
      </c>
      <c r="K3850" s="455">
        <f t="shared" ca="1" si="158"/>
        <v>9028584734.4781246</v>
      </c>
      <c r="L3850" s="455">
        <f t="shared" ca="1" si="159"/>
        <v>2175888921009.228</v>
      </c>
      <c r="M3850" s="471">
        <f t="shared" si="161"/>
        <v>0.05</v>
      </c>
      <c r="N3850" s="475">
        <f t="shared" si="162"/>
        <v>168226</v>
      </c>
    </row>
    <row r="3851" spans="7:14" ht="11.25" customHeight="1" x14ac:dyDescent="0.3">
      <c r="G3851" s="470"/>
      <c r="H3851" s="470">
        <v>3844</v>
      </c>
      <c r="I3851" s="455">
        <f t="shared" ca="1" si="160"/>
        <v>2175888921009.228</v>
      </c>
      <c r="J3851" s="455">
        <f t="array" ref="J3851">IFERROR(INDEX('Retirement Calculator'!K:K,MATCH('Lorri 401b'!N3851,'Retirement Calculator'!A:A,0),0),0)</f>
        <v>0</v>
      </c>
      <c r="K3851" s="455">
        <f t="shared" ca="1" si="158"/>
        <v>9066203837.5384483</v>
      </c>
      <c r="L3851" s="455">
        <f t="shared" ca="1" si="159"/>
        <v>2184955124846.7664</v>
      </c>
      <c r="M3851" s="471">
        <f t="shared" si="161"/>
        <v>0.05</v>
      </c>
      <c r="N3851" s="475">
        <f t="shared" si="162"/>
        <v>168257</v>
      </c>
    </row>
    <row r="3852" spans="7:14" ht="11.25" customHeight="1" x14ac:dyDescent="0.3">
      <c r="G3852" s="470"/>
      <c r="H3852" s="470">
        <v>3845</v>
      </c>
      <c r="I3852" s="455">
        <f t="shared" ca="1" si="160"/>
        <v>2184955124846.7664</v>
      </c>
      <c r="J3852" s="455">
        <f t="array" ref="J3852">IFERROR(INDEX('Retirement Calculator'!K:K,MATCH('Lorri 401b'!N3852,'Retirement Calculator'!A:A,0),0),0)</f>
        <v>0</v>
      </c>
      <c r="K3852" s="455">
        <f t="shared" ca="1" si="158"/>
        <v>9103979686.8615265</v>
      </c>
      <c r="L3852" s="455">
        <f t="shared" ca="1" si="159"/>
        <v>2194059104533.6279</v>
      </c>
      <c r="M3852" s="471">
        <f t="shared" si="161"/>
        <v>0.05</v>
      </c>
      <c r="N3852" s="475">
        <f t="shared" si="162"/>
        <v>168287</v>
      </c>
    </row>
    <row r="3853" spans="7:14" ht="11.25" customHeight="1" x14ac:dyDescent="0.3">
      <c r="G3853" s="470"/>
      <c r="H3853" s="470">
        <v>3846</v>
      </c>
      <c r="I3853" s="455">
        <f t="shared" ca="1" si="160"/>
        <v>2194059104533.6279</v>
      </c>
      <c r="J3853" s="455">
        <f t="array" ref="J3853">IFERROR(INDEX('Retirement Calculator'!K:K,MATCH('Lorri 401b'!N3853,'Retirement Calculator'!A:A,0),0),0)</f>
        <v>0</v>
      </c>
      <c r="K3853" s="455">
        <f t="shared" ca="1" si="158"/>
        <v>9141912935.5567837</v>
      </c>
      <c r="L3853" s="455">
        <f t="shared" ca="1" si="159"/>
        <v>2203201017469.1846</v>
      </c>
      <c r="M3853" s="471">
        <f t="shared" si="161"/>
        <v>0.05</v>
      </c>
      <c r="N3853" s="475">
        <f t="shared" si="162"/>
        <v>168318</v>
      </c>
    </row>
    <row r="3854" spans="7:14" ht="11.25" customHeight="1" x14ac:dyDescent="0.3">
      <c r="G3854" s="470"/>
      <c r="H3854" s="470">
        <v>3847</v>
      </c>
      <c r="I3854" s="455">
        <f t="shared" ca="1" si="160"/>
        <v>2203201017469.1846</v>
      </c>
      <c r="J3854" s="455">
        <f t="array" ref="J3854">IFERROR(INDEX('Retirement Calculator'!K:K,MATCH('Lorri 401b'!N3854,'Retirement Calculator'!A:A,0),0),0)</f>
        <v>0</v>
      </c>
      <c r="K3854" s="455">
        <f t="shared" ca="1" si="158"/>
        <v>9180004239.4549351</v>
      </c>
      <c r="L3854" s="455">
        <f t="shared" ca="1" si="159"/>
        <v>2212381021708.6396</v>
      </c>
      <c r="M3854" s="471">
        <f t="shared" si="161"/>
        <v>0.05</v>
      </c>
      <c r="N3854" s="475">
        <f t="shared" si="162"/>
        <v>168348</v>
      </c>
    </row>
    <row r="3855" spans="7:14" ht="11.25" customHeight="1" x14ac:dyDescent="0.3">
      <c r="G3855" s="470"/>
      <c r="H3855" s="470">
        <v>3848</v>
      </c>
      <c r="I3855" s="455">
        <f t="shared" ca="1" si="160"/>
        <v>2212381021708.6396</v>
      </c>
      <c r="J3855" s="455">
        <f t="array" ref="J3855">IFERROR(INDEX('Retirement Calculator'!K:K,MATCH('Lorri 401b'!N3855,'Retirement Calculator'!A:A,0),0),0)</f>
        <v>0</v>
      </c>
      <c r="K3855" s="455">
        <f t="shared" ca="1" si="158"/>
        <v>9218254257.1193314</v>
      </c>
      <c r="L3855" s="455">
        <f t="shared" ca="1" si="159"/>
        <v>2221599275965.7588</v>
      </c>
      <c r="M3855" s="471">
        <f t="shared" si="161"/>
        <v>0.05</v>
      </c>
      <c r="N3855" s="475">
        <f t="shared" si="162"/>
        <v>168379</v>
      </c>
    </row>
    <row r="3856" spans="7:14" ht="11.25" customHeight="1" x14ac:dyDescent="0.3">
      <c r="G3856" s="470"/>
      <c r="H3856" s="470">
        <v>3849</v>
      </c>
      <c r="I3856" s="455">
        <f t="shared" ca="1" si="160"/>
        <v>2221599275965.7588</v>
      </c>
      <c r="J3856" s="455">
        <f t="array" ref="J3856">IFERROR(INDEX('Retirement Calculator'!K:K,MATCH('Lorri 401b'!N3856,'Retirement Calculator'!A:A,0),0),0)</f>
        <v>0</v>
      </c>
      <c r="K3856" s="455">
        <f t="shared" ca="1" si="158"/>
        <v>9256663649.8573284</v>
      </c>
      <c r="L3856" s="455">
        <f t="shared" ca="1" si="159"/>
        <v>2230855939615.6162</v>
      </c>
      <c r="M3856" s="471">
        <f t="shared" si="161"/>
        <v>0.05</v>
      </c>
      <c r="N3856" s="475">
        <f t="shared" si="162"/>
        <v>168410</v>
      </c>
    </row>
    <row r="3857" spans="7:14" ht="11.25" customHeight="1" x14ac:dyDescent="0.3">
      <c r="G3857" s="470"/>
      <c r="H3857" s="470">
        <v>3850</v>
      </c>
      <c r="I3857" s="455">
        <f t="shared" ca="1" si="160"/>
        <v>2230855939615.6162</v>
      </c>
      <c r="J3857" s="455">
        <f t="array" ref="J3857">IFERROR(INDEX('Retirement Calculator'!K:K,MATCH('Lorri 401b'!N3857,'Retirement Calculator'!A:A,0),0),0)</f>
        <v>0</v>
      </c>
      <c r="K3857" s="455">
        <f t="shared" ca="1" si="158"/>
        <v>9295233081.7317333</v>
      </c>
      <c r="L3857" s="455">
        <f t="shared" ca="1" si="159"/>
        <v>2240151172697.3481</v>
      </c>
      <c r="M3857" s="471">
        <f t="shared" si="161"/>
        <v>0.05</v>
      </c>
      <c r="N3857" s="475">
        <f t="shared" si="162"/>
        <v>168438</v>
      </c>
    </row>
    <row r="3858" spans="7:14" ht="11.25" customHeight="1" x14ac:dyDescent="0.3">
      <c r="G3858" s="470"/>
      <c r="H3858" s="470">
        <v>3851</v>
      </c>
      <c r="I3858" s="455">
        <f t="shared" ca="1" si="160"/>
        <v>2240151172697.3481</v>
      </c>
      <c r="J3858" s="455">
        <f t="array" ref="J3858">IFERROR(INDEX('Retirement Calculator'!K:K,MATCH('Lorri 401b'!N3858,'Retirement Calculator'!A:A,0),0),0)</f>
        <v>0</v>
      </c>
      <c r="K3858" s="455">
        <f t="shared" ca="1" si="158"/>
        <v>9333963219.5722847</v>
      </c>
      <c r="L3858" s="455">
        <f t="shared" ca="1" si="159"/>
        <v>2249485135916.9204</v>
      </c>
      <c r="M3858" s="471">
        <f t="shared" si="161"/>
        <v>0.05</v>
      </c>
      <c r="N3858" s="475">
        <f t="shared" si="162"/>
        <v>168469</v>
      </c>
    </row>
    <row r="3859" spans="7:14" ht="11.25" customHeight="1" x14ac:dyDescent="0.3">
      <c r="G3859" s="470"/>
      <c r="H3859" s="470">
        <v>3852</v>
      </c>
      <c r="I3859" s="455">
        <f t="shared" ca="1" si="160"/>
        <v>2249485135916.9204</v>
      </c>
      <c r="J3859" s="455">
        <f t="array" ref="J3859">IFERROR(INDEX('Retirement Calculator'!K:K,MATCH('Lorri 401b'!N3859,'Retirement Calculator'!A:A,0),0),0)</f>
        <v>0</v>
      </c>
      <c r="K3859" s="455">
        <f t="shared" ca="1" si="158"/>
        <v>9372854732.9871674</v>
      </c>
      <c r="L3859" s="455">
        <f t="shared" ca="1" si="159"/>
        <v>2258857990649.9077</v>
      </c>
      <c r="M3859" s="471">
        <f t="shared" si="161"/>
        <v>0.05</v>
      </c>
      <c r="N3859" s="475">
        <f t="shared" si="162"/>
        <v>168499</v>
      </c>
    </row>
    <row r="3860" spans="7:14" ht="11.25" customHeight="1" x14ac:dyDescent="0.3">
      <c r="G3860" s="470"/>
      <c r="H3860" s="470">
        <v>3853</v>
      </c>
      <c r="I3860" s="455">
        <f t="shared" ca="1" si="160"/>
        <v>2258857990649.9077</v>
      </c>
      <c r="J3860" s="455">
        <f t="array" ref="J3860">IFERROR(INDEX('Retirement Calculator'!K:K,MATCH('Lorri 401b'!N3860,'Retirement Calculator'!A:A,0),0),0)</f>
        <v>0</v>
      </c>
      <c r="K3860" s="455">
        <f t="shared" ca="1" si="158"/>
        <v>9411908294.3746147</v>
      </c>
      <c r="L3860" s="455">
        <f t="shared" ca="1" si="159"/>
        <v>2268269898944.2822</v>
      </c>
      <c r="M3860" s="471">
        <f t="shared" si="161"/>
        <v>0.05</v>
      </c>
      <c r="N3860" s="475">
        <f t="shared" si="162"/>
        <v>168530</v>
      </c>
    </row>
    <row r="3861" spans="7:14" ht="11.25" customHeight="1" x14ac:dyDescent="0.3">
      <c r="G3861" s="470"/>
      <c r="H3861" s="470">
        <v>3854</v>
      </c>
      <c r="I3861" s="455">
        <f t="shared" ca="1" si="160"/>
        <v>2268269898944.2822</v>
      </c>
      <c r="J3861" s="455">
        <f t="array" ref="J3861">IFERROR(INDEX('Retirement Calculator'!K:K,MATCH('Lorri 401b'!N3861,'Retirement Calculator'!A:A,0),0),0)</f>
        <v>0</v>
      </c>
      <c r="K3861" s="455">
        <f t="shared" ca="1" si="158"/>
        <v>9451124578.9345093</v>
      </c>
      <c r="L3861" s="455">
        <f t="shared" ca="1" si="159"/>
        <v>2277721023523.2168</v>
      </c>
      <c r="M3861" s="471">
        <f t="shared" si="161"/>
        <v>0.05</v>
      </c>
      <c r="N3861" s="475">
        <f t="shared" si="162"/>
        <v>168560</v>
      </c>
    </row>
    <row r="3862" spans="7:14" ht="11.25" customHeight="1" x14ac:dyDescent="0.3">
      <c r="G3862" s="470"/>
      <c r="H3862" s="470">
        <v>3855</v>
      </c>
      <c r="I3862" s="455">
        <f t="shared" ca="1" si="160"/>
        <v>2277721023523.2168</v>
      </c>
      <c r="J3862" s="455">
        <f t="array" ref="J3862">IFERROR(INDEX('Retirement Calculator'!K:K,MATCH('Lorri 401b'!N3862,'Retirement Calculator'!A:A,0),0),0)</f>
        <v>0</v>
      </c>
      <c r="K3862" s="455">
        <f t="shared" ca="1" si="158"/>
        <v>9490504264.680069</v>
      </c>
      <c r="L3862" s="455">
        <f t="shared" ca="1" si="159"/>
        <v>2287211527787.897</v>
      </c>
      <c r="M3862" s="471">
        <f t="shared" si="161"/>
        <v>0.05</v>
      </c>
      <c r="N3862" s="475">
        <f t="shared" si="162"/>
        <v>168591</v>
      </c>
    </row>
    <row r="3863" spans="7:14" ht="11.25" customHeight="1" x14ac:dyDescent="0.3">
      <c r="G3863" s="470"/>
      <c r="H3863" s="470">
        <v>3856</v>
      </c>
      <c r="I3863" s="455">
        <f t="shared" ca="1" si="160"/>
        <v>2287211527787.897</v>
      </c>
      <c r="J3863" s="455">
        <f t="array" ref="J3863">IFERROR(INDEX('Retirement Calculator'!K:K,MATCH('Lorri 401b'!N3863,'Retirement Calculator'!A:A,0),0),0)</f>
        <v>0</v>
      </c>
      <c r="K3863" s="455">
        <f t="shared" ca="1" si="158"/>
        <v>9530048032.4495697</v>
      </c>
      <c r="L3863" s="455">
        <f t="shared" ca="1" si="159"/>
        <v>2296741575820.3467</v>
      </c>
      <c r="M3863" s="471">
        <f t="shared" si="161"/>
        <v>0.05</v>
      </c>
      <c r="N3863" s="475">
        <f t="shared" si="162"/>
        <v>168622</v>
      </c>
    </row>
    <row r="3864" spans="7:14" ht="11.25" customHeight="1" x14ac:dyDescent="0.3">
      <c r="G3864" s="470"/>
      <c r="H3864" s="470">
        <v>3857</v>
      </c>
      <c r="I3864" s="455">
        <f t="shared" ca="1" si="160"/>
        <v>2296741575820.3467</v>
      </c>
      <c r="J3864" s="455">
        <f t="array" ref="J3864">IFERROR(INDEX('Retirement Calculator'!K:K,MATCH('Lorri 401b'!N3864,'Retirement Calculator'!A:A,0),0),0)</f>
        <v>0</v>
      </c>
      <c r="K3864" s="455">
        <f t="shared" ca="1" si="158"/>
        <v>9569756565.9181118</v>
      </c>
      <c r="L3864" s="455">
        <f t="shared" ca="1" si="159"/>
        <v>2306311332386.2646</v>
      </c>
      <c r="M3864" s="471">
        <f t="shared" si="161"/>
        <v>0.05</v>
      </c>
      <c r="N3864" s="475">
        <f t="shared" si="162"/>
        <v>168652</v>
      </c>
    </row>
    <row r="3865" spans="7:14" ht="11.25" customHeight="1" x14ac:dyDescent="0.3">
      <c r="G3865" s="470"/>
      <c r="H3865" s="470">
        <v>3858</v>
      </c>
      <c r="I3865" s="455">
        <f t="shared" ca="1" si="160"/>
        <v>2306311332386.2646</v>
      </c>
      <c r="J3865" s="455">
        <f t="array" ref="J3865">IFERROR(INDEX('Retirement Calculator'!K:K,MATCH('Lorri 401b'!N3865,'Retirement Calculator'!A:A,0),0),0)</f>
        <v>0</v>
      </c>
      <c r="K3865" s="455">
        <f t="shared" ca="1" si="158"/>
        <v>9609630551.609436</v>
      </c>
      <c r="L3865" s="455">
        <f t="shared" ca="1" si="159"/>
        <v>2315920962937.874</v>
      </c>
      <c r="M3865" s="471">
        <f t="shared" si="161"/>
        <v>0.05</v>
      </c>
      <c r="N3865" s="475">
        <f t="shared" si="162"/>
        <v>168683</v>
      </c>
    </row>
    <row r="3866" spans="7:14" ht="11.25" customHeight="1" x14ac:dyDescent="0.3">
      <c r="G3866" s="470"/>
      <c r="H3866" s="470">
        <v>3859</v>
      </c>
      <c r="I3866" s="455">
        <f t="shared" ca="1" si="160"/>
        <v>2315920962937.874</v>
      </c>
      <c r="J3866" s="455">
        <f t="array" ref="J3866">IFERROR(INDEX('Retirement Calculator'!K:K,MATCH('Lorri 401b'!N3866,'Retirement Calculator'!A:A,0),0),0)</f>
        <v>0</v>
      </c>
      <c r="K3866" s="455">
        <f t="shared" ca="1" si="158"/>
        <v>9649670678.9078083</v>
      </c>
      <c r="L3866" s="455">
        <f t="shared" ca="1" si="159"/>
        <v>2325570633616.7817</v>
      </c>
      <c r="M3866" s="471">
        <f t="shared" si="161"/>
        <v>0.05</v>
      </c>
      <c r="N3866" s="475">
        <f t="shared" si="162"/>
        <v>168713</v>
      </c>
    </row>
    <row r="3867" spans="7:14" ht="11.25" customHeight="1" x14ac:dyDescent="0.3">
      <c r="G3867" s="470"/>
      <c r="H3867" s="470">
        <v>3860</v>
      </c>
      <c r="I3867" s="455">
        <f t="shared" ca="1" si="160"/>
        <v>2325570633616.7817</v>
      </c>
      <c r="J3867" s="455">
        <f t="array" ref="J3867">IFERROR(INDEX('Retirement Calculator'!K:K,MATCH('Lorri 401b'!N3867,'Retirement Calculator'!A:A,0),0),0)</f>
        <v>0</v>
      </c>
      <c r="K3867" s="455">
        <f t="shared" ca="1" si="158"/>
        <v>9689877640.0699234</v>
      </c>
      <c r="L3867" s="455">
        <f t="shared" ca="1" si="159"/>
        <v>2335260511256.8516</v>
      </c>
      <c r="M3867" s="471">
        <f t="shared" si="161"/>
        <v>0.05</v>
      </c>
      <c r="N3867" s="475">
        <f t="shared" si="162"/>
        <v>168744</v>
      </c>
    </row>
    <row r="3868" spans="7:14" ht="11.25" customHeight="1" x14ac:dyDescent="0.3">
      <c r="G3868" s="470"/>
      <c r="H3868" s="470">
        <v>3861</v>
      </c>
      <c r="I3868" s="455">
        <f t="shared" ca="1" si="160"/>
        <v>2335260511256.8516</v>
      </c>
      <c r="J3868" s="455">
        <f t="array" ref="J3868">IFERROR(INDEX('Retirement Calculator'!K:K,MATCH('Lorri 401b'!N3868,'Retirement Calculator'!A:A,0),0),0)</f>
        <v>0</v>
      </c>
      <c r="K3868" s="455">
        <f t="shared" ca="1" si="158"/>
        <v>9730252130.2368813</v>
      </c>
      <c r="L3868" s="455">
        <f t="shared" ca="1" si="159"/>
        <v>2344990763387.0884</v>
      </c>
      <c r="M3868" s="471">
        <f t="shared" si="161"/>
        <v>0.05</v>
      </c>
      <c r="N3868" s="475">
        <f t="shared" si="162"/>
        <v>168775</v>
      </c>
    </row>
    <row r="3869" spans="7:14" ht="11.25" customHeight="1" x14ac:dyDescent="0.3">
      <c r="G3869" s="470"/>
      <c r="H3869" s="470">
        <v>3862</v>
      </c>
      <c r="I3869" s="455">
        <f t="shared" ca="1" si="160"/>
        <v>2344990763387.0884</v>
      </c>
      <c r="J3869" s="455">
        <f t="array" ref="J3869">IFERROR(INDEX('Retirement Calculator'!K:K,MATCH('Lorri 401b'!N3869,'Retirement Calculator'!A:A,0),0),0)</f>
        <v>0</v>
      </c>
      <c r="K3869" s="455">
        <f t="shared" ca="1" si="158"/>
        <v>9770794847.4462013</v>
      </c>
      <c r="L3869" s="455">
        <f t="shared" ca="1" si="159"/>
        <v>2354761558234.5347</v>
      </c>
      <c r="M3869" s="471">
        <f t="shared" si="161"/>
        <v>0.05</v>
      </c>
      <c r="N3869" s="475">
        <f t="shared" si="162"/>
        <v>168803</v>
      </c>
    </row>
    <row r="3870" spans="7:14" ht="11.25" customHeight="1" x14ac:dyDescent="0.3">
      <c r="G3870" s="470"/>
      <c r="H3870" s="470">
        <v>3863</v>
      </c>
      <c r="I3870" s="455">
        <f t="shared" ca="1" si="160"/>
        <v>2354761558234.5347</v>
      </c>
      <c r="J3870" s="455">
        <f t="array" ref="J3870">IFERROR(INDEX('Retirement Calculator'!K:K,MATCH('Lorri 401b'!N3870,'Retirement Calculator'!A:A,0),0),0)</f>
        <v>0</v>
      </c>
      <c r="K3870" s="455">
        <f t="shared" ca="1" si="158"/>
        <v>9811506492.6438942</v>
      </c>
      <c r="L3870" s="455">
        <f t="shared" ca="1" si="159"/>
        <v>2364573064727.1787</v>
      </c>
      <c r="M3870" s="471">
        <f t="shared" si="161"/>
        <v>0.05</v>
      </c>
      <c r="N3870" s="475">
        <f t="shared" si="162"/>
        <v>168834</v>
      </c>
    </row>
    <row r="3871" spans="7:14" ht="11.25" customHeight="1" x14ac:dyDescent="0.3">
      <c r="G3871" s="470"/>
      <c r="H3871" s="470">
        <v>3864</v>
      </c>
      <c r="I3871" s="455">
        <f t="shared" ca="1" si="160"/>
        <v>2364573064727.1787</v>
      </c>
      <c r="J3871" s="455">
        <f t="array" ref="J3871">IFERROR(INDEX('Retirement Calculator'!K:K,MATCH('Lorri 401b'!N3871,'Retirement Calculator'!A:A,0),0),0)</f>
        <v>0</v>
      </c>
      <c r="K3871" s="455">
        <f t="shared" ca="1" si="158"/>
        <v>9852387769.6965771</v>
      </c>
      <c r="L3871" s="455">
        <f t="shared" ca="1" si="159"/>
        <v>2374425452496.8755</v>
      </c>
      <c r="M3871" s="471">
        <f t="shared" si="161"/>
        <v>0.05</v>
      </c>
      <c r="N3871" s="475">
        <f t="shared" si="162"/>
        <v>168864</v>
      </c>
    </row>
    <row r="3872" spans="7:14" ht="11.25" customHeight="1" x14ac:dyDescent="0.3">
      <c r="G3872" s="470"/>
      <c r="H3872" s="470">
        <v>3865</v>
      </c>
      <c r="I3872" s="455">
        <f t="shared" ca="1" si="160"/>
        <v>2374425452496.8755</v>
      </c>
      <c r="J3872" s="455">
        <f t="array" ref="J3872">IFERROR(INDEX('Retirement Calculator'!K:K,MATCH('Lorri 401b'!N3872,'Retirement Calculator'!A:A,0),0),0)</f>
        <v>0</v>
      </c>
      <c r="K3872" s="455">
        <f t="shared" ca="1" si="158"/>
        <v>9893439385.4036484</v>
      </c>
      <c r="L3872" s="455">
        <f t="shared" ca="1" si="159"/>
        <v>2384318891882.2793</v>
      </c>
      <c r="M3872" s="471">
        <f t="shared" si="161"/>
        <v>0.05</v>
      </c>
      <c r="N3872" s="475">
        <f t="shared" si="162"/>
        <v>168895</v>
      </c>
    </row>
    <row r="3873" spans="7:14" ht="11.25" customHeight="1" x14ac:dyDescent="0.3">
      <c r="G3873" s="470"/>
      <c r="H3873" s="470">
        <v>3866</v>
      </c>
      <c r="I3873" s="455">
        <f t="shared" ca="1" si="160"/>
        <v>2384318891882.2793</v>
      </c>
      <c r="J3873" s="455">
        <f t="array" ref="J3873">IFERROR(INDEX('Retirement Calculator'!K:K,MATCH('Lorri 401b'!N3873,'Retirement Calculator'!A:A,0),0),0)</f>
        <v>0</v>
      </c>
      <c r="K3873" s="455">
        <f t="shared" ca="1" si="158"/>
        <v>9934662049.5094967</v>
      </c>
      <c r="L3873" s="455">
        <f t="shared" ca="1" si="159"/>
        <v>2394253553931.7886</v>
      </c>
      <c r="M3873" s="471">
        <f t="shared" si="161"/>
        <v>0.05</v>
      </c>
      <c r="N3873" s="475">
        <f t="shared" si="162"/>
        <v>168925</v>
      </c>
    </row>
    <row r="3874" spans="7:14" ht="11.25" customHeight="1" x14ac:dyDescent="0.3">
      <c r="G3874" s="470"/>
      <c r="H3874" s="470">
        <v>3867</v>
      </c>
      <c r="I3874" s="455">
        <f t="shared" ca="1" si="160"/>
        <v>2394253553931.7886</v>
      </c>
      <c r="J3874" s="455">
        <f t="array" ref="J3874">IFERROR(INDEX('Retirement Calculator'!K:K,MATCH('Lorri 401b'!N3874,'Retirement Calculator'!A:A,0),0),0)</f>
        <v>0</v>
      </c>
      <c r="K3874" s="455">
        <f t="shared" ca="1" si="158"/>
        <v>9976056474.715786</v>
      </c>
      <c r="L3874" s="455">
        <f t="shared" ca="1" si="159"/>
        <v>2404229610406.5044</v>
      </c>
      <c r="M3874" s="471">
        <f t="shared" si="161"/>
        <v>0.05</v>
      </c>
      <c r="N3874" s="475">
        <f t="shared" si="162"/>
        <v>168956</v>
      </c>
    </row>
    <row r="3875" spans="7:14" ht="11.25" customHeight="1" x14ac:dyDescent="0.3">
      <c r="G3875" s="470"/>
      <c r="H3875" s="470">
        <v>3868</v>
      </c>
      <c r="I3875" s="455">
        <f t="shared" ca="1" si="160"/>
        <v>2404229610406.5044</v>
      </c>
      <c r="J3875" s="455">
        <f t="array" ref="J3875">IFERROR(INDEX('Retirement Calculator'!K:K,MATCH('Lorri 401b'!N3875,'Retirement Calculator'!A:A,0),0),0)</f>
        <v>0</v>
      </c>
      <c r="K3875" s="455">
        <f t="shared" ca="1" si="158"/>
        <v>10017623376.693768</v>
      </c>
      <c r="L3875" s="455">
        <f t="shared" ca="1" si="159"/>
        <v>2414247233783.1982</v>
      </c>
      <c r="M3875" s="471">
        <f t="shared" si="161"/>
        <v>0.05</v>
      </c>
      <c r="N3875" s="475">
        <f t="shared" si="162"/>
        <v>168987</v>
      </c>
    </row>
    <row r="3876" spans="7:14" ht="11.25" customHeight="1" x14ac:dyDescent="0.3">
      <c r="G3876" s="470"/>
      <c r="H3876" s="470">
        <v>3869</v>
      </c>
      <c r="I3876" s="455">
        <f t="shared" ca="1" si="160"/>
        <v>2414247233783.1982</v>
      </c>
      <c r="J3876" s="455">
        <f t="array" ref="J3876">IFERROR(INDEX('Retirement Calculator'!K:K,MATCH('Lorri 401b'!N3876,'Retirement Calculator'!A:A,0),0),0)</f>
        <v>0</v>
      </c>
      <c r="K3876" s="455">
        <f t="shared" ca="1" si="158"/>
        <v>10059363474.096659</v>
      </c>
      <c r="L3876" s="455">
        <f t="shared" ca="1" si="159"/>
        <v>2424306597257.2949</v>
      </c>
      <c r="M3876" s="471">
        <f t="shared" si="161"/>
        <v>0.05</v>
      </c>
      <c r="N3876" s="475">
        <f t="shared" si="162"/>
        <v>169017</v>
      </c>
    </row>
    <row r="3877" spans="7:14" ht="11.25" customHeight="1" x14ac:dyDescent="0.3">
      <c r="G3877" s="470"/>
      <c r="H3877" s="470">
        <v>3870</v>
      </c>
      <c r="I3877" s="455">
        <f t="shared" ca="1" si="160"/>
        <v>2424306597257.2949</v>
      </c>
      <c r="J3877" s="455">
        <f t="array" ref="J3877">IFERROR(INDEX('Retirement Calculator'!K:K,MATCH('Lorri 401b'!N3877,'Retirement Calculator'!A:A,0),0),0)</f>
        <v>0</v>
      </c>
      <c r="K3877" s="455">
        <f t="shared" ca="1" si="158"/>
        <v>10101277488.572062</v>
      </c>
      <c r="L3877" s="455">
        <f t="shared" ca="1" si="159"/>
        <v>2434407874745.8672</v>
      </c>
      <c r="M3877" s="471">
        <f t="shared" si="161"/>
        <v>0.05</v>
      </c>
      <c r="N3877" s="475">
        <f t="shared" si="162"/>
        <v>169048</v>
      </c>
    </row>
    <row r="3878" spans="7:14" ht="11.25" customHeight="1" x14ac:dyDescent="0.3">
      <c r="G3878" s="470"/>
      <c r="H3878" s="470">
        <v>3871</v>
      </c>
      <c r="I3878" s="455">
        <f t="shared" ca="1" si="160"/>
        <v>2434407874745.8672</v>
      </c>
      <c r="J3878" s="455">
        <f t="array" ref="J3878">IFERROR(INDEX('Retirement Calculator'!K:K,MATCH('Lorri 401b'!N3878,'Retirement Calculator'!A:A,0),0),0)</f>
        <v>0</v>
      </c>
      <c r="K3878" s="455">
        <f t="shared" ca="1" si="158"/>
        <v>10143366144.774446</v>
      </c>
      <c r="L3878" s="455">
        <f t="shared" ca="1" si="159"/>
        <v>2444551240890.6416</v>
      </c>
      <c r="M3878" s="471">
        <f t="shared" si="161"/>
        <v>0.05</v>
      </c>
      <c r="N3878" s="475">
        <f t="shared" si="162"/>
        <v>169078</v>
      </c>
    </row>
    <row r="3879" spans="7:14" ht="11.25" customHeight="1" x14ac:dyDescent="0.3">
      <c r="G3879" s="470"/>
      <c r="H3879" s="470">
        <v>3872</v>
      </c>
      <c r="I3879" s="455">
        <f t="shared" ca="1" si="160"/>
        <v>2444551240890.6416</v>
      </c>
      <c r="J3879" s="455">
        <f t="array" ref="J3879">IFERROR(INDEX('Retirement Calculator'!K:K,MATCH('Lorri 401b'!N3879,'Retirement Calculator'!A:A,0),0),0)</f>
        <v>0</v>
      </c>
      <c r="K3879" s="455">
        <f t="shared" ca="1" si="158"/>
        <v>10185630170.377674</v>
      </c>
      <c r="L3879" s="455">
        <f t="shared" ca="1" si="159"/>
        <v>2454736871061.019</v>
      </c>
      <c r="M3879" s="471">
        <f t="shared" si="161"/>
        <v>0.05</v>
      </c>
      <c r="N3879" s="475">
        <f t="shared" si="162"/>
        <v>169109</v>
      </c>
    </row>
    <row r="3880" spans="7:14" ht="11.25" customHeight="1" x14ac:dyDescent="0.3">
      <c r="G3880" s="470"/>
      <c r="H3880" s="470">
        <v>3873</v>
      </c>
      <c r="I3880" s="455">
        <f t="shared" ca="1" si="160"/>
        <v>2454736871061.019</v>
      </c>
      <c r="J3880" s="455">
        <f t="array" ref="J3880">IFERROR(INDEX('Retirement Calculator'!K:K,MATCH('Lorri 401b'!N3880,'Retirement Calculator'!A:A,0),0),0)</f>
        <v>0</v>
      </c>
      <c r="K3880" s="455">
        <f t="shared" ca="1" si="158"/>
        <v>10228070296.08758</v>
      </c>
      <c r="L3880" s="455">
        <f t="shared" ca="1" si="159"/>
        <v>2464964941357.1064</v>
      </c>
      <c r="M3880" s="471">
        <f t="shared" si="161"/>
        <v>0.05</v>
      </c>
      <c r="N3880" s="475">
        <f t="shared" si="162"/>
        <v>169140</v>
      </c>
    </row>
    <row r="3881" spans="7:14" ht="11.25" customHeight="1" x14ac:dyDescent="0.3">
      <c r="G3881" s="470"/>
      <c r="H3881" s="470">
        <v>3874</v>
      </c>
      <c r="I3881" s="455">
        <f t="shared" ca="1" si="160"/>
        <v>2464964941357.1064</v>
      </c>
      <c r="J3881" s="455">
        <f t="array" ref="J3881">IFERROR(INDEX('Retirement Calculator'!K:K,MATCH('Lorri 401b'!N3881,'Retirement Calculator'!A:A,0),0),0)</f>
        <v>0</v>
      </c>
      <c r="K3881" s="455">
        <f t="shared" ca="1" si="158"/>
        <v>10270687255.65461</v>
      </c>
      <c r="L3881" s="455">
        <f t="shared" ca="1" si="159"/>
        <v>2475235628612.7612</v>
      </c>
      <c r="M3881" s="471">
        <f t="shared" si="161"/>
        <v>0.05</v>
      </c>
      <c r="N3881" s="475">
        <f t="shared" si="162"/>
        <v>169168</v>
      </c>
    </row>
    <row r="3882" spans="7:14" ht="11.25" customHeight="1" x14ac:dyDescent="0.3">
      <c r="G3882" s="470"/>
      <c r="H3882" s="470">
        <v>3875</v>
      </c>
      <c r="I3882" s="455">
        <f t="shared" ca="1" si="160"/>
        <v>2475235628612.7612</v>
      </c>
      <c r="J3882" s="455">
        <f t="array" ref="J3882">IFERROR(INDEX('Retirement Calculator'!K:K,MATCH('Lorri 401b'!N3882,'Retirement Calculator'!A:A,0),0),0)</f>
        <v>0</v>
      </c>
      <c r="K3882" s="455">
        <f t="shared" ca="1" si="158"/>
        <v>10313481785.886505</v>
      </c>
      <c r="L3882" s="455">
        <f t="shared" ca="1" si="159"/>
        <v>2485549110398.6479</v>
      </c>
      <c r="M3882" s="471">
        <f t="shared" si="161"/>
        <v>0.05</v>
      </c>
      <c r="N3882" s="475">
        <f t="shared" si="162"/>
        <v>169199</v>
      </c>
    </row>
    <row r="3883" spans="7:14" ht="11.25" customHeight="1" x14ac:dyDescent="0.3">
      <c r="G3883" s="470"/>
      <c r="H3883" s="470">
        <v>3876</v>
      </c>
      <c r="I3883" s="455">
        <f t="shared" ca="1" si="160"/>
        <v>2485549110398.6479</v>
      </c>
      <c r="J3883" s="455">
        <f t="array" ref="J3883">IFERROR(INDEX('Retirement Calculator'!K:K,MATCH('Lorri 401b'!N3883,'Retirement Calculator'!A:A,0),0),0)</f>
        <v>0</v>
      </c>
      <c r="K3883" s="455">
        <f t="shared" ca="1" si="158"/>
        <v>10356454626.661034</v>
      </c>
      <c r="L3883" s="455">
        <f t="shared" ca="1" si="159"/>
        <v>2495905565025.3091</v>
      </c>
      <c r="M3883" s="471">
        <f t="shared" si="161"/>
        <v>0.05</v>
      </c>
      <c r="N3883" s="475">
        <f t="shared" si="162"/>
        <v>169229</v>
      </c>
    </row>
    <row r="3884" spans="7:14" ht="11.25" customHeight="1" x14ac:dyDescent="0.3">
      <c r="G3884" s="470"/>
      <c r="H3884" s="470">
        <v>3877</v>
      </c>
      <c r="I3884" s="455">
        <f t="shared" ca="1" si="160"/>
        <v>2495905565025.3091</v>
      </c>
      <c r="J3884" s="455">
        <f t="array" ref="J3884">IFERROR(INDEX('Retirement Calculator'!K:K,MATCH('Lorri 401b'!N3884,'Retirement Calculator'!A:A,0),0),0)</f>
        <v>0</v>
      </c>
      <c r="K3884" s="455">
        <f t="shared" ca="1" si="158"/>
        <v>10399606520.938787</v>
      </c>
      <c r="L3884" s="455">
        <f t="shared" ca="1" si="159"/>
        <v>2506305171546.248</v>
      </c>
      <c r="M3884" s="471">
        <f t="shared" si="161"/>
        <v>0.05</v>
      </c>
      <c r="N3884" s="475">
        <f t="shared" si="162"/>
        <v>169260</v>
      </c>
    </row>
    <row r="3885" spans="7:14" ht="11.25" customHeight="1" x14ac:dyDescent="0.3">
      <c r="G3885" s="470"/>
      <c r="H3885" s="470">
        <v>3878</v>
      </c>
      <c r="I3885" s="455">
        <f t="shared" ca="1" si="160"/>
        <v>2506305171546.248</v>
      </c>
      <c r="J3885" s="455">
        <f t="array" ref="J3885">IFERROR(INDEX('Retirement Calculator'!K:K,MATCH('Lorri 401b'!N3885,'Retirement Calculator'!A:A,0),0),0)</f>
        <v>0</v>
      </c>
      <c r="K3885" s="455">
        <f t="shared" ca="1" si="158"/>
        <v>10442938214.776033</v>
      </c>
      <c r="L3885" s="455">
        <f t="shared" ca="1" si="159"/>
        <v>2516748109761.0239</v>
      </c>
      <c r="M3885" s="471">
        <f t="shared" si="161"/>
        <v>0.05</v>
      </c>
      <c r="N3885" s="475">
        <f t="shared" si="162"/>
        <v>169290</v>
      </c>
    </row>
    <row r="3886" spans="7:14" ht="11.25" customHeight="1" x14ac:dyDescent="0.3">
      <c r="G3886" s="470"/>
      <c r="H3886" s="470">
        <v>3879</v>
      </c>
      <c r="I3886" s="455">
        <f t="shared" ca="1" si="160"/>
        <v>2516748109761.0239</v>
      </c>
      <c r="J3886" s="455">
        <f t="array" ref="J3886">IFERROR(INDEX('Retirement Calculator'!K:K,MATCH('Lorri 401b'!N3886,'Retirement Calculator'!A:A,0),0),0)</f>
        <v>0</v>
      </c>
      <c r="K3886" s="455">
        <f t="shared" ca="1" si="158"/>
        <v>10486450457.337599</v>
      </c>
      <c r="L3886" s="455">
        <f t="shared" ca="1" si="159"/>
        <v>2527234560218.3613</v>
      </c>
      <c r="M3886" s="471">
        <f t="shared" si="161"/>
        <v>0.05</v>
      </c>
      <c r="N3886" s="475">
        <f t="shared" si="162"/>
        <v>169321</v>
      </c>
    </row>
    <row r="3887" spans="7:14" ht="11.25" customHeight="1" x14ac:dyDescent="0.3">
      <c r="G3887" s="470"/>
      <c r="H3887" s="470">
        <v>3880</v>
      </c>
      <c r="I3887" s="455">
        <f t="shared" ca="1" si="160"/>
        <v>2527234560218.3613</v>
      </c>
      <c r="J3887" s="455">
        <f t="array" ref="J3887">IFERROR(INDEX('Retirement Calculator'!K:K,MATCH('Lorri 401b'!N3887,'Retirement Calculator'!A:A,0),0),0)</f>
        <v>0</v>
      </c>
      <c r="K3887" s="455">
        <f t="shared" ca="1" si="158"/>
        <v>10530144000.90984</v>
      </c>
      <c r="L3887" s="455">
        <f t="shared" ca="1" si="159"/>
        <v>2537764704219.271</v>
      </c>
      <c r="M3887" s="471">
        <f t="shared" si="161"/>
        <v>0.05</v>
      </c>
      <c r="N3887" s="475">
        <f t="shared" si="162"/>
        <v>169352</v>
      </c>
    </row>
    <row r="3888" spans="7:14" ht="11.25" customHeight="1" x14ac:dyDescent="0.3">
      <c r="G3888" s="470"/>
      <c r="H3888" s="470">
        <v>3881</v>
      </c>
      <c r="I3888" s="455">
        <f t="shared" ca="1" si="160"/>
        <v>2537764704219.271</v>
      </c>
      <c r="J3888" s="455">
        <f t="array" ref="J3888">IFERROR(INDEX('Retirement Calculator'!K:K,MATCH('Lorri 401b'!N3888,'Retirement Calculator'!A:A,0),0),0)</f>
        <v>0</v>
      </c>
      <c r="K3888" s="455">
        <f t="shared" ca="1" si="158"/>
        <v>10574019600.91363</v>
      </c>
      <c r="L3888" s="455">
        <f t="shared" ca="1" si="159"/>
        <v>2548338723820.1846</v>
      </c>
      <c r="M3888" s="471">
        <f t="shared" si="161"/>
        <v>0.05</v>
      </c>
      <c r="N3888" s="475">
        <f t="shared" si="162"/>
        <v>169382</v>
      </c>
    </row>
    <row r="3889" spans="7:14" ht="11.25" customHeight="1" x14ac:dyDescent="0.3">
      <c r="G3889" s="470"/>
      <c r="H3889" s="470">
        <v>3882</v>
      </c>
      <c r="I3889" s="455">
        <f t="shared" ca="1" si="160"/>
        <v>2548338723820.1846</v>
      </c>
      <c r="J3889" s="455">
        <f t="array" ref="J3889">IFERROR(INDEX('Retirement Calculator'!K:K,MATCH('Lorri 401b'!N3889,'Retirement Calculator'!A:A,0),0),0)</f>
        <v>0</v>
      </c>
      <c r="K3889" s="455">
        <f t="shared" ca="1" si="158"/>
        <v>10618078015.917435</v>
      </c>
      <c r="L3889" s="455">
        <f t="shared" ca="1" si="159"/>
        <v>2558956801836.1021</v>
      </c>
      <c r="M3889" s="471">
        <f t="shared" si="161"/>
        <v>0.05</v>
      </c>
      <c r="N3889" s="475">
        <f t="shared" si="162"/>
        <v>169413</v>
      </c>
    </row>
    <row r="3890" spans="7:14" ht="11.25" customHeight="1" x14ac:dyDescent="0.3">
      <c r="G3890" s="470"/>
      <c r="H3890" s="470">
        <v>3883</v>
      </c>
      <c r="I3890" s="455">
        <f t="shared" ca="1" si="160"/>
        <v>2558956801836.1021</v>
      </c>
      <c r="J3890" s="455">
        <f t="array" ref="J3890">IFERROR(INDEX('Retirement Calculator'!K:K,MATCH('Lorri 401b'!N3890,'Retirement Calculator'!A:A,0),0),0)</f>
        <v>0</v>
      </c>
      <c r="K3890" s="455">
        <f t="shared" ca="1" si="158"/>
        <v>10662320007.650425</v>
      </c>
      <c r="L3890" s="455">
        <f t="shared" ca="1" si="159"/>
        <v>2569619121843.7524</v>
      </c>
      <c r="M3890" s="471">
        <f t="shared" si="161"/>
        <v>0.05</v>
      </c>
      <c r="N3890" s="475">
        <f t="shared" si="162"/>
        <v>169443</v>
      </c>
    </row>
    <row r="3891" spans="7:14" ht="11.25" customHeight="1" x14ac:dyDescent="0.3">
      <c r="G3891" s="470"/>
      <c r="H3891" s="470">
        <v>3884</v>
      </c>
      <c r="I3891" s="455">
        <f t="shared" ca="1" si="160"/>
        <v>2569619121843.7524</v>
      </c>
      <c r="J3891" s="455">
        <f t="array" ref="J3891">IFERROR(INDEX('Retirement Calculator'!K:K,MATCH('Lorri 401b'!N3891,'Retirement Calculator'!A:A,0),0),0)</f>
        <v>0</v>
      </c>
      <c r="K3891" s="455">
        <f t="shared" ca="1" si="158"/>
        <v>10706746341.015635</v>
      </c>
      <c r="L3891" s="455">
        <f t="shared" ca="1" si="159"/>
        <v>2580325868184.7681</v>
      </c>
      <c r="M3891" s="471">
        <f t="shared" si="161"/>
        <v>0.05</v>
      </c>
      <c r="N3891" s="475">
        <f t="shared" si="162"/>
        <v>169474</v>
      </c>
    </row>
    <row r="3892" spans="7:14" ht="11.25" customHeight="1" x14ac:dyDescent="0.3">
      <c r="G3892" s="470"/>
      <c r="H3892" s="470">
        <v>3885</v>
      </c>
      <c r="I3892" s="455">
        <f t="shared" ca="1" si="160"/>
        <v>2580325868184.7681</v>
      </c>
      <c r="J3892" s="455">
        <f t="array" ref="J3892">IFERROR(INDEX('Retirement Calculator'!K:K,MATCH('Lorri 401b'!N3892,'Retirement Calculator'!A:A,0),0),0)</f>
        <v>0</v>
      </c>
      <c r="K3892" s="455">
        <f t="shared" ca="1" si="158"/>
        <v>10751357784.103201</v>
      </c>
      <c r="L3892" s="455">
        <f t="shared" ca="1" si="159"/>
        <v>2591077225968.8711</v>
      </c>
      <c r="M3892" s="471">
        <f t="shared" si="161"/>
        <v>0.05</v>
      </c>
      <c r="N3892" s="475">
        <f t="shared" si="162"/>
        <v>169505</v>
      </c>
    </row>
    <row r="3893" spans="7:14" ht="11.25" customHeight="1" x14ac:dyDescent="0.3">
      <c r="G3893" s="470"/>
      <c r="H3893" s="470">
        <v>3886</v>
      </c>
      <c r="I3893" s="455">
        <f t="shared" ca="1" si="160"/>
        <v>2591077225968.8711</v>
      </c>
      <c r="J3893" s="455">
        <f t="array" ref="J3893">IFERROR(INDEX('Retirement Calculator'!K:K,MATCH('Lorri 401b'!N3893,'Retirement Calculator'!A:A,0),0),0)</f>
        <v>0</v>
      </c>
      <c r="K3893" s="455">
        <f t="shared" ca="1" si="158"/>
        <v>10796155108.203629</v>
      </c>
      <c r="L3893" s="455">
        <f t="shared" ca="1" si="159"/>
        <v>2601873381077.0747</v>
      </c>
      <c r="M3893" s="471">
        <f t="shared" si="161"/>
        <v>0.05</v>
      </c>
      <c r="N3893" s="475">
        <f t="shared" si="162"/>
        <v>169534</v>
      </c>
    </row>
    <row r="3894" spans="7:14" ht="11.25" customHeight="1" x14ac:dyDescent="0.3">
      <c r="G3894" s="470"/>
      <c r="H3894" s="470">
        <v>3887</v>
      </c>
      <c r="I3894" s="455">
        <f t="shared" ca="1" si="160"/>
        <v>2601873381077.0747</v>
      </c>
      <c r="J3894" s="455">
        <f t="array" ref="J3894">IFERROR(INDEX('Retirement Calculator'!K:K,MATCH('Lorri 401b'!N3894,'Retirement Calculator'!A:A,0),0),0)</f>
        <v>0</v>
      </c>
      <c r="K3894" s="455">
        <f t="shared" ca="1" si="158"/>
        <v>10841139087.821144</v>
      </c>
      <c r="L3894" s="455">
        <f t="shared" ca="1" si="159"/>
        <v>2612714520164.896</v>
      </c>
      <c r="M3894" s="471">
        <f t="shared" si="161"/>
        <v>0.05</v>
      </c>
      <c r="N3894" s="475">
        <f t="shared" si="162"/>
        <v>169565</v>
      </c>
    </row>
    <row r="3895" spans="7:14" ht="11.25" customHeight="1" x14ac:dyDescent="0.3">
      <c r="G3895" s="470"/>
      <c r="H3895" s="470">
        <v>3888</v>
      </c>
      <c r="I3895" s="455">
        <f t="shared" ca="1" si="160"/>
        <v>2612714520164.896</v>
      </c>
      <c r="J3895" s="455">
        <f t="array" ref="J3895">IFERROR(INDEX('Retirement Calculator'!K:K,MATCH('Lorri 401b'!N3895,'Retirement Calculator'!A:A,0),0),0)</f>
        <v>0</v>
      </c>
      <c r="K3895" s="455">
        <f t="shared" ca="1" si="158"/>
        <v>10886310500.687067</v>
      </c>
      <c r="L3895" s="455">
        <f t="shared" ca="1" si="159"/>
        <v>2623600830665.583</v>
      </c>
      <c r="M3895" s="471">
        <f t="shared" si="161"/>
        <v>0.05</v>
      </c>
      <c r="N3895" s="475">
        <f t="shared" si="162"/>
        <v>169595</v>
      </c>
    </row>
    <row r="3896" spans="7:14" ht="11.25" customHeight="1" x14ac:dyDescent="0.3">
      <c r="G3896" s="470"/>
      <c r="H3896" s="470">
        <v>3889</v>
      </c>
      <c r="I3896" s="455">
        <f t="shared" ca="1" si="160"/>
        <v>2623600830665.583</v>
      </c>
      <c r="J3896" s="455">
        <f t="array" ref="J3896">IFERROR(INDEX('Retirement Calculator'!K:K,MATCH('Lorri 401b'!N3896,'Retirement Calculator'!A:A,0),0),0)</f>
        <v>0</v>
      </c>
      <c r="K3896" s="455">
        <f t="shared" ca="1" si="158"/>
        <v>10931670127.773262</v>
      </c>
      <c r="L3896" s="455">
        <f t="shared" ca="1" si="159"/>
        <v>2634532500793.3564</v>
      </c>
      <c r="M3896" s="471">
        <f t="shared" si="161"/>
        <v>0.05</v>
      </c>
      <c r="N3896" s="475">
        <f t="shared" si="162"/>
        <v>169626</v>
      </c>
    </row>
    <row r="3897" spans="7:14" ht="11.25" customHeight="1" x14ac:dyDescent="0.3">
      <c r="G3897" s="470"/>
      <c r="H3897" s="470">
        <v>3890</v>
      </c>
      <c r="I3897" s="455">
        <f t="shared" ca="1" si="160"/>
        <v>2634532500793.3564</v>
      </c>
      <c r="J3897" s="455">
        <f t="array" ref="J3897">IFERROR(INDEX('Retirement Calculator'!K:K,MATCH('Lorri 401b'!N3897,'Retirement Calculator'!A:A,0),0),0)</f>
        <v>0</v>
      </c>
      <c r="K3897" s="455">
        <f t="shared" ca="1" si="158"/>
        <v>10977218753.305653</v>
      </c>
      <c r="L3897" s="455">
        <f t="shared" ca="1" si="159"/>
        <v>2645509719546.6621</v>
      </c>
      <c r="M3897" s="471">
        <f t="shared" si="161"/>
        <v>0.05</v>
      </c>
      <c r="N3897" s="475">
        <f t="shared" si="162"/>
        <v>169656</v>
      </c>
    </row>
    <row r="3898" spans="7:14" ht="11.25" customHeight="1" x14ac:dyDescent="0.3">
      <c r="G3898" s="470"/>
      <c r="H3898" s="470">
        <v>3891</v>
      </c>
      <c r="I3898" s="455">
        <f t="shared" ca="1" si="160"/>
        <v>2645509719546.6621</v>
      </c>
      <c r="J3898" s="455">
        <f t="array" ref="J3898">IFERROR(INDEX('Retirement Calculator'!K:K,MATCH('Lorri 401b'!N3898,'Retirement Calculator'!A:A,0),0),0)</f>
        <v>0</v>
      </c>
      <c r="K3898" s="455">
        <f t="shared" ca="1" si="158"/>
        <v>11022957164.77776</v>
      </c>
      <c r="L3898" s="455">
        <f t="shared" ca="1" si="159"/>
        <v>2656532676711.4399</v>
      </c>
      <c r="M3898" s="471">
        <f t="shared" si="161"/>
        <v>0.05</v>
      </c>
      <c r="N3898" s="475">
        <f t="shared" si="162"/>
        <v>169687</v>
      </c>
    </row>
    <row r="3899" spans="7:14" ht="11.25" customHeight="1" x14ac:dyDescent="0.3">
      <c r="G3899" s="470"/>
      <c r="H3899" s="470">
        <v>3892</v>
      </c>
      <c r="I3899" s="455">
        <f t="shared" ca="1" si="160"/>
        <v>2656532676711.4399</v>
      </c>
      <c r="J3899" s="455">
        <f t="array" ref="J3899">IFERROR(INDEX('Retirement Calculator'!K:K,MATCH('Lorri 401b'!N3899,'Retirement Calculator'!A:A,0),0),0)</f>
        <v>0</v>
      </c>
      <c r="K3899" s="455">
        <f t="shared" ca="1" si="158"/>
        <v>11068886152.964333</v>
      </c>
      <c r="L3899" s="455">
        <f t="shared" ca="1" si="159"/>
        <v>2667601562864.4043</v>
      </c>
      <c r="M3899" s="471">
        <f t="shared" si="161"/>
        <v>0.05</v>
      </c>
      <c r="N3899" s="475">
        <f t="shared" si="162"/>
        <v>169718</v>
      </c>
    </row>
    <row r="3900" spans="7:14" ht="11.25" customHeight="1" x14ac:dyDescent="0.3">
      <c r="G3900" s="470"/>
      <c r="H3900" s="470">
        <v>3893</v>
      </c>
      <c r="I3900" s="455">
        <f t="shared" ca="1" si="160"/>
        <v>2667601562864.4043</v>
      </c>
      <c r="J3900" s="455">
        <f t="array" ref="J3900">IFERROR(INDEX('Retirement Calculator'!K:K,MATCH('Lorri 401b'!N3900,'Retirement Calculator'!A:A,0),0),0)</f>
        <v>0</v>
      </c>
      <c r="K3900" s="455">
        <f t="shared" ca="1" si="158"/>
        <v>11115006511.935019</v>
      </c>
      <c r="L3900" s="455">
        <f t="shared" ca="1" si="159"/>
        <v>2678716569376.3394</v>
      </c>
      <c r="M3900" s="471">
        <f t="shared" si="161"/>
        <v>0.05</v>
      </c>
      <c r="N3900" s="475">
        <f t="shared" si="162"/>
        <v>169748</v>
      </c>
    </row>
    <row r="3901" spans="7:14" ht="11.25" customHeight="1" x14ac:dyDescent="0.3">
      <c r="G3901" s="470"/>
      <c r="H3901" s="470">
        <v>3894</v>
      </c>
      <c r="I3901" s="455">
        <f t="shared" ca="1" si="160"/>
        <v>2678716569376.3394</v>
      </c>
      <c r="J3901" s="455">
        <f t="array" ref="J3901">IFERROR(INDEX('Retirement Calculator'!K:K,MATCH('Lorri 401b'!N3901,'Retirement Calculator'!A:A,0),0),0)</f>
        <v>0</v>
      </c>
      <c r="K3901" s="455">
        <f t="shared" ca="1" si="158"/>
        <v>11161319039.068081</v>
      </c>
      <c r="L3901" s="455">
        <f t="shared" ca="1" si="159"/>
        <v>2689877888415.4072</v>
      </c>
      <c r="M3901" s="471">
        <f t="shared" si="161"/>
        <v>0.05</v>
      </c>
      <c r="N3901" s="475">
        <f t="shared" si="162"/>
        <v>169779</v>
      </c>
    </row>
    <row r="3902" spans="7:14" ht="11.25" customHeight="1" x14ac:dyDescent="0.3">
      <c r="G3902" s="470"/>
      <c r="H3902" s="470">
        <v>3895</v>
      </c>
      <c r="I3902" s="455">
        <f t="shared" ca="1" si="160"/>
        <v>2689877888415.4072</v>
      </c>
      <c r="J3902" s="455">
        <f t="array" ref="J3902">IFERROR(INDEX('Retirement Calculator'!K:K,MATCH('Lorri 401b'!N3902,'Retirement Calculator'!A:A,0),0),0)</f>
        <v>0</v>
      </c>
      <c r="K3902" s="455">
        <f t="shared" ca="1" si="158"/>
        <v>11207824535.064198</v>
      </c>
      <c r="L3902" s="455">
        <f t="shared" ca="1" si="159"/>
        <v>2701085712950.4712</v>
      </c>
      <c r="M3902" s="471">
        <f t="shared" si="161"/>
        <v>0.05</v>
      </c>
      <c r="N3902" s="475">
        <f t="shared" si="162"/>
        <v>169809</v>
      </c>
    </row>
    <row r="3903" spans="7:14" ht="11.25" customHeight="1" x14ac:dyDescent="0.3">
      <c r="G3903" s="470"/>
      <c r="H3903" s="470">
        <v>3896</v>
      </c>
      <c r="I3903" s="455">
        <f t="shared" ca="1" si="160"/>
        <v>2701085712950.4712</v>
      </c>
      <c r="J3903" s="455">
        <f t="array" ref="J3903">IFERROR(INDEX('Retirement Calculator'!K:K,MATCH('Lorri 401b'!N3903,'Retirement Calculator'!A:A,0),0),0)</f>
        <v>0</v>
      </c>
      <c r="K3903" s="455">
        <f t="shared" ca="1" si="158"/>
        <v>11254523803.960297</v>
      </c>
      <c r="L3903" s="455">
        <f t="shared" ca="1" si="159"/>
        <v>2712340236754.4316</v>
      </c>
      <c r="M3903" s="471">
        <f t="shared" si="161"/>
        <v>0.05</v>
      </c>
      <c r="N3903" s="475">
        <f t="shared" si="162"/>
        <v>169840</v>
      </c>
    </row>
    <row r="3904" spans="7:14" ht="11.25" customHeight="1" x14ac:dyDescent="0.3">
      <c r="G3904" s="470"/>
      <c r="H3904" s="470">
        <v>3897</v>
      </c>
      <c r="I3904" s="455">
        <f t="shared" ca="1" si="160"/>
        <v>2712340236754.4316</v>
      </c>
      <c r="J3904" s="455">
        <f t="array" ref="J3904">IFERROR(INDEX('Retirement Calculator'!K:K,MATCH('Lorri 401b'!N3904,'Retirement Calculator'!A:A,0),0),0)</f>
        <v>0</v>
      </c>
      <c r="K3904" s="455">
        <f t="shared" ca="1" si="158"/>
        <v>11301417653.143465</v>
      </c>
      <c r="L3904" s="455">
        <f t="shared" ca="1" si="159"/>
        <v>2723641654407.5752</v>
      </c>
      <c r="M3904" s="471">
        <f t="shared" si="161"/>
        <v>0.05</v>
      </c>
      <c r="N3904" s="475">
        <f t="shared" si="162"/>
        <v>169871</v>
      </c>
    </row>
    <row r="3905" spans="7:14" ht="11.25" customHeight="1" x14ac:dyDescent="0.3">
      <c r="G3905" s="470"/>
      <c r="H3905" s="470">
        <v>3898</v>
      </c>
      <c r="I3905" s="455">
        <f t="shared" ca="1" si="160"/>
        <v>2723641654407.5752</v>
      </c>
      <c r="J3905" s="455">
        <f t="array" ref="J3905">IFERROR(INDEX('Retirement Calculator'!K:K,MATCH('Lorri 401b'!N3905,'Retirement Calculator'!A:A,0),0),0)</f>
        <v>0</v>
      </c>
      <c r="K3905" s="455">
        <f t="shared" ca="1" si="158"/>
        <v>11348506893.364897</v>
      </c>
      <c r="L3905" s="455">
        <f t="shared" ca="1" si="159"/>
        <v>2734990161300.9399</v>
      </c>
      <c r="M3905" s="471">
        <f t="shared" si="161"/>
        <v>0.05</v>
      </c>
      <c r="N3905" s="475">
        <f t="shared" si="162"/>
        <v>169899</v>
      </c>
    </row>
    <row r="3906" spans="7:14" ht="11.25" customHeight="1" x14ac:dyDescent="0.3">
      <c r="G3906" s="470"/>
      <c r="H3906" s="470">
        <v>3899</v>
      </c>
      <c r="I3906" s="455">
        <f t="shared" ca="1" si="160"/>
        <v>2734990161300.9399</v>
      </c>
      <c r="J3906" s="455">
        <f t="array" ref="J3906">IFERROR(INDEX('Retirement Calculator'!K:K,MATCH('Lorri 401b'!N3906,'Retirement Calculator'!A:A,0),0),0)</f>
        <v>0</v>
      </c>
      <c r="K3906" s="455">
        <f t="shared" ca="1" si="158"/>
        <v>11395792338.753916</v>
      </c>
      <c r="L3906" s="455">
        <f t="shared" ca="1" si="159"/>
        <v>2746385953639.6938</v>
      </c>
      <c r="M3906" s="471">
        <f t="shared" si="161"/>
        <v>0.05</v>
      </c>
      <c r="N3906" s="475">
        <f t="shared" si="162"/>
        <v>169930</v>
      </c>
    </row>
    <row r="3907" spans="7:14" ht="11.25" customHeight="1" x14ac:dyDescent="0.3">
      <c r="G3907" s="470"/>
      <c r="H3907" s="470">
        <v>3900</v>
      </c>
      <c r="I3907" s="455">
        <f t="shared" ca="1" si="160"/>
        <v>2746385953639.6938</v>
      </c>
      <c r="J3907" s="455">
        <f t="array" ref="J3907">IFERROR(INDEX('Retirement Calculator'!K:K,MATCH('Lorri 401b'!N3907,'Retirement Calculator'!A:A,0),0),0)</f>
        <v>0</v>
      </c>
      <c r="K3907" s="455">
        <f t="shared" ca="1" si="158"/>
        <v>11443274806.832058</v>
      </c>
      <c r="L3907" s="455">
        <f t="shared" ca="1" si="159"/>
        <v>2757829228446.5259</v>
      </c>
      <c r="M3907" s="471">
        <f t="shared" si="161"/>
        <v>0.05</v>
      </c>
      <c r="N3907" s="475">
        <f t="shared" si="162"/>
        <v>169960</v>
      </c>
    </row>
    <row r="3908" spans="7:14" ht="11.25" customHeight="1" x14ac:dyDescent="0.3">
      <c r="G3908" s="470"/>
      <c r="H3908" s="470">
        <v>3901</v>
      </c>
      <c r="I3908" s="455">
        <f t="shared" ca="1" si="160"/>
        <v>2757829228446.5259</v>
      </c>
      <c r="J3908" s="455">
        <f t="array" ref="J3908">IFERROR(INDEX('Retirement Calculator'!K:K,MATCH('Lorri 401b'!N3908,'Retirement Calculator'!A:A,0),0),0)</f>
        <v>0</v>
      </c>
      <c r="K3908" s="455">
        <f t="shared" ca="1" si="158"/>
        <v>11490955118.527191</v>
      </c>
      <c r="L3908" s="455">
        <f t="shared" ca="1" si="159"/>
        <v>2769320183565.0532</v>
      </c>
      <c r="M3908" s="471">
        <f t="shared" si="161"/>
        <v>0.05</v>
      </c>
      <c r="N3908" s="475">
        <f t="shared" si="162"/>
        <v>169991</v>
      </c>
    </row>
    <row r="3909" spans="7:14" ht="11.25" customHeight="1" x14ac:dyDescent="0.3">
      <c r="G3909" s="470"/>
      <c r="H3909" s="470">
        <v>3902</v>
      </c>
      <c r="I3909" s="455">
        <f t="shared" ca="1" si="160"/>
        <v>2769320183565.0532</v>
      </c>
      <c r="J3909" s="455">
        <f t="array" ref="J3909">IFERROR(INDEX('Retirement Calculator'!K:K,MATCH('Lorri 401b'!N3909,'Retirement Calculator'!A:A,0),0),0)</f>
        <v>0</v>
      </c>
      <c r="K3909" s="455">
        <f t="shared" ca="1" si="158"/>
        <v>11538834098.187721</v>
      </c>
      <c r="L3909" s="455">
        <f t="shared" ca="1" si="159"/>
        <v>2780859017663.2407</v>
      </c>
      <c r="M3909" s="471">
        <f t="shared" si="161"/>
        <v>0.05</v>
      </c>
      <c r="N3909" s="475">
        <f t="shared" si="162"/>
        <v>170021</v>
      </c>
    </row>
    <row r="3910" spans="7:14" ht="11.25" customHeight="1" x14ac:dyDescent="0.3">
      <c r="G3910" s="470"/>
      <c r="H3910" s="470">
        <v>3903</v>
      </c>
      <c r="I3910" s="455">
        <f t="shared" ca="1" si="160"/>
        <v>2780859017663.2407</v>
      </c>
      <c r="J3910" s="455">
        <f t="array" ref="J3910">IFERROR(INDEX('Retirement Calculator'!K:K,MATCH('Lorri 401b'!N3910,'Retirement Calculator'!A:A,0),0),0)</f>
        <v>0</v>
      </c>
      <c r="K3910" s="455">
        <f t="shared" ca="1" si="158"/>
        <v>11586912573.596836</v>
      </c>
      <c r="L3910" s="455">
        <f t="shared" ca="1" si="159"/>
        <v>2792445930236.8374</v>
      </c>
      <c r="M3910" s="471">
        <f t="shared" si="161"/>
        <v>0.05</v>
      </c>
      <c r="N3910" s="475">
        <f t="shared" si="162"/>
        <v>170052</v>
      </c>
    </row>
    <row r="3911" spans="7:14" ht="11.25" customHeight="1" x14ac:dyDescent="0.3">
      <c r="G3911" s="470"/>
      <c r="H3911" s="470">
        <v>3904</v>
      </c>
      <c r="I3911" s="455">
        <f t="shared" ca="1" si="160"/>
        <v>2792445930236.8374</v>
      </c>
      <c r="J3911" s="455">
        <f t="array" ref="J3911">IFERROR(INDEX('Retirement Calculator'!K:K,MATCH('Lorri 401b'!N3911,'Retirement Calculator'!A:A,0),0),0)</f>
        <v>0</v>
      </c>
      <c r="K3911" s="455">
        <f t="shared" ca="1" si="158"/>
        <v>11635191375.986822</v>
      </c>
      <c r="L3911" s="455">
        <f t="shared" ca="1" si="159"/>
        <v>2804081121612.8242</v>
      </c>
      <c r="M3911" s="471">
        <f t="shared" si="161"/>
        <v>0.05</v>
      </c>
      <c r="N3911" s="475">
        <f t="shared" si="162"/>
        <v>170083</v>
      </c>
    </row>
    <row r="3912" spans="7:14" ht="11.25" customHeight="1" x14ac:dyDescent="0.3">
      <c r="G3912" s="470"/>
      <c r="H3912" s="470">
        <v>3905</v>
      </c>
      <c r="I3912" s="455">
        <f t="shared" ca="1" si="160"/>
        <v>2804081121612.8242</v>
      </c>
      <c r="J3912" s="455">
        <f t="array" ref="J3912">IFERROR(INDEX('Retirement Calculator'!K:K,MATCH('Lorri 401b'!N3912,'Retirement Calculator'!A:A,0),0),0)</f>
        <v>0</v>
      </c>
      <c r="K3912" s="455">
        <f t="shared" ca="1" si="158"/>
        <v>11683671340.053434</v>
      </c>
      <c r="L3912" s="455">
        <f t="shared" ca="1" si="159"/>
        <v>2815764792952.8774</v>
      </c>
      <c r="M3912" s="471">
        <f t="shared" si="161"/>
        <v>0.05</v>
      </c>
      <c r="N3912" s="475">
        <f t="shared" si="162"/>
        <v>170113</v>
      </c>
    </row>
    <row r="3913" spans="7:14" ht="11.25" customHeight="1" x14ac:dyDescent="0.3">
      <c r="G3913" s="470"/>
      <c r="H3913" s="470">
        <v>3906</v>
      </c>
      <c r="I3913" s="455">
        <f t="shared" ca="1" si="160"/>
        <v>2815764792952.8774</v>
      </c>
      <c r="J3913" s="455">
        <f t="array" ref="J3913">IFERROR(INDEX('Retirement Calculator'!K:K,MATCH('Lorri 401b'!N3913,'Retirement Calculator'!A:A,0),0),0)</f>
        <v>0</v>
      </c>
      <c r="K3913" s="455">
        <f t="shared" ca="1" si="158"/>
        <v>11732353303.970322</v>
      </c>
      <c r="L3913" s="455">
        <f t="shared" ca="1" si="159"/>
        <v>2827497146256.8477</v>
      </c>
      <c r="M3913" s="471">
        <f t="shared" si="161"/>
        <v>0.05</v>
      </c>
      <c r="N3913" s="475">
        <f t="shared" si="162"/>
        <v>170144</v>
      </c>
    </row>
    <row r="3914" spans="7:14" ht="11.25" customHeight="1" x14ac:dyDescent="0.3">
      <c r="G3914" s="470"/>
      <c r="H3914" s="470">
        <v>3907</v>
      </c>
      <c r="I3914" s="455">
        <f t="shared" ca="1" si="160"/>
        <v>2827497146256.8477</v>
      </c>
      <c r="J3914" s="455">
        <f t="array" ref="J3914">IFERROR(INDEX('Retirement Calculator'!K:K,MATCH('Lorri 401b'!N3914,'Retirement Calculator'!A:A,0),0),0)</f>
        <v>0</v>
      </c>
      <c r="K3914" s="455">
        <f t="shared" ca="1" si="158"/>
        <v>11781238109.403532</v>
      </c>
      <c r="L3914" s="455">
        <f t="shared" ca="1" si="159"/>
        <v>2839278384366.251</v>
      </c>
      <c r="M3914" s="471">
        <f t="shared" si="161"/>
        <v>0.05</v>
      </c>
      <c r="N3914" s="475">
        <f t="shared" si="162"/>
        <v>170174</v>
      </c>
    </row>
    <row r="3915" spans="7:14" ht="11.25" customHeight="1" x14ac:dyDescent="0.3">
      <c r="G3915" s="470"/>
      <c r="H3915" s="470">
        <v>3908</v>
      </c>
      <c r="I3915" s="455">
        <f t="shared" ca="1" si="160"/>
        <v>2839278384366.251</v>
      </c>
      <c r="J3915" s="455">
        <f t="array" ref="J3915">IFERROR(INDEX('Retirement Calculator'!K:K,MATCH('Lorri 401b'!N3915,'Retirement Calculator'!A:A,0),0),0)</f>
        <v>0</v>
      </c>
      <c r="K3915" s="455">
        <f t="shared" ca="1" si="158"/>
        <v>11830326601.526045</v>
      </c>
      <c r="L3915" s="455">
        <f t="shared" ca="1" si="159"/>
        <v>2851108710967.7769</v>
      </c>
      <c r="M3915" s="471">
        <f t="shared" si="161"/>
        <v>0.05</v>
      </c>
      <c r="N3915" s="475">
        <f t="shared" si="162"/>
        <v>170205</v>
      </c>
    </row>
    <row r="3916" spans="7:14" ht="11.25" customHeight="1" x14ac:dyDescent="0.3">
      <c r="G3916" s="470"/>
      <c r="H3916" s="470">
        <v>3909</v>
      </c>
      <c r="I3916" s="455">
        <f t="shared" ca="1" si="160"/>
        <v>2851108710967.7769</v>
      </c>
      <c r="J3916" s="455">
        <f t="array" ref="J3916">IFERROR(INDEX('Retirement Calculator'!K:K,MATCH('Lorri 401b'!N3916,'Retirement Calculator'!A:A,0),0),0)</f>
        <v>0</v>
      </c>
      <c r="K3916" s="455">
        <f t="shared" ca="1" si="158"/>
        <v>11879619629.032404</v>
      </c>
      <c r="L3916" s="455">
        <f t="shared" ca="1" si="159"/>
        <v>2862988330596.8091</v>
      </c>
      <c r="M3916" s="471">
        <f t="shared" si="161"/>
        <v>0.05</v>
      </c>
      <c r="N3916" s="475">
        <f t="shared" si="162"/>
        <v>170236</v>
      </c>
    </row>
    <row r="3917" spans="7:14" ht="11.25" customHeight="1" x14ac:dyDescent="0.3">
      <c r="G3917" s="470"/>
      <c r="H3917" s="470">
        <v>3910</v>
      </c>
      <c r="I3917" s="455">
        <f t="shared" ca="1" si="160"/>
        <v>2862988330596.8091</v>
      </c>
      <c r="J3917" s="455">
        <f t="array" ref="J3917">IFERROR(INDEX('Retirement Calculator'!K:K,MATCH('Lorri 401b'!N3917,'Retirement Calculator'!A:A,0),0),0)</f>
        <v>0</v>
      </c>
      <c r="K3917" s="455">
        <f t="shared" ca="1" si="158"/>
        <v>11929118044.153372</v>
      </c>
      <c r="L3917" s="455">
        <f t="shared" ca="1" si="159"/>
        <v>2874917448640.9624</v>
      </c>
      <c r="M3917" s="471">
        <f t="shared" si="161"/>
        <v>0.05</v>
      </c>
      <c r="N3917" s="475">
        <f t="shared" si="162"/>
        <v>170264</v>
      </c>
    </row>
    <row r="3918" spans="7:14" ht="11.25" customHeight="1" x14ac:dyDescent="0.3">
      <c r="G3918" s="470"/>
      <c r="H3918" s="470">
        <v>3911</v>
      </c>
      <c r="I3918" s="455">
        <f t="shared" ca="1" si="160"/>
        <v>2874917448640.9624</v>
      </c>
      <c r="J3918" s="455">
        <f t="array" ref="J3918">IFERROR(INDEX('Retirement Calculator'!K:K,MATCH('Lorri 401b'!N3918,'Retirement Calculator'!A:A,0),0),0)</f>
        <v>0</v>
      </c>
      <c r="K3918" s="455">
        <f t="shared" ca="1" si="158"/>
        <v>11978822702.670677</v>
      </c>
      <c r="L3918" s="455">
        <f t="shared" ca="1" si="159"/>
        <v>2886896271343.6333</v>
      </c>
      <c r="M3918" s="471">
        <f t="shared" si="161"/>
        <v>0.05</v>
      </c>
      <c r="N3918" s="475">
        <f t="shared" si="162"/>
        <v>170295</v>
      </c>
    </row>
    <row r="3919" spans="7:14" ht="11.25" customHeight="1" x14ac:dyDescent="0.3">
      <c r="G3919" s="470"/>
      <c r="H3919" s="470">
        <v>3912</v>
      </c>
      <c r="I3919" s="455">
        <f t="shared" ca="1" si="160"/>
        <v>2886896271343.6333</v>
      </c>
      <c r="J3919" s="455">
        <f t="array" ref="J3919">IFERROR(INDEX('Retirement Calculator'!K:K,MATCH('Lorri 401b'!N3919,'Retirement Calculator'!A:A,0),0),0)</f>
        <v>0</v>
      </c>
      <c r="K3919" s="455">
        <f t="shared" ca="1" si="158"/>
        <v>12028734463.931805</v>
      </c>
      <c r="L3919" s="455">
        <f t="shared" ca="1" si="159"/>
        <v>2898925005807.5649</v>
      </c>
      <c r="M3919" s="471">
        <f t="shared" si="161"/>
        <v>0.05</v>
      </c>
      <c r="N3919" s="475">
        <f t="shared" si="162"/>
        <v>170325</v>
      </c>
    </row>
    <row r="3920" spans="7:14" ht="11.25" customHeight="1" x14ac:dyDescent="0.3">
      <c r="G3920" s="470"/>
      <c r="H3920" s="470">
        <v>3913</v>
      </c>
      <c r="I3920" s="455">
        <f t="shared" ca="1" si="160"/>
        <v>2898925005807.5649</v>
      </c>
      <c r="J3920" s="455">
        <f t="array" ref="J3920">IFERROR(INDEX('Retirement Calculator'!K:K,MATCH('Lorri 401b'!N3920,'Retirement Calculator'!A:A,0),0),0)</f>
        <v>0</v>
      </c>
      <c r="K3920" s="455">
        <f t="shared" ca="1" si="158"/>
        <v>12078854190.864853</v>
      </c>
      <c r="L3920" s="455">
        <f t="shared" ca="1" si="159"/>
        <v>2911003859998.4297</v>
      </c>
      <c r="M3920" s="471">
        <f t="shared" si="161"/>
        <v>0.05</v>
      </c>
      <c r="N3920" s="475">
        <f t="shared" si="162"/>
        <v>170356</v>
      </c>
    </row>
    <row r="3921" spans="7:14" ht="11.25" customHeight="1" x14ac:dyDescent="0.3">
      <c r="G3921" s="470"/>
      <c r="H3921" s="470">
        <v>3914</v>
      </c>
      <c r="I3921" s="455">
        <f t="shared" ca="1" si="160"/>
        <v>2911003859998.4297</v>
      </c>
      <c r="J3921" s="455">
        <f t="array" ref="J3921">IFERROR(INDEX('Retirement Calculator'!K:K,MATCH('Lorri 401b'!N3921,'Retirement Calculator'!A:A,0),0),0)</f>
        <v>0</v>
      </c>
      <c r="K3921" s="455">
        <f t="shared" ca="1" si="158"/>
        <v>12129182749.993458</v>
      </c>
      <c r="L3921" s="455">
        <f t="shared" ca="1" si="159"/>
        <v>2923133042748.4233</v>
      </c>
      <c r="M3921" s="471">
        <f t="shared" si="161"/>
        <v>0.05</v>
      </c>
      <c r="N3921" s="475">
        <f t="shared" si="162"/>
        <v>170386</v>
      </c>
    </row>
    <row r="3922" spans="7:14" ht="11.25" customHeight="1" x14ac:dyDescent="0.3">
      <c r="G3922" s="470"/>
      <c r="H3922" s="470">
        <v>3915</v>
      </c>
      <c r="I3922" s="455">
        <f t="shared" ca="1" si="160"/>
        <v>2923133042748.4233</v>
      </c>
      <c r="J3922" s="455">
        <f t="array" ref="J3922">IFERROR(INDEX('Retirement Calculator'!K:K,MATCH('Lorri 401b'!N3922,'Retirement Calculator'!A:A,0),0),0)</f>
        <v>0</v>
      </c>
      <c r="K3922" s="455">
        <f t="shared" ca="1" si="158"/>
        <v>12179721011.451763</v>
      </c>
      <c r="L3922" s="455">
        <f t="shared" ca="1" si="159"/>
        <v>2935312763759.875</v>
      </c>
      <c r="M3922" s="471">
        <f t="shared" si="161"/>
        <v>0.05</v>
      </c>
      <c r="N3922" s="475">
        <f t="shared" si="162"/>
        <v>170417</v>
      </c>
    </row>
    <row r="3923" spans="7:14" ht="11.25" customHeight="1" x14ac:dyDescent="0.3">
      <c r="G3923" s="470"/>
      <c r="H3923" s="470">
        <v>3916</v>
      </c>
      <c r="I3923" s="455">
        <f t="shared" ca="1" si="160"/>
        <v>2935312763759.875</v>
      </c>
      <c r="J3923" s="455">
        <f t="array" ref="J3923">IFERROR(INDEX('Retirement Calculator'!K:K,MATCH('Lorri 401b'!N3923,'Retirement Calculator'!A:A,0),0),0)</f>
        <v>0</v>
      </c>
      <c r="K3923" s="455">
        <f t="shared" ca="1" si="158"/>
        <v>12230469848.999479</v>
      </c>
      <c r="L3923" s="455">
        <f t="shared" ca="1" si="159"/>
        <v>2947543233608.8745</v>
      </c>
      <c r="M3923" s="471">
        <f t="shared" si="161"/>
        <v>0.05</v>
      </c>
      <c r="N3923" s="475">
        <f t="shared" si="162"/>
        <v>170448</v>
      </c>
    </row>
    <row r="3924" spans="7:14" ht="11.25" customHeight="1" x14ac:dyDescent="0.3">
      <c r="G3924" s="470"/>
      <c r="H3924" s="470">
        <v>3917</v>
      </c>
      <c r="I3924" s="455">
        <f t="shared" ca="1" si="160"/>
        <v>2947543233608.8745</v>
      </c>
      <c r="J3924" s="455">
        <f t="array" ref="J3924">IFERROR(INDEX('Retirement Calculator'!K:K,MATCH('Lorri 401b'!N3924,'Retirement Calculator'!A:A,0),0),0)</f>
        <v>0</v>
      </c>
      <c r="K3924" s="455">
        <f t="shared" ca="1" si="158"/>
        <v>12281430140.036978</v>
      </c>
      <c r="L3924" s="455">
        <f t="shared" ca="1" si="159"/>
        <v>2959824663748.9116</v>
      </c>
      <c r="M3924" s="471">
        <f t="shared" si="161"/>
        <v>0.05</v>
      </c>
      <c r="N3924" s="475">
        <f t="shared" si="162"/>
        <v>170478</v>
      </c>
    </row>
    <row r="3925" spans="7:14" ht="11.25" customHeight="1" x14ac:dyDescent="0.3">
      <c r="G3925" s="470"/>
      <c r="H3925" s="470">
        <v>3918</v>
      </c>
      <c r="I3925" s="455">
        <f t="shared" ca="1" si="160"/>
        <v>2959824663748.9116</v>
      </c>
      <c r="J3925" s="455">
        <f t="array" ref="J3925">IFERROR(INDEX('Retirement Calculator'!K:K,MATCH('Lorri 401b'!N3925,'Retirement Calculator'!A:A,0),0),0)</f>
        <v>0</v>
      </c>
      <c r="K3925" s="455">
        <f t="shared" ca="1" si="158"/>
        <v>12332602765.620464</v>
      </c>
      <c r="L3925" s="455">
        <f t="shared" ca="1" si="159"/>
        <v>2972157266514.5322</v>
      </c>
      <c r="M3925" s="471">
        <f t="shared" si="161"/>
        <v>0.05</v>
      </c>
      <c r="N3925" s="475">
        <f t="shared" si="162"/>
        <v>170509</v>
      </c>
    </row>
    <row r="3926" spans="7:14" ht="11.25" customHeight="1" x14ac:dyDescent="0.3">
      <c r="G3926" s="470"/>
      <c r="H3926" s="470">
        <v>3919</v>
      </c>
      <c r="I3926" s="455">
        <f t="shared" ca="1" si="160"/>
        <v>2972157266514.5322</v>
      </c>
      <c r="J3926" s="455">
        <f t="array" ref="J3926">IFERROR(INDEX('Retirement Calculator'!K:K,MATCH('Lorri 401b'!N3926,'Retirement Calculator'!A:A,0),0),0)</f>
        <v>0</v>
      </c>
      <c r="K3926" s="455">
        <f t="shared" ca="1" si="158"/>
        <v>12383988610.477217</v>
      </c>
      <c r="L3926" s="455">
        <f t="shared" ca="1" si="159"/>
        <v>2984541255125.0093</v>
      </c>
      <c r="M3926" s="471">
        <f t="shared" si="161"/>
        <v>0.05</v>
      </c>
      <c r="N3926" s="475">
        <f t="shared" si="162"/>
        <v>170539</v>
      </c>
    </row>
    <row r="3927" spans="7:14" ht="11.25" customHeight="1" x14ac:dyDescent="0.3">
      <c r="G3927" s="470"/>
      <c r="H3927" s="470">
        <v>3920</v>
      </c>
      <c r="I3927" s="455">
        <f t="shared" ca="1" si="160"/>
        <v>2984541255125.0093</v>
      </c>
      <c r="J3927" s="455">
        <f t="array" ref="J3927">IFERROR(INDEX('Retirement Calculator'!K:K,MATCH('Lorri 401b'!N3927,'Retirement Calculator'!A:A,0),0),0)</f>
        <v>0</v>
      </c>
      <c r="K3927" s="455">
        <f t="shared" ca="1" si="158"/>
        <v>12435588563.020872</v>
      </c>
      <c r="L3927" s="455">
        <f t="shared" ca="1" si="159"/>
        <v>2996976843688.0303</v>
      </c>
      <c r="M3927" s="471">
        <f t="shared" si="161"/>
        <v>0.05</v>
      </c>
      <c r="N3927" s="475">
        <f t="shared" si="162"/>
        <v>170570</v>
      </c>
    </row>
    <row r="3928" spans="7:14" ht="11.25" customHeight="1" x14ac:dyDescent="0.3">
      <c r="G3928" s="470"/>
      <c r="H3928" s="470">
        <v>3921</v>
      </c>
      <c r="I3928" s="455">
        <f t="shared" ca="1" si="160"/>
        <v>2996976843688.0303</v>
      </c>
      <c r="J3928" s="455">
        <f t="array" ref="J3928">IFERROR(INDEX('Retirement Calculator'!K:K,MATCH('Lorri 401b'!N3928,'Retirement Calculator'!A:A,0),0),0)</f>
        <v>0</v>
      </c>
      <c r="K3928" s="455">
        <f t="shared" ca="1" si="158"/>
        <v>12487403515.366793</v>
      </c>
      <c r="L3928" s="455">
        <f t="shared" ca="1" si="159"/>
        <v>3009464247203.397</v>
      </c>
      <c r="M3928" s="471">
        <f t="shared" si="161"/>
        <v>0.05</v>
      </c>
      <c r="N3928" s="475">
        <f t="shared" si="162"/>
        <v>170601</v>
      </c>
    </row>
    <row r="3929" spans="7:14" ht="11.25" customHeight="1" x14ac:dyDescent="0.3">
      <c r="G3929" s="470"/>
      <c r="H3929" s="470">
        <v>3922</v>
      </c>
      <c r="I3929" s="455">
        <f t="shared" ca="1" si="160"/>
        <v>3009464247203.397</v>
      </c>
      <c r="J3929" s="455">
        <f t="array" ref="J3929">IFERROR(INDEX('Retirement Calculator'!K:K,MATCH('Lorri 401b'!N3929,'Retirement Calculator'!A:A,0),0),0)</f>
        <v>0</v>
      </c>
      <c r="K3929" s="455">
        <f t="shared" ca="1" si="158"/>
        <v>12539434363.347486</v>
      </c>
      <c r="L3929" s="455">
        <f t="shared" ca="1" si="159"/>
        <v>3022003681566.7446</v>
      </c>
      <c r="M3929" s="471">
        <f t="shared" si="161"/>
        <v>0.05</v>
      </c>
      <c r="N3929" s="475">
        <f t="shared" si="162"/>
        <v>170629</v>
      </c>
    </row>
    <row r="3930" spans="7:14" ht="11.25" customHeight="1" x14ac:dyDescent="0.3">
      <c r="G3930" s="470"/>
      <c r="H3930" s="470">
        <v>3923</v>
      </c>
      <c r="I3930" s="455">
        <f t="shared" ca="1" si="160"/>
        <v>3022003681566.7446</v>
      </c>
      <c r="J3930" s="455">
        <f t="array" ref="J3930">IFERROR(INDEX('Retirement Calculator'!K:K,MATCH('Lorri 401b'!N3930,'Retirement Calculator'!A:A,0),0),0)</f>
        <v>0</v>
      </c>
      <c r="K3930" s="455">
        <f t="shared" ca="1" si="158"/>
        <v>12591682006.528103</v>
      </c>
      <c r="L3930" s="455">
        <f t="shared" ca="1" si="159"/>
        <v>3034595363573.2729</v>
      </c>
      <c r="M3930" s="471">
        <f t="shared" si="161"/>
        <v>0.05</v>
      </c>
      <c r="N3930" s="475">
        <f t="shared" si="162"/>
        <v>170660</v>
      </c>
    </row>
    <row r="3931" spans="7:14" ht="11.25" customHeight="1" x14ac:dyDescent="0.3">
      <c r="G3931" s="470"/>
      <c r="H3931" s="470">
        <v>3924</v>
      </c>
      <c r="I3931" s="455">
        <f t="shared" ca="1" si="160"/>
        <v>3034595363573.2729</v>
      </c>
      <c r="J3931" s="455">
        <f t="array" ref="J3931">IFERROR(INDEX('Retirement Calculator'!K:K,MATCH('Lorri 401b'!N3931,'Retirement Calculator'!A:A,0),0),0)</f>
        <v>0</v>
      </c>
      <c r="K3931" s="455">
        <f t="shared" ca="1" si="158"/>
        <v>12644147348.22197</v>
      </c>
      <c r="L3931" s="455">
        <f t="shared" ca="1" si="159"/>
        <v>3047239510921.4951</v>
      </c>
      <c r="M3931" s="471">
        <f t="shared" si="161"/>
        <v>0.05</v>
      </c>
      <c r="N3931" s="475">
        <f t="shared" si="162"/>
        <v>170690</v>
      </c>
    </row>
    <row r="3932" spans="7:14" ht="11.25" customHeight="1" x14ac:dyDescent="0.3">
      <c r="G3932" s="470"/>
      <c r="H3932" s="470">
        <v>3925</v>
      </c>
      <c r="I3932" s="455">
        <f t="shared" ca="1" si="160"/>
        <v>3047239510921.4951</v>
      </c>
      <c r="J3932" s="455">
        <f t="array" ref="J3932">IFERROR(INDEX('Retirement Calculator'!K:K,MATCH('Lorri 401b'!N3932,'Retirement Calculator'!A:A,0),0),0)</f>
        <v>0</v>
      </c>
      <c r="K3932" s="455">
        <f t="shared" ca="1" si="158"/>
        <v>12696831295.506229</v>
      </c>
      <c r="L3932" s="455">
        <f t="shared" ca="1" si="159"/>
        <v>3059936342217.0015</v>
      </c>
      <c r="M3932" s="471">
        <f t="shared" si="161"/>
        <v>0.05</v>
      </c>
      <c r="N3932" s="475">
        <f t="shared" si="162"/>
        <v>170721</v>
      </c>
    </row>
    <row r="3933" spans="7:14" ht="11.25" customHeight="1" x14ac:dyDescent="0.3">
      <c r="G3933" s="470"/>
      <c r="H3933" s="470">
        <v>3926</v>
      </c>
      <c r="I3933" s="455">
        <f t="shared" ca="1" si="160"/>
        <v>3059936342217.0015</v>
      </c>
      <c r="J3933" s="455">
        <f t="array" ref="J3933">IFERROR(INDEX('Retirement Calculator'!K:K,MATCH('Lorri 401b'!N3933,'Retirement Calculator'!A:A,0),0),0)</f>
        <v>0</v>
      </c>
      <c r="K3933" s="455">
        <f t="shared" ca="1" si="158"/>
        <v>12749734759.237507</v>
      </c>
      <c r="L3933" s="455">
        <f t="shared" ca="1" si="159"/>
        <v>3072686076976.2388</v>
      </c>
      <c r="M3933" s="471">
        <f t="shared" si="161"/>
        <v>0.05</v>
      </c>
      <c r="N3933" s="475">
        <f t="shared" si="162"/>
        <v>170751</v>
      </c>
    </row>
    <row r="3934" spans="7:14" ht="11.25" customHeight="1" x14ac:dyDescent="0.3">
      <c r="G3934" s="470"/>
      <c r="H3934" s="470">
        <v>3927</v>
      </c>
      <c r="I3934" s="455">
        <f t="shared" ca="1" si="160"/>
        <v>3072686076976.2388</v>
      </c>
      <c r="J3934" s="455">
        <f t="array" ref="J3934">IFERROR(INDEX('Retirement Calculator'!K:K,MATCH('Lorri 401b'!N3934,'Retirement Calculator'!A:A,0),0),0)</f>
        <v>0</v>
      </c>
      <c r="K3934" s="455">
        <f t="shared" ca="1" si="158"/>
        <v>12802858654.067661</v>
      </c>
      <c r="L3934" s="455">
        <f t="shared" ca="1" si="159"/>
        <v>3085488935630.3066</v>
      </c>
      <c r="M3934" s="471">
        <f t="shared" si="161"/>
        <v>0.05</v>
      </c>
      <c r="N3934" s="475">
        <f t="shared" si="162"/>
        <v>170782</v>
      </c>
    </row>
    <row r="3935" spans="7:14" ht="11.25" customHeight="1" x14ac:dyDescent="0.3">
      <c r="G3935" s="470"/>
      <c r="H3935" s="470">
        <v>3928</v>
      </c>
      <c r="I3935" s="455">
        <f t="shared" ca="1" si="160"/>
        <v>3085488935630.3066</v>
      </c>
      <c r="J3935" s="455">
        <f t="array" ref="J3935">IFERROR(INDEX('Retirement Calculator'!K:K,MATCH('Lorri 401b'!N3935,'Retirement Calculator'!A:A,0),0),0)</f>
        <v>0</v>
      </c>
      <c r="K3935" s="455">
        <f t="shared" ca="1" si="158"/>
        <v>12856203898.45961</v>
      </c>
      <c r="L3935" s="455">
        <f t="shared" ca="1" si="159"/>
        <v>3098345139528.7661</v>
      </c>
      <c r="M3935" s="471">
        <f t="shared" si="161"/>
        <v>0.05</v>
      </c>
      <c r="N3935" s="475">
        <f t="shared" si="162"/>
        <v>170813</v>
      </c>
    </row>
    <row r="3936" spans="7:14" ht="11.25" customHeight="1" x14ac:dyDescent="0.3">
      <c r="G3936" s="470"/>
      <c r="H3936" s="470">
        <v>3929</v>
      </c>
      <c r="I3936" s="455">
        <f t="shared" ca="1" si="160"/>
        <v>3098345139528.7661</v>
      </c>
      <c r="J3936" s="455">
        <f t="array" ref="J3936">IFERROR(INDEX('Retirement Calculator'!K:K,MATCH('Lorri 401b'!N3936,'Retirement Calculator'!A:A,0),0),0)</f>
        <v>0</v>
      </c>
      <c r="K3936" s="455">
        <f t="shared" ca="1" si="158"/>
        <v>12909771414.703192</v>
      </c>
      <c r="L3936" s="455">
        <f t="shared" ca="1" si="159"/>
        <v>3111254910943.4692</v>
      </c>
      <c r="M3936" s="471">
        <f t="shared" si="161"/>
        <v>0.05</v>
      </c>
      <c r="N3936" s="475">
        <f t="shared" si="162"/>
        <v>170843</v>
      </c>
    </row>
    <row r="3937" spans="7:14" ht="11.25" customHeight="1" x14ac:dyDescent="0.3">
      <c r="G3937" s="470"/>
      <c r="H3937" s="470">
        <v>3930</v>
      </c>
      <c r="I3937" s="455">
        <f t="shared" ca="1" si="160"/>
        <v>3111254910943.4692</v>
      </c>
      <c r="J3937" s="455">
        <f t="array" ref="J3937">IFERROR(INDEX('Retirement Calculator'!K:K,MATCH('Lorri 401b'!N3937,'Retirement Calculator'!A:A,0),0),0)</f>
        <v>0</v>
      </c>
      <c r="K3937" s="455">
        <f t="shared" ca="1" si="158"/>
        <v>12963562128.931122</v>
      </c>
      <c r="L3937" s="455">
        <f t="shared" ca="1" si="159"/>
        <v>3124218473072.4004</v>
      </c>
      <c r="M3937" s="471">
        <f t="shared" si="161"/>
        <v>0.05</v>
      </c>
      <c r="N3937" s="475">
        <f t="shared" si="162"/>
        <v>170874</v>
      </c>
    </row>
    <row r="3938" spans="7:14" ht="11.25" customHeight="1" x14ac:dyDescent="0.3">
      <c r="G3938" s="470"/>
      <c r="H3938" s="470">
        <v>3931</v>
      </c>
      <c r="I3938" s="455">
        <f t="shared" ca="1" si="160"/>
        <v>3124218473072.4004</v>
      </c>
      <c r="J3938" s="455">
        <f t="array" ref="J3938">IFERROR(INDEX('Retirement Calculator'!K:K,MATCH('Lorri 401b'!N3938,'Retirement Calculator'!A:A,0),0),0)</f>
        <v>0</v>
      </c>
      <c r="K3938" s="455">
        <f t="shared" ca="1" si="158"/>
        <v>13017576971.135002</v>
      </c>
      <c r="L3938" s="455">
        <f t="shared" ca="1" si="159"/>
        <v>3137236050043.5352</v>
      </c>
      <c r="M3938" s="471">
        <f t="shared" si="161"/>
        <v>0.05</v>
      </c>
      <c r="N3938" s="475">
        <f t="shared" si="162"/>
        <v>170904</v>
      </c>
    </row>
    <row r="3939" spans="7:14" ht="11.25" customHeight="1" x14ac:dyDescent="0.3">
      <c r="G3939" s="470"/>
      <c r="H3939" s="470">
        <v>3932</v>
      </c>
      <c r="I3939" s="455">
        <f t="shared" ca="1" si="160"/>
        <v>3137236050043.5352</v>
      </c>
      <c r="J3939" s="455">
        <f t="array" ref="J3939">IFERROR(INDEX('Retirement Calculator'!K:K,MATCH('Lorri 401b'!N3939,'Retirement Calculator'!A:A,0),0),0)</f>
        <v>0</v>
      </c>
      <c r="K3939" s="455">
        <f t="shared" ca="1" si="158"/>
        <v>13071816875.181396</v>
      </c>
      <c r="L3939" s="455">
        <f t="shared" ca="1" si="159"/>
        <v>3150307866918.7168</v>
      </c>
      <c r="M3939" s="471">
        <f t="shared" si="161"/>
        <v>0.05</v>
      </c>
      <c r="N3939" s="475">
        <f t="shared" si="162"/>
        <v>170935</v>
      </c>
    </row>
    <row r="3940" spans="7:14" ht="11.25" customHeight="1" x14ac:dyDescent="0.3">
      <c r="G3940" s="470"/>
      <c r="H3940" s="470">
        <v>3933</v>
      </c>
      <c r="I3940" s="455">
        <f t="shared" ca="1" si="160"/>
        <v>3150307866918.7168</v>
      </c>
      <c r="J3940" s="455">
        <f t="array" ref="J3940">IFERROR(INDEX('Retirement Calculator'!K:K,MATCH('Lorri 401b'!N3940,'Retirement Calculator'!A:A,0),0),0)</f>
        <v>0</v>
      </c>
      <c r="K3940" s="455">
        <f t="shared" ca="1" si="158"/>
        <v>13126282778.827986</v>
      </c>
      <c r="L3940" s="455">
        <f t="shared" ca="1" si="159"/>
        <v>3163434149697.5449</v>
      </c>
      <c r="M3940" s="471">
        <f t="shared" si="161"/>
        <v>0.05</v>
      </c>
      <c r="N3940" s="475">
        <f t="shared" si="162"/>
        <v>170966</v>
      </c>
    </row>
    <row r="3941" spans="7:14" ht="11.25" customHeight="1" x14ac:dyDescent="0.3">
      <c r="G3941" s="470"/>
      <c r="H3941" s="470">
        <v>3934</v>
      </c>
      <c r="I3941" s="455">
        <f t="shared" ca="1" si="160"/>
        <v>3163434149697.5449</v>
      </c>
      <c r="J3941" s="455">
        <f t="array" ref="J3941">IFERROR(INDEX('Retirement Calculator'!K:K,MATCH('Lorri 401b'!N3941,'Retirement Calculator'!A:A,0),0),0)</f>
        <v>0</v>
      </c>
      <c r="K3941" s="455">
        <f t="shared" ca="1" si="158"/>
        <v>13180975623.739771</v>
      </c>
      <c r="L3941" s="455">
        <f t="shared" ca="1" si="159"/>
        <v>3176615125321.2847</v>
      </c>
      <c r="M3941" s="471">
        <f t="shared" si="161"/>
        <v>0.05</v>
      </c>
      <c r="N3941" s="475">
        <f t="shared" si="162"/>
        <v>170995</v>
      </c>
    </row>
    <row r="3942" spans="7:14" ht="11.25" customHeight="1" x14ac:dyDescent="0.3">
      <c r="G3942" s="470"/>
      <c r="H3942" s="470">
        <v>3935</v>
      </c>
      <c r="I3942" s="455">
        <f t="shared" ca="1" si="160"/>
        <v>3176615125321.2847</v>
      </c>
      <c r="J3942" s="455">
        <f t="array" ref="J3942">IFERROR(INDEX('Retirement Calculator'!K:K,MATCH('Lorri 401b'!N3942,'Retirement Calculator'!A:A,0),0),0)</f>
        <v>0</v>
      </c>
      <c r="K3942" s="455">
        <f t="shared" ca="1" si="158"/>
        <v>13235896355.505352</v>
      </c>
      <c r="L3942" s="455">
        <f t="shared" ca="1" si="159"/>
        <v>3189851021676.79</v>
      </c>
      <c r="M3942" s="471">
        <f t="shared" si="161"/>
        <v>0.05</v>
      </c>
      <c r="N3942" s="475">
        <f t="shared" si="162"/>
        <v>171026</v>
      </c>
    </row>
    <row r="3943" spans="7:14" ht="11.25" customHeight="1" x14ac:dyDescent="0.3">
      <c r="G3943" s="470"/>
      <c r="H3943" s="470">
        <v>3936</v>
      </c>
      <c r="I3943" s="455">
        <f t="shared" ca="1" si="160"/>
        <v>3189851021676.79</v>
      </c>
      <c r="J3943" s="455">
        <f t="array" ref="J3943">IFERROR(INDEX('Retirement Calculator'!K:K,MATCH('Lorri 401b'!N3943,'Retirement Calculator'!A:A,0),0),0)</f>
        <v>0</v>
      </c>
      <c r="K3943" s="455">
        <f t="shared" ca="1" si="158"/>
        <v>13291045923.653292</v>
      </c>
      <c r="L3943" s="455">
        <f t="shared" ca="1" si="159"/>
        <v>3203142067600.4434</v>
      </c>
      <c r="M3943" s="471">
        <f t="shared" si="161"/>
        <v>0.05</v>
      </c>
      <c r="N3943" s="475">
        <f t="shared" si="162"/>
        <v>171056</v>
      </c>
    </row>
    <row r="3944" spans="7:14" ht="11.25" customHeight="1" x14ac:dyDescent="0.3">
      <c r="G3944" s="470"/>
      <c r="H3944" s="470">
        <v>3937</v>
      </c>
      <c r="I3944" s="455">
        <f t="shared" ca="1" si="160"/>
        <v>3203142067600.4434</v>
      </c>
      <c r="J3944" s="455">
        <f t="array" ref="J3944">IFERROR(INDEX('Retirement Calculator'!K:K,MATCH('Lorri 401b'!N3944,'Retirement Calculator'!A:A,0),0),0)</f>
        <v>0</v>
      </c>
      <c r="K3944" s="455">
        <f t="shared" ca="1" si="158"/>
        <v>13346425281.668514</v>
      </c>
      <c r="L3944" s="455">
        <f t="shared" ca="1" si="159"/>
        <v>3216488492882.1118</v>
      </c>
      <c r="M3944" s="471">
        <f t="shared" si="161"/>
        <v>0.05</v>
      </c>
      <c r="N3944" s="475">
        <f t="shared" si="162"/>
        <v>171087</v>
      </c>
    </row>
    <row r="3945" spans="7:14" ht="11.25" customHeight="1" x14ac:dyDescent="0.3">
      <c r="G3945" s="470"/>
      <c r="H3945" s="470">
        <v>3938</v>
      </c>
      <c r="I3945" s="455">
        <f t="shared" ca="1" si="160"/>
        <v>3216488492882.1118</v>
      </c>
      <c r="J3945" s="455">
        <f t="array" ref="J3945">IFERROR(INDEX('Retirement Calculator'!K:K,MATCH('Lorri 401b'!N3945,'Retirement Calculator'!A:A,0),0),0)</f>
        <v>0</v>
      </c>
      <c r="K3945" s="455">
        <f t="shared" ca="1" si="158"/>
        <v>13402035387.008799</v>
      </c>
      <c r="L3945" s="455">
        <f t="shared" ca="1" si="159"/>
        <v>3229890528269.1206</v>
      </c>
      <c r="M3945" s="471">
        <f t="shared" si="161"/>
        <v>0.05</v>
      </c>
      <c r="N3945" s="475">
        <f t="shared" si="162"/>
        <v>171117</v>
      </c>
    </row>
    <row r="3946" spans="7:14" ht="11.25" customHeight="1" x14ac:dyDescent="0.3">
      <c r="G3946" s="470"/>
      <c r="H3946" s="470">
        <v>3939</v>
      </c>
      <c r="I3946" s="455">
        <f t="shared" ca="1" si="160"/>
        <v>3229890528269.1206</v>
      </c>
      <c r="J3946" s="455">
        <f t="array" ref="J3946">IFERROR(INDEX('Retirement Calculator'!K:K,MATCH('Lorri 401b'!N3946,'Retirement Calculator'!A:A,0),0),0)</f>
        <v>0</v>
      </c>
      <c r="K3946" s="455">
        <f t="shared" ca="1" si="158"/>
        <v>13457877201.121336</v>
      </c>
      <c r="L3946" s="455">
        <f t="shared" ca="1" si="159"/>
        <v>3243348405470.2417</v>
      </c>
      <c r="M3946" s="471">
        <f t="shared" si="161"/>
        <v>0.05</v>
      </c>
      <c r="N3946" s="475">
        <f t="shared" si="162"/>
        <v>171148</v>
      </c>
    </row>
    <row r="3947" spans="7:14" ht="11.25" customHeight="1" x14ac:dyDescent="0.3">
      <c r="G3947" s="470"/>
      <c r="H3947" s="470">
        <v>3940</v>
      </c>
      <c r="I3947" s="455">
        <f t="shared" ca="1" si="160"/>
        <v>3243348405470.2417</v>
      </c>
      <c r="J3947" s="455">
        <f t="array" ref="J3947">IFERROR(INDEX('Retirement Calculator'!K:K,MATCH('Lorri 401b'!N3947,'Retirement Calculator'!A:A,0),0),0)</f>
        <v>0</v>
      </c>
      <c r="K3947" s="455">
        <f t="shared" ca="1" si="158"/>
        <v>13513951689.459341</v>
      </c>
      <c r="L3947" s="455">
        <f t="shared" ca="1" si="159"/>
        <v>3256862357159.7012</v>
      </c>
      <c r="M3947" s="471">
        <f t="shared" si="161"/>
        <v>0.05</v>
      </c>
      <c r="N3947" s="475">
        <f t="shared" si="162"/>
        <v>171179</v>
      </c>
    </row>
    <row r="3948" spans="7:14" ht="11.25" customHeight="1" x14ac:dyDescent="0.3">
      <c r="G3948" s="470"/>
      <c r="H3948" s="470">
        <v>3941</v>
      </c>
      <c r="I3948" s="455">
        <f t="shared" ca="1" si="160"/>
        <v>3256862357159.7012</v>
      </c>
      <c r="J3948" s="455">
        <f t="array" ref="J3948">IFERROR(INDEX('Retirement Calculator'!K:K,MATCH('Lorri 401b'!N3948,'Retirement Calculator'!A:A,0),0),0)</f>
        <v>0</v>
      </c>
      <c r="K3948" s="455">
        <f t="shared" ca="1" si="158"/>
        <v>13570259821.498755</v>
      </c>
      <c r="L3948" s="455">
        <f t="shared" ca="1" si="159"/>
        <v>3270432616981.1997</v>
      </c>
      <c r="M3948" s="471">
        <f t="shared" si="161"/>
        <v>0.05</v>
      </c>
      <c r="N3948" s="475">
        <f t="shared" si="162"/>
        <v>171209</v>
      </c>
    </row>
    <row r="3949" spans="7:14" ht="11.25" customHeight="1" x14ac:dyDescent="0.3">
      <c r="G3949" s="470"/>
      <c r="H3949" s="470">
        <v>3942</v>
      </c>
      <c r="I3949" s="455">
        <f t="shared" ca="1" si="160"/>
        <v>3270432616981.1997</v>
      </c>
      <c r="J3949" s="455">
        <f t="array" ref="J3949">IFERROR(INDEX('Retirement Calculator'!K:K,MATCH('Lorri 401b'!N3949,'Retirement Calculator'!A:A,0),0),0)</f>
        <v>0</v>
      </c>
      <c r="K3949" s="455">
        <f t="shared" ca="1" si="158"/>
        <v>13626802570.754999</v>
      </c>
      <c r="L3949" s="455">
        <f t="shared" ca="1" si="159"/>
        <v>3284059419551.9546</v>
      </c>
      <c r="M3949" s="471">
        <f t="shared" si="161"/>
        <v>0.05</v>
      </c>
      <c r="N3949" s="475">
        <f t="shared" si="162"/>
        <v>171240</v>
      </c>
    </row>
    <row r="3950" spans="7:14" ht="11.25" customHeight="1" x14ac:dyDescent="0.3">
      <c r="G3950" s="470"/>
      <c r="H3950" s="470">
        <v>3943</v>
      </c>
      <c r="I3950" s="455">
        <f t="shared" ca="1" si="160"/>
        <v>3284059419551.9546</v>
      </c>
      <c r="J3950" s="455">
        <f t="array" ref="J3950">IFERROR(INDEX('Retirement Calculator'!K:K,MATCH('Lorri 401b'!N3950,'Retirement Calculator'!A:A,0),0),0)</f>
        <v>0</v>
      </c>
      <c r="K3950" s="455">
        <f t="shared" ca="1" si="158"/>
        <v>13683580914.79981</v>
      </c>
      <c r="L3950" s="455">
        <f t="shared" ca="1" si="159"/>
        <v>3297743000466.7544</v>
      </c>
      <c r="M3950" s="471">
        <f t="shared" si="161"/>
        <v>0.05</v>
      </c>
      <c r="N3950" s="475">
        <f t="shared" si="162"/>
        <v>171270</v>
      </c>
    </row>
    <row r="3951" spans="7:14" ht="11.25" customHeight="1" x14ac:dyDescent="0.3">
      <c r="G3951" s="470"/>
      <c r="H3951" s="470">
        <v>3944</v>
      </c>
      <c r="I3951" s="455">
        <f t="shared" ca="1" si="160"/>
        <v>3297743000466.7544</v>
      </c>
      <c r="J3951" s="455">
        <f t="array" ref="J3951">IFERROR(INDEX('Retirement Calculator'!K:K,MATCH('Lorri 401b'!N3951,'Retirement Calculator'!A:A,0),0),0)</f>
        <v>0</v>
      </c>
      <c r="K3951" s="455">
        <f t="shared" ca="1" si="158"/>
        <v>13740595835.278143</v>
      </c>
      <c r="L3951" s="455">
        <f t="shared" ca="1" si="159"/>
        <v>3311483596302.0327</v>
      </c>
      <c r="M3951" s="471">
        <f t="shared" si="161"/>
        <v>0.05</v>
      </c>
      <c r="N3951" s="475">
        <f t="shared" si="162"/>
        <v>171301</v>
      </c>
    </row>
    <row r="3952" spans="7:14" ht="11.25" customHeight="1" x14ac:dyDescent="0.3">
      <c r="G3952" s="470"/>
      <c r="H3952" s="470">
        <v>3945</v>
      </c>
      <c r="I3952" s="455">
        <f t="shared" ca="1" si="160"/>
        <v>3311483596302.0327</v>
      </c>
      <c r="J3952" s="455">
        <f t="array" ref="J3952">IFERROR(INDEX('Retirement Calculator'!K:K,MATCH('Lorri 401b'!N3952,'Retirement Calculator'!A:A,0),0),0)</f>
        <v>0</v>
      </c>
      <c r="K3952" s="455">
        <f t="shared" ca="1" si="158"/>
        <v>13797848317.925137</v>
      </c>
      <c r="L3952" s="455">
        <f t="shared" ca="1" si="159"/>
        <v>3325281444619.958</v>
      </c>
      <c r="M3952" s="471">
        <f t="shared" si="161"/>
        <v>0.05</v>
      </c>
      <c r="N3952" s="475">
        <f t="shared" si="162"/>
        <v>171332</v>
      </c>
    </row>
    <row r="3953" spans="7:14" ht="11.25" customHeight="1" x14ac:dyDescent="0.3">
      <c r="G3953" s="470"/>
      <c r="H3953" s="470">
        <v>3946</v>
      </c>
      <c r="I3953" s="455">
        <f t="shared" ca="1" si="160"/>
        <v>3325281444619.958</v>
      </c>
      <c r="J3953" s="455">
        <f t="array" ref="J3953">IFERROR(INDEX('Retirement Calculator'!K:K,MATCH('Lorri 401b'!N3953,'Retirement Calculator'!A:A,0),0),0)</f>
        <v>0</v>
      </c>
      <c r="K3953" s="455">
        <f t="shared" ca="1" si="158"/>
        <v>13855339352.583158</v>
      </c>
      <c r="L3953" s="455">
        <f t="shared" ca="1" si="159"/>
        <v>3339136783972.541</v>
      </c>
      <c r="M3953" s="471">
        <f t="shared" si="161"/>
        <v>0.05</v>
      </c>
      <c r="N3953" s="475">
        <f t="shared" si="162"/>
        <v>171360</v>
      </c>
    </row>
    <row r="3954" spans="7:14" ht="11.25" customHeight="1" x14ac:dyDescent="0.3">
      <c r="G3954" s="470"/>
      <c r="H3954" s="470">
        <v>3947</v>
      </c>
      <c r="I3954" s="455">
        <f t="shared" ca="1" si="160"/>
        <v>3339136783972.541</v>
      </c>
      <c r="J3954" s="455">
        <f t="array" ref="J3954">IFERROR(INDEX('Retirement Calculator'!K:K,MATCH('Lorri 401b'!N3954,'Retirement Calculator'!A:A,0),0),0)</f>
        <v>0</v>
      </c>
      <c r="K3954" s="455">
        <f t="shared" ca="1" si="158"/>
        <v>13913069933.21892</v>
      </c>
      <c r="L3954" s="455">
        <f t="shared" ca="1" si="159"/>
        <v>3353049853905.7598</v>
      </c>
      <c r="M3954" s="471">
        <f t="shared" si="161"/>
        <v>0.05</v>
      </c>
      <c r="N3954" s="475">
        <f t="shared" si="162"/>
        <v>171391</v>
      </c>
    </row>
    <row r="3955" spans="7:14" ht="11.25" customHeight="1" x14ac:dyDescent="0.3">
      <c r="G3955" s="470"/>
      <c r="H3955" s="470">
        <v>3948</v>
      </c>
      <c r="I3955" s="455">
        <f t="shared" ca="1" si="160"/>
        <v>3353049853905.7598</v>
      </c>
      <c r="J3955" s="455">
        <f t="array" ref="J3955">IFERROR(INDEX('Retirement Calculator'!K:K,MATCH('Lorri 401b'!N3955,'Retirement Calculator'!A:A,0),0),0)</f>
        <v>0</v>
      </c>
      <c r="K3955" s="455">
        <f t="shared" ca="1" si="158"/>
        <v>13971041057.940666</v>
      </c>
      <c r="L3955" s="455">
        <f t="shared" ca="1" si="159"/>
        <v>3367020894963.7002</v>
      </c>
      <c r="M3955" s="471">
        <f t="shared" si="161"/>
        <v>0.05</v>
      </c>
      <c r="N3955" s="475">
        <f t="shared" si="162"/>
        <v>171421</v>
      </c>
    </row>
    <row r="3956" spans="7:14" ht="11.25" customHeight="1" x14ac:dyDescent="0.3">
      <c r="G3956" s="470"/>
      <c r="H3956" s="470">
        <v>3949</v>
      </c>
      <c r="I3956" s="455">
        <f t="shared" ca="1" si="160"/>
        <v>3367020894963.7002</v>
      </c>
      <c r="J3956" s="455">
        <f t="array" ref="J3956">IFERROR(INDEX('Retirement Calculator'!K:K,MATCH('Lorri 401b'!N3956,'Retirement Calculator'!A:A,0),0),0)</f>
        <v>0</v>
      </c>
      <c r="K3956" s="455">
        <f t="shared" ca="1" si="158"/>
        <v>14029253729.015417</v>
      </c>
      <c r="L3956" s="455">
        <f t="shared" ca="1" si="159"/>
        <v>3381050148692.7158</v>
      </c>
      <c r="M3956" s="471">
        <f t="shared" si="161"/>
        <v>0.05</v>
      </c>
      <c r="N3956" s="475">
        <f t="shared" si="162"/>
        <v>171452</v>
      </c>
    </row>
    <row r="3957" spans="7:14" ht="11.25" customHeight="1" x14ac:dyDescent="0.3">
      <c r="G3957" s="470"/>
      <c r="H3957" s="470">
        <v>3950</v>
      </c>
      <c r="I3957" s="455">
        <f t="shared" ca="1" si="160"/>
        <v>3381050148692.7158</v>
      </c>
      <c r="J3957" s="455">
        <f t="array" ref="J3957">IFERROR(INDEX('Retirement Calculator'!K:K,MATCH('Lorri 401b'!N3957,'Retirement Calculator'!A:A,0),0),0)</f>
        <v>0</v>
      </c>
      <c r="K3957" s="455">
        <f t="shared" ca="1" si="158"/>
        <v>14087708952.886316</v>
      </c>
      <c r="L3957" s="455">
        <f t="shared" ca="1" si="159"/>
        <v>3395137857645.6021</v>
      </c>
      <c r="M3957" s="471">
        <f t="shared" si="161"/>
        <v>0.05</v>
      </c>
      <c r="N3957" s="475">
        <f t="shared" si="162"/>
        <v>171482</v>
      </c>
    </row>
    <row r="3958" spans="7:14" ht="11.25" customHeight="1" x14ac:dyDescent="0.3">
      <c r="G3958" s="470"/>
      <c r="H3958" s="470">
        <v>3951</v>
      </c>
      <c r="I3958" s="455">
        <f t="shared" ca="1" si="160"/>
        <v>3395137857645.6021</v>
      </c>
      <c r="J3958" s="455">
        <f t="array" ref="J3958">IFERROR(INDEX('Retirement Calculator'!K:K,MATCH('Lorri 401b'!N3958,'Retirement Calculator'!A:A,0),0),0)</f>
        <v>0</v>
      </c>
      <c r="K3958" s="455">
        <f t="shared" ca="1" si="158"/>
        <v>14146407740.190008</v>
      </c>
      <c r="L3958" s="455">
        <f t="shared" ca="1" si="159"/>
        <v>3409284265385.792</v>
      </c>
      <c r="M3958" s="471">
        <f t="shared" si="161"/>
        <v>0.05</v>
      </c>
      <c r="N3958" s="475">
        <f t="shared" si="162"/>
        <v>171513</v>
      </c>
    </row>
    <row r="3959" spans="7:14" ht="11.25" customHeight="1" x14ac:dyDescent="0.3">
      <c r="G3959" s="470"/>
      <c r="H3959" s="470">
        <v>3952</v>
      </c>
      <c r="I3959" s="455">
        <f t="shared" ca="1" si="160"/>
        <v>3409284265385.792</v>
      </c>
      <c r="J3959" s="455">
        <f t="array" ref="J3959">IFERROR(INDEX('Retirement Calculator'!K:K,MATCH('Lorri 401b'!N3959,'Retirement Calculator'!A:A,0),0),0)</f>
        <v>0</v>
      </c>
      <c r="K3959" s="455">
        <f t="shared" ca="1" si="158"/>
        <v>14205351105.774134</v>
      </c>
      <c r="L3959" s="455">
        <f t="shared" ca="1" si="159"/>
        <v>3423489616491.5659</v>
      </c>
      <c r="M3959" s="471">
        <f t="shared" si="161"/>
        <v>0.05</v>
      </c>
      <c r="N3959" s="475">
        <f t="shared" si="162"/>
        <v>171544</v>
      </c>
    </row>
    <row r="3960" spans="7:14" ht="11.25" customHeight="1" x14ac:dyDescent="0.3">
      <c r="G3960" s="470"/>
      <c r="H3960" s="470">
        <v>3953</v>
      </c>
      <c r="I3960" s="455">
        <f t="shared" ca="1" si="160"/>
        <v>3423489616491.5659</v>
      </c>
      <c r="J3960" s="455">
        <f t="array" ref="J3960">IFERROR(INDEX('Retirement Calculator'!K:K,MATCH('Lorri 401b'!N3960,'Retirement Calculator'!A:A,0),0),0)</f>
        <v>0</v>
      </c>
      <c r="K3960" s="455">
        <f t="shared" ca="1" si="158"/>
        <v>14264540068.714857</v>
      </c>
      <c r="L3960" s="455">
        <f t="shared" ca="1" si="159"/>
        <v>3437754156560.2808</v>
      </c>
      <c r="M3960" s="471">
        <f t="shared" si="161"/>
        <v>0.05</v>
      </c>
      <c r="N3960" s="475">
        <f t="shared" si="162"/>
        <v>171574</v>
      </c>
    </row>
    <row r="3961" spans="7:14" ht="11.25" customHeight="1" x14ac:dyDescent="0.3">
      <c r="G3961" s="470"/>
      <c r="H3961" s="470">
        <v>3954</v>
      </c>
      <c r="I3961" s="455">
        <f t="shared" ca="1" si="160"/>
        <v>3437754156560.2808</v>
      </c>
      <c r="J3961" s="455">
        <f t="array" ref="J3961">IFERROR(INDEX('Retirement Calculator'!K:K,MATCH('Lorri 401b'!N3961,'Retirement Calculator'!A:A,0),0),0)</f>
        <v>0</v>
      </c>
      <c r="K3961" s="455">
        <f t="shared" ca="1" si="158"/>
        <v>14323975652.334503</v>
      </c>
      <c r="L3961" s="455">
        <f t="shared" ca="1" si="159"/>
        <v>3452078132212.6152</v>
      </c>
      <c r="M3961" s="471">
        <f t="shared" si="161"/>
        <v>0.05</v>
      </c>
      <c r="N3961" s="475">
        <f t="shared" si="162"/>
        <v>171605</v>
      </c>
    </row>
    <row r="3962" spans="7:14" ht="11.25" customHeight="1" x14ac:dyDescent="0.3">
      <c r="G3962" s="470"/>
      <c r="H3962" s="470">
        <v>3955</v>
      </c>
      <c r="I3962" s="455">
        <f t="shared" ca="1" si="160"/>
        <v>3452078132212.6152</v>
      </c>
      <c r="J3962" s="455">
        <f t="array" ref="J3962">IFERROR(INDEX('Retirement Calculator'!K:K,MATCH('Lorri 401b'!N3962,'Retirement Calculator'!A:A,0),0),0)</f>
        <v>0</v>
      </c>
      <c r="K3962" s="455">
        <f t="shared" ca="1" si="158"/>
        <v>14383658884.219231</v>
      </c>
      <c r="L3962" s="455">
        <f t="shared" ca="1" si="159"/>
        <v>3466461791096.8345</v>
      </c>
      <c r="M3962" s="471">
        <f t="shared" si="161"/>
        <v>0.05</v>
      </c>
      <c r="N3962" s="475">
        <f t="shared" si="162"/>
        <v>171635</v>
      </c>
    </row>
    <row r="3963" spans="7:14" ht="11.25" customHeight="1" x14ac:dyDescent="0.3">
      <c r="G3963" s="470"/>
      <c r="H3963" s="470">
        <v>3956</v>
      </c>
      <c r="I3963" s="455">
        <f t="shared" ca="1" si="160"/>
        <v>3466461791096.8345</v>
      </c>
      <c r="J3963" s="455">
        <f t="array" ref="J3963">IFERROR(INDEX('Retirement Calculator'!K:K,MATCH('Lorri 401b'!N3963,'Retirement Calculator'!A:A,0),0),0)</f>
        <v>0</v>
      </c>
      <c r="K3963" s="455">
        <f t="shared" ca="1" si="158"/>
        <v>14443590796.236811</v>
      </c>
      <c r="L3963" s="455">
        <f t="shared" ca="1" si="159"/>
        <v>3480905381893.0713</v>
      </c>
      <c r="M3963" s="471">
        <f t="shared" si="161"/>
        <v>0.05</v>
      </c>
      <c r="N3963" s="475">
        <f t="shared" si="162"/>
        <v>171666</v>
      </c>
    </row>
    <row r="3964" spans="7:14" ht="11.25" customHeight="1" x14ac:dyDescent="0.3">
      <c r="G3964" s="470"/>
      <c r="H3964" s="470">
        <v>3957</v>
      </c>
      <c r="I3964" s="455">
        <f t="shared" ca="1" si="160"/>
        <v>3480905381893.0713</v>
      </c>
      <c r="J3964" s="455">
        <f t="array" ref="J3964">IFERROR(INDEX('Retirement Calculator'!K:K,MATCH('Lorri 401b'!N3964,'Retirement Calculator'!A:A,0),0),0)</f>
        <v>0</v>
      </c>
      <c r="K3964" s="455">
        <f t="shared" ca="1" si="158"/>
        <v>14503772424.554466</v>
      </c>
      <c r="L3964" s="455">
        <f t="shared" ca="1" si="159"/>
        <v>3495409154317.626</v>
      </c>
      <c r="M3964" s="471">
        <f t="shared" si="161"/>
        <v>0.05</v>
      </c>
      <c r="N3964" s="475">
        <f t="shared" si="162"/>
        <v>171697</v>
      </c>
    </row>
    <row r="3965" spans="7:14" ht="11.25" customHeight="1" x14ac:dyDescent="0.3">
      <c r="G3965" s="470"/>
      <c r="H3965" s="470">
        <v>3958</v>
      </c>
      <c r="I3965" s="455">
        <f t="shared" ca="1" si="160"/>
        <v>3495409154317.626</v>
      </c>
      <c r="J3965" s="455">
        <f t="array" ref="J3965">IFERROR(INDEX('Retirement Calculator'!K:K,MATCH('Lorri 401b'!N3965,'Retirement Calculator'!A:A,0),0),0)</f>
        <v>0</v>
      </c>
      <c r="K3965" s="455">
        <f t="shared" ca="1" si="158"/>
        <v>14564204809.656773</v>
      </c>
      <c r="L3965" s="455">
        <f t="shared" ca="1" si="159"/>
        <v>3509973359127.2827</v>
      </c>
      <c r="M3965" s="471">
        <f t="shared" si="161"/>
        <v>0.05</v>
      </c>
      <c r="N3965" s="475">
        <f t="shared" si="162"/>
        <v>171725</v>
      </c>
    </row>
    <row r="3966" spans="7:14" ht="11.25" customHeight="1" x14ac:dyDescent="0.3">
      <c r="G3966" s="470"/>
      <c r="H3966" s="470">
        <v>3959</v>
      </c>
      <c r="I3966" s="455">
        <f t="shared" ca="1" si="160"/>
        <v>3509973359127.2827</v>
      </c>
      <c r="J3966" s="455">
        <f t="array" ref="J3966">IFERROR(INDEX('Retirement Calculator'!K:K,MATCH('Lorri 401b'!N3966,'Retirement Calculator'!A:A,0),0),0)</f>
        <v>0</v>
      </c>
      <c r="K3966" s="455">
        <f t="shared" ca="1" si="158"/>
        <v>14624888996.363676</v>
      </c>
      <c r="L3966" s="455">
        <f t="shared" ca="1" si="159"/>
        <v>3524598248123.6465</v>
      </c>
      <c r="M3966" s="471">
        <f t="shared" si="161"/>
        <v>0.05</v>
      </c>
      <c r="N3966" s="475">
        <f t="shared" si="162"/>
        <v>171756</v>
      </c>
    </row>
    <row r="3967" spans="7:14" ht="11.25" customHeight="1" x14ac:dyDescent="0.3">
      <c r="G3967" s="470"/>
      <c r="H3967" s="470">
        <v>3960</v>
      </c>
      <c r="I3967" s="455">
        <f t="shared" ca="1" si="160"/>
        <v>3524598248123.6465</v>
      </c>
      <c r="J3967" s="455">
        <f t="array" ref="J3967">IFERROR(INDEX('Retirement Calculator'!K:K,MATCH('Lorri 401b'!N3967,'Retirement Calculator'!A:A,0),0),0)</f>
        <v>0</v>
      </c>
      <c r="K3967" s="455">
        <f t="shared" ca="1" si="158"/>
        <v>14685826033.848526</v>
      </c>
      <c r="L3967" s="455">
        <f t="shared" ca="1" si="159"/>
        <v>3539284074157.4951</v>
      </c>
      <c r="M3967" s="471">
        <f t="shared" si="161"/>
        <v>0.05</v>
      </c>
      <c r="N3967" s="475">
        <f t="shared" si="162"/>
        <v>171786</v>
      </c>
    </row>
    <row r="3968" spans="7:14" ht="11.25" customHeight="1" x14ac:dyDescent="0.3">
      <c r="G3968" s="470"/>
      <c r="H3968" s="470">
        <v>3961</v>
      </c>
      <c r="I3968" s="455">
        <f t="shared" ca="1" si="160"/>
        <v>3539284074157.4951</v>
      </c>
      <c r="J3968" s="455">
        <f t="array" ref="J3968">IFERROR(INDEX('Retirement Calculator'!K:K,MATCH('Lorri 401b'!N3968,'Retirement Calculator'!A:A,0),0),0)</f>
        <v>0</v>
      </c>
      <c r="K3968" s="455">
        <f t="shared" ca="1" si="158"/>
        <v>14747016975.656227</v>
      </c>
      <c r="L3968" s="455">
        <f t="shared" ca="1" si="159"/>
        <v>3554031091133.1514</v>
      </c>
      <c r="M3968" s="471">
        <f t="shared" si="161"/>
        <v>0.05</v>
      </c>
      <c r="N3968" s="475">
        <f t="shared" si="162"/>
        <v>171817</v>
      </c>
    </row>
    <row r="3969" spans="7:14" ht="11.25" customHeight="1" x14ac:dyDescent="0.3">
      <c r="G3969" s="470"/>
      <c r="H3969" s="470">
        <v>3962</v>
      </c>
      <c r="I3969" s="455">
        <f t="shared" ca="1" si="160"/>
        <v>3554031091133.1514</v>
      </c>
      <c r="J3969" s="455">
        <f t="array" ref="J3969">IFERROR(INDEX('Retirement Calculator'!K:K,MATCH('Lorri 401b'!N3969,'Retirement Calculator'!A:A,0),0),0)</f>
        <v>0</v>
      </c>
      <c r="K3969" s="455">
        <f t="shared" ca="1" si="158"/>
        <v>14808462879.721464</v>
      </c>
      <c r="L3969" s="455">
        <f t="shared" ca="1" si="159"/>
        <v>3568839554012.873</v>
      </c>
      <c r="M3969" s="471">
        <f t="shared" si="161"/>
        <v>0.05</v>
      </c>
      <c r="N3969" s="475">
        <f t="shared" si="162"/>
        <v>171847</v>
      </c>
    </row>
    <row r="3970" spans="7:14" ht="11.25" customHeight="1" x14ac:dyDescent="0.3">
      <c r="G3970" s="470"/>
      <c r="H3970" s="470">
        <v>3963</v>
      </c>
      <c r="I3970" s="455">
        <f t="shared" ca="1" si="160"/>
        <v>3568839554012.873</v>
      </c>
      <c r="J3970" s="455">
        <f t="array" ref="J3970">IFERROR(INDEX('Retirement Calculator'!K:K,MATCH('Lorri 401b'!N3970,'Retirement Calculator'!A:A,0),0),0)</f>
        <v>0</v>
      </c>
      <c r="K3970" s="455">
        <f t="shared" ca="1" si="158"/>
        <v>14870164808.386971</v>
      </c>
      <c r="L3970" s="455">
        <f t="shared" ca="1" si="159"/>
        <v>3583709718821.2603</v>
      </c>
      <c r="M3970" s="471">
        <f t="shared" si="161"/>
        <v>0.05</v>
      </c>
      <c r="N3970" s="475">
        <f t="shared" si="162"/>
        <v>171878</v>
      </c>
    </row>
    <row r="3971" spans="7:14" ht="11.25" customHeight="1" x14ac:dyDescent="0.3">
      <c r="G3971" s="470"/>
      <c r="H3971" s="470">
        <v>3964</v>
      </c>
      <c r="I3971" s="455">
        <f t="shared" ca="1" si="160"/>
        <v>3583709718821.2603</v>
      </c>
      <c r="J3971" s="455">
        <f t="array" ref="J3971">IFERROR(INDEX('Retirement Calculator'!K:K,MATCH('Lorri 401b'!N3971,'Retirement Calculator'!A:A,0),0),0)</f>
        <v>0</v>
      </c>
      <c r="K3971" s="455">
        <f t="shared" ca="1" si="158"/>
        <v>14932123828.421917</v>
      </c>
      <c r="L3971" s="455">
        <f t="shared" ca="1" si="159"/>
        <v>3598641842649.6821</v>
      </c>
      <c r="M3971" s="471">
        <f t="shared" si="161"/>
        <v>0.05</v>
      </c>
      <c r="N3971" s="475">
        <f t="shared" si="162"/>
        <v>171909</v>
      </c>
    </row>
    <row r="3972" spans="7:14" ht="11.25" customHeight="1" x14ac:dyDescent="0.3">
      <c r="G3972" s="470"/>
      <c r="H3972" s="470">
        <v>3965</v>
      </c>
      <c r="I3972" s="455">
        <f t="shared" ca="1" si="160"/>
        <v>3598641842649.6821</v>
      </c>
      <c r="J3972" s="455">
        <f t="array" ref="J3972">IFERROR(INDEX('Retirement Calculator'!K:K,MATCH('Lorri 401b'!N3972,'Retirement Calculator'!A:A,0),0),0)</f>
        <v>0</v>
      </c>
      <c r="K3972" s="455">
        <f t="shared" ca="1" si="158"/>
        <v>14994341011.040342</v>
      </c>
      <c r="L3972" s="455">
        <f t="shared" ca="1" si="159"/>
        <v>3613636183660.7227</v>
      </c>
      <c r="M3972" s="471">
        <f t="shared" si="161"/>
        <v>0.05</v>
      </c>
      <c r="N3972" s="475">
        <f t="shared" si="162"/>
        <v>171939</v>
      </c>
    </row>
    <row r="3973" spans="7:14" ht="11.25" customHeight="1" x14ac:dyDescent="0.3">
      <c r="G3973" s="470"/>
      <c r="H3973" s="470">
        <v>3966</v>
      </c>
      <c r="I3973" s="455">
        <f t="shared" ca="1" si="160"/>
        <v>3613636183660.7227</v>
      </c>
      <c r="J3973" s="455">
        <f t="array" ref="J3973">IFERROR(INDEX('Retirement Calculator'!K:K,MATCH('Lorri 401b'!N3973,'Retirement Calculator'!A:A,0),0),0)</f>
        <v>0</v>
      </c>
      <c r="K3973" s="455">
        <f t="shared" ca="1" si="158"/>
        <v>15056817431.919678</v>
      </c>
      <c r="L3973" s="455">
        <f t="shared" ca="1" si="159"/>
        <v>3628693001092.6426</v>
      </c>
      <c r="M3973" s="471">
        <f t="shared" si="161"/>
        <v>0.05</v>
      </c>
      <c r="N3973" s="475">
        <f t="shared" si="162"/>
        <v>171970</v>
      </c>
    </row>
    <row r="3974" spans="7:14" ht="11.25" customHeight="1" x14ac:dyDescent="0.3">
      <c r="G3974" s="470"/>
      <c r="H3974" s="470">
        <v>3967</v>
      </c>
      <c r="I3974" s="455">
        <f t="shared" ca="1" si="160"/>
        <v>3628693001092.6426</v>
      </c>
      <c r="J3974" s="455">
        <f t="array" ref="J3974">IFERROR(INDEX('Retirement Calculator'!K:K,MATCH('Lorri 401b'!N3974,'Retirement Calculator'!A:A,0),0),0)</f>
        <v>0</v>
      </c>
      <c r="K3974" s="455">
        <f t="shared" ca="1" si="158"/>
        <v>15119554171.219345</v>
      </c>
      <c r="L3974" s="455">
        <f t="shared" ca="1" si="159"/>
        <v>3643812555263.8618</v>
      </c>
      <c r="M3974" s="471">
        <f t="shared" si="161"/>
        <v>0.05</v>
      </c>
      <c r="N3974" s="475">
        <f t="shared" si="162"/>
        <v>172000</v>
      </c>
    </row>
    <row r="3975" spans="7:14" ht="11.25" customHeight="1" x14ac:dyDescent="0.3">
      <c r="G3975" s="470"/>
      <c r="H3975" s="470">
        <v>3968</v>
      </c>
      <c r="I3975" s="455">
        <f t="shared" ca="1" si="160"/>
        <v>3643812555263.8618</v>
      </c>
      <c r="J3975" s="455">
        <f t="array" ref="J3975">IFERROR(INDEX('Retirement Calculator'!K:K,MATCH('Lorri 401b'!N3975,'Retirement Calculator'!A:A,0),0),0)</f>
        <v>0</v>
      </c>
      <c r="K3975" s="455">
        <f t="shared" ca="1" si="158"/>
        <v>15182552313.599424</v>
      </c>
      <c r="L3975" s="455">
        <f t="shared" ca="1" si="159"/>
        <v>3658995107577.4614</v>
      </c>
      <c r="M3975" s="471">
        <f t="shared" si="161"/>
        <v>0.05</v>
      </c>
      <c r="N3975" s="475">
        <f t="shared" si="162"/>
        <v>172031</v>
      </c>
    </row>
    <row r="3976" spans="7:14" ht="11.25" customHeight="1" x14ac:dyDescent="0.3">
      <c r="G3976" s="470"/>
      <c r="H3976" s="470">
        <v>3969</v>
      </c>
      <c r="I3976" s="455">
        <f t="shared" ca="1" si="160"/>
        <v>3658995107577.4614</v>
      </c>
      <c r="J3976" s="455">
        <f t="array" ref="J3976">IFERROR(INDEX('Retirement Calculator'!K:K,MATCH('Lorri 401b'!N3976,'Retirement Calculator'!A:A,0),0),0)</f>
        <v>0</v>
      </c>
      <c r="K3976" s="455">
        <f t="shared" ca="1" si="158"/>
        <v>15245812948.239422</v>
      </c>
      <c r="L3976" s="455">
        <f t="shared" ca="1" si="159"/>
        <v>3674240920525.7007</v>
      </c>
      <c r="M3976" s="471">
        <f t="shared" si="161"/>
        <v>0.05</v>
      </c>
      <c r="N3976" s="475">
        <f t="shared" si="162"/>
        <v>172062</v>
      </c>
    </row>
    <row r="3977" spans="7:14" ht="11.25" customHeight="1" x14ac:dyDescent="0.3">
      <c r="G3977" s="470"/>
      <c r="H3977" s="470">
        <v>3970</v>
      </c>
      <c r="I3977" s="455">
        <f t="shared" ca="1" si="160"/>
        <v>3674240920525.7007</v>
      </c>
      <c r="J3977" s="455">
        <f t="array" ref="J3977">IFERROR(INDEX('Retirement Calculator'!K:K,MATCH('Lorri 401b'!N3977,'Retirement Calculator'!A:A,0),0),0)</f>
        <v>0</v>
      </c>
      <c r="K3977" s="455">
        <f t="shared" ca="1" si="158"/>
        <v>15309337168.857084</v>
      </c>
      <c r="L3977" s="455">
        <f t="shared" ca="1" si="159"/>
        <v>3689550257694.5576</v>
      </c>
      <c r="M3977" s="471">
        <f t="shared" si="161"/>
        <v>0.05</v>
      </c>
      <c r="N3977" s="475">
        <f t="shared" si="162"/>
        <v>172090</v>
      </c>
    </row>
    <row r="3978" spans="7:14" ht="11.25" customHeight="1" x14ac:dyDescent="0.3">
      <c r="G3978" s="470"/>
      <c r="H3978" s="470">
        <v>3971</v>
      </c>
      <c r="I3978" s="455">
        <f t="shared" ca="1" si="160"/>
        <v>3689550257694.5576</v>
      </c>
      <c r="J3978" s="455">
        <f t="array" ref="J3978">IFERROR(INDEX('Retirement Calculator'!K:K,MATCH('Lorri 401b'!N3978,'Retirement Calculator'!A:A,0),0),0)</f>
        <v>0</v>
      </c>
      <c r="K3978" s="455">
        <f t="shared" ca="1" si="158"/>
        <v>15373126073.727324</v>
      </c>
      <c r="L3978" s="455">
        <f t="shared" ca="1" si="159"/>
        <v>3704923383768.2852</v>
      </c>
      <c r="M3978" s="471">
        <f t="shared" si="161"/>
        <v>0.05</v>
      </c>
      <c r="N3978" s="475">
        <f t="shared" si="162"/>
        <v>172121</v>
      </c>
    </row>
    <row r="3979" spans="7:14" ht="11.25" customHeight="1" x14ac:dyDescent="0.3">
      <c r="G3979" s="470"/>
      <c r="H3979" s="470">
        <v>3972</v>
      </c>
      <c r="I3979" s="455">
        <f t="shared" ca="1" si="160"/>
        <v>3704923383768.2852</v>
      </c>
      <c r="J3979" s="455">
        <f t="array" ref="J3979">IFERROR(INDEX('Retirement Calculator'!K:K,MATCH('Lorri 401b'!N3979,'Retirement Calculator'!A:A,0),0),0)</f>
        <v>0</v>
      </c>
      <c r="K3979" s="455">
        <f t="shared" ca="1" si="158"/>
        <v>15437180765.701187</v>
      </c>
      <c r="L3979" s="455">
        <f t="shared" ca="1" si="159"/>
        <v>3720360564533.9863</v>
      </c>
      <c r="M3979" s="471">
        <f t="shared" si="161"/>
        <v>0.05</v>
      </c>
      <c r="N3979" s="475">
        <f t="shared" si="162"/>
        <v>172151</v>
      </c>
    </row>
    <row r="3980" spans="7:14" ht="11.25" customHeight="1" x14ac:dyDescent="0.3">
      <c r="G3980" s="470"/>
      <c r="H3980" s="470">
        <v>3973</v>
      </c>
      <c r="I3980" s="455">
        <f t="shared" ca="1" si="160"/>
        <v>3720360564533.9863</v>
      </c>
      <c r="J3980" s="455">
        <f t="array" ref="J3980">IFERROR(INDEX('Retirement Calculator'!K:K,MATCH('Lorri 401b'!N3980,'Retirement Calculator'!A:A,0),0),0)</f>
        <v>0</v>
      </c>
      <c r="K3980" s="455">
        <f t="shared" ca="1" si="158"/>
        <v>15501502352.224945</v>
      </c>
      <c r="L3980" s="455">
        <f t="shared" ca="1" si="159"/>
        <v>3735862066886.2114</v>
      </c>
      <c r="M3980" s="471">
        <f t="shared" si="161"/>
        <v>0.05</v>
      </c>
      <c r="N3980" s="475">
        <f t="shared" si="162"/>
        <v>172182</v>
      </c>
    </row>
    <row r="3981" spans="7:14" ht="11.25" customHeight="1" x14ac:dyDescent="0.3">
      <c r="G3981" s="470"/>
      <c r="H3981" s="470">
        <v>3974</v>
      </c>
      <c r="I3981" s="455">
        <f t="shared" ca="1" si="160"/>
        <v>3735862066886.2114</v>
      </c>
      <c r="J3981" s="455">
        <f t="array" ref="J3981">IFERROR(INDEX('Retirement Calculator'!K:K,MATCH('Lorri 401b'!N3981,'Retirement Calculator'!A:A,0),0),0)</f>
        <v>0</v>
      </c>
      <c r="K3981" s="455">
        <f t="shared" ca="1" si="158"/>
        <v>15566091945.359215</v>
      </c>
      <c r="L3981" s="455">
        <f t="shared" ca="1" si="159"/>
        <v>3751428158831.5708</v>
      </c>
      <c r="M3981" s="471">
        <f t="shared" si="161"/>
        <v>0.05</v>
      </c>
      <c r="N3981" s="475">
        <f t="shared" si="162"/>
        <v>172212</v>
      </c>
    </row>
    <row r="3982" spans="7:14" ht="11.25" customHeight="1" x14ac:dyDescent="0.3">
      <c r="G3982" s="470"/>
      <c r="H3982" s="470">
        <v>3975</v>
      </c>
      <c r="I3982" s="455">
        <f t="shared" ca="1" si="160"/>
        <v>3751428158831.5708</v>
      </c>
      <c r="J3982" s="455">
        <f t="array" ref="J3982">IFERROR(INDEX('Retirement Calculator'!K:K,MATCH('Lorri 401b'!N3982,'Retirement Calculator'!A:A,0),0),0)</f>
        <v>0</v>
      </c>
      <c r="K3982" s="455">
        <f t="shared" ca="1" si="158"/>
        <v>15630950661.798212</v>
      </c>
      <c r="L3982" s="455">
        <f t="shared" ca="1" si="159"/>
        <v>3767059109493.3691</v>
      </c>
      <c r="M3982" s="471">
        <f t="shared" si="161"/>
        <v>0.05</v>
      </c>
      <c r="N3982" s="475">
        <f t="shared" si="162"/>
        <v>172243</v>
      </c>
    </row>
    <row r="3983" spans="7:14" ht="11.25" customHeight="1" x14ac:dyDescent="0.3">
      <c r="G3983" s="470"/>
      <c r="H3983" s="470">
        <v>3976</v>
      </c>
      <c r="I3983" s="455">
        <f t="shared" ca="1" si="160"/>
        <v>3767059109493.3691</v>
      </c>
      <c r="J3983" s="455">
        <f t="array" ref="J3983">IFERROR(INDEX('Retirement Calculator'!K:K,MATCH('Lorri 401b'!N3983,'Retirement Calculator'!A:A,0),0),0)</f>
        <v>0</v>
      </c>
      <c r="K3983" s="455">
        <f t="shared" ca="1" si="158"/>
        <v>15696079622.889038</v>
      </c>
      <c r="L3983" s="455">
        <f t="shared" ca="1" si="159"/>
        <v>3782755189116.2583</v>
      </c>
      <c r="M3983" s="471">
        <f t="shared" si="161"/>
        <v>0.05</v>
      </c>
      <c r="N3983" s="475">
        <f t="shared" si="162"/>
        <v>172274</v>
      </c>
    </row>
    <row r="3984" spans="7:14" ht="11.25" customHeight="1" x14ac:dyDescent="0.3">
      <c r="G3984" s="470"/>
      <c r="H3984" s="470">
        <v>3977</v>
      </c>
      <c r="I3984" s="455">
        <f t="shared" ca="1" si="160"/>
        <v>3782755189116.2583</v>
      </c>
      <c r="J3984" s="455">
        <f t="array" ref="J3984">IFERROR(INDEX('Retirement Calculator'!K:K,MATCH('Lorri 401b'!N3984,'Retirement Calculator'!A:A,0),0),0)</f>
        <v>0</v>
      </c>
      <c r="K3984" s="455">
        <f t="shared" ca="1" si="158"/>
        <v>15761479954.651075</v>
      </c>
      <c r="L3984" s="455">
        <f t="shared" ca="1" si="159"/>
        <v>3798516669070.9092</v>
      </c>
      <c r="M3984" s="471">
        <f t="shared" si="161"/>
        <v>0.05</v>
      </c>
      <c r="N3984" s="475">
        <f t="shared" si="162"/>
        <v>172304</v>
      </c>
    </row>
    <row r="3985" spans="7:14" ht="11.25" customHeight="1" x14ac:dyDescent="0.3">
      <c r="G3985" s="470"/>
      <c r="H3985" s="470">
        <v>3978</v>
      </c>
      <c r="I3985" s="455">
        <f t="shared" ca="1" si="160"/>
        <v>3798516669070.9092</v>
      </c>
      <c r="J3985" s="455">
        <f t="array" ref="J3985">IFERROR(INDEX('Retirement Calculator'!K:K,MATCH('Lorri 401b'!N3985,'Retirement Calculator'!A:A,0),0),0)</f>
        <v>0</v>
      </c>
      <c r="K3985" s="455">
        <f t="shared" ca="1" si="158"/>
        <v>15827152787.795454</v>
      </c>
      <c r="L3985" s="455">
        <f t="shared" ca="1" si="159"/>
        <v>3814343821858.7046</v>
      </c>
      <c r="M3985" s="471">
        <f t="shared" si="161"/>
        <v>0.05</v>
      </c>
      <c r="N3985" s="475">
        <f t="shared" si="162"/>
        <v>172335</v>
      </c>
    </row>
    <row r="3986" spans="7:14" ht="11.25" customHeight="1" x14ac:dyDescent="0.3">
      <c r="G3986" s="470"/>
      <c r="H3986" s="470">
        <v>3979</v>
      </c>
      <c r="I3986" s="455">
        <f t="shared" ca="1" si="160"/>
        <v>3814343821858.7046</v>
      </c>
      <c r="J3986" s="455">
        <f t="array" ref="J3986">IFERROR(INDEX('Retirement Calculator'!K:K,MATCH('Lorri 401b'!N3986,'Retirement Calculator'!A:A,0),0),0)</f>
        <v>0</v>
      </c>
      <c r="K3986" s="455">
        <f t="shared" ca="1" si="158"/>
        <v>15893099257.744602</v>
      </c>
      <c r="L3986" s="455">
        <f t="shared" ca="1" si="159"/>
        <v>3830236921116.4492</v>
      </c>
      <c r="M3986" s="471">
        <f t="shared" si="161"/>
        <v>0.05</v>
      </c>
      <c r="N3986" s="475">
        <f t="shared" si="162"/>
        <v>172365</v>
      </c>
    </row>
    <row r="3987" spans="7:14" ht="11.25" customHeight="1" x14ac:dyDescent="0.3">
      <c r="G3987" s="470"/>
      <c r="H3987" s="470">
        <v>3980</v>
      </c>
      <c r="I3987" s="455">
        <f t="shared" ca="1" si="160"/>
        <v>3830236921116.4492</v>
      </c>
      <c r="J3987" s="455">
        <f t="array" ref="J3987">IFERROR(INDEX('Retirement Calculator'!K:K,MATCH('Lorri 401b'!N3987,'Retirement Calculator'!A:A,0),0),0)</f>
        <v>0</v>
      </c>
      <c r="K3987" s="455">
        <f t="shared" ca="1" si="158"/>
        <v>15959320504.651871</v>
      </c>
      <c r="L3987" s="455">
        <f t="shared" ca="1" si="159"/>
        <v>3846196241621.1011</v>
      </c>
      <c r="M3987" s="471">
        <f t="shared" si="161"/>
        <v>0.05</v>
      </c>
      <c r="N3987" s="475">
        <f t="shared" si="162"/>
        <v>172396</v>
      </c>
    </row>
    <row r="3988" spans="7:14" ht="11.25" customHeight="1" x14ac:dyDescent="0.3">
      <c r="G3988" s="470"/>
      <c r="H3988" s="470">
        <v>3981</v>
      </c>
      <c r="I3988" s="455">
        <f t="shared" ca="1" si="160"/>
        <v>3846196241621.1011</v>
      </c>
      <c r="J3988" s="455">
        <f t="array" ref="J3988">IFERROR(INDEX('Retirement Calculator'!K:K,MATCH('Lorri 401b'!N3988,'Retirement Calculator'!A:A,0),0),0)</f>
        <v>0</v>
      </c>
      <c r="K3988" s="455">
        <f t="shared" ca="1" si="158"/>
        <v>16025817673.421257</v>
      </c>
      <c r="L3988" s="455">
        <f t="shared" ca="1" si="159"/>
        <v>3862222059294.5225</v>
      </c>
      <c r="M3988" s="471">
        <f t="shared" si="161"/>
        <v>0.05</v>
      </c>
      <c r="N3988" s="475">
        <f t="shared" si="162"/>
        <v>172427</v>
      </c>
    </row>
    <row r="3989" spans="7:14" ht="11.25" customHeight="1" x14ac:dyDescent="0.3">
      <c r="G3989" s="470"/>
      <c r="H3989" s="470">
        <v>3982</v>
      </c>
      <c r="I3989" s="455">
        <f t="shared" ca="1" si="160"/>
        <v>3862222059294.5225</v>
      </c>
      <c r="J3989" s="455">
        <f t="array" ref="J3989">IFERROR(INDEX('Retirement Calculator'!K:K,MATCH('Lorri 401b'!N3989,'Retirement Calculator'!A:A,0),0),0)</f>
        <v>0</v>
      </c>
      <c r="K3989" s="455">
        <f t="shared" ca="1" si="158"/>
        <v>16092591913.727179</v>
      </c>
      <c r="L3989" s="455">
        <f t="shared" ca="1" si="159"/>
        <v>3878314651208.2495</v>
      </c>
      <c r="M3989" s="471">
        <f t="shared" si="161"/>
        <v>0.05</v>
      </c>
      <c r="N3989" s="475">
        <f t="shared" si="162"/>
        <v>172456</v>
      </c>
    </row>
    <row r="3990" spans="7:14" ht="11.25" customHeight="1" x14ac:dyDescent="0.3">
      <c r="G3990" s="470"/>
      <c r="H3990" s="470">
        <v>3983</v>
      </c>
      <c r="I3990" s="455">
        <f t="shared" ca="1" si="160"/>
        <v>3878314651208.2495</v>
      </c>
      <c r="J3990" s="455">
        <f t="array" ref="J3990">IFERROR(INDEX('Retirement Calculator'!K:K,MATCH('Lorri 401b'!N3990,'Retirement Calculator'!A:A,0),0),0)</f>
        <v>0</v>
      </c>
      <c r="K3990" s="455">
        <f t="shared" ca="1" si="158"/>
        <v>16159644380.034372</v>
      </c>
      <c r="L3990" s="455">
        <f t="shared" ca="1" si="159"/>
        <v>3894474295588.2837</v>
      </c>
      <c r="M3990" s="471">
        <f t="shared" si="161"/>
        <v>0.05</v>
      </c>
      <c r="N3990" s="475">
        <f t="shared" si="162"/>
        <v>172487</v>
      </c>
    </row>
    <row r="3991" spans="7:14" ht="11.25" customHeight="1" x14ac:dyDescent="0.3">
      <c r="G3991" s="470"/>
      <c r="H3991" s="470">
        <v>3984</v>
      </c>
      <c r="I3991" s="455">
        <f t="shared" ca="1" si="160"/>
        <v>3894474295588.2837</v>
      </c>
      <c r="J3991" s="455">
        <f t="array" ref="J3991">IFERROR(INDEX('Retirement Calculator'!K:K,MATCH('Lorri 401b'!N3991,'Retirement Calculator'!A:A,0),0),0)</f>
        <v>0</v>
      </c>
      <c r="K3991" s="455">
        <f t="shared" ca="1" si="158"/>
        <v>16226976231.617849</v>
      </c>
      <c r="L3991" s="455">
        <f t="shared" ca="1" si="159"/>
        <v>3910701271819.9014</v>
      </c>
      <c r="M3991" s="471">
        <f t="shared" si="161"/>
        <v>0.05</v>
      </c>
      <c r="N3991" s="475">
        <f t="shared" si="162"/>
        <v>172517</v>
      </c>
    </row>
    <row r="3992" spans="7:14" ht="11.25" customHeight="1" x14ac:dyDescent="0.3">
      <c r="G3992" s="470"/>
      <c r="H3992" s="470">
        <v>3985</v>
      </c>
      <c r="I3992" s="455">
        <f t="shared" ca="1" si="160"/>
        <v>3910701271819.9014</v>
      </c>
      <c r="J3992" s="455">
        <f t="array" ref="J3992">IFERROR(INDEX('Retirement Calculator'!K:K,MATCH('Lorri 401b'!N3992,'Retirement Calculator'!A:A,0),0),0)</f>
        <v>0</v>
      </c>
      <c r="K3992" s="455">
        <f t="shared" ca="1" si="158"/>
        <v>16294588632.58292</v>
      </c>
      <c r="L3992" s="455">
        <f t="shared" ca="1" si="159"/>
        <v>3926995860452.4844</v>
      </c>
      <c r="M3992" s="471">
        <f t="shared" si="161"/>
        <v>0.05</v>
      </c>
      <c r="N3992" s="475">
        <f t="shared" si="162"/>
        <v>172548</v>
      </c>
    </row>
    <row r="3993" spans="7:14" ht="11.25" customHeight="1" x14ac:dyDescent="0.3">
      <c r="G3993" s="470"/>
      <c r="H3993" s="470">
        <v>3986</v>
      </c>
      <c r="I3993" s="455">
        <f t="shared" ca="1" si="160"/>
        <v>3926995860452.4844</v>
      </c>
      <c r="J3993" s="455">
        <f t="array" ref="J3993">IFERROR(INDEX('Retirement Calculator'!K:K,MATCH('Lorri 401b'!N3993,'Retirement Calculator'!A:A,0),0),0)</f>
        <v>0</v>
      </c>
      <c r="K3993" s="455">
        <f t="shared" ca="1" si="158"/>
        <v>16362482751.885351</v>
      </c>
      <c r="L3993" s="455">
        <f t="shared" ca="1" si="159"/>
        <v>3943358343204.3696</v>
      </c>
      <c r="M3993" s="471">
        <f t="shared" si="161"/>
        <v>0.05</v>
      </c>
      <c r="N3993" s="475">
        <f t="shared" si="162"/>
        <v>172578</v>
      </c>
    </row>
    <row r="3994" spans="7:14" ht="11.25" customHeight="1" x14ac:dyDescent="0.3">
      <c r="G3994" s="470"/>
      <c r="H3994" s="470">
        <v>3987</v>
      </c>
      <c r="I3994" s="455">
        <f t="shared" ca="1" si="160"/>
        <v>3943358343204.3696</v>
      </c>
      <c r="J3994" s="455">
        <f t="array" ref="J3994">IFERROR(INDEX('Retirement Calculator'!K:K,MATCH('Lorri 401b'!N3994,'Retirement Calculator'!A:A,0),0),0)</f>
        <v>0</v>
      </c>
      <c r="K3994" s="455">
        <f t="shared" ca="1" si="158"/>
        <v>16430659763.35154</v>
      </c>
      <c r="L3994" s="455">
        <f t="shared" ca="1" si="159"/>
        <v>3959789002967.7212</v>
      </c>
      <c r="M3994" s="471">
        <f t="shared" si="161"/>
        <v>0.05</v>
      </c>
      <c r="N3994" s="475">
        <f t="shared" si="162"/>
        <v>172609</v>
      </c>
    </row>
    <row r="3995" spans="7:14" ht="11.25" customHeight="1" x14ac:dyDescent="0.3">
      <c r="G3995" s="470"/>
      <c r="H3995" s="470">
        <v>3988</v>
      </c>
      <c r="I3995" s="455">
        <f t="shared" ca="1" si="160"/>
        <v>3959789002967.7212</v>
      </c>
      <c r="J3995" s="455">
        <f t="array" ref="J3995">IFERROR(INDEX('Retirement Calculator'!K:K,MATCH('Lorri 401b'!N3995,'Retirement Calculator'!A:A,0),0),0)</f>
        <v>0</v>
      </c>
      <c r="K3995" s="455">
        <f t="shared" ca="1" si="158"/>
        <v>16499120845.698835</v>
      </c>
      <c r="L3995" s="455">
        <f t="shared" ca="1" si="159"/>
        <v>3976288123813.4199</v>
      </c>
      <c r="M3995" s="471">
        <f t="shared" si="161"/>
        <v>0.05</v>
      </c>
      <c r="N3995" s="475">
        <f t="shared" si="162"/>
        <v>172640</v>
      </c>
    </row>
    <row r="3996" spans="7:14" ht="11.25" customHeight="1" x14ac:dyDescent="0.3">
      <c r="G3996" s="470"/>
      <c r="H3996" s="470">
        <v>3989</v>
      </c>
      <c r="I3996" s="455">
        <f t="shared" ca="1" si="160"/>
        <v>3976288123813.4199</v>
      </c>
      <c r="J3996" s="455">
        <f t="array" ref="J3996">IFERROR(INDEX('Retirement Calculator'!K:K,MATCH('Lorri 401b'!N3996,'Retirement Calculator'!A:A,0),0),0)</f>
        <v>0</v>
      </c>
      <c r="K3996" s="455">
        <f t="shared" ca="1" si="158"/>
        <v>16567867182.555916</v>
      </c>
      <c r="L3996" s="455">
        <f t="shared" ca="1" si="159"/>
        <v>3992855990995.9761</v>
      </c>
      <c r="M3996" s="471">
        <f t="shared" si="161"/>
        <v>0.05</v>
      </c>
      <c r="N3996" s="475">
        <f t="shared" si="162"/>
        <v>172670</v>
      </c>
    </row>
    <row r="3997" spans="7:14" ht="11.25" customHeight="1" x14ac:dyDescent="0.3">
      <c r="G3997" s="470"/>
      <c r="H3997" s="470">
        <v>3990</v>
      </c>
      <c r="I3997" s="455">
        <f t="shared" ca="1" si="160"/>
        <v>3992855990995.9761</v>
      </c>
      <c r="J3997" s="455">
        <f t="array" ref="J3997">IFERROR(INDEX('Retirement Calculator'!K:K,MATCH('Lorri 401b'!N3997,'Retirement Calculator'!A:A,0),0),0)</f>
        <v>0</v>
      </c>
      <c r="K3997" s="455">
        <f t="shared" ca="1" si="158"/>
        <v>16636899962.483232</v>
      </c>
      <c r="L3997" s="455">
        <f t="shared" ca="1" si="159"/>
        <v>4009492890958.4595</v>
      </c>
      <c r="M3997" s="471">
        <f t="shared" si="161"/>
        <v>0.05</v>
      </c>
      <c r="N3997" s="475">
        <f t="shared" si="162"/>
        <v>172701</v>
      </c>
    </row>
    <row r="3998" spans="7:14" ht="11.25" customHeight="1" x14ac:dyDescent="0.3">
      <c r="G3998" s="470"/>
      <c r="H3998" s="470">
        <v>3991</v>
      </c>
      <c r="I3998" s="455">
        <f t="shared" ca="1" si="160"/>
        <v>4009492890958.4595</v>
      </c>
      <c r="J3998" s="455">
        <f t="array" ref="J3998">IFERROR(INDEX('Retirement Calculator'!K:K,MATCH('Lorri 401b'!N3998,'Retirement Calculator'!A:A,0),0),0)</f>
        <v>0</v>
      </c>
      <c r="K3998" s="455">
        <f t="shared" ca="1" si="158"/>
        <v>16706220378.993578</v>
      </c>
      <c r="L3998" s="455">
        <f t="shared" ca="1" si="159"/>
        <v>4026199111337.4531</v>
      </c>
      <c r="M3998" s="471">
        <f t="shared" si="161"/>
        <v>0.05</v>
      </c>
      <c r="N3998" s="475">
        <f t="shared" si="162"/>
        <v>172731</v>
      </c>
    </row>
    <row r="3999" spans="7:14" ht="11.25" customHeight="1" x14ac:dyDescent="0.3">
      <c r="G3999" s="470"/>
      <c r="H3999" s="470">
        <v>3992</v>
      </c>
      <c r="I3999" s="455">
        <f t="shared" ca="1" si="160"/>
        <v>4026199111337.4531</v>
      </c>
      <c r="J3999" s="455">
        <f t="array" ref="J3999">IFERROR(INDEX('Retirement Calculator'!K:K,MATCH('Lorri 401b'!N3999,'Retirement Calculator'!A:A,0),0),0)</f>
        <v>0</v>
      </c>
      <c r="K3999" s="455">
        <f t="shared" ca="1" si="158"/>
        <v>16775829630.572721</v>
      </c>
      <c r="L3999" s="455">
        <f t="shared" ca="1" si="159"/>
        <v>4042974940968.0259</v>
      </c>
      <c r="M3999" s="471">
        <f t="shared" si="161"/>
        <v>0.05</v>
      </c>
      <c r="N3999" s="475">
        <f t="shared" si="162"/>
        <v>172762</v>
      </c>
    </row>
    <row r="4000" spans="7:14" ht="11.25" customHeight="1" x14ac:dyDescent="0.3">
      <c r="G4000" s="470"/>
      <c r="H4000" s="470">
        <v>3993</v>
      </c>
      <c r="I4000" s="455">
        <f t="shared" ca="1" si="160"/>
        <v>4042974940968.0259</v>
      </c>
      <c r="J4000" s="455">
        <f t="array" ref="J4000">IFERROR(INDEX('Retirement Calculator'!K:K,MATCH('Lorri 401b'!N4000,'Retirement Calculator'!A:A,0),0),0)</f>
        <v>0</v>
      </c>
      <c r="K4000" s="455">
        <f t="shared" ca="1" si="158"/>
        <v>16845728920.700106</v>
      </c>
      <c r="L4000" s="455">
        <f t="shared" ca="1" si="159"/>
        <v>4059820669888.7261</v>
      </c>
      <c r="M4000" s="471">
        <f t="shared" si="161"/>
        <v>0.05</v>
      </c>
      <c r="N4000" s="475">
        <f t="shared" si="162"/>
        <v>172793</v>
      </c>
    </row>
    <row r="4001" spans="7:14" ht="11.25" customHeight="1" x14ac:dyDescent="0.3">
      <c r="G4001" s="470"/>
      <c r="H4001" s="470">
        <v>3994</v>
      </c>
      <c r="I4001" s="455">
        <f t="shared" ca="1" si="160"/>
        <v>4059820669888.7261</v>
      </c>
      <c r="J4001" s="455">
        <f t="array" ref="J4001">IFERROR(INDEX('Retirement Calculator'!K:K,MATCH('Lorri 401b'!N4001,'Retirement Calculator'!A:A,0),0),0)</f>
        <v>0</v>
      </c>
      <c r="K4001" s="455">
        <f t="shared" ca="1" si="158"/>
        <v>16915919457.869692</v>
      </c>
      <c r="L4001" s="455">
        <f t="shared" ca="1" si="159"/>
        <v>4076736589346.5957</v>
      </c>
      <c r="M4001" s="471">
        <f t="shared" si="161"/>
        <v>0.05</v>
      </c>
      <c r="N4001" s="475">
        <f t="shared" si="162"/>
        <v>172821</v>
      </c>
    </row>
    <row r="4002" spans="7:14" ht="11.25" customHeight="1" x14ac:dyDescent="0.3">
      <c r="G4002" s="470"/>
      <c r="H4002" s="470">
        <v>3995</v>
      </c>
      <c r="I4002" s="455">
        <f t="shared" ca="1" si="160"/>
        <v>4076736589346.5957</v>
      </c>
      <c r="J4002" s="455">
        <f t="array" ref="J4002">IFERROR(INDEX('Retirement Calculator'!K:K,MATCH('Lorri 401b'!N4002,'Retirement Calculator'!A:A,0),0),0)</f>
        <v>0</v>
      </c>
      <c r="K4002" s="455">
        <f t="shared" ca="1" si="158"/>
        <v>16986402455.610815</v>
      </c>
      <c r="L4002" s="455">
        <f t="shared" ca="1" si="159"/>
        <v>4093722991802.2065</v>
      </c>
      <c r="M4002" s="471">
        <f t="shared" si="161"/>
        <v>0.05</v>
      </c>
      <c r="N4002" s="475">
        <f t="shared" si="162"/>
        <v>172852</v>
      </c>
    </row>
    <row r="4003" spans="7:14" ht="11.25" customHeight="1" x14ac:dyDescent="0.3">
      <c r="G4003" s="470"/>
      <c r="H4003" s="470">
        <v>3996</v>
      </c>
      <c r="I4003" s="455">
        <f t="shared" ca="1" si="160"/>
        <v>4093722991802.2065</v>
      </c>
      <c r="J4003" s="455">
        <f t="array" ref="J4003">IFERROR(INDEX('Retirement Calculator'!K:K,MATCH('Lorri 401b'!N4003,'Retirement Calculator'!A:A,0),0),0)</f>
        <v>0</v>
      </c>
      <c r="K4003" s="455">
        <f t="shared" ca="1" si="158"/>
        <v>17057179132.509193</v>
      </c>
      <c r="L4003" s="455">
        <f t="shared" ca="1" si="159"/>
        <v>4110780170934.7158</v>
      </c>
      <c r="M4003" s="471">
        <f t="shared" si="161"/>
        <v>0.05</v>
      </c>
      <c r="N4003" s="475">
        <f t="shared" si="162"/>
        <v>172882</v>
      </c>
    </row>
    <row r="4004" spans="7:14" ht="11.25" customHeight="1" x14ac:dyDescent="0.3">
      <c r="G4004" s="470"/>
      <c r="H4004" s="470">
        <v>3997</v>
      </c>
      <c r="I4004" s="455">
        <f t="shared" ca="1" si="160"/>
        <v>4110780170934.7158</v>
      </c>
      <c r="J4004" s="455">
        <f t="array" ref="J4004">IFERROR(INDEX('Retirement Calculator'!K:K,MATCH('Lorri 401b'!N4004,'Retirement Calculator'!A:A,0),0),0)</f>
        <v>0</v>
      </c>
      <c r="K4004" s="455">
        <f t="shared" ca="1" si="158"/>
        <v>17128250712.227982</v>
      </c>
      <c r="L4004" s="455">
        <f t="shared" ca="1" si="159"/>
        <v>4127908421646.9438</v>
      </c>
      <c r="M4004" s="471">
        <f t="shared" si="161"/>
        <v>0.05</v>
      </c>
      <c r="N4004" s="475">
        <f t="shared" si="162"/>
        <v>172913</v>
      </c>
    </row>
    <row r="4005" spans="7:14" ht="11.25" customHeight="1" x14ac:dyDescent="0.3">
      <c r="G4005" s="470"/>
      <c r="H4005" s="470">
        <v>3998</v>
      </c>
      <c r="I4005" s="455">
        <f t="shared" ca="1" si="160"/>
        <v>4127908421646.9438</v>
      </c>
      <c r="J4005" s="455">
        <f t="array" ref="J4005">IFERROR(INDEX('Retirement Calculator'!K:K,MATCH('Lorri 401b'!N4005,'Retirement Calculator'!A:A,0),0),0)</f>
        <v>0</v>
      </c>
      <c r="K4005" s="455">
        <f t="shared" ca="1" si="158"/>
        <v>17199618423.528931</v>
      </c>
      <c r="L4005" s="455">
        <f t="shared" ca="1" si="159"/>
        <v>4145108040070.4727</v>
      </c>
      <c r="M4005" s="471">
        <f t="shared" si="161"/>
        <v>0.05</v>
      </c>
      <c r="N4005" s="475">
        <f t="shared" si="162"/>
        <v>172943</v>
      </c>
    </row>
    <row r="4006" spans="7:14" ht="11.25" customHeight="1" x14ac:dyDescent="0.3">
      <c r="G4006" s="470"/>
      <c r="H4006" s="470">
        <v>3999</v>
      </c>
      <c r="I4006" s="455">
        <f t="shared" ca="1" si="160"/>
        <v>4145108040070.4727</v>
      </c>
      <c r="J4006" s="455">
        <f t="array" ref="J4006">IFERROR(INDEX('Retirement Calculator'!K:K,MATCH('Lorri 401b'!N4006,'Retirement Calculator'!A:A,0),0),0)</f>
        <v>0</v>
      </c>
      <c r="K4006" s="455">
        <f t="shared" ca="1" si="158"/>
        <v>17271283500.293636</v>
      </c>
      <c r="L4006" s="455">
        <f t="shared" ca="1" si="159"/>
        <v>4162379323570.7661</v>
      </c>
      <c r="M4006" s="471">
        <f t="shared" si="161"/>
        <v>0.05</v>
      </c>
      <c r="N4006" s="475">
        <f t="shared" si="162"/>
        <v>172974</v>
      </c>
    </row>
    <row r="4007" spans="7:14" ht="11.25" customHeight="1" x14ac:dyDescent="0.3">
      <c r="G4007" s="470"/>
      <c r="H4007" s="470">
        <v>4000</v>
      </c>
      <c r="I4007" s="455">
        <f t="shared" ca="1" si="160"/>
        <v>4162379323570.7661</v>
      </c>
      <c r="J4007" s="455">
        <f t="array" ref="J4007">IFERROR(INDEX('Retirement Calculator'!K:K,MATCH('Lorri 401b'!N4007,'Retirement Calculator'!A:A,0),0),0)</f>
        <v>0</v>
      </c>
      <c r="K4007" s="455">
        <f t="shared" ca="1" si="158"/>
        <v>17343247181.544857</v>
      </c>
      <c r="L4007" s="455">
        <f t="shared" ca="1" si="159"/>
        <v>4179722570752.311</v>
      </c>
      <c r="M4007" s="471">
        <f t="shared" si="161"/>
        <v>0.05</v>
      </c>
      <c r="N4007" s="475">
        <f t="shared" si="162"/>
        <v>173005</v>
      </c>
    </row>
    <row r="4008" spans="7:14" ht="11.25" customHeight="1" x14ac:dyDescent="0.3">
      <c r="G4008" s="470"/>
      <c r="H4008" s="470">
        <v>4001</v>
      </c>
      <c r="I4008" s="455">
        <f t="shared" ca="1" si="160"/>
        <v>4179722570752.311</v>
      </c>
      <c r="J4008" s="455">
        <f t="array" ref="J4008">IFERROR(INDEX('Retirement Calculator'!K:K,MATCH('Lorri 401b'!N4008,'Retirement Calculator'!A:A,0),0),0)</f>
        <v>0</v>
      </c>
      <c r="K4008" s="455">
        <f t="shared" ca="1" si="158"/>
        <v>17415510711.467964</v>
      </c>
      <c r="L4008" s="455">
        <f t="shared" ca="1" si="159"/>
        <v>4197138081463.7788</v>
      </c>
      <c r="M4008" s="471">
        <f t="shared" si="161"/>
        <v>0.05</v>
      </c>
      <c r="N4008" s="475">
        <f t="shared" si="162"/>
        <v>173035</v>
      </c>
    </row>
    <row r="4009" spans="7:14" ht="11.25" customHeight="1" x14ac:dyDescent="0.3">
      <c r="G4009" s="470"/>
      <c r="H4009" s="470">
        <v>4002</v>
      </c>
      <c r="I4009" s="455">
        <f t="shared" ca="1" si="160"/>
        <v>4197138081463.7788</v>
      </c>
      <c r="J4009" s="455">
        <f t="array" ref="J4009">IFERROR(INDEX('Retirement Calculator'!K:K,MATCH('Lorri 401b'!N4009,'Retirement Calculator'!A:A,0),0),0)</f>
        <v>0</v>
      </c>
      <c r="K4009" s="455">
        <f t="shared" ca="1" si="158"/>
        <v>17488075339.432411</v>
      </c>
      <c r="L4009" s="455">
        <f t="shared" ca="1" si="159"/>
        <v>4214626156803.2114</v>
      </c>
      <c r="M4009" s="471">
        <f t="shared" si="161"/>
        <v>0.05</v>
      </c>
      <c r="N4009" s="475">
        <f t="shared" si="162"/>
        <v>173066</v>
      </c>
    </row>
    <row r="4010" spans="7:14" ht="11.25" customHeight="1" x14ac:dyDescent="0.3">
      <c r="G4010" s="470"/>
      <c r="H4010" s="470">
        <v>4003</v>
      </c>
      <c r="I4010" s="455">
        <f t="shared" ca="1" si="160"/>
        <v>4214626156803.2114</v>
      </c>
      <c r="J4010" s="455">
        <f t="array" ref="J4010">IFERROR(INDEX('Retirement Calculator'!K:K,MATCH('Lorri 401b'!N4010,'Retirement Calculator'!A:A,0),0),0)</f>
        <v>0</v>
      </c>
      <c r="K4010" s="455">
        <f t="shared" ca="1" si="158"/>
        <v>17560942320.013382</v>
      </c>
      <c r="L4010" s="455">
        <f t="shared" ca="1" si="159"/>
        <v>4232187099123.2246</v>
      </c>
      <c r="M4010" s="471">
        <f t="shared" si="161"/>
        <v>0.05</v>
      </c>
      <c r="N4010" s="475">
        <f t="shared" si="162"/>
        <v>173096</v>
      </c>
    </row>
    <row r="4011" spans="7:14" ht="11.25" customHeight="1" x14ac:dyDescent="0.3">
      <c r="G4011" s="470"/>
      <c r="H4011" s="470">
        <v>4004</v>
      </c>
      <c r="I4011" s="455">
        <f t="shared" ca="1" si="160"/>
        <v>4232187099123.2246</v>
      </c>
      <c r="J4011" s="455">
        <f t="array" ref="J4011">IFERROR(INDEX('Retirement Calculator'!K:K,MATCH('Lorri 401b'!N4011,'Retirement Calculator'!A:A,0),0),0)</f>
        <v>0</v>
      </c>
      <c r="K4011" s="455">
        <f t="shared" ca="1" si="158"/>
        <v>17634112913.013435</v>
      </c>
      <c r="L4011" s="455">
        <f t="shared" ca="1" si="159"/>
        <v>4249821212036.2383</v>
      </c>
      <c r="M4011" s="471">
        <f t="shared" si="161"/>
        <v>0.05</v>
      </c>
      <c r="N4011" s="475">
        <f t="shared" si="162"/>
        <v>173127</v>
      </c>
    </row>
    <row r="4012" spans="7:14" ht="11.25" customHeight="1" x14ac:dyDescent="0.3">
      <c r="G4012" s="470"/>
      <c r="H4012" s="470">
        <v>4005</v>
      </c>
      <c r="I4012" s="455">
        <f t="shared" ca="1" si="160"/>
        <v>4249821212036.2383</v>
      </c>
      <c r="J4012" s="455">
        <f t="array" ref="J4012">IFERROR(INDEX('Retirement Calculator'!K:K,MATCH('Lorri 401b'!N4012,'Retirement Calculator'!A:A,0),0),0)</f>
        <v>0</v>
      </c>
      <c r="K4012" s="455">
        <f t="shared" ca="1" si="158"/>
        <v>17707588383.484329</v>
      </c>
      <c r="L4012" s="455">
        <f t="shared" ca="1" si="159"/>
        <v>4267528800419.7227</v>
      </c>
      <c r="M4012" s="471">
        <f t="shared" si="161"/>
        <v>0.05</v>
      </c>
      <c r="N4012" s="475">
        <f t="shared" si="162"/>
        <v>173158</v>
      </c>
    </row>
    <row r="4013" spans="7:14" ht="11.25" customHeight="1" x14ac:dyDescent="0.3">
      <c r="G4013" s="470"/>
      <c r="H4013" s="470">
        <v>4006</v>
      </c>
      <c r="I4013" s="455">
        <f t="shared" ca="1" si="160"/>
        <v>4267528800419.7227</v>
      </c>
      <c r="J4013" s="455">
        <f t="array" ref="J4013">IFERROR(INDEX('Retirement Calculator'!K:K,MATCH('Lorri 401b'!N4013,'Retirement Calculator'!A:A,0),0),0)</f>
        <v>0</v>
      </c>
      <c r="K4013" s="455">
        <f t="shared" ca="1" si="158"/>
        <v>17781370001.748844</v>
      </c>
      <c r="L4013" s="455">
        <f t="shared" ca="1" si="159"/>
        <v>4285310170421.4717</v>
      </c>
      <c r="M4013" s="471">
        <f t="shared" si="161"/>
        <v>0.05</v>
      </c>
      <c r="N4013" s="475">
        <f t="shared" si="162"/>
        <v>173186</v>
      </c>
    </row>
    <row r="4014" spans="7:14" ht="11.25" customHeight="1" x14ac:dyDescent="0.3">
      <c r="G4014" s="470"/>
      <c r="H4014" s="470">
        <v>4007</v>
      </c>
      <c r="I4014" s="455">
        <f t="shared" ca="1" si="160"/>
        <v>4285310170421.4717</v>
      </c>
      <c r="J4014" s="455">
        <f t="array" ref="J4014">IFERROR(INDEX('Retirement Calculator'!K:K,MATCH('Lorri 401b'!N4014,'Retirement Calculator'!A:A,0),0),0)</f>
        <v>0</v>
      </c>
      <c r="K4014" s="455">
        <f t="shared" ca="1" si="158"/>
        <v>17855459043.422798</v>
      </c>
      <c r="L4014" s="455">
        <f t="shared" ca="1" si="159"/>
        <v>4303165629464.8945</v>
      </c>
      <c r="M4014" s="471">
        <f t="shared" si="161"/>
        <v>0.05</v>
      </c>
      <c r="N4014" s="475">
        <f t="shared" si="162"/>
        <v>173217</v>
      </c>
    </row>
    <row r="4015" spans="7:14" ht="11.25" customHeight="1" x14ac:dyDescent="0.3">
      <c r="G4015" s="470"/>
      <c r="H4015" s="470">
        <v>4008</v>
      </c>
      <c r="I4015" s="455">
        <f t="shared" ca="1" si="160"/>
        <v>4303165629464.8945</v>
      </c>
      <c r="J4015" s="455">
        <f t="array" ref="J4015">IFERROR(INDEX('Retirement Calculator'!K:K,MATCH('Lorri 401b'!N4015,'Retirement Calculator'!A:A,0),0),0)</f>
        <v>0</v>
      </c>
      <c r="K4015" s="455">
        <f t="shared" ca="1" si="158"/>
        <v>17929856789.437061</v>
      </c>
      <c r="L4015" s="455">
        <f t="shared" ca="1" si="159"/>
        <v>4321095486254.3315</v>
      </c>
      <c r="M4015" s="471">
        <f t="shared" si="161"/>
        <v>0.05</v>
      </c>
      <c r="N4015" s="475">
        <f t="shared" si="162"/>
        <v>173247</v>
      </c>
    </row>
    <row r="4016" spans="7:14" ht="11.25" customHeight="1" x14ac:dyDescent="0.3">
      <c r="G4016" s="470"/>
      <c r="H4016" s="470">
        <v>4009</v>
      </c>
      <c r="I4016" s="455">
        <f t="shared" ca="1" si="160"/>
        <v>4321095486254.3315</v>
      </c>
      <c r="J4016" s="455">
        <f t="array" ref="J4016">IFERROR(INDEX('Retirement Calculator'!K:K,MATCH('Lorri 401b'!N4016,'Retirement Calculator'!A:A,0),0),0)</f>
        <v>0</v>
      </c>
      <c r="K4016" s="455">
        <f t="shared" ca="1" si="158"/>
        <v>18004564526.059715</v>
      </c>
      <c r="L4016" s="455">
        <f t="shared" ca="1" si="159"/>
        <v>4339100050780.3911</v>
      </c>
      <c r="M4016" s="471">
        <f t="shared" si="161"/>
        <v>0.05</v>
      </c>
      <c r="N4016" s="475">
        <f t="shared" si="162"/>
        <v>173278</v>
      </c>
    </row>
    <row r="4017" spans="7:14" ht="11.25" customHeight="1" x14ac:dyDescent="0.3">
      <c r="G4017" s="470"/>
      <c r="H4017" s="470">
        <v>4010</v>
      </c>
      <c r="I4017" s="455">
        <f t="shared" ca="1" si="160"/>
        <v>4339100050780.3911</v>
      </c>
      <c r="J4017" s="455">
        <f t="array" ref="J4017">IFERROR(INDEX('Retirement Calculator'!K:K,MATCH('Lorri 401b'!N4017,'Retirement Calculator'!A:A,0),0),0)</f>
        <v>0</v>
      </c>
      <c r="K4017" s="455">
        <f t="shared" ca="1" si="158"/>
        <v>18079583544.918297</v>
      </c>
      <c r="L4017" s="455">
        <f t="shared" ca="1" si="159"/>
        <v>4357179634325.3096</v>
      </c>
      <c r="M4017" s="471">
        <f t="shared" si="161"/>
        <v>0.05</v>
      </c>
      <c r="N4017" s="475">
        <f t="shared" si="162"/>
        <v>173308</v>
      </c>
    </row>
    <row r="4018" spans="7:14" ht="11.25" customHeight="1" x14ac:dyDescent="0.3">
      <c r="G4018" s="470"/>
      <c r="H4018" s="470">
        <v>4011</v>
      </c>
      <c r="I4018" s="455">
        <f t="shared" ca="1" si="160"/>
        <v>4357179634325.3096</v>
      </c>
      <c r="J4018" s="455">
        <f t="array" ref="J4018">IFERROR(INDEX('Retirement Calculator'!K:K,MATCH('Lorri 401b'!N4018,'Retirement Calculator'!A:A,0),0),0)</f>
        <v>0</v>
      </c>
      <c r="K4018" s="455">
        <f t="shared" ca="1" si="158"/>
        <v>18154915143.022121</v>
      </c>
      <c r="L4018" s="455">
        <f t="shared" ca="1" si="159"/>
        <v>4375334549468.3315</v>
      </c>
      <c r="M4018" s="471">
        <f t="shared" si="161"/>
        <v>0.05</v>
      </c>
      <c r="N4018" s="475">
        <f t="shared" si="162"/>
        <v>173339</v>
      </c>
    </row>
    <row r="4019" spans="7:14" ht="11.25" customHeight="1" x14ac:dyDescent="0.3">
      <c r="G4019" s="470"/>
      <c r="H4019" s="470">
        <v>4012</v>
      </c>
      <c r="I4019" s="455">
        <f t="shared" ca="1" si="160"/>
        <v>4375334549468.3315</v>
      </c>
      <c r="J4019" s="455">
        <f t="array" ref="J4019">IFERROR(INDEX('Retirement Calculator'!K:K,MATCH('Lorri 401b'!N4019,'Retirement Calculator'!A:A,0),0),0)</f>
        <v>0</v>
      </c>
      <c r="K4019" s="455">
        <f t="shared" ca="1" si="158"/>
        <v>18230560622.784714</v>
      </c>
      <c r="L4019" s="455">
        <f t="shared" ca="1" si="159"/>
        <v>4393565110091.1162</v>
      </c>
      <c r="M4019" s="471">
        <f t="shared" si="161"/>
        <v>0.05</v>
      </c>
      <c r="N4019" s="475">
        <f t="shared" si="162"/>
        <v>173370</v>
      </c>
    </row>
    <row r="4020" spans="7:14" ht="11.25" customHeight="1" x14ac:dyDescent="0.3">
      <c r="G4020" s="470"/>
      <c r="H4020" s="470">
        <v>4013</v>
      </c>
      <c r="I4020" s="455">
        <f t="shared" ca="1" si="160"/>
        <v>4393565110091.1162</v>
      </c>
      <c r="J4020" s="455">
        <f t="array" ref="J4020">IFERROR(INDEX('Retirement Calculator'!K:K,MATCH('Lorri 401b'!N4020,'Retirement Calculator'!A:A,0),0),0)</f>
        <v>0</v>
      </c>
      <c r="K4020" s="455">
        <f t="shared" ca="1" si="158"/>
        <v>18306521292.046318</v>
      </c>
      <c r="L4020" s="455">
        <f t="shared" ca="1" si="159"/>
        <v>4411871631383.1621</v>
      </c>
      <c r="M4020" s="471">
        <f t="shared" si="161"/>
        <v>0.05</v>
      </c>
      <c r="N4020" s="475">
        <f t="shared" si="162"/>
        <v>173400</v>
      </c>
    </row>
    <row r="4021" spans="7:14" ht="11.25" customHeight="1" x14ac:dyDescent="0.3">
      <c r="G4021" s="470"/>
      <c r="H4021" s="470">
        <v>4014</v>
      </c>
      <c r="I4021" s="455">
        <f t="shared" ca="1" si="160"/>
        <v>4411871631383.1621</v>
      </c>
      <c r="J4021" s="455">
        <f t="array" ref="J4021">IFERROR(INDEX('Retirement Calculator'!K:K,MATCH('Lorri 401b'!N4021,'Retirement Calculator'!A:A,0),0),0)</f>
        <v>0</v>
      </c>
      <c r="K4021" s="455">
        <f t="shared" ca="1" si="158"/>
        <v>18382798464.096508</v>
      </c>
      <c r="L4021" s="455">
        <f t="shared" ca="1" si="159"/>
        <v>4430254429847.2588</v>
      </c>
      <c r="M4021" s="471">
        <f t="shared" si="161"/>
        <v>0.05</v>
      </c>
      <c r="N4021" s="475">
        <f t="shared" si="162"/>
        <v>173431</v>
      </c>
    </row>
    <row r="4022" spans="7:14" ht="11.25" customHeight="1" x14ac:dyDescent="0.3">
      <c r="G4022" s="470"/>
      <c r="H4022" s="470">
        <v>4015</v>
      </c>
      <c r="I4022" s="455">
        <f t="shared" ca="1" si="160"/>
        <v>4430254429847.2588</v>
      </c>
      <c r="J4022" s="455">
        <f t="array" ref="J4022">IFERROR(INDEX('Retirement Calculator'!K:K,MATCH('Lorri 401b'!N4022,'Retirement Calculator'!A:A,0),0),0)</f>
        <v>0</v>
      </c>
      <c r="K4022" s="455">
        <f t="shared" ca="1" si="158"/>
        <v>18459393457.696911</v>
      </c>
      <c r="L4022" s="455">
        <f t="shared" ca="1" si="159"/>
        <v>4448713823304.9561</v>
      </c>
      <c r="M4022" s="471">
        <f t="shared" si="161"/>
        <v>0.05</v>
      </c>
      <c r="N4022" s="475">
        <f t="shared" si="162"/>
        <v>173461</v>
      </c>
    </row>
    <row r="4023" spans="7:14" ht="11.25" customHeight="1" x14ac:dyDescent="0.3">
      <c r="G4023" s="470"/>
      <c r="H4023" s="470">
        <v>4016</v>
      </c>
      <c r="I4023" s="455">
        <f t="shared" ca="1" si="160"/>
        <v>4448713823304.9561</v>
      </c>
      <c r="J4023" s="455">
        <f t="array" ref="J4023">IFERROR(INDEX('Retirement Calculator'!K:K,MATCH('Lorri 401b'!N4023,'Retirement Calculator'!A:A,0),0),0)</f>
        <v>0</v>
      </c>
      <c r="K4023" s="455">
        <f t="shared" ca="1" si="158"/>
        <v>18536307597.103985</v>
      </c>
      <c r="L4023" s="455">
        <f t="shared" ca="1" si="159"/>
        <v>4467250130902.0596</v>
      </c>
      <c r="M4023" s="471">
        <f t="shared" si="161"/>
        <v>0.05</v>
      </c>
      <c r="N4023" s="475">
        <f t="shared" si="162"/>
        <v>173492</v>
      </c>
    </row>
    <row r="4024" spans="7:14" ht="11.25" customHeight="1" x14ac:dyDescent="0.3">
      <c r="G4024" s="470"/>
      <c r="H4024" s="470">
        <v>4017</v>
      </c>
      <c r="I4024" s="455">
        <f t="shared" ca="1" si="160"/>
        <v>4467250130902.0596</v>
      </c>
      <c r="J4024" s="455">
        <f t="array" ref="J4024">IFERROR(INDEX('Retirement Calculator'!K:K,MATCH('Lorri 401b'!N4024,'Retirement Calculator'!A:A,0),0),0)</f>
        <v>0</v>
      </c>
      <c r="K4024" s="455">
        <f t="shared" ca="1" si="158"/>
        <v>18613542212.091915</v>
      </c>
      <c r="L4024" s="455">
        <f t="shared" ca="1" si="159"/>
        <v>4485863673114.1514</v>
      </c>
      <c r="M4024" s="471">
        <f t="shared" si="161"/>
        <v>0.05</v>
      </c>
      <c r="N4024" s="475">
        <f t="shared" si="162"/>
        <v>173523</v>
      </c>
    </row>
    <row r="4025" spans="7:14" ht="11.25" customHeight="1" x14ac:dyDescent="0.3">
      <c r="G4025" s="470"/>
      <c r="H4025" s="470">
        <v>4018</v>
      </c>
      <c r="I4025" s="455">
        <f t="shared" ca="1" si="160"/>
        <v>4485863673114.1514</v>
      </c>
      <c r="J4025" s="455">
        <f t="array" ref="J4025">IFERROR(INDEX('Retirement Calculator'!K:K,MATCH('Lorri 401b'!N4025,'Retirement Calculator'!A:A,0),0),0)</f>
        <v>0</v>
      </c>
      <c r="K4025" s="455">
        <f t="shared" ca="1" si="158"/>
        <v>18691098637.975632</v>
      </c>
      <c r="L4025" s="455">
        <f t="shared" ca="1" si="159"/>
        <v>4504554771752.127</v>
      </c>
      <c r="M4025" s="471">
        <f t="shared" si="161"/>
        <v>0.05</v>
      </c>
      <c r="N4025" s="475">
        <f t="shared" si="162"/>
        <v>173551</v>
      </c>
    </row>
    <row r="4026" spans="7:14" ht="11.25" customHeight="1" x14ac:dyDescent="0.3">
      <c r="G4026" s="470"/>
      <c r="H4026" s="470">
        <v>4019</v>
      </c>
      <c r="I4026" s="455">
        <f t="shared" ca="1" si="160"/>
        <v>4504554771752.127</v>
      </c>
      <c r="J4026" s="455">
        <f t="array" ref="J4026">IFERROR(INDEX('Retirement Calculator'!K:K,MATCH('Lorri 401b'!N4026,'Retirement Calculator'!A:A,0),0),0)</f>
        <v>0</v>
      </c>
      <c r="K4026" s="455">
        <f t="shared" ca="1" si="158"/>
        <v>18768978215.633862</v>
      </c>
      <c r="L4026" s="455">
        <f t="shared" ca="1" si="159"/>
        <v>4523323749967.7607</v>
      </c>
      <c r="M4026" s="471">
        <f t="shared" si="161"/>
        <v>0.05</v>
      </c>
      <c r="N4026" s="475">
        <f t="shared" si="162"/>
        <v>173582</v>
      </c>
    </row>
    <row r="4027" spans="7:14" ht="11.25" customHeight="1" x14ac:dyDescent="0.3">
      <c r="G4027" s="470"/>
      <c r="H4027" s="470">
        <v>4020</v>
      </c>
      <c r="I4027" s="455">
        <f t="shared" ca="1" si="160"/>
        <v>4523323749967.7607</v>
      </c>
      <c r="J4027" s="455">
        <f t="array" ref="J4027">IFERROR(INDEX('Retirement Calculator'!K:K,MATCH('Lorri 401b'!N4027,'Retirement Calculator'!A:A,0),0),0)</f>
        <v>0</v>
      </c>
      <c r="K4027" s="455">
        <f t="shared" ca="1" si="158"/>
        <v>18847182291.532337</v>
      </c>
      <c r="L4027" s="455">
        <f t="shared" ca="1" si="159"/>
        <v>4542170932259.293</v>
      </c>
      <c r="M4027" s="471">
        <f t="shared" si="161"/>
        <v>0.05</v>
      </c>
      <c r="N4027" s="475">
        <f t="shared" si="162"/>
        <v>173612</v>
      </c>
    </row>
    <row r="4028" spans="7:14" ht="11.25" customHeight="1" x14ac:dyDescent="0.3">
      <c r="G4028" s="470"/>
      <c r="H4028" s="470">
        <v>4021</v>
      </c>
      <c r="I4028" s="455">
        <f t="shared" ca="1" si="160"/>
        <v>4542170932259.293</v>
      </c>
      <c r="J4028" s="455">
        <f t="array" ref="J4028">IFERROR(INDEX('Retirement Calculator'!K:K,MATCH('Lorri 401b'!N4028,'Retirement Calculator'!A:A,0),0),0)</f>
        <v>0</v>
      </c>
      <c r="K4028" s="455">
        <f t="shared" ca="1" si="158"/>
        <v>18925712217.747055</v>
      </c>
      <c r="L4028" s="455">
        <f t="shared" ca="1" si="159"/>
        <v>4561096644477.04</v>
      </c>
      <c r="M4028" s="471">
        <f t="shared" si="161"/>
        <v>0.05</v>
      </c>
      <c r="N4028" s="475">
        <f t="shared" si="162"/>
        <v>173643</v>
      </c>
    </row>
    <row r="4029" spans="7:14" ht="11.25" customHeight="1" x14ac:dyDescent="0.3">
      <c r="G4029" s="470"/>
      <c r="H4029" s="470">
        <v>4022</v>
      </c>
      <c r="I4029" s="455">
        <f t="shared" ca="1" si="160"/>
        <v>4561096644477.04</v>
      </c>
      <c r="J4029" s="455">
        <f t="array" ref="J4029">IFERROR(INDEX('Retirement Calculator'!K:K,MATCH('Lorri 401b'!N4029,'Retirement Calculator'!A:A,0),0),0)</f>
        <v>0</v>
      </c>
      <c r="K4029" s="455">
        <f t="shared" ca="1" si="158"/>
        <v>19004569351.987667</v>
      </c>
      <c r="L4029" s="455">
        <f t="shared" ca="1" si="159"/>
        <v>4580101213829.0273</v>
      </c>
      <c r="M4029" s="471">
        <f t="shared" si="161"/>
        <v>0.05</v>
      </c>
      <c r="N4029" s="475">
        <f t="shared" si="162"/>
        <v>173673</v>
      </c>
    </row>
    <row r="4030" spans="7:14" ht="11.25" customHeight="1" x14ac:dyDescent="0.3">
      <c r="G4030" s="470"/>
      <c r="H4030" s="470">
        <v>4023</v>
      </c>
      <c r="I4030" s="455">
        <f t="shared" ca="1" si="160"/>
        <v>4580101213829.0273</v>
      </c>
      <c r="J4030" s="455">
        <f t="array" ref="J4030">IFERROR(INDEX('Retirement Calculator'!K:K,MATCH('Lorri 401b'!N4030,'Retirement Calculator'!A:A,0),0),0)</f>
        <v>0</v>
      </c>
      <c r="K4030" s="455">
        <f t="shared" ca="1" si="158"/>
        <v>19083755057.620949</v>
      </c>
      <c r="L4030" s="455">
        <f t="shared" ca="1" si="159"/>
        <v>4599184968886.6484</v>
      </c>
      <c r="M4030" s="471">
        <f t="shared" si="161"/>
        <v>0.05</v>
      </c>
      <c r="N4030" s="475">
        <f t="shared" si="162"/>
        <v>173704</v>
      </c>
    </row>
    <row r="4031" spans="7:14" ht="11.25" customHeight="1" x14ac:dyDescent="0.3">
      <c r="G4031" s="470"/>
      <c r="H4031" s="470">
        <v>4024</v>
      </c>
      <c r="I4031" s="455">
        <f t="shared" ca="1" si="160"/>
        <v>4599184968886.6484</v>
      </c>
      <c r="J4031" s="455">
        <f t="array" ref="J4031">IFERROR(INDEX('Retirement Calculator'!K:K,MATCH('Lorri 401b'!N4031,'Retirement Calculator'!A:A,0),0),0)</f>
        <v>0</v>
      </c>
      <c r="K4031" s="455">
        <f t="shared" ca="1" si="158"/>
        <v>19163270703.694366</v>
      </c>
      <c r="L4031" s="455">
        <f t="shared" ca="1" si="159"/>
        <v>4618348239590.3428</v>
      </c>
      <c r="M4031" s="471">
        <f t="shared" si="161"/>
        <v>0.05</v>
      </c>
      <c r="N4031" s="475">
        <f t="shared" si="162"/>
        <v>173735</v>
      </c>
    </row>
    <row r="4032" spans="7:14" ht="11.25" customHeight="1" x14ac:dyDescent="0.3">
      <c r="G4032" s="470"/>
      <c r="H4032" s="470">
        <v>4025</v>
      </c>
      <c r="I4032" s="455">
        <f t="shared" ca="1" si="160"/>
        <v>4618348239590.3428</v>
      </c>
      <c r="J4032" s="455">
        <f t="array" ref="J4032">IFERROR(INDEX('Retirement Calculator'!K:K,MATCH('Lorri 401b'!N4032,'Retirement Calculator'!A:A,0),0),0)</f>
        <v>0</v>
      </c>
      <c r="K4032" s="455">
        <f t="shared" ca="1" si="158"/>
        <v>19243117664.959763</v>
      </c>
      <c r="L4032" s="455">
        <f t="shared" ca="1" si="159"/>
        <v>4637591357255.3027</v>
      </c>
      <c r="M4032" s="471">
        <f t="shared" si="161"/>
        <v>0.05</v>
      </c>
      <c r="N4032" s="475">
        <f t="shared" si="162"/>
        <v>173765</v>
      </c>
    </row>
    <row r="4033" spans="7:14" ht="11.25" customHeight="1" x14ac:dyDescent="0.3">
      <c r="G4033" s="470"/>
      <c r="H4033" s="470">
        <v>4026</v>
      </c>
      <c r="I4033" s="455">
        <f t="shared" ca="1" si="160"/>
        <v>4637591357255.3027</v>
      </c>
      <c r="J4033" s="455">
        <f t="array" ref="J4033">IFERROR(INDEX('Retirement Calculator'!K:K,MATCH('Lorri 401b'!N4033,'Retirement Calculator'!A:A,0),0),0)</f>
        <v>0</v>
      </c>
      <c r="K4033" s="455">
        <f t="shared" ca="1" si="158"/>
        <v>19323297321.897095</v>
      </c>
      <c r="L4033" s="455">
        <f t="shared" ca="1" si="159"/>
        <v>4656914654577.2002</v>
      </c>
      <c r="M4033" s="471">
        <f t="shared" si="161"/>
        <v>0.05</v>
      </c>
      <c r="N4033" s="475">
        <f t="shared" si="162"/>
        <v>173796</v>
      </c>
    </row>
    <row r="4034" spans="7:14" ht="11.25" customHeight="1" x14ac:dyDescent="0.3">
      <c r="G4034" s="470"/>
      <c r="H4034" s="470">
        <v>4027</v>
      </c>
      <c r="I4034" s="455">
        <f t="shared" ca="1" si="160"/>
        <v>4656914654577.2002</v>
      </c>
      <c r="J4034" s="455">
        <f t="array" ref="J4034">IFERROR(INDEX('Retirement Calculator'!K:K,MATCH('Lorri 401b'!N4034,'Retirement Calculator'!A:A,0),0),0)</f>
        <v>0</v>
      </c>
      <c r="K4034" s="455">
        <f t="shared" ca="1" si="158"/>
        <v>19403811060.738335</v>
      </c>
      <c r="L4034" s="455">
        <f t="shared" ca="1" si="159"/>
        <v>4676318465637.9385</v>
      </c>
      <c r="M4034" s="471">
        <f t="shared" si="161"/>
        <v>0.05</v>
      </c>
      <c r="N4034" s="475">
        <f t="shared" si="162"/>
        <v>173826</v>
      </c>
    </row>
    <row r="4035" spans="7:14" ht="11.25" customHeight="1" x14ac:dyDescent="0.3">
      <c r="G4035" s="470"/>
      <c r="H4035" s="470">
        <v>4028</v>
      </c>
      <c r="I4035" s="455">
        <f t="shared" ca="1" si="160"/>
        <v>4676318465637.9385</v>
      </c>
      <c r="J4035" s="455">
        <f t="array" ref="J4035">IFERROR(INDEX('Retirement Calculator'!K:K,MATCH('Lorri 401b'!N4035,'Retirement Calculator'!A:A,0),0),0)</f>
        <v>0</v>
      </c>
      <c r="K4035" s="455">
        <f t="shared" ca="1" si="158"/>
        <v>19484660273.491409</v>
      </c>
      <c r="L4035" s="455">
        <f t="shared" ca="1" si="159"/>
        <v>4695803125911.4297</v>
      </c>
      <c r="M4035" s="471">
        <f t="shared" si="161"/>
        <v>0.05</v>
      </c>
      <c r="N4035" s="475">
        <f t="shared" si="162"/>
        <v>173857</v>
      </c>
    </row>
    <row r="4036" spans="7:14" ht="11.25" customHeight="1" x14ac:dyDescent="0.3">
      <c r="G4036" s="470"/>
      <c r="H4036" s="470">
        <v>4029</v>
      </c>
      <c r="I4036" s="455">
        <f t="shared" ca="1" si="160"/>
        <v>4695803125911.4297</v>
      </c>
      <c r="J4036" s="455">
        <f t="array" ref="J4036">IFERROR(INDEX('Retirement Calculator'!K:K,MATCH('Lorri 401b'!N4036,'Retirement Calculator'!A:A,0),0),0)</f>
        <v>0</v>
      </c>
      <c r="K4036" s="455">
        <f t="shared" ca="1" si="158"/>
        <v>19565846357.964291</v>
      </c>
      <c r="L4036" s="455">
        <f t="shared" ca="1" si="159"/>
        <v>4715368972269.3936</v>
      </c>
      <c r="M4036" s="471">
        <f t="shared" si="161"/>
        <v>0.05</v>
      </c>
      <c r="N4036" s="475">
        <f t="shared" si="162"/>
        <v>173888</v>
      </c>
    </row>
    <row r="4037" spans="7:14" ht="11.25" customHeight="1" x14ac:dyDescent="0.3">
      <c r="G4037" s="470"/>
      <c r="H4037" s="470">
        <v>4030</v>
      </c>
      <c r="I4037" s="455">
        <f t="shared" ca="1" si="160"/>
        <v>4715368972269.3936</v>
      </c>
      <c r="J4037" s="455">
        <f t="array" ref="J4037">IFERROR(INDEX('Retirement Calculator'!K:K,MATCH('Lorri 401b'!N4037,'Retirement Calculator'!A:A,0),0),0)</f>
        <v>0</v>
      </c>
      <c r="K4037" s="455">
        <f t="shared" ca="1" si="158"/>
        <v>19647370717.789139</v>
      </c>
      <c r="L4037" s="455">
        <f t="shared" ca="1" si="159"/>
        <v>4735016342987.1826</v>
      </c>
      <c r="M4037" s="471">
        <f t="shared" si="161"/>
        <v>0.05</v>
      </c>
      <c r="N4037" s="475">
        <f t="shared" si="162"/>
        <v>173917</v>
      </c>
    </row>
    <row r="4038" spans="7:14" ht="11.25" customHeight="1" x14ac:dyDescent="0.3">
      <c r="G4038" s="470"/>
      <c r="H4038" s="470">
        <v>4031</v>
      </c>
      <c r="I4038" s="455">
        <f t="shared" ca="1" si="160"/>
        <v>4735016342987.1826</v>
      </c>
      <c r="J4038" s="455">
        <f t="array" ref="J4038">IFERROR(INDEX('Retirement Calculator'!K:K,MATCH('Lorri 401b'!N4038,'Retirement Calculator'!A:A,0),0),0)</f>
        <v>0</v>
      </c>
      <c r="K4038" s="455">
        <f t="shared" ca="1" si="158"/>
        <v>19729234762.446594</v>
      </c>
      <c r="L4038" s="455">
        <f t="shared" ca="1" si="159"/>
        <v>4754745577749.6289</v>
      </c>
      <c r="M4038" s="471">
        <f t="shared" si="161"/>
        <v>0.05</v>
      </c>
      <c r="N4038" s="475">
        <f t="shared" si="162"/>
        <v>173948</v>
      </c>
    </row>
    <row r="4039" spans="7:14" ht="11.25" customHeight="1" x14ac:dyDescent="0.3">
      <c r="G4039" s="470"/>
      <c r="H4039" s="470">
        <v>4032</v>
      </c>
      <c r="I4039" s="455">
        <f t="shared" ca="1" si="160"/>
        <v>4754745577749.6289</v>
      </c>
      <c r="J4039" s="455">
        <f t="array" ref="J4039">IFERROR(INDEX('Retirement Calculator'!K:K,MATCH('Lorri 401b'!N4039,'Retirement Calculator'!A:A,0),0),0)</f>
        <v>0</v>
      </c>
      <c r="K4039" s="455">
        <f t="shared" ca="1" si="158"/>
        <v>19811439907.290119</v>
      </c>
      <c r="L4039" s="455">
        <f t="shared" ca="1" si="159"/>
        <v>4774557017656.9189</v>
      </c>
      <c r="M4039" s="471">
        <f t="shared" si="161"/>
        <v>0.05</v>
      </c>
      <c r="N4039" s="475">
        <f t="shared" si="162"/>
        <v>173978</v>
      </c>
    </row>
    <row r="4040" spans="7:14" ht="11.25" customHeight="1" x14ac:dyDescent="0.3">
      <c r="G4040" s="470"/>
      <c r="H4040" s="470">
        <v>4033</v>
      </c>
      <c r="I4040" s="455">
        <f t="shared" ca="1" si="160"/>
        <v>4774557017656.9189</v>
      </c>
      <c r="J4040" s="455">
        <f t="array" ref="J4040">IFERROR(INDEX('Retirement Calculator'!K:K,MATCH('Lorri 401b'!N4040,'Retirement Calculator'!A:A,0),0),0)</f>
        <v>0</v>
      </c>
      <c r="K4040" s="455">
        <f t="shared" ca="1" si="158"/>
        <v>19893987573.570496</v>
      </c>
      <c r="L4040" s="455">
        <f t="shared" ca="1" si="159"/>
        <v>4794451005230.4893</v>
      </c>
      <c r="M4040" s="471">
        <f t="shared" si="161"/>
        <v>0.05</v>
      </c>
      <c r="N4040" s="475">
        <f t="shared" si="162"/>
        <v>174009</v>
      </c>
    </row>
    <row r="4041" spans="7:14" ht="11.25" customHeight="1" x14ac:dyDescent="0.3">
      <c r="G4041" s="470"/>
      <c r="H4041" s="470">
        <v>4034</v>
      </c>
      <c r="I4041" s="455">
        <f t="shared" ca="1" si="160"/>
        <v>4794451005230.4893</v>
      </c>
      <c r="J4041" s="455">
        <f t="array" ref="J4041">IFERROR(INDEX('Retirement Calculator'!K:K,MATCH('Lorri 401b'!N4041,'Retirement Calculator'!A:A,0),0),0)</f>
        <v>0</v>
      </c>
      <c r="K4041" s="455">
        <f t="shared" ca="1" si="158"/>
        <v>19976879188.460373</v>
      </c>
      <c r="L4041" s="455">
        <f t="shared" ca="1" si="159"/>
        <v>4814427884418.9492</v>
      </c>
      <c r="M4041" s="471">
        <f t="shared" si="161"/>
        <v>0.05</v>
      </c>
      <c r="N4041" s="475">
        <f t="shared" si="162"/>
        <v>174039</v>
      </c>
    </row>
    <row r="4042" spans="7:14" ht="11.25" customHeight="1" x14ac:dyDescent="0.3">
      <c r="G4042" s="470"/>
      <c r="H4042" s="470">
        <v>4035</v>
      </c>
      <c r="I4042" s="455">
        <f t="shared" ca="1" si="160"/>
        <v>4814427884418.9492</v>
      </c>
      <c r="J4042" s="455">
        <f t="array" ref="J4042">IFERROR(INDEX('Retirement Calculator'!K:K,MATCH('Lorri 401b'!N4042,'Retirement Calculator'!A:A,0),0),0)</f>
        <v>0</v>
      </c>
      <c r="K4042" s="455">
        <f t="shared" ca="1" si="158"/>
        <v>20060116185.078957</v>
      </c>
      <c r="L4042" s="455">
        <f t="shared" ca="1" si="159"/>
        <v>4834488000604.0283</v>
      </c>
      <c r="M4042" s="471">
        <f t="shared" si="161"/>
        <v>0.05</v>
      </c>
      <c r="N4042" s="475">
        <f t="shared" si="162"/>
        <v>174070</v>
      </c>
    </row>
    <row r="4043" spans="7:14" ht="11.25" customHeight="1" x14ac:dyDescent="0.3">
      <c r="G4043" s="470"/>
      <c r="H4043" s="470">
        <v>4036</v>
      </c>
      <c r="I4043" s="455">
        <f t="shared" ca="1" si="160"/>
        <v>4834488000604.0283</v>
      </c>
      <c r="J4043" s="455">
        <f t="array" ref="J4043">IFERROR(INDEX('Retirement Calculator'!K:K,MATCH('Lorri 401b'!N4043,'Retirement Calculator'!A:A,0),0),0)</f>
        <v>0</v>
      </c>
      <c r="K4043" s="455">
        <f t="shared" ca="1" si="158"/>
        <v>20143700002.516785</v>
      </c>
      <c r="L4043" s="455">
        <f t="shared" ca="1" si="159"/>
        <v>4854631700606.5449</v>
      </c>
      <c r="M4043" s="471">
        <f t="shared" si="161"/>
        <v>0.05</v>
      </c>
      <c r="N4043" s="475">
        <f t="shared" si="162"/>
        <v>174101</v>
      </c>
    </row>
    <row r="4044" spans="7:14" ht="11.25" customHeight="1" x14ac:dyDescent="0.3">
      <c r="G4044" s="470"/>
      <c r="H4044" s="470">
        <v>4037</v>
      </c>
      <c r="I4044" s="455">
        <f t="shared" ca="1" si="160"/>
        <v>4854631700606.5449</v>
      </c>
      <c r="J4044" s="455">
        <f t="array" ref="J4044">IFERROR(INDEX('Retirement Calculator'!K:K,MATCH('Lorri 401b'!N4044,'Retirement Calculator'!A:A,0),0),0)</f>
        <v>0</v>
      </c>
      <c r="K4044" s="455">
        <f t="shared" ca="1" si="158"/>
        <v>20227632085.860603</v>
      </c>
      <c r="L4044" s="455">
        <f t="shared" ca="1" si="159"/>
        <v>4874859332692.4053</v>
      </c>
      <c r="M4044" s="471">
        <f t="shared" si="161"/>
        <v>0.05</v>
      </c>
      <c r="N4044" s="475">
        <f t="shared" si="162"/>
        <v>174131</v>
      </c>
    </row>
    <row r="4045" spans="7:14" ht="11.25" customHeight="1" x14ac:dyDescent="0.3">
      <c r="G4045" s="470"/>
      <c r="H4045" s="470">
        <v>4038</v>
      </c>
      <c r="I4045" s="455">
        <f t="shared" ca="1" si="160"/>
        <v>4874859332692.4053</v>
      </c>
      <c r="J4045" s="455">
        <f t="array" ref="J4045">IFERROR(INDEX('Retirement Calculator'!K:K,MATCH('Lorri 401b'!N4045,'Retirement Calculator'!A:A,0),0),0)</f>
        <v>0</v>
      </c>
      <c r="K4045" s="455">
        <f t="shared" ca="1" si="158"/>
        <v>20311913886.218353</v>
      </c>
      <c r="L4045" s="455">
        <f t="shared" ca="1" si="159"/>
        <v>4895171246578.624</v>
      </c>
      <c r="M4045" s="471">
        <f t="shared" si="161"/>
        <v>0.05</v>
      </c>
      <c r="N4045" s="475">
        <f t="shared" si="162"/>
        <v>174162</v>
      </c>
    </row>
    <row r="4046" spans="7:14" ht="11.25" customHeight="1" x14ac:dyDescent="0.3">
      <c r="G4046" s="470"/>
      <c r="H4046" s="470">
        <v>4039</v>
      </c>
      <c r="I4046" s="455">
        <f t="shared" ca="1" si="160"/>
        <v>4895171246578.624</v>
      </c>
      <c r="J4046" s="455">
        <f t="array" ref="J4046">IFERROR(INDEX('Retirement Calculator'!K:K,MATCH('Lorri 401b'!N4046,'Retirement Calculator'!A:A,0),0),0)</f>
        <v>0</v>
      </c>
      <c r="K4046" s="455">
        <f t="shared" ca="1" si="158"/>
        <v>20396546860.744267</v>
      </c>
      <c r="L4046" s="455">
        <f t="shared" ca="1" si="159"/>
        <v>4915567793439.3682</v>
      </c>
      <c r="M4046" s="471">
        <f t="shared" si="161"/>
        <v>0.05</v>
      </c>
      <c r="N4046" s="475">
        <f t="shared" si="162"/>
        <v>174192</v>
      </c>
    </row>
    <row r="4047" spans="7:14" ht="11.25" customHeight="1" x14ac:dyDescent="0.3">
      <c r="G4047" s="470"/>
      <c r="H4047" s="470">
        <v>4040</v>
      </c>
      <c r="I4047" s="455">
        <f t="shared" ca="1" si="160"/>
        <v>4915567793439.3682</v>
      </c>
      <c r="J4047" s="455">
        <f t="array" ref="J4047">IFERROR(INDEX('Retirement Calculator'!K:K,MATCH('Lorri 401b'!N4047,'Retirement Calculator'!A:A,0),0),0)</f>
        <v>0</v>
      </c>
      <c r="K4047" s="455">
        <f t="shared" ca="1" si="158"/>
        <v>20481532472.664032</v>
      </c>
      <c r="L4047" s="455">
        <f t="shared" ca="1" si="159"/>
        <v>4936049325912.0322</v>
      </c>
      <c r="M4047" s="471">
        <f t="shared" si="161"/>
        <v>0.05</v>
      </c>
      <c r="N4047" s="475">
        <f t="shared" si="162"/>
        <v>174223</v>
      </c>
    </row>
    <row r="4048" spans="7:14" ht="11.25" customHeight="1" x14ac:dyDescent="0.3">
      <c r="G4048" s="470"/>
      <c r="H4048" s="470">
        <v>4041</v>
      </c>
      <c r="I4048" s="455">
        <f t="shared" ca="1" si="160"/>
        <v>4936049325912.0322</v>
      </c>
      <c r="J4048" s="455">
        <f t="array" ref="J4048">IFERROR(INDEX('Retirement Calculator'!K:K,MATCH('Lorri 401b'!N4048,'Retirement Calculator'!A:A,0),0),0)</f>
        <v>0</v>
      </c>
      <c r="K4048" s="455">
        <f t="shared" ca="1" si="158"/>
        <v>20566872191.300133</v>
      </c>
      <c r="L4048" s="455">
        <f t="shared" ca="1" si="159"/>
        <v>4956616198103.332</v>
      </c>
      <c r="M4048" s="471">
        <f t="shared" si="161"/>
        <v>0.05</v>
      </c>
      <c r="N4048" s="475">
        <f t="shared" si="162"/>
        <v>174254</v>
      </c>
    </row>
    <row r="4049" spans="7:14" ht="11.25" customHeight="1" x14ac:dyDescent="0.3">
      <c r="G4049" s="470"/>
      <c r="H4049" s="470">
        <v>4042</v>
      </c>
      <c r="I4049" s="455">
        <f t="shared" ca="1" si="160"/>
        <v>4956616198103.332</v>
      </c>
      <c r="J4049" s="455">
        <f t="array" ref="J4049">IFERROR(INDEX('Retirement Calculator'!K:K,MATCH('Lorri 401b'!N4049,'Retirement Calculator'!A:A,0),0),0)</f>
        <v>0</v>
      </c>
      <c r="K4049" s="455">
        <f t="shared" ca="1" si="158"/>
        <v>20652567492.097218</v>
      </c>
      <c r="L4049" s="455">
        <f t="shared" ca="1" si="159"/>
        <v>4977268765595.4297</v>
      </c>
      <c r="M4049" s="471">
        <f t="shared" si="161"/>
        <v>0.05</v>
      </c>
      <c r="N4049" s="475">
        <f t="shared" si="162"/>
        <v>174282</v>
      </c>
    </row>
    <row r="4050" spans="7:14" ht="11.25" customHeight="1" x14ac:dyDescent="0.3">
      <c r="G4050" s="470"/>
      <c r="H4050" s="470">
        <v>4043</v>
      </c>
      <c r="I4050" s="455">
        <f t="shared" ca="1" si="160"/>
        <v>4977268765595.4297</v>
      </c>
      <c r="J4050" s="455">
        <f t="array" ref="J4050">IFERROR(INDEX('Retirement Calculator'!K:K,MATCH('Lorri 401b'!N4050,'Retirement Calculator'!A:A,0),0),0)</f>
        <v>0</v>
      </c>
      <c r="K4050" s="455">
        <f t="shared" ca="1" si="158"/>
        <v>20738619856.647625</v>
      </c>
      <c r="L4050" s="455">
        <f t="shared" ca="1" si="159"/>
        <v>4998007385452.0771</v>
      </c>
      <c r="M4050" s="471">
        <f t="shared" si="161"/>
        <v>0.05</v>
      </c>
      <c r="N4050" s="475">
        <f t="shared" si="162"/>
        <v>174313</v>
      </c>
    </row>
    <row r="4051" spans="7:14" ht="11.25" customHeight="1" x14ac:dyDescent="0.3">
      <c r="G4051" s="470"/>
      <c r="H4051" s="470">
        <v>4044</v>
      </c>
      <c r="I4051" s="455">
        <f t="shared" ca="1" si="160"/>
        <v>4998007385452.0771</v>
      </c>
      <c r="J4051" s="455">
        <f t="array" ref="J4051">IFERROR(INDEX('Retirement Calculator'!K:K,MATCH('Lorri 401b'!N4051,'Retirement Calculator'!A:A,0),0),0)</f>
        <v>0</v>
      </c>
      <c r="K4051" s="455">
        <f t="shared" ca="1" si="158"/>
        <v>20825030772.716988</v>
      </c>
      <c r="L4051" s="455">
        <f t="shared" ca="1" si="159"/>
        <v>5018832416224.7939</v>
      </c>
      <c r="M4051" s="471">
        <f t="shared" si="161"/>
        <v>0.05</v>
      </c>
      <c r="N4051" s="475">
        <f t="shared" si="162"/>
        <v>174343</v>
      </c>
    </row>
    <row r="4052" spans="7:14" ht="11.25" customHeight="1" x14ac:dyDescent="0.3">
      <c r="G4052" s="470"/>
      <c r="H4052" s="470">
        <v>4045</v>
      </c>
      <c r="I4052" s="455">
        <f t="shared" ca="1" si="160"/>
        <v>5018832416224.7939</v>
      </c>
      <c r="J4052" s="455">
        <f t="array" ref="J4052">IFERROR(INDEX('Retirement Calculator'!K:K,MATCH('Lorri 401b'!N4052,'Retirement Calculator'!A:A,0),0),0)</f>
        <v>0</v>
      </c>
      <c r="K4052" s="455">
        <f t="shared" ca="1" si="158"/>
        <v>20911801734.269974</v>
      </c>
      <c r="L4052" s="455">
        <f t="shared" ca="1" si="159"/>
        <v>5039744217959.0635</v>
      </c>
      <c r="M4052" s="471">
        <f t="shared" si="161"/>
        <v>0.05</v>
      </c>
      <c r="N4052" s="475">
        <f t="shared" si="162"/>
        <v>174374</v>
      </c>
    </row>
    <row r="4053" spans="7:14" ht="11.25" customHeight="1" x14ac:dyDescent="0.3">
      <c r="G4053" s="470"/>
      <c r="H4053" s="470">
        <v>4046</v>
      </c>
      <c r="I4053" s="455">
        <f t="shared" ca="1" si="160"/>
        <v>5039744217959.0635</v>
      </c>
      <c r="J4053" s="455">
        <f t="array" ref="J4053">IFERROR(INDEX('Retirement Calculator'!K:K,MATCH('Lorri 401b'!N4053,'Retirement Calculator'!A:A,0),0),0)</f>
        <v>0</v>
      </c>
      <c r="K4053" s="455">
        <f t="shared" ca="1" si="158"/>
        <v>20998934241.496098</v>
      </c>
      <c r="L4053" s="455">
        <f t="shared" ca="1" si="159"/>
        <v>5060743152200.5596</v>
      </c>
      <c r="M4053" s="471">
        <f t="shared" si="161"/>
        <v>0.05</v>
      </c>
      <c r="N4053" s="475">
        <f t="shared" si="162"/>
        <v>174404</v>
      </c>
    </row>
    <row r="4054" spans="7:14" ht="11.25" customHeight="1" x14ac:dyDescent="0.3">
      <c r="G4054" s="470"/>
      <c r="H4054" s="470">
        <v>4047</v>
      </c>
      <c r="I4054" s="455">
        <f t="shared" ca="1" si="160"/>
        <v>5060743152200.5596</v>
      </c>
      <c r="J4054" s="455">
        <f t="array" ref="J4054">IFERROR(INDEX('Retirement Calculator'!K:K,MATCH('Lorri 401b'!N4054,'Retirement Calculator'!A:A,0),0),0)</f>
        <v>0</v>
      </c>
      <c r="K4054" s="455">
        <f t="shared" ca="1" si="158"/>
        <v>21086429800.835663</v>
      </c>
      <c r="L4054" s="455">
        <f t="shared" ca="1" si="159"/>
        <v>5081829582001.3955</v>
      </c>
      <c r="M4054" s="471">
        <f t="shared" si="161"/>
        <v>0.05</v>
      </c>
      <c r="N4054" s="475">
        <f t="shared" si="162"/>
        <v>174435</v>
      </c>
    </row>
    <row r="4055" spans="7:14" ht="11.25" customHeight="1" x14ac:dyDescent="0.3">
      <c r="G4055" s="470"/>
      <c r="H4055" s="470">
        <v>4048</v>
      </c>
      <c r="I4055" s="455">
        <f t="shared" ca="1" si="160"/>
        <v>5081829582001.3955</v>
      </c>
      <c r="J4055" s="455">
        <f t="array" ref="J4055">IFERROR(INDEX('Retirement Calculator'!K:K,MATCH('Lorri 401b'!N4055,'Retirement Calculator'!A:A,0),0),0)</f>
        <v>0</v>
      </c>
      <c r="K4055" s="455">
        <f t="shared" ca="1" si="158"/>
        <v>21174289925.005814</v>
      </c>
      <c r="L4055" s="455">
        <f t="shared" ca="1" si="159"/>
        <v>5103003871926.4014</v>
      </c>
      <c r="M4055" s="471">
        <f t="shared" si="161"/>
        <v>0.05</v>
      </c>
      <c r="N4055" s="475">
        <f t="shared" si="162"/>
        <v>174466</v>
      </c>
    </row>
    <row r="4056" spans="7:14" ht="11.25" customHeight="1" x14ac:dyDescent="0.3">
      <c r="G4056" s="470"/>
      <c r="H4056" s="470">
        <v>4049</v>
      </c>
      <c r="I4056" s="455">
        <f t="shared" ca="1" si="160"/>
        <v>5103003871926.4014</v>
      </c>
      <c r="J4056" s="455">
        <f t="array" ref="J4056">IFERROR(INDEX('Retirement Calculator'!K:K,MATCH('Lorri 401b'!N4056,'Retirement Calculator'!A:A,0),0),0)</f>
        <v>0</v>
      </c>
      <c r="K4056" s="455">
        <f t="shared" ca="1" si="158"/>
        <v>21262516133.026672</v>
      </c>
      <c r="L4056" s="455">
        <f t="shared" ca="1" si="159"/>
        <v>5124266388059.4277</v>
      </c>
      <c r="M4056" s="471">
        <f t="shared" si="161"/>
        <v>0.05</v>
      </c>
      <c r="N4056" s="475">
        <f t="shared" si="162"/>
        <v>174496</v>
      </c>
    </row>
    <row r="4057" spans="7:14" ht="11.25" customHeight="1" x14ac:dyDescent="0.3">
      <c r="G4057" s="470"/>
      <c r="H4057" s="470">
        <v>4050</v>
      </c>
      <c r="I4057" s="455">
        <f t="shared" ca="1" si="160"/>
        <v>5124266388059.4277</v>
      </c>
      <c r="J4057" s="455">
        <f t="array" ref="J4057">IFERROR(INDEX('Retirement Calculator'!K:K,MATCH('Lorri 401b'!N4057,'Retirement Calculator'!A:A,0),0),0)</f>
        <v>0</v>
      </c>
      <c r="K4057" s="455">
        <f t="shared" ca="1" si="158"/>
        <v>21351109950.247616</v>
      </c>
      <c r="L4057" s="455">
        <f t="shared" ca="1" si="159"/>
        <v>5145617498009.6758</v>
      </c>
      <c r="M4057" s="471">
        <f t="shared" si="161"/>
        <v>0.05</v>
      </c>
      <c r="N4057" s="475">
        <f t="shared" si="162"/>
        <v>174527</v>
      </c>
    </row>
    <row r="4058" spans="7:14" ht="11.25" customHeight="1" x14ac:dyDescent="0.3">
      <c r="G4058" s="470"/>
      <c r="H4058" s="470">
        <v>4051</v>
      </c>
      <c r="I4058" s="455">
        <f t="shared" ca="1" si="160"/>
        <v>5145617498009.6758</v>
      </c>
      <c r="J4058" s="455">
        <f t="array" ref="J4058">IFERROR(INDEX('Retirement Calculator'!K:K,MATCH('Lorri 401b'!N4058,'Retirement Calculator'!A:A,0),0),0)</f>
        <v>0</v>
      </c>
      <c r="K4058" s="455">
        <f t="shared" ca="1" si="158"/>
        <v>21440072908.37365</v>
      </c>
      <c r="L4058" s="455">
        <f t="shared" ca="1" si="159"/>
        <v>5167057570918.0498</v>
      </c>
      <c r="M4058" s="471">
        <f t="shared" si="161"/>
        <v>0.05</v>
      </c>
      <c r="N4058" s="475">
        <f t="shared" si="162"/>
        <v>174557</v>
      </c>
    </row>
    <row r="4059" spans="7:14" ht="11.25" customHeight="1" x14ac:dyDescent="0.3">
      <c r="G4059" s="470"/>
      <c r="H4059" s="470">
        <v>4052</v>
      </c>
      <c r="I4059" s="455">
        <f t="shared" ca="1" si="160"/>
        <v>5167057570918.0498</v>
      </c>
      <c r="J4059" s="455">
        <f t="array" ref="J4059">IFERROR(INDEX('Retirement Calculator'!K:K,MATCH('Lorri 401b'!N4059,'Retirement Calculator'!A:A,0),0),0)</f>
        <v>0</v>
      </c>
      <c r="K4059" s="455">
        <f t="shared" ca="1" si="158"/>
        <v>21529406545.491875</v>
      </c>
      <c r="L4059" s="455">
        <f t="shared" ca="1" si="159"/>
        <v>5188586977463.542</v>
      </c>
      <c r="M4059" s="471">
        <f t="shared" si="161"/>
        <v>0.05</v>
      </c>
      <c r="N4059" s="475">
        <f t="shared" si="162"/>
        <v>174588</v>
      </c>
    </row>
    <row r="4060" spans="7:14" ht="11.25" customHeight="1" x14ac:dyDescent="0.3">
      <c r="G4060" s="470"/>
      <c r="H4060" s="470">
        <v>4053</v>
      </c>
      <c r="I4060" s="455">
        <f t="shared" ca="1" si="160"/>
        <v>5188586977463.542</v>
      </c>
      <c r="J4060" s="455">
        <f t="array" ref="J4060">IFERROR(INDEX('Retirement Calculator'!K:K,MATCH('Lorri 401b'!N4060,'Retirement Calculator'!A:A,0),0),0)</f>
        <v>0</v>
      </c>
      <c r="K4060" s="455">
        <f t="shared" ca="1" si="158"/>
        <v>21619112406.098091</v>
      </c>
      <c r="L4060" s="455">
        <f t="shared" ca="1" si="159"/>
        <v>5210206089869.6396</v>
      </c>
      <c r="M4060" s="471">
        <f t="shared" si="161"/>
        <v>0.05</v>
      </c>
      <c r="N4060" s="475">
        <f t="shared" si="162"/>
        <v>174619</v>
      </c>
    </row>
    <row r="4061" spans="7:14" ht="11.25" customHeight="1" x14ac:dyDescent="0.3">
      <c r="G4061" s="470"/>
      <c r="H4061" s="470">
        <v>4054</v>
      </c>
      <c r="I4061" s="455">
        <f t="shared" ca="1" si="160"/>
        <v>5210206089869.6396</v>
      </c>
      <c r="J4061" s="455">
        <f t="array" ref="J4061">IFERROR(INDEX('Retirement Calculator'!K:K,MATCH('Lorri 401b'!N4061,'Retirement Calculator'!A:A,0),0),0)</f>
        <v>0</v>
      </c>
      <c r="K4061" s="455">
        <f t="shared" ca="1" si="158"/>
        <v>21709192041.123497</v>
      </c>
      <c r="L4061" s="455">
        <f t="shared" ca="1" si="159"/>
        <v>5231915281910.7627</v>
      </c>
      <c r="M4061" s="471">
        <f t="shared" si="161"/>
        <v>0.05</v>
      </c>
      <c r="N4061" s="475">
        <f t="shared" si="162"/>
        <v>174647</v>
      </c>
    </row>
    <row r="4062" spans="7:14" ht="11.25" customHeight="1" x14ac:dyDescent="0.3">
      <c r="G4062" s="470"/>
      <c r="H4062" s="470">
        <v>4055</v>
      </c>
      <c r="I4062" s="455">
        <f t="shared" ca="1" si="160"/>
        <v>5231915281910.7627</v>
      </c>
      <c r="J4062" s="455">
        <f t="array" ref="J4062">IFERROR(INDEX('Retirement Calculator'!K:K,MATCH('Lorri 401b'!N4062,'Retirement Calculator'!A:A,0),0),0)</f>
        <v>0</v>
      </c>
      <c r="K4062" s="455">
        <f t="shared" ca="1" si="158"/>
        <v>21799647007.96151</v>
      </c>
      <c r="L4062" s="455">
        <f t="shared" ca="1" si="159"/>
        <v>5253714928918.7246</v>
      </c>
      <c r="M4062" s="471">
        <f t="shared" si="161"/>
        <v>0.05</v>
      </c>
      <c r="N4062" s="475">
        <f t="shared" si="162"/>
        <v>174678</v>
      </c>
    </row>
    <row r="4063" spans="7:14" ht="11.25" customHeight="1" x14ac:dyDescent="0.3">
      <c r="G4063" s="470"/>
      <c r="H4063" s="470">
        <v>4056</v>
      </c>
      <c r="I4063" s="455">
        <f t="shared" ca="1" si="160"/>
        <v>5253714928918.7246</v>
      </c>
      <c r="J4063" s="455">
        <f t="array" ref="J4063">IFERROR(INDEX('Retirement Calculator'!K:K,MATCH('Lorri 401b'!N4063,'Retirement Calculator'!A:A,0),0),0)</f>
        <v>0</v>
      </c>
      <c r="K4063" s="455">
        <f t="shared" ca="1" si="158"/>
        <v>21890478870.494686</v>
      </c>
      <c r="L4063" s="455">
        <f t="shared" ca="1" si="159"/>
        <v>5275605407789.2197</v>
      </c>
      <c r="M4063" s="471">
        <f t="shared" si="161"/>
        <v>0.05</v>
      </c>
      <c r="N4063" s="475">
        <f t="shared" si="162"/>
        <v>174708</v>
      </c>
    </row>
    <row r="4064" spans="7:14" ht="11.25" customHeight="1" x14ac:dyDescent="0.3">
      <c r="G4064" s="470"/>
      <c r="H4064" s="470">
        <v>4057</v>
      </c>
      <c r="I4064" s="455">
        <f t="shared" ca="1" si="160"/>
        <v>5275605407789.2197</v>
      </c>
      <c r="J4064" s="455">
        <f t="array" ref="J4064">IFERROR(INDEX('Retirement Calculator'!K:K,MATCH('Lorri 401b'!N4064,'Retirement Calculator'!A:A,0),0),0)</f>
        <v>0</v>
      </c>
      <c r="K4064" s="455">
        <f t="shared" ca="1" si="158"/>
        <v>21981689199.12175</v>
      </c>
      <c r="L4064" s="455">
        <f t="shared" ca="1" si="159"/>
        <v>5297587096988.3418</v>
      </c>
      <c r="M4064" s="471">
        <f t="shared" si="161"/>
        <v>0.05</v>
      </c>
      <c r="N4064" s="475">
        <f t="shared" si="162"/>
        <v>174739</v>
      </c>
    </row>
    <row r="4065" spans="7:14" ht="11.25" customHeight="1" x14ac:dyDescent="0.3">
      <c r="G4065" s="470"/>
      <c r="H4065" s="470">
        <v>4058</v>
      </c>
      <c r="I4065" s="455">
        <f t="shared" ca="1" si="160"/>
        <v>5297587096988.3418</v>
      </c>
      <c r="J4065" s="455">
        <f t="array" ref="J4065">IFERROR(INDEX('Retirement Calculator'!K:K,MATCH('Lorri 401b'!N4065,'Retirement Calculator'!A:A,0),0),0)</f>
        <v>0</v>
      </c>
      <c r="K4065" s="455">
        <f t="shared" ca="1" si="158"/>
        <v>22073279570.784756</v>
      </c>
      <c r="L4065" s="455">
        <f t="shared" ca="1" si="159"/>
        <v>5319660376559.127</v>
      </c>
      <c r="M4065" s="471">
        <f t="shared" si="161"/>
        <v>0.05</v>
      </c>
      <c r="N4065" s="475">
        <f t="shared" si="162"/>
        <v>174769</v>
      </c>
    </row>
    <row r="4066" spans="7:14" ht="11.25" customHeight="1" x14ac:dyDescent="0.3">
      <c r="G4066" s="470"/>
      <c r="H4066" s="470">
        <v>4059</v>
      </c>
      <c r="I4066" s="455">
        <f t="shared" ca="1" si="160"/>
        <v>5319660376559.127</v>
      </c>
      <c r="J4066" s="455">
        <f t="array" ref="J4066">IFERROR(INDEX('Retirement Calculator'!K:K,MATCH('Lorri 401b'!N4066,'Retirement Calculator'!A:A,0),0),0)</f>
        <v>0</v>
      </c>
      <c r="K4066" s="455">
        <f t="shared" ca="1" si="158"/>
        <v>22165251568.996361</v>
      </c>
      <c r="L4066" s="455">
        <f t="shared" ca="1" si="159"/>
        <v>5341825628128.123</v>
      </c>
      <c r="M4066" s="471">
        <f t="shared" si="161"/>
        <v>0.05</v>
      </c>
      <c r="N4066" s="475">
        <f t="shared" si="162"/>
        <v>174800</v>
      </c>
    </row>
    <row r="4067" spans="7:14" ht="11.25" customHeight="1" x14ac:dyDescent="0.3">
      <c r="G4067" s="470"/>
      <c r="H4067" s="470">
        <v>4060</v>
      </c>
      <c r="I4067" s="455">
        <f t="shared" ca="1" si="160"/>
        <v>5341825628128.123</v>
      </c>
      <c r="J4067" s="455">
        <f t="array" ref="J4067">IFERROR(INDEX('Retirement Calculator'!K:K,MATCH('Lorri 401b'!N4067,'Retirement Calculator'!A:A,0),0),0)</f>
        <v>0</v>
      </c>
      <c r="K4067" s="455">
        <f t="shared" ca="1" si="158"/>
        <v>22257606783.86718</v>
      </c>
      <c r="L4067" s="455">
        <f t="shared" ca="1" si="159"/>
        <v>5364083234911.9902</v>
      </c>
      <c r="M4067" s="471">
        <f t="shared" si="161"/>
        <v>0.05</v>
      </c>
      <c r="N4067" s="475">
        <f t="shared" si="162"/>
        <v>174831</v>
      </c>
    </row>
    <row r="4068" spans="7:14" ht="11.25" customHeight="1" x14ac:dyDescent="0.3">
      <c r="G4068" s="470"/>
      <c r="H4068" s="470">
        <v>4061</v>
      </c>
      <c r="I4068" s="455">
        <f t="shared" ca="1" si="160"/>
        <v>5364083234911.9902</v>
      </c>
      <c r="J4068" s="455">
        <f t="array" ref="J4068">IFERROR(INDEX('Retirement Calculator'!K:K,MATCH('Lorri 401b'!N4068,'Retirement Calculator'!A:A,0),0),0)</f>
        <v>0</v>
      </c>
      <c r="K4068" s="455">
        <f t="shared" ca="1" si="158"/>
        <v>22350346812.133293</v>
      </c>
      <c r="L4068" s="455">
        <f t="shared" ca="1" si="159"/>
        <v>5386433581724.123</v>
      </c>
      <c r="M4068" s="471">
        <f t="shared" si="161"/>
        <v>0.05</v>
      </c>
      <c r="N4068" s="475">
        <f t="shared" si="162"/>
        <v>174861</v>
      </c>
    </row>
    <row r="4069" spans="7:14" ht="11.25" customHeight="1" x14ac:dyDescent="0.3">
      <c r="G4069" s="470"/>
      <c r="H4069" s="470">
        <v>4062</v>
      </c>
      <c r="I4069" s="455">
        <f t="shared" ca="1" si="160"/>
        <v>5386433581724.123</v>
      </c>
      <c r="J4069" s="455">
        <f t="array" ref="J4069">IFERROR(INDEX('Retirement Calculator'!K:K,MATCH('Lorri 401b'!N4069,'Retirement Calculator'!A:A,0),0),0)</f>
        <v>0</v>
      </c>
      <c r="K4069" s="455">
        <f t="shared" ca="1" si="158"/>
        <v>22443473257.183846</v>
      </c>
      <c r="L4069" s="455">
        <f t="shared" ca="1" si="159"/>
        <v>5408877054981.3066</v>
      </c>
      <c r="M4069" s="471">
        <f t="shared" si="161"/>
        <v>0.05</v>
      </c>
      <c r="N4069" s="475">
        <f t="shared" si="162"/>
        <v>174892</v>
      </c>
    </row>
    <row r="4070" spans="7:14" ht="11.25" customHeight="1" x14ac:dyDescent="0.3">
      <c r="G4070" s="470"/>
      <c r="H4070" s="470">
        <v>4063</v>
      </c>
      <c r="I4070" s="455">
        <f t="shared" ca="1" si="160"/>
        <v>5408877054981.3066</v>
      </c>
      <c r="J4070" s="455">
        <f t="array" ref="J4070">IFERROR(INDEX('Retirement Calculator'!K:K,MATCH('Lorri 401b'!N4070,'Retirement Calculator'!A:A,0),0),0)</f>
        <v>0</v>
      </c>
      <c r="K4070" s="455">
        <f t="shared" ca="1" si="158"/>
        <v>22536987729.088776</v>
      </c>
      <c r="L4070" s="455">
        <f t="shared" ca="1" si="159"/>
        <v>5431414042710.3955</v>
      </c>
      <c r="M4070" s="471">
        <f t="shared" si="161"/>
        <v>0.05</v>
      </c>
      <c r="N4070" s="475">
        <f t="shared" si="162"/>
        <v>174922</v>
      </c>
    </row>
    <row r="4071" spans="7:14" ht="11.25" customHeight="1" x14ac:dyDescent="0.3">
      <c r="G4071" s="470"/>
      <c r="H4071" s="470">
        <v>4064</v>
      </c>
      <c r="I4071" s="455">
        <f t="shared" ca="1" si="160"/>
        <v>5431414042710.3955</v>
      </c>
      <c r="J4071" s="455">
        <f t="array" ref="J4071">IFERROR(INDEX('Retirement Calculator'!K:K,MATCH('Lorri 401b'!N4071,'Retirement Calculator'!A:A,0),0),0)</f>
        <v>0</v>
      </c>
      <c r="K4071" s="455">
        <f t="shared" ca="1" si="158"/>
        <v>22630891844.626648</v>
      </c>
      <c r="L4071" s="455">
        <f t="shared" ca="1" si="159"/>
        <v>5454044934555.0225</v>
      </c>
      <c r="M4071" s="471">
        <f t="shared" si="161"/>
        <v>0.05</v>
      </c>
      <c r="N4071" s="475">
        <f t="shared" si="162"/>
        <v>174953</v>
      </c>
    </row>
    <row r="4072" spans="7:14" ht="11.25" customHeight="1" x14ac:dyDescent="0.3">
      <c r="G4072" s="470"/>
      <c r="H4072" s="470">
        <v>4065</v>
      </c>
      <c r="I4072" s="455">
        <f t="shared" ca="1" si="160"/>
        <v>5454044934555.0225</v>
      </c>
      <c r="J4072" s="455">
        <f t="array" ref="J4072">IFERROR(INDEX('Retirement Calculator'!K:K,MATCH('Lorri 401b'!N4072,'Retirement Calculator'!A:A,0),0),0)</f>
        <v>0</v>
      </c>
      <c r="K4072" s="455">
        <f t="shared" ca="1" si="158"/>
        <v>22725187227.312592</v>
      </c>
      <c r="L4072" s="455">
        <f t="shared" ca="1" si="159"/>
        <v>5476770121782.335</v>
      </c>
      <c r="M4072" s="471">
        <f t="shared" si="161"/>
        <v>0.05</v>
      </c>
      <c r="N4072" s="475">
        <f t="shared" si="162"/>
        <v>174984</v>
      </c>
    </row>
    <row r="4073" spans="7:14" ht="11.25" customHeight="1" x14ac:dyDescent="0.3">
      <c r="G4073" s="470"/>
      <c r="H4073" s="470">
        <v>4066</v>
      </c>
      <c r="I4073" s="455">
        <f t="shared" ca="1" si="160"/>
        <v>5476770121782.335</v>
      </c>
      <c r="J4073" s="455">
        <f t="array" ref="J4073">IFERROR(INDEX('Retirement Calculator'!K:K,MATCH('Lorri 401b'!N4073,'Retirement Calculator'!A:A,0),0),0)</f>
        <v>0</v>
      </c>
      <c r="K4073" s="455">
        <f t="shared" ca="1" si="158"/>
        <v>22819875507.426395</v>
      </c>
      <c r="L4073" s="455">
        <f t="shared" ca="1" si="159"/>
        <v>5499589997289.7617</v>
      </c>
      <c r="M4073" s="471">
        <f t="shared" si="161"/>
        <v>0.05</v>
      </c>
      <c r="N4073" s="475">
        <f t="shared" si="162"/>
        <v>175012</v>
      </c>
    </row>
    <row r="4074" spans="7:14" ht="11.25" customHeight="1" x14ac:dyDescent="0.3">
      <c r="G4074" s="470"/>
      <c r="H4074" s="470">
        <v>4067</v>
      </c>
      <c r="I4074" s="455">
        <f t="shared" ca="1" si="160"/>
        <v>5499589997289.7617</v>
      </c>
      <c r="J4074" s="455">
        <f t="array" ref="J4074">IFERROR(INDEX('Retirement Calculator'!K:K,MATCH('Lorri 401b'!N4074,'Retirement Calculator'!A:A,0),0),0)</f>
        <v>0</v>
      </c>
      <c r="K4074" s="455">
        <f t="shared" ca="1" si="158"/>
        <v>22914958322.040672</v>
      </c>
      <c r="L4074" s="455">
        <f t="shared" ca="1" si="159"/>
        <v>5522504955611.8027</v>
      </c>
      <c r="M4074" s="471">
        <f t="shared" si="161"/>
        <v>0.05</v>
      </c>
      <c r="N4074" s="475">
        <f t="shared" si="162"/>
        <v>175043</v>
      </c>
    </row>
    <row r="4075" spans="7:14" ht="11.25" customHeight="1" x14ac:dyDescent="0.3">
      <c r="G4075" s="470"/>
      <c r="H4075" s="470">
        <v>4068</v>
      </c>
      <c r="I4075" s="455">
        <f t="shared" ca="1" si="160"/>
        <v>5522504955611.8027</v>
      </c>
      <c r="J4075" s="455">
        <f t="array" ref="J4075">IFERROR(INDEX('Retirement Calculator'!K:K,MATCH('Lorri 401b'!N4075,'Retirement Calculator'!A:A,0),0),0)</f>
        <v>0</v>
      </c>
      <c r="K4075" s="455">
        <f t="shared" ca="1" si="158"/>
        <v>23010437315.049179</v>
      </c>
      <c r="L4075" s="455">
        <f t="shared" ca="1" si="159"/>
        <v>5545515392926.8516</v>
      </c>
      <c r="M4075" s="471">
        <f t="shared" si="161"/>
        <v>0.05</v>
      </c>
      <c r="N4075" s="475">
        <f t="shared" si="162"/>
        <v>175073</v>
      </c>
    </row>
    <row r="4076" spans="7:14" ht="11.25" customHeight="1" x14ac:dyDescent="0.3">
      <c r="G4076" s="470"/>
      <c r="H4076" s="470">
        <v>4069</v>
      </c>
      <c r="I4076" s="455">
        <f t="shared" ca="1" si="160"/>
        <v>5545515392926.8516</v>
      </c>
      <c r="J4076" s="455">
        <f t="array" ref="J4076">IFERROR(INDEX('Retirement Calculator'!K:K,MATCH('Lorri 401b'!N4076,'Retirement Calculator'!A:A,0),0),0)</f>
        <v>0</v>
      </c>
      <c r="K4076" s="455">
        <f t="shared" ca="1" si="158"/>
        <v>23106314137.195213</v>
      </c>
      <c r="L4076" s="455">
        <f t="shared" ca="1" si="159"/>
        <v>5568621707064.0469</v>
      </c>
      <c r="M4076" s="471">
        <f t="shared" si="161"/>
        <v>0.05</v>
      </c>
      <c r="N4076" s="475">
        <f t="shared" si="162"/>
        <v>175104</v>
      </c>
    </row>
    <row r="4077" spans="7:14" ht="11.25" customHeight="1" x14ac:dyDescent="0.3">
      <c r="G4077" s="470"/>
      <c r="H4077" s="470">
        <v>4070</v>
      </c>
      <c r="I4077" s="455">
        <f t="shared" ca="1" si="160"/>
        <v>5568621707064.0469</v>
      </c>
      <c r="J4077" s="455">
        <f t="array" ref="J4077">IFERROR(INDEX('Retirement Calculator'!K:K,MATCH('Lorri 401b'!N4077,'Retirement Calculator'!A:A,0),0),0)</f>
        <v>0</v>
      </c>
      <c r="K4077" s="455">
        <f t="shared" ca="1" si="158"/>
        <v>23202590446.100197</v>
      </c>
      <c r="L4077" s="455">
        <f t="shared" ca="1" si="159"/>
        <v>5591824297510.1475</v>
      </c>
      <c r="M4077" s="471">
        <f t="shared" si="161"/>
        <v>0.05</v>
      </c>
      <c r="N4077" s="475">
        <f t="shared" si="162"/>
        <v>175134</v>
      </c>
    </row>
    <row r="4078" spans="7:14" ht="11.25" customHeight="1" x14ac:dyDescent="0.3">
      <c r="G4078" s="470"/>
      <c r="H4078" s="470">
        <v>4071</v>
      </c>
      <c r="I4078" s="455">
        <f t="shared" ca="1" si="160"/>
        <v>5591824297510.1475</v>
      </c>
      <c r="J4078" s="455">
        <f t="array" ref="J4078">IFERROR(INDEX('Retirement Calculator'!K:K,MATCH('Lorri 401b'!N4078,'Retirement Calculator'!A:A,0),0),0)</f>
        <v>0</v>
      </c>
      <c r="K4078" s="455">
        <f t="shared" ca="1" si="158"/>
        <v>23299267906.292282</v>
      </c>
      <c r="L4078" s="455">
        <f t="shared" ca="1" si="159"/>
        <v>5615123565416.4395</v>
      </c>
      <c r="M4078" s="471">
        <f t="shared" si="161"/>
        <v>0.05</v>
      </c>
      <c r="N4078" s="475">
        <f t="shared" si="162"/>
        <v>175165</v>
      </c>
    </row>
    <row r="4079" spans="7:14" ht="11.25" customHeight="1" x14ac:dyDescent="0.3">
      <c r="G4079" s="470"/>
      <c r="H4079" s="470">
        <v>4072</v>
      </c>
      <c r="I4079" s="455">
        <f t="shared" ca="1" si="160"/>
        <v>5615123565416.4395</v>
      </c>
      <c r="J4079" s="455">
        <f t="array" ref="J4079">IFERROR(INDEX('Retirement Calculator'!K:K,MATCH('Lorri 401b'!N4079,'Retirement Calculator'!A:A,0),0),0)</f>
        <v>0</v>
      </c>
      <c r="K4079" s="455">
        <f t="shared" ca="1" si="158"/>
        <v>23396348189.235165</v>
      </c>
      <c r="L4079" s="455">
        <f t="shared" ca="1" si="159"/>
        <v>5638519913605.6748</v>
      </c>
      <c r="M4079" s="471">
        <f t="shared" si="161"/>
        <v>0.05</v>
      </c>
      <c r="N4079" s="475">
        <f t="shared" si="162"/>
        <v>175196</v>
      </c>
    </row>
    <row r="4080" spans="7:14" ht="11.25" customHeight="1" x14ac:dyDescent="0.3">
      <c r="G4080" s="470"/>
      <c r="H4080" s="470">
        <v>4073</v>
      </c>
      <c r="I4080" s="455">
        <f t="shared" ca="1" si="160"/>
        <v>5638519913605.6748</v>
      </c>
      <c r="J4080" s="455">
        <f t="array" ref="J4080">IFERROR(INDEX('Retirement Calculator'!K:K,MATCH('Lorri 401b'!N4080,'Retirement Calculator'!A:A,0),0),0)</f>
        <v>0</v>
      </c>
      <c r="K4080" s="455">
        <f t="shared" ca="1" si="158"/>
        <v>23493832973.356979</v>
      </c>
      <c r="L4080" s="455">
        <f t="shared" ca="1" si="159"/>
        <v>5662013746579.0322</v>
      </c>
      <c r="M4080" s="471">
        <f t="shared" si="161"/>
        <v>0.05</v>
      </c>
      <c r="N4080" s="475">
        <f t="shared" si="162"/>
        <v>175226</v>
      </c>
    </row>
    <row r="4081" spans="7:14" ht="11.25" customHeight="1" x14ac:dyDescent="0.3">
      <c r="G4081" s="470"/>
      <c r="H4081" s="470">
        <v>4074</v>
      </c>
      <c r="I4081" s="455">
        <f t="shared" ca="1" si="160"/>
        <v>5662013746579.0322</v>
      </c>
      <c r="J4081" s="455">
        <f t="array" ref="J4081">IFERROR(INDEX('Retirement Calculator'!K:K,MATCH('Lorri 401b'!N4081,'Retirement Calculator'!A:A,0),0),0)</f>
        <v>0</v>
      </c>
      <c r="K4081" s="455">
        <f t="shared" ca="1" si="158"/>
        <v>23591723944.0793</v>
      </c>
      <c r="L4081" s="455">
        <f t="shared" ca="1" si="159"/>
        <v>5685605470523.1113</v>
      </c>
      <c r="M4081" s="471">
        <f t="shared" si="161"/>
        <v>0.05</v>
      </c>
      <c r="N4081" s="475">
        <f t="shared" si="162"/>
        <v>175257</v>
      </c>
    </row>
    <row r="4082" spans="7:14" ht="11.25" customHeight="1" x14ac:dyDescent="0.3">
      <c r="G4082" s="470"/>
      <c r="H4082" s="470">
        <v>4075</v>
      </c>
      <c r="I4082" s="455">
        <f t="shared" ca="1" si="160"/>
        <v>5685605470523.1113</v>
      </c>
      <c r="J4082" s="455">
        <f t="array" ref="J4082">IFERROR(INDEX('Retirement Calculator'!K:K,MATCH('Lorri 401b'!N4082,'Retirement Calculator'!A:A,0),0),0)</f>
        <v>0</v>
      </c>
      <c r="K4082" s="455">
        <f t="shared" ca="1" si="158"/>
        <v>23690022793.846298</v>
      </c>
      <c r="L4082" s="455">
        <f t="shared" ca="1" si="159"/>
        <v>5709295493316.958</v>
      </c>
      <c r="M4082" s="471">
        <f t="shared" si="161"/>
        <v>0.05</v>
      </c>
      <c r="N4082" s="475">
        <f t="shared" si="162"/>
        <v>175287</v>
      </c>
    </row>
    <row r="4083" spans="7:14" ht="11.25" customHeight="1" x14ac:dyDescent="0.3">
      <c r="G4083" s="470"/>
      <c r="H4083" s="470">
        <v>4076</v>
      </c>
      <c r="I4083" s="455">
        <f t="shared" ca="1" si="160"/>
        <v>5709295493316.958</v>
      </c>
      <c r="J4083" s="455">
        <f t="array" ref="J4083">IFERROR(INDEX('Retirement Calculator'!K:K,MATCH('Lorri 401b'!N4083,'Retirement Calculator'!A:A,0),0),0)</f>
        <v>0</v>
      </c>
      <c r="K4083" s="455">
        <f t="shared" ca="1" si="158"/>
        <v>23788731222.153992</v>
      </c>
      <c r="L4083" s="455">
        <f t="shared" ca="1" si="159"/>
        <v>5733084224539.1123</v>
      </c>
      <c r="M4083" s="471">
        <f t="shared" si="161"/>
        <v>0.05</v>
      </c>
      <c r="N4083" s="475">
        <f t="shared" si="162"/>
        <v>175318</v>
      </c>
    </row>
    <row r="4084" spans="7:14" ht="11.25" customHeight="1" x14ac:dyDescent="0.3">
      <c r="G4084" s="470"/>
      <c r="H4084" s="470">
        <v>4077</v>
      </c>
      <c r="I4084" s="455">
        <f t="shared" ca="1" si="160"/>
        <v>5733084224539.1123</v>
      </c>
      <c r="J4084" s="455">
        <f t="array" ref="J4084">IFERROR(INDEX('Retirement Calculator'!K:K,MATCH('Lorri 401b'!N4084,'Retirement Calculator'!A:A,0),0),0)</f>
        <v>0</v>
      </c>
      <c r="K4084" s="455">
        <f t="shared" ca="1" si="158"/>
        <v>23887850935.579636</v>
      </c>
      <c r="L4084" s="455">
        <f t="shared" ca="1" si="159"/>
        <v>5756972075474.6924</v>
      </c>
      <c r="M4084" s="471">
        <f t="shared" si="161"/>
        <v>0.05</v>
      </c>
      <c r="N4084" s="475">
        <f t="shared" si="162"/>
        <v>175349</v>
      </c>
    </row>
    <row r="4085" spans="7:14" ht="11.25" customHeight="1" x14ac:dyDescent="0.3">
      <c r="G4085" s="470"/>
      <c r="H4085" s="470">
        <v>4078</v>
      </c>
      <c r="I4085" s="455">
        <f t="shared" ca="1" si="160"/>
        <v>5756972075474.6924</v>
      </c>
      <c r="J4085" s="455">
        <f t="array" ref="J4085">IFERROR(INDEX('Retirement Calculator'!K:K,MATCH('Lorri 401b'!N4085,'Retirement Calculator'!A:A,0),0),0)</f>
        <v>0</v>
      </c>
      <c r="K4085" s="455">
        <f t="shared" ca="1" si="158"/>
        <v>23987383647.811218</v>
      </c>
      <c r="L4085" s="455">
        <f t="shared" ca="1" si="159"/>
        <v>5780959459122.5039</v>
      </c>
      <c r="M4085" s="471">
        <f t="shared" si="161"/>
        <v>0.05</v>
      </c>
      <c r="N4085" s="475">
        <f t="shared" si="162"/>
        <v>175378</v>
      </c>
    </row>
    <row r="4086" spans="7:14" ht="11.25" customHeight="1" x14ac:dyDescent="0.3">
      <c r="G4086" s="470"/>
      <c r="H4086" s="470">
        <v>4079</v>
      </c>
      <c r="I4086" s="455">
        <f t="shared" ca="1" si="160"/>
        <v>5780959459122.5039</v>
      </c>
      <c r="J4086" s="455">
        <f t="array" ref="J4086">IFERROR(INDEX('Retirement Calculator'!K:K,MATCH('Lorri 401b'!N4086,'Retirement Calculator'!A:A,0),0),0)</f>
        <v>0</v>
      </c>
      <c r="K4086" s="455">
        <f t="shared" ca="1" si="158"/>
        <v>24087331079.677101</v>
      </c>
      <c r="L4086" s="455">
        <f t="shared" ca="1" si="159"/>
        <v>5805046790202.1807</v>
      </c>
      <c r="M4086" s="471">
        <f t="shared" si="161"/>
        <v>0.05</v>
      </c>
      <c r="N4086" s="475">
        <f t="shared" si="162"/>
        <v>175409</v>
      </c>
    </row>
    <row r="4087" spans="7:14" ht="11.25" customHeight="1" x14ac:dyDescent="0.3">
      <c r="G4087" s="470"/>
      <c r="H4087" s="470">
        <v>4080</v>
      </c>
      <c r="I4087" s="455">
        <f t="shared" ca="1" si="160"/>
        <v>5805046790202.1807</v>
      </c>
      <c r="J4087" s="455">
        <f t="array" ref="J4087">IFERROR(INDEX('Retirement Calculator'!K:K,MATCH('Lorri 401b'!N4087,'Retirement Calculator'!A:A,0),0),0)</f>
        <v>0</v>
      </c>
      <c r="K4087" s="455">
        <f t="shared" ca="1" si="158"/>
        <v>24187694959.175751</v>
      </c>
      <c r="L4087" s="455">
        <f t="shared" ca="1" si="159"/>
        <v>5829234485161.3564</v>
      </c>
      <c r="M4087" s="471">
        <f t="shared" si="161"/>
        <v>0.05</v>
      </c>
      <c r="N4087" s="475">
        <f t="shared" si="162"/>
        <v>175439</v>
      </c>
    </row>
    <row r="4088" spans="7:14" ht="11.25" customHeight="1" x14ac:dyDescent="0.3">
      <c r="G4088" s="470"/>
      <c r="H4088" s="470">
        <v>4081</v>
      </c>
      <c r="I4088" s="455">
        <f t="shared" ca="1" si="160"/>
        <v>5829234485161.3564</v>
      </c>
      <c r="J4088" s="455">
        <f t="array" ref="J4088">IFERROR(INDEX('Retirement Calculator'!K:K,MATCH('Lorri 401b'!N4088,'Retirement Calculator'!A:A,0),0),0)</f>
        <v>0</v>
      </c>
      <c r="K4088" s="455">
        <f t="shared" ref="K4088:K4342" ca="1" si="163">IPMT(M4088/12,1,12,-I4088+J4088,,0)</f>
        <v>24288477021.505653</v>
      </c>
      <c r="L4088" s="455">
        <f t="shared" ref="L4088:L4342" ca="1" si="164">I4088-J4088+K4088</f>
        <v>5853522962182.8623</v>
      </c>
      <c r="M4088" s="471">
        <f t="shared" si="161"/>
        <v>0.05</v>
      </c>
      <c r="N4088" s="475">
        <f t="shared" si="162"/>
        <v>175470</v>
      </c>
    </row>
    <row r="4089" spans="7:14" ht="11.25" customHeight="1" x14ac:dyDescent="0.3">
      <c r="G4089" s="470"/>
      <c r="H4089" s="470">
        <v>4082</v>
      </c>
      <c r="I4089" s="455">
        <f t="shared" ref="I4089:I4343" ca="1" si="165">L4088</f>
        <v>5853522962182.8623</v>
      </c>
      <c r="J4089" s="455">
        <f t="array" ref="J4089">IFERROR(INDEX('Retirement Calculator'!K:K,MATCH('Lorri 401b'!N4089,'Retirement Calculator'!A:A,0),0),0)</f>
        <v>0</v>
      </c>
      <c r="K4089" s="455">
        <f t="shared" ca="1" si="163"/>
        <v>24389679009.095261</v>
      </c>
      <c r="L4089" s="455">
        <f t="shared" ca="1" si="164"/>
        <v>5877912641191.958</v>
      </c>
      <c r="M4089" s="471">
        <f t="shared" ref="M4089:M4343" si="166">M4088</f>
        <v>0.05</v>
      </c>
      <c r="N4089" s="475">
        <f t="shared" ref="N4089:N4343" si="167">EDATE(N4088,1)</f>
        <v>175500</v>
      </c>
    </row>
    <row r="4090" spans="7:14" ht="11.25" customHeight="1" x14ac:dyDescent="0.3">
      <c r="G4090" s="470"/>
      <c r="H4090" s="470">
        <v>4083</v>
      </c>
      <c r="I4090" s="455">
        <f t="shared" ca="1" si="165"/>
        <v>5877912641191.958</v>
      </c>
      <c r="J4090" s="455">
        <f t="array" ref="J4090">IFERROR(INDEX('Retirement Calculator'!K:K,MATCH('Lorri 401b'!N4090,'Retirement Calculator'!A:A,0),0),0)</f>
        <v>0</v>
      </c>
      <c r="K4090" s="455">
        <f t="shared" ca="1" si="163"/>
        <v>24491302671.63316</v>
      </c>
      <c r="L4090" s="455">
        <f t="shared" ca="1" si="164"/>
        <v>5902403943863.5908</v>
      </c>
      <c r="M4090" s="471">
        <f t="shared" si="166"/>
        <v>0.05</v>
      </c>
      <c r="N4090" s="475">
        <f t="shared" si="167"/>
        <v>175531</v>
      </c>
    </row>
    <row r="4091" spans="7:14" ht="11.25" customHeight="1" x14ac:dyDescent="0.3">
      <c r="G4091" s="470"/>
      <c r="H4091" s="470">
        <v>4084</v>
      </c>
      <c r="I4091" s="455">
        <f t="shared" ca="1" si="165"/>
        <v>5902403943863.5908</v>
      </c>
      <c r="J4091" s="455">
        <f t="array" ref="J4091">IFERROR(INDEX('Retirement Calculator'!K:K,MATCH('Lorri 401b'!N4091,'Retirement Calculator'!A:A,0),0),0)</f>
        <v>0</v>
      </c>
      <c r="K4091" s="455">
        <f t="shared" ca="1" si="163"/>
        <v>24593349766.098293</v>
      </c>
      <c r="L4091" s="455">
        <f t="shared" ca="1" si="164"/>
        <v>5926997293629.6895</v>
      </c>
      <c r="M4091" s="471">
        <f t="shared" si="166"/>
        <v>0.05</v>
      </c>
      <c r="N4091" s="475">
        <f t="shared" si="167"/>
        <v>175562</v>
      </c>
    </row>
    <row r="4092" spans="7:14" ht="11.25" customHeight="1" x14ac:dyDescent="0.3">
      <c r="G4092" s="470"/>
      <c r="H4092" s="470">
        <v>4085</v>
      </c>
      <c r="I4092" s="455">
        <f t="shared" ca="1" si="165"/>
        <v>5926997293629.6895</v>
      </c>
      <c r="J4092" s="455">
        <f t="array" ref="J4092">IFERROR(INDEX('Retirement Calculator'!K:K,MATCH('Lorri 401b'!N4092,'Retirement Calculator'!A:A,0),0),0)</f>
        <v>0</v>
      </c>
      <c r="K4092" s="455">
        <f t="shared" ca="1" si="163"/>
        <v>24695822056.790371</v>
      </c>
      <c r="L4092" s="455">
        <f t="shared" ca="1" si="164"/>
        <v>5951693115686.4795</v>
      </c>
      <c r="M4092" s="471">
        <f t="shared" si="166"/>
        <v>0.05</v>
      </c>
      <c r="N4092" s="475">
        <f t="shared" si="167"/>
        <v>175592</v>
      </c>
    </row>
    <row r="4093" spans="7:14" ht="11.25" customHeight="1" x14ac:dyDescent="0.3">
      <c r="G4093" s="470"/>
      <c r="H4093" s="470">
        <v>4086</v>
      </c>
      <c r="I4093" s="455">
        <f t="shared" ca="1" si="165"/>
        <v>5951693115686.4795</v>
      </c>
      <c r="J4093" s="455">
        <f t="array" ref="J4093">IFERROR(INDEX('Retirement Calculator'!K:K,MATCH('Lorri 401b'!N4093,'Retirement Calculator'!A:A,0),0),0)</f>
        <v>0</v>
      </c>
      <c r="K4093" s="455">
        <f t="shared" ca="1" si="163"/>
        <v>24798721315.360332</v>
      </c>
      <c r="L4093" s="455">
        <f t="shared" ca="1" si="164"/>
        <v>5976491837001.8398</v>
      </c>
      <c r="M4093" s="471">
        <f t="shared" si="166"/>
        <v>0.05</v>
      </c>
      <c r="N4093" s="475">
        <f t="shared" si="167"/>
        <v>175623</v>
      </c>
    </row>
    <row r="4094" spans="7:14" ht="11.25" customHeight="1" x14ac:dyDescent="0.3">
      <c r="G4094" s="470"/>
      <c r="H4094" s="470">
        <v>4087</v>
      </c>
      <c r="I4094" s="455">
        <f t="shared" ca="1" si="165"/>
        <v>5976491837001.8398</v>
      </c>
      <c r="J4094" s="455">
        <f t="array" ref="J4094">IFERROR(INDEX('Retirement Calculator'!K:K,MATCH('Lorri 401b'!N4094,'Retirement Calculator'!A:A,0),0),0)</f>
        <v>0</v>
      </c>
      <c r="K4094" s="455">
        <f t="shared" ca="1" si="163"/>
        <v>24902049320.841</v>
      </c>
      <c r="L4094" s="455">
        <f t="shared" ca="1" si="164"/>
        <v>6001393886322.6807</v>
      </c>
      <c r="M4094" s="471">
        <f t="shared" si="166"/>
        <v>0.05</v>
      </c>
      <c r="N4094" s="475">
        <f t="shared" si="167"/>
        <v>175653</v>
      </c>
    </row>
    <row r="4095" spans="7:14" ht="11.25" customHeight="1" x14ac:dyDescent="0.3">
      <c r="G4095" s="470"/>
      <c r="H4095" s="470">
        <v>4088</v>
      </c>
      <c r="I4095" s="455">
        <f t="shared" ca="1" si="165"/>
        <v>6001393886322.6807</v>
      </c>
      <c r="J4095" s="455">
        <f t="array" ref="J4095">IFERROR(INDEX('Retirement Calculator'!K:K,MATCH('Lorri 401b'!N4095,'Retirement Calculator'!A:A,0),0),0)</f>
        <v>0</v>
      </c>
      <c r="K4095" s="455">
        <f t="shared" ca="1" si="163"/>
        <v>25005807859.677837</v>
      </c>
      <c r="L4095" s="455">
        <f t="shared" ca="1" si="164"/>
        <v>6026399694182.3584</v>
      </c>
      <c r="M4095" s="471">
        <f t="shared" si="166"/>
        <v>0.05</v>
      </c>
      <c r="N4095" s="475">
        <f t="shared" si="167"/>
        <v>175684</v>
      </c>
    </row>
    <row r="4096" spans="7:14" ht="11.25" customHeight="1" x14ac:dyDescent="0.3">
      <c r="G4096" s="470"/>
      <c r="H4096" s="470">
        <v>4089</v>
      </c>
      <c r="I4096" s="455">
        <f t="shared" ca="1" si="165"/>
        <v>6026399694182.3584</v>
      </c>
      <c r="J4096" s="455">
        <f t="array" ref="J4096">IFERROR(INDEX('Retirement Calculator'!K:K,MATCH('Lorri 401b'!N4096,'Retirement Calculator'!A:A,0),0),0)</f>
        <v>0</v>
      </c>
      <c r="K4096" s="455">
        <f t="shared" ca="1" si="163"/>
        <v>25109998725.759827</v>
      </c>
      <c r="L4096" s="455">
        <f t="shared" ca="1" si="164"/>
        <v>6051509692908.1182</v>
      </c>
      <c r="M4096" s="471">
        <f t="shared" si="166"/>
        <v>0.05</v>
      </c>
      <c r="N4096" s="475">
        <f t="shared" si="167"/>
        <v>175715</v>
      </c>
    </row>
    <row r="4097" spans="7:14" ht="11.25" customHeight="1" x14ac:dyDescent="0.3">
      <c r="G4097" s="470"/>
      <c r="H4097" s="470">
        <v>4090</v>
      </c>
      <c r="I4097" s="455">
        <f t="shared" ca="1" si="165"/>
        <v>6051509692908.1182</v>
      </c>
      <c r="J4097" s="455">
        <f t="array" ref="J4097">IFERROR(INDEX('Retirement Calculator'!K:K,MATCH('Lorri 401b'!N4097,'Retirement Calculator'!A:A,0),0),0)</f>
        <v>0</v>
      </c>
      <c r="K4097" s="455">
        <f t="shared" ca="1" si="163"/>
        <v>25214623720.450493</v>
      </c>
      <c r="L4097" s="455">
        <f t="shared" ca="1" si="164"/>
        <v>6076724316628.5684</v>
      </c>
      <c r="M4097" s="471">
        <f t="shared" si="166"/>
        <v>0.05</v>
      </c>
      <c r="N4097" s="475">
        <f t="shared" si="167"/>
        <v>175743</v>
      </c>
    </row>
    <row r="4098" spans="7:14" ht="11.25" customHeight="1" x14ac:dyDescent="0.3">
      <c r="G4098" s="470"/>
      <c r="H4098" s="470">
        <v>4091</v>
      </c>
      <c r="I4098" s="455">
        <f t="shared" ca="1" si="165"/>
        <v>6076724316628.5684</v>
      </c>
      <c r="J4098" s="455">
        <f t="array" ref="J4098">IFERROR(INDEX('Retirement Calculator'!K:K,MATCH('Lorri 401b'!N4098,'Retirement Calculator'!A:A,0),0),0)</f>
        <v>0</v>
      </c>
      <c r="K4098" s="455">
        <f t="shared" ca="1" si="163"/>
        <v>25319684652.619034</v>
      </c>
      <c r="L4098" s="455">
        <f t="shared" ca="1" si="164"/>
        <v>6102044001281.1875</v>
      </c>
      <c r="M4098" s="471">
        <f t="shared" si="166"/>
        <v>0.05</v>
      </c>
      <c r="N4098" s="475">
        <f t="shared" si="167"/>
        <v>175774</v>
      </c>
    </row>
    <row r="4099" spans="7:14" ht="11.25" customHeight="1" x14ac:dyDescent="0.3">
      <c r="G4099" s="470"/>
      <c r="H4099" s="470">
        <v>4092</v>
      </c>
      <c r="I4099" s="455">
        <f t="shared" ca="1" si="165"/>
        <v>6102044001281.1875</v>
      </c>
      <c r="J4099" s="455">
        <f t="array" ref="J4099">IFERROR(INDEX('Retirement Calculator'!K:K,MATCH('Lorri 401b'!N4099,'Retirement Calculator'!A:A,0),0),0)</f>
        <v>0</v>
      </c>
      <c r="K4099" s="455">
        <f t="shared" ca="1" si="163"/>
        <v>25425183338.671616</v>
      </c>
      <c r="L4099" s="455">
        <f t="shared" ca="1" si="164"/>
        <v>6127469184619.8594</v>
      </c>
      <c r="M4099" s="471">
        <f t="shared" si="166"/>
        <v>0.05</v>
      </c>
      <c r="N4099" s="475">
        <f t="shared" si="167"/>
        <v>175804</v>
      </c>
    </row>
    <row r="4100" spans="7:14" ht="11.25" customHeight="1" x14ac:dyDescent="0.3">
      <c r="G4100" s="470"/>
      <c r="H4100" s="470">
        <v>4093</v>
      </c>
      <c r="I4100" s="455">
        <f t="shared" ca="1" si="165"/>
        <v>6127469184619.8594</v>
      </c>
      <c r="J4100" s="455">
        <f t="array" ref="J4100">IFERROR(INDEX('Retirement Calculator'!K:K,MATCH('Lorri 401b'!N4100,'Retirement Calculator'!A:A,0),0),0)</f>
        <v>0</v>
      </c>
      <c r="K4100" s="455">
        <f t="shared" ca="1" si="163"/>
        <v>25531121602.582748</v>
      </c>
      <c r="L4100" s="455">
        <f t="shared" ca="1" si="164"/>
        <v>6153000306222.4424</v>
      </c>
      <c r="M4100" s="471">
        <f t="shared" si="166"/>
        <v>0.05</v>
      </c>
      <c r="N4100" s="475">
        <f t="shared" si="167"/>
        <v>175835</v>
      </c>
    </row>
    <row r="4101" spans="7:14" ht="11.25" customHeight="1" x14ac:dyDescent="0.3">
      <c r="G4101" s="470"/>
      <c r="H4101" s="470">
        <v>4094</v>
      </c>
      <c r="I4101" s="455">
        <f t="shared" ca="1" si="165"/>
        <v>6153000306222.4424</v>
      </c>
      <c r="J4101" s="455">
        <f t="array" ref="J4101">IFERROR(INDEX('Retirement Calculator'!K:K,MATCH('Lorri 401b'!N4101,'Retirement Calculator'!A:A,0),0),0)</f>
        <v>0</v>
      </c>
      <c r="K4101" s="455">
        <f t="shared" ca="1" si="163"/>
        <v>25637501275.926842</v>
      </c>
      <c r="L4101" s="455">
        <f t="shared" ca="1" si="164"/>
        <v>6178637807498.3691</v>
      </c>
      <c r="M4101" s="471">
        <f t="shared" si="166"/>
        <v>0.05</v>
      </c>
      <c r="N4101" s="475">
        <f t="shared" si="167"/>
        <v>175865</v>
      </c>
    </row>
    <row r="4102" spans="7:14" ht="11.25" customHeight="1" x14ac:dyDescent="0.3">
      <c r="G4102" s="470"/>
      <c r="H4102" s="470">
        <v>4095</v>
      </c>
      <c r="I4102" s="455">
        <f t="shared" ca="1" si="165"/>
        <v>6178637807498.3691</v>
      </c>
      <c r="J4102" s="455">
        <f t="array" ref="J4102">IFERROR(INDEX('Retirement Calculator'!K:K,MATCH('Lorri 401b'!N4102,'Retirement Calculator'!A:A,0),0),0)</f>
        <v>0</v>
      </c>
      <c r="K4102" s="455">
        <f t="shared" ca="1" si="163"/>
        <v>25744324197.90987</v>
      </c>
      <c r="L4102" s="455">
        <f t="shared" ca="1" si="164"/>
        <v>6204382131696.2793</v>
      </c>
      <c r="M4102" s="471">
        <f t="shared" si="166"/>
        <v>0.05</v>
      </c>
      <c r="N4102" s="475">
        <f t="shared" si="167"/>
        <v>175896</v>
      </c>
    </row>
    <row r="4103" spans="7:14" ht="11.25" customHeight="1" x14ac:dyDescent="0.3">
      <c r="G4103" s="470"/>
      <c r="H4103" s="470">
        <v>4096</v>
      </c>
      <c r="I4103" s="455">
        <f t="shared" ca="1" si="165"/>
        <v>6204382131696.2793</v>
      </c>
      <c r="J4103" s="455">
        <f t="array" ref="J4103">IFERROR(INDEX('Retirement Calculator'!K:K,MATCH('Lorri 401b'!N4103,'Retirement Calculator'!A:A,0),0),0)</f>
        <v>0</v>
      </c>
      <c r="K4103" s="455">
        <f t="shared" ca="1" si="163"/>
        <v>25851592215.401165</v>
      </c>
      <c r="L4103" s="455">
        <f t="shared" ca="1" si="164"/>
        <v>6230233723911.6807</v>
      </c>
      <c r="M4103" s="471">
        <f t="shared" si="166"/>
        <v>0.05</v>
      </c>
      <c r="N4103" s="475">
        <f t="shared" si="167"/>
        <v>175927</v>
      </c>
    </row>
    <row r="4104" spans="7:14" ht="11.25" customHeight="1" x14ac:dyDescent="0.3">
      <c r="G4104" s="470"/>
      <c r="H4104" s="470">
        <v>4097</v>
      </c>
      <c r="I4104" s="455">
        <f t="shared" ca="1" si="165"/>
        <v>6230233723911.6807</v>
      </c>
      <c r="J4104" s="455">
        <f t="array" ref="J4104">IFERROR(INDEX('Retirement Calculator'!K:K,MATCH('Lorri 401b'!N4104,'Retirement Calculator'!A:A,0),0),0)</f>
        <v>0</v>
      </c>
      <c r="K4104" s="455">
        <f t="shared" ca="1" si="163"/>
        <v>25959307182.965336</v>
      </c>
      <c r="L4104" s="455">
        <f t="shared" ca="1" si="164"/>
        <v>6256193031094.6465</v>
      </c>
      <c r="M4104" s="471">
        <f t="shared" si="166"/>
        <v>0.05</v>
      </c>
      <c r="N4104" s="475">
        <f t="shared" si="167"/>
        <v>175957</v>
      </c>
    </row>
    <row r="4105" spans="7:14" ht="11.25" customHeight="1" x14ac:dyDescent="0.3">
      <c r="G4105" s="470"/>
      <c r="H4105" s="470">
        <v>4098</v>
      </c>
      <c r="I4105" s="455">
        <f t="shared" ca="1" si="165"/>
        <v>6256193031094.6465</v>
      </c>
      <c r="J4105" s="455">
        <f t="array" ref="J4105">IFERROR(INDEX('Retirement Calculator'!K:K,MATCH('Lorri 401b'!N4105,'Retirement Calculator'!A:A,0),0),0)</f>
        <v>0</v>
      </c>
      <c r="K4105" s="455">
        <f t="shared" ca="1" si="163"/>
        <v>26067470962.89436</v>
      </c>
      <c r="L4105" s="455">
        <f t="shared" ca="1" si="164"/>
        <v>6282260502057.541</v>
      </c>
      <c r="M4105" s="471">
        <f t="shared" si="166"/>
        <v>0.05</v>
      </c>
      <c r="N4105" s="475">
        <f t="shared" si="167"/>
        <v>175988</v>
      </c>
    </row>
    <row r="4106" spans="7:14" ht="11.25" customHeight="1" x14ac:dyDescent="0.3">
      <c r="G4106" s="470"/>
      <c r="H4106" s="470">
        <v>4099</v>
      </c>
      <c r="I4106" s="455">
        <f t="shared" ca="1" si="165"/>
        <v>6282260502057.541</v>
      </c>
      <c r="J4106" s="455">
        <f t="array" ref="J4106">IFERROR(INDEX('Retirement Calculator'!K:K,MATCH('Lorri 401b'!N4106,'Retirement Calculator'!A:A,0),0),0)</f>
        <v>0</v>
      </c>
      <c r="K4106" s="455">
        <f t="shared" ca="1" si="163"/>
        <v>26176085425.239754</v>
      </c>
      <c r="L4106" s="455">
        <f t="shared" ca="1" si="164"/>
        <v>6308436587482.7813</v>
      </c>
      <c r="M4106" s="471">
        <f t="shared" si="166"/>
        <v>0.05</v>
      </c>
      <c r="N4106" s="475">
        <f t="shared" si="167"/>
        <v>176018</v>
      </c>
    </row>
    <row r="4107" spans="7:14" ht="11.25" customHeight="1" x14ac:dyDescent="0.3">
      <c r="G4107" s="470"/>
      <c r="H4107" s="470">
        <v>4100</v>
      </c>
      <c r="I4107" s="455">
        <f t="shared" ca="1" si="165"/>
        <v>6308436587482.7813</v>
      </c>
      <c r="J4107" s="455">
        <f t="array" ref="J4107">IFERROR(INDEX('Retirement Calculator'!K:K,MATCH('Lorri 401b'!N4107,'Retirement Calculator'!A:A,0),0),0)</f>
        <v>0</v>
      </c>
      <c r="K4107" s="455">
        <f t="shared" ca="1" si="163"/>
        <v>26285152447.844921</v>
      </c>
      <c r="L4107" s="455">
        <f t="shared" ca="1" si="164"/>
        <v>6334721739930.626</v>
      </c>
      <c r="M4107" s="471">
        <f t="shared" si="166"/>
        <v>0.05</v>
      </c>
      <c r="N4107" s="475">
        <f t="shared" si="167"/>
        <v>176049</v>
      </c>
    </row>
    <row r="4108" spans="7:14" ht="11.25" customHeight="1" x14ac:dyDescent="0.3">
      <c r="G4108" s="470"/>
      <c r="H4108" s="470">
        <v>4101</v>
      </c>
      <c r="I4108" s="455">
        <f t="shared" ca="1" si="165"/>
        <v>6334721739930.626</v>
      </c>
      <c r="J4108" s="455">
        <f t="array" ref="J4108">IFERROR(INDEX('Retirement Calculator'!K:K,MATCH('Lorri 401b'!N4108,'Retirement Calculator'!A:A,0),0),0)</f>
        <v>0</v>
      </c>
      <c r="K4108" s="455">
        <f t="shared" ca="1" si="163"/>
        <v>26394673916.377609</v>
      </c>
      <c r="L4108" s="455">
        <f t="shared" ca="1" si="164"/>
        <v>6361116413847.0039</v>
      </c>
      <c r="M4108" s="471">
        <f t="shared" si="166"/>
        <v>0.05</v>
      </c>
      <c r="N4108" s="475">
        <f t="shared" si="167"/>
        <v>176080</v>
      </c>
    </row>
    <row r="4109" spans="7:14" ht="11.25" customHeight="1" x14ac:dyDescent="0.3">
      <c r="G4109" s="470"/>
      <c r="H4109" s="470">
        <v>4102</v>
      </c>
      <c r="I4109" s="455">
        <f t="shared" ca="1" si="165"/>
        <v>6361116413847.0039</v>
      </c>
      <c r="J4109" s="455">
        <f t="array" ref="J4109">IFERROR(INDEX('Retirement Calculator'!K:K,MATCH('Lorri 401b'!N4109,'Retirement Calculator'!A:A,0),0),0)</f>
        <v>0</v>
      </c>
      <c r="K4109" s="455">
        <f t="shared" ca="1" si="163"/>
        <v>26504651724.362514</v>
      </c>
      <c r="L4109" s="455">
        <f t="shared" ca="1" si="164"/>
        <v>6387621065571.3662</v>
      </c>
      <c r="M4109" s="471">
        <f t="shared" si="166"/>
        <v>0.05</v>
      </c>
      <c r="N4109" s="475">
        <f t="shared" si="167"/>
        <v>176108</v>
      </c>
    </row>
    <row r="4110" spans="7:14" ht="11.25" customHeight="1" x14ac:dyDescent="0.3">
      <c r="G4110" s="470"/>
      <c r="H4110" s="470">
        <v>4103</v>
      </c>
      <c r="I4110" s="455">
        <f t="shared" ca="1" si="165"/>
        <v>6387621065571.3662</v>
      </c>
      <c r="J4110" s="455">
        <f t="array" ref="J4110">IFERROR(INDEX('Retirement Calculator'!K:K,MATCH('Lorri 401b'!N4110,'Retirement Calculator'!A:A,0),0),0)</f>
        <v>0</v>
      </c>
      <c r="K4110" s="455">
        <f t="shared" ca="1" si="163"/>
        <v>26615087773.214027</v>
      </c>
      <c r="L4110" s="455">
        <f t="shared" ca="1" si="164"/>
        <v>6414236153344.5801</v>
      </c>
      <c r="M4110" s="471">
        <f t="shared" si="166"/>
        <v>0.05</v>
      </c>
      <c r="N4110" s="475">
        <f t="shared" si="167"/>
        <v>176139</v>
      </c>
    </row>
    <row r="4111" spans="7:14" ht="11.25" customHeight="1" x14ac:dyDescent="0.3">
      <c r="G4111" s="470"/>
      <c r="H4111" s="470">
        <v>4104</v>
      </c>
      <c r="I4111" s="455">
        <f t="shared" ca="1" si="165"/>
        <v>6414236153344.5801</v>
      </c>
      <c r="J4111" s="455">
        <f t="array" ref="J4111">IFERROR(INDEX('Retirement Calculator'!K:K,MATCH('Lorri 401b'!N4111,'Retirement Calculator'!A:A,0),0),0)</f>
        <v>0</v>
      </c>
      <c r="K4111" s="455">
        <f t="shared" ca="1" si="163"/>
        <v>26725983972.269085</v>
      </c>
      <c r="L4111" s="455">
        <f t="shared" ca="1" si="164"/>
        <v>6440962137316.8496</v>
      </c>
      <c r="M4111" s="471">
        <f t="shared" si="166"/>
        <v>0.05</v>
      </c>
      <c r="N4111" s="475">
        <f t="shared" si="167"/>
        <v>176169</v>
      </c>
    </row>
    <row r="4112" spans="7:14" ht="11.25" customHeight="1" x14ac:dyDescent="0.3">
      <c r="G4112" s="470"/>
      <c r="H4112" s="470">
        <v>4105</v>
      </c>
      <c r="I4112" s="455">
        <f t="shared" ca="1" si="165"/>
        <v>6440962137316.8496</v>
      </c>
      <c r="J4112" s="455">
        <f t="array" ref="J4112">IFERROR(INDEX('Retirement Calculator'!K:K,MATCH('Lorri 401b'!N4112,'Retirement Calculator'!A:A,0),0),0)</f>
        <v>0</v>
      </c>
      <c r="K4112" s="455">
        <f t="shared" ca="1" si="163"/>
        <v>26837342238.820206</v>
      </c>
      <c r="L4112" s="455">
        <f t="shared" ca="1" si="164"/>
        <v>6467799479555.6699</v>
      </c>
      <c r="M4112" s="471">
        <f t="shared" si="166"/>
        <v>0.05</v>
      </c>
      <c r="N4112" s="475">
        <f t="shared" si="167"/>
        <v>176200</v>
      </c>
    </row>
    <row r="4113" spans="7:14" ht="11.25" customHeight="1" x14ac:dyDescent="0.3">
      <c r="G4113" s="470"/>
      <c r="H4113" s="470">
        <v>4106</v>
      </c>
      <c r="I4113" s="455">
        <f t="shared" ca="1" si="165"/>
        <v>6467799479555.6699</v>
      </c>
      <c r="J4113" s="455">
        <f t="array" ref="J4113">IFERROR(INDEX('Retirement Calculator'!K:K,MATCH('Lorri 401b'!N4113,'Retirement Calculator'!A:A,0),0),0)</f>
        <v>0</v>
      </c>
      <c r="K4113" s="455">
        <f t="shared" ca="1" si="163"/>
        <v>26949164498.148624</v>
      </c>
      <c r="L4113" s="455">
        <f t="shared" ca="1" si="164"/>
        <v>6494748644053.8184</v>
      </c>
      <c r="M4113" s="471">
        <f t="shared" si="166"/>
        <v>0.05</v>
      </c>
      <c r="N4113" s="475">
        <f t="shared" si="167"/>
        <v>176230</v>
      </c>
    </row>
    <row r="4114" spans="7:14" ht="11.25" customHeight="1" x14ac:dyDescent="0.3">
      <c r="G4114" s="470"/>
      <c r="H4114" s="470">
        <v>4107</v>
      </c>
      <c r="I4114" s="455">
        <f t="shared" ca="1" si="165"/>
        <v>6494748644053.8184</v>
      </c>
      <c r="J4114" s="455">
        <f t="array" ref="J4114">IFERROR(INDEX('Retirement Calculator'!K:K,MATCH('Lorri 401b'!N4114,'Retirement Calculator'!A:A,0),0),0)</f>
        <v>0</v>
      </c>
      <c r="K4114" s="455">
        <f t="shared" ca="1" si="163"/>
        <v>27061452683.557575</v>
      </c>
      <c r="L4114" s="455">
        <f t="shared" ca="1" si="164"/>
        <v>6521810096737.376</v>
      </c>
      <c r="M4114" s="471">
        <f t="shared" si="166"/>
        <v>0.05</v>
      </c>
      <c r="N4114" s="475">
        <f t="shared" si="167"/>
        <v>176261</v>
      </c>
    </row>
    <row r="4115" spans="7:14" ht="11.25" customHeight="1" x14ac:dyDescent="0.3">
      <c r="G4115" s="470"/>
      <c r="H4115" s="470">
        <v>4108</v>
      </c>
      <c r="I4115" s="455">
        <f t="shared" ca="1" si="165"/>
        <v>6521810096737.376</v>
      </c>
      <c r="J4115" s="455">
        <f t="array" ref="J4115">IFERROR(INDEX('Retirement Calculator'!K:K,MATCH('Lorri 401b'!N4115,'Retirement Calculator'!A:A,0),0),0)</f>
        <v>0</v>
      </c>
      <c r="K4115" s="455">
        <f t="shared" ca="1" si="163"/>
        <v>27174208736.405731</v>
      </c>
      <c r="L4115" s="455">
        <f t="shared" ca="1" si="164"/>
        <v>6548984305473.7813</v>
      </c>
      <c r="M4115" s="471">
        <f t="shared" si="166"/>
        <v>0.05</v>
      </c>
      <c r="N4115" s="475">
        <f t="shared" si="167"/>
        <v>176292</v>
      </c>
    </row>
    <row r="4116" spans="7:14" ht="11.25" customHeight="1" x14ac:dyDescent="0.3">
      <c r="G4116" s="470"/>
      <c r="H4116" s="470">
        <v>4109</v>
      </c>
      <c r="I4116" s="455">
        <f t="shared" ca="1" si="165"/>
        <v>6548984305473.7813</v>
      </c>
      <c r="J4116" s="455">
        <f t="array" ref="J4116">IFERROR(INDEX('Retirement Calculator'!K:K,MATCH('Lorri 401b'!N4116,'Retirement Calculator'!A:A,0),0),0)</f>
        <v>0</v>
      </c>
      <c r="K4116" s="455">
        <f t="shared" ca="1" si="163"/>
        <v>27287434606.140755</v>
      </c>
      <c r="L4116" s="455">
        <f t="shared" ca="1" si="164"/>
        <v>6576271740079.9219</v>
      </c>
      <c r="M4116" s="471">
        <f t="shared" si="166"/>
        <v>0.05</v>
      </c>
      <c r="N4116" s="475">
        <f t="shared" si="167"/>
        <v>176322</v>
      </c>
    </row>
    <row r="4117" spans="7:14" ht="11.25" customHeight="1" x14ac:dyDescent="0.3">
      <c r="G4117" s="470"/>
      <c r="H4117" s="470">
        <v>4110</v>
      </c>
      <c r="I4117" s="455">
        <f t="shared" ca="1" si="165"/>
        <v>6576271740079.9219</v>
      </c>
      <c r="J4117" s="455">
        <f t="array" ref="J4117">IFERROR(INDEX('Retirement Calculator'!K:K,MATCH('Lorri 401b'!N4117,'Retirement Calculator'!A:A,0),0),0)</f>
        <v>0</v>
      </c>
      <c r="K4117" s="455">
        <f t="shared" ca="1" si="163"/>
        <v>27401132250.333008</v>
      </c>
      <c r="L4117" s="455">
        <f t="shared" ca="1" si="164"/>
        <v>6603672872330.2549</v>
      </c>
      <c r="M4117" s="471">
        <f t="shared" si="166"/>
        <v>0.05</v>
      </c>
      <c r="N4117" s="475">
        <f t="shared" si="167"/>
        <v>176353</v>
      </c>
    </row>
    <row r="4118" spans="7:14" ht="11.25" customHeight="1" x14ac:dyDescent="0.3">
      <c r="G4118" s="470"/>
      <c r="H4118" s="470">
        <v>4111</v>
      </c>
      <c r="I4118" s="455">
        <f t="shared" ca="1" si="165"/>
        <v>6603672872330.2549</v>
      </c>
      <c r="J4118" s="455">
        <f t="array" ref="J4118">IFERROR(INDEX('Retirement Calculator'!K:K,MATCH('Lorri 401b'!N4118,'Retirement Calculator'!A:A,0),0),0)</f>
        <v>0</v>
      </c>
      <c r="K4118" s="455">
        <f t="shared" ca="1" si="163"/>
        <v>27515303634.709396</v>
      </c>
      <c r="L4118" s="455">
        <f t="shared" ca="1" si="164"/>
        <v>6631188175964.9639</v>
      </c>
      <c r="M4118" s="471">
        <f t="shared" si="166"/>
        <v>0.05</v>
      </c>
      <c r="N4118" s="475">
        <f t="shared" si="167"/>
        <v>176383</v>
      </c>
    </row>
    <row r="4119" spans="7:14" ht="11.25" customHeight="1" x14ac:dyDescent="0.3">
      <c r="G4119" s="470"/>
      <c r="H4119" s="470">
        <v>4112</v>
      </c>
      <c r="I4119" s="455">
        <f t="shared" ca="1" si="165"/>
        <v>6631188175964.9639</v>
      </c>
      <c r="J4119" s="455">
        <f t="array" ref="J4119">IFERROR(INDEX('Retirement Calculator'!K:K,MATCH('Lorri 401b'!N4119,'Retirement Calculator'!A:A,0),0),0)</f>
        <v>0</v>
      </c>
      <c r="K4119" s="455">
        <f t="shared" ca="1" si="163"/>
        <v>27629950733.187347</v>
      </c>
      <c r="L4119" s="455">
        <f t="shared" ca="1" si="164"/>
        <v>6658818126698.1514</v>
      </c>
      <c r="M4119" s="471">
        <f t="shared" si="166"/>
        <v>0.05</v>
      </c>
      <c r="N4119" s="475">
        <f t="shared" si="167"/>
        <v>176414</v>
      </c>
    </row>
    <row r="4120" spans="7:14" ht="11.25" customHeight="1" x14ac:dyDescent="0.3">
      <c r="G4120" s="470"/>
      <c r="H4120" s="470">
        <v>4113</v>
      </c>
      <c r="I4120" s="455">
        <f t="shared" ca="1" si="165"/>
        <v>6658818126698.1514</v>
      </c>
      <c r="J4120" s="455">
        <f t="array" ref="J4120">IFERROR(INDEX('Retirement Calculator'!K:K,MATCH('Lorri 401b'!N4120,'Retirement Calculator'!A:A,0),0),0)</f>
        <v>0</v>
      </c>
      <c r="K4120" s="455">
        <f t="shared" ca="1" si="163"/>
        <v>27745075527.908962</v>
      </c>
      <c r="L4120" s="455">
        <f t="shared" ca="1" si="164"/>
        <v>6686563202226.0605</v>
      </c>
      <c r="M4120" s="471">
        <f t="shared" si="166"/>
        <v>0.05</v>
      </c>
      <c r="N4120" s="475">
        <f t="shared" si="167"/>
        <v>176445</v>
      </c>
    </row>
    <row r="4121" spans="7:14" ht="11.25" customHeight="1" x14ac:dyDescent="0.3">
      <c r="G4121" s="470"/>
      <c r="H4121" s="470">
        <v>4114</v>
      </c>
      <c r="I4121" s="455">
        <f t="shared" ca="1" si="165"/>
        <v>6686563202226.0605</v>
      </c>
      <c r="J4121" s="455">
        <f t="array" ref="J4121">IFERROR(INDEX('Retirement Calculator'!K:K,MATCH('Lorri 401b'!N4121,'Retirement Calculator'!A:A,0),0),0)</f>
        <v>0</v>
      </c>
      <c r="K4121" s="455">
        <f t="shared" ca="1" si="163"/>
        <v>27860680009.275253</v>
      </c>
      <c r="L4121" s="455">
        <f t="shared" ca="1" si="164"/>
        <v>6714423882235.3359</v>
      </c>
      <c r="M4121" s="471">
        <f t="shared" si="166"/>
        <v>0.05</v>
      </c>
      <c r="N4121" s="475">
        <f t="shared" si="167"/>
        <v>176473</v>
      </c>
    </row>
    <row r="4122" spans="7:14" ht="11.25" customHeight="1" x14ac:dyDescent="0.3">
      <c r="G4122" s="470"/>
      <c r="H4122" s="470">
        <v>4115</v>
      </c>
      <c r="I4122" s="455">
        <f t="shared" ca="1" si="165"/>
        <v>6714423882235.3359</v>
      </c>
      <c r="J4122" s="455">
        <f t="array" ref="J4122">IFERROR(INDEX('Retirement Calculator'!K:K,MATCH('Lorri 401b'!N4122,'Retirement Calculator'!A:A,0),0),0)</f>
        <v>0</v>
      </c>
      <c r="K4122" s="455">
        <f t="shared" ca="1" si="163"/>
        <v>27976766175.980564</v>
      </c>
      <c r="L4122" s="455">
        <f t="shared" ca="1" si="164"/>
        <v>6742400648411.3164</v>
      </c>
      <c r="M4122" s="471">
        <f t="shared" si="166"/>
        <v>0.05</v>
      </c>
      <c r="N4122" s="475">
        <f t="shared" si="167"/>
        <v>176504</v>
      </c>
    </row>
    <row r="4123" spans="7:14" ht="11.25" customHeight="1" x14ac:dyDescent="0.3">
      <c r="G4123" s="470"/>
      <c r="H4123" s="470">
        <v>4116</v>
      </c>
      <c r="I4123" s="455">
        <f t="shared" ca="1" si="165"/>
        <v>6742400648411.3164</v>
      </c>
      <c r="J4123" s="455">
        <f t="array" ref="J4123">IFERROR(INDEX('Retirement Calculator'!K:K,MATCH('Lorri 401b'!N4123,'Retirement Calculator'!A:A,0),0),0)</f>
        <v>0</v>
      </c>
      <c r="K4123" s="455">
        <f t="shared" ca="1" si="163"/>
        <v>28093336035.04715</v>
      </c>
      <c r="L4123" s="455">
        <f t="shared" ca="1" si="164"/>
        <v>6770493984446.3633</v>
      </c>
      <c r="M4123" s="471">
        <f t="shared" si="166"/>
        <v>0.05</v>
      </c>
      <c r="N4123" s="475">
        <f t="shared" si="167"/>
        <v>176534</v>
      </c>
    </row>
    <row r="4124" spans="7:14" ht="11.25" customHeight="1" x14ac:dyDescent="0.3">
      <c r="G4124" s="470"/>
      <c r="H4124" s="470">
        <v>4117</v>
      </c>
      <c r="I4124" s="455">
        <f t="shared" ca="1" si="165"/>
        <v>6770493984446.3633</v>
      </c>
      <c r="J4124" s="455">
        <f t="array" ref="J4124">IFERROR(INDEX('Retirement Calculator'!K:K,MATCH('Lorri 401b'!N4124,'Retirement Calculator'!A:A,0),0),0)</f>
        <v>0</v>
      </c>
      <c r="K4124" s="455">
        <f t="shared" ca="1" si="163"/>
        <v>28210391601.859848</v>
      </c>
      <c r="L4124" s="455">
        <f t="shared" ca="1" si="164"/>
        <v>6798704376048.2227</v>
      </c>
      <c r="M4124" s="471">
        <f t="shared" si="166"/>
        <v>0.05</v>
      </c>
      <c r="N4124" s="475">
        <f t="shared" si="167"/>
        <v>176565</v>
      </c>
    </row>
    <row r="4125" spans="7:14" ht="11.25" customHeight="1" x14ac:dyDescent="0.3">
      <c r="G4125" s="470"/>
      <c r="H4125" s="470">
        <v>4118</v>
      </c>
      <c r="I4125" s="455">
        <f t="shared" ca="1" si="165"/>
        <v>6798704376048.2227</v>
      </c>
      <c r="J4125" s="455">
        <f t="array" ref="J4125">IFERROR(INDEX('Retirement Calculator'!K:K,MATCH('Lorri 401b'!N4125,'Retirement Calculator'!A:A,0),0),0)</f>
        <v>0</v>
      </c>
      <c r="K4125" s="455">
        <f t="shared" ca="1" si="163"/>
        <v>28327934900.200928</v>
      </c>
      <c r="L4125" s="455">
        <f t="shared" ca="1" si="164"/>
        <v>6827032310948.4238</v>
      </c>
      <c r="M4125" s="471">
        <f t="shared" si="166"/>
        <v>0.05</v>
      </c>
      <c r="N4125" s="475">
        <f t="shared" si="167"/>
        <v>176595</v>
      </c>
    </row>
    <row r="4126" spans="7:14" ht="11.25" customHeight="1" x14ac:dyDescent="0.3">
      <c r="G4126" s="470"/>
      <c r="H4126" s="470">
        <v>4119</v>
      </c>
      <c r="I4126" s="455">
        <f t="shared" ca="1" si="165"/>
        <v>6827032310948.4238</v>
      </c>
      <c r="J4126" s="455">
        <f t="array" ref="J4126">IFERROR(INDEX('Retirement Calculator'!K:K,MATCH('Lorri 401b'!N4126,'Retirement Calculator'!A:A,0),0),0)</f>
        <v>0</v>
      </c>
      <c r="K4126" s="455">
        <f t="shared" ca="1" si="163"/>
        <v>28445967962.285099</v>
      </c>
      <c r="L4126" s="455">
        <f t="shared" ca="1" si="164"/>
        <v>6855478278910.709</v>
      </c>
      <c r="M4126" s="471">
        <f t="shared" si="166"/>
        <v>0.05</v>
      </c>
      <c r="N4126" s="475">
        <f t="shared" si="167"/>
        <v>176626</v>
      </c>
    </row>
    <row r="4127" spans="7:14" ht="11.25" customHeight="1" x14ac:dyDescent="0.3">
      <c r="G4127" s="470"/>
      <c r="H4127" s="470">
        <v>4120</v>
      </c>
      <c r="I4127" s="455">
        <f t="shared" ca="1" si="165"/>
        <v>6855478278910.709</v>
      </c>
      <c r="J4127" s="455">
        <f t="array" ref="J4127">IFERROR(INDEX('Retirement Calculator'!K:K,MATCH('Lorri 401b'!N4127,'Retirement Calculator'!A:A,0),0),0)</f>
        <v>0</v>
      </c>
      <c r="K4127" s="455">
        <f t="shared" ca="1" si="163"/>
        <v>28564492828.794621</v>
      </c>
      <c r="L4127" s="455">
        <f t="shared" ca="1" si="164"/>
        <v>6884042771739.5039</v>
      </c>
      <c r="M4127" s="471">
        <f t="shared" si="166"/>
        <v>0.05</v>
      </c>
      <c r="N4127" s="475">
        <f t="shared" si="167"/>
        <v>176657</v>
      </c>
    </row>
    <row r="4128" spans="7:14" ht="11.25" customHeight="1" x14ac:dyDescent="0.3">
      <c r="G4128" s="470"/>
      <c r="H4128" s="470">
        <v>4121</v>
      </c>
      <c r="I4128" s="455">
        <f t="shared" ca="1" si="165"/>
        <v>6884042771739.5039</v>
      </c>
      <c r="J4128" s="455">
        <f t="array" ref="J4128">IFERROR(INDEX('Retirement Calculator'!K:K,MATCH('Lorri 401b'!N4128,'Retirement Calculator'!A:A,0),0),0)</f>
        <v>0</v>
      </c>
      <c r="K4128" s="455">
        <f t="shared" ca="1" si="163"/>
        <v>28683511548.9146</v>
      </c>
      <c r="L4128" s="455">
        <f t="shared" ca="1" si="164"/>
        <v>6912726283288.4189</v>
      </c>
      <c r="M4128" s="471">
        <f t="shared" si="166"/>
        <v>0.05</v>
      </c>
      <c r="N4128" s="475">
        <f t="shared" si="167"/>
        <v>176687</v>
      </c>
    </row>
    <row r="4129" spans="7:14" ht="11.25" customHeight="1" x14ac:dyDescent="0.3">
      <c r="G4129" s="470"/>
      <c r="H4129" s="470">
        <v>4122</v>
      </c>
      <c r="I4129" s="455">
        <f t="shared" ca="1" si="165"/>
        <v>6912726283288.4189</v>
      </c>
      <c r="J4129" s="455">
        <f t="array" ref="J4129">IFERROR(INDEX('Retirement Calculator'!K:K,MATCH('Lorri 401b'!N4129,'Retirement Calculator'!A:A,0),0),0)</f>
        <v>0</v>
      </c>
      <c r="K4129" s="455">
        <f t="shared" ca="1" si="163"/>
        <v>28803026180.368412</v>
      </c>
      <c r="L4129" s="455">
        <f t="shared" ca="1" si="164"/>
        <v>6941529309468.7871</v>
      </c>
      <c r="M4129" s="471">
        <f t="shared" si="166"/>
        <v>0.05</v>
      </c>
      <c r="N4129" s="475">
        <f t="shared" si="167"/>
        <v>176718</v>
      </c>
    </row>
    <row r="4130" spans="7:14" ht="11.25" customHeight="1" x14ac:dyDescent="0.3">
      <c r="G4130" s="470"/>
      <c r="H4130" s="470">
        <v>4123</v>
      </c>
      <c r="I4130" s="455">
        <f t="shared" ca="1" si="165"/>
        <v>6941529309468.7871</v>
      </c>
      <c r="J4130" s="455">
        <f t="array" ref="J4130">IFERROR(INDEX('Retirement Calculator'!K:K,MATCH('Lorri 401b'!N4130,'Retirement Calculator'!A:A,0),0),0)</f>
        <v>0</v>
      </c>
      <c r="K4130" s="455">
        <f t="shared" ca="1" si="163"/>
        <v>28923038789.453278</v>
      </c>
      <c r="L4130" s="455">
        <f t="shared" ca="1" si="164"/>
        <v>6970452348258.2402</v>
      </c>
      <c r="M4130" s="471">
        <f t="shared" si="166"/>
        <v>0.05</v>
      </c>
      <c r="N4130" s="475">
        <f t="shared" si="167"/>
        <v>176748</v>
      </c>
    </row>
    <row r="4131" spans="7:14" ht="11.25" customHeight="1" x14ac:dyDescent="0.3">
      <c r="G4131" s="470"/>
      <c r="H4131" s="470">
        <v>4124</v>
      </c>
      <c r="I4131" s="455">
        <f t="shared" ca="1" si="165"/>
        <v>6970452348258.2402</v>
      </c>
      <c r="J4131" s="455">
        <f t="array" ref="J4131">IFERROR(INDEX('Retirement Calculator'!K:K,MATCH('Lorri 401b'!N4131,'Retirement Calculator'!A:A,0),0),0)</f>
        <v>0</v>
      </c>
      <c r="K4131" s="455">
        <f t="shared" ca="1" si="163"/>
        <v>29043551451.075996</v>
      </c>
      <c r="L4131" s="455">
        <f t="shared" ca="1" si="164"/>
        <v>6999495899709.3164</v>
      </c>
      <c r="M4131" s="471">
        <f t="shared" si="166"/>
        <v>0.05</v>
      </c>
      <c r="N4131" s="475">
        <f t="shared" si="167"/>
        <v>176779</v>
      </c>
    </row>
    <row r="4132" spans="7:14" ht="11.25" customHeight="1" x14ac:dyDescent="0.3">
      <c r="G4132" s="470"/>
      <c r="H4132" s="470">
        <v>4125</v>
      </c>
      <c r="I4132" s="455">
        <f t="shared" ca="1" si="165"/>
        <v>6999495899709.3164</v>
      </c>
      <c r="J4132" s="455">
        <f t="array" ref="J4132">IFERROR(INDEX('Retirement Calculator'!K:K,MATCH('Lorri 401b'!N4132,'Retirement Calculator'!A:A,0),0),0)</f>
        <v>0</v>
      </c>
      <c r="K4132" s="455">
        <f t="shared" ca="1" si="163"/>
        <v>29164566248.788818</v>
      </c>
      <c r="L4132" s="455">
        <f t="shared" ca="1" si="164"/>
        <v>7028660465958.1055</v>
      </c>
      <c r="M4132" s="471">
        <f t="shared" si="166"/>
        <v>0.05</v>
      </c>
      <c r="N4132" s="475">
        <f t="shared" si="167"/>
        <v>176810</v>
      </c>
    </row>
    <row r="4133" spans="7:14" ht="11.25" customHeight="1" x14ac:dyDescent="0.3">
      <c r="G4133" s="470"/>
      <c r="H4133" s="470">
        <v>4126</v>
      </c>
      <c r="I4133" s="455">
        <f t="shared" ca="1" si="165"/>
        <v>7028660465958.1055</v>
      </c>
      <c r="J4133" s="455">
        <f t="array" ref="J4133">IFERROR(INDEX('Retirement Calculator'!K:K,MATCH('Lorri 401b'!N4133,'Retirement Calculator'!A:A,0),0),0)</f>
        <v>0</v>
      </c>
      <c r="K4133" s="455">
        <f t="shared" ca="1" si="163"/>
        <v>29286085274.825436</v>
      </c>
      <c r="L4133" s="455">
        <f t="shared" ca="1" si="164"/>
        <v>7057946551232.9307</v>
      </c>
      <c r="M4133" s="471">
        <f t="shared" si="166"/>
        <v>0.05</v>
      </c>
      <c r="N4133" s="475">
        <f t="shared" si="167"/>
        <v>176839</v>
      </c>
    </row>
    <row r="4134" spans="7:14" ht="11.25" customHeight="1" x14ac:dyDescent="0.3">
      <c r="G4134" s="470"/>
      <c r="H4134" s="470">
        <v>4127</v>
      </c>
      <c r="I4134" s="455">
        <f t="shared" ca="1" si="165"/>
        <v>7057946551232.9307</v>
      </c>
      <c r="J4134" s="455">
        <f t="array" ref="J4134">IFERROR(INDEX('Retirement Calculator'!K:K,MATCH('Lorri 401b'!N4134,'Retirement Calculator'!A:A,0),0),0)</f>
        <v>0</v>
      </c>
      <c r="K4134" s="455">
        <f t="shared" ca="1" si="163"/>
        <v>29408110630.137211</v>
      </c>
      <c r="L4134" s="455">
        <f t="shared" ca="1" si="164"/>
        <v>7087354661863.0684</v>
      </c>
      <c r="M4134" s="471">
        <f t="shared" si="166"/>
        <v>0.05</v>
      </c>
      <c r="N4134" s="475">
        <f t="shared" si="167"/>
        <v>176870</v>
      </c>
    </row>
    <row r="4135" spans="7:14" ht="11.25" customHeight="1" x14ac:dyDescent="0.3">
      <c r="G4135" s="470"/>
      <c r="H4135" s="470">
        <v>4128</v>
      </c>
      <c r="I4135" s="455">
        <f t="shared" ca="1" si="165"/>
        <v>7087354661863.0684</v>
      </c>
      <c r="J4135" s="455">
        <f t="array" ref="J4135">IFERROR(INDEX('Retirement Calculator'!K:K,MATCH('Lorri 401b'!N4135,'Retirement Calculator'!A:A,0),0),0)</f>
        <v>0</v>
      </c>
      <c r="K4135" s="455">
        <f t="shared" ca="1" si="163"/>
        <v>29530644424.429451</v>
      </c>
      <c r="L4135" s="455">
        <f t="shared" ca="1" si="164"/>
        <v>7116885306287.498</v>
      </c>
      <c r="M4135" s="471">
        <f t="shared" si="166"/>
        <v>0.05</v>
      </c>
      <c r="N4135" s="475">
        <f t="shared" si="167"/>
        <v>176900</v>
      </c>
    </row>
    <row r="4136" spans="7:14" ht="11.25" customHeight="1" x14ac:dyDescent="0.3">
      <c r="G4136" s="470"/>
      <c r="H4136" s="470">
        <v>4129</v>
      </c>
      <c r="I4136" s="455">
        <f t="shared" ca="1" si="165"/>
        <v>7116885306287.498</v>
      </c>
      <c r="J4136" s="455">
        <f t="array" ref="J4136">IFERROR(INDEX('Retirement Calculator'!K:K,MATCH('Lorri 401b'!N4136,'Retirement Calculator'!A:A,0),0),0)</f>
        <v>0</v>
      </c>
      <c r="K4136" s="455">
        <f t="shared" ca="1" si="163"/>
        <v>29653688776.197906</v>
      </c>
      <c r="L4136" s="455">
        <f t="shared" ca="1" si="164"/>
        <v>7146538995063.6963</v>
      </c>
      <c r="M4136" s="471">
        <f t="shared" si="166"/>
        <v>0.05</v>
      </c>
      <c r="N4136" s="475">
        <f t="shared" si="167"/>
        <v>176931</v>
      </c>
    </row>
    <row r="4137" spans="7:14" ht="11.25" customHeight="1" x14ac:dyDescent="0.3">
      <c r="G4137" s="470"/>
      <c r="H4137" s="470">
        <v>4130</v>
      </c>
      <c r="I4137" s="455">
        <f t="shared" ca="1" si="165"/>
        <v>7146538995063.6963</v>
      </c>
      <c r="J4137" s="455">
        <f t="array" ref="J4137">IFERROR(INDEX('Retirement Calculator'!K:K,MATCH('Lorri 401b'!N4137,'Retirement Calculator'!A:A,0),0),0)</f>
        <v>0</v>
      </c>
      <c r="K4137" s="455">
        <f t="shared" ca="1" si="163"/>
        <v>29777245812.7654</v>
      </c>
      <c r="L4137" s="455">
        <f t="shared" ca="1" si="164"/>
        <v>7176316240876.4619</v>
      </c>
      <c r="M4137" s="471">
        <f t="shared" si="166"/>
        <v>0.05</v>
      </c>
      <c r="N4137" s="475">
        <f t="shared" si="167"/>
        <v>176961</v>
      </c>
    </row>
    <row r="4138" spans="7:14" ht="11.25" customHeight="1" x14ac:dyDescent="0.3">
      <c r="G4138" s="470"/>
      <c r="H4138" s="470">
        <v>4131</v>
      </c>
      <c r="I4138" s="455">
        <f t="shared" ca="1" si="165"/>
        <v>7176316240876.4619</v>
      </c>
      <c r="J4138" s="455">
        <f t="array" ref="J4138">IFERROR(INDEX('Retirement Calculator'!K:K,MATCH('Lorri 401b'!N4138,'Retirement Calculator'!A:A,0),0),0)</f>
        <v>0</v>
      </c>
      <c r="K4138" s="455">
        <f t="shared" ca="1" si="163"/>
        <v>29901317670.318592</v>
      </c>
      <c r="L4138" s="455">
        <f t="shared" ca="1" si="164"/>
        <v>7206217558546.7803</v>
      </c>
      <c r="M4138" s="471">
        <f t="shared" si="166"/>
        <v>0.05</v>
      </c>
      <c r="N4138" s="475">
        <f t="shared" si="167"/>
        <v>176992</v>
      </c>
    </row>
    <row r="4139" spans="7:14" ht="11.25" customHeight="1" x14ac:dyDescent="0.3">
      <c r="G4139" s="470"/>
      <c r="H4139" s="470">
        <v>4132</v>
      </c>
      <c r="I4139" s="455">
        <f t="shared" ca="1" si="165"/>
        <v>7206217558546.7803</v>
      </c>
      <c r="J4139" s="455">
        <f t="array" ref="J4139">IFERROR(INDEX('Retirement Calculator'!K:K,MATCH('Lorri 401b'!N4139,'Retirement Calculator'!A:A,0),0),0)</f>
        <v>0</v>
      </c>
      <c r="K4139" s="455">
        <f t="shared" ca="1" si="163"/>
        <v>30025906493.944916</v>
      </c>
      <c r="L4139" s="455">
        <f t="shared" ca="1" si="164"/>
        <v>7236243465040.7256</v>
      </c>
      <c r="M4139" s="471">
        <f t="shared" si="166"/>
        <v>0.05</v>
      </c>
      <c r="N4139" s="475">
        <f t="shared" si="167"/>
        <v>177023</v>
      </c>
    </row>
    <row r="4140" spans="7:14" ht="11.25" customHeight="1" x14ac:dyDescent="0.3">
      <c r="G4140" s="470"/>
      <c r="H4140" s="470">
        <v>4133</v>
      </c>
      <c r="I4140" s="455">
        <f t="shared" ca="1" si="165"/>
        <v>7236243465040.7256</v>
      </c>
      <c r="J4140" s="455">
        <f t="array" ref="J4140">IFERROR(INDEX('Retirement Calculator'!K:K,MATCH('Lorri 401b'!N4140,'Retirement Calculator'!A:A,0),0),0)</f>
        <v>0</v>
      </c>
      <c r="K4140" s="455">
        <f t="shared" ca="1" si="163"/>
        <v>30151014437.669689</v>
      </c>
      <c r="L4140" s="455">
        <f t="shared" ca="1" si="164"/>
        <v>7266394479478.3955</v>
      </c>
      <c r="M4140" s="471">
        <f t="shared" si="166"/>
        <v>0.05</v>
      </c>
      <c r="N4140" s="475">
        <f t="shared" si="167"/>
        <v>177053</v>
      </c>
    </row>
    <row r="4141" spans="7:14" ht="11.25" customHeight="1" x14ac:dyDescent="0.3">
      <c r="G4141" s="470"/>
      <c r="H4141" s="470">
        <v>4134</v>
      </c>
      <c r="I4141" s="455">
        <f t="shared" ca="1" si="165"/>
        <v>7266394479478.3955</v>
      </c>
      <c r="J4141" s="455">
        <f t="array" ref="J4141">IFERROR(INDEX('Retirement Calculator'!K:K,MATCH('Lorri 401b'!N4141,'Retirement Calculator'!A:A,0),0),0)</f>
        <v>0</v>
      </c>
      <c r="K4141" s="455">
        <f t="shared" ca="1" si="163"/>
        <v>30276643664.493313</v>
      </c>
      <c r="L4141" s="455">
        <f t="shared" ca="1" si="164"/>
        <v>7296671123142.8887</v>
      </c>
      <c r="M4141" s="471">
        <f t="shared" si="166"/>
        <v>0.05</v>
      </c>
      <c r="N4141" s="475">
        <f t="shared" si="167"/>
        <v>177084</v>
      </c>
    </row>
    <row r="4142" spans="7:14" ht="11.25" customHeight="1" x14ac:dyDescent="0.3">
      <c r="G4142" s="470"/>
      <c r="H4142" s="470">
        <v>4135</v>
      </c>
      <c r="I4142" s="455">
        <f t="shared" ca="1" si="165"/>
        <v>7296671123142.8887</v>
      </c>
      <c r="J4142" s="455">
        <f t="array" ref="J4142">IFERROR(INDEX('Retirement Calculator'!K:K,MATCH('Lorri 401b'!N4142,'Retirement Calculator'!A:A,0),0),0)</f>
        <v>0</v>
      </c>
      <c r="K4142" s="455">
        <f t="shared" ca="1" si="163"/>
        <v>30402796346.428703</v>
      </c>
      <c r="L4142" s="455">
        <f t="shared" ca="1" si="164"/>
        <v>7327073919489.3174</v>
      </c>
      <c r="M4142" s="471">
        <f t="shared" si="166"/>
        <v>0.05</v>
      </c>
      <c r="N4142" s="475">
        <f t="shared" si="167"/>
        <v>177114</v>
      </c>
    </row>
    <row r="4143" spans="7:14" ht="11.25" customHeight="1" x14ac:dyDescent="0.3">
      <c r="G4143" s="470"/>
      <c r="H4143" s="470">
        <v>4136</v>
      </c>
      <c r="I4143" s="455">
        <f t="shared" ca="1" si="165"/>
        <v>7327073919489.3174</v>
      </c>
      <c r="J4143" s="455">
        <f t="array" ref="J4143">IFERROR(INDEX('Retirement Calculator'!K:K,MATCH('Lorri 401b'!N4143,'Retirement Calculator'!A:A,0),0),0)</f>
        <v>0</v>
      </c>
      <c r="K4143" s="455">
        <f t="shared" ca="1" si="163"/>
        <v>30529474664.538822</v>
      </c>
      <c r="L4143" s="455">
        <f t="shared" ca="1" si="164"/>
        <v>7357603394153.8564</v>
      </c>
      <c r="M4143" s="471">
        <f t="shared" si="166"/>
        <v>0.05</v>
      </c>
      <c r="N4143" s="475">
        <f t="shared" si="167"/>
        <v>177145</v>
      </c>
    </row>
    <row r="4144" spans="7:14" ht="11.25" customHeight="1" x14ac:dyDescent="0.3">
      <c r="G4144" s="470"/>
      <c r="H4144" s="470">
        <v>4137</v>
      </c>
      <c r="I4144" s="455">
        <f t="shared" ca="1" si="165"/>
        <v>7357603394153.8564</v>
      </c>
      <c r="J4144" s="455">
        <f t="array" ref="J4144">IFERROR(INDEX('Retirement Calculator'!K:K,MATCH('Lorri 401b'!N4144,'Retirement Calculator'!A:A,0),0),0)</f>
        <v>0</v>
      </c>
      <c r="K4144" s="455">
        <f t="shared" ca="1" si="163"/>
        <v>30656680808.9744</v>
      </c>
      <c r="L4144" s="455">
        <f t="shared" ca="1" si="164"/>
        <v>7388260074962.8311</v>
      </c>
      <c r="M4144" s="471">
        <f t="shared" si="166"/>
        <v>0.05</v>
      </c>
      <c r="N4144" s="475">
        <f t="shared" si="167"/>
        <v>177176</v>
      </c>
    </row>
    <row r="4145" spans="7:14" ht="11.25" customHeight="1" x14ac:dyDescent="0.3">
      <c r="G4145" s="470"/>
      <c r="H4145" s="470">
        <v>4138</v>
      </c>
      <c r="I4145" s="455">
        <f t="shared" ca="1" si="165"/>
        <v>7388260074962.8311</v>
      </c>
      <c r="J4145" s="455">
        <f t="array" ref="J4145">IFERROR(INDEX('Retirement Calculator'!K:K,MATCH('Lorri 401b'!N4145,'Retirement Calculator'!A:A,0),0),0)</f>
        <v>0</v>
      </c>
      <c r="K4145" s="455">
        <f t="shared" ca="1" si="163"/>
        <v>30784416979.011795</v>
      </c>
      <c r="L4145" s="455">
        <f t="shared" ca="1" si="164"/>
        <v>7419044491941.8428</v>
      </c>
      <c r="M4145" s="471">
        <f t="shared" si="166"/>
        <v>0.05</v>
      </c>
      <c r="N4145" s="475">
        <f t="shared" si="167"/>
        <v>177204</v>
      </c>
    </row>
    <row r="4146" spans="7:14" ht="11.25" customHeight="1" x14ac:dyDescent="0.3">
      <c r="G4146" s="470"/>
      <c r="H4146" s="470">
        <v>4139</v>
      </c>
      <c r="I4146" s="455">
        <f t="shared" ca="1" si="165"/>
        <v>7419044491941.8428</v>
      </c>
      <c r="J4146" s="455">
        <f t="array" ref="J4146">IFERROR(INDEX('Retirement Calculator'!K:K,MATCH('Lorri 401b'!N4146,'Retirement Calculator'!A:A,0),0),0)</f>
        <v>0</v>
      </c>
      <c r="K4146" s="455">
        <f t="shared" ca="1" si="163"/>
        <v>30912685383.091011</v>
      </c>
      <c r="L4146" s="455">
        <f t="shared" ca="1" si="164"/>
        <v>7449957177324.9336</v>
      </c>
      <c r="M4146" s="471">
        <f t="shared" si="166"/>
        <v>0.05</v>
      </c>
      <c r="N4146" s="475">
        <f t="shared" si="167"/>
        <v>177235</v>
      </c>
    </row>
    <row r="4147" spans="7:14" ht="11.25" customHeight="1" x14ac:dyDescent="0.3">
      <c r="G4147" s="470"/>
      <c r="H4147" s="470">
        <v>4140</v>
      </c>
      <c r="I4147" s="455">
        <f t="shared" ca="1" si="165"/>
        <v>7449957177324.9336</v>
      </c>
      <c r="J4147" s="455">
        <f t="array" ref="J4147">IFERROR(INDEX('Retirement Calculator'!K:K,MATCH('Lorri 401b'!N4147,'Retirement Calculator'!A:A,0),0),0)</f>
        <v>0</v>
      </c>
      <c r="K4147" s="455">
        <f t="shared" ca="1" si="163"/>
        <v>31041488238.853893</v>
      </c>
      <c r="L4147" s="455">
        <f t="shared" ca="1" si="164"/>
        <v>7480998665563.7871</v>
      </c>
      <c r="M4147" s="471">
        <f t="shared" si="166"/>
        <v>0.05</v>
      </c>
      <c r="N4147" s="475">
        <f t="shared" si="167"/>
        <v>177265</v>
      </c>
    </row>
    <row r="4148" spans="7:14" ht="11.25" customHeight="1" x14ac:dyDescent="0.3">
      <c r="G4148" s="470"/>
      <c r="H4148" s="470">
        <v>4141</v>
      </c>
      <c r="I4148" s="455">
        <f t="shared" ca="1" si="165"/>
        <v>7480998665563.7871</v>
      </c>
      <c r="J4148" s="455">
        <f t="array" ref="J4148">IFERROR(INDEX('Retirement Calculator'!K:K,MATCH('Lorri 401b'!N4148,'Retirement Calculator'!A:A,0),0),0)</f>
        <v>0</v>
      </c>
      <c r="K4148" s="455">
        <f t="shared" ca="1" si="163"/>
        <v>31170827773.182446</v>
      </c>
      <c r="L4148" s="455">
        <f t="shared" ca="1" si="164"/>
        <v>7512169493336.9697</v>
      </c>
      <c r="M4148" s="471">
        <f t="shared" si="166"/>
        <v>0.05</v>
      </c>
      <c r="N4148" s="475">
        <f t="shared" si="167"/>
        <v>177296</v>
      </c>
    </row>
    <row r="4149" spans="7:14" ht="11.25" customHeight="1" x14ac:dyDescent="0.3">
      <c r="G4149" s="470"/>
      <c r="H4149" s="470">
        <v>4142</v>
      </c>
      <c r="I4149" s="455">
        <f t="shared" ca="1" si="165"/>
        <v>7512169493336.9697</v>
      </c>
      <c r="J4149" s="455">
        <f t="array" ref="J4149">IFERROR(INDEX('Retirement Calculator'!K:K,MATCH('Lorri 401b'!N4149,'Retirement Calculator'!A:A,0),0),0)</f>
        <v>0</v>
      </c>
      <c r="K4149" s="455">
        <f t="shared" ca="1" si="163"/>
        <v>31300706222.23737</v>
      </c>
      <c r="L4149" s="455">
        <f t="shared" ca="1" si="164"/>
        <v>7543470199559.207</v>
      </c>
      <c r="M4149" s="471">
        <f t="shared" si="166"/>
        <v>0.05</v>
      </c>
      <c r="N4149" s="475">
        <f t="shared" si="167"/>
        <v>177326</v>
      </c>
    </row>
    <row r="4150" spans="7:14" ht="11.25" customHeight="1" x14ac:dyDescent="0.3">
      <c r="G4150" s="470"/>
      <c r="H4150" s="470">
        <v>4143</v>
      </c>
      <c r="I4150" s="455">
        <f t="shared" ca="1" si="165"/>
        <v>7543470199559.207</v>
      </c>
      <c r="J4150" s="455">
        <f t="array" ref="J4150">IFERROR(INDEX('Retirement Calculator'!K:K,MATCH('Lorri 401b'!N4150,'Retirement Calculator'!A:A,0),0),0)</f>
        <v>0</v>
      </c>
      <c r="K4150" s="455">
        <f t="shared" ca="1" si="163"/>
        <v>31431125831.4967</v>
      </c>
      <c r="L4150" s="455">
        <f t="shared" ca="1" si="164"/>
        <v>7574901325390.7041</v>
      </c>
      <c r="M4150" s="471">
        <f t="shared" si="166"/>
        <v>0.05</v>
      </c>
      <c r="N4150" s="475">
        <f t="shared" si="167"/>
        <v>177357</v>
      </c>
    </row>
    <row r="4151" spans="7:14" ht="11.25" customHeight="1" x14ac:dyDescent="0.3">
      <c r="G4151" s="470"/>
      <c r="H4151" s="470">
        <v>4144</v>
      </c>
      <c r="I4151" s="455">
        <f t="shared" ca="1" si="165"/>
        <v>7574901325390.7041</v>
      </c>
      <c r="J4151" s="455">
        <f t="array" ref="J4151">IFERROR(INDEX('Retirement Calculator'!K:K,MATCH('Lorri 401b'!N4151,'Retirement Calculator'!A:A,0),0),0)</f>
        <v>0</v>
      </c>
      <c r="K4151" s="455">
        <f t="shared" ca="1" si="163"/>
        <v>31562088855.794601</v>
      </c>
      <c r="L4151" s="455">
        <f t="shared" ca="1" si="164"/>
        <v>7606463414246.499</v>
      </c>
      <c r="M4151" s="471">
        <f t="shared" si="166"/>
        <v>0.05</v>
      </c>
      <c r="N4151" s="475">
        <f t="shared" si="167"/>
        <v>177388</v>
      </c>
    </row>
    <row r="4152" spans="7:14" ht="11.25" customHeight="1" x14ac:dyDescent="0.3">
      <c r="G4152" s="470"/>
      <c r="H4152" s="470">
        <v>4145</v>
      </c>
      <c r="I4152" s="455">
        <f t="shared" ca="1" si="165"/>
        <v>7606463414246.499</v>
      </c>
      <c r="J4152" s="455">
        <f t="array" ref="J4152">IFERROR(INDEX('Retirement Calculator'!K:K,MATCH('Lorri 401b'!N4152,'Retirement Calculator'!A:A,0),0),0)</f>
        <v>0</v>
      </c>
      <c r="K4152" s="455">
        <f t="shared" ca="1" si="163"/>
        <v>31693597559.360413</v>
      </c>
      <c r="L4152" s="455">
        <f t="shared" ca="1" si="164"/>
        <v>7638157011805.8594</v>
      </c>
      <c r="M4152" s="471">
        <f t="shared" si="166"/>
        <v>0.05</v>
      </c>
      <c r="N4152" s="475">
        <f t="shared" si="167"/>
        <v>177418</v>
      </c>
    </row>
    <row r="4153" spans="7:14" ht="11.25" customHeight="1" x14ac:dyDescent="0.3">
      <c r="G4153" s="470"/>
      <c r="H4153" s="470">
        <v>4146</v>
      </c>
      <c r="I4153" s="455">
        <f t="shared" ca="1" si="165"/>
        <v>7638157011805.8594</v>
      </c>
      <c r="J4153" s="455">
        <f t="array" ref="J4153">IFERROR(INDEX('Retirement Calculator'!K:K,MATCH('Lorri 401b'!N4153,'Retirement Calculator'!A:A,0),0),0)</f>
        <v>0</v>
      </c>
      <c r="K4153" s="455">
        <f t="shared" ca="1" si="163"/>
        <v>31825654215.857746</v>
      </c>
      <c r="L4153" s="455">
        <f t="shared" ca="1" si="164"/>
        <v>7669982666021.7168</v>
      </c>
      <c r="M4153" s="471">
        <f t="shared" si="166"/>
        <v>0.05</v>
      </c>
      <c r="N4153" s="475">
        <f t="shared" si="167"/>
        <v>177449</v>
      </c>
    </row>
    <row r="4154" spans="7:14" ht="11.25" customHeight="1" x14ac:dyDescent="0.3">
      <c r="G4154" s="470"/>
      <c r="H4154" s="470">
        <v>4147</v>
      </c>
      <c r="I4154" s="455">
        <f t="shared" ca="1" si="165"/>
        <v>7669982666021.7168</v>
      </c>
      <c r="J4154" s="455">
        <f t="array" ref="J4154">IFERROR(INDEX('Retirement Calculator'!K:K,MATCH('Lorri 401b'!N4154,'Retirement Calculator'!A:A,0),0),0)</f>
        <v>0</v>
      </c>
      <c r="K4154" s="455">
        <f t="shared" ca="1" si="163"/>
        <v>31958261108.423817</v>
      </c>
      <c r="L4154" s="455">
        <f t="shared" ca="1" si="164"/>
        <v>7701940927130.1406</v>
      </c>
      <c r="M4154" s="471">
        <f t="shared" si="166"/>
        <v>0.05</v>
      </c>
      <c r="N4154" s="475">
        <f t="shared" si="167"/>
        <v>177479</v>
      </c>
    </row>
    <row r="4155" spans="7:14" ht="11.25" customHeight="1" x14ac:dyDescent="0.3">
      <c r="G4155" s="470"/>
      <c r="H4155" s="470">
        <v>4148</v>
      </c>
      <c r="I4155" s="455">
        <f t="shared" ca="1" si="165"/>
        <v>7701940927130.1406</v>
      </c>
      <c r="J4155" s="455">
        <f t="array" ref="J4155">IFERROR(INDEX('Retirement Calculator'!K:K,MATCH('Lorri 401b'!N4155,'Retirement Calculator'!A:A,0),0),0)</f>
        <v>0</v>
      </c>
      <c r="K4155" s="455">
        <f t="shared" ca="1" si="163"/>
        <v>32091420529.708916</v>
      </c>
      <c r="L4155" s="455">
        <f t="shared" ca="1" si="164"/>
        <v>7734032347659.8496</v>
      </c>
      <c r="M4155" s="471">
        <f t="shared" si="166"/>
        <v>0.05</v>
      </c>
      <c r="N4155" s="475">
        <f t="shared" si="167"/>
        <v>177510</v>
      </c>
    </row>
    <row r="4156" spans="7:14" ht="11.25" customHeight="1" x14ac:dyDescent="0.3">
      <c r="G4156" s="470"/>
      <c r="H4156" s="470">
        <v>4149</v>
      </c>
      <c r="I4156" s="455">
        <f t="shared" ca="1" si="165"/>
        <v>7734032347659.8496</v>
      </c>
      <c r="J4156" s="455">
        <f t="array" ref="J4156">IFERROR(INDEX('Retirement Calculator'!K:K,MATCH('Lorri 401b'!N4156,'Retirement Calculator'!A:A,0),0),0)</f>
        <v>0</v>
      </c>
      <c r="K4156" s="455">
        <f t="shared" ca="1" si="163"/>
        <v>32225134781.916039</v>
      </c>
      <c r="L4156" s="455">
        <f t="shared" ca="1" si="164"/>
        <v>7766257482441.7656</v>
      </c>
      <c r="M4156" s="471">
        <f t="shared" si="166"/>
        <v>0.05</v>
      </c>
      <c r="N4156" s="475">
        <f t="shared" si="167"/>
        <v>177541</v>
      </c>
    </row>
    <row r="4157" spans="7:14" ht="11.25" customHeight="1" x14ac:dyDescent="0.3">
      <c r="G4157" s="470"/>
      <c r="H4157" s="470">
        <v>4150</v>
      </c>
      <c r="I4157" s="455">
        <f t="shared" ca="1" si="165"/>
        <v>7766257482441.7656</v>
      </c>
      <c r="J4157" s="455">
        <f t="array" ref="J4157">IFERROR(INDEX('Retirement Calculator'!K:K,MATCH('Lorri 401b'!N4157,'Retirement Calculator'!A:A,0),0),0)</f>
        <v>0</v>
      </c>
      <c r="K4157" s="455">
        <f t="shared" ca="1" si="163"/>
        <v>32359406176.840694</v>
      </c>
      <c r="L4157" s="455">
        <f t="shared" ca="1" si="164"/>
        <v>7798616888618.6064</v>
      </c>
      <c r="M4157" s="471">
        <f t="shared" si="166"/>
        <v>0.05</v>
      </c>
      <c r="N4157" s="475">
        <f t="shared" si="167"/>
        <v>177569</v>
      </c>
    </row>
    <row r="4158" spans="7:14" ht="11.25" customHeight="1" x14ac:dyDescent="0.3">
      <c r="G4158" s="470"/>
      <c r="H4158" s="470">
        <v>4151</v>
      </c>
      <c r="I4158" s="455">
        <f t="shared" ca="1" si="165"/>
        <v>7798616888618.6064</v>
      </c>
      <c r="J4158" s="455">
        <f t="array" ref="J4158">IFERROR(INDEX('Retirement Calculator'!K:K,MATCH('Lorri 401b'!N4158,'Retirement Calculator'!A:A,0),0),0)</f>
        <v>0</v>
      </c>
      <c r="K4158" s="455">
        <f t="shared" ca="1" si="163"/>
        <v>32494237035.910854</v>
      </c>
      <c r="L4158" s="455">
        <f t="shared" ca="1" si="164"/>
        <v>7831111125654.5176</v>
      </c>
      <c r="M4158" s="471">
        <f t="shared" si="166"/>
        <v>0.05</v>
      </c>
      <c r="N4158" s="475">
        <f t="shared" si="167"/>
        <v>177600</v>
      </c>
    </row>
    <row r="4159" spans="7:14" ht="11.25" customHeight="1" x14ac:dyDescent="0.3">
      <c r="G4159" s="470"/>
      <c r="H4159" s="470">
        <v>4152</v>
      </c>
      <c r="I4159" s="455">
        <f t="shared" ca="1" si="165"/>
        <v>7831111125654.5176</v>
      </c>
      <c r="J4159" s="455">
        <f t="array" ref="J4159">IFERROR(INDEX('Retirement Calculator'!K:K,MATCH('Lorri 401b'!N4159,'Retirement Calculator'!A:A,0),0),0)</f>
        <v>0</v>
      </c>
      <c r="K4159" s="455">
        <f t="shared" ca="1" si="163"/>
        <v>32629629690.227154</v>
      </c>
      <c r="L4159" s="455">
        <f t="shared" ca="1" si="164"/>
        <v>7863740755344.7451</v>
      </c>
      <c r="M4159" s="471">
        <f t="shared" si="166"/>
        <v>0.05</v>
      </c>
      <c r="N4159" s="475">
        <f t="shared" si="167"/>
        <v>177630</v>
      </c>
    </row>
    <row r="4160" spans="7:14" ht="11.25" customHeight="1" x14ac:dyDescent="0.3">
      <c r="G4160" s="470"/>
      <c r="H4160" s="470">
        <v>4153</v>
      </c>
      <c r="I4160" s="455">
        <f t="shared" ca="1" si="165"/>
        <v>7863740755344.7451</v>
      </c>
      <c r="J4160" s="455">
        <f t="array" ref="J4160">IFERROR(INDEX('Retirement Calculator'!K:K,MATCH('Lorri 401b'!N4160,'Retirement Calculator'!A:A,0),0),0)</f>
        <v>0</v>
      </c>
      <c r="K4160" s="455">
        <f t="shared" ca="1" si="163"/>
        <v>32765586480.6031</v>
      </c>
      <c r="L4160" s="455">
        <f t="shared" ca="1" si="164"/>
        <v>7896506341825.3486</v>
      </c>
      <c r="M4160" s="471">
        <f t="shared" si="166"/>
        <v>0.05</v>
      </c>
      <c r="N4160" s="475">
        <f t="shared" si="167"/>
        <v>177661</v>
      </c>
    </row>
    <row r="4161" spans="7:14" ht="11.25" customHeight="1" x14ac:dyDescent="0.3">
      <c r="G4161" s="470"/>
      <c r="H4161" s="470">
        <v>4154</v>
      </c>
      <c r="I4161" s="455">
        <f t="shared" ca="1" si="165"/>
        <v>7896506341825.3486</v>
      </c>
      <c r="J4161" s="455">
        <f t="array" ref="J4161">IFERROR(INDEX('Retirement Calculator'!K:K,MATCH('Lorri 401b'!N4161,'Retirement Calculator'!A:A,0),0),0)</f>
        <v>0</v>
      </c>
      <c r="K4161" s="455">
        <f t="shared" ca="1" si="163"/>
        <v>32902109757.605621</v>
      </c>
      <c r="L4161" s="455">
        <f t="shared" ca="1" si="164"/>
        <v>7929408451582.9541</v>
      </c>
      <c r="M4161" s="471">
        <f t="shared" si="166"/>
        <v>0.05</v>
      </c>
      <c r="N4161" s="475">
        <f t="shared" si="167"/>
        <v>177691</v>
      </c>
    </row>
    <row r="4162" spans="7:14" ht="11.25" customHeight="1" x14ac:dyDescent="0.3">
      <c r="G4162" s="470"/>
      <c r="H4162" s="470">
        <v>4155</v>
      </c>
      <c r="I4162" s="455">
        <f t="shared" ca="1" si="165"/>
        <v>7929408451582.9541</v>
      </c>
      <c r="J4162" s="455">
        <f t="array" ref="J4162">IFERROR(INDEX('Retirement Calculator'!K:K,MATCH('Lorri 401b'!N4162,'Retirement Calculator'!A:A,0),0),0)</f>
        <v>0</v>
      </c>
      <c r="K4162" s="455">
        <f t="shared" ca="1" si="163"/>
        <v>33039201881.595642</v>
      </c>
      <c r="L4162" s="455">
        <f t="shared" ca="1" si="164"/>
        <v>7962447653464.5498</v>
      </c>
      <c r="M4162" s="471">
        <f t="shared" si="166"/>
        <v>0.05</v>
      </c>
      <c r="N4162" s="475">
        <f t="shared" si="167"/>
        <v>177722</v>
      </c>
    </row>
    <row r="4163" spans="7:14" ht="11.25" customHeight="1" x14ac:dyDescent="0.3">
      <c r="G4163" s="470"/>
      <c r="H4163" s="470">
        <v>4156</v>
      </c>
      <c r="I4163" s="455">
        <f t="shared" ca="1" si="165"/>
        <v>7962447653464.5498</v>
      </c>
      <c r="J4163" s="455">
        <f t="array" ref="J4163">IFERROR(INDEX('Retirement Calculator'!K:K,MATCH('Lorri 401b'!N4163,'Retirement Calculator'!A:A,0),0),0)</f>
        <v>0</v>
      </c>
      <c r="K4163" s="455">
        <f t="shared" ca="1" si="163"/>
        <v>33176865222.768963</v>
      </c>
      <c r="L4163" s="455">
        <f t="shared" ca="1" si="164"/>
        <v>7995624518687.3184</v>
      </c>
      <c r="M4163" s="471">
        <f t="shared" si="166"/>
        <v>0.05</v>
      </c>
      <c r="N4163" s="475">
        <f t="shared" si="167"/>
        <v>177753</v>
      </c>
    </row>
    <row r="4164" spans="7:14" ht="11.25" customHeight="1" x14ac:dyDescent="0.3">
      <c r="G4164" s="470"/>
      <c r="H4164" s="470">
        <v>4157</v>
      </c>
      <c r="I4164" s="455">
        <f t="shared" ca="1" si="165"/>
        <v>7995624518687.3184</v>
      </c>
      <c r="J4164" s="455">
        <f t="array" ref="J4164">IFERROR(INDEX('Retirement Calculator'!K:K,MATCH('Lorri 401b'!N4164,'Retirement Calculator'!A:A,0),0),0)</f>
        <v>0</v>
      </c>
      <c r="K4164" s="455">
        <f t="shared" ca="1" si="163"/>
        <v>33315102161.197159</v>
      </c>
      <c r="L4164" s="455">
        <f t="shared" ca="1" si="164"/>
        <v>8028939620848.5156</v>
      </c>
      <c r="M4164" s="471">
        <f t="shared" si="166"/>
        <v>0.05</v>
      </c>
      <c r="N4164" s="475">
        <f t="shared" si="167"/>
        <v>177783</v>
      </c>
    </row>
    <row r="4165" spans="7:14" ht="11.25" customHeight="1" x14ac:dyDescent="0.3">
      <c r="G4165" s="470"/>
      <c r="H4165" s="470">
        <v>4158</v>
      </c>
      <c r="I4165" s="455">
        <f t="shared" ca="1" si="165"/>
        <v>8028939620848.5156</v>
      </c>
      <c r="J4165" s="455">
        <f t="array" ref="J4165">IFERROR(INDEX('Retirement Calculator'!K:K,MATCH('Lorri 401b'!N4165,'Retirement Calculator'!A:A,0),0),0)</f>
        <v>0</v>
      </c>
      <c r="K4165" s="455">
        <f t="shared" ca="1" si="163"/>
        <v>33453915086.86882</v>
      </c>
      <c r="L4165" s="455">
        <f t="shared" ca="1" si="164"/>
        <v>8062393535935.3848</v>
      </c>
      <c r="M4165" s="471">
        <f t="shared" si="166"/>
        <v>0.05</v>
      </c>
      <c r="N4165" s="475">
        <f t="shared" si="167"/>
        <v>177814</v>
      </c>
    </row>
    <row r="4166" spans="7:14" ht="11.25" customHeight="1" x14ac:dyDescent="0.3">
      <c r="G4166" s="470"/>
      <c r="H4166" s="470">
        <v>4159</v>
      </c>
      <c r="I4166" s="455">
        <f t="shared" ca="1" si="165"/>
        <v>8062393535935.3848</v>
      </c>
      <c r="J4166" s="455">
        <f t="array" ref="J4166">IFERROR(INDEX('Retirement Calculator'!K:K,MATCH('Lorri 401b'!N4166,'Retirement Calculator'!A:A,0),0),0)</f>
        <v>0</v>
      </c>
      <c r="K4166" s="455">
        <f t="shared" ca="1" si="163"/>
        <v>33593306399.730774</v>
      </c>
      <c r="L4166" s="455">
        <f t="shared" ca="1" si="164"/>
        <v>8095986842335.1152</v>
      </c>
      <c r="M4166" s="471">
        <f t="shared" si="166"/>
        <v>0.05</v>
      </c>
      <c r="N4166" s="475">
        <f t="shared" si="167"/>
        <v>177844</v>
      </c>
    </row>
    <row r="4167" spans="7:14" ht="11.25" customHeight="1" x14ac:dyDescent="0.3">
      <c r="G4167" s="470"/>
      <c r="H4167" s="470">
        <v>4160</v>
      </c>
      <c r="I4167" s="455">
        <f t="shared" ca="1" si="165"/>
        <v>8095986842335.1152</v>
      </c>
      <c r="J4167" s="455">
        <f t="array" ref="J4167">IFERROR(INDEX('Retirement Calculator'!K:K,MATCH('Lorri 401b'!N4167,'Retirement Calculator'!A:A,0),0),0)</f>
        <v>0</v>
      </c>
      <c r="K4167" s="455">
        <f t="shared" ca="1" si="163"/>
        <v>33733278509.729645</v>
      </c>
      <c r="L4167" s="455">
        <f t="shared" ca="1" si="164"/>
        <v>8129720120844.8447</v>
      </c>
      <c r="M4167" s="471">
        <f t="shared" si="166"/>
        <v>0.05</v>
      </c>
      <c r="N4167" s="475">
        <f t="shared" si="167"/>
        <v>177875</v>
      </c>
    </row>
    <row r="4168" spans="7:14" ht="11.25" customHeight="1" x14ac:dyDescent="0.3">
      <c r="G4168" s="470"/>
      <c r="H4168" s="470">
        <v>4161</v>
      </c>
      <c r="I4168" s="455">
        <f t="shared" ca="1" si="165"/>
        <v>8129720120844.8447</v>
      </c>
      <c r="J4168" s="455">
        <f t="array" ref="J4168">IFERROR(INDEX('Retirement Calculator'!K:K,MATCH('Lorri 401b'!N4168,'Retirement Calculator'!A:A,0),0),0)</f>
        <v>0</v>
      </c>
      <c r="K4168" s="455">
        <f t="shared" ca="1" si="163"/>
        <v>33873833836.853523</v>
      </c>
      <c r="L4168" s="455">
        <f t="shared" ca="1" si="164"/>
        <v>8163593954681.6982</v>
      </c>
      <c r="M4168" s="471">
        <f t="shared" si="166"/>
        <v>0.05</v>
      </c>
      <c r="N4168" s="475">
        <f t="shared" si="167"/>
        <v>177906</v>
      </c>
    </row>
    <row r="4169" spans="7:14" ht="11.25" customHeight="1" x14ac:dyDescent="0.3">
      <c r="G4169" s="470"/>
      <c r="H4169" s="470">
        <v>4162</v>
      </c>
      <c r="I4169" s="455">
        <f t="shared" ca="1" si="165"/>
        <v>8163593954681.6982</v>
      </c>
      <c r="J4169" s="455">
        <f t="array" ref="J4169">IFERROR(INDEX('Retirement Calculator'!K:K,MATCH('Lorri 401b'!N4169,'Retirement Calculator'!A:A,0),0),0)</f>
        <v>0</v>
      </c>
      <c r="K4169" s="455">
        <f t="shared" ca="1" si="163"/>
        <v>34014974811.173737</v>
      </c>
      <c r="L4169" s="455">
        <f t="shared" ca="1" si="164"/>
        <v>8197608929492.8721</v>
      </c>
      <c r="M4169" s="471">
        <f t="shared" si="166"/>
        <v>0.05</v>
      </c>
      <c r="N4169" s="475">
        <f t="shared" si="167"/>
        <v>177934</v>
      </c>
    </row>
    <row r="4170" spans="7:14" ht="11.25" customHeight="1" x14ac:dyDescent="0.3">
      <c r="G4170" s="470"/>
      <c r="H4170" s="470">
        <v>4163</v>
      </c>
      <c r="I4170" s="455">
        <f t="shared" ca="1" si="165"/>
        <v>8197608929492.8721</v>
      </c>
      <c r="J4170" s="455">
        <f t="array" ref="J4170">IFERROR(INDEX('Retirement Calculator'!K:K,MATCH('Lorri 401b'!N4170,'Retirement Calculator'!A:A,0),0),0)</f>
        <v>0</v>
      </c>
      <c r="K4170" s="455">
        <f t="shared" ca="1" si="163"/>
        <v>34156703872.886967</v>
      </c>
      <c r="L4170" s="455">
        <f t="shared" ca="1" si="164"/>
        <v>8231765633365.7588</v>
      </c>
      <c r="M4170" s="471">
        <f t="shared" si="166"/>
        <v>0.05</v>
      </c>
      <c r="N4170" s="475">
        <f t="shared" si="167"/>
        <v>177965</v>
      </c>
    </row>
    <row r="4171" spans="7:14" ht="11.25" customHeight="1" x14ac:dyDescent="0.3">
      <c r="G4171" s="470"/>
      <c r="H4171" s="470">
        <v>4164</v>
      </c>
      <c r="I4171" s="455">
        <f t="shared" ca="1" si="165"/>
        <v>8231765633365.7588</v>
      </c>
      <c r="J4171" s="455">
        <f t="array" ref="J4171">IFERROR(INDEX('Retirement Calculator'!K:K,MATCH('Lorri 401b'!N4171,'Retirement Calculator'!A:A,0),0),0)</f>
        <v>0</v>
      </c>
      <c r="K4171" s="455">
        <f t="shared" ca="1" si="163"/>
        <v>34299023472.357327</v>
      </c>
      <c r="L4171" s="455">
        <f t="shared" ca="1" si="164"/>
        <v>8266064656838.1162</v>
      </c>
      <c r="M4171" s="471">
        <f t="shared" si="166"/>
        <v>0.05</v>
      </c>
      <c r="N4171" s="475">
        <f t="shared" si="167"/>
        <v>177995</v>
      </c>
    </row>
    <row r="4172" spans="7:14" ht="11.25" customHeight="1" x14ac:dyDescent="0.3">
      <c r="G4172" s="470"/>
      <c r="H4172" s="470">
        <v>4165</v>
      </c>
      <c r="I4172" s="455">
        <f t="shared" ca="1" si="165"/>
        <v>8266064656838.1162</v>
      </c>
      <c r="J4172" s="455">
        <f t="array" ref="J4172">IFERROR(INDEX('Retirement Calculator'!K:K,MATCH('Lorri 401b'!N4172,'Retirement Calculator'!A:A,0),0),0)</f>
        <v>0</v>
      </c>
      <c r="K4172" s="455">
        <f t="shared" ca="1" si="163"/>
        <v>34441936070.158813</v>
      </c>
      <c r="L4172" s="455">
        <f t="shared" ca="1" si="164"/>
        <v>8300506592908.2754</v>
      </c>
      <c r="M4172" s="471">
        <f t="shared" si="166"/>
        <v>0.05</v>
      </c>
      <c r="N4172" s="475">
        <f t="shared" si="167"/>
        <v>178026</v>
      </c>
    </row>
    <row r="4173" spans="7:14" ht="11.25" customHeight="1" x14ac:dyDescent="0.3">
      <c r="G4173" s="470"/>
      <c r="H4173" s="470">
        <v>4166</v>
      </c>
      <c r="I4173" s="455">
        <f t="shared" ca="1" si="165"/>
        <v>8300506592908.2754</v>
      </c>
      <c r="J4173" s="455">
        <f t="array" ref="J4173">IFERROR(INDEX('Retirement Calculator'!K:K,MATCH('Lorri 401b'!N4173,'Retirement Calculator'!A:A,0),0),0)</f>
        <v>0</v>
      </c>
      <c r="K4173" s="455">
        <f t="shared" ca="1" si="163"/>
        <v>34585444137.117813</v>
      </c>
      <c r="L4173" s="455">
        <f t="shared" ca="1" si="164"/>
        <v>8335092037045.3936</v>
      </c>
      <c r="M4173" s="471">
        <f t="shared" si="166"/>
        <v>0.05</v>
      </c>
      <c r="N4173" s="475">
        <f t="shared" si="167"/>
        <v>178056</v>
      </c>
    </row>
    <row r="4174" spans="7:14" ht="11.25" customHeight="1" x14ac:dyDescent="0.3">
      <c r="G4174" s="470"/>
      <c r="H4174" s="470">
        <v>4167</v>
      </c>
      <c r="I4174" s="455">
        <f t="shared" ca="1" si="165"/>
        <v>8335092037045.3936</v>
      </c>
      <c r="J4174" s="455">
        <f t="array" ref="J4174">IFERROR(INDEX('Retirement Calculator'!K:K,MATCH('Lorri 401b'!N4174,'Retirement Calculator'!A:A,0),0),0)</f>
        <v>0</v>
      </c>
      <c r="K4174" s="455">
        <f t="shared" ca="1" si="163"/>
        <v>34729550154.355804</v>
      </c>
      <c r="L4174" s="455">
        <f t="shared" ca="1" si="164"/>
        <v>8369821587199.749</v>
      </c>
      <c r="M4174" s="471">
        <f t="shared" si="166"/>
        <v>0.05</v>
      </c>
      <c r="N4174" s="475">
        <f t="shared" si="167"/>
        <v>178087</v>
      </c>
    </row>
    <row r="4175" spans="7:14" ht="11.25" customHeight="1" x14ac:dyDescent="0.3">
      <c r="G4175" s="470"/>
      <c r="H4175" s="470">
        <v>4168</v>
      </c>
      <c r="I4175" s="455">
        <f t="shared" ca="1" si="165"/>
        <v>8369821587199.749</v>
      </c>
      <c r="J4175" s="455">
        <f t="array" ref="J4175">IFERROR(INDEX('Retirement Calculator'!K:K,MATCH('Lorri 401b'!N4175,'Retirement Calculator'!A:A,0),0),0)</f>
        <v>0</v>
      </c>
      <c r="K4175" s="455">
        <f t="shared" ca="1" si="163"/>
        <v>34874256613.332291</v>
      </c>
      <c r="L4175" s="455">
        <f t="shared" ca="1" si="164"/>
        <v>8404695843813.0811</v>
      </c>
      <c r="M4175" s="471">
        <f t="shared" si="166"/>
        <v>0.05</v>
      </c>
      <c r="N4175" s="475">
        <f t="shared" si="167"/>
        <v>178118</v>
      </c>
    </row>
    <row r="4176" spans="7:14" ht="11.25" customHeight="1" x14ac:dyDescent="0.3">
      <c r="G4176" s="470"/>
      <c r="H4176" s="470">
        <v>4169</v>
      </c>
      <c r="I4176" s="455">
        <f t="shared" ca="1" si="165"/>
        <v>8404695843813.0811</v>
      </c>
      <c r="J4176" s="455">
        <f t="array" ref="J4176">IFERROR(INDEX('Retirement Calculator'!K:K,MATCH('Lorri 401b'!N4176,'Retirement Calculator'!A:A,0),0),0)</f>
        <v>0</v>
      </c>
      <c r="K4176" s="455">
        <f t="shared" ca="1" si="163"/>
        <v>35019566015.88784</v>
      </c>
      <c r="L4176" s="455">
        <f t="shared" ca="1" si="164"/>
        <v>8439715409828.9688</v>
      </c>
      <c r="M4176" s="471">
        <f t="shared" si="166"/>
        <v>0.05</v>
      </c>
      <c r="N4176" s="475">
        <f t="shared" si="167"/>
        <v>178148</v>
      </c>
    </row>
    <row r="4177" spans="7:14" ht="11.25" customHeight="1" x14ac:dyDescent="0.3">
      <c r="G4177" s="470"/>
      <c r="H4177" s="470">
        <v>4170</v>
      </c>
      <c r="I4177" s="455">
        <f t="shared" ca="1" si="165"/>
        <v>8439715409828.9688</v>
      </c>
      <c r="J4177" s="455">
        <f t="array" ref="J4177">IFERROR(INDEX('Retirement Calculator'!K:K,MATCH('Lorri 401b'!N4177,'Retirement Calculator'!A:A,0),0),0)</f>
        <v>0</v>
      </c>
      <c r="K4177" s="455">
        <f t="shared" ca="1" si="163"/>
        <v>35165480874.287369</v>
      </c>
      <c r="L4177" s="455">
        <f t="shared" ca="1" si="164"/>
        <v>8474880890703.2559</v>
      </c>
      <c r="M4177" s="471">
        <f t="shared" si="166"/>
        <v>0.05</v>
      </c>
      <c r="N4177" s="475">
        <f t="shared" si="167"/>
        <v>178179</v>
      </c>
    </row>
    <row r="4178" spans="7:14" ht="11.25" customHeight="1" x14ac:dyDescent="0.3">
      <c r="G4178" s="470"/>
      <c r="H4178" s="470">
        <v>4171</v>
      </c>
      <c r="I4178" s="455">
        <f t="shared" ca="1" si="165"/>
        <v>8474880890703.2559</v>
      </c>
      <c r="J4178" s="455">
        <f t="array" ref="J4178">IFERROR(INDEX('Retirement Calculator'!K:K,MATCH('Lorri 401b'!N4178,'Retirement Calculator'!A:A,0),0),0)</f>
        <v>0</v>
      </c>
      <c r="K4178" s="455">
        <f t="shared" ca="1" si="163"/>
        <v>35312003711.263565</v>
      </c>
      <c r="L4178" s="455">
        <f t="shared" ca="1" si="164"/>
        <v>8510192894414.5195</v>
      </c>
      <c r="M4178" s="471">
        <f t="shared" si="166"/>
        <v>0.05</v>
      </c>
      <c r="N4178" s="475">
        <f t="shared" si="167"/>
        <v>178209</v>
      </c>
    </row>
    <row r="4179" spans="7:14" ht="11.25" customHeight="1" x14ac:dyDescent="0.3">
      <c r="G4179" s="470"/>
      <c r="H4179" s="470">
        <v>4172</v>
      </c>
      <c r="I4179" s="455">
        <f t="shared" ca="1" si="165"/>
        <v>8510192894414.5195</v>
      </c>
      <c r="J4179" s="455">
        <f t="array" ref="J4179">IFERROR(INDEX('Retirement Calculator'!K:K,MATCH('Lorri 401b'!N4179,'Retirement Calculator'!A:A,0),0),0)</f>
        <v>0</v>
      </c>
      <c r="K4179" s="455">
        <f t="shared" ca="1" si="163"/>
        <v>35459137060.060501</v>
      </c>
      <c r="L4179" s="455">
        <f t="shared" ca="1" si="164"/>
        <v>8545652031474.5801</v>
      </c>
      <c r="M4179" s="471">
        <f t="shared" si="166"/>
        <v>0.05</v>
      </c>
      <c r="N4179" s="475">
        <f t="shared" si="167"/>
        <v>178240</v>
      </c>
    </row>
    <row r="4180" spans="7:14" ht="11.25" customHeight="1" x14ac:dyDescent="0.3">
      <c r="G4180" s="470"/>
      <c r="H4180" s="470">
        <v>4173</v>
      </c>
      <c r="I4180" s="455">
        <f t="shared" ca="1" si="165"/>
        <v>8545652031474.5801</v>
      </c>
      <c r="J4180" s="455">
        <f t="array" ref="J4180">IFERROR(INDEX('Retirement Calculator'!K:K,MATCH('Lorri 401b'!N4180,'Retirement Calculator'!A:A,0),0),0)</f>
        <v>0</v>
      </c>
      <c r="K4180" s="455">
        <f t="shared" ca="1" si="163"/>
        <v>35606883464.477417</v>
      </c>
      <c r="L4180" s="455">
        <f t="shared" ca="1" si="164"/>
        <v>8581258914939.0576</v>
      </c>
      <c r="M4180" s="471">
        <f t="shared" si="166"/>
        <v>0.05</v>
      </c>
      <c r="N4180" s="475">
        <f t="shared" si="167"/>
        <v>178271</v>
      </c>
    </row>
    <row r="4181" spans="7:14" ht="11.25" customHeight="1" x14ac:dyDescent="0.3">
      <c r="G4181" s="470"/>
      <c r="H4181" s="470">
        <v>4174</v>
      </c>
      <c r="I4181" s="455">
        <f t="shared" ca="1" si="165"/>
        <v>8581258914939.0576</v>
      </c>
      <c r="J4181" s="455">
        <f t="array" ref="J4181">IFERROR(INDEX('Retirement Calculator'!K:K,MATCH('Lorri 401b'!N4181,'Retirement Calculator'!A:A,0),0),0)</f>
        <v>0</v>
      </c>
      <c r="K4181" s="455">
        <f t="shared" ca="1" si="163"/>
        <v>35755245478.912743</v>
      </c>
      <c r="L4181" s="455">
        <f t="shared" ca="1" si="164"/>
        <v>8617014160417.9707</v>
      </c>
      <c r="M4181" s="471">
        <f t="shared" si="166"/>
        <v>0.05</v>
      </c>
      <c r="N4181" s="475">
        <f t="shared" si="167"/>
        <v>178300</v>
      </c>
    </row>
    <row r="4182" spans="7:14" ht="11.25" customHeight="1" x14ac:dyDescent="0.3">
      <c r="G4182" s="470"/>
      <c r="H4182" s="470">
        <v>4175</v>
      </c>
      <c r="I4182" s="455">
        <f t="shared" ca="1" si="165"/>
        <v>8617014160417.9707</v>
      </c>
      <c r="J4182" s="455">
        <f t="array" ref="J4182">IFERROR(INDEX('Retirement Calculator'!K:K,MATCH('Lorri 401b'!N4182,'Retirement Calculator'!A:A,0),0),0)</f>
        <v>0</v>
      </c>
      <c r="K4182" s="455">
        <f t="shared" ca="1" si="163"/>
        <v>35904225668.408211</v>
      </c>
      <c r="L4182" s="455">
        <f t="shared" ca="1" si="164"/>
        <v>8652918386086.3789</v>
      </c>
      <c r="M4182" s="471">
        <f t="shared" si="166"/>
        <v>0.05</v>
      </c>
      <c r="N4182" s="475">
        <f t="shared" si="167"/>
        <v>178331</v>
      </c>
    </row>
    <row r="4183" spans="7:14" ht="11.25" customHeight="1" x14ac:dyDescent="0.3">
      <c r="G4183" s="470"/>
      <c r="H4183" s="470">
        <v>4176</v>
      </c>
      <c r="I4183" s="455">
        <f t="shared" ca="1" si="165"/>
        <v>8652918386086.3789</v>
      </c>
      <c r="J4183" s="455">
        <f t="array" ref="J4183">IFERROR(INDEX('Retirement Calculator'!K:K,MATCH('Lorri 401b'!N4183,'Retirement Calculator'!A:A,0),0),0)</f>
        <v>0</v>
      </c>
      <c r="K4183" s="455">
        <f t="shared" ca="1" si="163"/>
        <v>36053826608.693245</v>
      </c>
      <c r="L4183" s="455">
        <f t="shared" ca="1" si="164"/>
        <v>8688972212695.0723</v>
      </c>
      <c r="M4183" s="471">
        <f t="shared" si="166"/>
        <v>0.05</v>
      </c>
      <c r="N4183" s="475">
        <f t="shared" si="167"/>
        <v>178361</v>
      </c>
    </row>
    <row r="4184" spans="7:14" ht="11.25" customHeight="1" x14ac:dyDescent="0.3">
      <c r="G4184" s="470"/>
      <c r="H4184" s="470">
        <v>4177</v>
      </c>
      <c r="I4184" s="455">
        <f t="shared" ca="1" si="165"/>
        <v>8688972212695.0723</v>
      </c>
      <c r="J4184" s="455">
        <f t="array" ref="J4184">IFERROR(INDEX('Retirement Calculator'!K:K,MATCH('Lorri 401b'!N4184,'Retirement Calculator'!A:A,0),0),0)</f>
        <v>0</v>
      </c>
      <c r="K4184" s="455">
        <f t="shared" ca="1" si="163"/>
        <v>36204050886.229469</v>
      </c>
      <c r="L4184" s="455">
        <f t="shared" ca="1" si="164"/>
        <v>8725176263581.3018</v>
      </c>
      <c r="M4184" s="471">
        <f t="shared" si="166"/>
        <v>0.05</v>
      </c>
      <c r="N4184" s="475">
        <f t="shared" si="167"/>
        <v>178392</v>
      </c>
    </row>
    <row r="4185" spans="7:14" ht="11.25" customHeight="1" x14ac:dyDescent="0.3">
      <c r="G4185" s="470"/>
      <c r="H4185" s="470">
        <v>4178</v>
      </c>
      <c r="I4185" s="455">
        <f t="shared" ca="1" si="165"/>
        <v>8725176263581.3018</v>
      </c>
      <c r="J4185" s="455">
        <f t="array" ref="J4185">IFERROR(INDEX('Retirement Calculator'!K:K,MATCH('Lorri 401b'!N4185,'Retirement Calculator'!A:A,0),0),0)</f>
        <v>0</v>
      </c>
      <c r="K4185" s="455">
        <f t="shared" ca="1" si="163"/>
        <v>36354901098.255424</v>
      </c>
      <c r="L4185" s="455">
        <f t="shared" ca="1" si="164"/>
        <v>8761531164679.5576</v>
      </c>
      <c r="M4185" s="471">
        <f t="shared" si="166"/>
        <v>0.05</v>
      </c>
      <c r="N4185" s="475">
        <f t="shared" si="167"/>
        <v>178422</v>
      </c>
    </row>
    <row r="4186" spans="7:14" ht="11.25" customHeight="1" x14ac:dyDescent="0.3">
      <c r="G4186" s="470"/>
      <c r="H4186" s="470">
        <v>4179</v>
      </c>
      <c r="I4186" s="455">
        <f t="shared" ca="1" si="165"/>
        <v>8761531164679.5576</v>
      </c>
      <c r="J4186" s="455">
        <f t="array" ref="J4186">IFERROR(INDEX('Retirement Calculator'!K:K,MATCH('Lorri 401b'!N4186,'Retirement Calculator'!A:A,0),0),0)</f>
        <v>0</v>
      </c>
      <c r="K4186" s="455">
        <f t="shared" ca="1" si="163"/>
        <v>36506379852.83149</v>
      </c>
      <c r="L4186" s="455">
        <f t="shared" ca="1" si="164"/>
        <v>8798037544532.3887</v>
      </c>
      <c r="M4186" s="471">
        <f t="shared" si="166"/>
        <v>0.05</v>
      </c>
      <c r="N4186" s="475">
        <f t="shared" si="167"/>
        <v>178453</v>
      </c>
    </row>
    <row r="4187" spans="7:14" ht="11.25" customHeight="1" x14ac:dyDescent="0.3">
      <c r="G4187" s="470"/>
      <c r="H4187" s="470">
        <v>4180</v>
      </c>
      <c r="I4187" s="455">
        <f t="shared" ca="1" si="165"/>
        <v>8798037544532.3887</v>
      </c>
      <c r="J4187" s="455">
        <f t="array" ref="J4187">IFERROR(INDEX('Retirement Calculator'!K:K,MATCH('Lorri 401b'!N4187,'Retirement Calculator'!A:A,0),0),0)</f>
        <v>0</v>
      </c>
      <c r="K4187" s="455">
        <f t="shared" ca="1" si="163"/>
        <v>36658489768.884949</v>
      </c>
      <c r="L4187" s="455">
        <f t="shared" ca="1" si="164"/>
        <v>8834696034301.2734</v>
      </c>
      <c r="M4187" s="471">
        <f t="shared" si="166"/>
        <v>0.05</v>
      </c>
      <c r="N4187" s="475">
        <f t="shared" si="167"/>
        <v>178484</v>
      </c>
    </row>
    <row r="4188" spans="7:14" ht="11.25" customHeight="1" x14ac:dyDescent="0.3">
      <c r="G4188" s="470"/>
      <c r="H4188" s="470">
        <v>4181</v>
      </c>
      <c r="I4188" s="455">
        <f t="shared" ca="1" si="165"/>
        <v>8834696034301.2734</v>
      </c>
      <c r="J4188" s="455">
        <f t="array" ref="J4188">IFERROR(INDEX('Retirement Calculator'!K:K,MATCH('Lorri 401b'!N4188,'Retirement Calculator'!A:A,0),0),0)</f>
        <v>0</v>
      </c>
      <c r="K4188" s="455">
        <f t="shared" ca="1" si="163"/>
        <v>36811233476.255302</v>
      </c>
      <c r="L4188" s="455">
        <f t="shared" ca="1" si="164"/>
        <v>8871507267777.5293</v>
      </c>
      <c r="M4188" s="471">
        <f t="shared" si="166"/>
        <v>0.05</v>
      </c>
      <c r="N4188" s="475">
        <f t="shared" si="167"/>
        <v>178514</v>
      </c>
    </row>
    <row r="4189" spans="7:14" ht="11.25" customHeight="1" x14ac:dyDescent="0.3">
      <c r="G4189" s="470"/>
      <c r="H4189" s="470">
        <v>4182</v>
      </c>
      <c r="I4189" s="455">
        <f t="shared" ca="1" si="165"/>
        <v>8871507267777.5293</v>
      </c>
      <c r="J4189" s="455">
        <f t="array" ref="J4189">IFERROR(INDEX('Retirement Calculator'!K:K,MATCH('Lorri 401b'!N4189,'Retirement Calculator'!A:A,0),0),0)</f>
        <v>0</v>
      </c>
      <c r="K4189" s="455">
        <f t="shared" ca="1" si="163"/>
        <v>36964613615.739708</v>
      </c>
      <c r="L4189" s="455">
        <f t="shared" ca="1" si="164"/>
        <v>8908471881393.2695</v>
      </c>
      <c r="M4189" s="471">
        <f t="shared" si="166"/>
        <v>0.05</v>
      </c>
      <c r="N4189" s="475">
        <f t="shared" si="167"/>
        <v>178545</v>
      </c>
    </row>
    <row r="4190" spans="7:14" ht="11.25" customHeight="1" x14ac:dyDescent="0.3">
      <c r="G4190" s="470"/>
      <c r="H4190" s="470">
        <v>4183</v>
      </c>
      <c r="I4190" s="455">
        <f t="shared" ca="1" si="165"/>
        <v>8908471881393.2695</v>
      </c>
      <c r="J4190" s="455">
        <f t="array" ref="J4190">IFERROR(INDEX('Retirement Calculator'!K:K,MATCH('Lorri 401b'!N4190,'Retirement Calculator'!A:A,0),0),0)</f>
        <v>0</v>
      </c>
      <c r="K4190" s="455">
        <f t="shared" ca="1" si="163"/>
        <v>37118632839.138626</v>
      </c>
      <c r="L4190" s="455">
        <f t="shared" ca="1" si="164"/>
        <v>8945590514232.4082</v>
      </c>
      <c r="M4190" s="471">
        <f t="shared" si="166"/>
        <v>0.05</v>
      </c>
      <c r="N4190" s="475">
        <f t="shared" si="167"/>
        <v>178575</v>
      </c>
    </row>
    <row r="4191" spans="7:14" ht="11.25" customHeight="1" x14ac:dyDescent="0.3">
      <c r="G4191" s="470"/>
      <c r="H4191" s="470">
        <v>4184</v>
      </c>
      <c r="I4191" s="455">
        <f t="shared" ca="1" si="165"/>
        <v>8945590514232.4082</v>
      </c>
      <c r="J4191" s="455">
        <f t="array" ref="J4191">IFERROR(INDEX('Retirement Calculator'!K:K,MATCH('Lorri 401b'!N4191,'Retirement Calculator'!A:A,0),0),0)</f>
        <v>0</v>
      </c>
      <c r="K4191" s="455">
        <f t="shared" ca="1" si="163"/>
        <v>37273293809.301697</v>
      </c>
      <c r="L4191" s="455">
        <f t="shared" ca="1" si="164"/>
        <v>8982863808041.709</v>
      </c>
      <c r="M4191" s="471">
        <f t="shared" si="166"/>
        <v>0.05</v>
      </c>
      <c r="N4191" s="475">
        <f t="shared" si="167"/>
        <v>178606</v>
      </c>
    </row>
    <row r="4192" spans="7:14" ht="11.25" customHeight="1" x14ac:dyDescent="0.3">
      <c r="G4192" s="470"/>
      <c r="H4192" s="470">
        <v>4185</v>
      </c>
      <c r="I4192" s="455">
        <f t="shared" ca="1" si="165"/>
        <v>8982863808041.709</v>
      </c>
      <c r="J4192" s="455">
        <f t="array" ref="J4192">IFERROR(INDEX('Retirement Calculator'!K:K,MATCH('Lorri 401b'!N4192,'Retirement Calculator'!A:A,0),0),0)</f>
        <v>0</v>
      </c>
      <c r="K4192" s="455">
        <f t="shared" ca="1" si="163"/>
        <v>37428599200.17379</v>
      </c>
      <c r="L4192" s="455">
        <f t="shared" ca="1" si="164"/>
        <v>9020292407241.8828</v>
      </c>
      <c r="M4192" s="471">
        <f t="shared" si="166"/>
        <v>0.05</v>
      </c>
      <c r="N4192" s="475">
        <f t="shared" si="167"/>
        <v>178637</v>
      </c>
    </row>
    <row r="4193" spans="7:14" ht="11.25" customHeight="1" x14ac:dyDescent="0.3">
      <c r="G4193" s="470"/>
      <c r="H4193" s="470">
        <v>4186</v>
      </c>
      <c r="I4193" s="455">
        <f t="shared" ca="1" si="165"/>
        <v>9020292407241.8828</v>
      </c>
      <c r="J4193" s="455">
        <f t="array" ref="J4193">IFERROR(INDEX('Retirement Calculator'!K:K,MATCH('Lorri 401b'!N4193,'Retirement Calculator'!A:A,0),0),0)</f>
        <v>0</v>
      </c>
      <c r="K4193" s="455">
        <f t="shared" ca="1" si="163"/>
        <v>37584551696.841179</v>
      </c>
      <c r="L4193" s="455">
        <f t="shared" ca="1" si="164"/>
        <v>9057876958938.7246</v>
      </c>
      <c r="M4193" s="471">
        <f t="shared" si="166"/>
        <v>0.05</v>
      </c>
      <c r="N4193" s="475">
        <f t="shared" si="167"/>
        <v>178665</v>
      </c>
    </row>
    <row r="4194" spans="7:14" ht="11.25" customHeight="1" x14ac:dyDescent="0.3">
      <c r="G4194" s="470"/>
      <c r="H4194" s="470">
        <v>4187</v>
      </c>
      <c r="I4194" s="455">
        <f t="shared" ca="1" si="165"/>
        <v>9057876958938.7246</v>
      </c>
      <c r="J4194" s="455">
        <f t="array" ref="J4194">IFERROR(INDEX('Retirement Calculator'!K:K,MATCH('Lorri 401b'!N4194,'Retirement Calculator'!A:A,0),0),0)</f>
        <v>0</v>
      </c>
      <c r="K4194" s="455">
        <f t="shared" ca="1" si="163"/>
        <v>37741153995.578018</v>
      </c>
      <c r="L4194" s="455">
        <f t="shared" ca="1" si="164"/>
        <v>9095618112934.3027</v>
      </c>
      <c r="M4194" s="471">
        <f t="shared" si="166"/>
        <v>0.05</v>
      </c>
      <c r="N4194" s="475">
        <f t="shared" si="167"/>
        <v>178696</v>
      </c>
    </row>
    <row r="4195" spans="7:14" ht="11.25" customHeight="1" x14ac:dyDescent="0.3">
      <c r="G4195" s="470"/>
      <c r="H4195" s="470">
        <v>4188</v>
      </c>
      <c r="I4195" s="455">
        <f t="shared" ca="1" si="165"/>
        <v>9095618112934.3027</v>
      </c>
      <c r="J4195" s="455">
        <f t="array" ref="J4195">IFERROR(INDEX('Retirement Calculator'!K:K,MATCH('Lorri 401b'!N4195,'Retirement Calculator'!A:A,0),0),0)</f>
        <v>0</v>
      </c>
      <c r="K4195" s="455">
        <f t="shared" ca="1" si="163"/>
        <v>37898408803.892929</v>
      </c>
      <c r="L4195" s="455">
        <f t="shared" ca="1" si="164"/>
        <v>9133516521738.1953</v>
      </c>
      <c r="M4195" s="471">
        <f t="shared" si="166"/>
        <v>0.05</v>
      </c>
      <c r="N4195" s="475">
        <f t="shared" si="167"/>
        <v>178726</v>
      </c>
    </row>
    <row r="4196" spans="7:14" ht="11.25" customHeight="1" x14ac:dyDescent="0.3">
      <c r="G4196" s="470"/>
      <c r="H4196" s="470">
        <v>4189</v>
      </c>
      <c r="I4196" s="455">
        <f t="shared" ca="1" si="165"/>
        <v>9133516521738.1953</v>
      </c>
      <c r="J4196" s="455">
        <f t="array" ref="J4196">IFERROR(INDEX('Retirement Calculator'!K:K,MATCH('Lorri 401b'!N4196,'Retirement Calculator'!A:A,0),0),0)</f>
        <v>0</v>
      </c>
      <c r="K4196" s="455">
        <f t="shared" ca="1" si="163"/>
        <v>38056318840.575813</v>
      </c>
      <c r="L4196" s="455">
        <f t="shared" ca="1" si="164"/>
        <v>9171572840578.7715</v>
      </c>
      <c r="M4196" s="471">
        <f t="shared" si="166"/>
        <v>0.05</v>
      </c>
      <c r="N4196" s="475">
        <f t="shared" si="167"/>
        <v>178757</v>
      </c>
    </row>
    <row r="4197" spans="7:14" ht="11.25" customHeight="1" x14ac:dyDescent="0.3">
      <c r="G4197" s="470"/>
      <c r="H4197" s="470">
        <v>4190</v>
      </c>
      <c r="I4197" s="455">
        <f t="shared" ca="1" si="165"/>
        <v>9171572840578.7715</v>
      </c>
      <c r="J4197" s="455">
        <f t="array" ref="J4197">IFERROR(INDEX('Retirement Calculator'!K:K,MATCH('Lorri 401b'!N4197,'Retirement Calculator'!A:A,0),0),0)</f>
        <v>0</v>
      </c>
      <c r="K4197" s="455">
        <f t="shared" ca="1" si="163"/>
        <v>38214886835.744881</v>
      </c>
      <c r="L4197" s="455">
        <f t="shared" ca="1" si="164"/>
        <v>9209787727414.5156</v>
      </c>
      <c r="M4197" s="471">
        <f t="shared" si="166"/>
        <v>0.05</v>
      </c>
      <c r="N4197" s="475">
        <f t="shared" si="167"/>
        <v>178787</v>
      </c>
    </row>
    <row r="4198" spans="7:14" ht="11.25" customHeight="1" x14ac:dyDescent="0.3">
      <c r="G4198" s="470"/>
      <c r="H4198" s="470">
        <v>4191</v>
      </c>
      <c r="I4198" s="455">
        <f t="shared" ca="1" si="165"/>
        <v>9209787727414.5156</v>
      </c>
      <c r="J4198" s="455">
        <f t="array" ref="J4198">IFERROR(INDEX('Retirement Calculator'!K:K,MATCH('Lorri 401b'!N4198,'Retirement Calculator'!A:A,0),0),0)</f>
        <v>0</v>
      </c>
      <c r="K4198" s="455">
        <f t="shared" ca="1" si="163"/>
        <v>38374115530.893814</v>
      </c>
      <c r="L4198" s="455">
        <f t="shared" ca="1" si="164"/>
        <v>9248161842945.4102</v>
      </c>
      <c r="M4198" s="471">
        <f t="shared" si="166"/>
        <v>0.05</v>
      </c>
      <c r="N4198" s="475">
        <f t="shared" si="167"/>
        <v>178818</v>
      </c>
    </row>
    <row r="4199" spans="7:14" ht="11.25" customHeight="1" x14ac:dyDescent="0.3">
      <c r="G4199" s="470"/>
      <c r="H4199" s="470">
        <v>4192</v>
      </c>
      <c r="I4199" s="455">
        <f t="shared" ca="1" si="165"/>
        <v>9248161842945.4102</v>
      </c>
      <c r="J4199" s="455">
        <f t="array" ref="J4199">IFERROR(INDEX('Retirement Calculator'!K:K,MATCH('Lorri 401b'!N4199,'Retirement Calculator'!A:A,0),0),0)</f>
        <v>0</v>
      </c>
      <c r="K4199" s="455">
        <f t="shared" ca="1" si="163"/>
        <v>38534007678.939209</v>
      </c>
      <c r="L4199" s="455">
        <f t="shared" ca="1" si="164"/>
        <v>9286695850624.3496</v>
      </c>
      <c r="M4199" s="471">
        <f t="shared" si="166"/>
        <v>0.05</v>
      </c>
      <c r="N4199" s="475">
        <f t="shared" si="167"/>
        <v>178849</v>
      </c>
    </row>
    <row r="4200" spans="7:14" ht="11.25" customHeight="1" x14ac:dyDescent="0.3">
      <c r="G4200" s="470"/>
      <c r="H4200" s="470">
        <v>4193</v>
      </c>
      <c r="I4200" s="455">
        <f t="shared" ca="1" si="165"/>
        <v>9286695850624.3496</v>
      </c>
      <c r="J4200" s="455">
        <f t="array" ref="J4200">IFERROR(INDEX('Retirement Calculator'!K:K,MATCH('Lorri 401b'!N4200,'Retirement Calculator'!A:A,0),0),0)</f>
        <v>0</v>
      </c>
      <c r="K4200" s="455">
        <f t="shared" ca="1" si="163"/>
        <v>38694566044.26812</v>
      </c>
      <c r="L4200" s="455">
        <f t="shared" ca="1" si="164"/>
        <v>9325390416668.6172</v>
      </c>
      <c r="M4200" s="471">
        <f t="shared" si="166"/>
        <v>0.05</v>
      </c>
      <c r="N4200" s="475">
        <f t="shared" si="167"/>
        <v>178879</v>
      </c>
    </row>
    <row r="4201" spans="7:14" ht="11.25" customHeight="1" x14ac:dyDescent="0.3">
      <c r="G4201" s="470"/>
      <c r="H4201" s="470">
        <v>4194</v>
      </c>
      <c r="I4201" s="455">
        <f t="shared" ca="1" si="165"/>
        <v>9325390416668.6172</v>
      </c>
      <c r="J4201" s="455">
        <f t="array" ref="J4201">IFERROR(INDEX('Retirement Calculator'!K:K,MATCH('Lorri 401b'!N4201,'Retirement Calculator'!A:A,0),0),0)</f>
        <v>0</v>
      </c>
      <c r="K4201" s="455">
        <f t="shared" ca="1" si="163"/>
        <v>38855793402.785904</v>
      </c>
      <c r="L4201" s="455">
        <f t="shared" ca="1" si="164"/>
        <v>9364246210071.4023</v>
      </c>
      <c r="M4201" s="471">
        <f t="shared" si="166"/>
        <v>0.05</v>
      </c>
      <c r="N4201" s="475">
        <f t="shared" si="167"/>
        <v>178910</v>
      </c>
    </row>
    <row r="4202" spans="7:14" ht="11.25" customHeight="1" x14ac:dyDescent="0.3">
      <c r="G4202" s="470"/>
      <c r="H4202" s="470">
        <v>4195</v>
      </c>
      <c r="I4202" s="455">
        <f t="shared" ca="1" si="165"/>
        <v>9364246210071.4023</v>
      </c>
      <c r="J4202" s="455">
        <f t="array" ref="J4202">IFERROR(INDEX('Retirement Calculator'!K:K,MATCH('Lorri 401b'!N4202,'Retirement Calculator'!A:A,0),0),0)</f>
        <v>0</v>
      </c>
      <c r="K4202" s="455">
        <f t="shared" ca="1" si="163"/>
        <v>39017692541.964172</v>
      </c>
      <c r="L4202" s="455">
        <f t="shared" ca="1" si="164"/>
        <v>9403263902613.3672</v>
      </c>
      <c r="M4202" s="471">
        <f t="shared" si="166"/>
        <v>0.05</v>
      </c>
      <c r="N4202" s="475">
        <f t="shared" si="167"/>
        <v>178940</v>
      </c>
    </row>
    <row r="4203" spans="7:14" ht="11.25" customHeight="1" x14ac:dyDescent="0.3">
      <c r="G4203" s="470"/>
      <c r="H4203" s="470">
        <v>4196</v>
      </c>
      <c r="I4203" s="455">
        <f t="shared" ca="1" si="165"/>
        <v>9403263902613.3672</v>
      </c>
      <c r="J4203" s="455">
        <f t="array" ref="J4203">IFERROR(INDEX('Retirement Calculator'!K:K,MATCH('Lorri 401b'!N4203,'Retirement Calculator'!A:A,0),0),0)</f>
        <v>0</v>
      </c>
      <c r="K4203" s="455">
        <f t="shared" ca="1" si="163"/>
        <v>39180266260.88903</v>
      </c>
      <c r="L4203" s="455">
        <f t="shared" ca="1" si="164"/>
        <v>9442444168874.2559</v>
      </c>
      <c r="M4203" s="471">
        <f t="shared" si="166"/>
        <v>0.05</v>
      </c>
      <c r="N4203" s="475">
        <f t="shared" si="167"/>
        <v>178971</v>
      </c>
    </row>
    <row r="4204" spans="7:14" ht="11.25" customHeight="1" x14ac:dyDescent="0.3">
      <c r="G4204" s="470"/>
      <c r="H4204" s="470">
        <v>4197</v>
      </c>
      <c r="I4204" s="455">
        <f t="shared" ca="1" si="165"/>
        <v>9442444168874.2559</v>
      </c>
      <c r="J4204" s="455">
        <f t="array" ref="J4204">IFERROR(INDEX('Retirement Calculator'!K:K,MATCH('Lorri 401b'!N4204,'Retirement Calculator'!A:A,0),0),0)</f>
        <v>0</v>
      </c>
      <c r="K4204" s="455">
        <f t="shared" ca="1" si="163"/>
        <v>39343517370.309402</v>
      </c>
      <c r="L4204" s="455">
        <f t="shared" ca="1" si="164"/>
        <v>9481787686244.5645</v>
      </c>
      <c r="M4204" s="471">
        <f t="shared" si="166"/>
        <v>0.05</v>
      </c>
      <c r="N4204" s="475">
        <f t="shared" si="167"/>
        <v>179002</v>
      </c>
    </row>
    <row r="4205" spans="7:14" ht="11.25" customHeight="1" x14ac:dyDescent="0.3">
      <c r="G4205" s="470"/>
      <c r="H4205" s="470">
        <v>4198</v>
      </c>
      <c r="I4205" s="455">
        <f t="shared" ca="1" si="165"/>
        <v>9481787686244.5645</v>
      </c>
      <c r="J4205" s="455">
        <f t="array" ref="J4205">IFERROR(INDEX('Retirement Calculator'!K:K,MATCH('Lorri 401b'!N4205,'Retirement Calculator'!A:A,0),0),0)</f>
        <v>0</v>
      </c>
      <c r="K4205" s="455">
        <f t="shared" ca="1" si="163"/>
        <v>39507448692.685684</v>
      </c>
      <c r="L4205" s="455">
        <f t="shared" ca="1" si="164"/>
        <v>9521295134937.25</v>
      </c>
      <c r="M4205" s="471">
        <f t="shared" si="166"/>
        <v>0.05</v>
      </c>
      <c r="N4205" s="475">
        <f t="shared" si="167"/>
        <v>179030</v>
      </c>
    </row>
    <row r="4206" spans="7:14" ht="11.25" customHeight="1" x14ac:dyDescent="0.3">
      <c r="G4206" s="470"/>
      <c r="H4206" s="470">
        <v>4199</v>
      </c>
      <c r="I4206" s="455">
        <f t="shared" ca="1" si="165"/>
        <v>9521295134937.25</v>
      </c>
      <c r="J4206" s="455">
        <f t="array" ref="J4206">IFERROR(INDEX('Retirement Calculator'!K:K,MATCH('Lorri 401b'!N4206,'Retirement Calculator'!A:A,0),0),0)</f>
        <v>0</v>
      </c>
      <c r="K4206" s="455">
        <f t="shared" ca="1" si="163"/>
        <v>39672063062.238541</v>
      </c>
      <c r="L4206" s="455">
        <f t="shared" ca="1" si="164"/>
        <v>9560967197999.4883</v>
      </c>
      <c r="M4206" s="471">
        <f t="shared" si="166"/>
        <v>0.05</v>
      </c>
      <c r="N4206" s="475">
        <f t="shared" si="167"/>
        <v>179061</v>
      </c>
    </row>
    <row r="4207" spans="7:14" ht="11.25" customHeight="1" x14ac:dyDescent="0.3">
      <c r="G4207" s="470"/>
      <c r="H4207" s="470">
        <v>4200</v>
      </c>
      <c r="I4207" s="455">
        <f t="shared" ca="1" si="165"/>
        <v>9560967197999.4883</v>
      </c>
      <c r="J4207" s="455">
        <f t="array" ref="J4207">IFERROR(INDEX('Retirement Calculator'!K:K,MATCH('Lorri 401b'!N4207,'Retirement Calculator'!A:A,0),0),0)</f>
        <v>0</v>
      </c>
      <c r="K4207" s="455">
        <f t="shared" ca="1" si="163"/>
        <v>39837363324.997864</v>
      </c>
      <c r="L4207" s="455">
        <f t="shared" ca="1" si="164"/>
        <v>9600804561324.4863</v>
      </c>
      <c r="M4207" s="471">
        <f t="shared" si="166"/>
        <v>0.05</v>
      </c>
      <c r="N4207" s="475">
        <f t="shared" si="167"/>
        <v>179091</v>
      </c>
    </row>
    <row r="4208" spans="7:14" ht="11.25" customHeight="1" x14ac:dyDescent="0.3">
      <c r="G4208" s="470"/>
      <c r="H4208" s="470">
        <v>4201</v>
      </c>
      <c r="I4208" s="455">
        <f t="shared" ca="1" si="165"/>
        <v>9600804561324.4863</v>
      </c>
      <c r="J4208" s="455">
        <f t="array" ref="J4208">IFERROR(INDEX('Retirement Calculator'!K:K,MATCH('Lorri 401b'!N4208,'Retirement Calculator'!A:A,0),0),0)</f>
        <v>0</v>
      </c>
      <c r="K4208" s="455">
        <f t="shared" ca="1" si="163"/>
        <v>40003352338.852028</v>
      </c>
      <c r="L4208" s="455">
        <f t="shared" ca="1" si="164"/>
        <v>9640807913663.3379</v>
      </c>
      <c r="M4208" s="471">
        <f t="shared" si="166"/>
        <v>0.05</v>
      </c>
      <c r="N4208" s="475">
        <f t="shared" si="167"/>
        <v>179122</v>
      </c>
    </row>
    <row r="4209" spans="7:14" ht="11.25" customHeight="1" x14ac:dyDescent="0.3">
      <c r="G4209" s="470"/>
      <c r="H4209" s="470">
        <v>4202</v>
      </c>
      <c r="I4209" s="455">
        <f t="shared" ca="1" si="165"/>
        <v>9640807913663.3379</v>
      </c>
      <c r="J4209" s="455">
        <f t="array" ref="J4209">IFERROR(INDEX('Retirement Calculator'!K:K,MATCH('Lorri 401b'!N4209,'Retirement Calculator'!A:A,0),0),0)</f>
        <v>0</v>
      </c>
      <c r="K4209" s="455">
        <f t="shared" ca="1" si="163"/>
        <v>40170032973.597244</v>
      </c>
      <c r="L4209" s="455">
        <f t="shared" ca="1" si="164"/>
        <v>9680977946636.9355</v>
      </c>
      <c r="M4209" s="471">
        <f t="shared" si="166"/>
        <v>0.05</v>
      </c>
      <c r="N4209" s="475">
        <f t="shared" si="167"/>
        <v>179152</v>
      </c>
    </row>
    <row r="4210" spans="7:14" ht="11.25" customHeight="1" x14ac:dyDescent="0.3">
      <c r="G4210" s="470"/>
      <c r="H4210" s="470">
        <v>4203</v>
      </c>
      <c r="I4210" s="455">
        <f t="shared" ca="1" si="165"/>
        <v>9680977946636.9355</v>
      </c>
      <c r="J4210" s="455">
        <f t="array" ref="J4210">IFERROR(INDEX('Retirement Calculator'!K:K,MATCH('Lorri 401b'!N4210,'Retirement Calculator'!A:A,0),0),0)</f>
        <v>0</v>
      </c>
      <c r="K4210" s="455">
        <f t="shared" ca="1" si="163"/>
        <v>40337408110.987228</v>
      </c>
      <c r="L4210" s="455">
        <f t="shared" ca="1" si="164"/>
        <v>9721315354747.9219</v>
      </c>
      <c r="M4210" s="471">
        <f t="shared" si="166"/>
        <v>0.05</v>
      </c>
      <c r="N4210" s="475">
        <f t="shared" si="167"/>
        <v>179183</v>
      </c>
    </row>
    <row r="4211" spans="7:14" ht="11.25" customHeight="1" x14ac:dyDescent="0.3">
      <c r="G4211" s="470"/>
      <c r="H4211" s="470">
        <v>4204</v>
      </c>
      <c r="I4211" s="455">
        <f t="shared" ca="1" si="165"/>
        <v>9721315354747.9219</v>
      </c>
      <c r="J4211" s="455">
        <f t="array" ref="J4211">IFERROR(INDEX('Retirement Calculator'!K:K,MATCH('Lorri 401b'!N4211,'Retirement Calculator'!A:A,0),0),0)</f>
        <v>0</v>
      </c>
      <c r="K4211" s="455">
        <f t="shared" ca="1" si="163"/>
        <v>40505480644.783005</v>
      </c>
      <c r="L4211" s="455">
        <f t="shared" ca="1" si="164"/>
        <v>9761820835392.7051</v>
      </c>
      <c r="M4211" s="471">
        <f t="shared" si="166"/>
        <v>0.05</v>
      </c>
      <c r="N4211" s="475">
        <f t="shared" si="167"/>
        <v>179214</v>
      </c>
    </row>
    <row r="4212" spans="7:14" ht="11.25" customHeight="1" x14ac:dyDescent="0.3">
      <c r="G4212" s="470"/>
      <c r="H4212" s="470">
        <v>4205</v>
      </c>
      <c r="I4212" s="455">
        <f t="shared" ca="1" si="165"/>
        <v>9761820835392.7051</v>
      </c>
      <c r="J4212" s="455">
        <f t="array" ref="J4212">IFERROR(INDEX('Retirement Calculator'!K:K,MATCH('Lorri 401b'!N4212,'Retirement Calculator'!A:A,0),0),0)</f>
        <v>0</v>
      </c>
      <c r="K4212" s="455">
        <f t="shared" ca="1" si="163"/>
        <v>40674253480.80294</v>
      </c>
      <c r="L4212" s="455">
        <f t="shared" ca="1" si="164"/>
        <v>9802495088873.5078</v>
      </c>
      <c r="M4212" s="471">
        <f t="shared" si="166"/>
        <v>0.05</v>
      </c>
      <c r="N4212" s="475">
        <f t="shared" si="167"/>
        <v>179244</v>
      </c>
    </row>
    <row r="4213" spans="7:14" ht="11.25" customHeight="1" x14ac:dyDescent="0.3">
      <c r="G4213" s="470"/>
      <c r="H4213" s="470">
        <v>4206</v>
      </c>
      <c r="I4213" s="455">
        <f t="shared" ca="1" si="165"/>
        <v>9802495088873.5078</v>
      </c>
      <c r="J4213" s="455">
        <f t="array" ref="J4213">IFERROR(INDEX('Retirement Calculator'!K:K,MATCH('Lorri 401b'!N4213,'Retirement Calculator'!A:A,0),0),0)</f>
        <v>0</v>
      </c>
      <c r="K4213" s="455">
        <f t="shared" ca="1" si="163"/>
        <v>40843729536.972946</v>
      </c>
      <c r="L4213" s="455">
        <f t="shared" ca="1" si="164"/>
        <v>9843338818410.4805</v>
      </c>
      <c r="M4213" s="471">
        <f t="shared" si="166"/>
        <v>0.05</v>
      </c>
      <c r="N4213" s="475">
        <f t="shared" si="167"/>
        <v>179275</v>
      </c>
    </row>
    <row r="4214" spans="7:14" ht="11.25" customHeight="1" x14ac:dyDescent="0.3">
      <c r="G4214" s="470"/>
      <c r="H4214" s="470">
        <v>4207</v>
      </c>
      <c r="I4214" s="455">
        <f t="shared" ca="1" si="165"/>
        <v>9843338818410.4805</v>
      </c>
      <c r="J4214" s="455">
        <f t="array" ref="J4214">IFERROR(INDEX('Retirement Calculator'!K:K,MATCH('Lorri 401b'!N4214,'Retirement Calculator'!A:A,0),0),0)</f>
        <v>0</v>
      </c>
      <c r="K4214" s="455">
        <f t="shared" ca="1" si="163"/>
        <v>41013911743.376999</v>
      </c>
      <c r="L4214" s="455">
        <f t="shared" ca="1" si="164"/>
        <v>9884352730153.8574</v>
      </c>
      <c r="M4214" s="471">
        <f t="shared" si="166"/>
        <v>0.05</v>
      </c>
      <c r="N4214" s="475">
        <f t="shared" si="167"/>
        <v>179305</v>
      </c>
    </row>
    <row r="4215" spans="7:14" ht="11.25" customHeight="1" x14ac:dyDescent="0.3">
      <c r="G4215" s="470"/>
      <c r="H4215" s="470">
        <v>4208</v>
      </c>
      <c r="I4215" s="455">
        <f t="shared" ca="1" si="165"/>
        <v>9884352730153.8574</v>
      </c>
      <c r="J4215" s="455">
        <f t="array" ref="J4215">IFERROR(INDEX('Retirement Calculator'!K:K,MATCH('Lorri 401b'!N4215,'Retirement Calculator'!A:A,0),0),0)</f>
        <v>0</v>
      </c>
      <c r="K4215" s="455">
        <f t="shared" ca="1" si="163"/>
        <v>41184803042.307739</v>
      </c>
      <c r="L4215" s="455">
        <f t="shared" ca="1" si="164"/>
        <v>9925537533196.166</v>
      </c>
      <c r="M4215" s="471">
        <f t="shared" si="166"/>
        <v>0.05</v>
      </c>
      <c r="N4215" s="475">
        <f t="shared" si="167"/>
        <v>179336</v>
      </c>
    </row>
    <row r="4216" spans="7:14" ht="11.25" customHeight="1" x14ac:dyDescent="0.3">
      <c r="G4216" s="470"/>
      <c r="H4216" s="470">
        <v>4209</v>
      </c>
      <c r="I4216" s="455">
        <f t="shared" ca="1" si="165"/>
        <v>9925537533196.166</v>
      </c>
      <c r="J4216" s="455">
        <f t="array" ref="J4216">IFERROR(INDEX('Retirement Calculator'!K:K,MATCH('Lorri 401b'!N4216,'Retirement Calculator'!A:A,0),0),0)</f>
        <v>0</v>
      </c>
      <c r="K4216" s="455">
        <f t="shared" ca="1" si="163"/>
        <v>41356406388.31736</v>
      </c>
      <c r="L4216" s="455">
        <f t="shared" ca="1" si="164"/>
        <v>9966893939584.4824</v>
      </c>
      <c r="M4216" s="471">
        <f t="shared" si="166"/>
        <v>0.05</v>
      </c>
      <c r="N4216" s="475">
        <f t="shared" si="167"/>
        <v>179367</v>
      </c>
    </row>
    <row r="4217" spans="7:14" ht="11.25" customHeight="1" x14ac:dyDescent="0.3">
      <c r="G4217" s="470"/>
      <c r="H4217" s="470">
        <v>4210</v>
      </c>
      <c r="I4217" s="455">
        <f t="shared" ca="1" si="165"/>
        <v>9966893939584.4824</v>
      </c>
      <c r="J4217" s="455">
        <f t="array" ref="J4217">IFERROR(INDEX('Retirement Calculator'!K:K,MATCH('Lorri 401b'!N4217,'Retirement Calculator'!A:A,0),0),0)</f>
        <v>0</v>
      </c>
      <c r="K4217" s="455">
        <f t="shared" ca="1" si="163"/>
        <v>41528724748.268677</v>
      </c>
      <c r="L4217" s="455">
        <f t="shared" ca="1" si="164"/>
        <v>10008422664332.752</v>
      </c>
      <c r="M4217" s="471">
        <f t="shared" si="166"/>
        <v>0.05</v>
      </c>
      <c r="N4217" s="475">
        <f t="shared" si="167"/>
        <v>179395</v>
      </c>
    </row>
    <row r="4218" spans="7:14" ht="11.25" customHeight="1" x14ac:dyDescent="0.3">
      <c r="G4218" s="470"/>
      <c r="H4218" s="470">
        <v>4211</v>
      </c>
      <c r="I4218" s="455">
        <f t="shared" ca="1" si="165"/>
        <v>10008422664332.752</v>
      </c>
      <c r="J4218" s="455">
        <f t="array" ref="J4218">IFERROR(INDEX('Retirement Calculator'!K:K,MATCH('Lorri 401b'!N4218,'Retirement Calculator'!A:A,0),0),0)</f>
        <v>0</v>
      </c>
      <c r="K4218" s="455">
        <f t="shared" ca="1" si="163"/>
        <v>41701761101.386467</v>
      </c>
      <c r="L4218" s="455">
        <f t="shared" ca="1" si="164"/>
        <v>10050124425434.139</v>
      </c>
      <c r="M4218" s="471">
        <f t="shared" si="166"/>
        <v>0.05</v>
      </c>
      <c r="N4218" s="475">
        <f t="shared" si="167"/>
        <v>179426</v>
      </c>
    </row>
    <row r="4219" spans="7:14" ht="11.25" customHeight="1" x14ac:dyDescent="0.3">
      <c r="G4219" s="470"/>
      <c r="H4219" s="470">
        <v>4212</v>
      </c>
      <c r="I4219" s="455">
        <f t="shared" ca="1" si="165"/>
        <v>10050124425434.139</v>
      </c>
      <c r="J4219" s="455">
        <f t="array" ref="J4219">IFERROR(INDEX('Retirement Calculator'!K:K,MATCH('Lorri 401b'!N4219,'Retirement Calculator'!A:A,0),0),0)</f>
        <v>0</v>
      </c>
      <c r="K4219" s="455">
        <f t="shared" ca="1" si="163"/>
        <v>41875518439.308914</v>
      </c>
      <c r="L4219" s="455">
        <f t="shared" ca="1" si="164"/>
        <v>10091999943873.447</v>
      </c>
      <c r="M4219" s="471">
        <f t="shared" si="166"/>
        <v>0.05</v>
      </c>
      <c r="N4219" s="475">
        <f t="shared" si="167"/>
        <v>179456</v>
      </c>
    </row>
    <row r="4220" spans="7:14" ht="11.25" customHeight="1" x14ac:dyDescent="0.3">
      <c r="G4220" s="470"/>
      <c r="H4220" s="470">
        <v>4213</v>
      </c>
      <c r="I4220" s="455">
        <f t="shared" ca="1" si="165"/>
        <v>10091999943873.447</v>
      </c>
      <c r="J4220" s="455">
        <f t="array" ref="J4220">IFERROR(INDEX('Retirement Calculator'!K:K,MATCH('Lorri 401b'!N4220,'Retirement Calculator'!A:A,0),0),0)</f>
        <v>0</v>
      </c>
      <c r="K4220" s="455">
        <f t="shared" ca="1" si="163"/>
        <v>42049999766.139366</v>
      </c>
      <c r="L4220" s="455">
        <f t="shared" ca="1" si="164"/>
        <v>10134049943639.586</v>
      </c>
      <c r="M4220" s="471">
        <f t="shared" si="166"/>
        <v>0.05</v>
      </c>
      <c r="N4220" s="475">
        <f t="shared" si="167"/>
        <v>179487</v>
      </c>
    </row>
    <row r="4221" spans="7:14" ht="11.25" customHeight="1" x14ac:dyDescent="0.3">
      <c r="G4221" s="470"/>
      <c r="H4221" s="470">
        <v>4214</v>
      </c>
      <c r="I4221" s="455">
        <f t="shared" ca="1" si="165"/>
        <v>10134049943639.586</v>
      </c>
      <c r="J4221" s="455">
        <f t="array" ref="J4221">IFERROR(INDEX('Retirement Calculator'!K:K,MATCH('Lorri 401b'!N4221,'Retirement Calculator'!A:A,0),0),0)</f>
        <v>0</v>
      </c>
      <c r="K4221" s="455">
        <f t="shared" ca="1" si="163"/>
        <v>42225208098.498276</v>
      </c>
      <c r="L4221" s="455">
        <f t="shared" ca="1" si="164"/>
        <v>10176275151738.084</v>
      </c>
      <c r="M4221" s="471">
        <f t="shared" si="166"/>
        <v>0.05</v>
      </c>
      <c r="N4221" s="475">
        <f t="shared" si="167"/>
        <v>179517</v>
      </c>
    </row>
    <row r="4222" spans="7:14" ht="11.25" customHeight="1" x14ac:dyDescent="0.3">
      <c r="G4222" s="470"/>
      <c r="H4222" s="470">
        <v>4215</v>
      </c>
      <c r="I4222" s="455">
        <f t="shared" ca="1" si="165"/>
        <v>10176275151738.084</v>
      </c>
      <c r="J4222" s="455">
        <f t="array" ref="J4222">IFERROR(INDEX('Retirement Calculator'!K:K,MATCH('Lorri 401b'!N4222,'Retirement Calculator'!A:A,0),0),0)</f>
        <v>0</v>
      </c>
      <c r="K4222" s="455">
        <f t="shared" ca="1" si="163"/>
        <v>42401146465.575348</v>
      </c>
      <c r="L4222" s="455">
        <f t="shared" ca="1" si="164"/>
        <v>10218676298203.66</v>
      </c>
      <c r="M4222" s="471">
        <f t="shared" si="166"/>
        <v>0.05</v>
      </c>
      <c r="N4222" s="475">
        <f t="shared" si="167"/>
        <v>179548</v>
      </c>
    </row>
    <row r="4223" spans="7:14" ht="11.25" customHeight="1" x14ac:dyDescent="0.3">
      <c r="G4223" s="470"/>
      <c r="H4223" s="470">
        <v>4216</v>
      </c>
      <c r="I4223" s="455">
        <f t="shared" ca="1" si="165"/>
        <v>10218676298203.66</v>
      </c>
      <c r="J4223" s="455">
        <f t="array" ref="J4223">IFERROR(INDEX('Retirement Calculator'!K:K,MATCH('Lorri 401b'!N4223,'Retirement Calculator'!A:A,0),0),0)</f>
        <v>0</v>
      </c>
      <c r="K4223" s="455">
        <f t="shared" ca="1" si="163"/>
        <v>42577817909.181915</v>
      </c>
      <c r="L4223" s="455">
        <f t="shared" ca="1" si="164"/>
        <v>10261254116112.842</v>
      </c>
      <c r="M4223" s="471">
        <f t="shared" si="166"/>
        <v>0.05</v>
      </c>
      <c r="N4223" s="475">
        <f t="shared" si="167"/>
        <v>179579</v>
      </c>
    </row>
    <row r="4224" spans="7:14" ht="11.25" customHeight="1" x14ac:dyDescent="0.3">
      <c r="G4224" s="470"/>
      <c r="H4224" s="470">
        <v>4217</v>
      </c>
      <c r="I4224" s="455">
        <f t="shared" ca="1" si="165"/>
        <v>10261254116112.842</v>
      </c>
      <c r="J4224" s="455">
        <f t="array" ref="J4224">IFERROR(INDEX('Retirement Calculator'!K:K,MATCH('Lorri 401b'!N4224,'Retirement Calculator'!A:A,0),0),0)</f>
        <v>0</v>
      </c>
      <c r="K4224" s="455">
        <f t="shared" ca="1" si="163"/>
        <v>42755225483.803505</v>
      </c>
      <c r="L4224" s="455">
        <f t="shared" ca="1" si="164"/>
        <v>10304009341596.645</v>
      </c>
      <c r="M4224" s="471">
        <f t="shared" si="166"/>
        <v>0.05</v>
      </c>
      <c r="N4224" s="475">
        <f t="shared" si="167"/>
        <v>179609</v>
      </c>
    </row>
    <row r="4225" spans="7:14" ht="11.25" customHeight="1" x14ac:dyDescent="0.3">
      <c r="G4225" s="470"/>
      <c r="H4225" s="470">
        <v>4218</v>
      </c>
      <c r="I4225" s="455">
        <f t="shared" ca="1" si="165"/>
        <v>10304009341596.645</v>
      </c>
      <c r="J4225" s="455">
        <f t="array" ref="J4225">IFERROR(INDEX('Retirement Calculator'!K:K,MATCH('Lorri 401b'!N4225,'Retirement Calculator'!A:A,0),0),0)</f>
        <v>0</v>
      </c>
      <c r="K4225" s="455">
        <f t="shared" ca="1" si="163"/>
        <v>42933372256.652687</v>
      </c>
      <c r="L4225" s="455">
        <f t="shared" ca="1" si="164"/>
        <v>10346942713853.297</v>
      </c>
      <c r="M4225" s="471">
        <f t="shared" si="166"/>
        <v>0.05</v>
      </c>
      <c r="N4225" s="475">
        <f t="shared" si="167"/>
        <v>179640</v>
      </c>
    </row>
    <row r="4226" spans="7:14" ht="11.25" customHeight="1" x14ac:dyDescent="0.3">
      <c r="G4226" s="470"/>
      <c r="H4226" s="470">
        <v>4219</v>
      </c>
      <c r="I4226" s="455">
        <f t="shared" ca="1" si="165"/>
        <v>10346942713853.297</v>
      </c>
      <c r="J4226" s="455">
        <f t="array" ref="J4226">IFERROR(INDEX('Retirement Calculator'!K:K,MATCH('Lorri 401b'!N4226,'Retirement Calculator'!A:A,0),0),0)</f>
        <v>0</v>
      </c>
      <c r="K4226" s="455">
        <f t="shared" ca="1" si="163"/>
        <v>43112261307.722069</v>
      </c>
      <c r="L4226" s="455">
        <f t="shared" ca="1" si="164"/>
        <v>10390054975161.02</v>
      </c>
      <c r="M4226" s="471">
        <f t="shared" si="166"/>
        <v>0.05</v>
      </c>
      <c r="N4226" s="475">
        <f t="shared" si="167"/>
        <v>179670</v>
      </c>
    </row>
    <row r="4227" spans="7:14" ht="11.25" customHeight="1" x14ac:dyDescent="0.3">
      <c r="G4227" s="470"/>
      <c r="H4227" s="470">
        <v>4220</v>
      </c>
      <c r="I4227" s="455">
        <f t="shared" ca="1" si="165"/>
        <v>10390054975161.02</v>
      </c>
      <c r="J4227" s="455">
        <f t="array" ref="J4227">IFERROR(INDEX('Retirement Calculator'!K:K,MATCH('Lorri 401b'!N4227,'Retirement Calculator'!A:A,0),0),0)</f>
        <v>0</v>
      </c>
      <c r="K4227" s="455">
        <f t="shared" ca="1" si="163"/>
        <v>43291895729.837578</v>
      </c>
      <c r="L4227" s="455">
        <f t="shared" ca="1" si="164"/>
        <v>10433346870890.857</v>
      </c>
      <c r="M4227" s="471">
        <f t="shared" si="166"/>
        <v>0.05</v>
      </c>
      <c r="N4227" s="475">
        <f t="shared" si="167"/>
        <v>179701</v>
      </c>
    </row>
    <row r="4228" spans="7:14" ht="11.25" customHeight="1" x14ac:dyDescent="0.3">
      <c r="G4228" s="470"/>
      <c r="H4228" s="470">
        <v>4221</v>
      </c>
      <c r="I4228" s="455">
        <f t="shared" ca="1" si="165"/>
        <v>10433346870890.857</v>
      </c>
      <c r="J4228" s="455">
        <f t="array" ref="J4228">IFERROR(INDEX('Retirement Calculator'!K:K,MATCH('Lorri 401b'!N4228,'Retirement Calculator'!A:A,0),0),0)</f>
        <v>0</v>
      </c>
      <c r="K4228" s="455">
        <f t="shared" ca="1" si="163"/>
        <v>43472278628.711906</v>
      </c>
      <c r="L4228" s="455">
        <f t="shared" ca="1" si="164"/>
        <v>10476819149519.568</v>
      </c>
      <c r="M4228" s="471">
        <f t="shared" si="166"/>
        <v>0.05</v>
      </c>
      <c r="N4228" s="475">
        <f t="shared" si="167"/>
        <v>179732</v>
      </c>
    </row>
    <row r="4229" spans="7:14" ht="11.25" customHeight="1" x14ac:dyDescent="0.3">
      <c r="G4229" s="470"/>
      <c r="H4229" s="470">
        <v>4222</v>
      </c>
      <c r="I4229" s="455">
        <f t="shared" ca="1" si="165"/>
        <v>10476819149519.568</v>
      </c>
      <c r="J4229" s="455">
        <f t="array" ref="J4229">IFERROR(INDEX('Retirement Calculator'!K:K,MATCH('Lorri 401b'!N4229,'Retirement Calculator'!A:A,0),0),0)</f>
        <v>0</v>
      </c>
      <c r="K4229" s="455">
        <f t="shared" ca="1" si="163"/>
        <v>43653413122.998199</v>
      </c>
      <c r="L4229" s="455">
        <f t="shared" ca="1" si="164"/>
        <v>10520472562642.566</v>
      </c>
      <c r="M4229" s="471">
        <f t="shared" si="166"/>
        <v>0.05</v>
      </c>
      <c r="N4229" s="475">
        <f t="shared" si="167"/>
        <v>179761</v>
      </c>
    </row>
    <row r="4230" spans="7:14" ht="11.25" customHeight="1" x14ac:dyDescent="0.3">
      <c r="G4230" s="470"/>
      <c r="H4230" s="470">
        <v>4223</v>
      </c>
      <c r="I4230" s="455">
        <f t="shared" ca="1" si="165"/>
        <v>10520472562642.566</v>
      </c>
      <c r="J4230" s="455">
        <f t="array" ref="J4230">IFERROR(INDEX('Retirement Calculator'!K:K,MATCH('Lorri 401b'!N4230,'Retirement Calculator'!A:A,0),0),0)</f>
        <v>0</v>
      </c>
      <c r="K4230" s="455">
        <f t="shared" ca="1" si="163"/>
        <v>43835302344.344025</v>
      </c>
      <c r="L4230" s="455">
        <f t="shared" ca="1" si="164"/>
        <v>10564307864986.91</v>
      </c>
      <c r="M4230" s="471">
        <f t="shared" si="166"/>
        <v>0.05</v>
      </c>
      <c r="N4230" s="475">
        <f t="shared" si="167"/>
        <v>179792</v>
      </c>
    </row>
    <row r="4231" spans="7:14" ht="11.25" customHeight="1" x14ac:dyDescent="0.3">
      <c r="G4231" s="470"/>
      <c r="H4231" s="470">
        <v>4224</v>
      </c>
      <c r="I4231" s="455">
        <f t="shared" ca="1" si="165"/>
        <v>10564307864986.91</v>
      </c>
      <c r="J4231" s="455">
        <f t="array" ref="J4231">IFERROR(INDEX('Retirement Calculator'!K:K,MATCH('Lorri 401b'!N4231,'Retirement Calculator'!A:A,0),0),0)</f>
        <v>0</v>
      </c>
      <c r="K4231" s="455">
        <f t="shared" ca="1" si="163"/>
        <v>44017949437.445457</v>
      </c>
      <c r="L4231" s="455">
        <f t="shared" ca="1" si="164"/>
        <v>10608325814424.355</v>
      </c>
      <c r="M4231" s="471">
        <f t="shared" si="166"/>
        <v>0.05</v>
      </c>
      <c r="N4231" s="475">
        <f t="shared" si="167"/>
        <v>179822</v>
      </c>
    </row>
    <row r="4232" spans="7:14" ht="11.25" customHeight="1" x14ac:dyDescent="0.3">
      <c r="G4232" s="470"/>
      <c r="H4232" s="470">
        <v>4225</v>
      </c>
      <c r="I4232" s="455">
        <f t="shared" ca="1" si="165"/>
        <v>10608325814424.355</v>
      </c>
      <c r="J4232" s="455">
        <f t="array" ref="J4232">IFERROR(INDEX('Retirement Calculator'!K:K,MATCH('Lorri 401b'!N4232,'Retirement Calculator'!A:A,0),0),0)</f>
        <v>0</v>
      </c>
      <c r="K4232" s="455">
        <f t="shared" ca="1" si="163"/>
        <v>44201357560.101479</v>
      </c>
      <c r="L4232" s="455">
        <f t="shared" ca="1" si="164"/>
        <v>10652527171984.457</v>
      </c>
      <c r="M4232" s="471">
        <f t="shared" si="166"/>
        <v>0.05</v>
      </c>
      <c r="N4232" s="475">
        <f t="shared" si="167"/>
        <v>179853</v>
      </c>
    </row>
    <row r="4233" spans="7:14" ht="11.25" customHeight="1" x14ac:dyDescent="0.3">
      <c r="G4233" s="470"/>
      <c r="H4233" s="470">
        <v>4226</v>
      </c>
      <c r="I4233" s="455">
        <f t="shared" ca="1" si="165"/>
        <v>10652527171984.457</v>
      </c>
      <c r="J4233" s="455">
        <f t="array" ref="J4233">IFERROR(INDEX('Retirement Calculator'!K:K,MATCH('Lorri 401b'!N4233,'Retirement Calculator'!A:A,0),0),0)</f>
        <v>0</v>
      </c>
      <c r="K4233" s="455">
        <f t="shared" ca="1" si="163"/>
        <v>44385529883.26857</v>
      </c>
      <c r="L4233" s="455">
        <f t="shared" ca="1" si="164"/>
        <v>10696912701867.727</v>
      </c>
      <c r="M4233" s="471">
        <f t="shared" si="166"/>
        <v>0.05</v>
      </c>
      <c r="N4233" s="475">
        <f t="shared" si="167"/>
        <v>179883</v>
      </c>
    </row>
    <row r="4234" spans="7:14" ht="11.25" customHeight="1" x14ac:dyDescent="0.3">
      <c r="G4234" s="470"/>
      <c r="H4234" s="470">
        <v>4227</v>
      </c>
      <c r="I4234" s="455">
        <f t="shared" ca="1" si="165"/>
        <v>10696912701867.727</v>
      </c>
      <c r="J4234" s="455">
        <f t="array" ref="J4234">IFERROR(INDEX('Retirement Calculator'!K:K,MATCH('Lorri 401b'!N4234,'Retirement Calculator'!A:A,0),0),0)</f>
        <v>0</v>
      </c>
      <c r="K4234" s="455">
        <f t="shared" ca="1" si="163"/>
        <v>44570469591.115524</v>
      </c>
      <c r="L4234" s="455">
        <f t="shared" ca="1" si="164"/>
        <v>10741483171458.842</v>
      </c>
      <c r="M4234" s="471">
        <f t="shared" si="166"/>
        <v>0.05</v>
      </c>
      <c r="N4234" s="475">
        <f t="shared" si="167"/>
        <v>179914</v>
      </c>
    </row>
    <row r="4235" spans="7:14" ht="11.25" customHeight="1" x14ac:dyDescent="0.3">
      <c r="G4235" s="470"/>
      <c r="H4235" s="470">
        <v>4228</v>
      </c>
      <c r="I4235" s="455">
        <f t="shared" ca="1" si="165"/>
        <v>10741483171458.842</v>
      </c>
      <c r="J4235" s="455">
        <f t="array" ref="J4235">IFERROR(INDEX('Retirement Calculator'!K:K,MATCH('Lorri 401b'!N4235,'Retirement Calculator'!A:A,0),0),0)</f>
        <v>0</v>
      </c>
      <c r="K4235" s="455">
        <f t="shared" ca="1" si="163"/>
        <v>44756179881.078506</v>
      </c>
      <c r="L4235" s="455">
        <f t="shared" ca="1" si="164"/>
        <v>10786239351339.92</v>
      </c>
      <c r="M4235" s="471">
        <f t="shared" si="166"/>
        <v>0.05</v>
      </c>
      <c r="N4235" s="475">
        <f t="shared" si="167"/>
        <v>179945</v>
      </c>
    </row>
    <row r="4236" spans="7:14" ht="11.25" customHeight="1" x14ac:dyDescent="0.3">
      <c r="G4236" s="470"/>
      <c r="H4236" s="470">
        <v>4229</v>
      </c>
      <c r="I4236" s="455">
        <f t="shared" ca="1" si="165"/>
        <v>10786239351339.92</v>
      </c>
      <c r="J4236" s="455">
        <f t="array" ref="J4236">IFERROR(INDEX('Retirement Calculator'!K:K,MATCH('Lorri 401b'!N4236,'Retirement Calculator'!A:A,0),0),0)</f>
        <v>0</v>
      </c>
      <c r="K4236" s="455">
        <f t="shared" ca="1" si="163"/>
        <v>44942663963.916336</v>
      </c>
      <c r="L4236" s="455">
        <f t="shared" ca="1" si="164"/>
        <v>10831182015303.836</v>
      </c>
      <c r="M4236" s="471">
        <f t="shared" si="166"/>
        <v>0.05</v>
      </c>
      <c r="N4236" s="475">
        <f t="shared" si="167"/>
        <v>179975</v>
      </c>
    </row>
    <row r="4237" spans="7:14" ht="11.25" customHeight="1" x14ac:dyDescent="0.3">
      <c r="G4237" s="470"/>
      <c r="H4237" s="470">
        <v>4230</v>
      </c>
      <c r="I4237" s="455">
        <f t="shared" ca="1" si="165"/>
        <v>10831182015303.836</v>
      </c>
      <c r="J4237" s="455">
        <f t="array" ref="J4237">IFERROR(INDEX('Retirement Calculator'!K:K,MATCH('Lorri 401b'!N4237,'Retirement Calculator'!A:A,0),0),0)</f>
        <v>0</v>
      </c>
      <c r="K4237" s="455">
        <f t="shared" ca="1" si="163"/>
        <v>45129925063.765984</v>
      </c>
      <c r="L4237" s="455">
        <f t="shared" ca="1" si="164"/>
        <v>10876311940367.602</v>
      </c>
      <c r="M4237" s="471">
        <f t="shared" si="166"/>
        <v>0.05</v>
      </c>
      <c r="N4237" s="475">
        <f t="shared" si="167"/>
        <v>180006</v>
      </c>
    </row>
    <row r="4238" spans="7:14" ht="11.25" customHeight="1" x14ac:dyDescent="0.3">
      <c r="G4238" s="470"/>
      <c r="H4238" s="470">
        <v>4231</v>
      </c>
      <c r="I4238" s="455">
        <f t="shared" ca="1" si="165"/>
        <v>10876311940367.602</v>
      </c>
      <c r="J4238" s="455">
        <f t="array" ref="J4238">IFERROR(INDEX('Retirement Calculator'!K:K,MATCH('Lorri 401b'!N4238,'Retirement Calculator'!A:A,0),0),0)</f>
        <v>0</v>
      </c>
      <c r="K4238" s="455">
        <f t="shared" ca="1" si="163"/>
        <v>45317966418.198341</v>
      </c>
      <c r="L4238" s="455">
        <f t="shared" ca="1" si="164"/>
        <v>10921629906785.801</v>
      </c>
      <c r="M4238" s="471">
        <f t="shared" si="166"/>
        <v>0.05</v>
      </c>
      <c r="N4238" s="475">
        <f t="shared" si="167"/>
        <v>180036</v>
      </c>
    </row>
    <row r="4239" spans="7:14" ht="11.25" customHeight="1" x14ac:dyDescent="0.3">
      <c r="G4239" s="470"/>
      <c r="H4239" s="470">
        <v>4232</v>
      </c>
      <c r="I4239" s="455">
        <f t="shared" ca="1" si="165"/>
        <v>10921629906785.801</v>
      </c>
      <c r="J4239" s="455">
        <f t="array" ref="J4239">IFERROR(INDEX('Retirement Calculator'!K:K,MATCH('Lorri 401b'!N4239,'Retirement Calculator'!A:A,0),0),0)</f>
        <v>0</v>
      </c>
      <c r="K4239" s="455">
        <f t="shared" ca="1" si="163"/>
        <v>45506791278.27417</v>
      </c>
      <c r="L4239" s="455">
        <f t="shared" ca="1" si="164"/>
        <v>10967136698064.074</v>
      </c>
      <c r="M4239" s="471">
        <f t="shared" si="166"/>
        <v>0.05</v>
      </c>
      <c r="N4239" s="475">
        <f t="shared" si="167"/>
        <v>180067</v>
      </c>
    </row>
    <row r="4240" spans="7:14" ht="11.25" customHeight="1" x14ac:dyDescent="0.3">
      <c r="G4240" s="470"/>
      <c r="H4240" s="470">
        <v>4233</v>
      </c>
      <c r="I4240" s="455">
        <f t="shared" ca="1" si="165"/>
        <v>10967136698064.074</v>
      </c>
      <c r="J4240" s="455">
        <f t="array" ref="J4240">IFERROR(INDEX('Retirement Calculator'!K:K,MATCH('Lorri 401b'!N4240,'Retirement Calculator'!A:A,0),0),0)</f>
        <v>0</v>
      </c>
      <c r="K4240" s="455">
        <f t="shared" ca="1" si="163"/>
        <v>45696402908.600311</v>
      </c>
      <c r="L4240" s="455">
        <f t="shared" ca="1" si="164"/>
        <v>11012833100972.674</v>
      </c>
      <c r="M4240" s="471">
        <f t="shared" si="166"/>
        <v>0.05</v>
      </c>
      <c r="N4240" s="475">
        <f t="shared" si="167"/>
        <v>180098</v>
      </c>
    </row>
    <row r="4241" spans="7:14" ht="11.25" customHeight="1" x14ac:dyDescent="0.3">
      <c r="G4241" s="470"/>
      <c r="H4241" s="470">
        <v>4234</v>
      </c>
      <c r="I4241" s="455">
        <f t="shared" ca="1" si="165"/>
        <v>11012833100972.674</v>
      </c>
      <c r="J4241" s="455">
        <f t="array" ref="J4241">IFERROR(INDEX('Retirement Calculator'!K:K,MATCH('Lorri 401b'!N4241,'Retirement Calculator'!A:A,0),0),0)</f>
        <v>0</v>
      </c>
      <c r="K4241" s="455">
        <f t="shared" ca="1" si="163"/>
        <v>45886804587.386139</v>
      </c>
      <c r="L4241" s="455">
        <f t="shared" ca="1" si="164"/>
        <v>11058719905560.061</v>
      </c>
      <c r="M4241" s="471">
        <f t="shared" si="166"/>
        <v>0.05</v>
      </c>
      <c r="N4241" s="475">
        <f t="shared" si="167"/>
        <v>180126</v>
      </c>
    </row>
    <row r="4242" spans="7:14" ht="11.25" customHeight="1" x14ac:dyDescent="0.3">
      <c r="G4242" s="470"/>
      <c r="H4242" s="470">
        <v>4235</v>
      </c>
      <c r="I4242" s="455">
        <f t="shared" ca="1" si="165"/>
        <v>11058719905560.061</v>
      </c>
      <c r="J4242" s="455">
        <f t="array" ref="J4242">IFERROR(INDEX('Retirement Calculator'!K:K,MATCH('Lorri 401b'!N4242,'Retirement Calculator'!A:A,0),0),0)</f>
        <v>0</v>
      </c>
      <c r="K4242" s="455">
        <f t="shared" ca="1" si="163"/>
        <v>46077999606.500252</v>
      </c>
      <c r="L4242" s="455">
        <f t="shared" ca="1" si="164"/>
        <v>11104797905166.561</v>
      </c>
      <c r="M4242" s="471">
        <f t="shared" si="166"/>
        <v>0.05</v>
      </c>
      <c r="N4242" s="475">
        <f t="shared" si="167"/>
        <v>180157</v>
      </c>
    </row>
    <row r="4243" spans="7:14" ht="11.25" customHeight="1" x14ac:dyDescent="0.3">
      <c r="G4243" s="470"/>
      <c r="H4243" s="470">
        <v>4236</v>
      </c>
      <c r="I4243" s="455">
        <f t="shared" ca="1" si="165"/>
        <v>11104797905166.561</v>
      </c>
      <c r="J4243" s="455">
        <f t="array" ref="J4243">IFERROR(INDEX('Retirement Calculator'!K:K,MATCH('Lorri 401b'!N4243,'Retirement Calculator'!A:A,0),0),0)</f>
        <v>0</v>
      </c>
      <c r="K4243" s="455">
        <f t="shared" ca="1" si="163"/>
        <v>46269991271.527336</v>
      </c>
      <c r="L4243" s="455">
        <f t="shared" ca="1" si="164"/>
        <v>11151067896438.088</v>
      </c>
      <c r="M4243" s="471">
        <f t="shared" si="166"/>
        <v>0.05</v>
      </c>
      <c r="N4243" s="475">
        <f t="shared" si="167"/>
        <v>180187</v>
      </c>
    </row>
    <row r="4244" spans="7:14" ht="11.25" customHeight="1" x14ac:dyDescent="0.3">
      <c r="G4244" s="470"/>
      <c r="H4244" s="470">
        <v>4237</v>
      </c>
      <c r="I4244" s="455">
        <f t="shared" ca="1" si="165"/>
        <v>11151067896438.088</v>
      </c>
      <c r="J4244" s="455">
        <f t="array" ref="J4244">IFERROR(INDEX('Retirement Calculator'!K:K,MATCH('Lorri 401b'!N4244,'Retirement Calculator'!A:A,0),0),0)</f>
        <v>0</v>
      </c>
      <c r="K4244" s="455">
        <f t="shared" ca="1" si="163"/>
        <v>46462782901.825363</v>
      </c>
      <c r="L4244" s="455">
        <f t="shared" ca="1" si="164"/>
        <v>11197530679339.914</v>
      </c>
      <c r="M4244" s="471">
        <f t="shared" si="166"/>
        <v>0.05</v>
      </c>
      <c r="N4244" s="475">
        <f t="shared" si="167"/>
        <v>180218</v>
      </c>
    </row>
    <row r="4245" spans="7:14" ht="11.25" customHeight="1" x14ac:dyDescent="0.3">
      <c r="G4245" s="470"/>
      <c r="H4245" s="470">
        <v>4238</v>
      </c>
      <c r="I4245" s="455">
        <f t="shared" ca="1" si="165"/>
        <v>11197530679339.914</v>
      </c>
      <c r="J4245" s="455">
        <f t="array" ref="J4245">IFERROR(INDEX('Retirement Calculator'!K:K,MATCH('Lorri 401b'!N4245,'Retirement Calculator'!A:A,0),0),0)</f>
        <v>0</v>
      </c>
      <c r="K4245" s="455">
        <f t="shared" ca="1" si="163"/>
        <v>46656377830.582977</v>
      </c>
      <c r="L4245" s="455">
        <f t="shared" ca="1" si="164"/>
        <v>11244187057170.496</v>
      </c>
      <c r="M4245" s="471">
        <f t="shared" si="166"/>
        <v>0.05</v>
      </c>
      <c r="N4245" s="475">
        <f t="shared" si="167"/>
        <v>180248</v>
      </c>
    </row>
    <row r="4246" spans="7:14" ht="11.25" customHeight="1" x14ac:dyDescent="0.3">
      <c r="G4246" s="470"/>
      <c r="H4246" s="470">
        <v>4239</v>
      </c>
      <c r="I4246" s="455">
        <f t="shared" ca="1" si="165"/>
        <v>11244187057170.496</v>
      </c>
      <c r="J4246" s="455">
        <f t="array" ref="J4246">IFERROR(INDEX('Retirement Calculator'!K:K,MATCH('Lorri 401b'!N4246,'Retirement Calculator'!A:A,0),0),0)</f>
        <v>0</v>
      </c>
      <c r="K4246" s="455">
        <f t="shared" ca="1" si="163"/>
        <v>46850779404.877068</v>
      </c>
      <c r="L4246" s="455">
        <f t="shared" ca="1" si="164"/>
        <v>11291037836575.373</v>
      </c>
      <c r="M4246" s="471">
        <f t="shared" si="166"/>
        <v>0.05</v>
      </c>
      <c r="N4246" s="475">
        <f t="shared" si="167"/>
        <v>180279</v>
      </c>
    </row>
    <row r="4247" spans="7:14" ht="11.25" customHeight="1" x14ac:dyDescent="0.3">
      <c r="G4247" s="470"/>
      <c r="H4247" s="470">
        <v>4240</v>
      </c>
      <c r="I4247" s="455">
        <f t="shared" ca="1" si="165"/>
        <v>11291037836575.373</v>
      </c>
      <c r="J4247" s="455">
        <f t="array" ref="J4247">IFERROR(INDEX('Retirement Calculator'!K:K,MATCH('Lorri 401b'!N4247,'Retirement Calculator'!A:A,0),0),0)</f>
        <v>0</v>
      </c>
      <c r="K4247" s="455">
        <f t="shared" ca="1" si="163"/>
        <v>47045990985.730721</v>
      </c>
      <c r="L4247" s="455">
        <f t="shared" ca="1" si="164"/>
        <v>11338083827561.104</v>
      </c>
      <c r="M4247" s="471">
        <f t="shared" si="166"/>
        <v>0.05</v>
      </c>
      <c r="N4247" s="475">
        <f t="shared" si="167"/>
        <v>180310</v>
      </c>
    </row>
    <row r="4248" spans="7:14" ht="11.25" customHeight="1" x14ac:dyDescent="0.3">
      <c r="G4248" s="470"/>
      <c r="H4248" s="470">
        <v>4241</v>
      </c>
      <c r="I4248" s="455">
        <f t="shared" ca="1" si="165"/>
        <v>11338083827561.104</v>
      </c>
      <c r="J4248" s="455">
        <f t="array" ref="J4248">IFERROR(INDEX('Retirement Calculator'!K:K,MATCH('Lorri 401b'!N4248,'Retirement Calculator'!A:A,0),0),0)</f>
        <v>0</v>
      </c>
      <c r="K4248" s="455">
        <f t="shared" ca="1" si="163"/>
        <v>47242015948.171265</v>
      </c>
      <c r="L4248" s="455">
        <f t="shared" ca="1" si="164"/>
        <v>11385325843509.275</v>
      </c>
      <c r="M4248" s="471">
        <f t="shared" si="166"/>
        <v>0.05</v>
      </c>
      <c r="N4248" s="475">
        <f t="shared" si="167"/>
        <v>180340</v>
      </c>
    </row>
    <row r="4249" spans="7:14" ht="11.25" customHeight="1" x14ac:dyDescent="0.3">
      <c r="G4249" s="470"/>
      <c r="H4249" s="470">
        <v>4242</v>
      </c>
      <c r="I4249" s="455">
        <f t="shared" ca="1" si="165"/>
        <v>11385325843509.275</v>
      </c>
      <c r="J4249" s="455">
        <f t="array" ref="J4249">IFERROR(INDEX('Retirement Calculator'!K:K,MATCH('Lorri 401b'!N4249,'Retirement Calculator'!A:A,0),0),0)</f>
        <v>0</v>
      </c>
      <c r="K4249" s="455">
        <f t="shared" ca="1" si="163"/>
        <v>47438857681.288651</v>
      </c>
      <c r="L4249" s="455">
        <f t="shared" ca="1" si="164"/>
        <v>11432764701190.564</v>
      </c>
      <c r="M4249" s="471">
        <f t="shared" si="166"/>
        <v>0.05</v>
      </c>
      <c r="N4249" s="475">
        <f t="shared" si="167"/>
        <v>180371</v>
      </c>
    </row>
    <row r="4250" spans="7:14" ht="11.25" customHeight="1" x14ac:dyDescent="0.3">
      <c r="G4250" s="470"/>
      <c r="H4250" s="470">
        <v>4243</v>
      </c>
      <c r="I4250" s="455">
        <f t="shared" ca="1" si="165"/>
        <v>11432764701190.564</v>
      </c>
      <c r="J4250" s="455">
        <f t="array" ref="J4250">IFERROR(INDEX('Retirement Calculator'!K:K,MATCH('Lorri 401b'!N4250,'Retirement Calculator'!A:A,0),0),0)</f>
        <v>0</v>
      </c>
      <c r="K4250" s="455">
        <f t="shared" ca="1" si="163"/>
        <v>47636519588.294022</v>
      </c>
      <c r="L4250" s="455">
        <f t="shared" ca="1" si="164"/>
        <v>11480401220778.859</v>
      </c>
      <c r="M4250" s="471">
        <f t="shared" si="166"/>
        <v>0.05</v>
      </c>
      <c r="N4250" s="475">
        <f t="shared" si="167"/>
        <v>180401</v>
      </c>
    </row>
    <row r="4251" spans="7:14" ht="11.25" customHeight="1" x14ac:dyDescent="0.3">
      <c r="G4251" s="470"/>
      <c r="H4251" s="470">
        <v>4244</v>
      </c>
      <c r="I4251" s="455">
        <f t="shared" ca="1" si="165"/>
        <v>11480401220778.859</v>
      </c>
      <c r="J4251" s="455">
        <f t="array" ref="J4251">IFERROR(INDEX('Retirement Calculator'!K:K,MATCH('Lorri 401b'!N4251,'Retirement Calculator'!A:A,0),0),0)</f>
        <v>0</v>
      </c>
      <c r="K4251" s="455">
        <f t="shared" ca="1" si="163"/>
        <v>47835005086.578583</v>
      </c>
      <c r="L4251" s="455">
        <f t="shared" ca="1" si="164"/>
        <v>11528236225865.438</v>
      </c>
      <c r="M4251" s="471">
        <f t="shared" si="166"/>
        <v>0.05</v>
      </c>
      <c r="N4251" s="475">
        <f t="shared" si="167"/>
        <v>180432</v>
      </c>
    </row>
    <row r="4252" spans="7:14" ht="11.25" customHeight="1" x14ac:dyDescent="0.3">
      <c r="G4252" s="470"/>
      <c r="H4252" s="470">
        <v>4245</v>
      </c>
      <c r="I4252" s="455">
        <f t="shared" ca="1" si="165"/>
        <v>11528236225865.438</v>
      </c>
      <c r="J4252" s="455">
        <f t="array" ref="J4252">IFERROR(INDEX('Retirement Calculator'!K:K,MATCH('Lorri 401b'!N4252,'Retirement Calculator'!A:A,0),0),0)</f>
        <v>0</v>
      </c>
      <c r="K4252" s="455">
        <f t="shared" ca="1" si="163"/>
        <v>48034317607.772659</v>
      </c>
      <c r="L4252" s="455">
        <f t="shared" ca="1" si="164"/>
        <v>11576270543473.211</v>
      </c>
      <c r="M4252" s="471">
        <f t="shared" si="166"/>
        <v>0.05</v>
      </c>
      <c r="N4252" s="475">
        <f t="shared" si="167"/>
        <v>180463</v>
      </c>
    </row>
    <row r="4253" spans="7:14" ht="11.25" customHeight="1" x14ac:dyDescent="0.3">
      <c r="G4253" s="470"/>
      <c r="H4253" s="470">
        <v>4246</v>
      </c>
      <c r="I4253" s="455">
        <f t="shared" ca="1" si="165"/>
        <v>11576270543473.211</v>
      </c>
      <c r="J4253" s="455">
        <f t="array" ref="J4253">IFERROR(INDEX('Retirement Calculator'!K:K,MATCH('Lorri 401b'!N4253,'Retirement Calculator'!A:A,0),0),0)</f>
        <v>0</v>
      </c>
      <c r="K4253" s="455">
        <f t="shared" ca="1" si="163"/>
        <v>48234460597.805046</v>
      </c>
      <c r="L4253" s="455">
        <f t="shared" ca="1" si="164"/>
        <v>11624505004071.016</v>
      </c>
      <c r="M4253" s="471">
        <f t="shared" si="166"/>
        <v>0.05</v>
      </c>
      <c r="N4253" s="475">
        <f t="shared" si="167"/>
        <v>180491</v>
      </c>
    </row>
    <row r="4254" spans="7:14" ht="11.25" customHeight="1" x14ac:dyDescent="0.3">
      <c r="G4254" s="470"/>
      <c r="H4254" s="470">
        <v>4247</v>
      </c>
      <c r="I4254" s="455">
        <f t="shared" ca="1" si="165"/>
        <v>11624505004071.016</v>
      </c>
      <c r="J4254" s="455">
        <f t="array" ref="J4254">IFERROR(INDEX('Retirement Calculator'!K:K,MATCH('Lorri 401b'!N4254,'Retirement Calculator'!A:A,0),0),0)</f>
        <v>0</v>
      </c>
      <c r="K4254" s="455">
        <f t="shared" ca="1" si="163"/>
        <v>48435437516.962563</v>
      </c>
      <c r="L4254" s="455">
        <f t="shared" ca="1" si="164"/>
        <v>11672940441587.979</v>
      </c>
      <c r="M4254" s="471">
        <f t="shared" si="166"/>
        <v>0.05</v>
      </c>
      <c r="N4254" s="475">
        <f t="shared" si="167"/>
        <v>180522</v>
      </c>
    </row>
    <row r="4255" spans="7:14" ht="11.25" customHeight="1" x14ac:dyDescent="0.3">
      <c r="G4255" s="470"/>
      <c r="H4255" s="470">
        <v>4248</v>
      </c>
      <c r="I4255" s="455">
        <f t="shared" ca="1" si="165"/>
        <v>11672940441587.979</v>
      </c>
      <c r="J4255" s="455">
        <f t="array" ref="J4255">IFERROR(INDEX('Retirement Calculator'!K:K,MATCH('Lorri 401b'!N4255,'Retirement Calculator'!A:A,0),0),0)</f>
        <v>0</v>
      </c>
      <c r="K4255" s="455">
        <f t="shared" ca="1" si="163"/>
        <v>48637251839.949913</v>
      </c>
      <c r="L4255" s="455">
        <f t="shared" ca="1" si="164"/>
        <v>11721577693427.928</v>
      </c>
      <c r="M4255" s="471">
        <f t="shared" si="166"/>
        <v>0.05</v>
      </c>
      <c r="N4255" s="475">
        <f t="shared" si="167"/>
        <v>180552</v>
      </c>
    </row>
    <row r="4256" spans="7:14" ht="11.25" customHeight="1" x14ac:dyDescent="0.3">
      <c r="G4256" s="470"/>
      <c r="H4256" s="470">
        <v>4249</v>
      </c>
      <c r="I4256" s="455">
        <f t="shared" ca="1" si="165"/>
        <v>11721577693427.928</v>
      </c>
      <c r="J4256" s="455">
        <f t="array" ref="J4256">IFERROR(INDEX('Retirement Calculator'!K:K,MATCH('Lorri 401b'!N4256,'Retirement Calculator'!A:A,0),0),0)</f>
        <v>0</v>
      </c>
      <c r="K4256" s="455">
        <f t="shared" ca="1" si="163"/>
        <v>48839907055.949699</v>
      </c>
      <c r="L4256" s="455">
        <f t="shared" ca="1" si="164"/>
        <v>11770417600483.877</v>
      </c>
      <c r="M4256" s="471">
        <f t="shared" si="166"/>
        <v>0.05</v>
      </c>
      <c r="N4256" s="475">
        <f t="shared" si="167"/>
        <v>180583</v>
      </c>
    </row>
    <row r="4257" spans="7:14" ht="11.25" customHeight="1" x14ac:dyDescent="0.3">
      <c r="G4257" s="470"/>
      <c r="H4257" s="470">
        <v>4250</v>
      </c>
      <c r="I4257" s="455">
        <f t="shared" ca="1" si="165"/>
        <v>11770417600483.877</v>
      </c>
      <c r="J4257" s="455">
        <f t="array" ref="J4257">IFERROR(INDEX('Retirement Calculator'!K:K,MATCH('Lorri 401b'!N4257,'Retirement Calculator'!A:A,0),0),0)</f>
        <v>0</v>
      </c>
      <c r="K4257" s="455">
        <f t="shared" ca="1" si="163"/>
        <v>49043406668.682823</v>
      </c>
      <c r="L4257" s="455">
        <f t="shared" ca="1" si="164"/>
        <v>11819461007152.561</v>
      </c>
      <c r="M4257" s="471">
        <f t="shared" si="166"/>
        <v>0.05</v>
      </c>
      <c r="N4257" s="475">
        <f t="shared" si="167"/>
        <v>180613</v>
      </c>
    </row>
    <row r="4258" spans="7:14" ht="11.25" customHeight="1" x14ac:dyDescent="0.3">
      <c r="G4258" s="470"/>
      <c r="H4258" s="470">
        <v>4251</v>
      </c>
      <c r="I4258" s="455">
        <f t="shared" ca="1" si="165"/>
        <v>11819461007152.561</v>
      </c>
      <c r="J4258" s="455">
        <f t="array" ref="J4258">IFERROR(INDEX('Retirement Calculator'!K:K,MATCH('Lorri 401b'!N4258,'Retirement Calculator'!A:A,0),0),0)</f>
        <v>0</v>
      </c>
      <c r="K4258" s="455">
        <f t="shared" ca="1" si="163"/>
        <v>49247754196.469002</v>
      </c>
      <c r="L4258" s="455">
        <f t="shared" ca="1" si="164"/>
        <v>11868708761349.029</v>
      </c>
      <c r="M4258" s="471">
        <f t="shared" si="166"/>
        <v>0.05</v>
      </c>
      <c r="N4258" s="475">
        <f t="shared" si="167"/>
        <v>180644</v>
      </c>
    </row>
    <row r="4259" spans="7:14" ht="11.25" customHeight="1" x14ac:dyDescent="0.3">
      <c r="G4259" s="470"/>
      <c r="H4259" s="470">
        <v>4252</v>
      </c>
      <c r="I4259" s="455">
        <f t="shared" ca="1" si="165"/>
        <v>11868708761349.029</v>
      </c>
      <c r="J4259" s="455">
        <f t="array" ref="J4259">IFERROR(INDEX('Retirement Calculator'!K:K,MATCH('Lorri 401b'!N4259,'Retirement Calculator'!A:A,0),0),0)</f>
        <v>0</v>
      </c>
      <c r="K4259" s="455">
        <f t="shared" ca="1" si="163"/>
        <v>49452953172.287621</v>
      </c>
      <c r="L4259" s="455">
        <f t="shared" ca="1" si="164"/>
        <v>11918161714521.316</v>
      </c>
      <c r="M4259" s="471">
        <f t="shared" si="166"/>
        <v>0.05</v>
      </c>
      <c r="N4259" s="475">
        <f t="shared" si="167"/>
        <v>180675</v>
      </c>
    </row>
    <row r="4260" spans="7:14" ht="11.25" customHeight="1" x14ac:dyDescent="0.3">
      <c r="G4260" s="470"/>
      <c r="H4260" s="470">
        <v>4253</v>
      </c>
      <c r="I4260" s="455">
        <f t="shared" ca="1" si="165"/>
        <v>11918161714521.316</v>
      </c>
      <c r="J4260" s="455">
        <f t="array" ref="J4260">IFERROR(INDEX('Retirement Calculator'!K:K,MATCH('Lorri 401b'!N4260,'Retirement Calculator'!A:A,0),0),0)</f>
        <v>0</v>
      </c>
      <c r="K4260" s="455">
        <f t="shared" ca="1" si="163"/>
        <v>49659007143.838821</v>
      </c>
      <c r="L4260" s="455">
        <f t="shared" ca="1" si="164"/>
        <v>11967820721665.154</v>
      </c>
      <c r="M4260" s="471">
        <f t="shared" si="166"/>
        <v>0.05</v>
      </c>
      <c r="N4260" s="475">
        <f t="shared" si="167"/>
        <v>180705</v>
      </c>
    </row>
    <row r="4261" spans="7:14" ht="11.25" customHeight="1" x14ac:dyDescent="0.3">
      <c r="G4261" s="470"/>
      <c r="H4261" s="470">
        <v>4254</v>
      </c>
      <c r="I4261" s="455">
        <f t="shared" ca="1" si="165"/>
        <v>11967820721665.154</v>
      </c>
      <c r="J4261" s="455">
        <f t="array" ref="J4261">IFERROR(INDEX('Retirement Calculator'!K:K,MATCH('Lorri 401b'!N4261,'Retirement Calculator'!A:A,0),0),0)</f>
        <v>0</v>
      </c>
      <c r="K4261" s="455">
        <f t="shared" ca="1" si="163"/>
        <v>49865919673.604813</v>
      </c>
      <c r="L4261" s="455">
        <f t="shared" ca="1" si="164"/>
        <v>12017686641338.76</v>
      </c>
      <c r="M4261" s="471">
        <f t="shared" si="166"/>
        <v>0.05</v>
      </c>
      <c r="N4261" s="475">
        <f t="shared" si="167"/>
        <v>180736</v>
      </c>
    </row>
    <row r="4262" spans="7:14" ht="11.25" customHeight="1" x14ac:dyDescent="0.3">
      <c r="G4262" s="470"/>
      <c r="H4262" s="470">
        <v>4255</v>
      </c>
      <c r="I4262" s="455">
        <f t="shared" ca="1" si="165"/>
        <v>12017686641338.76</v>
      </c>
      <c r="J4262" s="455">
        <f t="array" ref="J4262">IFERROR(INDEX('Retirement Calculator'!K:K,MATCH('Lorri 401b'!N4262,'Retirement Calculator'!A:A,0),0),0)</f>
        <v>0</v>
      </c>
      <c r="K4262" s="455">
        <f t="shared" ca="1" si="163"/>
        <v>50073694338.911499</v>
      </c>
      <c r="L4262" s="455">
        <f t="shared" ca="1" si="164"/>
        <v>12067760335677.672</v>
      </c>
      <c r="M4262" s="471">
        <f t="shared" si="166"/>
        <v>0.05</v>
      </c>
      <c r="N4262" s="475">
        <f t="shared" si="167"/>
        <v>180766</v>
      </c>
    </row>
    <row r="4263" spans="7:14" ht="11.25" customHeight="1" x14ac:dyDescent="0.3">
      <c r="G4263" s="470"/>
      <c r="H4263" s="470">
        <v>4256</v>
      </c>
      <c r="I4263" s="455">
        <f t="shared" ca="1" si="165"/>
        <v>12067760335677.672</v>
      </c>
      <c r="J4263" s="455">
        <f t="array" ref="J4263">IFERROR(INDEX('Retirement Calculator'!K:K,MATCH('Lorri 401b'!N4263,'Retirement Calculator'!A:A,0),0),0)</f>
        <v>0</v>
      </c>
      <c r="K4263" s="455">
        <f t="shared" ca="1" si="163"/>
        <v>50282334731.990295</v>
      </c>
      <c r="L4263" s="455">
        <f t="shared" ca="1" si="164"/>
        <v>12118042670409.662</v>
      </c>
      <c r="M4263" s="471">
        <f t="shared" si="166"/>
        <v>0.05</v>
      </c>
      <c r="N4263" s="475">
        <f t="shared" si="167"/>
        <v>180797</v>
      </c>
    </row>
    <row r="4264" spans="7:14" ht="11.25" customHeight="1" x14ac:dyDescent="0.3">
      <c r="G4264" s="470"/>
      <c r="H4264" s="470">
        <v>4257</v>
      </c>
      <c r="I4264" s="455">
        <f t="shared" ca="1" si="165"/>
        <v>12118042670409.662</v>
      </c>
      <c r="J4264" s="455">
        <f t="array" ref="J4264">IFERROR(INDEX('Retirement Calculator'!K:K,MATCH('Lorri 401b'!N4264,'Retirement Calculator'!A:A,0),0),0)</f>
        <v>0</v>
      </c>
      <c r="K4264" s="455">
        <f t="shared" ca="1" si="163"/>
        <v>50491844460.04026</v>
      </c>
      <c r="L4264" s="455">
        <f t="shared" ca="1" si="164"/>
        <v>12168534514869.703</v>
      </c>
      <c r="M4264" s="471">
        <f t="shared" si="166"/>
        <v>0.05</v>
      </c>
      <c r="N4264" s="475">
        <f t="shared" si="167"/>
        <v>180828</v>
      </c>
    </row>
    <row r="4265" spans="7:14" ht="11.25" customHeight="1" x14ac:dyDescent="0.3">
      <c r="G4265" s="470"/>
      <c r="H4265" s="470">
        <v>4258</v>
      </c>
      <c r="I4265" s="455">
        <f t="shared" ca="1" si="165"/>
        <v>12168534514869.703</v>
      </c>
      <c r="J4265" s="455">
        <f t="array" ref="J4265">IFERROR(INDEX('Retirement Calculator'!K:K,MATCH('Lorri 401b'!N4265,'Retirement Calculator'!A:A,0),0),0)</f>
        <v>0</v>
      </c>
      <c r="K4265" s="455">
        <f t="shared" ca="1" si="163"/>
        <v>50702227145.290428</v>
      </c>
      <c r="L4265" s="455">
        <f t="shared" ca="1" si="164"/>
        <v>12219236742014.994</v>
      </c>
      <c r="M4265" s="471">
        <f t="shared" si="166"/>
        <v>0.05</v>
      </c>
      <c r="N4265" s="475">
        <f t="shared" si="167"/>
        <v>180856</v>
      </c>
    </row>
    <row r="4266" spans="7:14" ht="11.25" customHeight="1" x14ac:dyDescent="0.3">
      <c r="G4266" s="470"/>
      <c r="H4266" s="470">
        <v>4259</v>
      </c>
      <c r="I4266" s="455">
        <f t="shared" ca="1" si="165"/>
        <v>12219236742014.994</v>
      </c>
      <c r="J4266" s="455">
        <f t="array" ref="J4266">IFERROR(INDEX('Retirement Calculator'!K:K,MATCH('Lorri 401b'!N4266,'Retirement Calculator'!A:A,0),0),0)</f>
        <v>0</v>
      </c>
      <c r="K4266" s="455">
        <f t="shared" ca="1" si="163"/>
        <v>50913486425.062477</v>
      </c>
      <c r="L4266" s="455">
        <f t="shared" ca="1" si="164"/>
        <v>12270150228440.057</v>
      </c>
      <c r="M4266" s="471">
        <f t="shared" si="166"/>
        <v>0.05</v>
      </c>
      <c r="N4266" s="475">
        <f t="shared" si="167"/>
        <v>180887</v>
      </c>
    </row>
    <row r="4267" spans="7:14" ht="11.25" customHeight="1" x14ac:dyDescent="0.3">
      <c r="G4267" s="470"/>
      <c r="H4267" s="470">
        <v>4260</v>
      </c>
      <c r="I4267" s="455">
        <f t="shared" ca="1" si="165"/>
        <v>12270150228440.057</v>
      </c>
      <c r="J4267" s="455">
        <f t="array" ref="J4267">IFERROR(INDEX('Retirement Calculator'!K:K,MATCH('Lorri 401b'!N4267,'Retirement Calculator'!A:A,0),0),0)</f>
        <v>0</v>
      </c>
      <c r="K4267" s="455">
        <f t="shared" ca="1" si="163"/>
        <v>51125625951.833572</v>
      </c>
      <c r="L4267" s="455">
        <f t="shared" ca="1" si="164"/>
        <v>12321275854391.891</v>
      </c>
      <c r="M4267" s="471">
        <f t="shared" si="166"/>
        <v>0.05</v>
      </c>
      <c r="N4267" s="475">
        <f t="shared" si="167"/>
        <v>180917</v>
      </c>
    </row>
    <row r="4268" spans="7:14" ht="11.25" customHeight="1" x14ac:dyDescent="0.3">
      <c r="G4268" s="470"/>
      <c r="H4268" s="470">
        <v>4261</v>
      </c>
      <c r="I4268" s="455">
        <f t="shared" ca="1" si="165"/>
        <v>12321275854391.891</v>
      </c>
      <c r="J4268" s="455">
        <f t="array" ref="J4268">IFERROR(INDEX('Retirement Calculator'!K:K,MATCH('Lorri 401b'!N4268,'Retirement Calculator'!A:A,0),0),0)</f>
        <v>0</v>
      </c>
      <c r="K4268" s="455">
        <f t="shared" ca="1" si="163"/>
        <v>51338649393.299545</v>
      </c>
      <c r="L4268" s="455">
        <f t="shared" ca="1" si="164"/>
        <v>12372614503785.189</v>
      </c>
      <c r="M4268" s="471">
        <f t="shared" si="166"/>
        <v>0.05</v>
      </c>
      <c r="N4268" s="475">
        <f t="shared" si="167"/>
        <v>180948</v>
      </c>
    </row>
    <row r="4269" spans="7:14" ht="11.25" customHeight="1" x14ac:dyDescent="0.3">
      <c r="G4269" s="470"/>
      <c r="H4269" s="470">
        <v>4262</v>
      </c>
      <c r="I4269" s="455">
        <f t="shared" ca="1" si="165"/>
        <v>12372614503785.189</v>
      </c>
      <c r="J4269" s="455">
        <f t="array" ref="J4269">IFERROR(INDEX('Retirement Calculator'!K:K,MATCH('Lorri 401b'!N4269,'Retirement Calculator'!A:A,0),0),0)</f>
        <v>0</v>
      </c>
      <c r="K4269" s="455">
        <f t="shared" ca="1" si="163"/>
        <v>51552560432.438286</v>
      </c>
      <c r="L4269" s="455">
        <f t="shared" ca="1" si="164"/>
        <v>12424167064217.627</v>
      </c>
      <c r="M4269" s="471">
        <f t="shared" si="166"/>
        <v>0.05</v>
      </c>
      <c r="N4269" s="475">
        <f t="shared" si="167"/>
        <v>180978</v>
      </c>
    </row>
    <row r="4270" spans="7:14" ht="11.25" customHeight="1" x14ac:dyDescent="0.3">
      <c r="G4270" s="470"/>
      <c r="H4270" s="470">
        <v>4263</v>
      </c>
      <c r="I4270" s="455">
        <f t="shared" ca="1" si="165"/>
        <v>12424167064217.627</v>
      </c>
      <c r="J4270" s="455">
        <f t="array" ref="J4270">IFERROR(INDEX('Retirement Calculator'!K:K,MATCH('Lorri 401b'!N4270,'Retirement Calculator'!A:A,0),0),0)</f>
        <v>0</v>
      </c>
      <c r="K4270" s="455">
        <f t="shared" ca="1" si="163"/>
        <v>51767362767.573448</v>
      </c>
      <c r="L4270" s="455">
        <f t="shared" ca="1" si="164"/>
        <v>12475934426985.201</v>
      </c>
      <c r="M4270" s="471">
        <f t="shared" si="166"/>
        <v>0.05</v>
      </c>
      <c r="N4270" s="475">
        <f t="shared" si="167"/>
        <v>181009</v>
      </c>
    </row>
    <row r="4271" spans="7:14" ht="11.25" customHeight="1" x14ac:dyDescent="0.3">
      <c r="G4271" s="470"/>
      <c r="H4271" s="470">
        <v>4264</v>
      </c>
      <c r="I4271" s="455">
        <f t="shared" ca="1" si="165"/>
        <v>12475934426985.201</v>
      </c>
      <c r="J4271" s="455">
        <f t="array" ref="J4271">IFERROR(INDEX('Retirement Calculator'!K:K,MATCH('Lorri 401b'!N4271,'Retirement Calculator'!A:A,0),0),0)</f>
        <v>0</v>
      </c>
      <c r="K4271" s="455">
        <f t="shared" ca="1" si="163"/>
        <v>51983060112.438339</v>
      </c>
      <c r="L4271" s="455">
        <f t="shared" ca="1" si="164"/>
        <v>12527917487097.639</v>
      </c>
      <c r="M4271" s="471">
        <f t="shared" si="166"/>
        <v>0.05</v>
      </c>
      <c r="N4271" s="475">
        <f t="shared" si="167"/>
        <v>181040</v>
      </c>
    </row>
    <row r="4272" spans="7:14" ht="11.25" customHeight="1" x14ac:dyDescent="0.3">
      <c r="G4272" s="470"/>
      <c r="H4272" s="470">
        <v>4265</v>
      </c>
      <c r="I4272" s="455">
        <f t="shared" ca="1" si="165"/>
        <v>12527917487097.639</v>
      </c>
      <c r="J4272" s="455">
        <f t="array" ref="J4272">IFERROR(INDEX('Retirement Calculator'!K:K,MATCH('Lorri 401b'!N4272,'Retirement Calculator'!A:A,0),0),0)</f>
        <v>0</v>
      </c>
      <c r="K4272" s="455">
        <f t="shared" ca="1" si="163"/>
        <v>52199656196.240158</v>
      </c>
      <c r="L4272" s="455">
        <f t="shared" ca="1" si="164"/>
        <v>12580117143293.879</v>
      </c>
      <c r="M4272" s="471">
        <f t="shared" si="166"/>
        <v>0.05</v>
      </c>
      <c r="N4272" s="475">
        <f t="shared" si="167"/>
        <v>181070</v>
      </c>
    </row>
    <row r="4273" spans="7:14" ht="11.25" customHeight="1" x14ac:dyDescent="0.3">
      <c r="G4273" s="470"/>
      <c r="H4273" s="470">
        <v>4266</v>
      </c>
      <c r="I4273" s="455">
        <f t="shared" ca="1" si="165"/>
        <v>12580117143293.879</v>
      </c>
      <c r="J4273" s="455">
        <f t="array" ref="J4273">IFERROR(INDEX('Retirement Calculator'!K:K,MATCH('Lorri 401b'!N4273,'Retirement Calculator'!A:A,0),0),0)</f>
        <v>0</v>
      </c>
      <c r="K4273" s="455">
        <f t="shared" ca="1" si="163"/>
        <v>52417154763.724495</v>
      </c>
      <c r="L4273" s="455">
        <f t="shared" ca="1" si="164"/>
        <v>12632534298057.604</v>
      </c>
      <c r="M4273" s="471">
        <f t="shared" si="166"/>
        <v>0.05</v>
      </c>
      <c r="N4273" s="475">
        <f t="shared" si="167"/>
        <v>181101</v>
      </c>
    </row>
    <row r="4274" spans="7:14" ht="11.25" customHeight="1" x14ac:dyDescent="0.3">
      <c r="G4274" s="470"/>
      <c r="H4274" s="470">
        <v>4267</v>
      </c>
      <c r="I4274" s="455">
        <f t="shared" ca="1" si="165"/>
        <v>12632534298057.604</v>
      </c>
      <c r="J4274" s="455">
        <f t="array" ref="J4274">IFERROR(INDEX('Retirement Calculator'!K:K,MATCH('Lorri 401b'!N4274,'Retirement Calculator'!A:A,0),0),0)</f>
        <v>0</v>
      </c>
      <c r="K4274" s="455">
        <f t="shared" ca="1" si="163"/>
        <v>52635559575.240013</v>
      </c>
      <c r="L4274" s="455">
        <f t="shared" ca="1" si="164"/>
        <v>12685169857632.844</v>
      </c>
      <c r="M4274" s="471">
        <f t="shared" si="166"/>
        <v>0.05</v>
      </c>
      <c r="N4274" s="475">
        <f t="shared" si="167"/>
        <v>181131</v>
      </c>
    </row>
    <row r="4275" spans="7:14" ht="11.25" customHeight="1" x14ac:dyDescent="0.3">
      <c r="G4275" s="470"/>
      <c r="H4275" s="470">
        <v>4268</v>
      </c>
      <c r="I4275" s="455">
        <f t="shared" ca="1" si="165"/>
        <v>12685169857632.844</v>
      </c>
      <c r="J4275" s="455">
        <f t="array" ref="J4275">IFERROR(INDEX('Retirement Calculator'!K:K,MATCH('Lorri 401b'!N4275,'Retirement Calculator'!A:A,0),0),0)</f>
        <v>0</v>
      </c>
      <c r="K4275" s="455">
        <f t="shared" ca="1" si="163"/>
        <v>52854874406.803513</v>
      </c>
      <c r="L4275" s="455">
        <f t="shared" ca="1" si="164"/>
        <v>12738024732039.646</v>
      </c>
      <c r="M4275" s="471">
        <f t="shared" si="166"/>
        <v>0.05</v>
      </c>
      <c r="N4275" s="475">
        <f t="shared" si="167"/>
        <v>181162</v>
      </c>
    </row>
    <row r="4276" spans="7:14" ht="11.25" customHeight="1" x14ac:dyDescent="0.3">
      <c r="G4276" s="470"/>
      <c r="H4276" s="470">
        <v>4269</v>
      </c>
      <c r="I4276" s="455">
        <f t="shared" ca="1" si="165"/>
        <v>12738024732039.646</v>
      </c>
      <c r="J4276" s="455">
        <f t="array" ref="J4276">IFERROR(INDEX('Retirement Calculator'!K:K,MATCH('Lorri 401b'!N4276,'Retirement Calculator'!A:A,0),0),0)</f>
        <v>0</v>
      </c>
      <c r="K4276" s="455">
        <f t="shared" ca="1" si="163"/>
        <v>53075103050.165192</v>
      </c>
      <c r="L4276" s="455">
        <f t="shared" ca="1" si="164"/>
        <v>12791099835089.813</v>
      </c>
      <c r="M4276" s="471">
        <f t="shared" si="166"/>
        <v>0.05</v>
      </c>
      <c r="N4276" s="475">
        <f t="shared" si="167"/>
        <v>181193</v>
      </c>
    </row>
    <row r="4277" spans="7:14" ht="11.25" customHeight="1" x14ac:dyDescent="0.3">
      <c r="G4277" s="470"/>
      <c r="H4277" s="470">
        <v>4270</v>
      </c>
      <c r="I4277" s="455">
        <f t="shared" ca="1" si="165"/>
        <v>12791099835089.813</v>
      </c>
      <c r="J4277" s="455">
        <f t="array" ref="J4277">IFERROR(INDEX('Retirement Calculator'!K:K,MATCH('Lorri 401b'!N4277,'Retirement Calculator'!A:A,0),0),0)</f>
        <v>0</v>
      </c>
      <c r="K4277" s="455">
        <f t="shared" ca="1" si="163"/>
        <v>53296249312.874222</v>
      </c>
      <c r="L4277" s="455">
        <f t="shared" ca="1" si="164"/>
        <v>12844396084402.688</v>
      </c>
      <c r="M4277" s="471">
        <f t="shared" si="166"/>
        <v>0.05</v>
      </c>
      <c r="N4277" s="475">
        <f t="shared" si="167"/>
        <v>181222</v>
      </c>
    </row>
    <row r="4278" spans="7:14" ht="11.25" customHeight="1" x14ac:dyDescent="0.3">
      <c r="G4278" s="470"/>
      <c r="H4278" s="470">
        <v>4271</v>
      </c>
      <c r="I4278" s="455">
        <f t="shared" ca="1" si="165"/>
        <v>12844396084402.688</v>
      </c>
      <c r="J4278" s="455">
        <f t="array" ref="J4278">IFERROR(INDEX('Retirement Calculator'!K:K,MATCH('Lorri 401b'!N4278,'Retirement Calculator'!A:A,0),0),0)</f>
        <v>0</v>
      </c>
      <c r="K4278" s="455">
        <f t="shared" ca="1" si="163"/>
        <v>53518317018.344528</v>
      </c>
      <c r="L4278" s="455">
        <f t="shared" ca="1" si="164"/>
        <v>12897914401421.031</v>
      </c>
      <c r="M4278" s="471">
        <f t="shared" si="166"/>
        <v>0.05</v>
      </c>
      <c r="N4278" s="475">
        <f t="shared" si="167"/>
        <v>181253</v>
      </c>
    </row>
    <row r="4279" spans="7:14" ht="11.25" customHeight="1" x14ac:dyDescent="0.3">
      <c r="G4279" s="470"/>
      <c r="H4279" s="470">
        <v>4272</v>
      </c>
      <c r="I4279" s="455">
        <f t="shared" ca="1" si="165"/>
        <v>12897914401421.031</v>
      </c>
      <c r="J4279" s="455">
        <f t="array" ref="J4279">IFERROR(INDEX('Retirement Calculator'!K:K,MATCH('Lorri 401b'!N4279,'Retirement Calculator'!A:A,0),0),0)</f>
        <v>0</v>
      </c>
      <c r="K4279" s="455">
        <f t="shared" ca="1" si="163"/>
        <v>53741310005.920959</v>
      </c>
      <c r="L4279" s="455">
        <f t="shared" ca="1" si="164"/>
        <v>12951655711426.953</v>
      </c>
      <c r="M4279" s="471">
        <f t="shared" si="166"/>
        <v>0.05</v>
      </c>
      <c r="N4279" s="475">
        <f t="shared" si="167"/>
        <v>181283</v>
      </c>
    </row>
    <row r="4280" spans="7:14" ht="11.25" customHeight="1" x14ac:dyDescent="0.3">
      <c r="G4280" s="470"/>
      <c r="H4280" s="470">
        <v>4273</v>
      </c>
      <c r="I4280" s="455">
        <f t="shared" ca="1" si="165"/>
        <v>12951655711426.953</v>
      </c>
      <c r="J4280" s="455">
        <f t="array" ref="J4280">IFERROR(INDEX('Retirement Calculator'!K:K,MATCH('Lorri 401b'!N4280,'Retirement Calculator'!A:A,0),0),0)</f>
        <v>0</v>
      </c>
      <c r="K4280" s="455">
        <f t="shared" ca="1" si="163"/>
        <v>53965232130.945641</v>
      </c>
      <c r="L4280" s="455">
        <f t="shared" ca="1" si="164"/>
        <v>13005620943557.898</v>
      </c>
      <c r="M4280" s="471">
        <f t="shared" si="166"/>
        <v>0.05</v>
      </c>
      <c r="N4280" s="475">
        <f t="shared" si="167"/>
        <v>181314</v>
      </c>
    </row>
    <row r="4281" spans="7:14" ht="11.25" customHeight="1" x14ac:dyDescent="0.3">
      <c r="G4281" s="470"/>
      <c r="H4281" s="470">
        <v>4274</v>
      </c>
      <c r="I4281" s="455">
        <f t="shared" ca="1" si="165"/>
        <v>13005620943557.898</v>
      </c>
      <c r="J4281" s="455">
        <f t="array" ref="J4281">IFERROR(INDEX('Retirement Calculator'!K:K,MATCH('Lorri 401b'!N4281,'Retirement Calculator'!A:A,0),0),0)</f>
        <v>0</v>
      </c>
      <c r="K4281" s="455">
        <f t="shared" ca="1" si="163"/>
        <v>54190087264.824577</v>
      </c>
      <c r="L4281" s="455">
        <f t="shared" ca="1" si="164"/>
        <v>13059811030822.723</v>
      </c>
      <c r="M4281" s="471">
        <f t="shared" si="166"/>
        <v>0.05</v>
      </c>
      <c r="N4281" s="475">
        <f t="shared" si="167"/>
        <v>181344</v>
      </c>
    </row>
    <row r="4282" spans="7:14" ht="11.25" customHeight="1" x14ac:dyDescent="0.3">
      <c r="G4282" s="470"/>
      <c r="H4282" s="470">
        <v>4275</v>
      </c>
      <c r="I4282" s="455">
        <f t="shared" ca="1" si="165"/>
        <v>13059811030822.723</v>
      </c>
      <c r="J4282" s="455">
        <f t="array" ref="J4282">IFERROR(INDEX('Retirement Calculator'!K:K,MATCH('Lorri 401b'!N4282,'Retirement Calculator'!A:A,0),0),0)</f>
        <v>0</v>
      </c>
      <c r="K4282" s="455">
        <f t="shared" ca="1" si="163"/>
        <v>54415879295.094681</v>
      </c>
      <c r="L4282" s="455">
        <f t="shared" ca="1" si="164"/>
        <v>13114226910117.816</v>
      </c>
      <c r="M4282" s="471">
        <f t="shared" si="166"/>
        <v>0.05</v>
      </c>
      <c r="N4282" s="475">
        <f t="shared" si="167"/>
        <v>181375</v>
      </c>
    </row>
    <row r="4283" spans="7:14" ht="11.25" customHeight="1" x14ac:dyDescent="0.3">
      <c r="G4283" s="470"/>
      <c r="H4283" s="470">
        <v>4276</v>
      </c>
      <c r="I4283" s="455">
        <f t="shared" ca="1" si="165"/>
        <v>13114226910117.816</v>
      </c>
      <c r="J4283" s="455">
        <f t="array" ref="J4283">IFERROR(INDEX('Retirement Calculator'!K:K,MATCH('Lorri 401b'!N4283,'Retirement Calculator'!A:A,0),0),0)</f>
        <v>0</v>
      </c>
      <c r="K4283" s="455">
        <f t="shared" ca="1" si="163"/>
        <v>54642612125.490898</v>
      </c>
      <c r="L4283" s="455">
        <f t="shared" ca="1" si="164"/>
        <v>13168869522243.307</v>
      </c>
      <c r="M4283" s="471">
        <f t="shared" si="166"/>
        <v>0.05</v>
      </c>
      <c r="N4283" s="475">
        <f t="shared" si="167"/>
        <v>181406</v>
      </c>
    </row>
    <row r="4284" spans="7:14" ht="11.25" customHeight="1" x14ac:dyDescent="0.3">
      <c r="G4284" s="470"/>
      <c r="H4284" s="470">
        <v>4277</v>
      </c>
      <c r="I4284" s="455">
        <f t="shared" ca="1" si="165"/>
        <v>13168869522243.307</v>
      </c>
      <c r="J4284" s="455">
        <f t="array" ref="J4284">IFERROR(INDEX('Retirement Calculator'!K:K,MATCH('Lorri 401b'!N4284,'Retirement Calculator'!A:A,0),0),0)</f>
        <v>0</v>
      </c>
      <c r="K4284" s="455">
        <f t="shared" ca="1" si="163"/>
        <v>54870289676.013779</v>
      </c>
      <c r="L4284" s="455">
        <f t="shared" ca="1" si="164"/>
        <v>13223739811919.32</v>
      </c>
      <c r="M4284" s="471">
        <f t="shared" si="166"/>
        <v>0.05</v>
      </c>
      <c r="N4284" s="475">
        <f t="shared" si="167"/>
        <v>181436</v>
      </c>
    </row>
    <row r="4285" spans="7:14" ht="11.25" customHeight="1" x14ac:dyDescent="0.3">
      <c r="G4285" s="470"/>
      <c r="H4285" s="470">
        <v>4278</v>
      </c>
      <c r="I4285" s="455">
        <f t="shared" ca="1" si="165"/>
        <v>13223739811919.32</v>
      </c>
      <c r="J4285" s="455">
        <f t="array" ref="J4285">IFERROR(INDEX('Retirement Calculator'!K:K,MATCH('Lorri 401b'!N4285,'Retirement Calculator'!A:A,0),0),0)</f>
        <v>0</v>
      </c>
      <c r="K4285" s="455">
        <f t="shared" ca="1" si="163"/>
        <v>55098915882.997169</v>
      </c>
      <c r="L4285" s="455">
        <f t="shared" ca="1" si="164"/>
        <v>13278838727802.318</v>
      </c>
      <c r="M4285" s="471">
        <f t="shared" si="166"/>
        <v>0.05</v>
      </c>
      <c r="N4285" s="475">
        <f t="shared" si="167"/>
        <v>181467</v>
      </c>
    </row>
    <row r="4286" spans="7:14" ht="11.25" customHeight="1" x14ac:dyDescent="0.3">
      <c r="G4286" s="470"/>
      <c r="H4286" s="470">
        <v>4279</v>
      </c>
      <c r="I4286" s="455">
        <f t="shared" ca="1" si="165"/>
        <v>13278838727802.318</v>
      </c>
      <c r="J4286" s="455">
        <f t="array" ref="J4286">IFERROR(INDEX('Retirement Calculator'!K:K,MATCH('Lorri 401b'!N4286,'Retirement Calculator'!A:A,0),0),0)</f>
        <v>0</v>
      </c>
      <c r="K4286" s="455">
        <f t="shared" ca="1" si="163"/>
        <v>55328494699.176323</v>
      </c>
      <c r="L4286" s="455">
        <f t="shared" ca="1" si="164"/>
        <v>13334167222501.494</v>
      </c>
      <c r="M4286" s="471">
        <f t="shared" si="166"/>
        <v>0.05</v>
      </c>
      <c r="N4286" s="475">
        <f t="shared" si="167"/>
        <v>181497</v>
      </c>
    </row>
    <row r="4287" spans="7:14" ht="11.25" customHeight="1" x14ac:dyDescent="0.3">
      <c r="G4287" s="470"/>
      <c r="H4287" s="470">
        <v>4280</v>
      </c>
      <c r="I4287" s="455">
        <f t="shared" ca="1" si="165"/>
        <v>13334167222501.494</v>
      </c>
      <c r="J4287" s="455">
        <f t="array" ref="J4287">IFERROR(INDEX('Retirement Calculator'!K:K,MATCH('Lorri 401b'!N4287,'Retirement Calculator'!A:A,0),0),0)</f>
        <v>0</v>
      </c>
      <c r="K4287" s="455">
        <f t="shared" ca="1" si="163"/>
        <v>55559030093.756226</v>
      </c>
      <c r="L4287" s="455">
        <f t="shared" ca="1" si="164"/>
        <v>13389726252595.25</v>
      </c>
      <c r="M4287" s="471">
        <f t="shared" si="166"/>
        <v>0.05</v>
      </c>
      <c r="N4287" s="475">
        <f t="shared" si="167"/>
        <v>181528</v>
      </c>
    </row>
    <row r="4288" spans="7:14" ht="11.25" customHeight="1" x14ac:dyDescent="0.3">
      <c r="G4288" s="470"/>
      <c r="H4288" s="470">
        <v>4281</v>
      </c>
      <c r="I4288" s="455">
        <f t="shared" ca="1" si="165"/>
        <v>13389726252595.25</v>
      </c>
      <c r="J4288" s="455">
        <f t="array" ref="J4288">IFERROR(INDEX('Retirement Calculator'!K:K,MATCH('Lorri 401b'!N4288,'Retirement Calculator'!A:A,0),0),0)</f>
        <v>0</v>
      </c>
      <c r="K4288" s="455">
        <f t="shared" ca="1" si="163"/>
        <v>55790526052.480209</v>
      </c>
      <c r="L4288" s="455">
        <f t="shared" ca="1" si="164"/>
        <v>13445516778647.73</v>
      </c>
      <c r="M4288" s="471">
        <f t="shared" si="166"/>
        <v>0.05</v>
      </c>
      <c r="N4288" s="475">
        <f t="shared" si="167"/>
        <v>181559</v>
      </c>
    </row>
    <row r="4289" spans="7:14" ht="11.25" customHeight="1" x14ac:dyDescent="0.3">
      <c r="G4289" s="470"/>
      <c r="H4289" s="470">
        <v>4282</v>
      </c>
      <c r="I4289" s="455">
        <f t="shared" ca="1" si="165"/>
        <v>13445516778647.73</v>
      </c>
      <c r="J4289" s="455">
        <f t="array" ref="J4289">IFERROR(INDEX('Retirement Calculator'!K:K,MATCH('Lorri 401b'!N4289,'Retirement Calculator'!A:A,0),0),0)</f>
        <v>0</v>
      </c>
      <c r="K4289" s="455">
        <f t="shared" ca="1" si="163"/>
        <v>56022986577.698875</v>
      </c>
      <c r="L4289" s="455">
        <f t="shared" ca="1" si="164"/>
        <v>13501539765225.43</v>
      </c>
      <c r="M4289" s="471">
        <f t="shared" si="166"/>
        <v>0.05</v>
      </c>
      <c r="N4289" s="475">
        <f t="shared" si="167"/>
        <v>181587</v>
      </c>
    </row>
    <row r="4290" spans="7:14" ht="11.25" customHeight="1" x14ac:dyDescent="0.3">
      <c r="G4290" s="470"/>
      <c r="H4290" s="470">
        <v>4283</v>
      </c>
      <c r="I4290" s="455">
        <f t="shared" ca="1" si="165"/>
        <v>13501539765225.43</v>
      </c>
      <c r="J4290" s="455">
        <f t="array" ref="J4290">IFERROR(INDEX('Retirement Calculator'!K:K,MATCH('Lorri 401b'!N4290,'Retirement Calculator'!A:A,0),0),0)</f>
        <v>0</v>
      </c>
      <c r="K4290" s="455">
        <f t="shared" ca="1" si="163"/>
        <v>56256415688.439293</v>
      </c>
      <c r="L4290" s="455">
        <f t="shared" ca="1" si="164"/>
        <v>13557796180913.869</v>
      </c>
      <c r="M4290" s="471">
        <f t="shared" si="166"/>
        <v>0.05</v>
      </c>
      <c r="N4290" s="475">
        <f t="shared" si="167"/>
        <v>181618</v>
      </c>
    </row>
    <row r="4291" spans="7:14" ht="11.25" customHeight="1" x14ac:dyDescent="0.3">
      <c r="G4291" s="470"/>
      <c r="H4291" s="470">
        <v>4284</v>
      </c>
      <c r="I4291" s="455">
        <f t="shared" ca="1" si="165"/>
        <v>13557796180913.869</v>
      </c>
      <c r="J4291" s="455">
        <f t="array" ref="J4291">IFERROR(INDEX('Retirement Calculator'!K:K,MATCH('Lorri 401b'!N4291,'Retirement Calculator'!A:A,0),0),0)</f>
        <v>0</v>
      </c>
      <c r="K4291" s="455">
        <f t="shared" ca="1" si="163"/>
        <v>56490817420.474457</v>
      </c>
      <c r="L4291" s="455">
        <f t="shared" ca="1" si="164"/>
        <v>13614286998334.344</v>
      </c>
      <c r="M4291" s="471">
        <f t="shared" si="166"/>
        <v>0.05</v>
      </c>
      <c r="N4291" s="475">
        <f t="shared" si="167"/>
        <v>181648</v>
      </c>
    </row>
    <row r="4292" spans="7:14" ht="11.25" customHeight="1" x14ac:dyDescent="0.3">
      <c r="G4292" s="470"/>
      <c r="H4292" s="470">
        <v>4285</v>
      </c>
      <c r="I4292" s="455">
        <f t="shared" ca="1" si="165"/>
        <v>13614286998334.344</v>
      </c>
      <c r="J4292" s="455">
        <f t="array" ref="J4292">IFERROR(INDEX('Retirement Calculator'!K:K,MATCH('Lorri 401b'!N4292,'Retirement Calculator'!A:A,0),0),0)</f>
        <v>0</v>
      </c>
      <c r="K4292" s="455">
        <f t="shared" ca="1" si="163"/>
        <v>56726195826.393097</v>
      </c>
      <c r="L4292" s="455">
        <f t="shared" ca="1" si="164"/>
        <v>13671013194160.736</v>
      </c>
      <c r="M4292" s="471">
        <f t="shared" si="166"/>
        <v>0.05</v>
      </c>
      <c r="N4292" s="475">
        <f t="shared" si="167"/>
        <v>181679</v>
      </c>
    </row>
    <row r="4293" spans="7:14" ht="11.25" customHeight="1" x14ac:dyDescent="0.3">
      <c r="G4293" s="470"/>
      <c r="H4293" s="470">
        <v>4286</v>
      </c>
      <c r="I4293" s="455">
        <f t="shared" ca="1" si="165"/>
        <v>13671013194160.736</v>
      </c>
      <c r="J4293" s="455">
        <f t="array" ref="J4293">IFERROR(INDEX('Retirement Calculator'!K:K,MATCH('Lorri 401b'!N4293,'Retirement Calculator'!A:A,0),0),0)</f>
        <v>0</v>
      </c>
      <c r="K4293" s="455">
        <f t="shared" ca="1" si="163"/>
        <v>56962554975.669731</v>
      </c>
      <c r="L4293" s="455">
        <f t="shared" ca="1" si="164"/>
        <v>13727975749136.406</v>
      </c>
      <c r="M4293" s="471">
        <f t="shared" si="166"/>
        <v>0.05</v>
      </c>
      <c r="N4293" s="475">
        <f t="shared" si="167"/>
        <v>181709</v>
      </c>
    </row>
    <row r="4294" spans="7:14" ht="11.25" customHeight="1" x14ac:dyDescent="0.3">
      <c r="G4294" s="470"/>
      <c r="H4294" s="470">
        <v>4287</v>
      </c>
      <c r="I4294" s="455">
        <f t="shared" ca="1" si="165"/>
        <v>13727975749136.406</v>
      </c>
      <c r="J4294" s="455">
        <f t="array" ref="J4294">IFERROR(INDEX('Retirement Calculator'!K:K,MATCH('Lorri 401b'!N4294,'Retirement Calculator'!A:A,0),0),0)</f>
        <v>0</v>
      </c>
      <c r="K4294" s="455">
        <f t="shared" ca="1" si="163"/>
        <v>57199898954.735023</v>
      </c>
      <c r="L4294" s="455">
        <f t="shared" ca="1" si="164"/>
        <v>13785175648091.141</v>
      </c>
      <c r="M4294" s="471">
        <f t="shared" si="166"/>
        <v>0.05</v>
      </c>
      <c r="N4294" s="475">
        <f t="shared" si="167"/>
        <v>181740</v>
      </c>
    </row>
    <row r="4295" spans="7:14" ht="11.25" customHeight="1" x14ac:dyDescent="0.3">
      <c r="G4295" s="470"/>
      <c r="H4295" s="470">
        <v>4288</v>
      </c>
      <c r="I4295" s="455">
        <f t="shared" ca="1" si="165"/>
        <v>13785175648091.141</v>
      </c>
      <c r="J4295" s="455">
        <f t="array" ref="J4295">IFERROR(INDEX('Retirement Calculator'!K:K,MATCH('Lorri 401b'!N4295,'Retirement Calculator'!A:A,0),0),0)</f>
        <v>0</v>
      </c>
      <c r="K4295" s="455">
        <f t="shared" ca="1" si="163"/>
        <v>57438231867.046417</v>
      </c>
      <c r="L4295" s="455">
        <f t="shared" ca="1" si="164"/>
        <v>13842613879958.188</v>
      </c>
      <c r="M4295" s="471">
        <f t="shared" si="166"/>
        <v>0.05</v>
      </c>
      <c r="N4295" s="475">
        <f t="shared" si="167"/>
        <v>181771</v>
      </c>
    </row>
    <row r="4296" spans="7:14" ht="11.25" customHeight="1" x14ac:dyDescent="0.3">
      <c r="G4296" s="470"/>
      <c r="H4296" s="470">
        <v>4289</v>
      </c>
      <c r="I4296" s="455">
        <f t="shared" ca="1" si="165"/>
        <v>13842613879958.188</v>
      </c>
      <c r="J4296" s="455">
        <f t="array" ref="J4296">IFERROR(INDEX('Retirement Calculator'!K:K,MATCH('Lorri 401b'!N4296,'Retirement Calculator'!A:A,0),0),0)</f>
        <v>0</v>
      </c>
      <c r="K4296" s="455">
        <f t="shared" ca="1" si="163"/>
        <v>57677557833.159111</v>
      </c>
      <c r="L4296" s="455">
        <f t="shared" ca="1" si="164"/>
        <v>13900291437791.346</v>
      </c>
      <c r="M4296" s="471">
        <f t="shared" si="166"/>
        <v>0.05</v>
      </c>
      <c r="N4296" s="475">
        <f t="shared" si="167"/>
        <v>181801</v>
      </c>
    </row>
    <row r="4297" spans="7:14" ht="11.25" customHeight="1" x14ac:dyDescent="0.3">
      <c r="G4297" s="470"/>
      <c r="H4297" s="470">
        <v>4290</v>
      </c>
      <c r="I4297" s="455">
        <f t="shared" ca="1" si="165"/>
        <v>13900291437791.346</v>
      </c>
      <c r="J4297" s="455">
        <f t="array" ref="J4297">IFERROR(INDEX('Retirement Calculator'!K:K,MATCH('Lorri 401b'!N4297,'Retirement Calculator'!A:A,0),0),0)</f>
        <v>0</v>
      </c>
      <c r="K4297" s="455">
        <f t="shared" ca="1" si="163"/>
        <v>57917880990.797264</v>
      </c>
      <c r="L4297" s="455">
        <f t="shared" ca="1" si="164"/>
        <v>13958209318782.143</v>
      </c>
      <c r="M4297" s="471">
        <f t="shared" si="166"/>
        <v>0.05</v>
      </c>
      <c r="N4297" s="475">
        <f t="shared" si="167"/>
        <v>181832</v>
      </c>
    </row>
    <row r="4298" spans="7:14" ht="11.25" customHeight="1" x14ac:dyDescent="0.3">
      <c r="G4298" s="470"/>
      <c r="H4298" s="470">
        <v>4291</v>
      </c>
      <c r="I4298" s="455">
        <f t="shared" ca="1" si="165"/>
        <v>13958209318782.143</v>
      </c>
      <c r="J4298" s="455">
        <f t="array" ref="J4298">IFERROR(INDEX('Retirement Calculator'!K:K,MATCH('Lorri 401b'!N4298,'Retirement Calculator'!A:A,0),0),0)</f>
        <v>0</v>
      </c>
      <c r="K4298" s="455">
        <f t="shared" ca="1" si="163"/>
        <v>58159205494.925591</v>
      </c>
      <c r="L4298" s="455">
        <f t="shared" ca="1" si="164"/>
        <v>14016368524277.068</v>
      </c>
      <c r="M4298" s="471">
        <f t="shared" si="166"/>
        <v>0.05</v>
      </c>
      <c r="N4298" s="475">
        <f t="shared" si="167"/>
        <v>181862</v>
      </c>
    </row>
    <row r="4299" spans="7:14" ht="11.25" customHeight="1" x14ac:dyDescent="0.3">
      <c r="G4299" s="470"/>
      <c r="H4299" s="470">
        <v>4292</v>
      </c>
      <c r="I4299" s="455">
        <f t="shared" ca="1" si="165"/>
        <v>14016368524277.068</v>
      </c>
      <c r="J4299" s="455">
        <f t="array" ref="J4299">IFERROR(INDEX('Retirement Calculator'!K:K,MATCH('Lorri 401b'!N4299,'Retirement Calculator'!A:A,0),0),0)</f>
        <v>0</v>
      </c>
      <c r="K4299" s="455">
        <f t="shared" ca="1" si="163"/>
        <v>58401535517.821114</v>
      </c>
      <c r="L4299" s="455">
        <f t="shared" ca="1" si="164"/>
        <v>14074770059794.889</v>
      </c>
      <c r="M4299" s="471">
        <f t="shared" si="166"/>
        <v>0.05</v>
      </c>
      <c r="N4299" s="475">
        <f t="shared" si="167"/>
        <v>181893</v>
      </c>
    </row>
    <row r="4300" spans="7:14" ht="11.25" customHeight="1" x14ac:dyDescent="0.3">
      <c r="G4300" s="470"/>
      <c r="H4300" s="470">
        <v>4293</v>
      </c>
      <c r="I4300" s="455">
        <f t="shared" ca="1" si="165"/>
        <v>14074770059794.889</v>
      </c>
      <c r="J4300" s="455">
        <f t="array" ref="J4300">IFERROR(INDEX('Retirement Calculator'!K:K,MATCH('Lorri 401b'!N4300,'Retirement Calculator'!A:A,0),0),0)</f>
        <v>0</v>
      </c>
      <c r="K4300" s="455">
        <f t="shared" ca="1" si="163"/>
        <v>58644875249.14537</v>
      </c>
      <c r="L4300" s="455">
        <f t="shared" ca="1" si="164"/>
        <v>14133414935044.033</v>
      </c>
      <c r="M4300" s="471">
        <f t="shared" si="166"/>
        <v>0.05</v>
      </c>
      <c r="N4300" s="475">
        <f t="shared" si="167"/>
        <v>181924</v>
      </c>
    </row>
    <row r="4301" spans="7:14" ht="11.25" customHeight="1" x14ac:dyDescent="0.3">
      <c r="G4301" s="470"/>
      <c r="H4301" s="470">
        <v>4294</v>
      </c>
      <c r="I4301" s="455">
        <f t="shared" ca="1" si="165"/>
        <v>14133414935044.033</v>
      </c>
      <c r="J4301" s="455">
        <f t="array" ref="J4301">IFERROR(INDEX('Retirement Calculator'!K:K,MATCH('Lorri 401b'!N4301,'Retirement Calculator'!A:A,0),0),0)</f>
        <v>0</v>
      </c>
      <c r="K4301" s="455">
        <f t="shared" ca="1" si="163"/>
        <v>58889228896.016815</v>
      </c>
      <c r="L4301" s="455">
        <f t="shared" ca="1" si="164"/>
        <v>14192304163940.051</v>
      </c>
      <c r="M4301" s="471">
        <f t="shared" si="166"/>
        <v>0.05</v>
      </c>
      <c r="N4301" s="475">
        <f t="shared" si="167"/>
        <v>181952</v>
      </c>
    </row>
    <row r="4302" spans="7:14" ht="11.25" customHeight="1" x14ac:dyDescent="0.3">
      <c r="G4302" s="470"/>
      <c r="H4302" s="470">
        <v>4295</v>
      </c>
      <c r="I4302" s="455">
        <f t="shared" ca="1" si="165"/>
        <v>14192304163940.051</v>
      </c>
      <c r="J4302" s="455">
        <f t="array" ref="J4302">IFERROR(INDEX('Retirement Calculator'!K:K,MATCH('Lorri 401b'!N4302,'Retirement Calculator'!A:A,0),0),0)</f>
        <v>0</v>
      </c>
      <c r="K4302" s="455">
        <f t="shared" ca="1" si="163"/>
        <v>59134600683.083542</v>
      </c>
      <c r="L4302" s="455">
        <f t="shared" ca="1" si="164"/>
        <v>14251438764623.135</v>
      </c>
      <c r="M4302" s="471">
        <f t="shared" si="166"/>
        <v>0.05</v>
      </c>
      <c r="N4302" s="475">
        <f t="shared" si="167"/>
        <v>181983</v>
      </c>
    </row>
    <row r="4303" spans="7:14" ht="11.25" customHeight="1" x14ac:dyDescent="0.3">
      <c r="G4303" s="470"/>
      <c r="H4303" s="470">
        <v>4296</v>
      </c>
      <c r="I4303" s="455">
        <f t="shared" ca="1" si="165"/>
        <v>14251438764623.135</v>
      </c>
      <c r="J4303" s="455">
        <f t="array" ref="J4303">IFERROR(INDEX('Retirement Calculator'!K:K,MATCH('Lorri 401b'!N4303,'Retirement Calculator'!A:A,0),0),0)</f>
        <v>0</v>
      </c>
      <c r="K4303" s="455">
        <f t="shared" ca="1" si="163"/>
        <v>59380994852.596397</v>
      </c>
      <c r="L4303" s="455">
        <f t="shared" ca="1" si="164"/>
        <v>14310819759475.73</v>
      </c>
      <c r="M4303" s="471">
        <f t="shared" si="166"/>
        <v>0.05</v>
      </c>
      <c r="N4303" s="475">
        <f t="shared" si="167"/>
        <v>182013</v>
      </c>
    </row>
    <row r="4304" spans="7:14" ht="11.25" customHeight="1" x14ac:dyDescent="0.3">
      <c r="G4304" s="470"/>
      <c r="H4304" s="470">
        <v>4297</v>
      </c>
      <c r="I4304" s="455">
        <f t="shared" ca="1" si="165"/>
        <v>14310819759475.73</v>
      </c>
      <c r="J4304" s="455">
        <f t="array" ref="J4304">IFERROR(INDEX('Retirement Calculator'!K:K,MATCH('Lorri 401b'!N4304,'Retirement Calculator'!A:A,0),0),0)</f>
        <v>0</v>
      </c>
      <c r="K4304" s="455">
        <f t="shared" ca="1" si="163"/>
        <v>59628415664.482208</v>
      </c>
      <c r="L4304" s="455">
        <f t="shared" ca="1" si="164"/>
        <v>14370448175140.213</v>
      </c>
      <c r="M4304" s="471">
        <f t="shared" si="166"/>
        <v>0.05</v>
      </c>
      <c r="N4304" s="475">
        <f t="shared" si="167"/>
        <v>182044</v>
      </c>
    </row>
    <row r="4305" spans="7:14" ht="11.25" customHeight="1" x14ac:dyDescent="0.3">
      <c r="G4305" s="470"/>
      <c r="H4305" s="470">
        <v>4298</v>
      </c>
      <c r="I4305" s="455">
        <f t="shared" ca="1" si="165"/>
        <v>14370448175140.213</v>
      </c>
      <c r="J4305" s="455">
        <f t="array" ref="J4305">IFERROR(INDEX('Retirement Calculator'!K:K,MATCH('Lorri 401b'!N4305,'Retirement Calculator'!A:A,0),0),0)</f>
        <v>0</v>
      </c>
      <c r="K4305" s="455">
        <f t="shared" ca="1" si="163"/>
        <v>59876867396.417564</v>
      </c>
      <c r="L4305" s="455">
        <f t="shared" ca="1" si="164"/>
        <v>14430325042536.631</v>
      </c>
      <c r="M4305" s="471">
        <f t="shared" si="166"/>
        <v>0.05</v>
      </c>
      <c r="N4305" s="475">
        <f t="shared" si="167"/>
        <v>182074</v>
      </c>
    </row>
    <row r="4306" spans="7:14" ht="11.25" customHeight="1" x14ac:dyDescent="0.3">
      <c r="G4306" s="470"/>
      <c r="H4306" s="470">
        <v>4299</v>
      </c>
      <c r="I4306" s="455">
        <f t="shared" ca="1" si="165"/>
        <v>14430325042536.631</v>
      </c>
      <c r="J4306" s="455">
        <f t="array" ref="J4306">IFERROR(INDEX('Retirement Calculator'!K:K,MATCH('Lorri 401b'!N4306,'Retirement Calculator'!A:A,0),0),0)</f>
        <v>0</v>
      </c>
      <c r="K4306" s="455">
        <f t="shared" ca="1" si="163"/>
        <v>60126354343.902634</v>
      </c>
      <c r="L4306" s="455">
        <f t="shared" ca="1" si="164"/>
        <v>14490451396880.533</v>
      </c>
      <c r="M4306" s="471">
        <f t="shared" si="166"/>
        <v>0.05</v>
      </c>
      <c r="N4306" s="475">
        <f t="shared" si="167"/>
        <v>182105</v>
      </c>
    </row>
    <row r="4307" spans="7:14" ht="11.25" customHeight="1" x14ac:dyDescent="0.3">
      <c r="G4307" s="470"/>
      <c r="H4307" s="470">
        <v>4300</v>
      </c>
      <c r="I4307" s="455">
        <f t="shared" ca="1" si="165"/>
        <v>14490451396880.533</v>
      </c>
      <c r="J4307" s="455">
        <f t="array" ref="J4307">IFERROR(INDEX('Retirement Calculator'!K:K,MATCH('Lorri 401b'!N4307,'Retirement Calculator'!A:A,0),0),0)</f>
        <v>0</v>
      </c>
      <c r="K4307" s="455">
        <f t="shared" ca="1" si="163"/>
        <v>60376880820.335548</v>
      </c>
      <c r="L4307" s="455">
        <f t="shared" ca="1" si="164"/>
        <v>14550828277700.869</v>
      </c>
      <c r="M4307" s="471">
        <f t="shared" si="166"/>
        <v>0.05</v>
      </c>
      <c r="N4307" s="475">
        <f t="shared" si="167"/>
        <v>182136</v>
      </c>
    </row>
    <row r="4308" spans="7:14" ht="11.25" customHeight="1" x14ac:dyDescent="0.3">
      <c r="G4308" s="470"/>
      <c r="H4308" s="470">
        <v>4301</v>
      </c>
      <c r="I4308" s="455">
        <f t="shared" ca="1" si="165"/>
        <v>14550828277700.869</v>
      </c>
      <c r="J4308" s="455">
        <f t="array" ref="J4308">IFERROR(INDEX('Retirement Calculator'!K:K,MATCH('Lorri 401b'!N4308,'Retirement Calculator'!A:A,0),0),0)</f>
        <v>0</v>
      </c>
      <c r="K4308" s="455">
        <f t="shared" ca="1" si="163"/>
        <v>60628451157.086945</v>
      </c>
      <c r="L4308" s="455">
        <f t="shared" ca="1" si="164"/>
        <v>14611456728857.957</v>
      </c>
      <c r="M4308" s="471">
        <f t="shared" si="166"/>
        <v>0.05</v>
      </c>
      <c r="N4308" s="475">
        <f t="shared" si="167"/>
        <v>182166</v>
      </c>
    </row>
    <row r="4309" spans="7:14" ht="11.25" customHeight="1" x14ac:dyDescent="0.3">
      <c r="G4309" s="470"/>
      <c r="H4309" s="470">
        <v>4302</v>
      </c>
      <c r="I4309" s="455">
        <f t="shared" ca="1" si="165"/>
        <v>14611456728857.957</v>
      </c>
      <c r="J4309" s="455">
        <f t="array" ref="J4309">IFERROR(INDEX('Retirement Calculator'!K:K,MATCH('Lorri 401b'!N4309,'Retirement Calculator'!A:A,0),0),0)</f>
        <v>0</v>
      </c>
      <c r="K4309" s="455">
        <f t="shared" ca="1" si="163"/>
        <v>60881069703.574821</v>
      </c>
      <c r="L4309" s="455">
        <f t="shared" ca="1" si="164"/>
        <v>14672337798561.531</v>
      </c>
      <c r="M4309" s="471">
        <f t="shared" si="166"/>
        <v>0.05</v>
      </c>
      <c r="N4309" s="475">
        <f t="shared" si="167"/>
        <v>182197</v>
      </c>
    </row>
    <row r="4310" spans="7:14" ht="11.25" customHeight="1" x14ac:dyDescent="0.3">
      <c r="G4310" s="470"/>
      <c r="H4310" s="470">
        <v>4303</v>
      </c>
      <c r="I4310" s="455">
        <f t="shared" ca="1" si="165"/>
        <v>14672337798561.531</v>
      </c>
      <c r="J4310" s="455">
        <f t="array" ref="J4310">IFERROR(INDEX('Retirement Calculator'!K:K,MATCH('Lorri 401b'!N4310,'Retirement Calculator'!A:A,0),0),0)</f>
        <v>0</v>
      </c>
      <c r="K4310" s="455">
        <f t="shared" ca="1" si="163"/>
        <v>61134740827.339722</v>
      </c>
      <c r="L4310" s="455">
        <f t="shared" ca="1" si="164"/>
        <v>14733472539388.871</v>
      </c>
      <c r="M4310" s="471">
        <f t="shared" si="166"/>
        <v>0.05</v>
      </c>
      <c r="N4310" s="475">
        <f t="shared" si="167"/>
        <v>182227</v>
      </c>
    </row>
    <row r="4311" spans="7:14" ht="11.25" customHeight="1" x14ac:dyDescent="0.3">
      <c r="G4311" s="470"/>
      <c r="H4311" s="470">
        <v>4304</v>
      </c>
      <c r="I4311" s="455">
        <f t="shared" ca="1" si="165"/>
        <v>14733472539388.871</v>
      </c>
      <c r="J4311" s="455">
        <f t="array" ref="J4311">IFERROR(INDEX('Retirement Calculator'!K:K,MATCH('Lorri 401b'!N4311,'Retirement Calculator'!A:A,0),0),0)</f>
        <v>0</v>
      </c>
      <c r="K4311" s="455">
        <f t="shared" ca="1" si="163"/>
        <v>61389468914.120293</v>
      </c>
      <c r="L4311" s="455">
        <f t="shared" ca="1" si="164"/>
        <v>14794862008302.992</v>
      </c>
      <c r="M4311" s="471">
        <f t="shared" si="166"/>
        <v>0.05</v>
      </c>
      <c r="N4311" s="475">
        <f t="shared" si="167"/>
        <v>182258</v>
      </c>
    </row>
    <row r="4312" spans="7:14" ht="11.25" customHeight="1" x14ac:dyDescent="0.3">
      <c r="G4312" s="470"/>
      <c r="H4312" s="470">
        <v>4305</v>
      </c>
      <c r="I4312" s="455">
        <f t="shared" ca="1" si="165"/>
        <v>14794862008302.992</v>
      </c>
      <c r="J4312" s="455">
        <f t="array" ref="J4312">IFERROR(INDEX('Retirement Calculator'!K:K,MATCH('Lorri 401b'!N4312,'Retirement Calculator'!A:A,0),0),0)</f>
        <v>0</v>
      </c>
      <c r="K4312" s="455">
        <f t="shared" ca="1" si="163"/>
        <v>61645258367.929131</v>
      </c>
      <c r="L4312" s="455">
        <f t="shared" ca="1" si="164"/>
        <v>14856507266670.922</v>
      </c>
      <c r="M4312" s="471">
        <f t="shared" si="166"/>
        <v>0.05</v>
      </c>
      <c r="N4312" s="475">
        <f t="shared" si="167"/>
        <v>182289</v>
      </c>
    </row>
    <row r="4313" spans="7:14" ht="11.25" customHeight="1" x14ac:dyDescent="0.3">
      <c r="G4313" s="470"/>
      <c r="H4313" s="470">
        <v>4306</v>
      </c>
      <c r="I4313" s="455">
        <f t="shared" ca="1" si="165"/>
        <v>14856507266670.922</v>
      </c>
      <c r="J4313" s="455">
        <f t="array" ref="J4313">IFERROR(INDEX('Retirement Calculator'!K:K,MATCH('Lorri 401b'!N4313,'Retirement Calculator'!A:A,0),0),0)</f>
        <v>0</v>
      </c>
      <c r="K4313" s="455">
        <f t="shared" ca="1" si="163"/>
        <v>61902113611.12883</v>
      </c>
      <c r="L4313" s="455">
        <f t="shared" ca="1" si="164"/>
        <v>14918409380282.051</v>
      </c>
      <c r="M4313" s="471">
        <f t="shared" si="166"/>
        <v>0.05</v>
      </c>
      <c r="N4313" s="475">
        <f t="shared" si="167"/>
        <v>182317</v>
      </c>
    </row>
    <row r="4314" spans="7:14" ht="11.25" customHeight="1" x14ac:dyDescent="0.3">
      <c r="G4314" s="470"/>
      <c r="H4314" s="470">
        <v>4307</v>
      </c>
      <c r="I4314" s="455">
        <f t="shared" ca="1" si="165"/>
        <v>14918409380282.051</v>
      </c>
      <c r="J4314" s="455">
        <f t="array" ref="J4314">IFERROR(INDEX('Retirement Calculator'!K:K,MATCH('Lorri 401b'!N4314,'Retirement Calculator'!A:A,0),0),0)</f>
        <v>0</v>
      </c>
      <c r="K4314" s="455">
        <f t="shared" ca="1" si="163"/>
        <v>62160039084.508553</v>
      </c>
      <c r="L4314" s="455">
        <f t="shared" ca="1" si="164"/>
        <v>14980569419366.559</v>
      </c>
      <c r="M4314" s="471">
        <f t="shared" si="166"/>
        <v>0.05</v>
      </c>
      <c r="N4314" s="475">
        <f t="shared" si="167"/>
        <v>182348</v>
      </c>
    </row>
    <row r="4315" spans="7:14" ht="11.25" customHeight="1" x14ac:dyDescent="0.3">
      <c r="G4315" s="470"/>
      <c r="H4315" s="470">
        <v>4308</v>
      </c>
      <c r="I4315" s="455">
        <f t="shared" ca="1" si="165"/>
        <v>14980569419366.559</v>
      </c>
      <c r="J4315" s="455">
        <f t="array" ref="J4315">IFERROR(INDEX('Retirement Calculator'!K:K,MATCH('Lorri 401b'!N4315,'Retirement Calculator'!A:A,0),0),0)</f>
        <v>0</v>
      </c>
      <c r="K4315" s="455">
        <f t="shared" ca="1" si="163"/>
        <v>62419039247.360664</v>
      </c>
      <c r="L4315" s="455">
        <f t="shared" ca="1" si="164"/>
        <v>15042988458613.92</v>
      </c>
      <c r="M4315" s="471">
        <f t="shared" si="166"/>
        <v>0.05</v>
      </c>
      <c r="N4315" s="475">
        <f t="shared" si="167"/>
        <v>182378</v>
      </c>
    </row>
    <row r="4316" spans="7:14" ht="11.25" customHeight="1" x14ac:dyDescent="0.3">
      <c r="G4316" s="470"/>
      <c r="H4316" s="470">
        <v>4309</v>
      </c>
      <c r="I4316" s="455">
        <f t="shared" ca="1" si="165"/>
        <v>15042988458613.92</v>
      </c>
      <c r="J4316" s="455">
        <f t="array" ref="J4316">IFERROR(INDEX('Retirement Calculator'!K:K,MATCH('Lorri 401b'!N4316,'Retirement Calculator'!A:A,0),0),0)</f>
        <v>0</v>
      </c>
      <c r="K4316" s="455">
        <f t="shared" ca="1" si="163"/>
        <v>62679118577.557991</v>
      </c>
      <c r="L4316" s="455">
        <f t="shared" ca="1" si="164"/>
        <v>15105667577191.479</v>
      </c>
      <c r="M4316" s="471">
        <f t="shared" si="166"/>
        <v>0.05</v>
      </c>
      <c r="N4316" s="475">
        <f t="shared" si="167"/>
        <v>182409</v>
      </c>
    </row>
    <row r="4317" spans="7:14" ht="11.25" customHeight="1" x14ac:dyDescent="0.3">
      <c r="G4317" s="470"/>
      <c r="H4317" s="470">
        <v>4310</v>
      </c>
      <c r="I4317" s="455">
        <f t="shared" ca="1" si="165"/>
        <v>15105667577191.479</v>
      </c>
      <c r="J4317" s="455">
        <f t="array" ref="J4317">IFERROR(INDEX('Retirement Calculator'!K:K,MATCH('Lorri 401b'!N4317,'Retirement Calculator'!A:A,0),0),0)</f>
        <v>0</v>
      </c>
      <c r="K4317" s="455">
        <f t="shared" ca="1" si="163"/>
        <v>62940281571.631157</v>
      </c>
      <c r="L4317" s="455">
        <f t="shared" ca="1" si="164"/>
        <v>15168607858763.109</v>
      </c>
      <c r="M4317" s="471">
        <f t="shared" si="166"/>
        <v>0.05</v>
      </c>
      <c r="N4317" s="475">
        <f t="shared" si="167"/>
        <v>182439</v>
      </c>
    </row>
    <row r="4318" spans="7:14" ht="11.25" customHeight="1" x14ac:dyDescent="0.3">
      <c r="G4318" s="470"/>
      <c r="H4318" s="470">
        <v>4311</v>
      </c>
      <c r="I4318" s="455">
        <f t="shared" ca="1" si="165"/>
        <v>15168607858763.109</v>
      </c>
      <c r="J4318" s="455">
        <f t="array" ref="J4318">IFERROR(INDEX('Retirement Calculator'!K:K,MATCH('Lorri 401b'!N4318,'Retirement Calculator'!A:A,0),0),0)</f>
        <v>0</v>
      </c>
      <c r="K4318" s="455">
        <f t="shared" ca="1" si="163"/>
        <v>63202532744.846291</v>
      </c>
      <c r="L4318" s="455">
        <f t="shared" ca="1" si="164"/>
        <v>15231810391507.955</v>
      </c>
      <c r="M4318" s="471">
        <f t="shared" si="166"/>
        <v>0.05</v>
      </c>
      <c r="N4318" s="475">
        <f t="shared" si="167"/>
        <v>182470</v>
      </c>
    </row>
    <row r="4319" spans="7:14" ht="11.25" customHeight="1" x14ac:dyDescent="0.3">
      <c r="G4319" s="470"/>
      <c r="H4319" s="470">
        <v>4312</v>
      </c>
      <c r="I4319" s="455">
        <f t="shared" ca="1" si="165"/>
        <v>15231810391507.955</v>
      </c>
      <c r="J4319" s="455">
        <f t="array" ref="J4319">IFERROR(INDEX('Retirement Calculator'!K:K,MATCH('Lorri 401b'!N4319,'Retirement Calculator'!A:A,0),0),0)</f>
        <v>0</v>
      </c>
      <c r="K4319" s="455">
        <f t="shared" ca="1" si="163"/>
        <v>63465876631.283142</v>
      </c>
      <c r="L4319" s="455">
        <f t="shared" ca="1" si="164"/>
        <v>15295276268139.238</v>
      </c>
      <c r="M4319" s="471">
        <f t="shared" si="166"/>
        <v>0.05</v>
      </c>
      <c r="N4319" s="475">
        <f t="shared" si="167"/>
        <v>182501</v>
      </c>
    </row>
    <row r="4320" spans="7:14" ht="11.25" customHeight="1" x14ac:dyDescent="0.3">
      <c r="G4320" s="470"/>
      <c r="H4320" s="470">
        <v>4313</v>
      </c>
      <c r="I4320" s="455">
        <f t="shared" ca="1" si="165"/>
        <v>15295276268139.238</v>
      </c>
      <c r="J4320" s="455">
        <f t="array" ref="J4320">IFERROR(INDEX('Retirement Calculator'!K:K,MATCH('Lorri 401b'!N4320,'Retirement Calculator'!A:A,0),0),0)</f>
        <v>0</v>
      </c>
      <c r="K4320" s="455">
        <f t="shared" ca="1" si="163"/>
        <v>63730317783.91349</v>
      </c>
      <c r="L4320" s="455">
        <f t="shared" ca="1" si="164"/>
        <v>15359006585923.152</v>
      </c>
      <c r="M4320" s="471">
        <f t="shared" si="166"/>
        <v>0.05</v>
      </c>
      <c r="N4320" s="475">
        <f t="shared" si="167"/>
        <v>182531</v>
      </c>
    </row>
    <row r="4321" spans="7:14" ht="11.25" customHeight="1" x14ac:dyDescent="0.3">
      <c r="G4321" s="470"/>
      <c r="H4321" s="470">
        <v>4314</v>
      </c>
      <c r="I4321" s="455">
        <f t="shared" ca="1" si="165"/>
        <v>15359006585923.152</v>
      </c>
      <c r="J4321" s="455">
        <f t="array" ref="J4321">IFERROR(INDEX('Retirement Calculator'!K:K,MATCH('Lorri 401b'!N4321,'Retirement Calculator'!A:A,0),0),0)</f>
        <v>0</v>
      </c>
      <c r="K4321" s="455">
        <f t="shared" ca="1" si="163"/>
        <v>63995860774.679802</v>
      </c>
      <c r="L4321" s="455">
        <f t="shared" ca="1" si="164"/>
        <v>15423002446697.832</v>
      </c>
      <c r="M4321" s="471">
        <f t="shared" si="166"/>
        <v>0.05</v>
      </c>
      <c r="N4321" s="475">
        <f t="shared" si="167"/>
        <v>182562</v>
      </c>
    </row>
    <row r="4322" spans="7:14" ht="11.25" customHeight="1" x14ac:dyDescent="0.3">
      <c r="G4322" s="470"/>
      <c r="H4322" s="470">
        <v>4315</v>
      </c>
      <c r="I4322" s="455">
        <f t="shared" ca="1" si="165"/>
        <v>15423002446697.832</v>
      </c>
      <c r="J4322" s="455">
        <f t="array" ref="J4322">IFERROR(INDEX('Retirement Calculator'!K:K,MATCH('Lorri 401b'!N4322,'Retirement Calculator'!A:A,0),0),0)</f>
        <v>0</v>
      </c>
      <c r="K4322" s="455">
        <f t="shared" ca="1" si="163"/>
        <v>64262510194.57431</v>
      </c>
      <c r="L4322" s="455">
        <f t="shared" ca="1" si="164"/>
        <v>15487264956892.406</v>
      </c>
      <c r="M4322" s="471">
        <f t="shared" si="166"/>
        <v>0.05</v>
      </c>
      <c r="N4322" s="475">
        <f t="shared" si="167"/>
        <v>182592</v>
      </c>
    </row>
    <row r="4323" spans="7:14" ht="11.25" customHeight="1" x14ac:dyDescent="0.3">
      <c r="G4323" s="470"/>
      <c r="H4323" s="470">
        <v>4316</v>
      </c>
      <c r="I4323" s="455">
        <f t="shared" ca="1" si="165"/>
        <v>15487264956892.406</v>
      </c>
      <c r="J4323" s="455">
        <f t="array" ref="J4323">IFERROR(INDEX('Retirement Calculator'!K:K,MATCH('Lorri 401b'!N4323,'Retirement Calculator'!A:A,0),0),0)</f>
        <v>0</v>
      </c>
      <c r="K4323" s="455">
        <f t="shared" ca="1" si="163"/>
        <v>64530270653.718361</v>
      </c>
      <c r="L4323" s="455">
        <f t="shared" ca="1" si="164"/>
        <v>15551795227546.125</v>
      </c>
      <c r="M4323" s="471">
        <f t="shared" si="166"/>
        <v>0.05</v>
      </c>
      <c r="N4323" s="475">
        <f t="shared" si="167"/>
        <v>182623</v>
      </c>
    </row>
    <row r="4324" spans="7:14" ht="11.25" customHeight="1" x14ac:dyDescent="0.3">
      <c r="G4324" s="470"/>
      <c r="H4324" s="470">
        <v>4317</v>
      </c>
      <c r="I4324" s="455">
        <f t="shared" ca="1" si="165"/>
        <v>15551795227546.125</v>
      </c>
      <c r="J4324" s="455">
        <f t="array" ref="J4324">IFERROR(INDEX('Retirement Calculator'!K:K,MATCH('Lorri 401b'!N4324,'Retirement Calculator'!A:A,0),0),0)</f>
        <v>0</v>
      </c>
      <c r="K4324" s="455">
        <f t="shared" ca="1" si="163"/>
        <v>64799146781.442192</v>
      </c>
      <c r="L4324" s="455">
        <f t="shared" ca="1" si="164"/>
        <v>15616594374327.566</v>
      </c>
      <c r="M4324" s="471">
        <f t="shared" si="166"/>
        <v>0.05</v>
      </c>
      <c r="N4324" s="475">
        <f t="shared" si="167"/>
        <v>182654</v>
      </c>
    </row>
    <row r="4325" spans="7:14" ht="11.25" customHeight="1" x14ac:dyDescent="0.3">
      <c r="G4325" s="470"/>
      <c r="H4325" s="470">
        <v>4318</v>
      </c>
      <c r="I4325" s="455">
        <f t="shared" ca="1" si="165"/>
        <v>15616594374327.566</v>
      </c>
      <c r="J4325" s="455">
        <f t="array" ref="J4325">IFERROR(INDEX('Retirement Calculator'!K:K,MATCH('Lorri 401b'!N4325,'Retirement Calculator'!A:A,0),0),0)</f>
        <v>0</v>
      </c>
      <c r="K4325" s="455">
        <f t="shared" ca="1" si="163"/>
        <v>65069143226.364853</v>
      </c>
      <c r="L4325" s="455">
        <f t="shared" ca="1" si="164"/>
        <v>15681663517553.932</v>
      </c>
      <c r="M4325" s="471">
        <f t="shared" si="166"/>
        <v>0.05</v>
      </c>
      <c r="N4325" s="475">
        <f t="shared" si="167"/>
        <v>182683</v>
      </c>
    </row>
    <row r="4326" spans="7:14" ht="11.25" customHeight="1" x14ac:dyDescent="0.3">
      <c r="G4326" s="470"/>
      <c r="H4326" s="470">
        <v>4319</v>
      </c>
      <c r="I4326" s="455">
        <f t="shared" ca="1" si="165"/>
        <v>15681663517553.932</v>
      </c>
      <c r="J4326" s="455">
        <f t="array" ref="J4326">IFERROR(INDEX('Retirement Calculator'!K:K,MATCH('Lorri 401b'!N4326,'Retirement Calculator'!A:A,0),0),0)</f>
        <v>0</v>
      </c>
      <c r="K4326" s="455">
        <f t="shared" ca="1" si="163"/>
        <v>65340264656.474724</v>
      </c>
      <c r="L4326" s="455">
        <f t="shared" ca="1" si="164"/>
        <v>15747003782210.406</v>
      </c>
      <c r="M4326" s="471">
        <f t="shared" si="166"/>
        <v>0.05</v>
      </c>
      <c r="N4326" s="475">
        <f t="shared" si="167"/>
        <v>182714</v>
      </c>
    </row>
    <row r="4327" spans="7:14" ht="11.25" customHeight="1" x14ac:dyDescent="0.3">
      <c r="G4327" s="470"/>
      <c r="H4327" s="470">
        <v>4320</v>
      </c>
      <c r="I4327" s="455">
        <f t="shared" ca="1" si="165"/>
        <v>15747003782210.406</v>
      </c>
      <c r="J4327" s="455">
        <f t="array" ref="J4327">IFERROR(INDEX('Retirement Calculator'!K:K,MATCH('Lorri 401b'!N4327,'Retirement Calculator'!A:A,0),0),0)</f>
        <v>0</v>
      </c>
      <c r="K4327" s="455">
        <f t="shared" ca="1" si="163"/>
        <v>65612515759.210014</v>
      </c>
      <c r="L4327" s="455">
        <f t="shared" ca="1" si="164"/>
        <v>15812616297969.617</v>
      </c>
      <c r="M4327" s="471">
        <f t="shared" si="166"/>
        <v>0.05</v>
      </c>
      <c r="N4327" s="475">
        <f t="shared" si="167"/>
        <v>182744</v>
      </c>
    </row>
    <row r="4328" spans="7:14" ht="11.25" customHeight="1" x14ac:dyDescent="0.3">
      <c r="G4328" s="470"/>
      <c r="H4328" s="470">
        <v>4321</v>
      </c>
      <c r="I4328" s="455">
        <f t="shared" ca="1" si="165"/>
        <v>15812616297969.617</v>
      </c>
      <c r="J4328" s="455">
        <f t="array" ref="J4328">IFERROR(INDEX('Retirement Calculator'!K:K,MATCH('Lorri 401b'!N4328,'Retirement Calculator'!A:A,0),0),0)</f>
        <v>0</v>
      </c>
      <c r="K4328" s="455">
        <f t="shared" ca="1" si="163"/>
        <v>65885901241.54007</v>
      </c>
      <c r="L4328" s="455">
        <f t="shared" ca="1" si="164"/>
        <v>15878502199211.158</v>
      </c>
      <c r="M4328" s="471">
        <f t="shared" si="166"/>
        <v>0.05</v>
      </c>
      <c r="N4328" s="475">
        <f t="shared" si="167"/>
        <v>182775</v>
      </c>
    </row>
    <row r="4329" spans="7:14" ht="11.25" customHeight="1" x14ac:dyDescent="0.3">
      <c r="G4329" s="470"/>
      <c r="H4329" s="470">
        <v>4322</v>
      </c>
      <c r="I4329" s="455">
        <f t="shared" ca="1" si="165"/>
        <v>15878502199211.158</v>
      </c>
      <c r="J4329" s="455">
        <f t="array" ref="J4329">IFERROR(INDEX('Retirement Calculator'!K:K,MATCH('Lorri 401b'!N4329,'Retirement Calculator'!A:A,0),0),0)</f>
        <v>0</v>
      </c>
      <c r="K4329" s="455">
        <f t="shared" ca="1" si="163"/>
        <v>66160425830.046494</v>
      </c>
      <c r="L4329" s="455">
        <f t="shared" ca="1" si="164"/>
        <v>15944662625041.205</v>
      </c>
      <c r="M4329" s="471">
        <f t="shared" si="166"/>
        <v>0.05</v>
      </c>
      <c r="N4329" s="475">
        <f t="shared" si="167"/>
        <v>182805</v>
      </c>
    </row>
    <row r="4330" spans="7:14" ht="11.25" customHeight="1" x14ac:dyDescent="0.3">
      <c r="G4330" s="470"/>
      <c r="H4330" s="470">
        <v>4323</v>
      </c>
      <c r="I4330" s="455">
        <f t="shared" ca="1" si="165"/>
        <v>15944662625041.205</v>
      </c>
      <c r="J4330" s="455">
        <f t="array" ref="J4330">IFERROR(INDEX('Retirement Calculator'!K:K,MATCH('Lorri 401b'!N4330,'Retirement Calculator'!A:A,0),0),0)</f>
        <v>0</v>
      </c>
      <c r="K4330" s="455">
        <f t="shared" ca="1" si="163"/>
        <v>66436094271.00502</v>
      </c>
      <c r="L4330" s="455">
        <f t="shared" ca="1" si="164"/>
        <v>16011098719312.211</v>
      </c>
      <c r="M4330" s="471">
        <f t="shared" si="166"/>
        <v>0.05</v>
      </c>
      <c r="N4330" s="475">
        <f t="shared" si="167"/>
        <v>182836</v>
      </c>
    </row>
    <row r="4331" spans="7:14" ht="11.25" customHeight="1" x14ac:dyDescent="0.3">
      <c r="G4331" s="470"/>
      <c r="H4331" s="470">
        <v>4324</v>
      </c>
      <c r="I4331" s="455">
        <f t="shared" ca="1" si="165"/>
        <v>16011098719312.211</v>
      </c>
      <c r="J4331" s="455">
        <f t="array" ref="J4331">IFERROR(INDEX('Retirement Calculator'!K:K,MATCH('Lorri 401b'!N4331,'Retirement Calculator'!A:A,0),0),0)</f>
        <v>0</v>
      </c>
      <c r="K4331" s="455">
        <f t="shared" ca="1" si="163"/>
        <v>66712911330.467545</v>
      </c>
      <c r="L4331" s="455">
        <f t="shared" ca="1" si="164"/>
        <v>16077811630642.678</v>
      </c>
      <c r="M4331" s="471">
        <f t="shared" si="166"/>
        <v>0.05</v>
      </c>
      <c r="N4331" s="475">
        <f t="shared" si="167"/>
        <v>182867</v>
      </c>
    </row>
    <row r="4332" spans="7:14" ht="11.25" customHeight="1" x14ac:dyDescent="0.3">
      <c r="G4332" s="470"/>
      <c r="H4332" s="470">
        <v>4325</v>
      </c>
      <c r="I4332" s="455">
        <f t="shared" ca="1" si="165"/>
        <v>16077811630642.678</v>
      </c>
      <c r="J4332" s="455">
        <f t="array" ref="J4332">IFERROR(INDEX('Retirement Calculator'!K:K,MATCH('Lorri 401b'!N4332,'Retirement Calculator'!A:A,0),0),0)</f>
        <v>0</v>
      </c>
      <c r="K4332" s="455">
        <f t="shared" ca="1" si="163"/>
        <v>66990881794.344482</v>
      </c>
      <c r="L4332" s="455">
        <f t="shared" ca="1" si="164"/>
        <v>16144802512437.021</v>
      </c>
      <c r="M4332" s="471">
        <f t="shared" si="166"/>
        <v>0.05</v>
      </c>
      <c r="N4332" s="475">
        <f t="shared" si="167"/>
        <v>182897</v>
      </c>
    </row>
    <row r="4333" spans="7:14" ht="11.25" customHeight="1" x14ac:dyDescent="0.3">
      <c r="G4333" s="470"/>
      <c r="H4333" s="470">
        <v>4326</v>
      </c>
      <c r="I4333" s="455">
        <f t="shared" ca="1" si="165"/>
        <v>16144802512437.021</v>
      </c>
      <c r="J4333" s="455">
        <f t="array" ref="J4333">IFERROR(INDEX('Retirement Calculator'!K:K,MATCH('Lorri 401b'!N4333,'Retirement Calculator'!A:A,0),0),0)</f>
        <v>0</v>
      </c>
      <c r="K4333" s="455">
        <f t="shared" ca="1" si="163"/>
        <v>67270010468.487595</v>
      </c>
      <c r="L4333" s="455">
        <f t="shared" ca="1" si="164"/>
        <v>16212072522905.51</v>
      </c>
      <c r="M4333" s="471">
        <f t="shared" si="166"/>
        <v>0.05</v>
      </c>
      <c r="N4333" s="475">
        <f t="shared" si="167"/>
        <v>182928</v>
      </c>
    </row>
    <row r="4334" spans="7:14" ht="11.25" customHeight="1" x14ac:dyDescent="0.3">
      <c r="G4334" s="470"/>
      <c r="H4334" s="470">
        <v>4327</v>
      </c>
      <c r="I4334" s="455">
        <f t="shared" ca="1" si="165"/>
        <v>16212072522905.51</v>
      </c>
      <c r="J4334" s="455">
        <f t="array" ref="J4334">IFERROR(INDEX('Retirement Calculator'!K:K,MATCH('Lorri 401b'!N4334,'Retirement Calculator'!A:A,0),0),0)</f>
        <v>0</v>
      </c>
      <c r="K4334" s="455">
        <f t="shared" ca="1" si="163"/>
        <v>67550302178.772949</v>
      </c>
      <c r="L4334" s="455">
        <f t="shared" ca="1" si="164"/>
        <v>16279622825084.283</v>
      </c>
      <c r="M4334" s="471">
        <f t="shared" si="166"/>
        <v>0.05</v>
      </c>
      <c r="N4334" s="475">
        <f t="shared" si="167"/>
        <v>182958</v>
      </c>
    </row>
    <row r="4335" spans="7:14" ht="11.25" customHeight="1" x14ac:dyDescent="0.3">
      <c r="G4335" s="470"/>
      <c r="H4335" s="470">
        <v>4328</v>
      </c>
      <c r="I4335" s="455">
        <f t="shared" ca="1" si="165"/>
        <v>16279622825084.283</v>
      </c>
      <c r="J4335" s="455">
        <f t="array" ref="J4335">IFERROR(INDEX('Retirement Calculator'!K:K,MATCH('Lorri 401b'!N4335,'Retirement Calculator'!A:A,0),0),0)</f>
        <v>0</v>
      </c>
      <c r="K4335" s="455">
        <f t="shared" ca="1" si="163"/>
        <v>67831761771.184517</v>
      </c>
      <c r="L4335" s="455">
        <f t="shared" ca="1" si="164"/>
        <v>16347454586855.467</v>
      </c>
      <c r="M4335" s="471">
        <f t="shared" si="166"/>
        <v>0.05</v>
      </c>
      <c r="N4335" s="475">
        <f t="shared" si="167"/>
        <v>182989</v>
      </c>
    </row>
    <row r="4336" spans="7:14" ht="11.25" customHeight="1" x14ac:dyDescent="0.3">
      <c r="G4336" s="470"/>
      <c r="H4336" s="470">
        <v>4329</v>
      </c>
      <c r="I4336" s="455">
        <f t="shared" ca="1" si="165"/>
        <v>16347454586855.467</v>
      </c>
      <c r="J4336" s="455">
        <f t="array" ref="J4336">IFERROR(INDEX('Retirement Calculator'!K:K,MATCH('Lorri 401b'!N4336,'Retirement Calculator'!A:A,0),0),0)</f>
        <v>0</v>
      </c>
      <c r="K4336" s="455">
        <f t="shared" ca="1" si="163"/>
        <v>68114394111.897789</v>
      </c>
      <c r="L4336" s="455">
        <f t="shared" ca="1" si="164"/>
        <v>16415568980967.365</v>
      </c>
      <c r="M4336" s="471">
        <f t="shared" si="166"/>
        <v>0.05</v>
      </c>
      <c r="N4336" s="475">
        <f t="shared" si="167"/>
        <v>183020</v>
      </c>
    </row>
    <row r="4337" spans="7:14" ht="11.25" customHeight="1" x14ac:dyDescent="0.3">
      <c r="G4337" s="470"/>
      <c r="H4337" s="470">
        <v>4330</v>
      </c>
      <c r="I4337" s="455">
        <f t="shared" ca="1" si="165"/>
        <v>16415568980967.365</v>
      </c>
      <c r="J4337" s="455">
        <f t="array" ref="J4337">IFERROR(INDEX('Retirement Calculator'!K:K,MATCH('Lorri 401b'!N4337,'Retirement Calculator'!A:A,0),0),0)</f>
        <v>0</v>
      </c>
      <c r="K4337" s="455">
        <f t="shared" ca="1" si="163"/>
        <v>68398204087.364021</v>
      </c>
      <c r="L4337" s="455">
        <f t="shared" ca="1" si="164"/>
        <v>16483967185054.729</v>
      </c>
      <c r="M4337" s="471">
        <f t="shared" si="166"/>
        <v>0.05</v>
      </c>
      <c r="N4337" s="475">
        <f t="shared" si="167"/>
        <v>183048</v>
      </c>
    </row>
    <row r="4338" spans="7:14" ht="11.25" customHeight="1" x14ac:dyDescent="0.3">
      <c r="G4338" s="470"/>
      <c r="H4338" s="470">
        <v>4331</v>
      </c>
      <c r="I4338" s="455">
        <f t="shared" ca="1" si="165"/>
        <v>16483967185054.729</v>
      </c>
      <c r="J4338" s="455">
        <f t="array" ref="J4338">IFERROR(INDEX('Retirement Calculator'!K:K,MATCH('Lorri 401b'!N4338,'Retirement Calculator'!A:A,0),0),0)</f>
        <v>0</v>
      </c>
      <c r="K4338" s="455">
        <f t="shared" ca="1" si="163"/>
        <v>68683196604.394699</v>
      </c>
      <c r="L4338" s="455">
        <f t="shared" ca="1" si="164"/>
        <v>16552650381659.123</v>
      </c>
      <c r="M4338" s="471">
        <f t="shared" si="166"/>
        <v>0.05</v>
      </c>
      <c r="N4338" s="475">
        <f t="shared" si="167"/>
        <v>183079</v>
      </c>
    </row>
    <row r="4339" spans="7:14" ht="11.25" customHeight="1" x14ac:dyDescent="0.3">
      <c r="G4339" s="470"/>
      <c r="H4339" s="470">
        <v>4332</v>
      </c>
      <c r="I4339" s="455">
        <f t="shared" ca="1" si="165"/>
        <v>16552650381659.123</v>
      </c>
      <c r="J4339" s="455">
        <f t="array" ref="J4339">IFERROR(INDEX('Retirement Calculator'!K:K,MATCH('Lorri 401b'!N4339,'Retirement Calculator'!A:A,0),0),0)</f>
        <v>0</v>
      </c>
      <c r="K4339" s="455">
        <f t="shared" ca="1" si="163"/>
        <v>68969376590.246338</v>
      </c>
      <c r="L4339" s="455">
        <f t="shared" ca="1" si="164"/>
        <v>16621619758249.369</v>
      </c>
      <c r="M4339" s="471">
        <f t="shared" si="166"/>
        <v>0.05</v>
      </c>
      <c r="N4339" s="475">
        <f t="shared" si="167"/>
        <v>183109</v>
      </c>
    </row>
    <row r="4340" spans="7:14" ht="11.25" customHeight="1" x14ac:dyDescent="0.3">
      <c r="G4340" s="470"/>
      <c r="H4340" s="470">
        <v>4333</v>
      </c>
      <c r="I4340" s="455">
        <f t="shared" ca="1" si="165"/>
        <v>16621619758249.369</v>
      </c>
      <c r="J4340" s="455">
        <f t="array" ref="J4340">IFERROR(INDEX('Retirement Calculator'!K:K,MATCH('Lorri 401b'!N4340,'Retirement Calculator'!A:A,0),0),0)</f>
        <v>0</v>
      </c>
      <c r="K4340" s="455">
        <f t="shared" ca="1" si="163"/>
        <v>69256748992.705704</v>
      </c>
      <c r="L4340" s="455">
        <f t="shared" ca="1" si="164"/>
        <v>16690876507242.074</v>
      </c>
      <c r="M4340" s="471">
        <f t="shared" si="166"/>
        <v>0.05</v>
      </c>
      <c r="N4340" s="475">
        <f t="shared" si="167"/>
        <v>183140</v>
      </c>
    </row>
    <row r="4341" spans="7:14" ht="11.25" customHeight="1" x14ac:dyDescent="0.3">
      <c r="G4341" s="470"/>
      <c r="H4341" s="470">
        <v>4334</v>
      </c>
      <c r="I4341" s="455">
        <f t="shared" ca="1" si="165"/>
        <v>16690876507242.074</v>
      </c>
      <c r="J4341" s="455">
        <f t="array" ref="J4341">IFERROR(INDEX('Retirement Calculator'!K:K,MATCH('Lorri 401b'!N4341,'Retirement Calculator'!A:A,0),0),0)</f>
        <v>0</v>
      </c>
      <c r="K4341" s="455">
        <f t="shared" ca="1" si="163"/>
        <v>69545318780.175308</v>
      </c>
      <c r="L4341" s="455">
        <f t="shared" ca="1" si="164"/>
        <v>16760421826022.25</v>
      </c>
      <c r="M4341" s="471">
        <f t="shared" si="166"/>
        <v>0.05</v>
      </c>
      <c r="N4341" s="475">
        <f t="shared" si="167"/>
        <v>183170</v>
      </c>
    </row>
    <row r="4342" spans="7:14" ht="11.25" customHeight="1" x14ac:dyDescent="0.3">
      <c r="G4342" s="470"/>
      <c r="H4342" s="470">
        <v>4335</v>
      </c>
      <c r="I4342" s="455">
        <f t="shared" ca="1" si="165"/>
        <v>16760421826022.25</v>
      </c>
      <c r="J4342" s="455">
        <f t="array" ref="J4342">IFERROR(INDEX('Retirement Calculator'!K:K,MATCH('Lorri 401b'!N4342,'Retirement Calculator'!A:A,0),0),0)</f>
        <v>0</v>
      </c>
      <c r="K4342" s="455">
        <f t="shared" ca="1" si="163"/>
        <v>69835090941.759369</v>
      </c>
      <c r="L4342" s="455">
        <f t="shared" ca="1" si="164"/>
        <v>16830256916964.01</v>
      </c>
      <c r="M4342" s="471">
        <f t="shared" si="166"/>
        <v>0.05</v>
      </c>
      <c r="N4342" s="475">
        <f t="shared" si="167"/>
        <v>183201</v>
      </c>
    </row>
    <row r="4343" spans="7:14" ht="11.25" customHeight="1" x14ac:dyDescent="0.3">
      <c r="G4343" s="470"/>
      <c r="H4343" s="470">
        <v>4336</v>
      </c>
      <c r="I4343" s="455">
        <f t="shared" ca="1" si="165"/>
        <v>16830256916964.01</v>
      </c>
      <c r="J4343" s="455">
        <f t="array" ref="J4343">IFERROR(INDEX('Retirement Calculator'!K:K,MATCH('Lorri 401b'!N4343,'Retirement Calculator'!A:A,0),0),0)</f>
        <v>0</v>
      </c>
      <c r="K4343" s="455">
        <f t="shared" ref="K4343:K4597" ca="1" si="168">IPMT(M4343/12,1,12,-I4343+J4343,,0)</f>
        <v>70126070487.350052</v>
      </c>
      <c r="L4343" s="455">
        <f t="shared" ref="L4343:L4597" ca="1" si="169">I4343-J4343+K4343</f>
        <v>16900382987451.359</v>
      </c>
      <c r="M4343" s="471">
        <f t="shared" si="166"/>
        <v>0.05</v>
      </c>
      <c r="N4343" s="475">
        <f t="shared" si="167"/>
        <v>183232</v>
      </c>
    </row>
    <row r="4344" spans="7:14" ht="11.25" customHeight="1" x14ac:dyDescent="0.3">
      <c r="G4344" s="470"/>
      <c r="H4344" s="470">
        <v>4337</v>
      </c>
      <c r="I4344" s="455">
        <f t="shared" ref="I4344:I4598" ca="1" si="170">L4343</f>
        <v>16900382987451.359</v>
      </c>
      <c r="J4344" s="455">
        <f t="array" ref="J4344">IFERROR(INDEX('Retirement Calculator'!K:K,MATCH('Lorri 401b'!N4344,'Retirement Calculator'!A:A,0),0),0)</f>
        <v>0</v>
      </c>
      <c r="K4344" s="455">
        <f t="shared" ca="1" si="168"/>
        <v>70418262447.713989</v>
      </c>
      <c r="L4344" s="455">
        <f t="shared" ca="1" si="169"/>
        <v>16970801249899.074</v>
      </c>
      <c r="M4344" s="471">
        <f t="shared" ref="M4344:M4598" si="171">M4343</f>
        <v>0.05</v>
      </c>
      <c r="N4344" s="475">
        <f t="shared" ref="N4344:N4598" si="172">EDATE(N4343,1)</f>
        <v>183262</v>
      </c>
    </row>
    <row r="4345" spans="7:14" ht="11.25" customHeight="1" x14ac:dyDescent="0.3">
      <c r="G4345" s="470"/>
      <c r="H4345" s="470">
        <v>4338</v>
      </c>
      <c r="I4345" s="455">
        <f t="shared" ca="1" si="170"/>
        <v>16970801249899.074</v>
      </c>
      <c r="J4345" s="455">
        <f t="array" ref="J4345">IFERROR(INDEX('Retirement Calculator'!K:K,MATCH('Lorri 401b'!N4345,'Retirement Calculator'!A:A,0),0),0)</f>
        <v>0</v>
      </c>
      <c r="K4345" s="455">
        <f t="shared" ca="1" si="168"/>
        <v>70711671874.579468</v>
      </c>
      <c r="L4345" s="455">
        <f t="shared" ca="1" si="169"/>
        <v>17041512921773.654</v>
      </c>
      <c r="M4345" s="471">
        <f t="shared" si="171"/>
        <v>0.05</v>
      </c>
      <c r="N4345" s="475">
        <f t="shared" si="172"/>
        <v>183293</v>
      </c>
    </row>
    <row r="4346" spans="7:14" ht="11.25" customHeight="1" x14ac:dyDescent="0.3">
      <c r="G4346" s="470"/>
      <c r="H4346" s="470">
        <v>4339</v>
      </c>
      <c r="I4346" s="455">
        <f t="shared" ca="1" si="170"/>
        <v>17041512921773.654</v>
      </c>
      <c r="J4346" s="455">
        <f t="array" ref="J4346">IFERROR(INDEX('Retirement Calculator'!K:K,MATCH('Lorri 401b'!N4346,'Retirement Calculator'!A:A,0),0),0)</f>
        <v>0</v>
      </c>
      <c r="K4346" s="455">
        <f t="shared" ca="1" si="168"/>
        <v>71006303840.723557</v>
      </c>
      <c r="L4346" s="455">
        <f t="shared" ca="1" si="169"/>
        <v>17112519225614.377</v>
      </c>
      <c r="M4346" s="471">
        <f t="shared" si="171"/>
        <v>0.05</v>
      </c>
      <c r="N4346" s="475">
        <f t="shared" si="172"/>
        <v>183323</v>
      </c>
    </row>
    <row r="4347" spans="7:14" ht="11.25" customHeight="1" x14ac:dyDescent="0.3">
      <c r="G4347" s="470"/>
      <c r="H4347" s="470">
        <v>4340</v>
      </c>
      <c r="I4347" s="455">
        <f t="shared" ca="1" si="170"/>
        <v>17112519225614.377</v>
      </c>
      <c r="J4347" s="455">
        <f t="array" ref="J4347">IFERROR(INDEX('Retirement Calculator'!K:K,MATCH('Lorri 401b'!N4347,'Retirement Calculator'!A:A,0),0),0)</f>
        <v>0</v>
      </c>
      <c r="K4347" s="455">
        <f t="shared" ca="1" si="168"/>
        <v>71302163440.059891</v>
      </c>
      <c r="L4347" s="455">
        <f t="shared" ca="1" si="169"/>
        <v>17183821389054.438</v>
      </c>
      <c r="M4347" s="471">
        <f t="shared" si="171"/>
        <v>0.05</v>
      </c>
      <c r="N4347" s="475">
        <f t="shared" si="172"/>
        <v>183354</v>
      </c>
    </row>
    <row r="4348" spans="7:14" ht="11.25" customHeight="1" x14ac:dyDescent="0.3">
      <c r="G4348" s="470"/>
      <c r="H4348" s="470">
        <v>4341</v>
      </c>
      <c r="I4348" s="455">
        <f t="shared" ca="1" si="170"/>
        <v>17183821389054.438</v>
      </c>
      <c r="J4348" s="455">
        <f t="array" ref="J4348">IFERROR(INDEX('Retirement Calculator'!K:K,MATCH('Lorri 401b'!N4348,'Retirement Calculator'!A:A,0),0),0)</f>
        <v>0</v>
      </c>
      <c r="K4348" s="455">
        <f t="shared" ca="1" si="168"/>
        <v>71599255787.726822</v>
      </c>
      <c r="L4348" s="455">
        <f t="shared" ca="1" si="169"/>
        <v>17255420644842.164</v>
      </c>
      <c r="M4348" s="471">
        <f t="shared" si="171"/>
        <v>0.05</v>
      </c>
      <c r="N4348" s="475">
        <f t="shared" si="172"/>
        <v>183385</v>
      </c>
    </row>
    <row r="4349" spans="7:14" ht="11.25" customHeight="1" x14ac:dyDescent="0.3">
      <c r="G4349" s="470"/>
      <c r="H4349" s="470">
        <v>4342</v>
      </c>
      <c r="I4349" s="455">
        <f t="shared" ca="1" si="170"/>
        <v>17255420644842.164</v>
      </c>
      <c r="J4349" s="455">
        <f t="array" ref="J4349">IFERROR(INDEX('Retirement Calculator'!K:K,MATCH('Lorri 401b'!N4349,'Retirement Calculator'!A:A,0),0),0)</f>
        <v>0</v>
      </c>
      <c r="K4349" s="455">
        <f t="shared" ca="1" si="168"/>
        <v>71897586020.17569</v>
      </c>
      <c r="L4349" s="455">
        <f t="shared" ca="1" si="169"/>
        <v>17327318230862.34</v>
      </c>
      <c r="M4349" s="471">
        <f t="shared" si="171"/>
        <v>0.05</v>
      </c>
      <c r="N4349" s="475">
        <f t="shared" si="172"/>
        <v>183413</v>
      </c>
    </row>
    <row r="4350" spans="7:14" ht="11.25" customHeight="1" x14ac:dyDescent="0.3">
      <c r="G4350" s="470"/>
      <c r="H4350" s="470">
        <v>4343</v>
      </c>
      <c r="I4350" s="455">
        <f t="shared" ca="1" si="170"/>
        <v>17327318230862.34</v>
      </c>
      <c r="J4350" s="455">
        <f t="array" ref="J4350">IFERROR(INDEX('Retirement Calculator'!K:K,MATCH('Lorri 401b'!N4350,'Retirement Calculator'!A:A,0),0),0)</f>
        <v>0</v>
      </c>
      <c r="K4350" s="455">
        <f t="shared" ca="1" si="168"/>
        <v>72197159295.259735</v>
      </c>
      <c r="L4350" s="455">
        <f t="shared" ca="1" si="169"/>
        <v>17399515390157.6</v>
      </c>
      <c r="M4350" s="471">
        <f t="shared" si="171"/>
        <v>0.05</v>
      </c>
      <c r="N4350" s="475">
        <f t="shared" si="172"/>
        <v>183444</v>
      </c>
    </row>
    <row r="4351" spans="7:14" ht="11.25" customHeight="1" x14ac:dyDescent="0.3">
      <c r="G4351" s="470"/>
      <c r="H4351" s="470">
        <v>4344</v>
      </c>
      <c r="I4351" s="455">
        <f t="shared" ca="1" si="170"/>
        <v>17399515390157.6</v>
      </c>
      <c r="J4351" s="455">
        <f t="array" ref="J4351">IFERROR(INDEX('Retirement Calculator'!K:K,MATCH('Lorri 401b'!N4351,'Retirement Calculator'!A:A,0),0),0)</f>
        <v>0</v>
      </c>
      <c r="K4351" s="455">
        <f t="shared" ca="1" si="168"/>
        <v>72497980792.323334</v>
      </c>
      <c r="L4351" s="455">
        <f t="shared" ca="1" si="169"/>
        <v>17472013370949.924</v>
      </c>
      <c r="M4351" s="471">
        <f t="shared" si="171"/>
        <v>0.05</v>
      </c>
      <c r="N4351" s="475">
        <f t="shared" si="172"/>
        <v>183474</v>
      </c>
    </row>
    <row r="4352" spans="7:14" ht="11.25" customHeight="1" x14ac:dyDescent="0.3">
      <c r="G4352" s="470"/>
      <c r="H4352" s="470">
        <v>4345</v>
      </c>
      <c r="I4352" s="455">
        <f t="shared" ca="1" si="170"/>
        <v>17472013370949.924</v>
      </c>
      <c r="J4352" s="455">
        <f t="array" ref="J4352">IFERROR(INDEX('Retirement Calculator'!K:K,MATCH('Lorri 401b'!N4352,'Retirement Calculator'!A:A,0),0),0)</f>
        <v>0</v>
      </c>
      <c r="K4352" s="455">
        <f t="shared" ca="1" si="168"/>
        <v>72800055712.291351</v>
      </c>
      <c r="L4352" s="455">
        <f t="shared" ca="1" si="169"/>
        <v>17544813426662.215</v>
      </c>
      <c r="M4352" s="471">
        <f t="shared" si="171"/>
        <v>0.05</v>
      </c>
      <c r="N4352" s="475">
        <f t="shared" si="172"/>
        <v>183505</v>
      </c>
    </row>
    <row r="4353" spans="7:14" ht="11.25" customHeight="1" x14ac:dyDescent="0.3">
      <c r="G4353" s="470"/>
      <c r="H4353" s="470">
        <v>4346</v>
      </c>
      <c r="I4353" s="455">
        <f t="shared" ca="1" si="170"/>
        <v>17544813426662.215</v>
      </c>
      <c r="J4353" s="455">
        <f t="array" ref="J4353">IFERROR(INDEX('Retirement Calculator'!K:K,MATCH('Lorri 401b'!N4353,'Retirement Calculator'!A:A,0),0),0)</f>
        <v>0</v>
      </c>
      <c r="K4353" s="455">
        <f t="shared" ca="1" si="168"/>
        <v>73103389277.759232</v>
      </c>
      <c r="L4353" s="455">
        <f t="shared" ca="1" si="169"/>
        <v>17617916815939.973</v>
      </c>
      <c r="M4353" s="471">
        <f t="shared" si="171"/>
        <v>0.05</v>
      </c>
      <c r="N4353" s="475">
        <f t="shared" si="172"/>
        <v>183535</v>
      </c>
    </row>
    <row r="4354" spans="7:14" ht="11.25" customHeight="1" x14ac:dyDescent="0.3">
      <c r="G4354" s="470"/>
      <c r="H4354" s="470">
        <v>4347</v>
      </c>
      <c r="I4354" s="455">
        <f t="shared" ca="1" si="170"/>
        <v>17617916815939.973</v>
      </c>
      <c r="J4354" s="455">
        <f t="array" ref="J4354">IFERROR(INDEX('Retirement Calculator'!K:K,MATCH('Lorri 401b'!N4354,'Retirement Calculator'!A:A,0),0),0)</f>
        <v>0</v>
      </c>
      <c r="K4354" s="455">
        <f t="shared" ca="1" si="168"/>
        <v>73407986733.083221</v>
      </c>
      <c r="L4354" s="455">
        <f t="shared" ca="1" si="169"/>
        <v>17691324802673.055</v>
      </c>
      <c r="M4354" s="471">
        <f t="shared" si="171"/>
        <v>0.05</v>
      </c>
      <c r="N4354" s="475">
        <f t="shared" si="172"/>
        <v>183566</v>
      </c>
    </row>
    <row r="4355" spans="7:14" ht="11.25" customHeight="1" x14ac:dyDescent="0.3">
      <c r="G4355" s="470"/>
      <c r="H4355" s="470">
        <v>4348</v>
      </c>
      <c r="I4355" s="455">
        <f t="shared" ca="1" si="170"/>
        <v>17691324802673.055</v>
      </c>
      <c r="J4355" s="455">
        <f t="array" ref="J4355">IFERROR(INDEX('Retirement Calculator'!K:K,MATCH('Lorri 401b'!N4355,'Retirement Calculator'!A:A,0),0),0)</f>
        <v>0</v>
      </c>
      <c r="K4355" s="455">
        <f t="shared" ca="1" si="168"/>
        <v>73713853344.471054</v>
      </c>
      <c r="L4355" s="455">
        <f t="shared" ca="1" si="169"/>
        <v>17765038656017.527</v>
      </c>
      <c r="M4355" s="471">
        <f t="shared" si="171"/>
        <v>0.05</v>
      </c>
      <c r="N4355" s="475">
        <f t="shared" si="172"/>
        <v>183597</v>
      </c>
    </row>
    <row r="4356" spans="7:14" ht="11.25" customHeight="1" x14ac:dyDescent="0.3">
      <c r="G4356" s="470"/>
      <c r="H4356" s="470">
        <v>4349</v>
      </c>
      <c r="I4356" s="455">
        <f t="shared" ca="1" si="170"/>
        <v>17765038656017.527</v>
      </c>
      <c r="J4356" s="455">
        <f t="array" ref="J4356">IFERROR(INDEX('Retirement Calculator'!K:K,MATCH('Lorri 401b'!N4356,'Retirement Calculator'!A:A,0),0),0)</f>
        <v>0</v>
      </c>
      <c r="K4356" s="455">
        <f t="shared" ca="1" si="168"/>
        <v>74020994400.073029</v>
      </c>
      <c r="L4356" s="455">
        <f t="shared" ca="1" si="169"/>
        <v>17839059650417.602</v>
      </c>
      <c r="M4356" s="471">
        <f t="shared" si="171"/>
        <v>0.05</v>
      </c>
      <c r="N4356" s="475">
        <f t="shared" si="172"/>
        <v>183627</v>
      </c>
    </row>
    <row r="4357" spans="7:14" ht="11.25" customHeight="1" x14ac:dyDescent="0.3">
      <c r="G4357" s="470"/>
      <c r="H4357" s="470">
        <v>4350</v>
      </c>
      <c r="I4357" s="455">
        <f t="shared" ca="1" si="170"/>
        <v>17839059650417.602</v>
      </c>
      <c r="J4357" s="455">
        <f t="array" ref="J4357">IFERROR(INDEX('Retirement Calculator'!K:K,MATCH('Lorri 401b'!N4357,'Retirement Calculator'!A:A,0),0),0)</f>
        <v>0</v>
      </c>
      <c r="K4357" s="455">
        <f t="shared" ca="1" si="168"/>
        <v>74329415210.073334</v>
      </c>
      <c r="L4357" s="455">
        <f t="shared" ca="1" si="169"/>
        <v>17913389065627.676</v>
      </c>
      <c r="M4357" s="471">
        <f t="shared" si="171"/>
        <v>0.05</v>
      </c>
      <c r="N4357" s="475">
        <f t="shared" si="172"/>
        <v>183658</v>
      </c>
    </row>
    <row r="4358" spans="7:14" ht="11.25" customHeight="1" x14ac:dyDescent="0.3">
      <c r="G4358" s="470"/>
      <c r="H4358" s="470">
        <v>4351</v>
      </c>
      <c r="I4358" s="455">
        <f t="shared" ca="1" si="170"/>
        <v>17913389065627.676</v>
      </c>
      <c r="J4358" s="455">
        <f t="array" ref="J4358">IFERROR(INDEX('Retirement Calculator'!K:K,MATCH('Lorri 401b'!N4358,'Retirement Calculator'!A:A,0),0),0)</f>
        <v>0</v>
      </c>
      <c r="K4358" s="455">
        <f t="shared" ca="1" si="168"/>
        <v>74639121106.781982</v>
      </c>
      <c r="L4358" s="455">
        <f t="shared" ca="1" si="169"/>
        <v>17988028186734.457</v>
      </c>
      <c r="M4358" s="471">
        <f t="shared" si="171"/>
        <v>0.05</v>
      </c>
      <c r="N4358" s="475">
        <f t="shared" si="172"/>
        <v>183688</v>
      </c>
    </row>
    <row r="4359" spans="7:14" ht="11.25" customHeight="1" x14ac:dyDescent="0.3">
      <c r="G4359" s="470"/>
      <c r="H4359" s="470">
        <v>4352</v>
      </c>
      <c r="I4359" s="455">
        <f t="shared" ca="1" si="170"/>
        <v>17988028186734.457</v>
      </c>
      <c r="J4359" s="455">
        <f t="array" ref="J4359">IFERROR(INDEX('Retirement Calculator'!K:K,MATCH('Lorri 401b'!N4359,'Retirement Calculator'!A:A,0),0),0)</f>
        <v>0</v>
      </c>
      <c r="K4359" s="455">
        <f t="shared" ca="1" si="168"/>
        <v>74950117444.726898</v>
      </c>
      <c r="L4359" s="455">
        <f t="shared" ca="1" si="169"/>
        <v>18062978304179.184</v>
      </c>
      <c r="M4359" s="471">
        <f t="shared" si="171"/>
        <v>0.05</v>
      </c>
      <c r="N4359" s="475">
        <f t="shared" si="172"/>
        <v>183719</v>
      </c>
    </row>
    <row r="4360" spans="7:14" ht="11.25" customHeight="1" x14ac:dyDescent="0.3">
      <c r="G4360" s="470"/>
      <c r="H4360" s="470">
        <v>4353</v>
      </c>
      <c r="I4360" s="455">
        <f t="shared" ca="1" si="170"/>
        <v>18062978304179.184</v>
      </c>
      <c r="J4360" s="455">
        <f t="array" ref="J4360">IFERROR(INDEX('Retirement Calculator'!K:K,MATCH('Lorri 401b'!N4360,'Retirement Calculator'!A:A,0),0),0)</f>
        <v>0</v>
      </c>
      <c r="K4360" s="455">
        <f t="shared" ca="1" si="168"/>
        <v>75262409600.746597</v>
      </c>
      <c r="L4360" s="455">
        <f t="shared" ca="1" si="169"/>
        <v>18138240713779.93</v>
      </c>
      <c r="M4360" s="471">
        <f t="shared" si="171"/>
        <v>0.05</v>
      </c>
      <c r="N4360" s="475">
        <f t="shared" si="172"/>
        <v>183750</v>
      </c>
    </row>
    <row r="4361" spans="7:14" ht="11.25" customHeight="1" x14ac:dyDescent="0.3">
      <c r="G4361" s="470"/>
      <c r="H4361" s="470">
        <v>4354</v>
      </c>
      <c r="I4361" s="455">
        <f t="shared" ca="1" si="170"/>
        <v>18138240713779.93</v>
      </c>
      <c r="J4361" s="455">
        <f t="array" ref="J4361">IFERROR(INDEX('Retirement Calculator'!K:K,MATCH('Lorri 401b'!N4361,'Retirement Calculator'!A:A,0),0),0)</f>
        <v>0</v>
      </c>
      <c r="K4361" s="455">
        <f t="shared" ca="1" si="168"/>
        <v>75576002974.083038</v>
      </c>
      <c r="L4361" s="455">
        <f t="shared" ca="1" si="169"/>
        <v>18213816716754.012</v>
      </c>
      <c r="M4361" s="471">
        <f t="shared" si="171"/>
        <v>0.05</v>
      </c>
      <c r="N4361" s="475">
        <f t="shared" si="172"/>
        <v>183778</v>
      </c>
    </row>
    <row r="4362" spans="7:14" ht="11.25" customHeight="1" x14ac:dyDescent="0.3">
      <c r="G4362" s="470"/>
      <c r="H4362" s="470">
        <v>4355</v>
      </c>
      <c r="I4362" s="455">
        <f t="shared" ca="1" si="170"/>
        <v>18213816716754.012</v>
      </c>
      <c r="J4362" s="455">
        <f t="array" ref="J4362">IFERROR(INDEX('Retirement Calculator'!K:K,MATCH('Lorri 401b'!N4362,'Retirement Calculator'!A:A,0),0),0)</f>
        <v>0</v>
      </c>
      <c r="K4362" s="455">
        <f t="shared" ca="1" si="168"/>
        <v>75890902986.475052</v>
      </c>
      <c r="L4362" s="455">
        <f t="shared" ca="1" si="169"/>
        <v>18289707619740.488</v>
      </c>
      <c r="M4362" s="471">
        <f t="shared" si="171"/>
        <v>0.05</v>
      </c>
      <c r="N4362" s="475">
        <f t="shared" si="172"/>
        <v>183809</v>
      </c>
    </row>
    <row r="4363" spans="7:14" ht="11.25" customHeight="1" x14ac:dyDescent="0.3">
      <c r="G4363" s="470"/>
      <c r="H4363" s="470">
        <v>4356</v>
      </c>
      <c r="I4363" s="455">
        <f t="shared" ca="1" si="170"/>
        <v>18289707619740.488</v>
      </c>
      <c r="J4363" s="455">
        <f t="array" ref="J4363">IFERROR(INDEX('Retirement Calculator'!K:K,MATCH('Lorri 401b'!N4363,'Retirement Calculator'!A:A,0),0),0)</f>
        <v>0</v>
      </c>
      <c r="K4363" s="455">
        <f t="shared" ca="1" si="168"/>
        <v>76207115082.252029</v>
      </c>
      <c r="L4363" s="455">
        <f t="shared" ca="1" si="169"/>
        <v>18365914734822.742</v>
      </c>
      <c r="M4363" s="471">
        <f t="shared" si="171"/>
        <v>0.05</v>
      </c>
      <c r="N4363" s="475">
        <f t="shared" si="172"/>
        <v>183839</v>
      </c>
    </row>
    <row r="4364" spans="7:14" ht="11.25" customHeight="1" x14ac:dyDescent="0.3">
      <c r="G4364" s="470"/>
      <c r="H4364" s="470">
        <v>4357</v>
      </c>
      <c r="I4364" s="455">
        <f t="shared" ca="1" si="170"/>
        <v>18365914734822.742</v>
      </c>
      <c r="J4364" s="455">
        <f t="array" ref="J4364">IFERROR(INDEX('Retirement Calculator'!K:K,MATCH('Lorri 401b'!N4364,'Retirement Calculator'!A:A,0),0),0)</f>
        <v>0</v>
      </c>
      <c r="K4364" s="455">
        <f t="shared" ca="1" si="168"/>
        <v>76524644728.428085</v>
      </c>
      <c r="L4364" s="455">
        <f t="shared" ca="1" si="169"/>
        <v>18442439379551.172</v>
      </c>
      <c r="M4364" s="471">
        <f t="shared" si="171"/>
        <v>0.05</v>
      </c>
      <c r="N4364" s="475">
        <f t="shared" si="172"/>
        <v>183870</v>
      </c>
    </row>
    <row r="4365" spans="7:14" ht="11.25" customHeight="1" x14ac:dyDescent="0.3">
      <c r="G4365" s="470"/>
      <c r="H4365" s="470">
        <v>4358</v>
      </c>
      <c r="I4365" s="455">
        <f t="shared" ca="1" si="170"/>
        <v>18442439379551.172</v>
      </c>
      <c r="J4365" s="455">
        <f t="array" ref="J4365">IFERROR(INDEX('Retirement Calculator'!K:K,MATCH('Lorri 401b'!N4365,'Retirement Calculator'!A:A,0),0),0)</f>
        <v>0</v>
      </c>
      <c r="K4365" s="455">
        <f t="shared" ca="1" si="168"/>
        <v>76843497414.796555</v>
      </c>
      <c r="L4365" s="455">
        <f t="shared" ca="1" si="169"/>
        <v>18519282876965.969</v>
      </c>
      <c r="M4365" s="471">
        <f t="shared" si="171"/>
        <v>0.05</v>
      </c>
      <c r="N4365" s="475">
        <f t="shared" si="172"/>
        <v>183900</v>
      </c>
    </row>
    <row r="4366" spans="7:14" ht="11.25" customHeight="1" x14ac:dyDescent="0.3">
      <c r="G4366" s="470"/>
      <c r="H4366" s="470">
        <v>4359</v>
      </c>
      <c r="I4366" s="455">
        <f t="shared" ca="1" si="170"/>
        <v>18519282876965.969</v>
      </c>
      <c r="J4366" s="455">
        <f t="array" ref="J4366">IFERROR(INDEX('Retirement Calculator'!K:K,MATCH('Lorri 401b'!N4366,'Retirement Calculator'!A:A,0),0),0)</f>
        <v>0</v>
      </c>
      <c r="K4366" s="455">
        <f t="shared" ca="1" si="168"/>
        <v>77163678654.024872</v>
      </c>
      <c r="L4366" s="455">
        <f t="shared" ca="1" si="169"/>
        <v>18596446555619.992</v>
      </c>
      <c r="M4366" s="471">
        <f t="shared" si="171"/>
        <v>0.05</v>
      </c>
      <c r="N4366" s="475">
        <f t="shared" si="172"/>
        <v>183931</v>
      </c>
    </row>
    <row r="4367" spans="7:14" ht="11.25" customHeight="1" x14ac:dyDescent="0.3">
      <c r="G4367" s="470"/>
      <c r="H4367" s="470">
        <v>4360</v>
      </c>
      <c r="I4367" s="455">
        <f t="shared" ca="1" si="170"/>
        <v>18596446555619.992</v>
      </c>
      <c r="J4367" s="455">
        <f t="array" ref="J4367">IFERROR(INDEX('Retirement Calculator'!K:K,MATCH('Lorri 401b'!N4367,'Retirement Calculator'!A:A,0),0),0)</f>
        <v>0</v>
      </c>
      <c r="K4367" s="455">
        <f t="shared" ca="1" si="168"/>
        <v>77485193981.749969</v>
      </c>
      <c r="L4367" s="455">
        <f t="shared" ca="1" si="169"/>
        <v>18673931749601.742</v>
      </c>
      <c r="M4367" s="471">
        <f t="shared" si="171"/>
        <v>0.05</v>
      </c>
      <c r="N4367" s="475">
        <f t="shared" si="172"/>
        <v>183962</v>
      </c>
    </row>
    <row r="4368" spans="7:14" ht="11.25" customHeight="1" x14ac:dyDescent="0.3">
      <c r="G4368" s="470"/>
      <c r="H4368" s="470">
        <v>4361</v>
      </c>
      <c r="I4368" s="455">
        <f t="shared" ca="1" si="170"/>
        <v>18673931749601.742</v>
      </c>
      <c r="J4368" s="455">
        <f t="array" ref="J4368">IFERROR(INDEX('Retirement Calculator'!K:K,MATCH('Lorri 401b'!N4368,'Retirement Calculator'!A:A,0),0),0)</f>
        <v>0</v>
      </c>
      <c r="K4368" s="455">
        <f t="shared" ca="1" si="168"/>
        <v>77808048956.67392</v>
      </c>
      <c r="L4368" s="455">
        <f t="shared" ca="1" si="169"/>
        <v>18751739798558.418</v>
      </c>
      <c r="M4368" s="471">
        <f t="shared" si="171"/>
        <v>0.05</v>
      </c>
      <c r="N4368" s="475">
        <f t="shared" si="172"/>
        <v>183992</v>
      </c>
    </row>
    <row r="4369" spans="7:14" ht="11.25" customHeight="1" x14ac:dyDescent="0.3">
      <c r="G4369" s="470"/>
      <c r="H4369" s="470">
        <v>4362</v>
      </c>
      <c r="I4369" s="455">
        <f t="shared" ca="1" si="170"/>
        <v>18751739798558.418</v>
      </c>
      <c r="J4369" s="455">
        <f t="array" ref="J4369">IFERROR(INDEX('Retirement Calculator'!K:K,MATCH('Lorri 401b'!N4369,'Retirement Calculator'!A:A,0),0),0)</f>
        <v>0</v>
      </c>
      <c r="K4369" s="455">
        <f t="shared" ca="1" si="168"/>
        <v>78132249160.66008</v>
      </c>
      <c r="L4369" s="455">
        <f t="shared" ca="1" si="169"/>
        <v>18829872047719.078</v>
      </c>
      <c r="M4369" s="471">
        <f t="shared" si="171"/>
        <v>0.05</v>
      </c>
      <c r="N4369" s="475">
        <f t="shared" si="172"/>
        <v>184023</v>
      </c>
    </row>
    <row r="4370" spans="7:14" ht="11.25" customHeight="1" x14ac:dyDescent="0.3">
      <c r="G4370" s="470"/>
      <c r="H4370" s="470">
        <v>4363</v>
      </c>
      <c r="I4370" s="455">
        <f t="shared" ca="1" si="170"/>
        <v>18829872047719.078</v>
      </c>
      <c r="J4370" s="455">
        <f t="array" ref="J4370">IFERROR(INDEX('Retirement Calculator'!K:K,MATCH('Lorri 401b'!N4370,'Retirement Calculator'!A:A,0),0),0)</f>
        <v>0</v>
      </c>
      <c r="K4370" s="455">
        <f t="shared" ca="1" si="168"/>
        <v>78457800198.829498</v>
      </c>
      <c r="L4370" s="455">
        <f t="shared" ca="1" si="169"/>
        <v>18908329847917.906</v>
      </c>
      <c r="M4370" s="471">
        <f t="shared" si="171"/>
        <v>0.05</v>
      </c>
      <c r="N4370" s="475">
        <f t="shared" si="172"/>
        <v>184053</v>
      </c>
    </row>
    <row r="4371" spans="7:14" ht="11.25" customHeight="1" x14ac:dyDescent="0.3">
      <c r="G4371" s="470"/>
      <c r="H4371" s="470">
        <v>4364</v>
      </c>
      <c r="I4371" s="455">
        <f t="shared" ca="1" si="170"/>
        <v>18908329847917.906</v>
      </c>
      <c r="J4371" s="455">
        <f t="array" ref="J4371">IFERROR(INDEX('Retirement Calculator'!K:K,MATCH('Lorri 401b'!N4371,'Retirement Calculator'!A:A,0),0),0)</f>
        <v>0</v>
      </c>
      <c r="K4371" s="455">
        <f t="shared" ca="1" si="168"/>
        <v>78784707699.657944</v>
      </c>
      <c r="L4371" s="455">
        <f t="shared" ca="1" si="169"/>
        <v>18987114555617.563</v>
      </c>
      <c r="M4371" s="471">
        <f t="shared" si="171"/>
        <v>0.05</v>
      </c>
      <c r="N4371" s="475">
        <f t="shared" si="172"/>
        <v>184084</v>
      </c>
    </row>
    <row r="4372" spans="7:14" ht="11.25" customHeight="1" x14ac:dyDescent="0.3">
      <c r="G4372" s="470"/>
      <c r="H4372" s="470">
        <v>4365</v>
      </c>
      <c r="I4372" s="455">
        <f t="shared" ca="1" si="170"/>
        <v>18987114555617.563</v>
      </c>
      <c r="J4372" s="455">
        <f t="array" ref="J4372">IFERROR(INDEX('Retirement Calculator'!K:K,MATCH('Lorri 401b'!N4372,'Retirement Calculator'!A:A,0),0),0)</f>
        <v>0</v>
      </c>
      <c r="K4372" s="455">
        <f t="shared" ca="1" si="168"/>
        <v>79112977315.073181</v>
      </c>
      <c r="L4372" s="455">
        <f t="shared" ca="1" si="169"/>
        <v>19066227532932.637</v>
      </c>
      <c r="M4372" s="471">
        <f t="shared" si="171"/>
        <v>0.05</v>
      </c>
      <c r="N4372" s="475">
        <f t="shared" si="172"/>
        <v>184115</v>
      </c>
    </row>
    <row r="4373" spans="7:14" ht="11.25" customHeight="1" x14ac:dyDescent="0.3">
      <c r="G4373" s="470"/>
      <c r="H4373" s="470">
        <v>4366</v>
      </c>
      <c r="I4373" s="455">
        <f t="shared" ca="1" si="170"/>
        <v>19066227532932.637</v>
      </c>
      <c r="J4373" s="455">
        <f t="array" ref="J4373">IFERROR(INDEX('Retirement Calculator'!K:K,MATCH('Lorri 401b'!N4373,'Retirement Calculator'!A:A,0),0),0)</f>
        <v>0</v>
      </c>
      <c r="K4373" s="455">
        <f t="shared" ca="1" si="168"/>
        <v>79442614720.552658</v>
      </c>
      <c r="L4373" s="455">
        <f t="shared" ca="1" si="169"/>
        <v>19145670147653.188</v>
      </c>
      <c r="M4373" s="471">
        <f t="shared" si="171"/>
        <v>0.05</v>
      </c>
      <c r="N4373" s="475">
        <f t="shared" si="172"/>
        <v>184144</v>
      </c>
    </row>
    <row r="4374" spans="7:14" ht="11.25" customHeight="1" x14ac:dyDescent="0.3">
      <c r="G4374" s="470"/>
      <c r="H4374" s="470">
        <v>4367</v>
      </c>
      <c r="I4374" s="455">
        <f t="shared" ca="1" si="170"/>
        <v>19145670147653.188</v>
      </c>
      <c r="J4374" s="455">
        <f t="array" ref="J4374">IFERROR(INDEX('Retirement Calculator'!K:K,MATCH('Lorri 401b'!N4374,'Retirement Calculator'!A:A,0),0),0)</f>
        <v>0</v>
      </c>
      <c r="K4374" s="455">
        <f t="shared" ca="1" si="168"/>
        <v>79773625615.221619</v>
      </c>
      <c r="L4374" s="455">
        <f t="shared" ca="1" si="169"/>
        <v>19225443773268.41</v>
      </c>
      <c r="M4374" s="471">
        <f t="shared" si="171"/>
        <v>0.05</v>
      </c>
      <c r="N4374" s="475">
        <f t="shared" si="172"/>
        <v>184175</v>
      </c>
    </row>
    <row r="4375" spans="7:14" ht="11.25" customHeight="1" x14ac:dyDescent="0.3">
      <c r="G4375" s="470"/>
      <c r="H4375" s="470">
        <v>4368</v>
      </c>
      <c r="I4375" s="455">
        <f t="shared" ca="1" si="170"/>
        <v>19225443773268.41</v>
      </c>
      <c r="J4375" s="455">
        <f t="array" ref="J4375">IFERROR(INDEX('Retirement Calculator'!K:K,MATCH('Lorri 401b'!N4375,'Retirement Calculator'!A:A,0),0),0)</f>
        <v>0</v>
      </c>
      <c r="K4375" s="455">
        <f t="shared" ca="1" si="168"/>
        <v>80106015721.951706</v>
      </c>
      <c r="L4375" s="455">
        <f t="shared" ca="1" si="169"/>
        <v>19305549788990.363</v>
      </c>
      <c r="M4375" s="471">
        <f t="shared" si="171"/>
        <v>0.05</v>
      </c>
      <c r="N4375" s="475">
        <f t="shared" si="172"/>
        <v>184205</v>
      </c>
    </row>
    <row r="4376" spans="7:14" ht="11.25" customHeight="1" x14ac:dyDescent="0.3">
      <c r="G4376" s="470"/>
      <c r="H4376" s="470">
        <v>4369</v>
      </c>
      <c r="I4376" s="455">
        <f t="shared" ca="1" si="170"/>
        <v>19305549788990.363</v>
      </c>
      <c r="J4376" s="455">
        <f t="array" ref="J4376">IFERROR(INDEX('Retirement Calculator'!K:K,MATCH('Lorri 401b'!N4376,'Retirement Calculator'!A:A,0),0),0)</f>
        <v>0</v>
      </c>
      <c r="K4376" s="455">
        <f t="shared" ca="1" si="168"/>
        <v>80439790787.459839</v>
      </c>
      <c r="L4376" s="455">
        <f t="shared" ca="1" si="169"/>
        <v>19385989579777.824</v>
      </c>
      <c r="M4376" s="471">
        <f t="shared" si="171"/>
        <v>0.05</v>
      </c>
      <c r="N4376" s="475">
        <f t="shared" si="172"/>
        <v>184236</v>
      </c>
    </row>
    <row r="4377" spans="7:14" ht="11.25" customHeight="1" x14ac:dyDescent="0.3">
      <c r="G4377" s="470"/>
      <c r="H4377" s="470">
        <v>4370</v>
      </c>
      <c r="I4377" s="455">
        <f t="shared" ca="1" si="170"/>
        <v>19385989579777.824</v>
      </c>
      <c r="J4377" s="455">
        <f t="array" ref="J4377">IFERROR(INDEX('Retirement Calculator'!K:K,MATCH('Lorri 401b'!N4377,'Retirement Calculator'!A:A,0),0),0)</f>
        <v>0</v>
      </c>
      <c r="K4377" s="455">
        <f t="shared" ca="1" si="168"/>
        <v>80774956582.407593</v>
      </c>
      <c r="L4377" s="455">
        <f t="shared" ca="1" si="169"/>
        <v>19466764536360.23</v>
      </c>
      <c r="M4377" s="471">
        <f t="shared" si="171"/>
        <v>0.05</v>
      </c>
      <c r="N4377" s="475">
        <f t="shared" si="172"/>
        <v>184266</v>
      </c>
    </row>
    <row r="4378" spans="7:14" ht="11.25" customHeight="1" x14ac:dyDescent="0.3">
      <c r="G4378" s="470"/>
      <c r="H4378" s="470">
        <v>4371</v>
      </c>
      <c r="I4378" s="455">
        <f t="shared" ca="1" si="170"/>
        <v>19466764536360.23</v>
      </c>
      <c r="J4378" s="455">
        <f t="array" ref="J4378">IFERROR(INDEX('Retirement Calculator'!K:K,MATCH('Lorri 401b'!N4378,'Retirement Calculator'!A:A,0),0),0)</f>
        <v>0</v>
      </c>
      <c r="K4378" s="455">
        <f t="shared" ca="1" si="168"/>
        <v>81111518901.500961</v>
      </c>
      <c r="L4378" s="455">
        <f t="shared" ca="1" si="169"/>
        <v>19547876055261.73</v>
      </c>
      <c r="M4378" s="471">
        <f t="shared" si="171"/>
        <v>0.05</v>
      </c>
      <c r="N4378" s="475">
        <f t="shared" si="172"/>
        <v>184297</v>
      </c>
    </row>
    <row r="4379" spans="7:14" ht="11.25" customHeight="1" x14ac:dyDescent="0.3">
      <c r="G4379" s="470"/>
      <c r="H4379" s="470">
        <v>4372</v>
      </c>
      <c r="I4379" s="455">
        <f t="shared" ca="1" si="170"/>
        <v>19547876055261.73</v>
      </c>
      <c r="J4379" s="455">
        <f t="array" ref="J4379">IFERROR(INDEX('Retirement Calculator'!K:K,MATCH('Lorri 401b'!N4379,'Retirement Calculator'!A:A,0),0),0)</f>
        <v>0</v>
      </c>
      <c r="K4379" s="455">
        <f t="shared" ca="1" si="168"/>
        <v>81449483563.590546</v>
      </c>
      <c r="L4379" s="455">
        <f t="shared" ca="1" si="169"/>
        <v>19629325538825.32</v>
      </c>
      <c r="M4379" s="471">
        <f t="shared" si="171"/>
        <v>0.05</v>
      </c>
      <c r="N4379" s="475">
        <f t="shared" si="172"/>
        <v>184328</v>
      </c>
    </row>
    <row r="4380" spans="7:14" ht="11.25" customHeight="1" x14ac:dyDescent="0.3">
      <c r="G4380" s="470"/>
      <c r="H4380" s="470">
        <v>4373</v>
      </c>
      <c r="I4380" s="455">
        <f t="shared" ca="1" si="170"/>
        <v>19629325538825.32</v>
      </c>
      <c r="J4380" s="455">
        <f t="array" ref="J4380">IFERROR(INDEX('Retirement Calculator'!K:K,MATCH('Lorri 401b'!N4380,'Retirement Calculator'!A:A,0),0),0)</f>
        <v>0</v>
      </c>
      <c r="K4380" s="455">
        <f t="shared" ca="1" si="168"/>
        <v>81788856411.772171</v>
      </c>
      <c r="L4380" s="455">
        <f t="shared" ca="1" si="169"/>
        <v>19711114395237.094</v>
      </c>
      <c r="M4380" s="471">
        <f t="shared" si="171"/>
        <v>0.05</v>
      </c>
      <c r="N4380" s="475">
        <f t="shared" si="172"/>
        <v>184358</v>
      </c>
    </row>
    <row r="4381" spans="7:14" ht="11.25" customHeight="1" x14ac:dyDescent="0.3">
      <c r="G4381" s="470"/>
      <c r="H4381" s="470">
        <v>4374</v>
      </c>
      <c r="I4381" s="455">
        <f t="shared" ca="1" si="170"/>
        <v>19711114395237.094</v>
      </c>
      <c r="J4381" s="455">
        <f t="array" ref="J4381">IFERROR(INDEX('Retirement Calculator'!K:K,MATCH('Lorri 401b'!N4381,'Retirement Calculator'!A:A,0),0),0)</f>
        <v>0</v>
      </c>
      <c r="K4381" s="455">
        <f t="shared" ca="1" si="168"/>
        <v>82129643313.487885</v>
      </c>
      <c r="L4381" s="455">
        <f t="shared" ca="1" si="169"/>
        <v>19793244038550.582</v>
      </c>
      <c r="M4381" s="471">
        <f t="shared" si="171"/>
        <v>0.05</v>
      </c>
      <c r="N4381" s="475">
        <f t="shared" si="172"/>
        <v>184389</v>
      </c>
    </row>
    <row r="4382" spans="7:14" ht="11.25" customHeight="1" x14ac:dyDescent="0.3">
      <c r="G4382" s="470"/>
      <c r="H4382" s="470">
        <v>4375</v>
      </c>
      <c r="I4382" s="455">
        <f t="shared" ca="1" si="170"/>
        <v>19793244038550.582</v>
      </c>
      <c r="J4382" s="455">
        <f t="array" ref="J4382">IFERROR(INDEX('Retirement Calculator'!K:K,MATCH('Lorri 401b'!N4382,'Retirement Calculator'!A:A,0),0),0)</f>
        <v>0</v>
      </c>
      <c r="K4382" s="455">
        <f t="shared" ca="1" si="168"/>
        <v>82471850160.627426</v>
      </c>
      <c r="L4382" s="455">
        <f t="shared" ca="1" si="169"/>
        <v>19875715888711.211</v>
      </c>
      <c r="M4382" s="471">
        <f t="shared" si="171"/>
        <v>0.05</v>
      </c>
      <c r="N4382" s="475">
        <f t="shared" si="172"/>
        <v>184419</v>
      </c>
    </row>
    <row r="4383" spans="7:14" ht="11.25" customHeight="1" x14ac:dyDescent="0.3">
      <c r="G4383" s="470"/>
      <c r="H4383" s="470">
        <v>4376</v>
      </c>
      <c r="I4383" s="455">
        <f t="shared" ca="1" si="170"/>
        <v>19875715888711.211</v>
      </c>
      <c r="J4383" s="455">
        <f t="array" ref="J4383">IFERROR(INDEX('Retirement Calculator'!K:K,MATCH('Lorri 401b'!N4383,'Retirement Calculator'!A:A,0),0),0)</f>
        <v>0</v>
      </c>
      <c r="K4383" s="455">
        <f t="shared" ca="1" si="168"/>
        <v>82815482869.630051</v>
      </c>
      <c r="L4383" s="455">
        <f t="shared" ca="1" si="169"/>
        <v>19958531371580.84</v>
      </c>
      <c r="M4383" s="471">
        <f t="shared" si="171"/>
        <v>0.05</v>
      </c>
      <c r="N4383" s="475">
        <f t="shared" si="172"/>
        <v>184450</v>
      </c>
    </row>
    <row r="4384" spans="7:14" ht="11.25" customHeight="1" x14ac:dyDescent="0.3">
      <c r="G4384" s="470"/>
      <c r="H4384" s="470">
        <v>4377</v>
      </c>
      <c r="I4384" s="455">
        <f t="shared" ca="1" si="170"/>
        <v>19958531371580.84</v>
      </c>
      <c r="J4384" s="455">
        <f t="array" ref="J4384">IFERROR(INDEX('Retirement Calculator'!K:K,MATCH('Lorri 401b'!N4384,'Retirement Calculator'!A:A,0),0),0)</f>
        <v>0</v>
      </c>
      <c r="K4384" s="455">
        <f t="shared" ca="1" si="168"/>
        <v>83160547381.586838</v>
      </c>
      <c r="L4384" s="455">
        <f t="shared" ca="1" si="169"/>
        <v>20041691918962.426</v>
      </c>
      <c r="M4384" s="471">
        <f t="shared" si="171"/>
        <v>0.05</v>
      </c>
      <c r="N4384" s="475">
        <f t="shared" si="172"/>
        <v>184481</v>
      </c>
    </row>
    <row r="4385" spans="7:14" ht="11.25" customHeight="1" x14ac:dyDescent="0.3">
      <c r="G4385" s="470"/>
      <c r="H4385" s="470">
        <v>4378</v>
      </c>
      <c r="I4385" s="455">
        <f t="shared" ca="1" si="170"/>
        <v>20041691918962.426</v>
      </c>
      <c r="J4385" s="455">
        <f t="array" ref="J4385">IFERROR(INDEX('Retirement Calculator'!K:K,MATCH('Lorri 401b'!N4385,'Retirement Calculator'!A:A,0),0),0)</f>
        <v>0</v>
      </c>
      <c r="K4385" s="455">
        <f t="shared" ca="1" si="168"/>
        <v>83507049662.343445</v>
      </c>
      <c r="L4385" s="455">
        <f t="shared" ca="1" si="169"/>
        <v>20125198968624.77</v>
      </c>
      <c r="M4385" s="471">
        <f t="shared" si="171"/>
        <v>0.05</v>
      </c>
      <c r="N4385" s="475">
        <f t="shared" si="172"/>
        <v>184509</v>
      </c>
    </row>
    <row r="4386" spans="7:14" ht="11.25" customHeight="1" x14ac:dyDescent="0.3">
      <c r="G4386" s="470"/>
      <c r="H4386" s="470">
        <v>4379</v>
      </c>
      <c r="I4386" s="455">
        <f t="shared" ca="1" si="170"/>
        <v>20125198968624.77</v>
      </c>
      <c r="J4386" s="455">
        <f t="array" ref="J4386">IFERROR(INDEX('Retirement Calculator'!K:K,MATCH('Lorri 401b'!N4386,'Retirement Calculator'!A:A,0),0),0)</f>
        <v>0</v>
      </c>
      <c r="K4386" s="455">
        <f t="shared" ca="1" si="168"/>
        <v>83854995702.60321</v>
      </c>
      <c r="L4386" s="455">
        <f t="shared" ca="1" si="169"/>
        <v>20209053964327.371</v>
      </c>
      <c r="M4386" s="471">
        <f t="shared" si="171"/>
        <v>0.05</v>
      </c>
      <c r="N4386" s="475">
        <f t="shared" si="172"/>
        <v>184540</v>
      </c>
    </row>
    <row r="4387" spans="7:14" ht="11.25" customHeight="1" x14ac:dyDescent="0.3">
      <c r="G4387" s="470"/>
      <c r="H4387" s="470">
        <v>4380</v>
      </c>
      <c r="I4387" s="455">
        <f t="shared" ca="1" si="170"/>
        <v>20209053964327.371</v>
      </c>
      <c r="J4387" s="455">
        <f t="array" ref="J4387">IFERROR(INDEX('Retirement Calculator'!K:K,MATCH('Lorri 401b'!N4387,'Retirement Calculator'!A:A,0),0),0)</f>
        <v>0</v>
      </c>
      <c r="K4387" s="455">
        <f t="shared" ca="1" si="168"/>
        <v>84204391518.030716</v>
      </c>
      <c r="L4387" s="455">
        <f t="shared" ca="1" si="169"/>
        <v>20293258355845.402</v>
      </c>
      <c r="M4387" s="471">
        <f t="shared" si="171"/>
        <v>0.05</v>
      </c>
      <c r="N4387" s="475">
        <f t="shared" si="172"/>
        <v>184570</v>
      </c>
    </row>
    <row r="4388" spans="7:14" ht="11.25" customHeight="1" x14ac:dyDescent="0.3">
      <c r="G4388" s="470"/>
      <c r="H4388" s="470">
        <v>4381</v>
      </c>
      <c r="I4388" s="455">
        <f t="shared" ca="1" si="170"/>
        <v>20293258355845.402</v>
      </c>
      <c r="J4388" s="455">
        <f t="array" ref="J4388">IFERROR(INDEX('Retirement Calculator'!K:K,MATCH('Lorri 401b'!N4388,'Retirement Calculator'!A:A,0),0),0)</f>
        <v>0</v>
      </c>
      <c r="K4388" s="455">
        <f t="shared" ca="1" si="168"/>
        <v>84555243149.355835</v>
      </c>
      <c r="L4388" s="455">
        <f t="shared" ca="1" si="169"/>
        <v>20377813598994.758</v>
      </c>
      <c r="M4388" s="471">
        <f t="shared" si="171"/>
        <v>0.05</v>
      </c>
      <c r="N4388" s="475">
        <f t="shared" si="172"/>
        <v>184601</v>
      </c>
    </row>
    <row r="4389" spans="7:14" ht="11.25" customHeight="1" x14ac:dyDescent="0.3">
      <c r="G4389" s="470"/>
      <c r="H4389" s="470">
        <v>4382</v>
      </c>
      <c r="I4389" s="455">
        <f t="shared" ca="1" si="170"/>
        <v>20377813598994.758</v>
      </c>
      <c r="J4389" s="455">
        <f t="array" ref="J4389">IFERROR(INDEX('Retirement Calculator'!K:K,MATCH('Lorri 401b'!N4389,'Retirement Calculator'!A:A,0),0),0)</f>
        <v>0</v>
      </c>
      <c r="K4389" s="455">
        <f t="shared" ca="1" si="168"/>
        <v>84907556662.478149</v>
      </c>
      <c r="L4389" s="455">
        <f t="shared" ca="1" si="169"/>
        <v>20462721155657.234</v>
      </c>
      <c r="M4389" s="471">
        <f t="shared" si="171"/>
        <v>0.05</v>
      </c>
      <c r="N4389" s="475">
        <f t="shared" si="172"/>
        <v>184631</v>
      </c>
    </row>
    <row r="4390" spans="7:14" ht="11.25" customHeight="1" x14ac:dyDescent="0.3">
      <c r="G4390" s="470"/>
      <c r="H4390" s="470">
        <v>4383</v>
      </c>
      <c r="I4390" s="455">
        <f t="shared" ca="1" si="170"/>
        <v>20462721155657.234</v>
      </c>
      <c r="J4390" s="455">
        <f t="array" ref="J4390">IFERROR(INDEX('Retirement Calculator'!K:K,MATCH('Lorri 401b'!N4390,'Retirement Calculator'!A:A,0),0),0)</f>
        <v>0</v>
      </c>
      <c r="K4390" s="455">
        <f t="shared" ca="1" si="168"/>
        <v>85261338148.571808</v>
      </c>
      <c r="L4390" s="455">
        <f t="shared" ca="1" si="169"/>
        <v>20547982493805.805</v>
      </c>
      <c r="M4390" s="471">
        <f t="shared" si="171"/>
        <v>0.05</v>
      </c>
      <c r="N4390" s="475">
        <f t="shared" si="172"/>
        <v>184662</v>
      </c>
    </row>
    <row r="4391" spans="7:14" ht="11.25" customHeight="1" x14ac:dyDescent="0.3">
      <c r="G4391" s="470"/>
      <c r="H4391" s="470">
        <v>4384</v>
      </c>
      <c r="I4391" s="455">
        <f t="shared" ca="1" si="170"/>
        <v>20547982493805.805</v>
      </c>
      <c r="J4391" s="455">
        <f t="array" ref="J4391">IFERROR(INDEX('Retirement Calculator'!K:K,MATCH('Lorri 401b'!N4391,'Retirement Calculator'!A:A,0),0),0)</f>
        <v>0</v>
      </c>
      <c r="K4391" s="455">
        <f t="shared" ca="1" si="168"/>
        <v>85616593724.190857</v>
      </c>
      <c r="L4391" s="455">
        <f t="shared" ca="1" si="169"/>
        <v>20633599087529.996</v>
      </c>
      <c r="M4391" s="471">
        <f t="shared" si="171"/>
        <v>0.05</v>
      </c>
      <c r="N4391" s="475">
        <f t="shared" si="172"/>
        <v>184693</v>
      </c>
    </row>
    <row r="4392" spans="7:14" ht="11.25" customHeight="1" x14ac:dyDescent="0.3">
      <c r="G4392" s="470"/>
      <c r="H4392" s="470">
        <v>4385</v>
      </c>
      <c r="I4392" s="455">
        <f t="shared" ca="1" si="170"/>
        <v>20633599087529.996</v>
      </c>
      <c r="J4392" s="455">
        <f t="array" ref="J4392">IFERROR(INDEX('Retirement Calculator'!K:K,MATCH('Lorri 401b'!N4392,'Retirement Calculator'!A:A,0),0),0)</f>
        <v>0</v>
      </c>
      <c r="K4392" s="455">
        <f t="shared" ca="1" si="168"/>
        <v>85973329531.374985</v>
      </c>
      <c r="L4392" s="455">
        <f t="shared" ca="1" si="169"/>
        <v>20719572417061.371</v>
      </c>
      <c r="M4392" s="471">
        <f t="shared" si="171"/>
        <v>0.05</v>
      </c>
      <c r="N4392" s="475">
        <f t="shared" si="172"/>
        <v>184723</v>
      </c>
    </row>
    <row r="4393" spans="7:14" ht="11.25" customHeight="1" x14ac:dyDescent="0.3">
      <c r="G4393" s="470"/>
      <c r="H4393" s="470">
        <v>4386</v>
      </c>
      <c r="I4393" s="455">
        <f t="shared" ca="1" si="170"/>
        <v>20719572417061.371</v>
      </c>
      <c r="J4393" s="455">
        <f t="array" ref="J4393">IFERROR(INDEX('Retirement Calculator'!K:K,MATCH('Lorri 401b'!N4393,'Retirement Calculator'!A:A,0),0),0)</f>
        <v>0</v>
      </c>
      <c r="K4393" s="455">
        <f t="shared" ca="1" si="168"/>
        <v>86331551737.755707</v>
      </c>
      <c r="L4393" s="455">
        <f t="shared" ca="1" si="169"/>
        <v>20805903968799.125</v>
      </c>
      <c r="M4393" s="471">
        <f t="shared" si="171"/>
        <v>0.05</v>
      </c>
      <c r="N4393" s="475">
        <f t="shared" si="172"/>
        <v>184754</v>
      </c>
    </row>
    <row r="4394" spans="7:14" ht="11.25" customHeight="1" x14ac:dyDescent="0.3">
      <c r="G4394" s="470"/>
      <c r="H4394" s="470">
        <v>4387</v>
      </c>
      <c r="I4394" s="455">
        <f t="shared" ca="1" si="170"/>
        <v>20805903968799.125</v>
      </c>
      <c r="J4394" s="455">
        <f t="array" ref="J4394">IFERROR(INDEX('Retirement Calculator'!K:K,MATCH('Lorri 401b'!N4394,'Retirement Calculator'!A:A,0),0),0)</f>
        <v>0</v>
      </c>
      <c r="K4394" s="455">
        <f t="shared" ca="1" si="168"/>
        <v>86691266536.663025</v>
      </c>
      <c r="L4394" s="455">
        <f t="shared" ca="1" si="169"/>
        <v>20892595235335.789</v>
      </c>
      <c r="M4394" s="471">
        <f t="shared" si="171"/>
        <v>0.05</v>
      </c>
      <c r="N4394" s="475">
        <f t="shared" si="172"/>
        <v>184784</v>
      </c>
    </row>
    <row r="4395" spans="7:14" ht="11.25" customHeight="1" x14ac:dyDescent="0.3">
      <c r="G4395" s="470"/>
      <c r="H4395" s="470">
        <v>4388</v>
      </c>
      <c r="I4395" s="455">
        <f t="shared" ca="1" si="170"/>
        <v>20892595235335.789</v>
      </c>
      <c r="J4395" s="455">
        <f t="array" ref="J4395">IFERROR(INDEX('Retirement Calculator'!K:K,MATCH('Lorri 401b'!N4395,'Retirement Calculator'!A:A,0),0),0)</f>
        <v>0</v>
      </c>
      <c r="K4395" s="455">
        <f t="shared" ca="1" si="168"/>
        <v>87052480147.232452</v>
      </c>
      <c r="L4395" s="455">
        <f t="shared" ca="1" si="169"/>
        <v>20979647715483.023</v>
      </c>
      <c r="M4395" s="471">
        <f t="shared" si="171"/>
        <v>0.05</v>
      </c>
      <c r="N4395" s="475">
        <f t="shared" si="172"/>
        <v>184815</v>
      </c>
    </row>
    <row r="4396" spans="7:14" ht="11.25" customHeight="1" x14ac:dyDescent="0.3">
      <c r="G4396" s="470"/>
      <c r="H4396" s="470">
        <v>4389</v>
      </c>
      <c r="I4396" s="455">
        <f t="shared" ca="1" si="170"/>
        <v>20979647715483.023</v>
      </c>
      <c r="J4396" s="455">
        <f t="array" ref="J4396">IFERROR(INDEX('Retirement Calculator'!K:K,MATCH('Lorri 401b'!N4396,'Retirement Calculator'!A:A,0),0),0)</f>
        <v>0</v>
      </c>
      <c r="K4396" s="455">
        <f t="shared" ca="1" si="168"/>
        <v>87415198814.512604</v>
      </c>
      <c r="L4396" s="455">
        <f t="shared" ca="1" si="169"/>
        <v>21067062914297.535</v>
      </c>
      <c r="M4396" s="471">
        <f t="shared" si="171"/>
        <v>0.05</v>
      </c>
      <c r="N4396" s="475">
        <f t="shared" si="172"/>
        <v>184846</v>
      </c>
    </row>
    <row r="4397" spans="7:14" ht="11.25" customHeight="1" x14ac:dyDescent="0.3">
      <c r="G4397" s="470"/>
      <c r="H4397" s="470">
        <v>4390</v>
      </c>
      <c r="I4397" s="455">
        <f t="shared" ca="1" si="170"/>
        <v>21067062914297.535</v>
      </c>
      <c r="J4397" s="455">
        <f t="array" ref="J4397">IFERROR(INDEX('Retirement Calculator'!K:K,MATCH('Lorri 401b'!N4397,'Retirement Calculator'!A:A,0),0),0)</f>
        <v>0</v>
      </c>
      <c r="K4397" s="455">
        <f t="shared" ca="1" si="168"/>
        <v>87779428809.573059</v>
      </c>
      <c r="L4397" s="455">
        <f t="shared" ca="1" si="169"/>
        <v>21154842343107.109</v>
      </c>
      <c r="M4397" s="471">
        <f t="shared" si="171"/>
        <v>0.05</v>
      </c>
      <c r="N4397" s="475">
        <f t="shared" si="172"/>
        <v>184874</v>
      </c>
    </row>
    <row r="4398" spans="7:14" ht="11.25" customHeight="1" x14ac:dyDescent="0.3">
      <c r="G4398" s="470"/>
      <c r="H4398" s="470">
        <v>4391</v>
      </c>
      <c r="I4398" s="455">
        <f t="shared" ca="1" si="170"/>
        <v>21154842343107.109</v>
      </c>
      <c r="J4398" s="455">
        <f t="array" ref="J4398">IFERROR(INDEX('Retirement Calculator'!K:K,MATCH('Lorri 401b'!N4398,'Retirement Calculator'!A:A,0),0),0)</f>
        <v>0</v>
      </c>
      <c r="K4398" s="455">
        <f t="shared" ca="1" si="168"/>
        <v>88145176429.612961</v>
      </c>
      <c r="L4398" s="455">
        <f t="shared" ca="1" si="169"/>
        <v>21242987519536.723</v>
      </c>
      <c r="M4398" s="471">
        <f t="shared" si="171"/>
        <v>0.05</v>
      </c>
      <c r="N4398" s="475">
        <f t="shared" si="172"/>
        <v>184905</v>
      </c>
    </row>
    <row r="4399" spans="7:14" ht="11.25" customHeight="1" x14ac:dyDescent="0.3">
      <c r="G4399" s="470"/>
      <c r="H4399" s="470">
        <v>4392</v>
      </c>
      <c r="I4399" s="455">
        <f t="shared" ca="1" si="170"/>
        <v>21242987519536.723</v>
      </c>
      <c r="J4399" s="455">
        <f t="array" ref="J4399">IFERROR(INDEX('Retirement Calculator'!K:K,MATCH('Lorri 401b'!N4399,'Retirement Calculator'!A:A,0),0),0)</f>
        <v>0</v>
      </c>
      <c r="K4399" s="455">
        <f t="shared" ca="1" si="168"/>
        <v>88512447998.069672</v>
      </c>
      <c r="L4399" s="455">
        <f t="shared" ca="1" si="169"/>
        <v>21331499967534.793</v>
      </c>
      <c r="M4399" s="471">
        <f t="shared" si="171"/>
        <v>0.05</v>
      </c>
      <c r="N4399" s="475">
        <f t="shared" si="172"/>
        <v>184935</v>
      </c>
    </row>
    <row r="4400" spans="7:14" ht="11.25" customHeight="1" x14ac:dyDescent="0.3">
      <c r="G4400" s="470"/>
      <c r="H4400" s="470">
        <v>4393</v>
      </c>
      <c r="I4400" s="455">
        <f t="shared" ca="1" si="170"/>
        <v>21331499967534.793</v>
      </c>
      <c r="J4400" s="455">
        <f t="array" ref="J4400">IFERROR(INDEX('Retirement Calculator'!K:K,MATCH('Lorri 401b'!N4400,'Retirement Calculator'!A:A,0),0),0)</f>
        <v>0</v>
      </c>
      <c r="K4400" s="455">
        <f t="shared" ca="1" si="168"/>
        <v>88881249864.728302</v>
      </c>
      <c r="L4400" s="455">
        <f t="shared" ca="1" si="169"/>
        <v>21420381217399.52</v>
      </c>
      <c r="M4400" s="471">
        <f t="shared" si="171"/>
        <v>0.05</v>
      </c>
      <c r="N4400" s="475">
        <f t="shared" si="172"/>
        <v>184966</v>
      </c>
    </row>
    <row r="4401" spans="7:14" ht="11.25" customHeight="1" x14ac:dyDescent="0.3">
      <c r="G4401" s="470"/>
      <c r="H4401" s="470">
        <v>4394</v>
      </c>
      <c r="I4401" s="455">
        <f t="shared" ca="1" si="170"/>
        <v>21420381217399.52</v>
      </c>
      <c r="J4401" s="455">
        <f t="array" ref="J4401">IFERROR(INDEX('Retirement Calculator'!K:K,MATCH('Lorri 401b'!N4401,'Retirement Calculator'!A:A,0),0),0)</f>
        <v>0</v>
      </c>
      <c r="K4401" s="455">
        <f t="shared" ca="1" si="168"/>
        <v>89251588405.831329</v>
      </c>
      <c r="L4401" s="455">
        <f t="shared" ca="1" si="169"/>
        <v>21509632805805.352</v>
      </c>
      <c r="M4401" s="471">
        <f t="shared" si="171"/>
        <v>0.05</v>
      </c>
      <c r="N4401" s="475">
        <f t="shared" si="172"/>
        <v>184996</v>
      </c>
    </row>
    <row r="4402" spans="7:14" ht="11.25" customHeight="1" x14ac:dyDescent="0.3">
      <c r="G4402" s="470"/>
      <c r="H4402" s="470">
        <v>4395</v>
      </c>
      <c r="I4402" s="455">
        <f t="shared" ca="1" si="170"/>
        <v>21509632805805.352</v>
      </c>
      <c r="J4402" s="455">
        <f t="array" ref="J4402">IFERROR(INDEX('Retirement Calculator'!K:K,MATCH('Lorri 401b'!N4402,'Retirement Calculator'!A:A,0),0),0)</f>
        <v>0</v>
      </c>
      <c r="K4402" s="455">
        <f t="shared" ca="1" si="168"/>
        <v>89623470024.188965</v>
      </c>
      <c r="L4402" s="455">
        <f t="shared" ca="1" si="169"/>
        <v>21599256275829.539</v>
      </c>
      <c r="M4402" s="471">
        <f t="shared" si="171"/>
        <v>0.05</v>
      </c>
      <c r="N4402" s="475">
        <f t="shared" si="172"/>
        <v>185027</v>
      </c>
    </row>
    <row r="4403" spans="7:14" ht="11.25" customHeight="1" x14ac:dyDescent="0.3">
      <c r="G4403" s="470"/>
      <c r="H4403" s="470">
        <v>4396</v>
      </c>
      <c r="I4403" s="455">
        <f t="shared" ca="1" si="170"/>
        <v>21599256275829.539</v>
      </c>
      <c r="J4403" s="455">
        <f t="array" ref="J4403">IFERROR(INDEX('Retirement Calculator'!K:K,MATCH('Lorri 401b'!N4403,'Retirement Calculator'!A:A,0),0),0)</f>
        <v>0</v>
      </c>
      <c r="K4403" s="455">
        <f t="shared" ca="1" si="168"/>
        <v>89996901149.289749</v>
      </c>
      <c r="L4403" s="455">
        <f t="shared" ca="1" si="169"/>
        <v>21689253176978.828</v>
      </c>
      <c r="M4403" s="471">
        <f t="shared" si="171"/>
        <v>0.05</v>
      </c>
      <c r="N4403" s="475">
        <f t="shared" si="172"/>
        <v>185058</v>
      </c>
    </row>
    <row r="4404" spans="7:14" ht="11.25" customHeight="1" x14ac:dyDescent="0.3">
      <c r="G4404" s="470"/>
      <c r="H4404" s="470">
        <v>4397</v>
      </c>
      <c r="I4404" s="455">
        <f t="shared" ca="1" si="170"/>
        <v>21689253176978.828</v>
      </c>
      <c r="J4404" s="455">
        <f t="array" ref="J4404">IFERROR(INDEX('Retirement Calculator'!K:K,MATCH('Lorri 401b'!N4404,'Retirement Calculator'!A:A,0),0),0)</f>
        <v>0</v>
      </c>
      <c r="K4404" s="455">
        <f t="shared" ca="1" si="168"/>
        <v>90371888237.411789</v>
      </c>
      <c r="L4404" s="455">
        <f t="shared" ca="1" si="169"/>
        <v>21779625065216.238</v>
      </c>
      <c r="M4404" s="471">
        <f t="shared" si="171"/>
        <v>0.05</v>
      </c>
      <c r="N4404" s="475">
        <f t="shared" si="172"/>
        <v>185088</v>
      </c>
    </row>
    <row r="4405" spans="7:14" ht="11.25" customHeight="1" x14ac:dyDescent="0.3">
      <c r="G4405" s="470"/>
      <c r="H4405" s="470">
        <v>4398</v>
      </c>
      <c r="I4405" s="455">
        <f t="shared" ca="1" si="170"/>
        <v>21779625065216.238</v>
      </c>
      <c r="J4405" s="455">
        <f t="array" ref="J4405">IFERROR(INDEX('Retirement Calculator'!K:K,MATCH('Lorri 401b'!N4405,'Retirement Calculator'!A:A,0),0),0)</f>
        <v>0</v>
      </c>
      <c r="K4405" s="455">
        <f t="shared" ca="1" si="168"/>
        <v>90748437771.734329</v>
      </c>
      <c r="L4405" s="455">
        <f t="shared" ca="1" si="169"/>
        <v>21870373502987.973</v>
      </c>
      <c r="M4405" s="471">
        <f t="shared" si="171"/>
        <v>0.05</v>
      </c>
      <c r="N4405" s="475">
        <f t="shared" si="172"/>
        <v>185119</v>
      </c>
    </row>
    <row r="4406" spans="7:14" ht="11.25" customHeight="1" x14ac:dyDescent="0.3">
      <c r="G4406" s="470"/>
      <c r="H4406" s="470">
        <v>4399</v>
      </c>
      <c r="I4406" s="455">
        <f t="shared" ca="1" si="170"/>
        <v>21870373502987.973</v>
      </c>
      <c r="J4406" s="455">
        <f t="array" ref="J4406">IFERROR(INDEX('Retirement Calculator'!K:K,MATCH('Lorri 401b'!N4406,'Retirement Calculator'!A:A,0),0),0)</f>
        <v>0</v>
      </c>
      <c r="K4406" s="455">
        <f t="shared" ca="1" si="168"/>
        <v>91126556262.44989</v>
      </c>
      <c r="L4406" s="455">
        <f t="shared" ca="1" si="169"/>
        <v>21961500059250.422</v>
      </c>
      <c r="M4406" s="471">
        <f t="shared" si="171"/>
        <v>0.05</v>
      </c>
      <c r="N4406" s="475">
        <f t="shared" si="172"/>
        <v>185149</v>
      </c>
    </row>
    <row r="4407" spans="7:14" ht="11.25" customHeight="1" x14ac:dyDescent="0.3">
      <c r="G4407" s="470"/>
      <c r="H4407" s="470">
        <v>4400</v>
      </c>
      <c r="I4407" s="455">
        <f t="shared" ca="1" si="170"/>
        <v>21961500059250.422</v>
      </c>
      <c r="J4407" s="455">
        <f t="array" ref="J4407">IFERROR(INDEX('Retirement Calculator'!K:K,MATCH('Lorri 401b'!N4407,'Retirement Calculator'!A:A,0),0),0)</f>
        <v>0</v>
      </c>
      <c r="K4407" s="455">
        <f t="shared" ca="1" si="168"/>
        <v>91506250246.876755</v>
      </c>
      <c r="L4407" s="455">
        <f t="shared" ca="1" si="169"/>
        <v>22053006309497.297</v>
      </c>
      <c r="M4407" s="471">
        <f t="shared" si="171"/>
        <v>0.05</v>
      </c>
      <c r="N4407" s="475">
        <f t="shared" si="172"/>
        <v>185180</v>
      </c>
    </row>
    <row r="4408" spans="7:14" ht="11.25" customHeight="1" x14ac:dyDescent="0.3">
      <c r="G4408" s="470"/>
      <c r="H4408" s="470">
        <v>4401</v>
      </c>
      <c r="I4408" s="455">
        <f t="shared" ca="1" si="170"/>
        <v>22053006309497.297</v>
      </c>
      <c r="J4408" s="455">
        <f t="array" ref="J4408">IFERROR(INDEX('Retirement Calculator'!K:K,MATCH('Lorri 401b'!N4408,'Retirement Calculator'!A:A,0),0),0)</f>
        <v>0</v>
      </c>
      <c r="K4408" s="455">
        <f t="shared" ca="1" si="168"/>
        <v>91887526289.572067</v>
      </c>
      <c r="L4408" s="455">
        <f t="shared" ca="1" si="169"/>
        <v>22144893835786.867</v>
      </c>
      <c r="M4408" s="471">
        <f t="shared" si="171"/>
        <v>0.05</v>
      </c>
      <c r="N4408" s="475">
        <f t="shared" si="172"/>
        <v>185211</v>
      </c>
    </row>
    <row r="4409" spans="7:14" ht="11.25" customHeight="1" x14ac:dyDescent="0.3">
      <c r="G4409" s="470"/>
      <c r="H4409" s="470">
        <v>4402</v>
      </c>
      <c r="I4409" s="455">
        <f t="shared" ca="1" si="170"/>
        <v>22144893835786.867</v>
      </c>
      <c r="J4409" s="455">
        <f t="array" ref="J4409">IFERROR(INDEX('Retirement Calculator'!K:K,MATCH('Lorri 401b'!N4409,'Retirement Calculator'!A:A,0),0),0)</f>
        <v>0</v>
      </c>
      <c r="K4409" s="455">
        <f t="shared" ca="1" si="168"/>
        <v>92270390982.445282</v>
      </c>
      <c r="L4409" s="455">
        <f t="shared" ca="1" si="169"/>
        <v>22237164226769.313</v>
      </c>
      <c r="M4409" s="471">
        <f t="shared" si="171"/>
        <v>0.05</v>
      </c>
      <c r="N4409" s="475">
        <f t="shared" si="172"/>
        <v>185239</v>
      </c>
    </row>
    <row r="4410" spans="7:14" ht="11.25" customHeight="1" x14ac:dyDescent="0.3">
      <c r="G4410" s="470"/>
      <c r="H4410" s="470">
        <v>4403</v>
      </c>
      <c r="I4410" s="455">
        <f t="shared" ca="1" si="170"/>
        <v>22237164226769.313</v>
      </c>
      <c r="J4410" s="455">
        <f t="array" ref="J4410">IFERROR(INDEX('Retirement Calculator'!K:K,MATCH('Lorri 401b'!N4410,'Retirement Calculator'!A:A,0),0),0)</f>
        <v>0</v>
      </c>
      <c r="K4410" s="455">
        <f t="shared" ca="1" si="168"/>
        <v>92654850944.872131</v>
      </c>
      <c r="L4410" s="455">
        <f t="shared" ca="1" si="169"/>
        <v>22329819077714.184</v>
      </c>
      <c r="M4410" s="471">
        <f t="shared" si="171"/>
        <v>0.05</v>
      </c>
      <c r="N4410" s="475">
        <f t="shared" si="172"/>
        <v>185270</v>
      </c>
    </row>
    <row r="4411" spans="7:14" ht="11.25" customHeight="1" x14ac:dyDescent="0.3">
      <c r="G4411" s="470"/>
      <c r="H4411" s="470">
        <v>4404</v>
      </c>
      <c r="I4411" s="455">
        <f t="shared" ca="1" si="170"/>
        <v>22329819077714.184</v>
      </c>
      <c r="J4411" s="455">
        <f t="array" ref="J4411">IFERROR(INDEX('Retirement Calculator'!K:K,MATCH('Lorri 401b'!N4411,'Retirement Calculator'!A:A,0),0),0)</f>
        <v>0</v>
      </c>
      <c r="K4411" s="455">
        <f t="shared" ca="1" si="168"/>
        <v>93040912823.809097</v>
      </c>
      <c r="L4411" s="455">
        <f t="shared" ca="1" si="169"/>
        <v>22422859990537.992</v>
      </c>
      <c r="M4411" s="471">
        <f t="shared" si="171"/>
        <v>0.05</v>
      </c>
      <c r="N4411" s="475">
        <f t="shared" si="172"/>
        <v>185300</v>
      </c>
    </row>
    <row r="4412" spans="7:14" ht="11.25" customHeight="1" x14ac:dyDescent="0.3">
      <c r="G4412" s="470"/>
      <c r="H4412" s="470">
        <v>4405</v>
      </c>
      <c r="I4412" s="455">
        <f t="shared" ca="1" si="170"/>
        <v>22422859990537.992</v>
      </c>
      <c r="J4412" s="455">
        <f t="array" ref="J4412">IFERROR(INDEX('Retirement Calculator'!K:K,MATCH('Lorri 401b'!N4412,'Retirement Calculator'!A:A,0),0),0)</f>
        <v>0</v>
      </c>
      <c r="K4412" s="455">
        <f t="shared" ca="1" si="168"/>
        <v>93428583293.908295</v>
      </c>
      <c r="L4412" s="455">
        <f t="shared" ca="1" si="169"/>
        <v>22516288573831.902</v>
      </c>
      <c r="M4412" s="471">
        <f t="shared" si="171"/>
        <v>0.05</v>
      </c>
      <c r="N4412" s="475">
        <f t="shared" si="172"/>
        <v>185331</v>
      </c>
    </row>
    <row r="4413" spans="7:14" ht="11.25" customHeight="1" x14ac:dyDescent="0.3">
      <c r="G4413" s="470"/>
      <c r="H4413" s="470">
        <v>4406</v>
      </c>
      <c r="I4413" s="455">
        <f t="shared" ca="1" si="170"/>
        <v>22516288573831.902</v>
      </c>
      <c r="J4413" s="455">
        <f t="array" ref="J4413">IFERROR(INDEX('Retirement Calculator'!K:K,MATCH('Lorri 401b'!N4413,'Retirement Calculator'!A:A,0),0),0)</f>
        <v>0</v>
      </c>
      <c r="K4413" s="455">
        <f t="shared" ca="1" si="168"/>
        <v>93817869057.632919</v>
      </c>
      <c r="L4413" s="455">
        <f t="shared" ca="1" si="169"/>
        <v>22610106442889.535</v>
      </c>
      <c r="M4413" s="471">
        <f t="shared" si="171"/>
        <v>0.05</v>
      </c>
      <c r="N4413" s="475">
        <f t="shared" si="172"/>
        <v>185361</v>
      </c>
    </row>
    <row r="4414" spans="7:14" ht="11.25" customHeight="1" x14ac:dyDescent="0.3">
      <c r="G4414" s="470"/>
      <c r="H4414" s="470">
        <v>4407</v>
      </c>
      <c r="I4414" s="455">
        <f t="shared" ca="1" si="170"/>
        <v>22610106442889.535</v>
      </c>
      <c r="J4414" s="455">
        <f t="array" ref="J4414">IFERROR(INDEX('Retirement Calculator'!K:K,MATCH('Lorri 401b'!N4414,'Retirement Calculator'!A:A,0),0),0)</f>
        <v>0</v>
      </c>
      <c r="K4414" s="455">
        <f t="shared" ca="1" si="168"/>
        <v>94208776845.373062</v>
      </c>
      <c r="L4414" s="455">
        <f t="shared" ca="1" si="169"/>
        <v>22704315219734.91</v>
      </c>
      <c r="M4414" s="471">
        <f t="shared" si="171"/>
        <v>0.05</v>
      </c>
      <c r="N4414" s="475">
        <f t="shared" si="172"/>
        <v>185392</v>
      </c>
    </row>
    <row r="4415" spans="7:14" ht="11.25" customHeight="1" x14ac:dyDescent="0.3">
      <c r="G4415" s="470"/>
      <c r="H4415" s="470">
        <v>4408</v>
      </c>
      <c r="I4415" s="455">
        <f t="shared" ca="1" si="170"/>
        <v>22704315219734.91</v>
      </c>
      <c r="J4415" s="455">
        <f t="array" ref="J4415">IFERROR(INDEX('Retirement Calculator'!K:K,MATCH('Lorri 401b'!N4415,'Retirement Calculator'!A:A,0),0),0)</f>
        <v>0</v>
      </c>
      <c r="K4415" s="455">
        <f t="shared" ca="1" si="168"/>
        <v>94601313415.562119</v>
      </c>
      <c r="L4415" s="455">
        <f t="shared" ca="1" si="169"/>
        <v>22798916533150.473</v>
      </c>
      <c r="M4415" s="471">
        <f t="shared" si="171"/>
        <v>0.05</v>
      </c>
      <c r="N4415" s="475">
        <f t="shared" si="172"/>
        <v>185423</v>
      </c>
    </row>
    <row r="4416" spans="7:14" ht="11.25" customHeight="1" x14ac:dyDescent="0.3">
      <c r="G4416" s="470"/>
      <c r="H4416" s="470">
        <v>4409</v>
      </c>
      <c r="I4416" s="455">
        <f t="shared" ca="1" si="170"/>
        <v>22798916533150.473</v>
      </c>
      <c r="J4416" s="455">
        <f t="array" ref="J4416">IFERROR(INDEX('Retirement Calculator'!K:K,MATCH('Lorri 401b'!N4416,'Retirement Calculator'!A:A,0),0),0)</f>
        <v>0</v>
      </c>
      <c r="K4416" s="455">
        <f t="shared" ca="1" si="168"/>
        <v>94995485554.79364</v>
      </c>
      <c r="L4416" s="455">
        <f t="shared" ca="1" si="169"/>
        <v>22893912018705.266</v>
      </c>
      <c r="M4416" s="471">
        <f t="shared" si="171"/>
        <v>0.05</v>
      </c>
      <c r="N4416" s="475">
        <f t="shared" si="172"/>
        <v>185453</v>
      </c>
    </row>
    <row r="4417" spans="7:14" ht="11.25" customHeight="1" x14ac:dyDescent="0.3">
      <c r="G4417" s="470"/>
      <c r="H4417" s="470">
        <v>4410</v>
      </c>
      <c r="I4417" s="455">
        <f t="shared" ca="1" si="170"/>
        <v>22893912018705.266</v>
      </c>
      <c r="J4417" s="455">
        <f t="array" ref="J4417">IFERROR(INDEX('Retirement Calculator'!K:K,MATCH('Lorri 401b'!N4417,'Retirement Calculator'!A:A,0),0),0)</f>
        <v>0</v>
      </c>
      <c r="K4417" s="455">
        <f t="shared" ca="1" si="168"/>
        <v>95391300077.938599</v>
      </c>
      <c r="L4417" s="455">
        <f t="shared" ca="1" si="169"/>
        <v>22989303318783.203</v>
      </c>
      <c r="M4417" s="471">
        <f t="shared" si="171"/>
        <v>0.05</v>
      </c>
      <c r="N4417" s="475">
        <f t="shared" si="172"/>
        <v>185484</v>
      </c>
    </row>
    <row r="4418" spans="7:14" ht="11.25" customHeight="1" x14ac:dyDescent="0.3">
      <c r="G4418" s="470"/>
      <c r="H4418" s="470">
        <v>4411</v>
      </c>
      <c r="I4418" s="455">
        <f t="shared" ca="1" si="170"/>
        <v>22989303318783.203</v>
      </c>
      <c r="J4418" s="455">
        <f t="array" ref="J4418">IFERROR(INDEX('Retirement Calculator'!K:K,MATCH('Lorri 401b'!N4418,'Retirement Calculator'!A:A,0),0),0)</f>
        <v>0</v>
      </c>
      <c r="K4418" s="455">
        <f t="shared" ca="1" si="168"/>
        <v>95788763828.263351</v>
      </c>
      <c r="L4418" s="455">
        <f t="shared" ca="1" si="169"/>
        <v>23085092082611.465</v>
      </c>
      <c r="M4418" s="471">
        <f t="shared" si="171"/>
        <v>0.05</v>
      </c>
      <c r="N4418" s="475">
        <f t="shared" si="172"/>
        <v>185514</v>
      </c>
    </row>
    <row r="4419" spans="7:14" ht="11.25" customHeight="1" x14ac:dyDescent="0.3">
      <c r="G4419" s="470"/>
      <c r="H4419" s="470">
        <v>4412</v>
      </c>
      <c r="I4419" s="455">
        <f t="shared" ca="1" si="170"/>
        <v>23085092082611.465</v>
      </c>
      <c r="J4419" s="455">
        <f t="array" ref="J4419">IFERROR(INDEX('Retirement Calculator'!K:K,MATCH('Lorri 401b'!N4419,'Retirement Calculator'!A:A,0),0),0)</f>
        <v>0</v>
      </c>
      <c r="K4419" s="455">
        <f t="shared" ca="1" si="168"/>
        <v>96187883677.547775</v>
      </c>
      <c r="L4419" s="455">
        <f t="shared" ca="1" si="169"/>
        <v>23181279966289.012</v>
      </c>
      <c r="M4419" s="471">
        <f t="shared" si="171"/>
        <v>0.05</v>
      </c>
      <c r="N4419" s="475">
        <f t="shared" si="172"/>
        <v>185545</v>
      </c>
    </row>
    <row r="4420" spans="7:14" ht="11.25" customHeight="1" x14ac:dyDescent="0.3">
      <c r="G4420" s="470"/>
      <c r="H4420" s="470">
        <v>4413</v>
      </c>
      <c r="I4420" s="455">
        <f t="shared" ca="1" si="170"/>
        <v>23181279966289.012</v>
      </c>
      <c r="J4420" s="455">
        <f t="array" ref="J4420">IFERROR(INDEX('Retirement Calculator'!K:K,MATCH('Lorri 401b'!N4420,'Retirement Calculator'!A:A,0),0),0)</f>
        <v>0</v>
      </c>
      <c r="K4420" s="455">
        <f t="shared" ca="1" si="168"/>
        <v>96588666526.204208</v>
      </c>
      <c r="L4420" s="455">
        <f t="shared" ca="1" si="169"/>
        <v>23277868632815.215</v>
      </c>
      <c r="M4420" s="471">
        <f t="shared" si="171"/>
        <v>0.05</v>
      </c>
      <c r="N4420" s="475">
        <f t="shared" si="172"/>
        <v>185576</v>
      </c>
    </row>
    <row r="4421" spans="7:14" ht="11.25" customHeight="1" x14ac:dyDescent="0.3">
      <c r="G4421" s="470"/>
      <c r="H4421" s="470">
        <v>4414</v>
      </c>
      <c r="I4421" s="455">
        <f t="shared" ca="1" si="170"/>
        <v>23277868632815.215</v>
      </c>
      <c r="J4421" s="455">
        <f t="array" ref="J4421">IFERROR(INDEX('Retirement Calculator'!K:K,MATCH('Lorri 401b'!N4421,'Retirement Calculator'!A:A,0),0),0)</f>
        <v>0</v>
      </c>
      <c r="K4421" s="455">
        <f t="shared" ca="1" si="168"/>
        <v>96991119303.396729</v>
      </c>
      <c r="L4421" s="455">
        <f t="shared" ca="1" si="169"/>
        <v>23374859752118.613</v>
      </c>
      <c r="M4421" s="471">
        <f t="shared" si="171"/>
        <v>0.05</v>
      </c>
      <c r="N4421" s="475">
        <f t="shared" si="172"/>
        <v>185605</v>
      </c>
    </row>
    <row r="4422" spans="7:14" ht="11.25" customHeight="1" x14ac:dyDescent="0.3">
      <c r="G4422" s="470"/>
      <c r="H4422" s="470">
        <v>4415</v>
      </c>
      <c r="I4422" s="455">
        <f t="shared" ca="1" si="170"/>
        <v>23374859752118.613</v>
      </c>
      <c r="J4422" s="455">
        <f t="array" ref="J4422">IFERROR(INDEX('Retirement Calculator'!K:K,MATCH('Lorri 401b'!N4422,'Retirement Calculator'!A:A,0),0),0)</f>
        <v>0</v>
      </c>
      <c r="K4422" s="455">
        <f t="shared" ca="1" si="168"/>
        <v>97395248967.160889</v>
      </c>
      <c r="L4422" s="455">
        <f t="shared" ca="1" si="169"/>
        <v>23472255001085.773</v>
      </c>
      <c r="M4422" s="471">
        <f t="shared" si="171"/>
        <v>0.05</v>
      </c>
      <c r="N4422" s="475">
        <f t="shared" si="172"/>
        <v>185636</v>
      </c>
    </row>
    <row r="4423" spans="7:14" ht="11.25" customHeight="1" x14ac:dyDescent="0.3">
      <c r="G4423" s="470"/>
      <c r="H4423" s="470">
        <v>4416</v>
      </c>
      <c r="I4423" s="455">
        <f t="shared" ca="1" si="170"/>
        <v>23472255001085.773</v>
      </c>
      <c r="J4423" s="455">
        <f t="array" ref="J4423">IFERROR(INDEX('Retirement Calculator'!K:K,MATCH('Lorri 401b'!N4423,'Retirement Calculator'!A:A,0),0),0)</f>
        <v>0</v>
      </c>
      <c r="K4423" s="455">
        <f t="shared" ca="1" si="168"/>
        <v>97801062504.524048</v>
      </c>
      <c r="L4423" s="455">
        <f t="shared" ca="1" si="169"/>
        <v>23570056063590.297</v>
      </c>
      <c r="M4423" s="471">
        <f t="shared" si="171"/>
        <v>0.05</v>
      </c>
      <c r="N4423" s="475">
        <f t="shared" si="172"/>
        <v>185666</v>
      </c>
    </row>
    <row r="4424" spans="7:14" ht="11.25" customHeight="1" x14ac:dyDescent="0.3">
      <c r="G4424" s="470"/>
      <c r="H4424" s="470">
        <v>4417</v>
      </c>
      <c r="I4424" s="455">
        <f t="shared" ca="1" si="170"/>
        <v>23570056063590.297</v>
      </c>
      <c r="J4424" s="455">
        <f t="array" ref="J4424">IFERROR(INDEX('Retirement Calculator'!K:K,MATCH('Lorri 401b'!N4424,'Retirement Calculator'!A:A,0),0),0)</f>
        <v>0</v>
      </c>
      <c r="K4424" s="455">
        <f t="shared" ca="1" si="168"/>
        <v>98208566931.626236</v>
      </c>
      <c r="L4424" s="455">
        <f t="shared" ca="1" si="169"/>
        <v>23668264630521.922</v>
      </c>
      <c r="M4424" s="471">
        <f t="shared" si="171"/>
        <v>0.05</v>
      </c>
      <c r="N4424" s="475">
        <f t="shared" si="172"/>
        <v>185697</v>
      </c>
    </row>
    <row r="4425" spans="7:14" ht="11.25" customHeight="1" x14ac:dyDescent="0.3">
      <c r="G4425" s="470"/>
      <c r="H4425" s="470">
        <v>4418</v>
      </c>
      <c r="I4425" s="455">
        <f t="shared" ca="1" si="170"/>
        <v>23668264630521.922</v>
      </c>
      <c r="J4425" s="455">
        <f t="array" ref="J4425">IFERROR(INDEX('Retirement Calculator'!K:K,MATCH('Lorri 401b'!N4425,'Retirement Calculator'!A:A,0),0),0)</f>
        <v>0</v>
      </c>
      <c r="K4425" s="455">
        <f t="shared" ca="1" si="168"/>
        <v>98617769293.841339</v>
      </c>
      <c r="L4425" s="455">
        <f t="shared" ca="1" si="169"/>
        <v>23766882399815.762</v>
      </c>
      <c r="M4425" s="471">
        <f t="shared" si="171"/>
        <v>0.05</v>
      </c>
      <c r="N4425" s="475">
        <f t="shared" si="172"/>
        <v>185727</v>
      </c>
    </row>
    <row r="4426" spans="7:14" ht="11.25" customHeight="1" x14ac:dyDescent="0.3">
      <c r="G4426" s="470"/>
      <c r="H4426" s="470">
        <v>4419</v>
      </c>
      <c r="I4426" s="455">
        <f t="shared" ca="1" si="170"/>
        <v>23766882399815.762</v>
      </c>
      <c r="J4426" s="455">
        <f t="array" ref="J4426">IFERROR(INDEX('Retirement Calculator'!K:K,MATCH('Lorri 401b'!N4426,'Retirement Calculator'!A:A,0),0),0)</f>
        <v>0</v>
      </c>
      <c r="K4426" s="455">
        <f t="shared" ca="1" si="168"/>
        <v>99028676665.899002</v>
      </c>
      <c r="L4426" s="455">
        <f t="shared" ca="1" si="169"/>
        <v>23865911076481.66</v>
      </c>
      <c r="M4426" s="471">
        <f t="shared" si="171"/>
        <v>0.05</v>
      </c>
      <c r="N4426" s="475">
        <f t="shared" si="172"/>
        <v>185758</v>
      </c>
    </row>
    <row r="4427" spans="7:14" ht="11.25" customHeight="1" x14ac:dyDescent="0.3">
      <c r="G4427" s="470"/>
      <c r="H4427" s="470">
        <v>4420</v>
      </c>
      <c r="I4427" s="455">
        <f t="shared" ca="1" si="170"/>
        <v>23865911076481.66</v>
      </c>
      <c r="J4427" s="455">
        <f t="array" ref="J4427">IFERROR(INDEX('Retirement Calculator'!K:K,MATCH('Lorri 401b'!N4427,'Retirement Calculator'!A:A,0),0),0)</f>
        <v>0</v>
      </c>
      <c r="K4427" s="455">
        <f t="shared" ca="1" si="168"/>
        <v>99441296152.006912</v>
      </c>
      <c r="L4427" s="455">
        <f t="shared" ca="1" si="169"/>
        <v>23965352372633.668</v>
      </c>
      <c r="M4427" s="471">
        <f t="shared" si="171"/>
        <v>0.05</v>
      </c>
      <c r="N4427" s="475">
        <f t="shared" si="172"/>
        <v>185789</v>
      </c>
    </row>
    <row r="4428" spans="7:14" ht="11.25" customHeight="1" x14ac:dyDescent="0.3">
      <c r="G4428" s="470"/>
      <c r="H4428" s="470">
        <v>4421</v>
      </c>
      <c r="I4428" s="455">
        <f t="shared" ca="1" si="170"/>
        <v>23965352372633.668</v>
      </c>
      <c r="J4428" s="455">
        <f t="array" ref="J4428">IFERROR(INDEX('Retirement Calculator'!K:K,MATCH('Lorri 401b'!N4428,'Retirement Calculator'!A:A,0),0),0)</f>
        <v>0</v>
      </c>
      <c r="K4428" s="455">
        <f t="shared" ca="1" si="168"/>
        <v>99855634885.973618</v>
      </c>
      <c r="L4428" s="455">
        <f t="shared" ca="1" si="169"/>
        <v>24065208007519.641</v>
      </c>
      <c r="M4428" s="471">
        <f t="shared" si="171"/>
        <v>0.05</v>
      </c>
      <c r="N4428" s="475">
        <f t="shared" si="172"/>
        <v>185819</v>
      </c>
    </row>
    <row r="4429" spans="7:14" ht="11.25" customHeight="1" x14ac:dyDescent="0.3">
      <c r="G4429" s="470"/>
      <c r="H4429" s="470">
        <v>4422</v>
      </c>
      <c r="I4429" s="455">
        <f t="shared" ca="1" si="170"/>
        <v>24065208007519.641</v>
      </c>
      <c r="J4429" s="455">
        <f t="array" ref="J4429">IFERROR(INDEX('Retirement Calculator'!K:K,MATCH('Lorri 401b'!N4429,'Retirement Calculator'!A:A,0),0),0)</f>
        <v>0</v>
      </c>
      <c r="K4429" s="455">
        <f t="shared" ca="1" si="168"/>
        <v>100271700031.33183</v>
      </c>
      <c r="L4429" s="455">
        <f t="shared" ca="1" si="169"/>
        <v>24165479707550.973</v>
      </c>
      <c r="M4429" s="471">
        <f t="shared" si="171"/>
        <v>0.05</v>
      </c>
      <c r="N4429" s="475">
        <f t="shared" si="172"/>
        <v>185850</v>
      </c>
    </row>
    <row r="4430" spans="7:14" ht="11.25" customHeight="1" x14ac:dyDescent="0.3">
      <c r="G4430" s="470"/>
      <c r="H4430" s="470">
        <v>4423</v>
      </c>
      <c r="I4430" s="455">
        <f t="shared" ca="1" si="170"/>
        <v>24165479707550.973</v>
      </c>
      <c r="J4430" s="455">
        <f t="array" ref="J4430">IFERROR(INDEX('Retirement Calculator'!K:K,MATCH('Lorri 401b'!N4430,'Retirement Calculator'!A:A,0),0),0)</f>
        <v>0</v>
      </c>
      <c r="K4430" s="455">
        <f t="shared" ca="1" si="168"/>
        <v>100689498781.46239</v>
      </c>
      <c r="L4430" s="455">
        <f t="shared" ca="1" si="169"/>
        <v>24266169206332.434</v>
      </c>
      <c r="M4430" s="471">
        <f t="shared" si="171"/>
        <v>0.05</v>
      </c>
      <c r="N4430" s="475">
        <f t="shared" si="172"/>
        <v>185880</v>
      </c>
    </row>
    <row r="4431" spans="7:14" ht="11.25" customHeight="1" x14ac:dyDescent="0.3">
      <c r="G4431" s="470"/>
      <c r="H4431" s="470">
        <v>4424</v>
      </c>
      <c r="I4431" s="455">
        <f t="shared" ca="1" si="170"/>
        <v>24266169206332.434</v>
      </c>
      <c r="J4431" s="455">
        <f t="array" ref="J4431">IFERROR(INDEX('Retirement Calculator'!K:K,MATCH('Lorri 401b'!N4431,'Retirement Calculator'!A:A,0),0),0)</f>
        <v>0</v>
      </c>
      <c r="K4431" s="455">
        <f t="shared" ca="1" si="168"/>
        <v>101109038359.71848</v>
      </c>
      <c r="L4431" s="455">
        <f t="shared" ca="1" si="169"/>
        <v>24367278244692.152</v>
      </c>
      <c r="M4431" s="471">
        <f t="shared" si="171"/>
        <v>0.05</v>
      </c>
      <c r="N4431" s="475">
        <f t="shared" si="172"/>
        <v>185911</v>
      </c>
    </row>
    <row r="4432" spans="7:14" ht="11.25" customHeight="1" x14ac:dyDescent="0.3">
      <c r="G4432" s="470"/>
      <c r="H4432" s="470">
        <v>4425</v>
      </c>
      <c r="I4432" s="455">
        <f t="shared" ca="1" si="170"/>
        <v>24367278244692.152</v>
      </c>
      <c r="J4432" s="455">
        <f t="array" ref="J4432">IFERROR(INDEX('Retirement Calculator'!K:K,MATCH('Lorri 401b'!N4432,'Retirement Calculator'!A:A,0),0),0)</f>
        <v>0</v>
      </c>
      <c r="K4432" s="455">
        <f t="shared" ca="1" si="168"/>
        <v>101530326019.55063</v>
      </c>
      <c r="L4432" s="455">
        <f t="shared" ca="1" si="169"/>
        <v>24468808570711.703</v>
      </c>
      <c r="M4432" s="471">
        <f t="shared" si="171"/>
        <v>0.05</v>
      </c>
      <c r="N4432" s="475">
        <f t="shared" si="172"/>
        <v>185942</v>
      </c>
    </row>
    <row r="4433" spans="7:14" ht="11.25" customHeight="1" x14ac:dyDescent="0.3">
      <c r="G4433" s="470"/>
      <c r="H4433" s="470">
        <v>4426</v>
      </c>
      <c r="I4433" s="455">
        <f t="shared" ca="1" si="170"/>
        <v>24468808570711.703</v>
      </c>
      <c r="J4433" s="455">
        <f t="array" ref="J4433">IFERROR(INDEX('Retirement Calculator'!K:K,MATCH('Lorri 401b'!N4433,'Retirement Calculator'!A:A,0),0),0)</f>
        <v>0</v>
      </c>
      <c r="K4433" s="455">
        <f t="shared" ca="1" si="168"/>
        <v>101953369044.6321</v>
      </c>
      <c r="L4433" s="455">
        <f t="shared" ca="1" si="169"/>
        <v>24570761939756.336</v>
      </c>
      <c r="M4433" s="471">
        <f t="shared" si="171"/>
        <v>0.05</v>
      </c>
      <c r="N4433" s="475">
        <f t="shared" si="172"/>
        <v>185970</v>
      </c>
    </row>
    <row r="4434" spans="7:14" ht="11.25" customHeight="1" x14ac:dyDescent="0.3">
      <c r="G4434" s="470"/>
      <c r="H4434" s="470">
        <v>4427</v>
      </c>
      <c r="I4434" s="455">
        <f t="shared" ca="1" si="170"/>
        <v>24570761939756.336</v>
      </c>
      <c r="J4434" s="455">
        <f t="array" ref="J4434">IFERROR(INDEX('Retirement Calculator'!K:K,MATCH('Lorri 401b'!N4434,'Retirement Calculator'!A:A,0),0),0)</f>
        <v>0</v>
      </c>
      <c r="K4434" s="455">
        <f t="shared" ca="1" si="168"/>
        <v>102378174748.98473</v>
      </c>
      <c r="L4434" s="455">
        <f t="shared" ca="1" si="169"/>
        <v>24673140114505.32</v>
      </c>
      <c r="M4434" s="471">
        <f t="shared" si="171"/>
        <v>0.05</v>
      </c>
      <c r="N4434" s="475">
        <f t="shared" si="172"/>
        <v>186001</v>
      </c>
    </row>
    <row r="4435" spans="7:14" ht="11.25" customHeight="1" x14ac:dyDescent="0.3">
      <c r="G4435" s="470"/>
      <c r="H4435" s="470">
        <v>4428</v>
      </c>
      <c r="I4435" s="455">
        <f t="shared" ca="1" si="170"/>
        <v>24673140114505.32</v>
      </c>
      <c r="J4435" s="455">
        <f t="array" ref="J4435">IFERROR(INDEX('Retirement Calculator'!K:K,MATCH('Lorri 401b'!N4435,'Retirement Calculator'!A:A,0),0),0)</f>
        <v>0</v>
      </c>
      <c r="K4435" s="455">
        <f t="shared" ca="1" si="168"/>
        <v>102804750477.1055</v>
      </c>
      <c r="L4435" s="455">
        <f t="shared" ca="1" si="169"/>
        <v>24775944864982.426</v>
      </c>
      <c r="M4435" s="471">
        <f t="shared" si="171"/>
        <v>0.05</v>
      </c>
      <c r="N4435" s="475">
        <f t="shared" si="172"/>
        <v>186031</v>
      </c>
    </row>
    <row r="4436" spans="7:14" ht="11.25" customHeight="1" x14ac:dyDescent="0.3">
      <c r="G4436" s="470"/>
      <c r="H4436" s="470">
        <v>4429</v>
      </c>
      <c r="I4436" s="455">
        <f t="shared" ca="1" si="170"/>
        <v>24775944864982.426</v>
      </c>
      <c r="J4436" s="455">
        <f t="array" ref="J4436">IFERROR(INDEX('Retirement Calculator'!K:K,MATCH('Lorri 401b'!N4436,'Retirement Calculator'!A:A,0),0),0)</f>
        <v>0</v>
      </c>
      <c r="K4436" s="455">
        <f t="shared" ca="1" si="168"/>
        <v>103233103604.09344</v>
      </c>
      <c r="L4436" s="455">
        <f t="shared" ca="1" si="169"/>
        <v>24879177968586.52</v>
      </c>
      <c r="M4436" s="471">
        <f t="shared" si="171"/>
        <v>0.05</v>
      </c>
      <c r="N4436" s="475">
        <f t="shared" si="172"/>
        <v>186062</v>
      </c>
    </row>
    <row r="4437" spans="7:14" ht="11.25" customHeight="1" x14ac:dyDescent="0.3">
      <c r="G4437" s="470"/>
      <c r="H4437" s="470">
        <v>4430</v>
      </c>
      <c r="I4437" s="455">
        <f t="shared" ca="1" si="170"/>
        <v>24879177968586.52</v>
      </c>
      <c r="J4437" s="455">
        <f t="array" ref="J4437">IFERROR(INDEX('Retirement Calculator'!K:K,MATCH('Lorri 401b'!N4437,'Retirement Calculator'!A:A,0),0),0)</f>
        <v>0</v>
      </c>
      <c r="K4437" s="455">
        <f t="shared" ca="1" si="168"/>
        <v>103663241535.77716</v>
      </c>
      <c r="L4437" s="455">
        <f t="shared" ca="1" si="169"/>
        <v>24982841210122.297</v>
      </c>
      <c r="M4437" s="471">
        <f t="shared" si="171"/>
        <v>0.05</v>
      </c>
      <c r="N4437" s="475">
        <f t="shared" si="172"/>
        <v>186092</v>
      </c>
    </row>
    <row r="4438" spans="7:14" ht="11.25" customHeight="1" x14ac:dyDescent="0.3">
      <c r="G4438" s="470"/>
      <c r="H4438" s="470">
        <v>4431</v>
      </c>
      <c r="I4438" s="455">
        <f t="shared" ca="1" si="170"/>
        <v>24982841210122.297</v>
      </c>
      <c r="J4438" s="455">
        <f t="array" ref="J4438">IFERROR(INDEX('Retirement Calculator'!K:K,MATCH('Lorri 401b'!N4438,'Retirement Calculator'!A:A,0),0),0)</f>
        <v>0</v>
      </c>
      <c r="K4438" s="455">
        <f t="shared" ca="1" si="168"/>
        <v>104095171708.8429</v>
      </c>
      <c r="L4438" s="455">
        <f t="shared" ca="1" si="169"/>
        <v>25086936381831.141</v>
      </c>
      <c r="M4438" s="471">
        <f t="shared" si="171"/>
        <v>0.05</v>
      </c>
      <c r="N4438" s="475">
        <f t="shared" si="172"/>
        <v>186123</v>
      </c>
    </row>
    <row r="4439" spans="7:14" ht="11.25" customHeight="1" x14ac:dyDescent="0.3">
      <c r="G4439" s="470"/>
      <c r="H4439" s="470">
        <v>4432</v>
      </c>
      <c r="I4439" s="455">
        <f t="shared" ca="1" si="170"/>
        <v>25086936381831.141</v>
      </c>
      <c r="J4439" s="455">
        <f t="array" ref="J4439">IFERROR(INDEX('Retirement Calculator'!K:K,MATCH('Lorri 401b'!N4439,'Retirement Calculator'!A:A,0),0),0)</f>
        <v>0</v>
      </c>
      <c r="K4439" s="455">
        <f t="shared" ca="1" si="168"/>
        <v>104528901590.96309</v>
      </c>
      <c r="L4439" s="455">
        <f t="shared" ca="1" si="169"/>
        <v>25191465283422.105</v>
      </c>
      <c r="M4439" s="471">
        <f t="shared" si="171"/>
        <v>0.05</v>
      </c>
      <c r="N4439" s="475">
        <f t="shared" si="172"/>
        <v>186154</v>
      </c>
    </row>
    <row r="4440" spans="7:14" ht="11.25" customHeight="1" x14ac:dyDescent="0.3">
      <c r="G4440" s="470"/>
      <c r="H4440" s="470">
        <v>4433</v>
      </c>
      <c r="I4440" s="455">
        <f t="shared" ca="1" si="170"/>
        <v>25191465283422.105</v>
      </c>
      <c r="J4440" s="455">
        <f t="array" ref="J4440">IFERROR(INDEX('Retirement Calculator'!K:K,MATCH('Lorri 401b'!N4440,'Retirement Calculator'!A:A,0),0),0)</f>
        <v>0</v>
      </c>
      <c r="K4440" s="455">
        <f t="shared" ca="1" si="168"/>
        <v>104964438680.92545</v>
      </c>
      <c r="L4440" s="455">
        <f t="shared" ca="1" si="169"/>
        <v>25296429722103.031</v>
      </c>
      <c r="M4440" s="471">
        <f t="shared" si="171"/>
        <v>0.05</v>
      </c>
      <c r="N4440" s="475">
        <f t="shared" si="172"/>
        <v>186184</v>
      </c>
    </row>
    <row r="4441" spans="7:14" ht="11.25" customHeight="1" x14ac:dyDescent="0.3">
      <c r="G4441" s="470"/>
      <c r="H4441" s="470">
        <v>4434</v>
      </c>
      <c r="I4441" s="455">
        <f t="shared" ca="1" si="170"/>
        <v>25296429722103.031</v>
      </c>
      <c r="J4441" s="455">
        <f t="array" ref="J4441">IFERROR(INDEX('Retirement Calculator'!K:K,MATCH('Lorri 401b'!N4441,'Retirement Calculator'!A:A,0),0),0)</f>
        <v>0</v>
      </c>
      <c r="K4441" s="455">
        <f t="shared" ca="1" si="168"/>
        <v>105401790508.76263</v>
      </c>
      <c r="L4441" s="455">
        <f t="shared" ca="1" si="169"/>
        <v>25401831512611.793</v>
      </c>
      <c r="M4441" s="471">
        <f t="shared" si="171"/>
        <v>0.05</v>
      </c>
      <c r="N4441" s="475">
        <f t="shared" si="172"/>
        <v>186215</v>
      </c>
    </row>
    <row r="4442" spans="7:14" ht="11.25" customHeight="1" x14ac:dyDescent="0.3">
      <c r="G4442" s="470"/>
      <c r="H4442" s="470">
        <v>4435</v>
      </c>
      <c r="I4442" s="455">
        <f t="shared" ca="1" si="170"/>
        <v>25401831512611.793</v>
      </c>
      <c r="J4442" s="455">
        <f t="array" ref="J4442">IFERROR(INDEX('Retirement Calculator'!K:K,MATCH('Lorri 401b'!N4442,'Retirement Calculator'!A:A,0),0),0)</f>
        <v>0</v>
      </c>
      <c r="K4442" s="455">
        <f t="shared" ca="1" si="168"/>
        <v>105840964635.88248</v>
      </c>
      <c r="L4442" s="455">
        <f t="shared" ca="1" si="169"/>
        <v>25507672477247.676</v>
      </c>
      <c r="M4442" s="471">
        <f t="shared" si="171"/>
        <v>0.05</v>
      </c>
      <c r="N4442" s="475">
        <f t="shared" si="172"/>
        <v>186245</v>
      </c>
    </row>
    <row r="4443" spans="7:14" ht="11.25" customHeight="1" x14ac:dyDescent="0.3">
      <c r="G4443" s="470"/>
      <c r="H4443" s="470">
        <v>4436</v>
      </c>
      <c r="I4443" s="455">
        <f t="shared" ca="1" si="170"/>
        <v>25507672477247.676</v>
      </c>
      <c r="J4443" s="455">
        <f t="array" ref="J4443">IFERROR(INDEX('Retirement Calculator'!K:K,MATCH('Lorri 401b'!N4443,'Retirement Calculator'!A:A,0),0),0)</f>
        <v>0</v>
      </c>
      <c r="K4443" s="455">
        <f t="shared" ca="1" si="168"/>
        <v>106281968655.19865</v>
      </c>
      <c r="L4443" s="455">
        <f t="shared" ca="1" si="169"/>
        <v>25613954445902.875</v>
      </c>
      <c r="M4443" s="471">
        <f t="shared" si="171"/>
        <v>0.05</v>
      </c>
      <c r="N4443" s="475">
        <f t="shared" si="172"/>
        <v>186276</v>
      </c>
    </row>
    <row r="4444" spans="7:14" ht="11.25" customHeight="1" x14ac:dyDescent="0.3">
      <c r="G4444" s="470"/>
      <c r="H4444" s="470">
        <v>4437</v>
      </c>
      <c r="I4444" s="455">
        <f t="shared" ca="1" si="170"/>
        <v>25613954445902.875</v>
      </c>
      <c r="J4444" s="455">
        <f t="array" ref="J4444">IFERROR(INDEX('Retirement Calculator'!K:K,MATCH('Lorri 401b'!N4444,'Retirement Calculator'!A:A,0),0),0)</f>
        <v>0</v>
      </c>
      <c r="K4444" s="455">
        <f t="shared" ca="1" si="168"/>
        <v>106724810191.26198</v>
      </c>
      <c r="L4444" s="455">
        <f t="shared" ca="1" si="169"/>
        <v>25720679256094.137</v>
      </c>
      <c r="M4444" s="471">
        <f t="shared" si="171"/>
        <v>0.05</v>
      </c>
      <c r="N4444" s="475">
        <f t="shared" si="172"/>
        <v>186307</v>
      </c>
    </row>
    <row r="4445" spans="7:14" ht="11.25" customHeight="1" x14ac:dyDescent="0.3">
      <c r="G4445" s="470"/>
      <c r="H4445" s="470">
        <v>4438</v>
      </c>
      <c r="I4445" s="455">
        <f t="shared" ca="1" si="170"/>
        <v>25720679256094.137</v>
      </c>
      <c r="J4445" s="455">
        <f t="array" ref="J4445">IFERROR(INDEX('Retirement Calculator'!K:K,MATCH('Lorri 401b'!N4445,'Retirement Calculator'!A:A,0),0),0)</f>
        <v>0</v>
      </c>
      <c r="K4445" s="455">
        <f t="shared" ca="1" si="168"/>
        <v>107169496900.39224</v>
      </c>
      <c r="L4445" s="455">
        <f t="shared" ca="1" si="169"/>
        <v>25827848752994.527</v>
      </c>
      <c r="M4445" s="471">
        <f t="shared" si="171"/>
        <v>0.05</v>
      </c>
      <c r="N4445" s="475">
        <f t="shared" si="172"/>
        <v>186335</v>
      </c>
    </row>
    <row r="4446" spans="7:14" ht="11.25" customHeight="1" x14ac:dyDescent="0.3">
      <c r="G4446" s="470"/>
      <c r="H4446" s="470">
        <v>4439</v>
      </c>
      <c r="I4446" s="455">
        <f t="shared" ca="1" si="170"/>
        <v>25827848752994.527</v>
      </c>
      <c r="J4446" s="455">
        <f t="array" ref="J4446">IFERROR(INDEX('Retirement Calculator'!K:K,MATCH('Lorri 401b'!N4446,'Retirement Calculator'!A:A,0),0),0)</f>
        <v>0</v>
      </c>
      <c r="K4446" s="455">
        <f t="shared" ca="1" si="168"/>
        <v>107616036470.81053</v>
      </c>
      <c r="L4446" s="455">
        <f t="shared" ca="1" si="169"/>
        <v>25935464789465.336</v>
      </c>
      <c r="M4446" s="471">
        <f t="shared" si="171"/>
        <v>0.05</v>
      </c>
      <c r="N4446" s="475">
        <f t="shared" si="172"/>
        <v>186366</v>
      </c>
    </row>
    <row r="4447" spans="7:14" ht="11.25" customHeight="1" x14ac:dyDescent="0.3">
      <c r="G4447" s="470"/>
      <c r="H4447" s="470">
        <v>4440</v>
      </c>
      <c r="I4447" s="455">
        <f t="shared" ca="1" si="170"/>
        <v>25935464789465.336</v>
      </c>
      <c r="J4447" s="455">
        <f t="array" ref="J4447">IFERROR(INDEX('Retirement Calculator'!K:K,MATCH('Lorri 401b'!N4447,'Retirement Calculator'!A:A,0),0),0)</f>
        <v>0</v>
      </c>
      <c r="K4447" s="455">
        <f t="shared" ca="1" si="168"/>
        <v>108064436622.77223</v>
      </c>
      <c r="L4447" s="455">
        <f t="shared" ca="1" si="169"/>
        <v>26043529226088.109</v>
      </c>
      <c r="M4447" s="471">
        <f t="shared" si="171"/>
        <v>0.05</v>
      </c>
      <c r="N4447" s="475">
        <f t="shared" si="172"/>
        <v>186396</v>
      </c>
    </row>
    <row r="4448" spans="7:14" ht="11.25" customHeight="1" x14ac:dyDescent="0.3">
      <c r="G4448" s="470"/>
      <c r="H4448" s="470">
        <v>4441</v>
      </c>
      <c r="I4448" s="455">
        <f t="shared" ca="1" si="170"/>
        <v>26043529226088.109</v>
      </c>
      <c r="J4448" s="455">
        <f t="array" ref="J4448">IFERROR(INDEX('Retirement Calculator'!K:K,MATCH('Lorri 401b'!N4448,'Retirement Calculator'!A:A,0),0),0)</f>
        <v>0</v>
      </c>
      <c r="K4448" s="455">
        <f t="shared" ca="1" si="168"/>
        <v>108514705108.70045</v>
      </c>
      <c r="L4448" s="455">
        <f t="shared" ca="1" si="169"/>
        <v>26152043931196.809</v>
      </c>
      <c r="M4448" s="471">
        <f t="shared" si="171"/>
        <v>0.05</v>
      </c>
      <c r="N4448" s="475">
        <f t="shared" si="172"/>
        <v>186427</v>
      </c>
    </row>
    <row r="4449" spans="7:14" ht="11.25" customHeight="1" x14ac:dyDescent="0.3">
      <c r="G4449" s="470"/>
      <c r="H4449" s="470">
        <v>4442</v>
      </c>
      <c r="I4449" s="455">
        <f t="shared" ca="1" si="170"/>
        <v>26152043931196.809</v>
      </c>
      <c r="J4449" s="455">
        <f t="array" ref="J4449">IFERROR(INDEX('Retirement Calculator'!K:K,MATCH('Lorri 401b'!N4449,'Retirement Calculator'!A:A,0),0),0)</f>
        <v>0</v>
      </c>
      <c r="K4449" s="455">
        <f t="shared" ca="1" si="168"/>
        <v>108966849713.32004</v>
      </c>
      <c r="L4449" s="455">
        <f t="shared" ca="1" si="169"/>
        <v>26261010780910.129</v>
      </c>
      <c r="M4449" s="471">
        <f t="shared" si="171"/>
        <v>0.05</v>
      </c>
      <c r="N4449" s="475">
        <f t="shared" si="172"/>
        <v>186457</v>
      </c>
    </row>
    <row r="4450" spans="7:14" ht="11.25" customHeight="1" x14ac:dyDescent="0.3">
      <c r="G4450" s="470"/>
      <c r="H4450" s="470">
        <v>4443</v>
      </c>
      <c r="I4450" s="455">
        <f t="shared" ca="1" si="170"/>
        <v>26261010780910.129</v>
      </c>
      <c r="J4450" s="455">
        <f t="array" ref="J4450">IFERROR(INDEX('Retirement Calculator'!K:K,MATCH('Lorri 401b'!N4450,'Retirement Calculator'!A:A,0),0),0)</f>
        <v>0</v>
      </c>
      <c r="K4450" s="455">
        <f t="shared" ca="1" si="168"/>
        <v>109420878253.79221</v>
      </c>
      <c r="L4450" s="455">
        <f t="shared" ca="1" si="169"/>
        <v>26370431659163.922</v>
      </c>
      <c r="M4450" s="471">
        <f t="shared" si="171"/>
        <v>0.05</v>
      </c>
      <c r="N4450" s="475">
        <f t="shared" si="172"/>
        <v>186488</v>
      </c>
    </row>
    <row r="4451" spans="7:14" ht="11.25" customHeight="1" x14ac:dyDescent="0.3">
      <c r="G4451" s="470"/>
      <c r="H4451" s="470">
        <v>4444</v>
      </c>
      <c r="I4451" s="455">
        <f t="shared" ca="1" si="170"/>
        <v>26370431659163.922</v>
      </c>
      <c r="J4451" s="455">
        <f t="array" ref="J4451">IFERROR(INDEX('Retirement Calculator'!K:K,MATCH('Lorri 401b'!N4451,'Retirement Calculator'!A:A,0),0),0)</f>
        <v>0</v>
      </c>
      <c r="K4451" s="455">
        <f t="shared" ca="1" si="168"/>
        <v>109876798579.84967</v>
      </c>
      <c r="L4451" s="455">
        <f t="shared" ca="1" si="169"/>
        <v>26480308457743.773</v>
      </c>
      <c r="M4451" s="471">
        <f t="shared" si="171"/>
        <v>0.05</v>
      </c>
      <c r="N4451" s="475">
        <f t="shared" si="172"/>
        <v>186519</v>
      </c>
    </row>
    <row r="4452" spans="7:14" ht="11.25" customHeight="1" x14ac:dyDescent="0.3">
      <c r="G4452" s="470"/>
      <c r="H4452" s="470">
        <v>4445</v>
      </c>
      <c r="I4452" s="455">
        <f t="shared" ca="1" si="170"/>
        <v>26480308457743.773</v>
      </c>
      <c r="J4452" s="455">
        <f t="array" ref="J4452">IFERROR(INDEX('Retirement Calculator'!K:K,MATCH('Lorri 401b'!N4452,'Retirement Calculator'!A:A,0),0),0)</f>
        <v>0</v>
      </c>
      <c r="K4452" s="455">
        <f t="shared" ca="1" si="168"/>
        <v>110334618573.93239</v>
      </c>
      <c r="L4452" s="455">
        <f t="shared" ca="1" si="169"/>
        <v>26590643076317.707</v>
      </c>
      <c r="M4452" s="471">
        <f t="shared" si="171"/>
        <v>0.05</v>
      </c>
      <c r="N4452" s="475">
        <f t="shared" si="172"/>
        <v>186549</v>
      </c>
    </row>
    <row r="4453" spans="7:14" ht="11.25" customHeight="1" x14ac:dyDescent="0.3">
      <c r="G4453" s="470"/>
      <c r="H4453" s="470">
        <v>4446</v>
      </c>
      <c r="I4453" s="455">
        <f t="shared" ca="1" si="170"/>
        <v>26590643076317.707</v>
      </c>
      <c r="J4453" s="455">
        <f t="array" ref="J4453">IFERROR(INDEX('Retirement Calculator'!K:K,MATCH('Lorri 401b'!N4453,'Retirement Calculator'!A:A,0),0),0)</f>
        <v>0</v>
      </c>
      <c r="K4453" s="455">
        <f t="shared" ca="1" si="168"/>
        <v>110794346151.32378</v>
      </c>
      <c r="L4453" s="455">
        <f t="shared" ca="1" si="169"/>
        <v>26701437422469.031</v>
      </c>
      <c r="M4453" s="471">
        <f t="shared" si="171"/>
        <v>0.05</v>
      </c>
      <c r="N4453" s="475">
        <f t="shared" si="172"/>
        <v>186580</v>
      </c>
    </row>
    <row r="4454" spans="7:14" ht="11.25" customHeight="1" x14ac:dyDescent="0.3">
      <c r="G4454" s="470"/>
      <c r="H4454" s="470">
        <v>4447</v>
      </c>
      <c r="I4454" s="455">
        <f t="shared" ca="1" si="170"/>
        <v>26701437422469.031</v>
      </c>
      <c r="J4454" s="455">
        <f t="array" ref="J4454">IFERROR(INDEX('Retirement Calculator'!K:K,MATCH('Lorri 401b'!N4454,'Retirement Calculator'!A:A,0),0),0)</f>
        <v>0</v>
      </c>
      <c r="K4454" s="455">
        <f t="shared" ca="1" si="168"/>
        <v>111255989260.28763</v>
      </c>
      <c r="L4454" s="455">
        <f t="shared" ca="1" si="169"/>
        <v>26812693411729.32</v>
      </c>
      <c r="M4454" s="471">
        <f t="shared" si="171"/>
        <v>0.05</v>
      </c>
      <c r="N4454" s="475">
        <f t="shared" si="172"/>
        <v>186610</v>
      </c>
    </row>
    <row r="4455" spans="7:14" ht="11.25" customHeight="1" x14ac:dyDescent="0.3">
      <c r="G4455" s="470"/>
      <c r="H4455" s="470">
        <v>4448</v>
      </c>
      <c r="I4455" s="455">
        <f t="shared" ca="1" si="170"/>
        <v>26812693411729.32</v>
      </c>
      <c r="J4455" s="455">
        <f t="array" ref="J4455">IFERROR(INDEX('Retirement Calculator'!K:K,MATCH('Lorri 401b'!N4455,'Retirement Calculator'!A:A,0),0),0)</f>
        <v>0</v>
      </c>
      <c r="K4455" s="455">
        <f t="shared" ca="1" si="168"/>
        <v>111719555882.20551</v>
      </c>
      <c r="L4455" s="455">
        <f t="shared" ca="1" si="169"/>
        <v>26924412967611.527</v>
      </c>
      <c r="M4455" s="471">
        <f t="shared" si="171"/>
        <v>0.05</v>
      </c>
      <c r="N4455" s="475">
        <f t="shared" si="172"/>
        <v>186641</v>
      </c>
    </row>
    <row r="4456" spans="7:14" ht="11.25" customHeight="1" x14ac:dyDescent="0.3">
      <c r="G4456" s="470"/>
      <c r="H4456" s="470">
        <v>4449</v>
      </c>
      <c r="I4456" s="455">
        <f t="shared" ca="1" si="170"/>
        <v>26924412967611.527</v>
      </c>
      <c r="J4456" s="455">
        <f t="array" ref="J4456">IFERROR(INDEX('Retirement Calculator'!K:K,MATCH('Lorri 401b'!N4456,'Retirement Calculator'!A:A,0),0),0)</f>
        <v>0</v>
      </c>
      <c r="K4456" s="455">
        <f t="shared" ca="1" si="168"/>
        <v>112185054031.71469</v>
      </c>
      <c r="L4456" s="455">
        <f t="shared" ca="1" si="169"/>
        <v>27036598021643.242</v>
      </c>
      <c r="M4456" s="471">
        <f t="shared" si="171"/>
        <v>0.05</v>
      </c>
      <c r="N4456" s="475">
        <f t="shared" si="172"/>
        <v>186672</v>
      </c>
    </row>
    <row r="4457" spans="7:14" ht="11.25" customHeight="1" x14ac:dyDescent="0.3">
      <c r="G4457" s="470"/>
      <c r="H4457" s="470">
        <v>4450</v>
      </c>
      <c r="I4457" s="455">
        <f t="shared" ca="1" si="170"/>
        <v>27036598021643.242</v>
      </c>
      <c r="J4457" s="455">
        <f t="array" ref="J4457">IFERROR(INDEX('Retirement Calculator'!K:K,MATCH('Lorri 401b'!N4457,'Retirement Calculator'!A:A,0),0),0)</f>
        <v>0</v>
      </c>
      <c r="K4457" s="455">
        <f t="shared" ca="1" si="168"/>
        <v>112652491756.84685</v>
      </c>
      <c r="L4457" s="455">
        <f t="shared" ca="1" si="169"/>
        <v>27149250513400.09</v>
      </c>
      <c r="M4457" s="471">
        <f t="shared" si="171"/>
        <v>0.05</v>
      </c>
      <c r="N4457" s="475">
        <f t="shared" si="172"/>
        <v>186700</v>
      </c>
    </row>
    <row r="4458" spans="7:14" ht="11.25" customHeight="1" x14ac:dyDescent="0.3">
      <c r="G4458" s="470"/>
      <c r="H4458" s="470">
        <v>4451</v>
      </c>
      <c r="I4458" s="455">
        <f t="shared" ca="1" si="170"/>
        <v>27149250513400.09</v>
      </c>
      <c r="J4458" s="455">
        <f t="array" ref="J4458">IFERROR(INDEX('Retirement Calculator'!K:K,MATCH('Lorri 401b'!N4458,'Retirement Calculator'!A:A,0),0),0)</f>
        <v>0</v>
      </c>
      <c r="K4458" s="455">
        <f t="shared" ca="1" si="168"/>
        <v>113121877139.16704</v>
      </c>
      <c r="L4458" s="455">
        <f t="shared" ca="1" si="169"/>
        <v>27262372390539.258</v>
      </c>
      <c r="M4458" s="471">
        <f t="shared" si="171"/>
        <v>0.05</v>
      </c>
      <c r="N4458" s="475">
        <f t="shared" si="172"/>
        <v>186731</v>
      </c>
    </row>
    <row r="4459" spans="7:14" ht="11.25" customHeight="1" x14ac:dyDescent="0.3">
      <c r="G4459" s="470"/>
      <c r="H4459" s="470">
        <v>4452</v>
      </c>
      <c r="I4459" s="455">
        <f t="shared" ca="1" si="170"/>
        <v>27262372390539.258</v>
      </c>
      <c r="J4459" s="455">
        <f t="array" ref="J4459">IFERROR(INDEX('Retirement Calculator'!K:K,MATCH('Lorri 401b'!N4459,'Retirement Calculator'!A:A,0),0),0)</f>
        <v>0</v>
      </c>
      <c r="K4459" s="455">
        <f t="shared" ca="1" si="168"/>
        <v>113593218293.91357</v>
      </c>
      <c r="L4459" s="455">
        <f t="shared" ca="1" si="169"/>
        <v>27375965608833.172</v>
      </c>
      <c r="M4459" s="471">
        <f t="shared" si="171"/>
        <v>0.05</v>
      </c>
      <c r="N4459" s="475">
        <f t="shared" si="172"/>
        <v>186761</v>
      </c>
    </row>
    <row r="4460" spans="7:14" ht="11.25" customHeight="1" x14ac:dyDescent="0.3">
      <c r="G4460" s="470"/>
      <c r="H4460" s="470">
        <v>4453</v>
      </c>
      <c r="I4460" s="455">
        <f t="shared" ca="1" si="170"/>
        <v>27375965608833.172</v>
      </c>
      <c r="J4460" s="455">
        <f t="array" ref="J4460">IFERROR(INDEX('Retirement Calculator'!K:K,MATCH('Lorri 401b'!N4460,'Retirement Calculator'!A:A,0),0),0)</f>
        <v>0</v>
      </c>
      <c r="K4460" s="455">
        <f t="shared" ca="1" si="168"/>
        <v>114066523370.13821</v>
      </c>
      <c r="L4460" s="455">
        <f t="shared" ca="1" si="169"/>
        <v>27490032132203.309</v>
      </c>
      <c r="M4460" s="471">
        <f t="shared" si="171"/>
        <v>0.05</v>
      </c>
      <c r="N4460" s="475">
        <f t="shared" si="172"/>
        <v>186792</v>
      </c>
    </row>
    <row r="4461" spans="7:14" ht="11.25" customHeight="1" x14ac:dyDescent="0.3">
      <c r="G4461" s="470"/>
      <c r="H4461" s="470">
        <v>4454</v>
      </c>
      <c r="I4461" s="455">
        <f t="shared" ca="1" si="170"/>
        <v>27490032132203.309</v>
      </c>
      <c r="J4461" s="455">
        <f t="array" ref="J4461">IFERROR(INDEX('Retirement Calculator'!K:K,MATCH('Lorri 401b'!N4461,'Retirement Calculator'!A:A,0),0),0)</f>
        <v>0</v>
      </c>
      <c r="K4461" s="455">
        <f t="shared" ca="1" si="168"/>
        <v>114541800550.84712</v>
      </c>
      <c r="L4461" s="455">
        <f t="shared" ca="1" si="169"/>
        <v>27604573932754.156</v>
      </c>
      <c r="M4461" s="471">
        <f t="shared" si="171"/>
        <v>0.05</v>
      </c>
      <c r="N4461" s="475">
        <f t="shared" si="172"/>
        <v>186822</v>
      </c>
    </row>
    <row r="4462" spans="7:14" ht="11.25" customHeight="1" x14ac:dyDescent="0.3">
      <c r="G4462" s="470"/>
      <c r="H4462" s="470">
        <v>4455</v>
      </c>
      <c r="I4462" s="455">
        <f t="shared" ca="1" si="170"/>
        <v>27604573932754.156</v>
      </c>
      <c r="J4462" s="455">
        <f t="array" ref="J4462">IFERROR(INDEX('Retirement Calculator'!K:K,MATCH('Lorri 401b'!N4462,'Retirement Calculator'!A:A,0),0),0)</f>
        <v>0</v>
      </c>
      <c r="K4462" s="455">
        <f t="shared" ca="1" si="168"/>
        <v>115019058053.14232</v>
      </c>
      <c r="L4462" s="455">
        <f t="shared" ca="1" si="169"/>
        <v>27719592990807.297</v>
      </c>
      <c r="M4462" s="471">
        <f t="shared" si="171"/>
        <v>0.05</v>
      </c>
      <c r="N4462" s="475">
        <f t="shared" si="172"/>
        <v>186853</v>
      </c>
    </row>
    <row r="4463" spans="7:14" ht="11.25" customHeight="1" x14ac:dyDescent="0.3">
      <c r="G4463" s="470"/>
      <c r="H4463" s="470">
        <v>4456</v>
      </c>
      <c r="I4463" s="455">
        <f t="shared" ca="1" si="170"/>
        <v>27719592990807.297</v>
      </c>
      <c r="J4463" s="455">
        <f t="array" ref="J4463">IFERROR(INDEX('Retirement Calculator'!K:K,MATCH('Lorri 401b'!N4463,'Retirement Calculator'!A:A,0),0),0)</f>
        <v>0</v>
      </c>
      <c r="K4463" s="455">
        <f t="shared" ca="1" si="168"/>
        <v>115498304128.36374</v>
      </c>
      <c r="L4463" s="455">
        <f t="shared" ca="1" si="169"/>
        <v>27835091294935.66</v>
      </c>
      <c r="M4463" s="471">
        <f t="shared" si="171"/>
        <v>0.05</v>
      </c>
      <c r="N4463" s="475">
        <f t="shared" si="172"/>
        <v>186884</v>
      </c>
    </row>
    <row r="4464" spans="7:14" ht="11.25" customHeight="1" x14ac:dyDescent="0.3">
      <c r="G4464" s="470"/>
      <c r="H4464" s="470">
        <v>4457</v>
      </c>
      <c r="I4464" s="455">
        <f t="shared" ca="1" si="170"/>
        <v>27835091294935.66</v>
      </c>
      <c r="J4464" s="455">
        <f t="array" ref="J4464">IFERROR(INDEX('Retirement Calculator'!K:K,MATCH('Lorri 401b'!N4464,'Retirement Calculator'!A:A,0),0),0)</f>
        <v>0</v>
      </c>
      <c r="K4464" s="455">
        <f t="shared" ca="1" si="168"/>
        <v>115979547062.23192</v>
      </c>
      <c r="L4464" s="455">
        <f t="shared" ca="1" si="169"/>
        <v>27951070841997.891</v>
      </c>
      <c r="M4464" s="471">
        <f t="shared" si="171"/>
        <v>0.05</v>
      </c>
      <c r="N4464" s="475">
        <f t="shared" si="172"/>
        <v>186914</v>
      </c>
    </row>
    <row r="4465" spans="7:14" ht="11.25" customHeight="1" x14ac:dyDescent="0.3">
      <c r="G4465" s="470"/>
      <c r="H4465" s="470">
        <v>4458</v>
      </c>
      <c r="I4465" s="455">
        <f t="shared" ca="1" si="170"/>
        <v>27951070841997.891</v>
      </c>
      <c r="J4465" s="455">
        <f t="array" ref="J4465">IFERROR(INDEX('Retirement Calculator'!K:K,MATCH('Lorri 401b'!N4465,'Retirement Calculator'!A:A,0),0),0)</f>
        <v>0</v>
      </c>
      <c r="K4465" s="455">
        <f t="shared" ca="1" si="168"/>
        <v>116462795174.99121</v>
      </c>
      <c r="L4465" s="455">
        <f t="shared" ca="1" si="169"/>
        <v>28067533637172.883</v>
      </c>
      <c r="M4465" s="471">
        <f t="shared" si="171"/>
        <v>0.05</v>
      </c>
      <c r="N4465" s="475">
        <f t="shared" si="172"/>
        <v>186945</v>
      </c>
    </row>
    <row r="4466" spans="7:14" ht="11.25" customHeight="1" x14ac:dyDescent="0.3">
      <c r="G4466" s="470"/>
      <c r="H4466" s="470">
        <v>4459</v>
      </c>
      <c r="I4466" s="455">
        <f t="shared" ca="1" si="170"/>
        <v>28067533637172.883</v>
      </c>
      <c r="J4466" s="455">
        <f t="array" ref="J4466">IFERROR(INDEX('Retirement Calculator'!K:K,MATCH('Lorri 401b'!N4466,'Retirement Calculator'!A:A,0),0),0)</f>
        <v>0</v>
      </c>
      <c r="K4466" s="455">
        <f t="shared" ca="1" si="168"/>
        <v>116948056821.55368</v>
      </c>
      <c r="L4466" s="455">
        <f t="shared" ca="1" si="169"/>
        <v>28184481693994.438</v>
      </c>
      <c r="M4466" s="471">
        <f t="shared" si="171"/>
        <v>0.05</v>
      </c>
      <c r="N4466" s="475">
        <f t="shared" si="172"/>
        <v>186975</v>
      </c>
    </row>
    <row r="4467" spans="7:14" ht="11.25" customHeight="1" x14ac:dyDescent="0.3">
      <c r="G4467" s="470"/>
      <c r="H4467" s="470">
        <v>4460</v>
      </c>
      <c r="I4467" s="455">
        <f t="shared" ca="1" si="170"/>
        <v>28184481693994.438</v>
      </c>
      <c r="J4467" s="455">
        <f t="array" ref="J4467">IFERROR(INDEX('Retirement Calculator'!K:K,MATCH('Lorri 401b'!N4467,'Retirement Calculator'!A:A,0),0),0)</f>
        <v>0</v>
      </c>
      <c r="K4467" s="455">
        <f t="shared" ca="1" si="168"/>
        <v>117435340391.64349</v>
      </c>
      <c r="L4467" s="455">
        <f t="shared" ca="1" si="169"/>
        <v>28301917034386.082</v>
      </c>
      <c r="M4467" s="471">
        <f t="shared" si="171"/>
        <v>0.05</v>
      </c>
      <c r="N4467" s="475">
        <f t="shared" si="172"/>
        <v>187006</v>
      </c>
    </row>
    <row r="4468" spans="7:14" ht="11.25" customHeight="1" x14ac:dyDescent="0.3">
      <c r="G4468" s="470"/>
      <c r="H4468" s="470">
        <v>4461</v>
      </c>
      <c r="I4468" s="455">
        <f t="shared" ca="1" si="170"/>
        <v>28301917034386.082</v>
      </c>
      <c r="J4468" s="455">
        <f t="array" ref="J4468">IFERROR(INDEX('Retirement Calculator'!K:K,MATCH('Lorri 401b'!N4468,'Retirement Calculator'!A:A,0),0),0)</f>
        <v>0</v>
      </c>
      <c r="K4468" s="455">
        <f t="shared" ca="1" si="168"/>
        <v>117924654309.942</v>
      </c>
      <c r="L4468" s="455">
        <f t="shared" ca="1" si="169"/>
        <v>28419841688696.023</v>
      </c>
      <c r="M4468" s="471">
        <f t="shared" si="171"/>
        <v>0.05</v>
      </c>
      <c r="N4468" s="475">
        <f t="shared" si="172"/>
        <v>187037</v>
      </c>
    </row>
    <row r="4469" spans="7:14" ht="11.25" customHeight="1" x14ac:dyDescent="0.3">
      <c r="G4469" s="470"/>
      <c r="H4469" s="470">
        <v>4462</v>
      </c>
      <c r="I4469" s="455">
        <f t="shared" ca="1" si="170"/>
        <v>28419841688696.023</v>
      </c>
      <c r="J4469" s="455">
        <f t="array" ref="J4469">IFERROR(INDEX('Retirement Calculator'!K:K,MATCH('Lorri 401b'!N4469,'Retirement Calculator'!A:A,0),0),0)</f>
        <v>0</v>
      </c>
      <c r="K4469" s="455">
        <f t="shared" ca="1" si="168"/>
        <v>118416007036.23341</v>
      </c>
      <c r="L4469" s="455">
        <f t="shared" ca="1" si="169"/>
        <v>28538257695732.258</v>
      </c>
      <c r="M4469" s="471">
        <f t="shared" si="171"/>
        <v>0.05</v>
      </c>
      <c r="N4469" s="475">
        <f t="shared" si="172"/>
        <v>187066</v>
      </c>
    </row>
    <row r="4470" spans="7:14" ht="11.25" customHeight="1" x14ac:dyDescent="0.3">
      <c r="G4470" s="470"/>
      <c r="H4470" s="470">
        <v>4463</v>
      </c>
      <c r="I4470" s="455">
        <f t="shared" ca="1" si="170"/>
        <v>28538257695732.258</v>
      </c>
      <c r="J4470" s="455">
        <f t="array" ref="J4470">IFERROR(INDEX('Retirement Calculator'!K:K,MATCH('Lorri 401b'!N4470,'Retirement Calculator'!A:A,0),0),0)</f>
        <v>0</v>
      </c>
      <c r="K4470" s="455">
        <f t="shared" ca="1" si="168"/>
        <v>118909407065.55107</v>
      </c>
      <c r="L4470" s="455">
        <f t="shared" ca="1" si="169"/>
        <v>28657167102797.809</v>
      </c>
      <c r="M4470" s="471">
        <f t="shared" si="171"/>
        <v>0.05</v>
      </c>
      <c r="N4470" s="475">
        <f t="shared" si="172"/>
        <v>187097</v>
      </c>
    </row>
    <row r="4471" spans="7:14" ht="11.25" customHeight="1" x14ac:dyDescent="0.3">
      <c r="G4471" s="470"/>
      <c r="H4471" s="470">
        <v>4464</v>
      </c>
      <c r="I4471" s="455">
        <f t="shared" ca="1" si="170"/>
        <v>28657167102797.809</v>
      </c>
      <c r="J4471" s="455">
        <f t="array" ref="J4471">IFERROR(INDEX('Retirement Calculator'!K:K,MATCH('Lorri 401b'!N4471,'Retirement Calculator'!A:A,0),0),0)</f>
        <v>0</v>
      </c>
      <c r="K4471" s="455">
        <f t="shared" ca="1" si="168"/>
        <v>119404862928.32422</v>
      </c>
      <c r="L4471" s="455">
        <f t="shared" ca="1" si="169"/>
        <v>28776571965726.133</v>
      </c>
      <c r="M4471" s="471">
        <f t="shared" si="171"/>
        <v>0.05</v>
      </c>
      <c r="N4471" s="475">
        <f t="shared" si="172"/>
        <v>187127</v>
      </c>
    </row>
    <row r="4472" spans="7:14" ht="11.25" customHeight="1" x14ac:dyDescent="0.3">
      <c r="G4472" s="470"/>
      <c r="H4472" s="470">
        <v>4465</v>
      </c>
      <c r="I4472" s="455">
        <f t="shared" ca="1" si="170"/>
        <v>28776571965726.133</v>
      </c>
      <c r="J4472" s="455">
        <f t="array" ref="J4472">IFERROR(INDEX('Retirement Calculator'!K:K,MATCH('Lorri 401b'!N4472,'Retirement Calculator'!A:A,0),0),0)</f>
        <v>0</v>
      </c>
      <c r="K4472" s="455">
        <f t="shared" ca="1" si="168"/>
        <v>119902383190.52556</v>
      </c>
      <c r="L4472" s="455">
        <f t="shared" ca="1" si="169"/>
        <v>28896474348916.66</v>
      </c>
      <c r="M4472" s="471">
        <f t="shared" si="171"/>
        <v>0.05</v>
      </c>
      <c r="N4472" s="475">
        <f t="shared" si="172"/>
        <v>187158</v>
      </c>
    </row>
    <row r="4473" spans="7:14" ht="11.25" customHeight="1" x14ac:dyDescent="0.3">
      <c r="G4473" s="470"/>
      <c r="H4473" s="470">
        <v>4466</v>
      </c>
      <c r="I4473" s="455">
        <f t="shared" ca="1" si="170"/>
        <v>28896474348916.66</v>
      </c>
      <c r="J4473" s="455">
        <f t="array" ref="J4473">IFERROR(INDEX('Retirement Calculator'!K:K,MATCH('Lorri 401b'!N4473,'Retirement Calculator'!A:A,0),0),0)</f>
        <v>0</v>
      </c>
      <c r="K4473" s="455">
        <f t="shared" ca="1" si="168"/>
        <v>120401976453.81941</v>
      </c>
      <c r="L4473" s="455">
        <f t="shared" ca="1" si="169"/>
        <v>29016876325370.48</v>
      </c>
      <c r="M4473" s="471">
        <f t="shared" si="171"/>
        <v>0.05</v>
      </c>
      <c r="N4473" s="475">
        <f t="shared" si="172"/>
        <v>187188</v>
      </c>
    </row>
    <row r="4474" spans="7:14" ht="11.25" customHeight="1" x14ac:dyDescent="0.3">
      <c r="G4474" s="470"/>
      <c r="H4474" s="470">
        <v>4467</v>
      </c>
      <c r="I4474" s="455">
        <f t="shared" ca="1" si="170"/>
        <v>29016876325370.48</v>
      </c>
      <c r="J4474" s="455">
        <f t="array" ref="J4474">IFERROR(INDEX('Retirement Calculator'!K:K,MATCH('Lorri 401b'!N4474,'Retirement Calculator'!A:A,0),0),0)</f>
        <v>0</v>
      </c>
      <c r="K4474" s="455">
        <f t="shared" ca="1" si="168"/>
        <v>120903651355.71033</v>
      </c>
      <c r="L4474" s="455">
        <f t="shared" ca="1" si="169"/>
        <v>29137779976726.191</v>
      </c>
      <c r="M4474" s="471">
        <f t="shared" si="171"/>
        <v>0.05</v>
      </c>
      <c r="N4474" s="475">
        <f t="shared" si="172"/>
        <v>187219</v>
      </c>
    </row>
    <row r="4475" spans="7:14" ht="11.25" customHeight="1" x14ac:dyDescent="0.3">
      <c r="G4475" s="470"/>
      <c r="H4475" s="470">
        <v>4468</v>
      </c>
      <c r="I4475" s="455">
        <f t="shared" ca="1" si="170"/>
        <v>29137779976726.191</v>
      </c>
      <c r="J4475" s="455">
        <f t="array" ref="J4475">IFERROR(INDEX('Retirement Calculator'!K:K,MATCH('Lorri 401b'!N4475,'Retirement Calculator'!A:A,0),0),0)</f>
        <v>0</v>
      </c>
      <c r="K4475" s="455">
        <f t="shared" ca="1" si="168"/>
        <v>121407416569.69246</v>
      </c>
      <c r="L4475" s="455">
        <f t="shared" ca="1" si="169"/>
        <v>29259187393295.883</v>
      </c>
      <c r="M4475" s="471">
        <f t="shared" si="171"/>
        <v>0.05</v>
      </c>
      <c r="N4475" s="475">
        <f t="shared" si="172"/>
        <v>187250</v>
      </c>
    </row>
    <row r="4476" spans="7:14" ht="11.25" customHeight="1" x14ac:dyDescent="0.3">
      <c r="G4476" s="470"/>
      <c r="H4476" s="470">
        <v>4469</v>
      </c>
      <c r="I4476" s="455">
        <f t="shared" ca="1" si="170"/>
        <v>29259187393295.883</v>
      </c>
      <c r="J4476" s="455">
        <f t="array" ref="J4476">IFERROR(INDEX('Retirement Calculator'!K:K,MATCH('Lorri 401b'!N4476,'Retirement Calculator'!A:A,0),0),0)</f>
        <v>0</v>
      </c>
      <c r="K4476" s="455">
        <f t="shared" ca="1" si="168"/>
        <v>121913280805.39952</v>
      </c>
      <c r="L4476" s="455">
        <f t="shared" ca="1" si="169"/>
        <v>29381100674101.281</v>
      </c>
      <c r="M4476" s="471">
        <f t="shared" si="171"/>
        <v>0.05</v>
      </c>
      <c r="N4476" s="475">
        <f t="shared" si="172"/>
        <v>187280</v>
      </c>
    </row>
    <row r="4477" spans="7:14" ht="11.25" customHeight="1" x14ac:dyDescent="0.3">
      <c r="G4477" s="470"/>
      <c r="H4477" s="470">
        <v>4470</v>
      </c>
      <c r="I4477" s="455">
        <f t="shared" ca="1" si="170"/>
        <v>29381100674101.281</v>
      </c>
      <c r="J4477" s="455">
        <f t="array" ref="J4477">IFERROR(INDEX('Retirement Calculator'!K:K,MATCH('Lorri 401b'!N4477,'Retirement Calculator'!A:A,0),0),0)</f>
        <v>0</v>
      </c>
      <c r="K4477" s="455">
        <f t="shared" ca="1" si="168"/>
        <v>122421252808.75534</v>
      </c>
      <c r="L4477" s="455">
        <f t="shared" ca="1" si="169"/>
        <v>29503521926910.035</v>
      </c>
      <c r="M4477" s="471">
        <f t="shared" si="171"/>
        <v>0.05</v>
      </c>
      <c r="N4477" s="475">
        <f t="shared" si="172"/>
        <v>187311</v>
      </c>
    </row>
    <row r="4478" spans="7:14" ht="11.25" customHeight="1" x14ac:dyDescent="0.3">
      <c r="G4478" s="470"/>
      <c r="H4478" s="470">
        <v>4471</v>
      </c>
      <c r="I4478" s="455">
        <f t="shared" ca="1" si="170"/>
        <v>29503521926910.035</v>
      </c>
      <c r="J4478" s="455">
        <f t="array" ref="J4478">IFERROR(INDEX('Retirement Calculator'!K:K,MATCH('Lorri 401b'!N4478,'Retirement Calculator'!A:A,0),0),0)</f>
        <v>0</v>
      </c>
      <c r="K4478" s="455">
        <f t="shared" ca="1" si="168"/>
        <v>122931341362.12517</v>
      </c>
      <c r="L4478" s="455">
        <f t="shared" ca="1" si="169"/>
        <v>29626453268272.16</v>
      </c>
      <c r="M4478" s="471">
        <f t="shared" si="171"/>
        <v>0.05</v>
      </c>
      <c r="N4478" s="475">
        <f t="shared" si="172"/>
        <v>187341</v>
      </c>
    </row>
    <row r="4479" spans="7:14" ht="11.25" customHeight="1" x14ac:dyDescent="0.3">
      <c r="G4479" s="470"/>
      <c r="H4479" s="470">
        <v>4472</v>
      </c>
      <c r="I4479" s="455">
        <f t="shared" ca="1" si="170"/>
        <v>29626453268272.16</v>
      </c>
      <c r="J4479" s="455">
        <f t="array" ref="J4479">IFERROR(INDEX('Retirement Calculator'!K:K,MATCH('Lorri 401b'!N4479,'Retirement Calculator'!A:A,0),0),0)</f>
        <v>0</v>
      </c>
      <c r="K4479" s="455">
        <f t="shared" ca="1" si="168"/>
        <v>123443555284.46733</v>
      </c>
      <c r="L4479" s="455">
        <f t="shared" ca="1" si="169"/>
        <v>29749896823556.629</v>
      </c>
      <c r="M4479" s="471">
        <f t="shared" si="171"/>
        <v>0.05</v>
      </c>
      <c r="N4479" s="475">
        <f t="shared" si="172"/>
        <v>187372</v>
      </c>
    </row>
    <row r="4480" spans="7:14" ht="11.25" customHeight="1" x14ac:dyDescent="0.3">
      <c r="G4480" s="470"/>
      <c r="H4480" s="470">
        <v>4473</v>
      </c>
      <c r="I4480" s="455">
        <f t="shared" ca="1" si="170"/>
        <v>29749896823556.629</v>
      </c>
      <c r="J4480" s="455">
        <f t="array" ref="J4480">IFERROR(INDEX('Retirement Calculator'!K:K,MATCH('Lorri 401b'!N4480,'Retirement Calculator'!A:A,0),0),0)</f>
        <v>0</v>
      </c>
      <c r="K4480" s="455">
        <f t="shared" ca="1" si="168"/>
        <v>123957903431.48593</v>
      </c>
      <c r="L4480" s="455">
        <f t="shared" ca="1" si="169"/>
        <v>29873854726988.113</v>
      </c>
      <c r="M4480" s="471">
        <f t="shared" si="171"/>
        <v>0.05</v>
      </c>
      <c r="N4480" s="475">
        <f t="shared" si="172"/>
        <v>187403</v>
      </c>
    </row>
    <row r="4481" spans="7:14" ht="11.25" customHeight="1" x14ac:dyDescent="0.3">
      <c r="G4481" s="470"/>
      <c r="H4481" s="470">
        <v>4474</v>
      </c>
      <c r="I4481" s="455">
        <f t="shared" ca="1" si="170"/>
        <v>29873854726988.113</v>
      </c>
      <c r="J4481" s="455">
        <f t="array" ref="J4481">IFERROR(INDEX('Retirement Calculator'!K:K,MATCH('Lorri 401b'!N4481,'Retirement Calculator'!A:A,0),0),0)</f>
        <v>0</v>
      </c>
      <c r="K4481" s="455">
        <f t="shared" ca="1" si="168"/>
        <v>124474394695.78378</v>
      </c>
      <c r="L4481" s="455">
        <f t="shared" ca="1" si="169"/>
        <v>29998329121683.898</v>
      </c>
      <c r="M4481" s="471">
        <f t="shared" si="171"/>
        <v>0.05</v>
      </c>
      <c r="N4481" s="475">
        <f t="shared" si="172"/>
        <v>187431</v>
      </c>
    </row>
    <row r="4482" spans="7:14" ht="11.25" customHeight="1" x14ac:dyDescent="0.3">
      <c r="G4482" s="470"/>
      <c r="H4482" s="470">
        <v>4475</v>
      </c>
      <c r="I4482" s="455">
        <f t="shared" ca="1" si="170"/>
        <v>29998329121683.898</v>
      </c>
      <c r="J4482" s="455">
        <f t="array" ref="J4482">IFERROR(INDEX('Retirement Calculator'!K:K,MATCH('Lorri 401b'!N4482,'Retirement Calculator'!A:A,0),0),0)</f>
        <v>0</v>
      </c>
      <c r="K4482" s="455">
        <f t="shared" ca="1" si="168"/>
        <v>124993038007.01624</v>
      </c>
      <c r="L4482" s="455">
        <f t="shared" ca="1" si="169"/>
        <v>30123322159690.914</v>
      </c>
      <c r="M4482" s="471">
        <f t="shared" si="171"/>
        <v>0.05</v>
      </c>
      <c r="N4482" s="475">
        <f t="shared" si="172"/>
        <v>187462</v>
      </c>
    </row>
    <row r="4483" spans="7:14" ht="11.25" customHeight="1" x14ac:dyDescent="0.3">
      <c r="G4483" s="470"/>
      <c r="H4483" s="470">
        <v>4476</v>
      </c>
      <c r="I4483" s="455">
        <f t="shared" ca="1" si="170"/>
        <v>30123322159690.914</v>
      </c>
      <c r="J4483" s="455">
        <f t="array" ref="J4483">IFERROR(INDEX('Retirement Calculator'!K:K,MATCH('Lorri 401b'!N4483,'Retirement Calculator'!A:A,0),0),0)</f>
        <v>0</v>
      </c>
      <c r="K4483" s="455">
        <f t="shared" ca="1" si="168"/>
        <v>125513842332.04547</v>
      </c>
      <c r="L4483" s="455">
        <f t="shared" ca="1" si="169"/>
        <v>30248836002022.961</v>
      </c>
      <c r="M4483" s="471">
        <f t="shared" si="171"/>
        <v>0.05</v>
      </c>
      <c r="N4483" s="475">
        <f t="shared" si="172"/>
        <v>187492</v>
      </c>
    </row>
    <row r="4484" spans="7:14" ht="11.25" customHeight="1" x14ac:dyDescent="0.3">
      <c r="G4484" s="470"/>
      <c r="H4484" s="470">
        <v>4477</v>
      </c>
      <c r="I4484" s="455">
        <f t="shared" ca="1" si="170"/>
        <v>30248836002022.961</v>
      </c>
      <c r="J4484" s="455">
        <f t="array" ref="J4484">IFERROR(INDEX('Retirement Calculator'!K:K,MATCH('Lorri 401b'!N4484,'Retirement Calculator'!A:A,0),0),0)</f>
        <v>0</v>
      </c>
      <c r="K4484" s="455">
        <f t="shared" ca="1" si="168"/>
        <v>126036816675.09567</v>
      </c>
      <c r="L4484" s="455">
        <f t="shared" ca="1" si="169"/>
        <v>30374872818698.055</v>
      </c>
      <c r="M4484" s="471">
        <f t="shared" si="171"/>
        <v>0.05</v>
      </c>
      <c r="N4484" s="475">
        <f t="shared" si="172"/>
        <v>187523</v>
      </c>
    </row>
    <row r="4485" spans="7:14" ht="11.25" customHeight="1" x14ac:dyDescent="0.3">
      <c r="G4485" s="470"/>
      <c r="H4485" s="470">
        <v>4478</v>
      </c>
      <c r="I4485" s="455">
        <f t="shared" ca="1" si="170"/>
        <v>30374872818698.055</v>
      </c>
      <c r="J4485" s="455">
        <f t="array" ref="J4485">IFERROR(INDEX('Retirement Calculator'!K:K,MATCH('Lorri 401b'!N4485,'Retirement Calculator'!A:A,0),0),0)</f>
        <v>0</v>
      </c>
      <c r="K4485" s="455">
        <f t="shared" ca="1" si="168"/>
        <v>126561970077.90855</v>
      </c>
      <c r="L4485" s="455">
        <f t="shared" ca="1" si="169"/>
        <v>30501434788775.965</v>
      </c>
      <c r="M4485" s="471">
        <f t="shared" si="171"/>
        <v>0.05</v>
      </c>
      <c r="N4485" s="475">
        <f t="shared" si="172"/>
        <v>187553</v>
      </c>
    </row>
    <row r="4486" spans="7:14" ht="11.25" customHeight="1" x14ac:dyDescent="0.3">
      <c r="G4486" s="470"/>
      <c r="H4486" s="470">
        <v>4479</v>
      </c>
      <c r="I4486" s="455">
        <f t="shared" ca="1" si="170"/>
        <v>30501434788775.965</v>
      </c>
      <c r="J4486" s="455">
        <f t="array" ref="J4486">IFERROR(INDEX('Retirement Calculator'!K:K,MATCH('Lorri 401b'!N4486,'Retirement Calculator'!A:A,0),0),0)</f>
        <v>0</v>
      </c>
      <c r="K4486" s="455">
        <f t="shared" ca="1" si="168"/>
        <v>127089311619.89986</v>
      </c>
      <c r="L4486" s="455">
        <f t="shared" ca="1" si="169"/>
        <v>30628524100395.863</v>
      </c>
      <c r="M4486" s="471">
        <f t="shared" si="171"/>
        <v>0.05</v>
      </c>
      <c r="N4486" s="475">
        <f t="shared" si="172"/>
        <v>187584</v>
      </c>
    </row>
    <row r="4487" spans="7:14" ht="11.25" customHeight="1" x14ac:dyDescent="0.3">
      <c r="G4487" s="470"/>
      <c r="H4487" s="470">
        <v>4480</v>
      </c>
      <c r="I4487" s="455">
        <f t="shared" ca="1" si="170"/>
        <v>30628524100395.863</v>
      </c>
      <c r="J4487" s="455">
        <f t="array" ref="J4487">IFERROR(INDEX('Retirement Calculator'!K:K,MATCH('Lorri 401b'!N4487,'Retirement Calculator'!A:A,0),0),0)</f>
        <v>0</v>
      </c>
      <c r="K4487" s="455">
        <f t="shared" ca="1" si="168"/>
        <v>127618850418.31612</v>
      </c>
      <c r="L4487" s="455">
        <f t="shared" ca="1" si="169"/>
        <v>30756142950814.18</v>
      </c>
      <c r="M4487" s="471">
        <f t="shared" si="171"/>
        <v>0.05</v>
      </c>
      <c r="N4487" s="475">
        <f t="shared" si="172"/>
        <v>187615</v>
      </c>
    </row>
    <row r="4488" spans="7:14" ht="11.25" customHeight="1" x14ac:dyDescent="0.3">
      <c r="G4488" s="470"/>
      <c r="H4488" s="470">
        <v>4481</v>
      </c>
      <c r="I4488" s="455">
        <f t="shared" ca="1" si="170"/>
        <v>30756142950814.18</v>
      </c>
      <c r="J4488" s="455">
        <f t="array" ref="J4488">IFERROR(INDEX('Retirement Calculator'!K:K,MATCH('Lorri 401b'!N4488,'Retirement Calculator'!A:A,0),0),0)</f>
        <v>0</v>
      </c>
      <c r="K4488" s="455">
        <f t="shared" ca="1" si="168"/>
        <v>128150595628.39241</v>
      </c>
      <c r="L4488" s="455">
        <f t="shared" ca="1" si="169"/>
        <v>30884293546442.57</v>
      </c>
      <c r="M4488" s="471">
        <f t="shared" si="171"/>
        <v>0.05</v>
      </c>
      <c r="N4488" s="475">
        <f t="shared" si="172"/>
        <v>187645</v>
      </c>
    </row>
    <row r="4489" spans="7:14" ht="11.25" customHeight="1" x14ac:dyDescent="0.3">
      <c r="G4489" s="470"/>
      <c r="H4489" s="470">
        <v>4482</v>
      </c>
      <c r="I4489" s="455">
        <f t="shared" ca="1" si="170"/>
        <v>30884293546442.57</v>
      </c>
      <c r="J4489" s="455">
        <f t="array" ref="J4489">IFERROR(INDEX('Retirement Calculator'!K:K,MATCH('Lorri 401b'!N4489,'Retirement Calculator'!A:A,0),0),0)</f>
        <v>0</v>
      </c>
      <c r="K4489" s="455">
        <f t="shared" ca="1" si="168"/>
        <v>128684556443.51071</v>
      </c>
      <c r="L4489" s="455">
        <f t="shared" ca="1" si="169"/>
        <v>31012978102886.082</v>
      </c>
      <c r="M4489" s="471">
        <f t="shared" si="171"/>
        <v>0.05</v>
      </c>
      <c r="N4489" s="475">
        <f t="shared" si="172"/>
        <v>187676</v>
      </c>
    </row>
    <row r="4490" spans="7:14" ht="11.25" customHeight="1" x14ac:dyDescent="0.3">
      <c r="G4490" s="470"/>
      <c r="H4490" s="470">
        <v>4483</v>
      </c>
      <c r="I4490" s="455">
        <f t="shared" ca="1" si="170"/>
        <v>31012978102886.082</v>
      </c>
      <c r="J4490" s="455">
        <f t="array" ref="J4490">IFERROR(INDEX('Retirement Calculator'!K:K,MATCH('Lorri 401b'!N4490,'Retirement Calculator'!A:A,0),0),0)</f>
        <v>0</v>
      </c>
      <c r="K4490" s="455">
        <f t="shared" ca="1" si="168"/>
        <v>129220742095.35867</v>
      </c>
      <c r="L4490" s="455">
        <f t="shared" ca="1" si="169"/>
        <v>31142198844981.441</v>
      </c>
      <c r="M4490" s="471">
        <f t="shared" si="171"/>
        <v>0.05</v>
      </c>
      <c r="N4490" s="475">
        <f t="shared" si="172"/>
        <v>187706</v>
      </c>
    </row>
    <row r="4491" spans="7:14" ht="11.25" customHeight="1" x14ac:dyDescent="0.3">
      <c r="G4491" s="470"/>
      <c r="H4491" s="470">
        <v>4484</v>
      </c>
      <c r="I4491" s="455">
        <f t="shared" ca="1" si="170"/>
        <v>31142198844981.441</v>
      </c>
      <c r="J4491" s="455">
        <f t="array" ref="J4491">IFERROR(INDEX('Retirement Calculator'!K:K,MATCH('Lorri 401b'!N4491,'Retirement Calculator'!A:A,0),0),0)</f>
        <v>0</v>
      </c>
      <c r="K4491" s="455">
        <f t="shared" ca="1" si="168"/>
        <v>129759161854.08934</v>
      </c>
      <c r="L4491" s="455">
        <f t="shared" ca="1" si="169"/>
        <v>31271958006835.531</v>
      </c>
      <c r="M4491" s="471">
        <f t="shared" si="171"/>
        <v>0.05</v>
      </c>
      <c r="N4491" s="475">
        <f t="shared" si="172"/>
        <v>187737</v>
      </c>
    </row>
    <row r="4492" spans="7:14" ht="11.25" customHeight="1" x14ac:dyDescent="0.3">
      <c r="G4492" s="470"/>
      <c r="H4492" s="470">
        <v>4485</v>
      </c>
      <c r="I4492" s="455">
        <f t="shared" ca="1" si="170"/>
        <v>31271958006835.531</v>
      </c>
      <c r="J4492" s="455">
        <f t="array" ref="J4492">IFERROR(INDEX('Retirement Calculator'!K:K,MATCH('Lorri 401b'!N4492,'Retirement Calculator'!A:A,0),0),0)</f>
        <v>0</v>
      </c>
      <c r="K4492" s="455">
        <f t="shared" ca="1" si="168"/>
        <v>130299825028.4814</v>
      </c>
      <c r="L4492" s="455">
        <f t="shared" ca="1" si="169"/>
        <v>31402257831864.012</v>
      </c>
      <c r="M4492" s="471">
        <f t="shared" si="171"/>
        <v>0.05</v>
      </c>
      <c r="N4492" s="475">
        <f t="shared" si="172"/>
        <v>187768</v>
      </c>
    </row>
    <row r="4493" spans="7:14" ht="11.25" customHeight="1" x14ac:dyDescent="0.3">
      <c r="G4493" s="470"/>
      <c r="H4493" s="470">
        <v>4486</v>
      </c>
      <c r="I4493" s="455">
        <f t="shared" ca="1" si="170"/>
        <v>31402257831864.012</v>
      </c>
      <c r="J4493" s="455">
        <f t="array" ref="J4493">IFERROR(INDEX('Retirement Calculator'!K:K,MATCH('Lorri 401b'!N4493,'Retirement Calculator'!A:A,0),0),0)</f>
        <v>0</v>
      </c>
      <c r="K4493" s="455">
        <f t="shared" ca="1" si="168"/>
        <v>130842740966.10007</v>
      </c>
      <c r="L4493" s="455">
        <f t="shared" ca="1" si="169"/>
        <v>31533100572830.113</v>
      </c>
      <c r="M4493" s="471">
        <f t="shared" si="171"/>
        <v>0.05</v>
      </c>
      <c r="N4493" s="475">
        <f t="shared" si="172"/>
        <v>187796</v>
      </c>
    </row>
    <row r="4494" spans="7:14" ht="11.25" customHeight="1" x14ac:dyDescent="0.3">
      <c r="G4494" s="470"/>
      <c r="H4494" s="470">
        <v>4487</v>
      </c>
      <c r="I4494" s="455">
        <f t="shared" ca="1" si="170"/>
        <v>31533100572830.113</v>
      </c>
      <c r="J4494" s="455">
        <f t="array" ref="J4494">IFERROR(INDEX('Retirement Calculator'!K:K,MATCH('Lorri 401b'!N4494,'Retirement Calculator'!A:A,0),0),0)</f>
        <v>0</v>
      </c>
      <c r="K4494" s="455">
        <f t="shared" ca="1" si="168"/>
        <v>131387919053.4588</v>
      </c>
      <c r="L4494" s="455">
        <f t="shared" ca="1" si="169"/>
        <v>31664488491883.57</v>
      </c>
      <c r="M4494" s="471">
        <f t="shared" si="171"/>
        <v>0.05</v>
      </c>
      <c r="N4494" s="475">
        <f t="shared" si="172"/>
        <v>187827</v>
      </c>
    </row>
    <row r="4495" spans="7:14" ht="11.25" customHeight="1" x14ac:dyDescent="0.3">
      <c r="G4495" s="470"/>
      <c r="H4495" s="470">
        <v>4488</v>
      </c>
      <c r="I4495" s="455">
        <f t="shared" ca="1" si="170"/>
        <v>31664488491883.57</v>
      </c>
      <c r="J4495" s="455">
        <f t="array" ref="J4495">IFERROR(INDEX('Retirement Calculator'!K:K,MATCH('Lorri 401b'!N4495,'Retirement Calculator'!A:A,0),0),0)</f>
        <v>0</v>
      </c>
      <c r="K4495" s="455">
        <f t="shared" ca="1" si="168"/>
        <v>131935368716.18156</v>
      </c>
      <c r="L4495" s="455">
        <f t="shared" ca="1" si="169"/>
        <v>31796423860599.75</v>
      </c>
      <c r="M4495" s="471">
        <f t="shared" si="171"/>
        <v>0.05</v>
      </c>
      <c r="N4495" s="475">
        <f t="shared" si="172"/>
        <v>187857</v>
      </c>
    </row>
    <row r="4496" spans="7:14" ht="11.25" customHeight="1" x14ac:dyDescent="0.3">
      <c r="G4496" s="470"/>
      <c r="H4496" s="470">
        <v>4489</v>
      </c>
      <c r="I4496" s="455">
        <f t="shared" ca="1" si="170"/>
        <v>31796423860599.75</v>
      </c>
      <c r="J4496" s="455">
        <f t="array" ref="J4496">IFERROR(INDEX('Retirement Calculator'!K:K,MATCH('Lorri 401b'!N4496,'Retirement Calculator'!A:A,0),0),0)</f>
        <v>0</v>
      </c>
      <c r="K4496" s="455">
        <f t="shared" ca="1" si="168"/>
        <v>132485099419.16563</v>
      </c>
      <c r="L4496" s="455">
        <f t="shared" ca="1" si="169"/>
        <v>31928908960018.914</v>
      </c>
      <c r="M4496" s="471">
        <f t="shared" si="171"/>
        <v>0.05</v>
      </c>
      <c r="N4496" s="475">
        <f t="shared" si="172"/>
        <v>187888</v>
      </c>
    </row>
    <row r="4497" spans="7:14" ht="11.25" customHeight="1" x14ac:dyDescent="0.3">
      <c r="G4497" s="470"/>
      <c r="H4497" s="470">
        <v>4490</v>
      </c>
      <c r="I4497" s="455">
        <f t="shared" ca="1" si="170"/>
        <v>31928908960018.914</v>
      </c>
      <c r="J4497" s="455">
        <f t="array" ref="J4497">IFERROR(INDEX('Retirement Calculator'!K:K,MATCH('Lorri 401b'!N4497,'Retirement Calculator'!A:A,0),0),0)</f>
        <v>0</v>
      </c>
      <c r="K4497" s="455">
        <f t="shared" ca="1" si="168"/>
        <v>133037120666.74547</v>
      </c>
      <c r="L4497" s="455">
        <f t="shared" ca="1" si="169"/>
        <v>32061946080685.66</v>
      </c>
      <c r="M4497" s="471">
        <f t="shared" si="171"/>
        <v>0.05</v>
      </c>
      <c r="N4497" s="475">
        <f t="shared" si="172"/>
        <v>187918</v>
      </c>
    </row>
    <row r="4498" spans="7:14" ht="11.25" customHeight="1" x14ac:dyDescent="0.3">
      <c r="G4498" s="470"/>
      <c r="H4498" s="470">
        <v>4491</v>
      </c>
      <c r="I4498" s="455">
        <f t="shared" ca="1" si="170"/>
        <v>32061946080685.66</v>
      </c>
      <c r="J4498" s="455">
        <f t="array" ref="J4498">IFERROR(INDEX('Retirement Calculator'!K:K,MATCH('Lorri 401b'!N4498,'Retirement Calculator'!A:A,0),0),0)</f>
        <v>0</v>
      </c>
      <c r="K4498" s="455">
        <f t="shared" ca="1" si="168"/>
        <v>133591442002.8569</v>
      </c>
      <c r="L4498" s="455">
        <f t="shared" ca="1" si="169"/>
        <v>32195537522688.516</v>
      </c>
      <c r="M4498" s="471">
        <f t="shared" si="171"/>
        <v>0.05</v>
      </c>
      <c r="N4498" s="475">
        <f t="shared" si="172"/>
        <v>187949</v>
      </c>
    </row>
    <row r="4499" spans="7:14" ht="11.25" customHeight="1" x14ac:dyDescent="0.3">
      <c r="G4499" s="470"/>
      <c r="H4499" s="470">
        <v>4492</v>
      </c>
      <c r="I4499" s="455">
        <f t="shared" ca="1" si="170"/>
        <v>32195537522688.516</v>
      </c>
      <c r="J4499" s="455">
        <f t="array" ref="J4499">IFERROR(INDEX('Retirement Calculator'!K:K,MATCH('Lorri 401b'!N4499,'Retirement Calculator'!A:A,0),0),0)</f>
        <v>0</v>
      </c>
      <c r="K4499" s="455">
        <f t="shared" ca="1" si="168"/>
        <v>134148073011.20215</v>
      </c>
      <c r="L4499" s="455">
        <f t="shared" ca="1" si="169"/>
        <v>32329685595699.719</v>
      </c>
      <c r="M4499" s="471">
        <f t="shared" si="171"/>
        <v>0.05</v>
      </c>
      <c r="N4499" s="475">
        <f t="shared" si="172"/>
        <v>187980</v>
      </c>
    </row>
    <row r="4500" spans="7:14" ht="11.25" customHeight="1" x14ac:dyDescent="0.3">
      <c r="G4500" s="470"/>
      <c r="H4500" s="470">
        <v>4493</v>
      </c>
      <c r="I4500" s="455">
        <f t="shared" ca="1" si="170"/>
        <v>32329685595699.719</v>
      </c>
      <c r="J4500" s="455">
        <f t="array" ref="J4500">IFERROR(INDEX('Retirement Calculator'!K:K,MATCH('Lorri 401b'!N4500,'Retirement Calculator'!A:A,0),0),0)</f>
        <v>0</v>
      </c>
      <c r="K4500" s="455">
        <f t="shared" ca="1" si="168"/>
        <v>134707023315.4155</v>
      </c>
      <c r="L4500" s="455">
        <f t="shared" ca="1" si="169"/>
        <v>32464392619015.133</v>
      </c>
      <c r="M4500" s="471">
        <f t="shared" si="171"/>
        <v>0.05</v>
      </c>
      <c r="N4500" s="475">
        <f t="shared" si="172"/>
        <v>188010</v>
      </c>
    </row>
    <row r="4501" spans="7:14" ht="11.25" customHeight="1" x14ac:dyDescent="0.3">
      <c r="G4501" s="470"/>
      <c r="H4501" s="470">
        <v>4494</v>
      </c>
      <c r="I4501" s="455">
        <f t="shared" ca="1" si="170"/>
        <v>32464392619015.133</v>
      </c>
      <c r="J4501" s="455">
        <f t="array" ref="J4501">IFERROR(INDEX('Retirement Calculator'!K:K,MATCH('Lorri 401b'!N4501,'Retirement Calculator'!A:A,0),0),0)</f>
        <v>0</v>
      </c>
      <c r="K4501" s="455">
        <f t="shared" ca="1" si="168"/>
        <v>135268302579.22974</v>
      </c>
      <c r="L4501" s="455">
        <f t="shared" ca="1" si="169"/>
        <v>32599660921594.363</v>
      </c>
      <c r="M4501" s="471">
        <f t="shared" si="171"/>
        <v>0.05</v>
      </c>
      <c r="N4501" s="475">
        <f t="shared" si="172"/>
        <v>188041</v>
      </c>
    </row>
    <row r="4502" spans="7:14" ht="11.25" customHeight="1" x14ac:dyDescent="0.3">
      <c r="G4502" s="470"/>
      <c r="H4502" s="470">
        <v>4495</v>
      </c>
      <c r="I4502" s="455">
        <f t="shared" ca="1" si="170"/>
        <v>32599660921594.363</v>
      </c>
      <c r="J4502" s="455">
        <f t="array" ref="J4502">IFERROR(INDEX('Retirement Calculator'!K:K,MATCH('Lorri 401b'!N4502,'Retirement Calculator'!A:A,0),0),0)</f>
        <v>0</v>
      </c>
      <c r="K4502" s="455">
        <f t="shared" ca="1" si="168"/>
        <v>135831920506.64319</v>
      </c>
      <c r="L4502" s="455">
        <f t="shared" ca="1" si="169"/>
        <v>32735492842101.008</v>
      </c>
      <c r="M4502" s="471">
        <f t="shared" si="171"/>
        <v>0.05</v>
      </c>
      <c r="N4502" s="475">
        <f t="shared" si="172"/>
        <v>188071</v>
      </c>
    </row>
    <row r="4503" spans="7:14" ht="11.25" customHeight="1" x14ac:dyDescent="0.3">
      <c r="G4503" s="470"/>
      <c r="H4503" s="470">
        <v>4496</v>
      </c>
      <c r="I4503" s="455">
        <f t="shared" ca="1" si="170"/>
        <v>32735492842101.008</v>
      </c>
      <c r="J4503" s="455">
        <f t="array" ref="J4503">IFERROR(INDEX('Retirement Calculator'!K:K,MATCH('Lorri 401b'!N4503,'Retirement Calculator'!A:A,0),0),0)</f>
        <v>0</v>
      </c>
      <c r="K4503" s="455">
        <f t="shared" ca="1" si="168"/>
        <v>136397886842.08754</v>
      </c>
      <c r="L4503" s="455">
        <f t="shared" ca="1" si="169"/>
        <v>32871890728943.094</v>
      </c>
      <c r="M4503" s="471">
        <f t="shared" si="171"/>
        <v>0.05</v>
      </c>
      <c r="N4503" s="475">
        <f t="shared" si="172"/>
        <v>188102</v>
      </c>
    </row>
    <row r="4504" spans="7:14" ht="11.25" customHeight="1" x14ac:dyDescent="0.3">
      <c r="G4504" s="470"/>
      <c r="H4504" s="470">
        <v>4497</v>
      </c>
      <c r="I4504" s="455">
        <f t="shared" ca="1" si="170"/>
        <v>32871890728943.094</v>
      </c>
      <c r="J4504" s="455">
        <f t="array" ref="J4504">IFERROR(INDEX('Retirement Calculator'!K:K,MATCH('Lorri 401b'!N4504,'Retirement Calculator'!A:A,0),0),0)</f>
        <v>0</v>
      </c>
      <c r="K4504" s="455">
        <f t="shared" ca="1" si="168"/>
        <v>136966211370.59624</v>
      </c>
      <c r="L4504" s="455">
        <f t="shared" ca="1" si="169"/>
        <v>33008856940313.691</v>
      </c>
      <c r="M4504" s="471">
        <f t="shared" si="171"/>
        <v>0.05</v>
      </c>
      <c r="N4504" s="475">
        <f t="shared" si="172"/>
        <v>188133</v>
      </c>
    </row>
    <row r="4505" spans="7:14" ht="11.25" customHeight="1" x14ac:dyDescent="0.3">
      <c r="G4505" s="470"/>
      <c r="H4505" s="470">
        <v>4498</v>
      </c>
      <c r="I4505" s="455">
        <f t="shared" ca="1" si="170"/>
        <v>33008856940313.691</v>
      </c>
      <c r="J4505" s="455">
        <f t="array" ref="J4505">IFERROR(INDEX('Retirement Calculator'!K:K,MATCH('Lorri 401b'!N4505,'Retirement Calculator'!A:A,0),0),0)</f>
        <v>0</v>
      </c>
      <c r="K4505" s="455">
        <f t="shared" ca="1" si="168"/>
        <v>137536903917.97372</v>
      </c>
      <c r="L4505" s="455">
        <f t="shared" ca="1" si="169"/>
        <v>33146393844231.664</v>
      </c>
      <c r="M4505" s="471">
        <f t="shared" si="171"/>
        <v>0.05</v>
      </c>
      <c r="N4505" s="475">
        <f t="shared" si="172"/>
        <v>188161</v>
      </c>
    </row>
    <row r="4506" spans="7:14" ht="11.25" customHeight="1" x14ac:dyDescent="0.3">
      <c r="G4506" s="470"/>
      <c r="H4506" s="470">
        <v>4499</v>
      </c>
      <c r="I4506" s="455">
        <f t="shared" ca="1" si="170"/>
        <v>33146393844231.664</v>
      </c>
      <c r="J4506" s="455">
        <f t="array" ref="J4506">IFERROR(INDEX('Retirement Calculator'!K:K,MATCH('Lorri 401b'!N4506,'Retirement Calculator'!A:A,0),0),0)</f>
        <v>0</v>
      </c>
      <c r="K4506" s="455">
        <f t="shared" ca="1" si="168"/>
        <v>138109974350.96527</v>
      </c>
      <c r="L4506" s="455">
        <f t="shared" ca="1" si="169"/>
        <v>33284503818582.629</v>
      </c>
      <c r="M4506" s="471">
        <f t="shared" si="171"/>
        <v>0.05</v>
      </c>
      <c r="N4506" s="475">
        <f t="shared" si="172"/>
        <v>188192</v>
      </c>
    </row>
    <row r="4507" spans="7:14" ht="11.25" customHeight="1" x14ac:dyDescent="0.3">
      <c r="G4507" s="470"/>
      <c r="H4507" s="470">
        <v>4500</v>
      </c>
      <c r="I4507" s="455">
        <f t="shared" ca="1" si="170"/>
        <v>33284503818582.629</v>
      </c>
      <c r="J4507" s="455">
        <f t="array" ref="J4507">IFERROR(INDEX('Retirement Calculator'!K:K,MATCH('Lorri 401b'!N4507,'Retirement Calculator'!A:A,0),0),0)</f>
        <v>0</v>
      </c>
      <c r="K4507" s="455">
        <f t="shared" ca="1" si="168"/>
        <v>138685432577.42761</v>
      </c>
      <c r="L4507" s="455">
        <f t="shared" ca="1" si="169"/>
        <v>33423189251160.055</v>
      </c>
      <c r="M4507" s="471">
        <f t="shared" si="171"/>
        <v>0.05</v>
      </c>
      <c r="N4507" s="475">
        <f t="shared" si="172"/>
        <v>188222</v>
      </c>
    </row>
    <row r="4508" spans="7:14" ht="11.25" customHeight="1" x14ac:dyDescent="0.3">
      <c r="G4508" s="470"/>
      <c r="H4508" s="470">
        <v>4501</v>
      </c>
      <c r="I4508" s="455">
        <f t="shared" ca="1" si="170"/>
        <v>33423189251160.055</v>
      </c>
      <c r="J4508" s="455">
        <f t="array" ref="J4508">IFERROR(INDEX('Retirement Calculator'!K:K,MATCH('Lorri 401b'!N4508,'Retirement Calculator'!A:A,0),0),0)</f>
        <v>0</v>
      </c>
      <c r="K4508" s="455">
        <f t="shared" ca="1" si="168"/>
        <v>139263288546.50021</v>
      </c>
      <c r="L4508" s="455">
        <f t="shared" ca="1" si="169"/>
        <v>33562452539706.555</v>
      </c>
      <c r="M4508" s="471">
        <f t="shared" si="171"/>
        <v>0.05</v>
      </c>
      <c r="N4508" s="475">
        <f t="shared" si="172"/>
        <v>188253</v>
      </c>
    </row>
    <row r="4509" spans="7:14" ht="11.25" customHeight="1" x14ac:dyDescent="0.3">
      <c r="G4509" s="470"/>
      <c r="H4509" s="470">
        <v>4502</v>
      </c>
      <c r="I4509" s="455">
        <f t="shared" ca="1" si="170"/>
        <v>33562452539706.555</v>
      </c>
      <c r="J4509" s="455">
        <f t="array" ref="J4509">IFERROR(INDEX('Retirement Calculator'!K:K,MATCH('Lorri 401b'!N4509,'Retirement Calculator'!A:A,0),0),0)</f>
        <v>0</v>
      </c>
      <c r="K4509" s="455">
        <f t="shared" ca="1" si="168"/>
        <v>139843552248.77731</v>
      </c>
      <c r="L4509" s="455">
        <f t="shared" ca="1" si="169"/>
        <v>33702296091955.332</v>
      </c>
      <c r="M4509" s="471">
        <f t="shared" si="171"/>
        <v>0.05</v>
      </c>
      <c r="N4509" s="475">
        <f t="shared" si="172"/>
        <v>188283</v>
      </c>
    </row>
    <row r="4510" spans="7:14" ht="11.25" customHeight="1" x14ac:dyDescent="0.3">
      <c r="G4510" s="470"/>
      <c r="H4510" s="470">
        <v>4503</v>
      </c>
      <c r="I4510" s="455">
        <f t="shared" ca="1" si="170"/>
        <v>33702296091955.332</v>
      </c>
      <c r="J4510" s="455">
        <f t="array" ref="J4510">IFERROR(INDEX('Retirement Calculator'!K:K,MATCH('Lorri 401b'!N4510,'Retirement Calculator'!A:A,0),0),0)</f>
        <v>0</v>
      </c>
      <c r="K4510" s="455">
        <f t="shared" ca="1" si="168"/>
        <v>140426233716.48056</v>
      </c>
      <c r="L4510" s="455">
        <f t="shared" ca="1" si="169"/>
        <v>33842722325671.813</v>
      </c>
      <c r="M4510" s="471">
        <f t="shared" si="171"/>
        <v>0.05</v>
      </c>
      <c r="N4510" s="475">
        <f t="shared" si="172"/>
        <v>188314</v>
      </c>
    </row>
    <row r="4511" spans="7:14" ht="11.25" customHeight="1" x14ac:dyDescent="0.3">
      <c r="G4511" s="470"/>
      <c r="H4511" s="470">
        <v>4504</v>
      </c>
      <c r="I4511" s="455">
        <f t="shared" ca="1" si="170"/>
        <v>33842722325671.813</v>
      </c>
      <c r="J4511" s="455">
        <f t="array" ref="J4511">IFERROR(INDEX('Retirement Calculator'!K:K,MATCH('Lorri 401b'!N4511,'Retirement Calculator'!A:A,0),0),0)</f>
        <v>0</v>
      </c>
      <c r="K4511" s="455">
        <f t="shared" ca="1" si="168"/>
        <v>141011343023.63254</v>
      </c>
      <c r="L4511" s="455">
        <f t="shared" ca="1" si="169"/>
        <v>33983733668695.445</v>
      </c>
      <c r="M4511" s="471">
        <f t="shared" si="171"/>
        <v>0.05</v>
      </c>
      <c r="N4511" s="475">
        <f t="shared" si="172"/>
        <v>188345</v>
      </c>
    </row>
    <row r="4512" spans="7:14" ht="11.25" customHeight="1" x14ac:dyDescent="0.3">
      <c r="G4512" s="470"/>
      <c r="H4512" s="470">
        <v>4505</v>
      </c>
      <c r="I4512" s="455">
        <f t="shared" ca="1" si="170"/>
        <v>33983733668695.445</v>
      </c>
      <c r="J4512" s="455">
        <f t="array" ref="J4512">IFERROR(INDEX('Retirement Calculator'!K:K,MATCH('Lorri 401b'!N4512,'Retirement Calculator'!A:A,0),0),0)</f>
        <v>0</v>
      </c>
      <c r="K4512" s="455">
        <f t="shared" ca="1" si="168"/>
        <v>141598890286.23102</v>
      </c>
      <c r="L4512" s="455">
        <f t="shared" ca="1" si="169"/>
        <v>34125332558981.676</v>
      </c>
      <c r="M4512" s="471">
        <f t="shared" si="171"/>
        <v>0.05</v>
      </c>
      <c r="N4512" s="475">
        <f t="shared" si="172"/>
        <v>188375</v>
      </c>
    </row>
    <row r="4513" spans="7:14" ht="11.25" customHeight="1" x14ac:dyDescent="0.3">
      <c r="G4513" s="470"/>
      <c r="H4513" s="470">
        <v>4506</v>
      </c>
      <c r="I4513" s="455">
        <f t="shared" ca="1" si="170"/>
        <v>34125332558981.676</v>
      </c>
      <c r="J4513" s="455">
        <f t="array" ref="J4513">IFERROR(INDEX('Retirement Calculator'!K:K,MATCH('Lorri 401b'!N4513,'Retirement Calculator'!A:A,0),0),0)</f>
        <v>0</v>
      </c>
      <c r="K4513" s="455">
        <f t="shared" ca="1" si="168"/>
        <v>142188885662.42365</v>
      </c>
      <c r="L4513" s="455">
        <f t="shared" ca="1" si="169"/>
        <v>34267521444644.098</v>
      </c>
      <c r="M4513" s="471">
        <f t="shared" si="171"/>
        <v>0.05</v>
      </c>
      <c r="N4513" s="475">
        <f t="shared" si="172"/>
        <v>188406</v>
      </c>
    </row>
    <row r="4514" spans="7:14" ht="11.25" customHeight="1" x14ac:dyDescent="0.3">
      <c r="G4514" s="470"/>
      <c r="H4514" s="470">
        <v>4507</v>
      </c>
      <c r="I4514" s="455">
        <f t="shared" ca="1" si="170"/>
        <v>34267521444644.098</v>
      </c>
      <c r="J4514" s="455">
        <f t="array" ref="J4514">IFERROR(INDEX('Retirement Calculator'!K:K,MATCH('Lorri 401b'!N4514,'Retirement Calculator'!A:A,0),0),0)</f>
        <v>0</v>
      </c>
      <c r="K4514" s="455">
        <f t="shared" ca="1" si="168"/>
        <v>142781339352.68375</v>
      </c>
      <c r="L4514" s="455">
        <f t="shared" ca="1" si="169"/>
        <v>34410302783996.781</v>
      </c>
      <c r="M4514" s="471">
        <f t="shared" si="171"/>
        <v>0.05</v>
      </c>
      <c r="N4514" s="475">
        <f t="shared" si="172"/>
        <v>188436</v>
      </c>
    </row>
    <row r="4515" spans="7:14" ht="11.25" customHeight="1" x14ac:dyDescent="0.3">
      <c r="G4515" s="470"/>
      <c r="H4515" s="470">
        <v>4508</v>
      </c>
      <c r="I4515" s="455">
        <f t="shared" ca="1" si="170"/>
        <v>34410302783996.781</v>
      </c>
      <c r="J4515" s="455">
        <f t="array" ref="J4515">IFERROR(INDEX('Retirement Calculator'!K:K,MATCH('Lorri 401b'!N4515,'Retirement Calculator'!A:A,0),0),0)</f>
        <v>0</v>
      </c>
      <c r="K4515" s="455">
        <f t="shared" ca="1" si="168"/>
        <v>143376261599.98657</v>
      </c>
      <c r="L4515" s="455">
        <f t="shared" ca="1" si="169"/>
        <v>34553679045596.77</v>
      </c>
      <c r="M4515" s="471">
        <f t="shared" si="171"/>
        <v>0.05</v>
      </c>
      <c r="N4515" s="475">
        <f t="shared" si="172"/>
        <v>188467</v>
      </c>
    </row>
    <row r="4516" spans="7:14" ht="11.25" customHeight="1" x14ac:dyDescent="0.3">
      <c r="G4516" s="470"/>
      <c r="H4516" s="470">
        <v>4509</v>
      </c>
      <c r="I4516" s="455">
        <f t="shared" ca="1" si="170"/>
        <v>34553679045596.77</v>
      </c>
      <c r="J4516" s="455">
        <f t="array" ref="J4516">IFERROR(INDEX('Retirement Calculator'!K:K,MATCH('Lorri 401b'!N4516,'Retirement Calculator'!A:A,0),0),0)</f>
        <v>0</v>
      </c>
      <c r="K4516" s="455">
        <f t="shared" ca="1" si="168"/>
        <v>143973662689.98651</v>
      </c>
      <c r="L4516" s="455">
        <f t="shared" ca="1" si="169"/>
        <v>34697652708286.758</v>
      </c>
      <c r="M4516" s="471">
        <f t="shared" si="171"/>
        <v>0.05</v>
      </c>
      <c r="N4516" s="475">
        <f t="shared" si="172"/>
        <v>188498</v>
      </c>
    </row>
    <row r="4517" spans="7:14" ht="11.25" customHeight="1" x14ac:dyDescent="0.3">
      <c r="G4517" s="470"/>
      <c r="H4517" s="470">
        <v>4510</v>
      </c>
      <c r="I4517" s="455">
        <f t="shared" ca="1" si="170"/>
        <v>34697652708286.758</v>
      </c>
      <c r="J4517" s="455">
        <f t="array" ref="J4517">IFERROR(INDEX('Retirement Calculator'!K:K,MATCH('Lorri 401b'!N4517,'Retirement Calculator'!A:A,0),0),0)</f>
        <v>0</v>
      </c>
      <c r="K4517" s="455">
        <f t="shared" ca="1" si="168"/>
        <v>144573552951.19482</v>
      </c>
      <c r="L4517" s="455">
        <f t="shared" ca="1" si="169"/>
        <v>34842226261237.953</v>
      </c>
      <c r="M4517" s="471">
        <f t="shared" si="171"/>
        <v>0.05</v>
      </c>
      <c r="N4517" s="475">
        <f t="shared" si="172"/>
        <v>188527</v>
      </c>
    </row>
    <row r="4518" spans="7:14" ht="11.25" customHeight="1" x14ac:dyDescent="0.3">
      <c r="G4518" s="470"/>
      <c r="H4518" s="470">
        <v>4511</v>
      </c>
      <c r="I4518" s="455">
        <f t="shared" ca="1" si="170"/>
        <v>34842226261237.953</v>
      </c>
      <c r="J4518" s="455">
        <f t="array" ref="J4518">IFERROR(INDEX('Retirement Calculator'!K:K,MATCH('Lorri 401b'!N4518,'Retirement Calculator'!A:A,0),0),0)</f>
        <v>0</v>
      </c>
      <c r="K4518" s="455">
        <f t="shared" ca="1" si="168"/>
        <v>145175942755.15814</v>
      </c>
      <c r="L4518" s="455">
        <f t="shared" ca="1" si="169"/>
        <v>34987402203993.109</v>
      </c>
      <c r="M4518" s="471">
        <f t="shared" si="171"/>
        <v>0.05</v>
      </c>
      <c r="N4518" s="475">
        <f t="shared" si="172"/>
        <v>188558</v>
      </c>
    </row>
    <row r="4519" spans="7:14" ht="11.25" customHeight="1" x14ac:dyDescent="0.3">
      <c r="G4519" s="470"/>
      <c r="H4519" s="470">
        <v>4512</v>
      </c>
      <c r="I4519" s="455">
        <f t="shared" ca="1" si="170"/>
        <v>34987402203993.109</v>
      </c>
      <c r="J4519" s="455">
        <f t="array" ref="J4519">IFERROR(INDEX('Retirement Calculator'!K:K,MATCH('Lorri 401b'!N4519,'Retirement Calculator'!A:A,0),0),0)</f>
        <v>0</v>
      </c>
      <c r="K4519" s="455">
        <f t="shared" ca="1" si="168"/>
        <v>145780842516.63794</v>
      </c>
      <c r="L4519" s="455">
        <f t="shared" ca="1" si="169"/>
        <v>35133183046509.746</v>
      </c>
      <c r="M4519" s="471">
        <f t="shared" si="171"/>
        <v>0.05</v>
      </c>
      <c r="N4519" s="475">
        <f t="shared" si="172"/>
        <v>188588</v>
      </c>
    </row>
    <row r="4520" spans="7:14" ht="11.25" customHeight="1" x14ac:dyDescent="0.3">
      <c r="G4520" s="470"/>
      <c r="H4520" s="470">
        <v>4513</v>
      </c>
      <c r="I4520" s="455">
        <f t="shared" ca="1" si="170"/>
        <v>35133183046509.746</v>
      </c>
      <c r="J4520" s="455">
        <f t="array" ref="J4520">IFERROR(INDEX('Retirement Calculator'!K:K,MATCH('Lorri 401b'!N4520,'Retirement Calculator'!A:A,0),0),0)</f>
        <v>0</v>
      </c>
      <c r="K4520" s="455">
        <f t="shared" ca="1" si="168"/>
        <v>146388262693.79062</v>
      </c>
      <c r="L4520" s="455">
        <f t="shared" ca="1" si="169"/>
        <v>35279571309203.539</v>
      </c>
      <c r="M4520" s="471">
        <f t="shared" si="171"/>
        <v>0.05</v>
      </c>
      <c r="N4520" s="475">
        <f t="shared" si="172"/>
        <v>188619</v>
      </c>
    </row>
    <row r="4521" spans="7:14" ht="11.25" customHeight="1" x14ac:dyDescent="0.3">
      <c r="G4521" s="470"/>
      <c r="H4521" s="470">
        <v>4514</v>
      </c>
      <c r="I4521" s="455">
        <f t="shared" ca="1" si="170"/>
        <v>35279571309203.539</v>
      </c>
      <c r="J4521" s="455">
        <f t="array" ref="J4521">IFERROR(INDEX('Retirement Calculator'!K:K,MATCH('Lorri 401b'!N4521,'Retirement Calculator'!A:A,0),0),0)</f>
        <v>0</v>
      </c>
      <c r="K4521" s="455">
        <f t="shared" ca="1" si="168"/>
        <v>146998213788.34808</v>
      </c>
      <c r="L4521" s="455">
        <f t="shared" ca="1" si="169"/>
        <v>35426569522991.891</v>
      </c>
      <c r="M4521" s="471">
        <f t="shared" si="171"/>
        <v>0.05</v>
      </c>
      <c r="N4521" s="475">
        <f t="shared" si="172"/>
        <v>188649</v>
      </c>
    </row>
    <row r="4522" spans="7:14" ht="11.25" customHeight="1" x14ac:dyDescent="0.3">
      <c r="G4522" s="470"/>
      <c r="H4522" s="470">
        <v>4515</v>
      </c>
      <c r="I4522" s="455">
        <f t="shared" ca="1" si="170"/>
        <v>35426569522991.891</v>
      </c>
      <c r="J4522" s="455">
        <f t="array" ref="J4522">IFERROR(INDEX('Retirement Calculator'!K:K,MATCH('Lorri 401b'!N4522,'Retirement Calculator'!A:A,0),0),0)</f>
        <v>0</v>
      </c>
      <c r="K4522" s="455">
        <f t="shared" ca="1" si="168"/>
        <v>147610706345.79953</v>
      </c>
      <c r="L4522" s="455">
        <f t="shared" ca="1" si="169"/>
        <v>35574180229337.688</v>
      </c>
      <c r="M4522" s="471">
        <f t="shared" si="171"/>
        <v>0.05</v>
      </c>
      <c r="N4522" s="475">
        <f t="shared" si="172"/>
        <v>188680</v>
      </c>
    </row>
    <row r="4523" spans="7:14" ht="11.25" customHeight="1" x14ac:dyDescent="0.3">
      <c r="G4523" s="470"/>
      <c r="H4523" s="470">
        <v>4516</v>
      </c>
      <c r="I4523" s="455">
        <f t="shared" ca="1" si="170"/>
        <v>35574180229337.688</v>
      </c>
      <c r="J4523" s="455">
        <f t="array" ref="J4523">IFERROR(INDEX('Retirement Calculator'!K:K,MATCH('Lorri 401b'!N4523,'Retirement Calculator'!A:A,0),0),0)</f>
        <v>0</v>
      </c>
      <c r="K4523" s="455">
        <f t="shared" ca="1" si="168"/>
        <v>148225750955.5737</v>
      </c>
      <c r="L4523" s="455">
        <f t="shared" ca="1" si="169"/>
        <v>35722405980293.258</v>
      </c>
      <c r="M4523" s="471">
        <f t="shared" si="171"/>
        <v>0.05</v>
      </c>
      <c r="N4523" s="475">
        <f t="shared" si="172"/>
        <v>188711</v>
      </c>
    </row>
    <row r="4524" spans="7:14" ht="11.25" customHeight="1" x14ac:dyDescent="0.3">
      <c r="G4524" s="470"/>
      <c r="H4524" s="470">
        <v>4517</v>
      </c>
      <c r="I4524" s="455">
        <f t="shared" ca="1" si="170"/>
        <v>35722405980293.258</v>
      </c>
      <c r="J4524" s="455">
        <f t="array" ref="J4524">IFERROR(INDEX('Retirement Calculator'!K:K,MATCH('Lorri 401b'!N4524,'Retirement Calculator'!A:A,0),0),0)</f>
        <v>0</v>
      </c>
      <c r="K4524" s="455">
        <f t="shared" ca="1" si="168"/>
        <v>148843358251.22189</v>
      </c>
      <c r="L4524" s="455">
        <f t="shared" ca="1" si="169"/>
        <v>35871249338544.477</v>
      </c>
      <c r="M4524" s="471">
        <f t="shared" si="171"/>
        <v>0.05</v>
      </c>
      <c r="N4524" s="475">
        <f t="shared" si="172"/>
        <v>188741</v>
      </c>
    </row>
    <row r="4525" spans="7:14" ht="11.25" customHeight="1" x14ac:dyDescent="0.3">
      <c r="G4525" s="470"/>
      <c r="H4525" s="470">
        <v>4518</v>
      </c>
      <c r="I4525" s="455">
        <f t="shared" ca="1" si="170"/>
        <v>35871249338544.477</v>
      </c>
      <c r="J4525" s="455">
        <f t="array" ref="J4525">IFERROR(INDEX('Retirement Calculator'!K:K,MATCH('Lorri 401b'!N4525,'Retirement Calculator'!A:A,0),0),0)</f>
        <v>0</v>
      </c>
      <c r="K4525" s="455">
        <f t="shared" ca="1" si="168"/>
        <v>149463538910.60199</v>
      </c>
      <c r="L4525" s="455">
        <f t="shared" ca="1" si="169"/>
        <v>36020712877455.078</v>
      </c>
      <c r="M4525" s="471">
        <f t="shared" si="171"/>
        <v>0.05</v>
      </c>
      <c r="N4525" s="475">
        <f t="shared" si="172"/>
        <v>188772</v>
      </c>
    </row>
    <row r="4526" spans="7:14" ht="11.25" customHeight="1" x14ac:dyDescent="0.3">
      <c r="G4526" s="470"/>
      <c r="H4526" s="470">
        <v>4519</v>
      </c>
      <c r="I4526" s="455">
        <f t="shared" ca="1" si="170"/>
        <v>36020712877455.078</v>
      </c>
      <c r="J4526" s="455">
        <f t="array" ref="J4526">IFERROR(INDEX('Retirement Calculator'!K:K,MATCH('Lorri 401b'!N4526,'Retirement Calculator'!A:A,0),0),0)</f>
        <v>0</v>
      </c>
      <c r="K4526" s="455">
        <f t="shared" ca="1" si="168"/>
        <v>150086303656.06284</v>
      </c>
      <c r="L4526" s="455">
        <f t="shared" ca="1" si="169"/>
        <v>36170799181111.141</v>
      </c>
      <c r="M4526" s="471">
        <f t="shared" si="171"/>
        <v>0.05</v>
      </c>
      <c r="N4526" s="475">
        <f t="shared" si="172"/>
        <v>188802</v>
      </c>
    </row>
    <row r="4527" spans="7:14" ht="11.25" customHeight="1" x14ac:dyDescent="0.3">
      <c r="G4527" s="470"/>
      <c r="H4527" s="470">
        <v>4520</v>
      </c>
      <c r="I4527" s="455">
        <f t="shared" ca="1" si="170"/>
        <v>36170799181111.141</v>
      </c>
      <c r="J4527" s="455">
        <f t="array" ref="J4527">IFERROR(INDEX('Retirement Calculator'!K:K,MATCH('Lorri 401b'!N4527,'Retirement Calculator'!A:A,0),0),0)</f>
        <v>0</v>
      </c>
      <c r="K4527" s="455">
        <f t="shared" ca="1" si="168"/>
        <v>150711663254.62976</v>
      </c>
      <c r="L4527" s="455">
        <f t="shared" ca="1" si="169"/>
        <v>36321510844365.773</v>
      </c>
      <c r="M4527" s="471">
        <f t="shared" si="171"/>
        <v>0.05</v>
      </c>
      <c r="N4527" s="475">
        <f t="shared" si="172"/>
        <v>188833</v>
      </c>
    </row>
    <row r="4528" spans="7:14" ht="11.25" customHeight="1" x14ac:dyDescent="0.3">
      <c r="G4528" s="470"/>
      <c r="H4528" s="470">
        <v>4521</v>
      </c>
      <c r="I4528" s="455">
        <f t="shared" ca="1" si="170"/>
        <v>36321510844365.773</v>
      </c>
      <c r="J4528" s="455">
        <f t="array" ref="J4528">IFERROR(INDEX('Retirement Calculator'!K:K,MATCH('Lorri 401b'!N4528,'Retirement Calculator'!A:A,0),0),0)</f>
        <v>0</v>
      </c>
      <c r="K4528" s="455">
        <f t="shared" ca="1" si="168"/>
        <v>151339628518.19073</v>
      </c>
      <c r="L4528" s="455">
        <f t="shared" ca="1" si="169"/>
        <v>36472850472883.961</v>
      </c>
      <c r="M4528" s="471">
        <f t="shared" si="171"/>
        <v>0.05</v>
      </c>
      <c r="N4528" s="475">
        <f t="shared" si="172"/>
        <v>188864</v>
      </c>
    </row>
    <row r="4529" spans="7:14" ht="11.25" customHeight="1" x14ac:dyDescent="0.3">
      <c r="G4529" s="470"/>
      <c r="H4529" s="470">
        <v>4522</v>
      </c>
      <c r="I4529" s="455">
        <f t="shared" ca="1" si="170"/>
        <v>36472850472883.961</v>
      </c>
      <c r="J4529" s="455">
        <f t="array" ref="J4529">IFERROR(INDEX('Retirement Calculator'!K:K,MATCH('Lorri 401b'!N4529,'Retirement Calculator'!A:A,0),0),0)</f>
        <v>0</v>
      </c>
      <c r="K4529" s="455">
        <f t="shared" ca="1" si="168"/>
        <v>151970210303.68317</v>
      </c>
      <c r="L4529" s="455">
        <f t="shared" ca="1" si="169"/>
        <v>36624820683187.641</v>
      </c>
      <c r="M4529" s="471">
        <f t="shared" si="171"/>
        <v>0.05</v>
      </c>
      <c r="N4529" s="475">
        <f t="shared" si="172"/>
        <v>188892</v>
      </c>
    </row>
    <row r="4530" spans="7:14" ht="11.25" customHeight="1" x14ac:dyDescent="0.3">
      <c r="G4530" s="470"/>
      <c r="H4530" s="470">
        <v>4523</v>
      </c>
      <c r="I4530" s="455">
        <f t="shared" ca="1" si="170"/>
        <v>36624820683187.641</v>
      </c>
      <c r="J4530" s="455">
        <f t="array" ref="J4530">IFERROR(INDEX('Retirement Calculator'!K:K,MATCH('Lorri 401b'!N4530,'Retirement Calculator'!A:A,0),0),0)</f>
        <v>0</v>
      </c>
      <c r="K4530" s="455">
        <f t="shared" ca="1" si="168"/>
        <v>152603419513.28183</v>
      </c>
      <c r="L4530" s="455">
        <f t="shared" ca="1" si="169"/>
        <v>36777424102700.922</v>
      </c>
      <c r="M4530" s="471">
        <f t="shared" si="171"/>
        <v>0.05</v>
      </c>
      <c r="N4530" s="475">
        <f t="shared" si="172"/>
        <v>188923</v>
      </c>
    </row>
    <row r="4531" spans="7:14" ht="11.25" customHeight="1" x14ac:dyDescent="0.3">
      <c r="G4531" s="470"/>
      <c r="H4531" s="470">
        <v>4524</v>
      </c>
      <c r="I4531" s="455">
        <f t="shared" ca="1" si="170"/>
        <v>36777424102700.922</v>
      </c>
      <c r="J4531" s="455">
        <f t="array" ref="J4531">IFERROR(INDEX('Retirement Calculator'!K:K,MATCH('Lorri 401b'!N4531,'Retirement Calculator'!A:A,0),0),0)</f>
        <v>0</v>
      </c>
      <c r="K4531" s="455">
        <f t="shared" ca="1" si="168"/>
        <v>153239267094.58716</v>
      </c>
      <c r="L4531" s="455">
        <f t="shared" ca="1" si="169"/>
        <v>36930663369795.508</v>
      </c>
      <c r="M4531" s="471">
        <f t="shared" si="171"/>
        <v>0.05</v>
      </c>
      <c r="N4531" s="475">
        <f t="shared" si="172"/>
        <v>188953</v>
      </c>
    </row>
    <row r="4532" spans="7:14" ht="11.25" customHeight="1" x14ac:dyDescent="0.3">
      <c r="G4532" s="470"/>
      <c r="H4532" s="470">
        <v>4525</v>
      </c>
      <c r="I4532" s="455">
        <f t="shared" ca="1" si="170"/>
        <v>36930663369795.508</v>
      </c>
      <c r="J4532" s="455">
        <f t="array" ref="J4532">IFERROR(INDEX('Retirement Calculator'!K:K,MATCH('Lorri 401b'!N4532,'Retirement Calculator'!A:A,0),0),0)</f>
        <v>0</v>
      </c>
      <c r="K4532" s="455">
        <f t="shared" ca="1" si="168"/>
        <v>153877764040.81461</v>
      </c>
      <c r="L4532" s="455">
        <f t="shared" ca="1" si="169"/>
        <v>37084541133836.32</v>
      </c>
      <c r="M4532" s="471">
        <f t="shared" si="171"/>
        <v>0.05</v>
      </c>
      <c r="N4532" s="475">
        <f t="shared" si="172"/>
        <v>188984</v>
      </c>
    </row>
    <row r="4533" spans="7:14" ht="11.25" customHeight="1" x14ac:dyDescent="0.3">
      <c r="G4533" s="470"/>
      <c r="H4533" s="470">
        <v>4526</v>
      </c>
      <c r="I4533" s="455">
        <f t="shared" ca="1" si="170"/>
        <v>37084541133836.32</v>
      </c>
      <c r="J4533" s="455">
        <f t="array" ref="J4533">IFERROR(INDEX('Retirement Calculator'!K:K,MATCH('Lorri 401b'!N4533,'Retirement Calculator'!A:A,0),0),0)</f>
        <v>0</v>
      </c>
      <c r="K4533" s="455">
        <f t="shared" ca="1" si="168"/>
        <v>154518921390.98468</v>
      </c>
      <c r="L4533" s="455">
        <f t="shared" ca="1" si="169"/>
        <v>37239060055227.305</v>
      </c>
      <c r="M4533" s="471">
        <f t="shared" si="171"/>
        <v>0.05</v>
      </c>
      <c r="N4533" s="475">
        <f t="shared" si="172"/>
        <v>189014</v>
      </c>
    </row>
    <row r="4534" spans="7:14" ht="11.25" customHeight="1" x14ac:dyDescent="0.3">
      <c r="G4534" s="470"/>
      <c r="H4534" s="470">
        <v>4527</v>
      </c>
      <c r="I4534" s="455">
        <f t="shared" ca="1" si="170"/>
        <v>37239060055227.305</v>
      </c>
      <c r="J4534" s="455">
        <f t="array" ref="J4534">IFERROR(INDEX('Retirement Calculator'!K:K,MATCH('Lorri 401b'!N4534,'Retirement Calculator'!A:A,0),0),0)</f>
        <v>0</v>
      </c>
      <c r="K4534" s="455">
        <f t="shared" ca="1" si="168"/>
        <v>155162750230.11377</v>
      </c>
      <c r="L4534" s="455">
        <f t="shared" ca="1" si="169"/>
        <v>37394222805457.422</v>
      </c>
      <c r="M4534" s="471">
        <f t="shared" si="171"/>
        <v>0.05</v>
      </c>
      <c r="N4534" s="475">
        <f t="shared" si="172"/>
        <v>189045</v>
      </c>
    </row>
    <row r="4535" spans="7:14" ht="11.25" customHeight="1" x14ac:dyDescent="0.3">
      <c r="G4535" s="470"/>
      <c r="H4535" s="470">
        <v>4528</v>
      </c>
      <c r="I4535" s="455">
        <f t="shared" ca="1" si="170"/>
        <v>37394222805457.422</v>
      </c>
      <c r="J4535" s="455">
        <f t="array" ref="J4535">IFERROR(INDEX('Retirement Calculator'!K:K,MATCH('Lorri 401b'!N4535,'Retirement Calculator'!A:A,0),0),0)</f>
        <v>0</v>
      </c>
      <c r="K4535" s="455">
        <f t="shared" ca="1" si="168"/>
        <v>155809261689.40591</v>
      </c>
      <c r="L4535" s="455">
        <f t="shared" ca="1" si="169"/>
        <v>37550032067146.828</v>
      </c>
      <c r="M4535" s="471">
        <f t="shared" si="171"/>
        <v>0.05</v>
      </c>
      <c r="N4535" s="475">
        <f t="shared" si="172"/>
        <v>189076</v>
      </c>
    </row>
    <row r="4536" spans="7:14" ht="11.25" customHeight="1" x14ac:dyDescent="0.3">
      <c r="G4536" s="470"/>
      <c r="H4536" s="470">
        <v>4529</v>
      </c>
      <c r="I4536" s="455">
        <f t="shared" ca="1" si="170"/>
        <v>37550032067146.828</v>
      </c>
      <c r="J4536" s="455">
        <f t="array" ref="J4536">IFERROR(INDEX('Retirement Calculator'!K:K,MATCH('Lorri 401b'!N4536,'Retirement Calculator'!A:A,0),0),0)</f>
        <v>0</v>
      </c>
      <c r="K4536" s="455">
        <f t="shared" ca="1" si="168"/>
        <v>156458466946.44513</v>
      </c>
      <c r="L4536" s="455">
        <f t="shared" ca="1" si="169"/>
        <v>37706490534093.273</v>
      </c>
      <c r="M4536" s="471">
        <f t="shared" si="171"/>
        <v>0.05</v>
      </c>
      <c r="N4536" s="475">
        <f t="shared" si="172"/>
        <v>189106</v>
      </c>
    </row>
    <row r="4537" spans="7:14" ht="11.25" customHeight="1" x14ac:dyDescent="0.3">
      <c r="G4537" s="470"/>
      <c r="H4537" s="470">
        <v>4530</v>
      </c>
      <c r="I4537" s="455">
        <f t="shared" ca="1" si="170"/>
        <v>37706490534093.273</v>
      </c>
      <c r="J4537" s="455">
        <f t="array" ref="J4537">IFERROR(INDEX('Retirement Calculator'!K:K,MATCH('Lorri 401b'!N4537,'Retirement Calculator'!A:A,0),0),0)</f>
        <v>0</v>
      </c>
      <c r="K4537" s="455">
        <f t="shared" ca="1" si="168"/>
        <v>157110377225.38864</v>
      </c>
      <c r="L4537" s="455">
        <f t="shared" ca="1" si="169"/>
        <v>37863600911318.664</v>
      </c>
      <c r="M4537" s="471">
        <f t="shared" si="171"/>
        <v>0.05</v>
      </c>
      <c r="N4537" s="475">
        <f t="shared" si="172"/>
        <v>189137</v>
      </c>
    </row>
    <row r="4538" spans="7:14" ht="11.25" customHeight="1" x14ac:dyDescent="0.3">
      <c r="G4538" s="470"/>
      <c r="H4538" s="470">
        <v>4531</v>
      </c>
      <c r="I4538" s="455">
        <f t="shared" ca="1" si="170"/>
        <v>37863600911318.664</v>
      </c>
      <c r="J4538" s="455">
        <f t="array" ref="J4538">IFERROR(INDEX('Retirement Calculator'!K:K,MATCH('Lorri 401b'!N4538,'Retirement Calculator'!A:A,0),0),0)</f>
        <v>0</v>
      </c>
      <c r="K4538" s="455">
        <f t="shared" ca="1" si="168"/>
        <v>157765003797.1611</v>
      </c>
      <c r="L4538" s="455">
        <f t="shared" ca="1" si="169"/>
        <v>38021365915115.828</v>
      </c>
      <c r="M4538" s="471">
        <f t="shared" si="171"/>
        <v>0.05</v>
      </c>
      <c r="N4538" s="475">
        <f t="shared" si="172"/>
        <v>189167</v>
      </c>
    </row>
    <row r="4539" spans="7:14" ht="11.25" customHeight="1" x14ac:dyDescent="0.3">
      <c r="G4539" s="470"/>
      <c r="H4539" s="470">
        <v>4532</v>
      </c>
      <c r="I4539" s="455">
        <f t="shared" ca="1" si="170"/>
        <v>38021365915115.828</v>
      </c>
      <c r="J4539" s="455">
        <f t="array" ref="J4539">IFERROR(INDEX('Retirement Calculator'!K:K,MATCH('Lorri 401b'!N4539,'Retirement Calculator'!A:A,0),0),0)</f>
        <v>0</v>
      </c>
      <c r="K4539" s="455">
        <f t="shared" ca="1" si="168"/>
        <v>158422357979.64929</v>
      </c>
      <c r="L4539" s="455">
        <f t="shared" ca="1" si="169"/>
        <v>38179788273095.477</v>
      </c>
      <c r="M4539" s="471">
        <f t="shared" si="171"/>
        <v>0.05</v>
      </c>
      <c r="N4539" s="475">
        <f t="shared" si="172"/>
        <v>189198</v>
      </c>
    </row>
    <row r="4540" spans="7:14" ht="11.25" customHeight="1" x14ac:dyDescent="0.3">
      <c r="G4540" s="470"/>
      <c r="H4540" s="470">
        <v>4533</v>
      </c>
      <c r="I4540" s="455">
        <f t="shared" ca="1" si="170"/>
        <v>38179788273095.477</v>
      </c>
      <c r="J4540" s="455">
        <f t="array" ref="J4540">IFERROR(INDEX('Retirement Calculator'!K:K,MATCH('Lorri 401b'!N4540,'Retirement Calculator'!A:A,0),0),0)</f>
        <v>0</v>
      </c>
      <c r="K4540" s="455">
        <f t="shared" ca="1" si="168"/>
        <v>159082451137.89783</v>
      </c>
      <c r="L4540" s="455">
        <f t="shared" ca="1" si="169"/>
        <v>38338870724233.375</v>
      </c>
      <c r="M4540" s="471">
        <f t="shared" si="171"/>
        <v>0.05</v>
      </c>
      <c r="N4540" s="475">
        <f t="shared" si="172"/>
        <v>189229</v>
      </c>
    </row>
    <row r="4541" spans="7:14" ht="11.25" customHeight="1" x14ac:dyDescent="0.3">
      <c r="G4541" s="470"/>
      <c r="H4541" s="470">
        <v>4534</v>
      </c>
      <c r="I4541" s="455">
        <f t="shared" ca="1" si="170"/>
        <v>38338870724233.375</v>
      </c>
      <c r="J4541" s="455">
        <f t="array" ref="J4541">IFERROR(INDEX('Retirement Calculator'!K:K,MATCH('Lorri 401b'!N4541,'Retirement Calculator'!A:A,0),0),0)</f>
        <v>0</v>
      </c>
      <c r="K4541" s="455">
        <f t="shared" ca="1" si="168"/>
        <v>159745294684.30573</v>
      </c>
      <c r="L4541" s="455">
        <f t="shared" ca="1" si="169"/>
        <v>38498616018917.68</v>
      </c>
      <c r="M4541" s="471">
        <f t="shared" si="171"/>
        <v>0.05</v>
      </c>
      <c r="N4541" s="475">
        <f t="shared" si="172"/>
        <v>189257</v>
      </c>
    </row>
    <row r="4542" spans="7:14" ht="11.25" customHeight="1" x14ac:dyDescent="0.3">
      <c r="G4542" s="470"/>
      <c r="H4542" s="470">
        <v>4535</v>
      </c>
      <c r="I4542" s="455">
        <f t="shared" ca="1" si="170"/>
        <v>38498616018917.68</v>
      </c>
      <c r="J4542" s="455">
        <f t="array" ref="J4542">IFERROR(INDEX('Retirement Calculator'!K:K,MATCH('Lorri 401b'!N4542,'Retirement Calculator'!A:A,0),0),0)</f>
        <v>0</v>
      </c>
      <c r="K4542" s="455">
        <f t="shared" ca="1" si="168"/>
        <v>160410900078.82367</v>
      </c>
      <c r="L4542" s="455">
        <f t="shared" ca="1" si="169"/>
        <v>38659026918996.5</v>
      </c>
      <c r="M4542" s="471">
        <f t="shared" si="171"/>
        <v>0.05</v>
      </c>
      <c r="N4542" s="475">
        <f t="shared" si="172"/>
        <v>189288</v>
      </c>
    </row>
    <row r="4543" spans="7:14" ht="11.25" customHeight="1" x14ac:dyDescent="0.3">
      <c r="G4543" s="470"/>
      <c r="H4543" s="470">
        <v>4536</v>
      </c>
      <c r="I4543" s="455">
        <f t="shared" ca="1" si="170"/>
        <v>38659026918996.5</v>
      </c>
      <c r="J4543" s="455">
        <f t="array" ref="J4543">IFERROR(INDEX('Retirement Calculator'!K:K,MATCH('Lorri 401b'!N4543,'Retirement Calculator'!A:A,0),0),0)</f>
        <v>0</v>
      </c>
      <c r="K4543" s="455">
        <f t="shared" ca="1" si="168"/>
        <v>161079278829.15207</v>
      </c>
      <c r="L4543" s="455">
        <f t="shared" ca="1" si="169"/>
        <v>38820106197825.648</v>
      </c>
      <c r="M4543" s="471">
        <f t="shared" si="171"/>
        <v>0.05</v>
      </c>
      <c r="N4543" s="475">
        <f t="shared" si="172"/>
        <v>189318</v>
      </c>
    </row>
    <row r="4544" spans="7:14" ht="11.25" customHeight="1" x14ac:dyDescent="0.3">
      <c r="G4544" s="470"/>
      <c r="H4544" s="470">
        <v>4537</v>
      </c>
      <c r="I4544" s="455">
        <f t="shared" ca="1" si="170"/>
        <v>38820106197825.648</v>
      </c>
      <c r="J4544" s="455">
        <f t="array" ref="J4544">IFERROR(INDEX('Retirement Calculator'!K:K,MATCH('Lorri 401b'!N4544,'Retirement Calculator'!A:A,0),0),0)</f>
        <v>0</v>
      </c>
      <c r="K4544" s="455">
        <f t="shared" ca="1" si="168"/>
        <v>161750442490.94019</v>
      </c>
      <c r="L4544" s="455">
        <f t="shared" ca="1" si="169"/>
        <v>38981856640316.586</v>
      </c>
      <c r="M4544" s="471">
        <f t="shared" si="171"/>
        <v>0.05</v>
      </c>
      <c r="N4544" s="475">
        <f t="shared" si="172"/>
        <v>189349</v>
      </c>
    </row>
    <row r="4545" spans="7:14" ht="11.25" customHeight="1" x14ac:dyDescent="0.3">
      <c r="G4545" s="470"/>
      <c r="H4545" s="470">
        <v>4538</v>
      </c>
      <c r="I4545" s="455">
        <f t="shared" ca="1" si="170"/>
        <v>38981856640316.586</v>
      </c>
      <c r="J4545" s="455">
        <f t="array" ref="J4545">IFERROR(INDEX('Retirement Calculator'!K:K,MATCH('Lorri 401b'!N4545,'Retirement Calculator'!A:A,0),0),0)</f>
        <v>0</v>
      </c>
      <c r="K4545" s="455">
        <f t="shared" ca="1" si="168"/>
        <v>162424402667.98578</v>
      </c>
      <c r="L4545" s="455">
        <f t="shared" ca="1" si="169"/>
        <v>39144281042984.57</v>
      </c>
      <c r="M4545" s="471">
        <f t="shared" si="171"/>
        <v>0.05</v>
      </c>
      <c r="N4545" s="475">
        <f t="shared" si="172"/>
        <v>189379</v>
      </c>
    </row>
    <row r="4546" spans="7:14" ht="11.25" customHeight="1" x14ac:dyDescent="0.3">
      <c r="G4546" s="470"/>
      <c r="H4546" s="470">
        <v>4539</v>
      </c>
      <c r="I4546" s="455">
        <f t="shared" ca="1" si="170"/>
        <v>39144281042984.57</v>
      </c>
      <c r="J4546" s="455">
        <f t="array" ref="J4546">IFERROR(INDEX('Retirement Calculator'!K:K,MATCH('Lorri 401b'!N4546,'Retirement Calculator'!A:A,0),0),0)</f>
        <v>0</v>
      </c>
      <c r="K4546" s="455">
        <f t="shared" ca="1" si="168"/>
        <v>163101171012.4357</v>
      </c>
      <c r="L4546" s="455">
        <f t="shared" ca="1" si="169"/>
        <v>39307382213997.008</v>
      </c>
      <c r="M4546" s="471">
        <f t="shared" si="171"/>
        <v>0.05</v>
      </c>
      <c r="N4546" s="475">
        <f t="shared" si="172"/>
        <v>189410</v>
      </c>
    </row>
    <row r="4547" spans="7:14" ht="11.25" customHeight="1" x14ac:dyDescent="0.3">
      <c r="G4547" s="470"/>
      <c r="H4547" s="470">
        <v>4540</v>
      </c>
      <c r="I4547" s="455">
        <f t="shared" ca="1" si="170"/>
        <v>39307382213997.008</v>
      </c>
      <c r="J4547" s="455">
        <f t="array" ref="J4547">IFERROR(INDEX('Retirement Calculator'!K:K,MATCH('Lorri 401b'!N4547,'Retirement Calculator'!A:A,0),0),0)</f>
        <v>0</v>
      </c>
      <c r="K4547" s="455">
        <f t="shared" ca="1" si="168"/>
        <v>163780759224.98752</v>
      </c>
      <c r="L4547" s="455">
        <f t="shared" ca="1" si="169"/>
        <v>39471162973221.992</v>
      </c>
      <c r="M4547" s="471">
        <f t="shared" si="171"/>
        <v>0.05</v>
      </c>
      <c r="N4547" s="475">
        <f t="shared" si="172"/>
        <v>189441</v>
      </c>
    </row>
    <row r="4548" spans="7:14" ht="11.25" customHeight="1" x14ac:dyDescent="0.3">
      <c r="G4548" s="470"/>
      <c r="H4548" s="470">
        <v>4541</v>
      </c>
      <c r="I4548" s="455">
        <f t="shared" ca="1" si="170"/>
        <v>39471162973221.992</v>
      </c>
      <c r="J4548" s="455">
        <f t="array" ref="J4548">IFERROR(INDEX('Retirement Calculator'!K:K,MATCH('Lorri 401b'!N4548,'Retirement Calculator'!A:A,0),0),0)</f>
        <v>0</v>
      </c>
      <c r="K4548" s="455">
        <f t="shared" ca="1" si="168"/>
        <v>164463179055.09164</v>
      </c>
      <c r="L4548" s="455">
        <f t="shared" ca="1" si="169"/>
        <v>39635626152277.086</v>
      </c>
      <c r="M4548" s="471">
        <f t="shared" si="171"/>
        <v>0.05</v>
      </c>
      <c r="N4548" s="475">
        <f t="shared" si="172"/>
        <v>189471</v>
      </c>
    </row>
    <row r="4549" spans="7:14" ht="11.25" customHeight="1" x14ac:dyDescent="0.3">
      <c r="G4549" s="470"/>
      <c r="H4549" s="470">
        <v>4542</v>
      </c>
      <c r="I4549" s="455">
        <f t="shared" ca="1" si="170"/>
        <v>39635626152277.086</v>
      </c>
      <c r="J4549" s="455">
        <f t="array" ref="J4549">IFERROR(INDEX('Retirement Calculator'!K:K,MATCH('Lorri 401b'!N4549,'Retirement Calculator'!A:A,0),0),0)</f>
        <v>0</v>
      </c>
      <c r="K4549" s="455">
        <f t="shared" ca="1" si="168"/>
        <v>165148442301.15451</v>
      </c>
      <c r="L4549" s="455">
        <f t="shared" ca="1" si="169"/>
        <v>39800774594578.242</v>
      </c>
      <c r="M4549" s="471">
        <f t="shared" si="171"/>
        <v>0.05</v>
      </c>
      <c r="N4549" s="475">
        <f t="shared" si="172"/>
        <v>189502</v>
      </c>
    </row>
    <row r="4550" spans="7:14" ht="11.25" customHeight="1" x14ac:dyDescent="0.3">
      <c r="G4550" s="470"/>
      <c r="H4550" s="470">
        <v>4543</v>
      </c>
      <c r="I4550" s="455">
        <f t="shared" ca="1" si="170"/>
        <v>39800774594578.242</v>
      </c>
      <c r="J4550" s="455">
        <f t="array" ref="J4550">IFERROR(INDEX('Retirement Calculator'!K:K,MATCH('Lorri 401b'!N4550,'Retirement Calculator'!A:A,0),0),0)</f>
        <v>0</v>
      </c>
      <c r="K4550" s="455">
        <f t="shared" ca="1" si="168"/>
        <v>165836560810.74268</v>
      </c>
      <c r="L4550" s="455">
        <f t="shared" ca="1" si="169"/>
        <v>39966611155388.984</v>
      </c>
      <c r="M4550" s="471">
        <f t="shared" si="171"/>
        <v>0.05</v>
      </c>
      <c r="N4550" s="475">
        <f t="shared" si="172"/>
        <v>189532</v>
      </c>
    </row>
    <row r="4551" spans="7:14" ht="11.25" customHeight="1" x14ac:dyDescent="0.3">
      <c r="G4551" s="470"/>
      <c r="H4551" s="470">
        <v>4544</v>
      </c>
      <c r="I4551" s="455">
        <f t="shared" ca="1" si="170"/>
        <v>39966611155388.984</v>
      </c>
      <c r="J4551" s="455">
        <f t="array" ref="J4551">IFERROR(INDEX('Retirement Calculator'!K:K,MATCH('Lorri 401b'!N4551,'Retirement Calculator'!A:A,0),0),0)</f>
        <v>0</v>
      </c>
      <c r="K4551" s="455">
        <f t="shared" ca="1" si="168"/>
        <v>166527546480.78745</v>
      </c>
      <c r="L4551" s="455">
        <f t="shared" ca="1" si="169"/>
        <v>40133138701869.773</v>
      </c>
      <c r="M4551" s="471">
        <f t="shared" si="171"/>
        <v>0.05</v>
      </c>
      <c r="N4551" s="475">
        <f t="shared" si="172"/>
        <v>189563</v>
      </c>
    </row>
    <row r="4552" spans="7:14" ht="11.25" customHeight="1" x14ac:dyDescent="0.3">
      <c r="G4552" s="470"/>
      <c r="H4552" s="470">
        <v>4545</v>
      </c>
      <c r="I4552" s="455">
        <f t="shared" ca="1" si="170"/>
        <v>40133138701869.773</v>
      </c>
      <c r="J4552" s="455">
        <f t="array" ref="J4552">IFERROR(INDEX('Retirement Calculator'!K:K,MATCH('Lorri 401b'!N4552,'Retirement Calculator'!A:A,0),0),0)</f>
        <v>0</v>
      </c>
      <c r="K4552" s="455">
        <f t="shared" ca="1" si="168"/>
        <v>167221411257.79071</v>
      </c>
      <c r="L4552" s="455">
        <f t="shared" ca="1" si="169"/>
        <v>40300360113127.563</v>
      </c>
      <c r="M4552" s="471">
        <f t="shared" si="171"/>
        <v>0.05</v>
      </c>
      <c r="N4552" s="475">
        <f t="shared" si="172"/>
        <v>189594</v>
      </c>
    </row>
    <row r="4553" spans="7:14" ht="11.25" customHeight="1" x14ac:dyDescent="0.3">
      <c r="G4553" s="470"/>
      <c r="H4553" s="470">
        <v>4546</v>
      </c>
      <c r="I4553" s="455">
        <f t="shared" ca="1" si="170"/>
        <v>40300360113127.563</v>
      </c>
      <c r="J4553" s="455">
        <f t="array" ref="J4553">IFERROR(INDEX('Retirement Calculator'!K:K,MATCH('Lorri 401b'!N4553,'Retirement Calculator'!A:A,0),0),0)</f>
        <v>0</v>
      </c>
      <c r="K4553" s="455">
        <f t="shared" ca="1" si="168"/>
        <v>167918167138.03149</v>
      </c>
      <c r="L4553" s="455">
        <f t="shared" ca="1" si="169"/>
        <v>40468278280265.594</v>
      </c>
      <c r="M4553" s="471">
        <f t="shared" si="171"/>
        <v>0.05</v>
      </c>
      <c r="N4553" s="475">
        <f t="shared" si="172"/>
        <v>189622</v>
      </c>
    </row>
    <row r="4554" spans="7:14" ht="11.25" customHeight="1" x14ac:dyDescent="0.3">
      <c r="G4554" s="470"/>
      <c r="H4554" s="470">
        <v>4547</v>
      </c>
      <c r="I4554" s="455">
        <f t="shared" ca="1" si="170"/>
        <v>40468278280265.594</v>
      </c>
      <c r="J4554" s="455">
        <f t="array" ref="J4554">IFERROR(INDEX('Retirement Calculator'!K:K,MATCH('Lorri 401b'!N4554,'Retirement Calculator'!A:A,0),0),0)</f>
        <v>0</v>
      </c>
      <c r="K4554" s="455">
        <f t="shared" ca="1" si="168"/>
        <v>168617826167.77332</v>
      </c>
      <c r="L4554" s="455">
        <f t="shared" ca="1" si="169"/>
        <v>40636896106433.367</v>
      </c>
      <c r="M4554" s="471">
        <f t="shared" si="171"/>
        <v>0.05</v>
      </c>
      <c r="N4554" s="475">
        <f t="shared" si="172"/>
        <v>189653</v>
      </c>
    </row>
    <row r="4555" spans="7:14" ht="11.25" customHeight="1" x14ac:dyDescent="0.3">
      <c r="G4555" s="470"/>
      <c r="H4555" s="470">
        <v>4548</v>
      </c>
      <c r="I4555" s="455">
        <f t="shared" ca="1" si="170"/>
        <v>40636896106433.367</v>
      </c>
      <c r="J4555" s="455">
        <f t="array" ref="J4555">IFERROR(INDEX('Retirement Calculator'!K:K,MATCH('Lorri 401b'!N4555,'Retirement Calculator'!A:A,0),0),0)</f>
        <v>0</v>
      </c>
      <c r="K4555" s="455">
        <f t="shared" ca="1" si="168"/>
        <v>169320400443.47235</v>
      </c>
      <c r="L4555" s="455">
        <f t="shared" ca="1" si="169"/>
        <v>40806216506876.836</v>
      </c>
      <c r="M4555" s="471">
        <f t="shared" si="171"/>
        <v>0.05</v>
      </c>
      <c r="N4555" s="475">
        <f t="shared" si="172"/>
        <v>189683</v>
      </c>
    </row>
    <row r="4556" spans="7:14" ht="11.25" customHeight="1" x14ac:dyDescent="0.3">
      <c r="G4556" s="470"/>
      <c r="H4556" s="470">
        <v>4549</v>
      </c>
      <c r="I4556" s="455">
        <f t="shared" ca="1" si="170"/>
        <v>40806216506876.836</v>
      </c>
      <c r="J4556" s="455">
        <f t="array" ref="J4556">IFERROR(INDEX('Retirement Calculator'!K:K,MATCH('Lorri 401b'!N4556,'Retirement Calculator'!A:A,0),0),0)</f>
        <v>0</v>
      </c>
      <c r="K4556" s="455">
        <f t="shared" ca="1" si="168"/>
        <v>170025902111.98682</v>
      </c>
      <c r="L4556" s="455">
        <f t="shared" ca="1" si="169"/>
        <v>40976242408988.82</v>
      </c>
      <c r="M4556" s="471">
        <f t="shared" si="171"/>
        <v>0.05</v>
      </c>
      <c r="N4556" s="475">
        <f t="shared" si="172"/>
        <v>189714</v>
      </c>
    </row>
    <row r="4557" spans="7:14" ht="11.25" customHeight="1" x14ac:dyDescent="0.3">
      <c r="G4557" s="470"/>
      <c r="H4557" s="470">
        <v>4550</v>
      </c>
      <c r="I4557" s="455">
        <f t="shared" ca="1" si="170"/>
        <v>40976242408988.82</v>
      </c>
      <c r="J4557" s="455">
        <f t="array" ref="J4557">IFERROR(INDEX('Retirement Calculator'!K:K,MATCH('Lorri 401b'!N4557,'Retirement Calculator'!A:A,0),0),0)</f>
        <v>0</v>
      </c>
      <c r="K4557" s="455">
        <f t="shared" ca="1" si="168"/>
        <v>170734343370.78674</v>
      </c>
      <c r="L4557" s="455">
        <f t="shared" ca="1" si="169"/>
        <v>41146976752359.609</v>
      </c>
      <c r="M4557" s="471">
        <f t="shared" si="171"/>
        <v>0.05</v>
      </c>
      <c r="N4557" s="475">
        <f t="shared" si="172"/>
        <v>189744</v>
      </c>
    </row>
    <row r="4558" spans="7:14" ht="11.25" customHeight="1" x14ac:dyDescent="0.3">
      <c r="G4558" s="470"/>
      <c r="H4558" s="470">
        <v>4551</v>
      </c>
      <c r="I4558" s="455">
        <f t="shared" ca="1" si="170"/>
        <v>41146976752359.609</v>
      </c>
      <c r="J4558" s="455">
        <f t="array" ref="J4558">IFERROR(INDEX('Retirement Calculator'!K:K,MATCH('Lorri 401b'!N4558,'Retirement Calculator'!A:A,0),0),0)</f>
        <v>0</v>
      </c>
      <c r="K4558" s="455">
        <f t="shared" ca="1" si="168"/>
        <v>171445736468.16504</v>
      </c>
      <c r="L4558" s="455">
        <f t="shared" ca="1" si="169"/>
        <v>41318422488827.773</v>
      </c>
      <c r="M4558" s="471">
        <f t="shared" si="171"/>
        <v>0.05</v>
      </c>
      <c r="N4558" s="475">
        <f t="shared" si="172"/>
        <v>189775</v>
      </c>
    </row>
    <row r="4559" spans="7:14" ht="11.25" customHeight="1" x14ac:dyDescent="0.3">
      <c r="G4559" s="470"/>
      <c r="H4559" s="470">
        <v>4552</v>
      </c>
      <c r="I4559" s="455">
        <f t="shared" ca="1" si="170"/>
        <v>41318422488827.773</v>
      </c>
      <c r="J4559" s="455">
        <f t="array" ref="J4559">IFERROR(INDEX('Retirement Calculator'!K:K,MATCH('Lorri 401b'!N4559,'Retirement Calculator'!A:A,0),0),0)</f>
        <v>0</v>
      </c>
      <c r="K4559" s="455">
        <f t="shared" ca="1" si="168"/>
        <v>172160093703.44907</v>
      </c>
      <c r="L4559" s="455">
        <f t="shared" ca="1" si="169"/>
        <v>41490582582531.219</v>
      </c>
      <c r="M4559" s="471">
        <f t="shared" si="171"/>
        <v>0.05</v>
      </c>
      <c r="N4559" s="475">
        <f t="shared" si="172"/>
        <v>189806</v>
      </c>
    </row>
    <row r="4560" spans="7:14" ht="11.25" customHeight="1" x14ac:dyDescent="0.3">
      <c r="G4560" s="470"/>
      <c r="H4560" s="470">
        <v>4553</v>
      </c>
      <c r="I4560" s="455">
        <f t="shared" ca="1" si="170"/>
        <v>41490582582531.219</v>
      </c>
      <c r="J4560" s="455">
        <f t="array" ref="J4560">IFERROR(INDEX('Retirement Calculator'!K:K,MATCH('Lorri 401b'!N4560,'Retirement Calculator'!A:A,0),0),0)</f>
        <v>0</v>
      </c>
      <c r="K4560" s="455">
        <f t="shared" ca="1" si="168"/>
        <v>172877427427.21341</v>
      </c>
      <c r="L4560" s="455">
        <f t="shared" ca="1" si="169"/>
        <v>41663460009958.43</v>
      </c>
      <c r="M4560" s="471">
        <f t="shared" si="171"/>
        <v>0.05</v>
      </c>
      <c r="N4560" s="475">
        <f t="shared" si="172"/>
        <v>189836</v>
      </c>
    </row>
    <row r="4561" spans="7:14" ht="11.25" customHeight="1" x14ac:dyDescent="0.3">
      <c r="G4561" s="470"/>
      <c r="H4561" s="470">
        <v>4554</v>
      </c>
      <c r="I4561" s="455">
        <f t="shared" ca="1" si="170"/>
        <v>41663460009958.43</v>
      </c>
      <c r="J4561" s="455">
        <f t="array" ref="J4561">IFERROR(INDEX('Retirement Calculator'!K:K,MATCH('Lorri 401b'!N4561,'Retirement Calculator'!A:A,0),0),0)</f>
        <v>0</v>
      </c>
      <c r="K4561" s="455">
        <f t="shared" ca="1" si="168"/>
        <v>173597750041.49347</v>
      </c>
      <c r="L4561" s="455">
        <f t="shared" ca="1" si="169"/>
        <v>41837057759999.922</v>
      </c>
      <c r="M4561" s="471">
        <f t="shared" si="171"/>
        <v>0.05</v>
      </c>
      <c r="N4561" s="475">
        <f t="shared" si="172"/>
        <v>189867</v>
      </c>
    </row>
    <row r="4562" spans="7:14" ht="11.25" customHeight="1" x14ac:dyDescent="0.3">
      <c r="G4562" s="470"/>
      <c r="H4562" s="470">
        <v>4555</v>
      </c>
      <c r="I4562" s="455">
        <f t="shared" ca="1" si="170"/>
        <v>41837057759999.922</v>
      </c>
      <c r="J4562" s="455">
        <f t="array" ref="J4562">IFERROR(INDEX('Retirement Calculator'!K:K,MATCH('Lorri 401b'!N4562,'Retirement Calculator'!A:A,0),0),0)</f>
        <v>0</v>
      </c>
      <c r="K4562" s="455">
        <f t="shared" ca="1" si="168"/>
        <v>174321073999.99966</v>
      </c>
      <c r="L4562" s="455">
        <f t="shared" ca="1" si="169"/>
        <v>42011378833999.922</v>
      </c>
      <c r="M4562" s="471">
        <f t="shared" si="171"/>
        <v>0.05</v>
      </c>
      <c r="N4562" s="475">
        <f t="shared" si="172"/>
        <v>189897</v>
      </c>
    </row>
    <row r="4563" spans="7:14" ht="11.25" customHeight="1" x14ac:dyDescent="0.3">
      <c r="G4563" s="470"/>
      <c r="H4563" s="470">
        <v>4556</v>
      </c>
      <c r="I4563" s="455">
        <f t="shared" ca="1" si="170"/>
        <v>42011378833999.922</v>
      </c>
      <c r="J4563" s="455">
        <f t="array" ref="J4563">IFERROR(INDEX('Retirement Calculator'!K:K,MATCH('Lorri 401b'!N4563,'Retirement Calculator'!A:A,0),0),0)</f>
        <v>0</v>
      </c>
      <c r="K4563" s="455">
        <f t="shared" ca="1" si="168"/>
        <v>175047411808.33301</v>
      </c>
      <c r="L4563" s="455">
        <f t="shared" ca="1" si="169"/>
        <v>42186426245808.258</v>
      </c>
      <c r="M4563" s="471">
        <f t="shared" si="171"/>
        <v>0.05</v>
      </c>
      <c r="N4563" s="475">
        <f t="shared" si="172"/>
        <v>189928</v>
      </c>
    </row>
    <row r="4564" spans="7:14" ht="11.25" customHeight="1" x14ac:dyDescent="0.3">
      <c r="G4564" s="470"/>
      <c r="H4564" s="470">
        <v>4557</v>
      </c>
      <c r="I4564" s="455">
        <f t="shared" ca="1" si="170"/>
        <v>42186426245808.258</v>
      </c>
      <c r="J4564" s="455">
        <f t="array" ref="J4564">IFERROR(INDEX('Retirement Calculator'!K:K,MATCH('Lorri 401b'!N4564,'Retirement Calculator'!A:A,0),0),0)</f>
        <v>0</v>
      </c>
      <c r="K4564" s="455">
        <f t="shared" ca="1" si="168"/>
        <v>175776776024.20108</v>
      </c>
      <c r="L4564" s="455">
        <f t="shared" ca="1" si="169"/>
        <v>42362203021832.461</v>
      </c>
      <c r="M4564" s="471">
        <f t="shared" si="171"/>
        <v>0.05</v>
      </c>
      <c r="N4564" s="475">
        <f t="shared" si="172"/>
        <v>189959</v>
      </c>
    </row>
    <row r="4565" spans="7:14" ht="11.25" customHeight="1" x14ac:dyDescent="0.3">
      <c r="G4565" s="470"/>
      <c r="H4565" s="470">
        <v>4558</v>
      </c>
      <c r="I4565" s="455">
        <f t="shared" ca="1" si="170"/>
        <v>42362203021832.461</v>
      </c>
      <c r="J4565" s="455">
        <f t="array" ref="J4565">IFERROR(INDEX('Retirement Calculator'!K:K,MATCH('Lorri 401b'!N4565,'Retirement Calculator'!A:A,0),0),0)</f>
        <v>0</v>
      </c>
      <c r="K4565" s="455">
        <f t="shared" ca="1" si="168"/>
        <v>176509179257.63525</v>
      </c>
      <c r="L4565" s="455">
        <f t="shared" ca="1" si="169"/>
        <v>42538712201090.094</v>
      </c>
      <c r="M4565" s="471">
        <f t="shared" si="171"/>
        <v>0.05</v>
      </c>
      <c r="N4565" s="475">
        <f t="shared" si="172"/>
        <v>189988</v>
      </c>
    </row>
    <row r="4566" spans="7:14" ht="11.25" customHeight="1" x14ac:dyDescent="0.3">
      <c r="G4566" s="470"/>
      <c r="H4566" s="470">
        <v>4559</v>
      </c>
      <c r="I4566" s="455">
        <f t="shared" ca="1" si="170"/>
        <v>42538712201090.094</v>
      </c>
      <c r="J4566" s="455">
        <f t="array" ref="J4566">IFERROR(INDEX('Retirement Calculator'!K:K,MATCH('Lorri 401b'!N4566,'Retirement Calculator'!A:A,0),0),0)</f>
        <v>0</v>
      </c>
      <c r="K4566" s="455">
        <f t="shared" ca="1" si="168"/>
        <v>177244634171.20871</v>
      </c>
      <c r="L4566" s="455">
        <f t="shared" ca="1" si="169"/>
        <v>42715956835261.305</v>
      </c>
      <c r="M4566" s="471">
        <f t="shared" si="171"/>
        <v>0.05</v>
      </c>
      <c r="N4566" s="475">
        <f t="shared" si="172"/>
        <v>190019</v>
      </c>
    </row>
    <row r="4567" spans="7:14" ht="11.25" customHeight="1" x14ac:dyDescent="0.3">
      <c r="G4567" s="470"/>
      <c r="H4567" s="470">
        <v>4560</v>
      </c>
      <c r="I4567" s="455">
        <f t="shared" ca="1" si="170"/>
        <v>42715956835261.305</v>
      </c>
      <c r="J4567" s="455">
        <f t="array" ref="J4567">IFERROR(INDEX('Retirement Calculator'!K:K,MATCH('Lorri 401b'!N4567,'Retirement Calculator'!A:A,0),0),0)</f>
        <v>0</v>
      </c>
      <c r="K4567" s="455">
        <f t="shared" ca="1" si="168"/>
        <v>177983153480.25543</v>
      </c>
      <c r="L4567" s="455">
        <f t="shared" ca="1" si="169"/>
        <v>42893939988741.563</v>
      </c>
      <c r="M4567" s="471">
        <f t="shared" si="171"/>
        <v>0.05</v>
      </c>
      <c r="N4567" s="475">
        <f t="shared" si="172"/>
        <v>190049</v>
      </c>
    </row>
    <row r="4568" spans="7:14" ht="11.25" customHeight="1" x14ac:dyDescent="0.3">
      <c r="G4568" s="470"/>
      <c r="H4568" s="470">
        <v>4561</v>
      </c>
      <c r="I4568" s="455">
        <f t="shared" ca="1" si="170"/>
        <v>42893939988741.563</v>
      </c>
      <c r="J4568" s="455">
        <f t="array" ref="J4568">IFERROR(INDEX('Retirement Calculator'!K:K,MATCH('Lorri 401b'!N4568,'Retirement Calculator'!A:A,0),0),0)</f>
        <v>0</v>
      </c>
      <c r="K4568" s="455">
        <f t="shared" ca="1" si="168"/>
        <v>178724749953.08984</v>
      </c>
      <c r="L4568" s="455">
        <f t="shared" ca="1" si="169"/>
        <v>43072664738694.656</v>
      </c>
      <c r="M4568" s="471">
        <f t="shared" si="171"/>
        <v>0.05</v>
      </c>
      <c r="N4568" s="475">
        <f t="shared" si="172"/>
        <v>190080</v>
      </c>
    </row>
    <row r="4569" spans="7:14" ht="11.25" customHeight="1" x14ac:dyDescent="0.3">
      <c r="G4569" s="470"/>
      <c r="H4569" s="470">
        <v>4562</v>
      </c>
      <c r="I4569" s="455">
        <f t="shared" ca="1" si="170"/>
        <v>43072664738694.656</v>
      </c>
      <c r="J4569" s="455">
        <f t="array" ref="J4569">IFERROR(INDEX('Retirement Calculator'!K:K,MATCH('Lorri 401b'!N4569,'Retirement Calculator'!A:A,0),0),0)</f>
        <v>0</v>
      </c>
      <c r="K4569" s="455">
        <f t="shared" ca="1" si="168"/>
        <v>179469436411.22772</v>
      </c>
      <c r="L4569" s="455">
        <f t="shared" ca="1" si="169"/>
        <v>43252134175105.883</v>
      </c>
      <c r="M4569" s="471">
        <f t="shared" si="171"/>
        <v>0.05</v>
      </c>
      <c r="N4569" s="475">
        <f t="shared" si="172"/>
        <v>190110</v>
      </c>
    </row>
    <row r="4570" spans="7:14" ht="11.25" customHeight="1" x14ac:dyDescent="0.3">
      <c r="G4570" s="470"/>
      <c r="H4570" s="470">
        <v>4563</v>
      </c>
      <c r="I4570" s="455">
        <f t="shared" ca="1" si="170"/>
        <v>43252134175105.883</v>
      </c>
      <c r="J4570" s="455">
        <f t="array" ref="J4570">IFERROR(INDEX('Retirement Calculator'!K:K,MATCH('Lorri 401b'!N4570,'Retirement Calculator'!A:A,0),0),0)</f>
        <v>0</v>
      </c>
      <c r="K4570" s="455">
        <f t="shared" ca="1" si="168"/>
        <v>180217225729.60785</v>
      </c>
      <c r="L4570" s="455">
        <f t="shared" ca="1" si="169"/>
        <v>43432351400835.492</v>
      </c>
      <c r="M4570" s="471">
        <f t="shared" si="171"/>
        <v>0.05</v>
      </c>
      <c r="N4570" s="475">
        <f t="shared" si="172"/>
        <v>190141</v>
      </c>
    </row>
    <row r="4571" spans="7:14" ht="11.25" customHeight="1" x14ac:dyDescent="0.3">
      <c r="G4571" s="470"/>
      <c r="H4571" s="470">
        <v>4564</v>
      </c>
      <c r="I4571" s="455">
        <f t="shared" ca="1" si="170"/>
        <v>43432351400835.492</v>
      </c>
      <c r="J4571" s="455">
        <f t="array" ref="J4571">IFERROR(INDEX('Retirement Calculator'!K:K,MATCH('Lorri 401b'!N4571,'Retirement Calculator'!A:A,0),0),0)</f>
        <v>0</v>
      </c>
      <c r="K4571" s="455">
        <f t="shared" ca="1" si="168"/>
        <v>180968130836.81454</v>
      </c>
      <c r="L4571" s="455">
        <f t="shared" ca="1" si="169"/>
        <v>43613319531672.305</v>
      </c>
      <c r="M4571" s="471">
        <f t="shared" si="171"/>
        <v>0.05</v>
      </c>
      <c r="N4571" s="475">
        <f t="shared" si="172"/>
        <v>190172</v>
      </c>
    </row>
    <row r="4572" spans="7:14" ht="11.25" customHeight="1" x14ac:dyDescent="0.3">
      <c r="G4572" s="470"/>
      <c r="H4572" s="470">
        <v>4565</v>
      </c>
      <c r="I4572" s="455">
        <f t="shared" ca="1" si="170"/>
        <v>43613319531672.305</v>
      </c>
      <c r="J4572" s="455">
        <f t="array" ref="J4572">IFERROR(INDEX('Retirement Calculator'!K:K,MATCH('Lorri 401b'!N4572,'Retirement Calculator'!A:A,0),0),0)</f>
        <v>0</v>
      </c>
      <c r="K4572" s="455">
        <f t="shared" ca="1" si="168"/>
        <v>181722164715.30127</v>
      </c>
      <c r="L4572" s="455">
        <f t="shared" ca="1" si="169"/>
        <v>43795041696387.609</v>
      </c>
      <c r="M4572" s="471">
        <f t="shared" si="171"/>
        <v>0.05</v>
      </c>
      <c r="N4572" s="475">
        <f t="shared" si="172"/>
        <v>190202</v>
      </c>
    </row>
    <row r="4573" spans="7:14" ht="11.25" customHeight="1" x14ac:dyDescent="0.3">
      <c r="G4573" s="470"/>
      <c r="H4573" s="470">
        <v>4566</v>
      </c>
      <c r="I4573" s="455">
        <f t="shared" ca="1" si="170"/>
        <v>43795041696387.609</v>
      </c>
      <c r="J4573" s="455">
        <f t="array" ref="J4573">IFERROR(INDEX('Retirement Calculator'!K:K,MATCH('Lorri 401b'!N4573,'Retirement Calculator'!A:A,0),0),0)</f>
        <v>0</v>
      </c>
      <c r="K4573" s="455">
        <f t="shared" ca="1" si="168"/>
        <v>182479340401.61505</v>
      </c>
      <c r="L4573" s="455">
        <f t="shared" ca="1" si="169"/>
        <v>43977521036789.227</v>
      </c>
      <c r="M4573" s="471">
        <f t="shared" si="171"/>
        <v>0.05</v>
      </c>
      <c r="N4573" s="475">
        <f t="shared" si="172"/>
        <v>190233</v>
      </c>
    </row>
    <row r="4574" spans="7:14" ht="11.25" customHeight="1" x14ac:dyDescent="0.3">
      <c r="G4574" s="470"/>
      <c r="H4574" s="470">
        <v>4567</v>
      </c>
      <c r="I4574" s="455">
        <f t="shared" ca="1" si="170"/>
        <v>43977521036789.227</v>
      </c>
      <c r="J4574" s="455">
        <f t="array" ref="J4574">IFERROR(INDEX('Retirement Calculator'!K:K,MATCH('Lorri 401b'!N4574,'Retirement Calculator'!A:A,0),0),0)</f>
        <v>0</v>
      </c>
      <c r="K4574" s="455">
        <f t="shared" ca="1" si="168"/>
        <v>183239670986.62177</v>
      </c>
      <c r="L4574" s="455">
        <f t="shared" ca="1" si="169"/>
        <v>44160760707775.852</v>
      </c>
      <c r="M4574" s="471">
        <f t="shared" si="171"/>
        <v>0.05</v>
      </c>
      <c r="N4574" s="475">
        <f t="shared" si="172"/>
        <v>190263</v>
      </c>
    </row>
    <row r="4575" spans="7:14" ht="11.25" customHeight="1" x14ac:dyDescent="0.3">
      <c r="G4575" s="470"/>
      <c r="H4575" s="470">
        <v>4568</v>
      </c>
      <c r="I4575" s="455">
        <f t="shared" ca="1" si="170"/>
        <v>44160760707775.852</v>
      </c>
      <c r="J4575" s="455">
        <f t="array" ref="J4575">IFERROR(INDEX('Retirement Calculator'!K:K,MATCH('Lorri 401b'!N4575,'Retirement Calculator'!A:A,0),0),0)</f>
        <v>0</v>
      </c>
      <c r="K4575" s="455">
        <f t="shared" ca="1" si="168"/>
        <v>184003169615.73273</v>
      </c>
      <c r="L4575" s="455">
        <f t="shared" ca="1" si="169"/>
        <v>44344763877391.586</v>
      </c>
      <c r="M4575" s="471">
        <f t="shared" si="171"/>
        <v>0.05</v>
      </c>
      <c r="N4575" s="475">
        <f t="shared" si="172"/>
        <v>190294</v>
      </c>
    </row>
    <row r="4576" spans="7:14" ht="11.25" customHeight="1" x14ac:dyDescent="0.3">
      <c r="G4576" s="470"/>
      <c r="H4576" s="470">
        <v>4569</v>
      </c>
      <c r="I4576" s="455">
        <f t="shared" ca="1" si="170"/>
        <v>44344763877391.586</v>
      </c>
      <c r="J4576" s="455">
        <f t="array" ref="J4576">IFERROR(INDEX('Retirement Calculator'!K:K,MATCH('Lorri 401b'!N4576,'Retirement Calculator'!A:A,0),0),0)</f>
        <v>0</v>
      </c>
      <c r="K4576" s="455">
        <f t="shared" ca="1" si="168"/>
        <v>184769849489.13159</v>
      </c>
      <c r="L4576" s="455">
        <f t="shared" ca="1" si="169"/>
        <v>44529533726880.719</v>
      </c>
      <c r="M4576" s="471">
        <f t="shared" si="171"/>
        <v>0.05</v>
      </c>
      <c r="N4576" s="475">
        <f t="shared" si="172"/>
        <v>190325</v>
      </c>
    </row>
    <row r="4577" spans="7:14" ht="11.25" customHeight="1" x14ac:dyDescent="0.3">
      <c r="G4577" s="470"/>
      <c r="H4577" s="470">
        <v>4570</v>
      </c>
      <c r="I4577" s="455">
        <f t="shared" ca="1" si="170"/>
        <v>44529533726880.719</v>
      </c>
      <c r="J4577" s="455">
        <f t="array" ref="J4577">IFERROR(INDEX('Retirement Calculator'!K:K,MATCH('Lorri 401b'!N4577,'Retirement Calculator'!A:A,0),0),0)</f>
        <v>0</v>
      </c>
      <c r="K4577" s="455">
        <f t="shared" ca="1" si="168"/>
        <v>185539723862.00299</v>
      </c>
      <c r="L4577" s="455">
        <f t="shared" ca="1" si="169"/>
        <v>44715073450742.719</v>
      </c>
      <c r="M4577" s="471">
        <f t="shared" si="171"/>
        <v>0.05</v>
      </c>
      <c r="N4577" s="475">
        <f t="shared" si="172"/>
        <v>190353</v>
      </c>
    </row>
    <row r="4578" spans="7:14" ht="11.25" customHeight="1" x14ac:dyDescent="0.3">
      <c r="G4578" s="470"/>
      <c r="H4578" s="470">
        <v>4571</v>
      </c>
      <c r="I4578" s="455">
        <f t="shared" ca="1" si="170"/>
        <v>44715073450742.719</v>
      </c>
      <c r="J4578" s="455">
        <f t="array" ref="J4578">IFERROR(INDEX('Retirement Calculator'!K:K,MATCH('Lorri 401b'!N4578,'Retirement Calculator'!A:A,0),0),0)</f>
        <v>0</v>
      </c>
      <c r="K4578" s="455">
        <f t="shared" ca="1" si="168"/>
        <v>186312806044.76132</v>
      </c>
      <c r="L4578" s="455">
        <f t="shared" ca="1" si="169"/>
        <v>44901386256787.477</v>
      </c>
      <c r="M4578" s="471">
        <f t="shared" si="171"/>
        <v>0.05</v>
      </c>
      <c r="N4578" s="475">
        <f t="shared" si="172"/>
        <v>190384</v>
      </c>
    </row>
    <row r="4579" spans="7:14" ht="11.25" customHeight="1" x14ac:dyDescent="0.3">
      <c r="G4579" s="470"/>
      <c r="H4579" s="470">
        <v>4572</v>
      </c>
      <c r="I4579" s="455">
        <f t="shared" ca="1" si="170"/>
        <v>44901386256787.477</v>
      </c>
      <c r="J4579" s="455">
        <f t="array" ref="J4579">IFERROR(INDEX('Retirement Calculator'!K:K,MATCH('Lorri 401b'!N4579,'Retirement Calculator'!A:A,0),0),0)</f>
        <v>0</v>
      </c>
      <c r="K4579" s="455">
        <f t="shared" ca="1" si="168"/>
        <v>187089109403.28116</v>
      </c>
      <c r="L4579" s="455">
        <f t="shared" ca="1" si="169"/>
        <v>45088475366190.758</v>
      </c>
      <c r="M4579" s="471">
        <f t="shared" si="171"/>
        <v>0.05</v>
      </c>
      <c r="N4579" s="475">
        <f t="shared" si="172"/>
        <v>190414</v>
      </c>
    </row>
    <row r="4580" spans="7:14" ht="11.25" customHeight="1" x14ac:dyDescent="0.3">
      <c r="G4580" s="470"/>
      <c r="H4580" s="470">
        <v>4573</v>
      </c>
      <c r="I4580" s="455">
        <f t="shared" ca="1" si="170"/>
        <v>45088475366190.758</v>
      </c>
      <c r="J4580" s="455">
        <f t="array" ref="J4580">IFERROR(INDEX('Retirement Calculator'!K:K,MATCH('Lorri 401b'!N4580,'Retirement Calculator'!A:A,0),0),0)</f>
        <v>0</v>
      </c>
      <c r="K4580" s="455">
        <f t="shared" ca="1" si="168"/>
        <v>187868647359.12814</v>
      </c>
      <c r="L4580" s="455">
        <f t="shared" ca="1" si="169"/>
        <v>45276344013549.883</v>
      </c>
      <c r="M4580" s="471">
        <f t="shared" si="171"/>
        <v>0.05</v>
      </c>
      <c r="N4580" s="475">
        <f t="shared" si="172"/>
        <v>190445</v>
      </c>
    </row>
    <row r="4581" spans="7:14" ht="11.25" customHeight="1" x14ac:dyDescent="0.3">
      <c r="G4581" s="470"/>
      <c r="H4581" s="470">
        <v>4574</v>
      </c>
      <c r="I4581" s="455">
        <f t="shared" ca="1" si="170"/>
        <v>45276344013549.883</v>
      </c>
      <c r="J4581" s="455">
        <f t="array" ref="J4581">IFERROR(INDEX('Retirement Calculator'!K:K,MATCH('Lorri 401b'!N4581,'Retirement Calculator'!A:A,0),0),0)</f>
        <v>0</v>
      </c>
      <c r="K4581" s="455">
        <f t="shared" ca="1" si="168"/>
        <v>188651433389.79117</v>
      </c>
      <c r="L4581" s="455">
        <f t="shared" ca="1" si="169"/>
        <v>45464995446939.672</v>
      </c>
      <c r="M4581" s="471">
        <f t="shared" si="171"/>
        <v>0.05</v>
      </c>
      <c r="N4581" s="475">
        <f t="shared" si="172"/>
        <v>190475</v>
      </c>
    </row>
    <row r="4582" spans="7:14" ht="11.25" customHeight="1" x14ac:dyDescent="0.3">
      <c r="G4582" s="470"/>
      <c r="H4582" s="470">
        <v>4575</v>
      </c>
      <c r="I4582" s="455">
        <f t="shared" ca="1" si="170"/>
        <v>45464995446939.672</v>
      </c>
      <c r="J4582" s="455">
        <f t="array" ref="J4582">IFERROR(INDEX('Retirement Calculator'!K:K,MATCH('Lorri 401b'!N4582,'Retirement Calculator'!A:A,0),0),0)</f>
        <v>0</v>
      </c>
      <c r="K4582" s="455">
        <f t="shared" ca="1" si="168"/>
        <v>189437481028.91528</v>
      </c>
      <c r="L4582" s="455">
        <f t="shared" ca="1" si="169"/>
        <v>45654432927968.586</v>
      </c>
      <c r="M4582" s="471">
        <f t="shared" si="171"/>
        <v>0.05</v>
      </c>
      <c r="N4582" s="475">
        <f t="shared" si="172"/>
        <v>190506</v>
      </c>
    </row>
    <row r="4583" spans="7:14" ht="11.25" customHeight="1" x14ac:dyDescent="0.3">
      <c r="G4583" s="470"/>
      <c r="H4583" s="470">
        <v>4576</v>
      </c>
      <c r="I4583" s="455">
        <f t="shared" ca="1" si="170"/>
        <v>45654432927968.586</v>
      </c>
      <c r="J4583" s="455">
        <f t="array" ref="J4583">IFERROR(INDEX('Retirement Calculator'!K:K,MATCH('Lorri 401b'!N4583,'Retirement Calculator'!A:A,0),0),0)</f>
        <v>0</v>
      </c>
      <c r="K4583" s="455">
        <f t="shared" ca="1" si="168"/>
        <v>190226803866.53577</v>
      </c>
      <c r="L4583" s="455">
        <f t="shared" ca="1" si="169"/>
        <v>45844659731835.125</v>
      </c>
      <c r="M4583" s="471">
        <f t="shared" si="171"/>
        <v>0.05</v>
      </c>
      <c r="N4583" s="475">
        <f t="shared" si="172"/>
        <v>190537</v>
      </c>
    </row>
    <row r="4584" spans="7:14" ht="11.25" customHeight="1" x14ac:dyDescent="0.3">
      <c r="G4584" s="470"/>
      <c r="H4584" s="470">
        <v>4577</v>
      </c>
      <c r="I4584" s="455">
        <f t="shared" ca="1" si="170"/>
        <v>45844659731835.125</v>
      </c>
      <c r="J4584" s="455">
        <f t="array" ref="J4584">IFERROR(INDEX('Retirement Calculator'!K:K,MATCH('Lorri 401b'!N4584,'Retirement Calculator'!A:A,0),0),0)</f>
        <v>0</v>
      </c>
      <c r="K4584" s="455">
        <f t="shared" ca="1" si="168"/>
        <v>191019415549.31302</v>
      </c>
      <c r="L4584" s="455">
        <f t="shared" ca="1" si="169"/>
        <v>46035679147384.438</v>
      </c>
      <c r="M4584" s="471">
        <f t="shared" si="171"/>
        <v>0.05</v>
      </c>
      <c r="N4584" s="475">
        <f t="shared" si="172"/>
        <v>190567</v>
      </c>
    </row>
    <row r="4585" spans="7:14" ht="11.25" customHeight="1" x14ac:dyDescent="0.3">
      <c r="G4585" s="470"/>
      <c r="H4585" s="470">
        <v>4578</v>
      </c>
      <c r="I4585" s="455">
        <f t="shared" ca="1" si="170"/>
        <v>46035679147384.438</v>
      </c>
      <c r="J4585" s="455">
        <f t="array" ref="J4585">IFERROR(INDEX('Retirement Calculator'!K:K,MATCH('Lorri 401b'!N4585,'Retirement Calculator'!A:A,0),0),0)</f>
        <v>0</v>
      </c>
      <c r="K4585" s="455">
        <f t="shared" ca="1" si="168"/>
        <v>191815329780.76849</v>
      </c>
      <c r="L4585" s="455">
        <f t="shared" ca="1" si="169"/>
        <v>46227494477165.203</v>
      </c>
      <c r="M4585" s="471">
        <f t="shared" si="171"/>
        <v>0.05</v>
      </c>
      <c r="N4585" s="475">
        <f t="shared" si="172"/>
        <v>190598</v>
      </c>
    </row>
    <row r="4586" spans="7:14" ht="11.25" customHeight="1" x14ac:dyDescent="0.3">
      <c r="G4586" s="470"/>
      <c r="H4586" s="470">
        <v>4579</v>
      </c>
      <c r="I4586" s="455">
        <f t="shared" ca="1" si="170"/>
        <v>46227494477165.203</v>
      </c>
      <c r="J4586" s="455">
        <f t="array" ref="J4586">IFERROR(INDEX('Retirement Calculator'!K:K,MATCH('Lorri 401b'!N4586,'Retirement Calculator'!A:A,0),0),0)</f>
        <v>0</v>
      </c>
      <c r="K4586" s="455">
        <f t="shared" ca="1" si="168"/>
        <v>192614560321.52167</v>
      </c>
      <c r="L4586" s="455">
        <f t="shared" ca="1" si="169"/>
        <v>46420109037486.727</v>
      </c>
      <c r="M4586" s="471">
        <f t="shared" si="171"/>
        <v>0.05</v>
      </c>
      <c r="N4586" s="475">
        <f t="shared" si="172"/>
        <v>190628</v>
      </c>
    </row>
    <row r="4587" spans="7:14" ht="11.25" customHeight="1" x14ac:dyDescent="0.3">
      <c r="G4587" s="470"/>
      <c r="H4587" s="470">
        <v>4580</v>
      </c>
      <c r="I4587" s="455">
        <f t="shared" ca="1" si="170"/>
        <v>46420109037486.727</v>
      </c>
      <c r="J4587" s="455">
        <f t="array" ref="J4587">IFERROR(INDEX('Retirement Calculator'!K:K,MATCH('Lorri 401b'!N4587,'Retirement Calculator'!A:A,0),0),0)</f>
        <v>0</v>
      </c>
      <c r="K4587" s="455">
        <f t="shared" ca="1" si="168"/>
        <v>193417120989.52802</v>
      </c>
      <c r="L4587" s="455">
        <f t="shared" ca="1" si="169"/>
        <v>46613526158476.258</v>
      </c>
      <c r="M4587" s="471">
        <f t="shared" si="171"/>
        <v>0.05</v>
      </c>
      <c r="N4587" s="475">
        <f t="shared" si="172"/>
        <v>190659</v>
      </c>
    </row>
    <row r="4588" spans="7:14" ht="11.25" customHeight="1" x14ac:dyDescent="0.3">
      <c r="G4588" s="470"/>
      <c r="H4588" s="470">
        <v>4581</v>
      </c>
      <c r="I4588" s="455">
        <f t="shared" ca="1" si="170"/>
        <v>46613526158476.258</v>
      </c>
      <c r="J4588" s="455">
        <f t="array" ref="J4588">IFERROR(INDEX('Retirement Calculator'!K:K,MATCH('Lorri 401b'!N4588,'Retirement Calculator'!A:A,0),0),0)</f>
        <v>0</v>
      </c>
      <c r="K4588" s="455">
        <f t="shared" ca="1" si="168"/>
        <v>194223025660.31775</v>
      </c>
      <c r="L4588" s="455">
        <f t="shared" ca="1" si="169"/>
        <v>46807749184136.578</v>
      </c>
      <c r="M4588" s="471">
        <f t="shared" si="171"/>
        <v>0.05</v>
      </c>
      <c r="N4588" s="475">
        <f t="shared" si="172"/>
        <v>190690</v>
      </c>
    </row>
    <row r="4589" spans="7:14" ht="11.25" customHeight="1" x14ac:dyDescent="0.3">
      <c r="G4589" s="470"/>
      <c r="H4589" s="470">
        <v>4582</v>
      </c>
      <c r="I4589" s="455">
        <f t="shared" ca="1" si="170"/>
        <v>46807749184136.578</v>
      </c>
      <c r="J4589" s="455">
        <f t="array" ref="J4589">IFERROR(INDEX('Retirement Calculator'!K:K,MATCH('Lorri 401b'!N4589,'Retirement Calculator'!A:A,0),0),0)</f>
        <v>0</v>
      </c>
      <c r="K4589" s="455">
        <f t="shared" ca="1" si="168"/>
        <v>195032288267.23575</v>
      </c>
      <c r="L4589" s="455">
        <f t="shared" ca="1" si="169"/>
        <v>47002781472403.813</v>
      </c>
      <c r="M4589" s="471">
        <f t="shared" si="171"/>
        <v>0.05</v>
      </c>
      <c r="N4589" s="475">
        <f t="shared" si="172"/>
        <v>190718</v>
      </c>
    </row>
    <row r="4590" spans="7:14" ht="11.25" customHeight="1" x14ac:dyDescent="0.3">
      <c r="G4590" s="470"/>
      <c r="H4590" s="470">
        <v>4583</v>
      </c>
      <c r="I4590" s="455">
        <f t="shared" ca="1" si="170"/>
        <v>47002781472403.813</v>
      </c>
      <c r="J4590" s="455">
        <f t="array" ref="J4590">IFERROR(INDEX('Retirement Calculator'!K:K,MATCH('Lorri 401b'!N4590,'Retirement Calculator'!A:A,0),0),0)</f>
        <v>0</v>
      </c>
      <c r="K4590" s="455">
        <f t="shared" ca="1" si="168"/>
        <v>195844922801.68256</v>
      </c>
      <c r="L4590" s="455">
        <f t="shared" ca="1" si="169"/>
        <v>47198626395205.492</v>
      </c>
      <c r="M4590" s="471">
        <f t="shared" si="171"/>
        <v>0.05</v>
      </c>
      <c r="N4590" s="475">
        <f t="shared" si="172"/>
        <v>190749</v>
      </c>
    </row>
    <row r="4591" spans="7:14" ht="11.25" customHeight="1" x14ac:dyDescent="0.3">
      <c r="G4591" s="470"/>
      <c r="H4591" s="470">
        <v>4584</v>
      </c>
      <c r="I4591" s="455">
        <f t="shared" ca="1" si="170"/>
        <v>47198626395205.492</v>
      </c>
      <c r="J4591" s="455">
        <f t="array" ref="J4591">IFERROR(INDEX('Retirement Calculator'!K:K,MATCH('Lorri 401b'!N4591,'Retirement Calculator'!A:A,0),0),0)</f>
        <v>0</v>
      </c>
      <c r="K4591" s="455">
        <f t="shared" ca="1" si="168"/>
        <v>196660943313.3562</v>
      </c>
      <c r="L4591" s="455">
        <f t="shared" ca="1" si="169"/>
        <v>47395287338518.852</v>
      </c>
      <c r="M4591" s="471">
        <f t="shared" si="171"/>
        <v>0.05</v>
      </c>
      <c r="N4591" s="475">
        <f t="shared" si="172"/>
        <v>190779</v>
      </c>
    </row>
    <row r="4592" spans="7:14" ht="11.25" customHeight="1" x14ac:dyDescent="0.3">
      <c r="G4592" s="470"/>
      <c r="H4592" s="470">
        <v>4585</v>
      </c>
      <c r="I4592" s="455">
        <f t="shared" ca="1" si="170"/>
        <v>47395287338518.852</v>
      </c>
      <c r="J4592" s="455">
        <f t="array" ref="J4592">IFERROR(INDEX('Retirement Calculator'!K:K,MATCH('Lorri 401b'!N4592,'Retirement Calculator'!A:A,0),0),0)</f>
        <v>0</v>
      </c>
      <c r="K4592" s="455">
        <f t="shared" ca="1" si="168"/>
        <v>197480363910.49521</v>
      </c>
      <c r="L4592" s="455">
        <f t="shared" ca="1" si="169"/>
        <v>47592767702429.344</v>
      </c>
      <c r="M4592" s="471">
        <f t="shared" si="171"/>
        <v>0.05</v>
      </c>
      <c r="N4592" s="475">
        <f t="shared" si="172"/>
        <v>190810</v>
      </c>
    </row>
    <row r="4593" spans="7:14" ht="11.25" customHeight="1" x14ac:dyDescent="0.3">
      <c r="G4593" s="470"/>
      <c r="H4593" s="470">
        <v>4586</v>
      </c>
      <c r="I4593" s="455">
        <f t="shared" ca="1" si="170"/>
        <v>47592767702429.344</v>
      </c>
      <c r="J4593" s="455">
        <f t="array" ref="J4593">IFERROR(INDEX('Retirement Calculator'!K:K,MATCH('Lorri 401b'!N4593,'Retirement Calculator'!A:A,0),0),0)</f>
        <v>0</v>
      </c>
      <c r="K4593" s="455">
        <f t="shared" ca="1" si="168"/>
        <v>198303198760.12225</v>
      </c>
      <c r="L4593" s="455">
        <f t="shared" ca="1" si="169"/>
        <v>47791070901189.469</v>
      </c>
      <c r="M4593" s="471">
        <f t="shared" si="171"/>
        <v>0.05</v>
      </c>
      <c r="N4593" s="475">
        <f t="shared" si="172"/>
        <v>190840</v>
      </c>
    </row>
    <row r="4594" spans="7:14" ht="11.25" customHeight="1" x14ac:dyDescent="0.3">
      <c r="G4594" s="470"/>
      <c r="H4594" s="470">
        <v>4587</v>
      </c>
      <c r="I4594" s="455">
        <f t="shared" ca="1" si="170"/>
        <v>47791070901189.469</v>
      </c>
      <c r="J4594" s="455">
        <f t="array" ref="J4594">IFERROR(INDEX('Retirement Calculator'!K:K,MATCH('Lorri 401b'!N4594,'Retirement Calculator'!A:A,0),0),0)</f>
        <v>0</v>
      </c>
      <c r="K4594" s="455">
        <f t="shared" ca="1" si="168"/>
        <v>199129462088.28946</v>
      </c>
      <c r="L4594" s="455">
        <f t="shared" ca="1" si="169"/>
        <v>47990200363277.758</v>
      </c>
      <c r="M4594" s="471">
        <f t="shared" si="171"/>
        <v>0.05</v>
      </c>
      <c r="N4594" s="475">
        <f t="shared" si="172"/>
        <v>190871</v>
      </c>
    </row>
    <row r="4595" spans="7:14" ht="11.25" customHeight="1" x14ac:dyDescent="0.3">
      <c r="G4595" s="470"/>
      <c r="H4595" s="470">
        <v>4588</v>
      </c>
      <c r="I4595" s="455">
        <f t="shared" ca="1" si="170"/>
        <v>47990200363277.758</v>
      </c>
      <c r="J4595" s="455">
        <f t="array" ref="J4595">IFERROR(INDEX('Retirement Calculator'!K:K,MATCH('Lorri 401b'!N4595,'Retirement Calculator'!A:A,0),0),0)</f>
        <v>0</v>
      </c>
      <c r="K4595" s="455">
        <f t="shared" ca="1" si="168"/>
        <v>199959168180.32397</v>
      </c>
      <c r="L4595" s="455">
        <f t="shared" ca="1" si="169"/>
        <v>48190159531458.078</v>
      </c>
      <c r="M4595" s="471">
        <f t="shared" si="171"/>
        <v>0.05</v>
      </c>
      <c r="N4595" s="475">
        <f t="shared" si="172"/>
        <v>190902</v>
      </c>
    </row>
    <row r="4596" spans="7:14" ht="11.25" customHeight="1" x14ac:dyDescent="0.3">
      <c r="G4596" s="470"/>
      <c r="H4596" s="470">
        <v>4589</v>
      </c>
      <c r="I4596" s="455">
        <f t="shared" ca="1" si="170"/>
        <v>48190159531458.078</v>
      </c>
      <c r="J4596" s="455">
        <f t="array" ref="J4596">IFERROR(INDEX('Retirement Calculator'!K:K,MATCH('Lorri 401b'!N4596,'Retirement Calculator'!A:A,0),0),0)</f>
        <v>0</v>
      </c>
      <c r="K4596" s="455">
        <f t="shared" ca="1" si="168"/>
        <v>200792331381.07532</v>
      </c>
      <c r="L4596" s="455">
        <f t="shared" ca="1" si="169"/>
        <v>48390951862839.156</v>
      </c>
      <c r="M4596" s="471">
        <f t="shared" si="171"/>
        <v>0.05</v>
      </c>
      <c r="N4596" s="475">
        <f t="shared" si="172"/>
        <v>190932</v>
      </c>
    </row>
    <row r="4597" spans="7:14" ht="11.25" customHeight="1" x14ac:dyDescent="0.3">
      <c r="G4597" s="470"/>
      <c r="H4597" s="470">
        <v>4590</v>
      </c>
      <c r="I4597" s="455">
        <f t="shared" ca="1" si="170"/>
        <v>48390951862839.156</v>
      </c>
      <c r="J4597" s="455">
        <f t="array" ref="J4597">IFERROR(INDEX('Retirement Calculator'!K:K,MATCH('Lorri 401b'!N4597,'Retirement Calculator'!A:A,0),0),0)</f>
        <v>0</v>
      </c>
      <c r="K4597" s="455">
        <f t="shared" ca="1" si="168"/>
        <v>201628966095.16315</v>
      </c>
      <c r="L4597" s="455">
        <f t="shared" ca="1" si="169"/>
        <v>48592580828934.32</v>
      </c>
      <c r="M4597" s="471">
        <f t="shared" si="171"/>
        <v>0.05</v>
      </c>
      <c r="N4597" s="475">
        <f t="shared" si="172"/>
        <v>190963</v>
      </c>
    </row>
    <row r="4598" spans="7:14" ht="11.25" customHeight="1" x14ac:dyDescent="0.3">
      <c r="G4598" s="470"/>
      <c r="H4598" s="470">
        <v>4591</v>
      </c>
      <c r="I4598" s="455">
        <f t="shared" ca="1" si="170"/>
        <v>48592580828934.32</v>
      </c>
      <c r="J4598" s="455">
        <f t="array" ref="J4598">IFERROR(INDEX('Retirement Calculator'!K:K,MATCH('Lorri 401b'!N4598,'Retirement Calculator'!A:A,0),0),0)</f>
        <v>0</v>
      </c>
      <c r="K4598" s="455">
        <f t="shared" ref="K4598:K4852" ca="1" si="173">IPMT(M4598/12,1,12,-I4598+J4598,,0)</f>
        <v>202469086787.22632</v>
      </c>
      <c r="L4598" s="455">
        <f t="shared" ref="L4598:L4852" ca="1" si="174">I4598-J4598+K4598</f>
        <v>48795049915721.547</v>
      </c>
      <c r="M4598" s="471">
        <f t="shared" si="171"/>
        <v>0.05</v>
      </c>
      <c r="N4598" s="475">
        <f t="shared" si="172"/>
        <v>190993</v>
      </c>
    </row>
    <row r="4599" spans="7:14" ht="11.25" customHeight="1" x14ac:dyDescent="0.3">
      <c r="G4599" s="470"/>
      <c r="H4599" s="470">
        <v>4592</v>
      </c>
      <c r="I4599" s="455">
        <f t="shared" ref="I4599:I4853" ca="1" si="175">L4598</f>
        <v>48795049915721.547</v>
      </c>
      <c r="J4599" s="455">
        <f t="array" ref="J4599">IFERROR(INDEX('Retirement Calculator'!K:K,MATCH('Lorri 401b'!N4599,'Retirement Calculator'!A:A,0),0),0)</f>
        <v>0</v>
      </c>
      <c r="K4599" s="455">
        <f t="shared" ca="1" si="173"/>
        <v>203312707982.1731</v>
      </c>
      <c r="L4599" s="455">
        <f t="shared" ca="1" si="174"/>
        <v>48998362623703.719</v>
      </c>
      <c r="M4599" s="471">
        <f t="shared" ref="M4599:M4853" si="176">M4598</f>
        <v>0.05</v>
      </c>
      <c r="N4599" s="475">
        <f t="shared" ref="N4599:N4853" si="177">EDATE(N4598,1)</f>
        <v>191024</v>
      </c>
    </row>
    <row r="4600" spans="7:14" ht="11.25" customHeight="1" x14ac:dyDescent="0.3">
      <c r="G4600" s="470"/>
      <c r="H4600" s="470">
        <v>4593</v>
      </c>
      <c r="I4600" s="455">
        <f t="shared" ca="1" si="175"/>
        <v>48998362623703.719</v>
      </c>
      <c r="J4600" s="455">
        <f t="array" ref="J4600">IFERROR(INDEX('Retirement Calculator'!K:K,MATCH('Lorri 401b'!N4600,'Retirement Calculator'!A:A,0),0),0)</f>
        <v>0</v>
      </c>
      <c r="K4600" s="455">
        <f t="shared" ca="1" si="173"/>
        <v>204159844265.43216</v>
      </c>
      <c r="L4600" s="455">
        <f t="shared" ca="1" si="174"/>
        <v>49202522467969.148</v>
      </c>
      <c r="M4600" s="471">
        <f t="shared" si="176"/>
        <v>0.05</v>
      </c>
      <c r="N4600" s="475">
        <f t="shared" si="177"/>
        <v>191055</v>
      </c>
    </row>
    <row r="4601" spans="7:14" ht="11.25" customHeight="1" x14ac:dyDescent="0.3">
      <c r="G4601" s="470"/>
      <c r="H4601" s="470">
        <v>4594</v>
      </c>
      <c r="I4601" s="455">
        <f t="shared" ca="1" si="175"/>
        <v>49202522467969.148</v>
      </c>
      <c r="J4601" s="455">
        <f t="array" ref="J4601">IFERROR(INDEX('Retirement Calculator'!K:K,MATCH('Lorri 401b'!N4601,'Retirement Calculator'!A:A,0),0),0)</f>
        <v>0</v>
      </c>
      <c r="K4601" s="455">
        <f t="shared" ca="1" si="173"/>
        <v>205010510283.20477</v>
      </c>
      <c r="L4601" s="455">
        <f t="shared" ca="1" si="174"/>
        <v>49407532978252.352</v>
      </c>
      <c r="M4601" s="471">
        <f t="shared" si="176"/>
        <v>0.05</v>
      </c>
      <c r="N4601" s="475">
        <f t="shared" si="177"/>
        <v>191083</v>
      </c>
    </row>
    <row r="4602" spans="7:14" ht="11.25" customHeight="1" x14ac:dyDescent="0.3">
      <c r="G4602" s="470"/>
      <c r="H4602" s="470">
        <v>4595</v>
      </c>
      <c r="I4602" s="455">
        <f t="shared" ca="1" si="175"/>
        <v>49407532978252.352</v>
      </c>
      <c r="J4602" s="455">
        <f t="array" ref="J4602">IFERROR(INDEX('Retirement Calculator'!K:K,MATCH('Lorri 401b'!N4602,'Retirement Calculator'!A:A,0),0),0)</f>
        <v>0</v>
      </c>
      <c r="K4602" s="455">
        <f t="shared" ca="1" si="173"/>
        <v>205864720742.71814</v>
      </c>
      <c r="L4602" s="455">
        <f t="shared" ca="1" si="174"/>
        <v>49613397698995.07</v>
      </c>
      <c r="M4602" s="471">
        <f t="shared" si="176"/>
        <v>0.05</v>
      </c>
      <c r="N4602" s="475">
        <f t="shared" si="177"/>
        <v>191114</v>
      </c>
    </row>
    <row r="4603" spans="7:14" ht="11.25" customHeight="1" x14ac:dyDescent="0.3">
      <c r="G4603" s="470"/>
      <c r="H4603" s="470">
        <v>4596</v>
      </c>
      <c r="I4603" s="455">
        <f t="shared" ca="1" si="175"/>
        <v>49613397698995.07</v>
      </c>
      <c r="J4603" s="455">
        <f t="array" ref="J4603">IFERROR(INDEX('Retirement Calculator'!K:K,MATCH('Lorri 401b'!N4603,'Retirement Calculator'!A:A,0),0),0)</f>
        <v>0</v>
      </c>
      <c r="K4603" s="455">
        <f t="shared" ca="1" si="173"/>
        <v>206722490412.47946</v>
      </c>
      <c r="L4603" s="455">
        <f t="shared" ca="1" si="174"/>
        <v>49820120189407.547</v>
      </c>
      <c r="M4603" s="471">
        <f t="shared" si="176"/>
        <v>0.05</v>
      </c>
      <c r="N4603" s="475">
        <f t="shared" si="177"/>
        <v>191144</v>
      </c>
    </row>
    <row r="4604" spans="7:14" ht="11.25" customHeight="1" x14ac:dyDescent="0.3">
      <c r="G4604" s="470"/>
      <c r="H4604" s="470">
        <v>4597</v>
      </c>
      <c r="I4604" s="455">
        <f t="shared" ca="1" si="175"/>
        <v>49820120189407.547</v>
      </c>
      <c r="J4604" s="455">
        <f t="array" ref="J4604">IFERROR(INDEX('Retirement Calculator'!K:K,MATCH('Lorri 401b'!N4604,'Retirement Calculator'!A:A,0),0),0)</f>
        <v>0</v>
      </c>
      <c r="K4604" s="455">
        <f t="shared" ca="1" si="173"/>
        <v>207583834122.53143</v>
      </c>
      <c r="L4604" s="455">
        <f t="shared" ca="1" si="174"/>
        <v>50027704023530.078</v>
      </c>
      <c r="M4604" s="471">
        <f t="shared" si="176"/>
        <v>0.05</v>
      </c>
      <c r="N4604" s="475">
        <f t="shared" si="177"/>
        <v>191175</v>
      </c>
    </row>
    <row r="4605" spans="7:14" ht="11.25" customHeight="1" x14ac:dyDescent="0.3">
      <c r="G4605" s="470"/>
      <c r="H4605" s="470">
        <v>4598</v>
      </c>
      <c r="I4605" s="455">
        <f t="shared" ca="1" si="175"/>
        <v>50027704023530.078</v>
      </c>
      <c r="J4605" s="455">
        <f t="array" ref="J4605">IFERROR(INDEX('Retirement Calculator'!K:K,MATCH('Lorri 401b'!N4605,'Retirement Calculator'!A:A,0),0),0)</f>
        <v>0</v>
      </c>
      <c r="K4605" s="455">
        <f t="shared" ca="1" si="173"/>
        <v>208448766764.70865</v>
      </c>
      <c r="L4605" s="455">
        <f t="shared" ca="1" si="174"/>
        <v>50236152790294.789</v>
      </c>
      <c r="M4605" s="471">
        <f t="shared" si="176"/>
        <v>0.05</v>
      </c>
      <c r="N4605" s="475">
        <f t="shared" si="177"/>
        <v>191205</v>
      </c>
    </row>
    <row r="4606" spans="7:14" ht="11.25" customHeight="1" x14ac:dyDescent="0.3">
      <c r="G4606" s="470"/>
      <c r="H4606" s="470">
        <v>4599</v>
      </c>
      <c r="I4606" s="455">
        <f t="shared" ca="1" si="175"/>
        <v>50236152790294.789</v>
      </c>
      <c r="J4606" s="455">
        <f t="array" ref="J4606">IFERROR(INDEX('Retirement Calculator'!K:K,MATCH('Lorri 401b'!N4606,'Retirement Calculator'!A:A,0),0),0)</f>
        <v>0</v>
      </c>
      <c r="K4606" s="455">
        <f t="shared" ca="1" si="173"/>
        <v>209317303292.89496</v>
      </c>
      <c r="L4606" s="455">
        <f t="shared" ca="1" si="174"/>
        <v>50445470093587.688</v>
      </c>
      <c r="M4606" s="471">
        <f t="shared" si="176"/>
        <v>0.05</v>
      </c>
      <c r="N4606" s="475">
        <f t="shared" si="177"/>
        <v>191236</v>
      </c>
    </row>
    <row r="4607" spans="7:14" ht="11.25" customHeight="1" x14ac:dyDescent="0.3">
      <c r="G4607" s="470"/>
      <c r="H4607" s="470">
        <v>4600</v>
      </c>
      <c r="I4607" s="455">
        <f t="shared" ca="1" si="175"/>
        <v>50445470093587.688</v>
      </c>
      <c r="J4607" s="455">
        <f t="array" ref="J4607">IFERROR(INDEX('Retirement Calculator'!K:K,MATCH('Lorri 401b'!N4607,'Retirement Calculator'!A:A,0),0),0)</f>
        <v>0</v>
      </c>
      <c r="K4607" s="455">
        <f t="shared" ca="1" si="173"/>
        <v>210189458723.28204</v>
      </c>
      <c r="L4607" s="455">
        <f t="shared" ca="1" si="174"/>
        <v>50655659552310.969</v>
      </c>
      <c r="M4607" s="471">
        <f t="shared" si="176"/>
        <v>0.05</v>
      </c>
      <c r="N4607" s="475">
        <f t="shared" si="177"/>
        <v>191267</v>
      </c>
    </row>
    <row r="4608" spans="7:14" ht="11.25" customHeight="1" x14ac:dyDescent="0.3">
      <c r="G4608" s="470"/>
      <c r="H4608" s="470">
        <v>4601</v>
      </c>
      <c r="I4608" s="455">
        <f t="shared" ca="1" si="175"/>
        <v>50655659552310.969</v>
      </c>
      <c r="J4608" s="455">
        <f t="array" ref="J4608">IFERROR(INDEX('Retirement Calculator'!K:K,MATCH('Lorri 401b'!N4608,'Retirement Calculator'!A:A,0),0),0)</f>
        <v>0</v>
      </c>
      <c r="K4608" s="455">
        <f t="shared" ca="1" si="173"/>
        <v>211065248134.62903</v>
      </c>
      <c r="L4608" s="455">
        <f t="shared" ca="1" si="174"/>
        <v>50866724800445.602</v>
      </c>
      <c r="M4608" s="471">
        <f t="shared" si="176"/>
        <v>0.05</v>
      </c>
      <c r="N4608" s="475">
        <f t="shared" si="177"/>
        <v>191297</v>
      </c>
    </row>
    <row r="4609" spans="7:14" ht="11.25" customHeight="1" x14ac:dyDescent="0.3">
      <c r="G4609" s="470"/>
      <c r="H4609" s="470">
        <v>4602</v>
      </c>
      <c r="I4609" s="455">
        <f t="shared" ca="1" si="175"/>
        <v>50866724800445.602</v>
      </c>
      <c r="J4609" s="455">
        <f t="array" ref="J4609">IFERROR(INDEX('Retirement Calculator'!K:K,MATCH('Lorri 401b'!N4609,'Retirement Calculator'!A:A,0),0),0)</f>
        <v>0</v>
      </c>
      <c r="K4609" s="455">
        <f t="shared" ca="1" si="173"/>
        <v>211944686668.52335</v>
      </c>
      <c r="L4609" s="455">
        <f t="shared" ca="1" si="174"/>
        <v>51078669487114.125</v>
      </c>
      <c r="M4609" s="471">
        <f t="shared" si="176"/>
        <v>0.05</v>
      </c>
      <c r="N4609" s="475">
        <f t="shared" si="177"/>
        <v>191328</v>
      </c>
    </row>
    <row r="4610" spans="7:14" ht="11.25" customHeight="1" x14ac:dyDescent="0.3">
      <c r="G4610" s="470"/>
      <c r="H4610" s="470">
        <v>4603</v>
      </c>
      <c r="I4610" s="455">
        <f t="shared" ca="1" si="175"/>
        <v>51078669487114.125</v>
      </c>
      <c r="J4610" s="455">
        <f t="array" ref="J4610">IFERROR(INDEX('Retirement Calculator'!K:K,MATCH('Lorri 401b'!N4610,'Retirement Calculator'!A:A,0),0),0)</f>
        <v>0</v>
      </c>
      <c r="K4610" s="455">
        <f t="shared" ca="1" si="173"/>
        <v>212827789529.64218</v>
      </c>
      <c r="L4610" s="455">
        <f t="shared" ca="1" si="174"/>
        <v>51291497276643.766</v>
      </c>
      <c r="M4610" s="471">
        <f t="shared" si="176"/>
        <v>0.05</v>
      </c>
      <c r="N4610" s="475">
        <f t="shared" si="177"/>
        <v>191358</v>
      </c>
    </row>
    <row r="4611" spans="7:14" ht="11.25" customHeight="1" x14ac:dyDescent="0.3">
      <c r="G4611" s="470"/>
      <c r="H4611" s="470">
        <v>4604</v>
      </c>
      <c r="I4611" s="455">
        <f t="shared" ca="1" si="175"/>
        <v>51291497276643.766</v>
      </c>
      <c r="J4611" s="455">
        <f t="array" ref="J4611">IFERROR(INDEX('Retirement Calculator'!K:K,MATCH('Lorri 401b'!N4611,'Retirement Calculator'!A:A,0),0),0)</f>
        <v>0</v>
      </c>
      <c r="K4611" s="455">
        <f t="shared" ca="1" si="173"/>
        <v>213714571986.01569</v>
      </c>
      <c r="L4611" s="455">
        <f t="shared" ca="1" si="174"/>
        <v>51505211848629.781</v>
      </c>
      <c r="M4611" s="471">
        <f t="shared" si="176"/>
        <v>0.05</v>
      </c>
      <c r="N4611" s="475">
        <f t="shared" si="177"/>
        <v>191389</v>
      </c>
    </row>
    <row r="4612" spans="7:14" ht="11.25" customHeight="1" x14ac:dyDescent="0.3">
      <c r="G4612" s="470"/>
      <c r="H4612" s="470">
        <v>4605</v>
      </c>
      <c r="I4612" s="455">
        <f t="shared" ca="1" si="175"/>
        <v>51505211848629.781</v>
      </c>
      <c r="J4612" s="455">
        <f t="array" ref="J4612">IFERROR(INDEX('Retirement Calculator'!K:K,MATCH('Lorri 401b'!N4612,'Retirement Calculator'!A:A,0),0),0)</f>
        <v>0</v>
      </c>
      <c r="K4612" s="455">
        <f t="shared" ca="1" si="173"/>
        <v>214605049369.29074</v>
      </c>
      <c r="L4612" s="455">
        <f t="shared" ca="1" si="174"/>
        <v>51719816897999.07</v>
      </c>
      <c r="M4612" s="471">
        <f t="shared" si="176"/>
        <v>0.05</v>
      </c>
      <c r="N4612" s="475">
        <f t="shared" si="177"/>
        <v>191420</v>
      </c>
    </row>
    <row r="4613" spans="7:14" ht="11.25" customHeight="1" x14ac:dyDescent="0.3">
      <c r="G4613" s="470"/>
      <c r="H4613" s="470">
        <v>4606</v>
      </c>
      <c r="I4613" s="455">
        <f t="shared" ca="1" si="175"/>
        <v>51719816897999.07</v>
      </c>
      <c r="J4613" s="455">
        <f t="array" ref="J4613">IFERROR(INDEX('Retirement Calculator'!K:K,MATCH('Lorri 401b'!N4613,'Retirement Calculator'!A:A,0),0),0)</f>
        <v>0</v>
      </c>
      <c r="K4613" s="455">
        <f t="shared" ca="1" si="173"/>
        <v>215499237074.99612</v>
      </c>
      <c r="L4613" s="455">
        <f t="shared" ca="1" si="174"/>
        <v>51935316135074.07</v>
      </c>
      <c r="M4613" s="471">
        <f t="shared" si="176"/>
        <v>0.05</v>
      </c>
      <c r="N4613" s="475">
        <f t="shared" si="177"/>
        <v>191449</v>
      </c>
    </row>
    <row r="4614" spans="7:14" ht="11.25" customHeight="1" x14ac:dyDescent="0.3">
      <c r="G4614" s="470"/>
      <c r="H4614" s="470">
        <v>4607</v>
      </c>
      <c r="I4614" s="455">
        <f t="shared" ca="1" si="175"/>
        <v>51935316135074.07</v>
      </c>
      <c r="J4614" s="455">
        <f t="array" ref="J4614">IFERROR(INDEX('Retirement Calculator'!K:K,MATCH('Lorri 401b'!N4614,'Retirement Calculator'!A:A,0),0),0)</f>
        <v>0</v>
      </c>
      <c r="K4614" s="455">
        <f t="shared" ca="1" si="173"/>
        <v>216397150562.80862</v>
      </c>
      <c r="L4614" s="455">
        <f t="shared" ca="1" si="174"/>
        <v>52151713285636.883</v>
      </c>
      <c r="M4614" s="471">
        <f t="shared" si="176"/>
        <v>0.05</v>
      </c>
      <c r="N4614" s="475">
        <f t="shared" si="177"/>
        <v>191480</v>
      </c>
    </row>
    <row r="4615" spans="7:14" ht="11.25" customHeight="1" x14ac:dyDescent="0.3">
      <c r="G4615" s="470"/>
      <c r="H4615" s="470">
        <v>4608</v>
      </c>
      <c r="I4615" s="455">
        <f t="shared" ca="1" si="175"/>
        <v>52151713285636.883</v>
      </c>
      <c r="J4615" s="455">
        <f t="array" ref="J4615">IFERROR(INDEX('Retirement Calculator'!K:K,MATCH('Lorri 401b'!N4615,'Retirement Calculator'!A:A,0),0),0)</f>
        <v>0</v>
      </c>
      <c r="K4615" s="455">
        <f t="shared" ca="1" si="173"/>
        <v>217298805356.82034</v>
      </c>
      <c r="L4615" s="455">
        <f t="shared" ca="1" si="174"/>
        <v>52369012090993.703</v>
      </c>
      <c r="M4615" s="471">
        <f t="shared" si="176"/>
        <v>0.05</v>
      </c>
      <c r="N4615" s="475">
        <f t="shared" si="177"/>
        <v>191510</v>
      </c>
    </row>
    <row r="4616" spans="7:14" ht="11.25" customHeight="1" x14ac:dyDescent="0.3">
      <c r="G4616" s="470"/>
      <c r="H4616" s="470">
        <v>4609</v>
      </c>
      <c r="I4616" s="455">
        <f t="shared" ca="1" si="175"/>
        <v>52369012090993.703</v>
      </c>
      <c r="J4616" s="455">
        <f t="array" ref="J4616">IFERROR(INDEX('Retirement Calculator'!K:K,MATCH('Lorri 401b'!N4616,'Retirement Calculator'!A:A,0),0),0)</f>
        <v>0</v>
      </c>
      <c r="K4616" s="455">
        <f t="shared" ca="1" si="173"/>
        <v>218204217045.8071</v>
      </c>
      <c r="L4616" s="455">
        <f t="shared" ca="1" si="174"/>
        <v>52587216308039.508</v>
      </c>
      <c r="M4616" s="471">
        <f t="shared" si="176"/>
        <v>0.05</v>
      </c>
      <c r="N4616" s="475">
        <f t="shared" si="177"/>
        <v>191541</v>
      </c>
    </row>
    <row r="4617" spans="7:14" ht="11.25" customHeight="1" x14ac:dyDescent="0.3">
      <c r="G4617" s="470"/>
      <c r="H4617" s="470">
        <v>4610</v>
      </c>
      <c r="I4617" s="455">
        <f t="shared" ca="1" si="175"/>
        <v>52587216308039.508</v>
      </c>
      <c r="J4617" s="455">
        <f t="array" ref="J4617">IFERROR(INDEX('Retirement Calculator'!K:K,MATCH('Lorri 401b'!N4617,'Retirement Calculator'!A:A,0),0),0)</f>
        <v>0</v>
      </c>
      <c r="K4617" s="455">
        <f t="shared" ca="1" si="173"/>
        <v>219113401283.49796</v>
      </c>
      <c r="L4617" s="455">
        <f t="shared" ca="1" si="174"/>
        <v>52806329709323.008</v>
      </c>
      <c r="M4617" s="471">
        <f t="shared" si="176"/>
        <v>0.05</v>
      </c>
      <c r="N4617" s="475">
        <f t="shared" si="177"/>
        <v>191571</v>
      </c>
    </row>
    <row r="4618" spans="7:14" ht="11.25" customHeight="1" x14ac:dyDescent="0.3">
      <c r="G4618" s="470"/>
      <c r="H4618" s="470">
        <v>4611</v>
      </c>
      <c r="I4618" s="455">
        <f t="shared" ca="1" si="175"/>
        <v>52806329709323.008</v>
      </c>
      <c r="J4618" s="455">
        <f t="array" ref="J4618">IFERROR(INDEX('Retirement Calculator'!K:K,MATCH('Lorri 401b'!N4618,'Retirement Calculator'!A:A,0),0),0)</f>
        <v>0</v>
      </c>
      <c r="K4618" s="455">
        <f t="shared" ca="1" si="173"/>
        <v>220026373788.84586</v>
      </c>
      <c r="L4618" s="455">
        <f t="shared" ca="1" si="174"/>
        <v>53026356083111.852</v>
      </c>
      <c r="M4618" s="471">
        <f t="shared" si="176"/>
        <v>0.05</v>
      </c>
      <c r="N4618" s="475">
        <f t="shared" si="177"/>
        <v>191602</v>
      </c>
    </row>
    <row r="4619" spans="7:14" ht="11.25" customHeight="1" x14ac:dyDescent="0.3">
      <c r="G4619" s="470"/>
      <c r="H4619" s="470">
        <v>4612</v>
      </c>
      <c r="I4619" s="455">
        <f t="shared" ca="1" si="175"/>
        <v>53026356083111.852</v>
      </c>
      <c r="J4619" s="455">
        <f t="array" ref="J4619">IFERROR(INDEX('Retirement Calculator'!K:K,MATCH('Lorri 401b'!N4619,'Retirement Calculator'!A:A,0),0),0)</f>
        <v>0</v>
      </c>
      <c r="K4619" s="455">
        <f t="shared" ca="1" si="173"/>
        <v>220943150346.29938</v>
      </c>
      <c r="L4619" s="455">
        <f t="shared" ca="1" si="174"/>
        <v>53247299233458.148</v>
      </c>
      <c r="M4619" s="471">
        <f t="shared" si="176"/>
        <v>0.05</v>
      </c>
      <c r="N4619" s="475">
        <f t="shared" si="177"/>
        <v>191633</v>
      </c>
    </row>
    <row r="4620" spans="7:14" ht="11.25" customHeight="1" x14ac:dyDescent="0.3">
      <c r="G4620" s="470"/>
      <c r="H4620" s="470">
        <v>4613</v>
      </c>
      <c r="I4620" s="455">
        <f t="shared" ca="1" si="175"/>
        <v>53247299233458.148</v>
      </c>
      <c r="J4620" s="455">
        <f t="array" ref="J4620">IFERROR(INDEX('Retirement Calculator'!K:K,MATCH('Lorri 401b'!N4620,'Retirement Calculator'!A:A,0),0),0)</f>
        <v>0</v>
      </c>
      <c r="K4620" s="455">
        <f t="shared" ca="1" si="173"/>
        <v>221863746806.07562</v>
      </c>
      <c r="L4620" s="455">
        <f t="shared" ca="1" si="174"/>
        <v>53469162980264.227</v>
      </c>
      <c r="M4620" s="471">
        <f t="shared" si="176"/>
        <v>0.05</v>
      </c>
      <c r="N4620" s="475">
        <f t="shared" si="177"/>
        <v>191663</v>
      </c>
    </row>
    <row r="4621" spans="7:14" ht="11.25" customHeight="1" x14ac:dyDescent="0.3">
      <c r="G4621" s="470"/>
      <c r="H4621" s="470">
        <v>4614</v>
      </c>
      <c r="I4621" s="455">
        <f t="shared" ca="1" si="175"/>
        <v>53469162980264.227</v>
      </c>
      <c r="J4621" s="455">
        <f t="array" ref="J4621">IFERROR(INDEX('Retirement Calculator'!K:K,MATCH('Lorri 401b'!N4621,'Retirement Calculator'!A:A,0),0),0)</f>
        <v>0</v>
      </c>
      <c r="K4621" s="455">
        <f t="shared" ca="1" si="173"/>
        <v>222788179084.43427</v>
      </c>
      <c r="L4621" s="455">
        <f t="shared" ca="1" si="174"/>
        <v>53691951159348.664</v>
      </c>
      <c r="M4621" s="471">
        <f t="shared" si="176"/>
        <v>0.05</v>
      </c>
      <c r="N4621" s="475">
        <f t="shared" si="177"/>
        <v>191694</v>
      </c>
    </row>
    <row r="4622" spans="7:14" ht="11.25" customHeight="1" x14ac:dyDescent="0.3">
      <c r="G4622" s="470"/>
      <c r="H4622" s="470">
        <v>4615</v>
      </c>
      <c r="I4622" s="455">
        <f t="shared" ca="1" si="175"/>
        <v>53691951159348.664</v>
      </c>
      <c r="J4622" s="455">
        <f t="array" ref="J4622">IFERROR(INDEX('Retirement Calculator'!K:K,MATCH('Lorri 401b'!N4622,'Retirement Calculator'!A:A,0),0),0)</f>
        <v>0</v>
      </c>
      <c r="K4622" s="455">
        <f t="shared" ca="1" si="173"/>
        <v>223716463163.95276</v>
      </c>
      <c r="L4622" s="455">
        <f t="shared" ca="1" si="174"/>
        <v>53915667622512.617</v>
      </c>
      <c r="M4622" s="471">
        <f t="shared" si="176"/>
        <v>0.05</v>
      </c>
      <c r="N4622" s="475">
        <f t="shared" si="177"/>
        <v>191724</v>
      </c>
    </row>
    <row r="4623" spans="7:14" ht="11.25" customHeight="1" x14ac:dyDescent="0.3">
      <c r="G4623" s="470"/>
      <c r="H4623" s="470">
        <v>4616</v>
      </c>
      <c r="I4623" s="455">
        <f t="shared" ca="1" si="175"/>
        <v>53915667622512.617</v>
      </c>
      <c r="J4623" s="455">
        <f t="array" ref="J4623">IFERROR(INDEX('Retirement Calculator'!K:K,MATCH('Lorri 401b'!N4623,'Retirement Calculator'!A:A,0),0),0)</f>
        <v>0</v>
      </c>
      <c r="K4623" s="455">
        <f t="shared" ca="1" si="173"/>
        <v>224648615093.80258</v>
      </c>
      <c r="L4623" s="455">
        <f t="shared" ca="1" si="174"/>
        <v>54140316237606.422</v>
      </c>
      <c r="M4623" s="471">
        <f t="shared" si="176"/>
        <v>0.05</v>
      </c>
      <c r="N4623" s="475">
        <f t="shared" si="177"/>
        <v>191755</v>
      </c>
    </row>
    <row r="4624" spans="7:14" ht="11.25" customHeight="1" x14ac:dyDescent="0.3">
      <c r="G4624" s="470"/>
      <c r="H4624" s="470">
        <v>4617</v>
      </c>
      <c r="I4624" s="455">
        <f t="shared" ca="1" si="175"/>
        <v>54140316237606.422</v>
      </c>
      <c r="J4624" s="455">
        <f t="array" ref="J4624">IFERROR(INDEX('Retirement Calculator'!K:K,MATCH('Lorri 401b'!N4624,'Retirement Calculator'!A:A,0),0),0)</f>
        <v>0</v>
      </c>
      <c r="K4624" s="455">
        <f t="shared" ca="1" si="173"/>
        <v>225584650990.02676</v>
      </c>
      <c r="L4624" s="455">
        <f t="shared" ca="1" si="174"/>
        <v>54365900888596.445</v>
      </c>
      <c r="M4624" s="471">
        <f t="shared" si="176"/>
        <v>0.05</v>
      </c>
      <c r="N4624" s="475">
        <f t="shared" si="177"/>
        <v>191786</v>
      </c>
    </row>
    <row r="4625" spans="7:14" ht="11.25" customHeight="1" x14ac:dyDescent="0.3">
      <c r="G4625" s="470"/>
      <c r="H4625" s="470">
        <v>4618</v>
      </c>
      <c r="I4625" s="455">
        <f t="shared" ca="1" si="175"/>
        <v>54365900888596.445</v>
      </c>
      <c r="J4625" s="455">
        <f t="array" ref="J4625">IFERROR(INDEX('Retirement Calculator'!K:K,MATCH('Lorri 401b'!N4625,'Retirement Calculator'!A:A,0),0),0)</f>
        <v>0</v>
      </c>
      <c r="K4625" s="455">
        <f t="shared" ca="1" si="173"/>
        <v>226524587035.81851</v>
      </c>
      <c r="L4625" s="455">
        <f t="shared" ca="1" si="174"/>
        <v>54592425475632.266</v>
      </c>
      <c r="M4625" s="471">
        <f t="shared" si="176"/>
        <v>0.05</v>
      </c>
      <c r="N4625" s="475">
        <f t="shared" si="177"/>
        <v>191814</v>
      </c>
    </row>
    <row r="4626" spans="7:14" ht="11.25" customHeight="1" x14ac:dyDescent="0.3">
      <c r="G4626" s="470"/>
      <c r="H4626" s="470">
        <v>4619</v>
      </c>
      <c r="I4626" s="455">
        <f t="shared" ca="1" si="175"/>
        <v>54592425475632.266</v>
      </c>
      <c r="J4626" s="455">
        <f t="array" ref="J4626">IFERROR(INDEX('Retirement Calculator'!K:K,MATCH('Lorri 401b'!N4626,'Retirement Calculator'!A:A,0),0),0)</f>
        <v>0</v>
      </c>
      <c r="K4626" s="455">
        <f t="shared" ca="1" si="173"/>
        <v>227468439481.80112</v>
      </c>
      <c r="L4626" s="455">
        <f t="shared" ca="1" si="174"/>
        <v>54819893915114.07</v>
      </c>
      <c r="M4626" s="471">
        <f t="shared" si="176"/>
        <v>0.05</v>
      </c>
      <c r="N4626" s="475">
        <f t="shared" si="177"/>
        <v>191845</v>
      </c>
    </row>
    <row r="4627" spans="7:14" ht="11.25" customHeight="1" x14ac:dyDescent="0.3">
      <c r="G4627" s="470"/>
      <c r="H4627" s="470">
        <v>4620</v>
      </c>
      <c r="I4627" s="455">
        <f t="shared" ca="1" si="175"/>
        <v>54819893915114.07</v>
      </c>
      <c r="J4627" s="455">
        <f t="array" ref="J4627">IFERROR(INDEX('Retirement Calculator'!K:K,MATCH('Lorri 401b'!N4627,'Retirement Calculator'!A:A,0),0),0)</f>
        <v>0</v>
      </c>
      <c r="K4627" s="455">
        <f t="shared" ca="1" si="173"/>
        <v>228416224646.30865</v>
      </c>
      <c r="L4627" s="455">
        <f t="shared" ca="1" si="174"/>
        <v>55048310139760.383</v>
      </c>
      <c r="M4627" s="471">
        <f t="shared" si="176"/>
        <v>0.05</v>
      </c>
      <c r="N4627" s="475">
        <f t="shared" si="177"/>
        <v>191875</v>
      </c>
    </row>
    <row r="4628" spans="7:14" ht="11.25" customHeight="1" x14ac:dyDescent="0.3">
      <c r="G4628" s="470"/>
      <c r="H4628" s="470">
        <v>4621</v>
      </c>
      <c r="I4628" s="455">
        <f t="shared" ca="1" si="175"/>
        <v>55048310139760.383</v>
      </c>
      <c r="J4628" s="455">
        <f t="array" ref="J4628">IFERROR(INDEX('Retirement Calculator'!K:K,MATCH('Lorri 401b'!N4628,'Retirement Calculator'!A:A,0),0),0)</f>
        <v>0</v>
      </c>
      <c r="K4628" s="455">
        <f t="shared" ca="1" si="173"/>
        <v>229367958915.66824</v>
      </c>
      <c r="L4628" s="455">
        <f t="shared" ca="1" si="174"/>
        <v>55277678098676.055</v>
      </c>
      <c r="M4628" s="471">
        <f t="shared" si="176"/>
        <v>0.05</v>
      </c>
      <c r="N4628" s="475">
        <f t="shared" si="177"/>
        <v>191906</v>
      </c>
    </row>
    <row r="4629" spans="7:14" ht="11.25" customHeight="1" x14ac:dyDescent="0.3">
      <c r="G4629" s="470"/>
      <c r="H4629" s="470">
        <v>4622</v>
      </c>
      <c r="I4629" s="455">
        <f t="shared" ca="1" si="175"/>
        <v>55277678098676.055</v>
      </c>
      <c r="J4629" s="455">
        <f t="array" ref="J4629">IFERROR(INDEX('Retirement Calculator'!K:K,MATCH('Lorri 401b'!N4629,'Retirement Calculator'!A:A,0),0),0)</f>
        <v>0</v>
      </c>
      <c r="K4629" s="455">
        <f t="shared" ca="1" si="173"/>
        <v>230323658744.48355</v>
      </c>
      <c r="L4629" s="455">
        <f t="shared" ca="1" si="174"/>
        <v>55508001757420.539</v>
      </c>
      <c r="M4629" s="471">
        <f t="shared" si="176"/>
        <v>0.05</v>
      </c>
      <c r="N4629" s="475">
        <f t="shared" si="177"/>
        <v>191936</v>
      </c>
    </row>
    <row r="4630" spans="7:14" ht="11.25" customHeight="1" x14ac:dyDescent="0.3">
      <c r="G4630" s="470"/>
      <c r="H4630" s="470">
        <v>4623</v>
      </c>
      <c r="I4630" s="455">
        <f t="shared" ca="1" si="175"/>
        <v>55508001757420.539</v>
      </c>
      <c r="J4630" s="455">
        <f t="array" ref="J4630">IFERROR(INDEX('Retirement Calculator'!K:K,MATCH('Lorri 401b'!N4630,'Retirement Calculator'!A:A,0),0),0)</f>
        <v>0</v>
      </c>
      <c r="K4630" s="455">
        <f t="shared" ca="1" si="173"/>
        <v>231283340655.91891</v>
      </c>
      <c r="L4630" s="455">
        <f t="shared" ca="1" si="174"/>
        <v>55739285098076.461</v>
      </c>
      <c r="M4630" s="471">
        <f t="shared" si="176"/>
        <v>0.05</v>
      </c>
      <c r="N4630" s="475">
        <f t="shared" si="177"/>
        <v>191967</v>
      </c>
    </row>
    <row r="4631" spans="7:14" ht="11.25" customHeight="1" x14ac:dyDescent="0.3">
      <c r="G4631" s="470"/>
      <c r="H4631" s="470">
        <v>4624</v>
      </c>
      <c r="I4631" s="455">
        <f t="shared" ca="1" si="175"/>
        <v>55739285098076.461</v>
      </c>
      <c r="J4631" s="455">
        <f t="array" ref="J4631">IFERROR(INDEX('Retirement Calculator'!K:K,MATCH('Lorri 401b'!N4631,'Retirement Calculator'!A:A,0),0),0)</f>
        <v>0</v>
      </c>
      <c r="K4631" s="455">
        <f t="shared" ca="1" si="173"/>
        <v>232247021241.98529</v>
      </c>
      <c r="L4631" s="455">
        <f t="shared" ca="1" si="174"/>
        <v>55971532119318.445</v>
      </c>
      <c r="M4631" s="471">
        <f t="shared" si="176"/>
        <v>0.05</v>
      </c>
      <c r="N4631" s="475">
        <f t="shared" si="177"/>
        <v>191998</v>
      </c>
    </row>
    <row r="4632" spans="7:14" ht="11.25" customHeight="1" x14ac:dyDescent="0.3">
      <c r="G4632" s="470"/>
      <c r="H4632" s="470">
        <v>4625</v>
      </c>
      <c r="I4632" s="455">
        <f t="shared" ca="1" si="175"/>
        <v>55971532119318.445</v>
      </c>
      <c r="J4632" s="455">
        <f t="array" ref="J4632">IFERROR(INDEX('Retirement Calculator'!K:K,MATCH('Lorri 401b'!N4632,'Retirement Calculator'!A:A,0),0),0)</f>
        <v>0</v>
      </c>
      <c r="K4632" s="455">
        <f t="shared" ca="1" si="173"/>
        <v>233214717163.82687</v>
      </c>
      <c r="L4632" s="455">
        <f t="shared" ca="1" si="174"/>
        <v>56204746836482.273</v>
      </c>
      <c r="M4632" s="471">
        <f t="shared" si="176"/>
        <v>0.05</v>
      </c>
      <c r="N4632" s="475">
        <f t="shared" si="177"/>
        <v>192028</v>
      </c>
    </row>
    <row r="4633" spans="7:14" ht="11.25" customHeight="1" x14ac:dyDescent="0.3">
      <c r="G4633" s="470"/>
      <c r="H4633" s="470">
        <v>4626</v>
      </c>
      <c r="I4633" s="455">
        <f t="shared" ca="1" si="175"/>
        <v>56204746836482.273</v>
      </c>
      <c r="J4633" s="455">
        <f t="array" ref="J4633">IFERROR(INDEX('Retirement Calculator'!K:K,MATCH('Lorri 401b'!N4633,'Retirement Calculator'!A:A,0),0),0)</f>
        <v>0</v>
      </c>
      <c r="K4633" s="455">
        <f t="shared" ca="1" si="173"/>
        <v>234186445152.00946</v>
      </c>
      <c r="L4633" s="455">
        <f t="shared" ca="1" si="174"/>
        <v>56438933281634.281</v>
      </c>
      <c r="M4633" s="471">
        <f t="shared" si="176"/>
        <v>0.05</v>
      </c>
      <c r="N4633" s="475">
        <f t="shared" si="177"/>
        <v>192059</v>
      </c>
    </row>
    <row r="4634" spans="7:14" ht="11.25" customHeight="1" x14ac:dyDescent="0.3">
      <c r="G4634" s="470"/>
      <c r="H4634" s="470">
        <v>4627</v>
      </c>
      <c r="I4634" s="455">
        <f t="shared" ca="1" si="175"/>
        <v>56438933281634.281</v>
      </c>
      <c r="J4634" s="455">
        <f t="array" ref="J4634">IFERROR(INDEX('Retirement Calculator'!K:K,MATCH('Lorri 401b'!N4634,'Retirement Calculator'!A:A,0),0),0)</f>
        <v>0</v>
      </c>
      <c r="K4634" s="455">
        <f t="shared" ca="1" si="173"/>
        <v>235162222006.80948</v>
      </c>
      <c r="L4634" s="455">
        <f t="shared" ca="1" si="174"/>
        <v>56674095503641.094</v>
      </c>
      <c r="M4634" s="471">
        <f t="shared" si="176"/>
        <v>0.05</v>
      </c>
      <c r="N4634" s="475">
        <f t="shared" si="177"/>
        <v>192089</v>
      </c>
    </row>
    <row r="4635" spans="7:14" ht="11.25" customHeight="1" x14ac:dyDescent="0.3">
      <c r="G4635" s="470"/>
      <c r="H4635" s="470">
        <v>4628</v>
      </c>
      <c r="I4635" s="455">
        <f t="shared" ca="1" si="175"/>
        <v>56674095503641.094</v>
      </c>
      <c r="J4635" s="455">
        <f t="array" ref="J4635">IFERROR(INDEX('Retirement Calculator'!K:K,MATCH('Lorri 401b'!N4635,'Retirement Calculator'!A:A,0),0),0)</f>
        <v>0</v>
      </c>
      <c r="K4635" s="455">
        <f t="shared" ca="1" si="173"/>
        <v>236142064598.50455</v>
      </c>
      <c r="L4635" s="455">
        <f t="shared" ca="1" si="174"/>
        <v>56910237568239.602</v>
      </c>
      <c r="M4635" s="471">
        <f t="shared" si="176"/>
        <v>0.05</v>
      </c>
      <c r="N4635" s="475">
        <f t="shared" si="177"/>
        <v>192120</v>
      </c>
    </row>
    <row r="4636" spans="7:14" ht="11.25" customHeight="1" x14ac:dyDescent="0.3">
      <c r="G4636" s="470"/>
      <c r="H4636" s="470">
        <v>4629</v>
      </c>
      <c r="I4636" s="455">
        <f t="shared" ca="1" si="175"/>
        <v>56910237568239.602</v>
      </c>
      <c r="J4636" s="455">
        <f t="array" ref="J4636">IFERROR(INDEX('Retirement Calculator'!K:K,MATCH('Lorri 401b'!N4636,'Retirement Calculator'!A:A,0),0),0)</f>
        <v>0</v>
      </c>
      <c r="K4636" s="455">
        <f t="shared" ca="1" si="173"/>
        <v>237125989867.66501</v>
      </c>
      <c r="L4636" s="455">
        <f t="shared" ca="1" si="174"/>
        <v>57147363558107.266</v>
      </c>
      <c r="M4636" s="471">
        <f t="shared" si="176"/>
        <v>0.05</v>
      </c>
      <c r="N4636" s="475">
        <f t="shared" si="177"/>
        <v>192151</v>
      </c>
    </row>
    <row r="4637" spans="7:14" ht="11.25" customHeight="1" x14ac:dyDescent="0.3">
      <c r="G4637" s="470"/>
      <c r="H4637" s="470">
        <v>4630</v>
      </c>
      <c r="I4637" s="455">
        <f t="shared" ca="1" si="175"/>
        <v>57147363558107.266</v>
      </c>
      <c r="J4637" s="455">
        <f t="array" ref="J4637">IFERROR(INDEX('Retirement Calculator'!K:K,MATCH('Lorri 401b'!N4637,'Retirement Calculator'!A:A,0),0),0)</f>
        <v>0</v>
      </c>
      <c r="K4637" s="455">
        <f t="shared" ca="1" si="173"/>
        <v>238114014825.44693</v>
      </c>
      <c r="L4637" s="455">
        <f t="shared" ca="1" si="174"/>
        <v>57385477572932.711</v>
      </c>
      <c r="M4637" s="471">
        <f t="shared" si="176"/>
        <v>0.05</v>
      </c>
      <c r="N4637" s="475">
        <f t="shared" si="177"/>
        <v>192179</v>
      </c>
    </row>
    <row r="4638" spans="7:14" ht="11.25" customHeight="1" x14ac:dyDescent="0.3">
      <c r="G4638" s="470"/>
      <c r="H4638" s="470">
        <v>4631</v>
      </c>
      <c r="I4638" s="455">
        <f t="shared" ca="1" si="175"/>
        <v>57385477572932.711</v>
      </c>
      <c r="J4638" s="455">
        <f t="array" ref="J4638">IFERROR(INDEX('Retirement Calculator'!K:K,MATCH('Lorri 401b'!N4638,'Retirement Calculator'!A:A,0),0),0)</f>
        <v>0</v>
      </c>
      <c r="K4638" s="455">
        <f t="shared" ca="1" si="173"/>
        <v>239106156553.88629</v>
      </c>
      <c r="L4638" s="455">
        <f t="shared" ca="1" si="174"/>
        <v>57624583729486.594</v>
      </c>
      <c r="M4638" s="471">
        <f t="shared" si="176"/>
        <v>0.05</v>
      </c>
      <c r="N4638" s="475">
        <f t="shared" si="177"/>
        <v>192210</v>
      </c>
    </row>
    <row r="4639" spans="7:14" ht="11.25" customHeight="1" x14ac:dyDescent="0.3">
      <c r="G4639" s="470"/>
      <c r="H4639" s="470">
        <v>4632</v>
      </c>
      <c r="I4639" s="455">
        <f t="shared" ca="1" si="175"/>
        <v>57624583729486.594</v>
      </c>
      <c r="J4639" s="455">
        <f t="array" ref="J4639">IFERROR(INDEX('Retirement Calculator'!K:K,MATCH('Lorri 401b'!N4639,'Retirement Calculator'!A:A,0),0),0)</f>
        <v>0</v>
      </c>
      <c r="K4639" s="455">
        <f t="shared" ca="1" si="173"/>
        <v>240102432206.19412</v>
      </c>
      <c r="L4639" s="455">
        <f t="shared" ca="1" si="174"/>
        <v>57864686161692.789</v>
      </c>
      <c r="M4639" s="471">
        <f t="shared" si="176"/>
        <v>0.05</v>
      </c>
      <c r="N4639" s="475">
        <f t="shared" si="177"/>
        <v>192240</v>
      </c>
    </row>
    <row r="4640" spans="7:14" ht="11.25" customHeight="1" x14ac:dyDescent="0.3">
      <c r="G4640" s="470"/>
      <c r="H4640" s="470">
        <v>4633</v>
      </c>
      <c r="I4640" s="455">
        <f t="shared" ca="1" si="175"/>
        <v>57864686161692.789</v>
      </c>
      <c r="J4640" s="455">
        <f t="array" ref="J4640">IFERROR(INDEX('Retirement Calculator'!K:K,MATCH('Lorri 401b'!N4640,'Retirement Calculator'!A:A,0),0),0)</f>
        <v>0</v>
      </c>
      <c r="K4640" s="455">
        <f t="shared" ca="1" si="173"/>
        <v>241102859007.05328</v>
      </c>
      <c r="L4640" s="455">
        <f t="shared" ca="1" si="174"/>
        <v>58105789020699.844</v>
      </c>
      <c r="M4640" s="471">
        <f t="shared" si="176"/>
        <v>0.05</v>
      </c>
      <c r="N4640" s="475">
        <f t="shared" si="177"/>
        <v>192271</v>
      </c>
    </row>
    <row r="4641" spans="7:14" ht="11.25" customHeight="1" x14ac:dyDescent="0.3">
      <c r="G4641" s="470"/>
      <c r="H4641" s="470">
        <v>4634</v>
      </c>
      <c r="I4641" s="455">
        <f t="shared" ca="1" si="175"/>
        <v>58105789020699.844</v>
      </c>
      <c r="J4641" s="455">
        <f t="array" ref="J4641">IFERROR(INDEX('Retirement Calculator'!K:K,MATCH('Lorri 401b'!N4641,'Retirement Calculator'!A:A,0),0),0)</f>
        <v>0</v>
      </c>
      <c r="K4641" s="455">
        <f t="shared" ca="1" si="173"/>
        <v>242107454252.91602</v>
      </c>
      <c r="L4641" s="455">
        <f t="shared" ca="1" si="174"/>
        <v>58347896474952.758</v>
      </c>
      <c r="M4641" s="471">
        <f t="shared" si="176"/>
        <v>0.05</v>
      </c>
      <c r="N4641" s="475">
        <f t="shared" si="177"/>
        <v>192301</v>
      </c>
    </row>
    <row r="4642" spans="7:14" ht="11.25" customHeight="1" x14ac:dyDescent="0.3">
      <c r="G4642" s="470"/>
      <c r="H4642" s="470">
        <v>4635</v>
      </c>
      <c r="I4642" s="455">
        <f t="shared" ca="1" si="175"/>
        <v>58347896474952.758</v>
      </c>
      <c r="J4642" s="455">
        <f t="array" ref="J4642">IFERROR(INDEX('Retirement Calculator'!K:K,MATCH('Lorri 401b'!N4642,'Retirement Calculator'!A:A,0),0),0)</f>
        <v>0</v>
      </c>
      <c r="K4642" s="455">
        <f t="shared" ca="1" si="173"/>
        <v>243116235312.30316</v>
      </c>
      <c r="L4642" s="455">
        <f t="shared" ca="1" si="174"/>
        <v>58591012710265.063</v>
      </c>
      <c r="M4642" s="471">
        <f t="shared" si="176"/>
        <v>0.05</v>
      </c>
      <c r="N4642" s="475">
        <f t="shared" si="177"/>
        <v>192332</v>
      </c>
    </row>
    <row r="4643" spans="7:14" ht="11.25" customHeight="1" x14ac:dyDescent="0.3">
      <c r="G4643" s="470"/>
      <c r="H4643" s="470">
        <v>4636</v>
      </c>
      <c r="I4643" s="455">
        <f t="shared" ca="1" si="175"/>
        <v>58591012710265.063</v>
      </c>
      <c r="J4643" s="455">
        <f t="array" ref="J4643">IFERROR(INDEX('Retirement Calculator'!K:K,MATCH('Lorri 401b'!N4643,'Retirement Calculator'!A:A,0),0),0)</f>
        <v>0</v>
      </c>
      <c r="K4643" s="455">
        <f t="shared" ca="1" si="173"/>
        <v>244129219626.10443</v>
      </c>
      <c r="L4643" s="455">
        <f t="shared" ca="1" si="174"/>
        <v>58835141929891.164</v>
      </c>
      <c r="M4643" s="471">
        <f t="shared" si="176"/>
        <v>0.05</v>
      </c>
      <c r="N4643" s="475">
        <f t="shared" si="177"/>
        <v>192363</v>
      </c>
    </row>
    <row r="4644" spans="7:14" ht="11.25" customHeight="1" x14ac:dyDescent="0.3">
      <c r="G4644" s="470"/>
      <c r="H4644" s="470">
        <v>4637</v>
      </c>
      <c r="I4644" s="455">
        <f t="shared" ca="1" si="175"/>
        <v>58835141929891.164</v>
      </c>
      <c r="J4644" s="455">
        <f t="array" ref="J4644">IFERROR(INDEX('Retirement Calculator'!K:K,MATCH('Lorri 401b'!N4644,'Retirement Calculator'!A:A,0),0),0)</f>
        <v>0</v>
      </c>
      <c r="K4644" s="455">
        <f t="shared" ca="1" si="173"/>
        <v>245146424707.87985</v>
      </c>
      <c r="L4644" s="455">
        <f t="shared" ca="1" si="174"/>
        <v>59080288354599.047</v>
      </c>
      <c r="M4644" s="471">
        <f t="shared" si="176"/>
        <v>0.05</v>
      </c>
      <c r="N4644" s="475">
        <f t="shared" si="177"/>
        <v>192393</v>
      </c>
    </row>
    <row r="4645" spans="7:14" ht="11.25" customHeight="1" x14ac:dyDescent="0.3">
      <c r="G4645" s="470"/>
      <c r="H4645" s="470">
        <v>4638</v>
      </c>
      <c r="I4645" s="455">
        <f t="shared" ca="1" si="175"/>
        <v>59080288354599.047</v>
      </c>
      <c r="J4645" s="455">
        <f t="array" ref="J4645">IFERROR(INDEX('Retirement Calculator'!K:K,MATCH('Lorri 401b'!N4645,'Retirement Calculator'!A:A,0),0),0)</f>
        <v>0</v>
      </c>
      <c r="K4645" s="455">
        <f t="shared" ca="1" si="173"/>
        <v>246167868144.16272</v>
      </c>
      <c r="L4645" s="455">
        <f t="shared" ca="1" si="174"/>
        <v>59326456222743.211</v>
      </c>
      <c r="M4645" s="471">
        <f t="shared" si="176"/>
        <v>0.05</v>
      </c>
      <c r="N4645" s="475">
        <f t="shared" si="177"/>
        <v>192424</v>
      </c>
    </row>
    <row r="4646" spans="7:14" ht="11.25" customHeight="1" x14ac:dyDescent="0.3">
      <c r="G4646" s="470"/>
      <c r="H4646" s="470">
        <v>4639</v>
      </c>
      <c r="I4646" s="455">
        <f t="shared" ca="1" si="175"/>
        <v>59326456222743.211</v>
      </c>
      <c r="J4646" s="455">
        <f t="array" ref="J4646">IFERROR(INDEX('Retirement Calculator'!K:K,MATCH('Lorri 401b'!N4646,'Retirement Calculator'!A:A,0),0),0)</f>
        <v>0</v>
      </c>
      <c r="K4646" s="455">
        <f t="shared" ca="1" si="173"/>
        <v>247193567594.7634</v>
      </c>
      <c r="L4646" s="455">
        <f t="shared" ca="1" si="174"/>
        <v>59573649790337.977</v>
      </c>
      <c r="M4646" s="471">
        <f t="shared" si="176"/>
        <v>0.05</v>
      </c>
      <c r="N4646" s="475">
        <f t="shared" si="177"/>
        <v>192454</v>
      </c>
    </row>
    <row r="4647" spans="7:14" ht="11.25" customHeight="1" x14ac:dyDescent="0.3">
      <c r="G4647" s="470"/>
      <c r="H4647" s="470">
        <v>4640</v>
      </c>
      <c r="I4647" s="455">
        <f t="shared" ca="1" si="175"/>
        <v>59573649790337.977</v>
      </c>
      <c r="J4647" s="455">
        <f t="array" ref="J4647">IFERROR(INDEX('Retirement Calculator'!K:K,MATCH('Lorri 401b'!N4647,'Retirement Calculator'!A:A,0),0),0)</f>
        <v>0</v>
      </c>
      <c r="K4647" s="455">
        <f t="shared" ca="1" si="173"/>
        <v>248223540793.07489</v>
      </c>
      <c r="L4647" s="455">
        <f t="shared" ca="1" si="174"/>
        <v>59821873331131.055</v>
      </c>
      <c r="M4647" s="471">
        <f t="shared" si="176"/>
        <v>0.05</v>
      </c>
      <c r="N4647" s="475">
        <f t="shared" si="177"/>
        <v>192485</v>
      </c>
    </row>
    <row r="4648" spans="7:14" ht="11.25" customHeight="1" x14ac:dyDescent="0.3">
      <c r="G4648" s="470"/>
      <c r="H4648" s="470">
        <v>4641</v>
      </c>
      <c r="I4648" s="455">
        <f t="shared" ca="1" si="175"/>
        <v>59821873331131.055</v>
      </c>
      <c r="J4648" s="455">
        <f t="array" ref="J4648">IFERROR(INDEX('Retirement Calculator'!K:K,MATCH('Lorri 401b'!N4648,'Retirement Calculator'!A:A,0),0),0)</f>
        <v>0</v>
      </c>
      <c r="K4648" s="455">
        <f t="shared" ca="1" si="173"/>
        <v>249257805546.37943</v>
      </c>
      <c r="L4648" s="455">
        <f t="shared" ca="1" si="174"/>
        <v>60071131136677.438</v>
      </c>
      <c r="M4648" s="471">
        <f t="shared" si="176"/>
        <v>0.05</v>
      </c>
      <c r="N4648" s="475">
        <f t="shared" si="177"/>
        <v>192516</v>
      </c>
    </row>
    <row r="4649" spans="7:14" ht="11.25" customHeight="1" x14ac:dyDescent="0.3">
      <c r="G4649" s="470"/>
      <c r="H4649" s="470">
        <v>4642</v>
      </c>
      <c r="I4649" s="455">
        <f t="shared" ca="1" si="175"/>
        <v>60071131136677.438</v>
      </c>
      <c r="J4649" s="455">
        <f t="array" ref="J4649">IFERROR(INDEX('Retirement Calculator'!K:K,MATCH('Lorri 401b'!N4649,'Retirement Calculator'!A:A,0),0),0)</f>
        <v>0</v>
      </c>
      <c r="K4649" s="455">
        <f t="shared" ca="1" si="173"/>
        <v>250296379736.15598</v>
      </c>
      <c r="L4649" s="455">
        <f t="shared" ca="1" si="174"/>
        <v>60321427516413.594</v>
      </c>
      <c r="M4649" s="471">
        <f t="shared" si="176"/>
        <v>0.05</v>
      </c>
      <c r="N4649" s="475">
        <f t="shared" si="177"/>
        <v>192544</v>
      </c>
    </row>
    <row r="4650" spans="7:14" ht="11.25" customHeight="1" x14ac:dyDescent="0.3">
      <c r="G4650" s="470"/>
      <c r="H4650" s="470">
        <v>4643</v>
      </c>
      <c r="I4650" s="455">
        <f t="shared" ca="1" si="175"/>
        <v>60321427516413.594</v>
      </c>
      <c r="J4650" s="455">
        <f t="array" ref="J4650">IFERROR(INDEX('Retirement Calculator'!K:K,MATCH('Lorri 401b'!N4650,'Retirement Calculator'!A:A,0),0),0)</f>
        <v>0</v>
      </c>
      <c r="K4650" s="455">
        <f t="shared" ca="1" si="173"/>
        <v>251339281318.38998</v>
      </c>
      <c r="L4650" s="455">
        <f t="shared" ca="1" si="174"/>
        <v>60572766797731.984</v>
      </c>
      <c r="M4650" s="471">
        <f t="shared" si="176"/>
        <v>0.05</v>
      </c>
      <c r="N4650" s="475">
        <f t="shared" si="177"/>
        <v>192575</v>
      </c>
    </row>
    <row r="4651" spans="7:14" ht="11.25" customHeight="1" x14ac:dyDescent="0.3">
      <c r="G4651" s="470"/>
      <c r="H4651" s="470">
        <v>4644</v>
      </c>
      <c r="I4651" s="455">
        <f t="shared" ca="1" si="175"/>
        <v>60572766797731.984</v>
      </c>
      <c r="J4651" s="455">
        <f t="array" ref="J4651">IFERROR(INDEX('Retirement Calculator'!K:K,MATCH('Lorri 401b'!N4651,'Retirement Calculator'!A:A,0),0),0)</f>
        <v>0</v>
      </c>
      <c r="K4651" s="455">
        <f t="shared" ca="1" si="173"/>
        <v>252386528323.88327</v>
      </c>
      <c r="L4651" s="455">
        <f t="shared" ca="1" si="174"/>
        <v>60825153326055.867</v>
      </c>
      <c r="M4651" s="471">
        <f t="shared" si="176"/>
        <v>0.05</v>
      </c>
      <c r="N4651" s="475">
        <f t="shared" si="177"/>
        <v>192605</v>
      </c>
    </row>
    <row r="4652" spans="7:14" ht="11.25" customHeight="1" x14ac:dyDescent="0.3">
      <c r="G4652" s="470"/>
      <c r="H4652" s="470">
        <v>4645</v>
      </c>
      <c r="I4652" s="455">
        <f t="shared" ca="1" si="175"/>
        <v>60825153326055.867</v>
      </c>
      <c r="J4652" s="455">
        <f t="array" ref="J4652">IFERROR(INDEX('Retirement Calculator'!K:K,MATCH('Lorri 401b'!N4652,'Retirement Calculator'!A:A,0),0),0)</f>
        <v>0</v>
      </c>
      <c r="K4652" s="455">
        <f t="shared" ca="1" si="173"/>
        <v>253438138858.56613</v>
      </c>
      <c r="L4652" s="455">
        <f t="shared" ca="1" si="174"/>
        <v>61078591464914.43</v>
      </c>
      <c r="M4652" s="471">
        <f t="shared" si="176"/>
        <v>0.05</v>
      </c>
      <c r="N4652" s="475">
        <f t="shared" si="177"/>
        <v>192636</v>
      </c>
    </row>
    <row r="4653" spans="7:14" ht="11.25" customHeight="1" x14ac:dyDescent="0.3">
      <c r="G4653" s="470"/>
      <c r="H4653" s="470">
        <v>4646</v>
      </c>
      <c r="I4653" s="455">
        <f t="shared" ca="1" si="175"/>
        <v>61078591464914.43</v>
      </c>
      <c r="J4653" s="455">
        <f t="array" ref="J4653">IFERROR(INDEX('Retirement Calculator'!K:K,MATCH('Lorri 401b'!N4653,'Retirement Calculator'!A:A,0),0),0)</f>
        <v>0</v>
      </c>
      <c r="K4653" s="455">
        <f t="shared" ca="1" si="173"/>
        <v>254494131103.81009</v>
      </c>
      <c r="L4653" s="455">
        <f t="shared" ca="1" si="174"/>
        <v>61333085596018.242</v>
      </c>
      <c r="M4653" s="471">
        <f t="shared" si="176"/>
        <v>0.05</v>
      </c>
      <c r="N4653" s="475">
        <f t="shared" si="177"/>
        <v>192666</v>
      </c>
    </row>
    <row r="4654" spans="7:14" ht="11.25" customHeight="1" x14ac:dyDescent="0.3">
      <c r="G4654" s="470"/>
      <c r="H4654" s="470">
        <v>4647</v>
      </c>
      <c r="I4654" s="455">
        <f t="shared" ca="1" si="175"/>
        <v>61333085596018.242</v>
      </c>
      <c r="J4654" s="455">
        <f t="array" ref="J4654">IFERROR(INDEX('Retirement Calculator'!K:K,MATCH('Lorri 401b'!N4654,'Retirement Calculator'!A:A,0),0),0)</f>
        <v>0</v>
      </c>
      <c r="K4654" s="455">
        <f t="shared" ca="1" si="173"/>
        <v>255554523316.74268</v>
      </c>
      <c r="L4654" s="455">
        <f t="shared" ca="1" si="174"/>
        <v>61588640119334.984</v>
      </c>
      <c r="M4654" s="471">
        <f t="shared" si="176"/>
        <v>0.05</v>
      </c>
      <c r="N4654" s="475">
        <f t="shared" si="177"/>
        <v>192697</v>
      </c>
    </row>
    <row r="4655" spans="7:14" ht="11.25" customHeight="1" x14ac:dyDescent="0.3">
      <c r="G4655" s="470"/>
      <c r="H4655" s="470">
        <v>4648</v>
      </c>
      <c r="I4655" s="455">
        <f t="shared" ca="1" si="175"/>
        <v>61588640119334.984</v>
      </c>
      <c r="J4655" s="455">
        <f t="array" ref="J4655">IFERROR(INDEX('Retirement Calculator'!K:K,MATCH('Lorri 401b'!N4655,'Retirement Calculator'!A:A,0),0),0)</f>
        <v>0</v>
      </c>
      <c r="K4655" s="455">
        <f t="shared" ca="1" si="173"/>
        <v>256619333830.56247</v>
      </c>
      <c r="L4655" s="455">
        <f t="shared" ca="1" si="174"/>
        <v>61845259453165.547</v>
      </c>
      <c r="M4655" s="471">
        <f t="shared" si="176"/>
        <v>0.05</v>
      </c>
      <c r="N4655" s="475">
        <f t="shared" si="177"/>
        <v>192728</v>
      </c>
    </row>
    <row r="4656" spans="7:14" ht="11.25" customHeight="1" x14ac:dyDescent="0.3">
      <c r="G4656" s="470"/>
      <c r="H4656" s="470">
        <v>4649</v>
      </c>
      <c r="I4656" s="455">
        <f t="shared" ca="1" si="175"/>
        <v>61845259453165.547</v>
      </c>
      <c r="J4656" s="455">
        <f t="array" ref="J4656">IFERROR(INDEX('Retirement Calculator'!K:K,MATCH('Lorri 401b'!N4656,'Retirement Calculator'!A:A,0),0),0)</f>
        <v>0</v>
      </c>
      <c r="K4656" s="455">
        <f t="shared" ca="1" si="173"/>
        <v>257688581054.85641</v>
      </c>
      <c r="L4656" s="455">
        <f t="shared" ca="1" si="174"/>
        <v>62102948034220.406</v>
      </c>
      <c r="M4656" s="471">
        <f t="shared" si="176"/>
        <v>0.05</v>
      </c>
      <c r="N4656" s="475">
        <f t="shared" si="177"/>
        <v>192758</v>
      </c>
    </row>
    <row r="4657" spans="7:14" ht="11.25" customHeight="1" x14ac:dyDescent="0.3">
      <c r="G4657" s="470"/>
      <c r="H4657" s="470">
        <v>4650</v>
      </c>
      <c r="I4657" s="455">
        <f t="shared" ca="1" si="175"/>
        <v>62102948034220.406</v>
      </c>
      <c r="J4657" s="455">
        <f t="array" ref="J4657">IFERROR(INDEX('Retirement Calculator'!K:K,MATCH('Lorri 401b'!N4657,'Retirement Calculator'!A:A,0),0),0)</f>
        <v>0</v>
      </c>
      <c r="K4657" s="455">
        <f t="shared" ca="1" si="173"/>
        <v>258762283475.91837</v>
      </c>
      <c r="L4657" s="455">
        <f t="shared" ca="1" si="174"/>
        <v>62361710317696.328</v>
      </c>
      <c r="M4657" s="471">
        <f t="shared" si="176"/>
        <v>0.05</v>
      </c>
      <c r="N4657" s="475">
        <f t="shared" si="177"/>
        <v>192789</v>
      </c>
    </row>
    <row r="4658" spans="7:14" ht="11.25" customHeight="1" x14ac:dyDescent="0.3">
      <c r="G4658" s="470"/>
      <c r="H4658" s="470">
        <v>4651</v>
      </c>
      <c r="I4658" s="455">
        <f t="shared" ca="1" si="175"/>
        <v>62361710317696.328</v>
      </c>
      <c r="J4658" s="455">
        <f t="array" ref="J4658">IFERROR(INDEX('Retirement Calculator'!K:K,MATCH('Lorri 401b'!N4658,'Retirement Calculator'!A:A,0),0),0)</f>
        <v>0</v>
      </c>
      <c r="K4658" s="455">
        <f t="shared" ca="1" si="173"/>
        <v>259840459657.06802</v>
      </c>
      <c r="L4658" s="455">
        <f t="shared" ca="1" si="174"/>
        <v>62621550777353.398</v>
      </c>
      <c r="M4658" s="471">
        <f t="shared" si="176"/>
        <v>0.05</v>
      </c>
      <c r="N4658" s="475">
        <f t="shared" si="177"/>
        <v>192819</v>
      </c>
    </row>
    <row r="4659" spans="7:14" ht="11.25" customHeight="1" x14ac:dyDescent="0.3">
      <c r="G4659" s="470"/>
      <c r="H4659" s="470">
        <v>4652</v>
      </c>
      <c r="I4659" s="455">
        <f t="shared" ca="1" si="175"/>
        <v>62621550777353.398</v>
      </c>
      <c r="J4659" s="455">
        <f t="array" ref="J4659">IFERROR(INDEX('Retirement Calculator'!K:K,MATCH('Lorri 401b'!N4659,'Retirement Calculator'!A:A,0),0),0)</f>
        <v>0</v>
      </c>
      <c r="K4659" s="455">
        <f t="shared" ca="1" si="173"/>
        <v>260923128238.97253</v>
      </c>
      <c r="L4659" s="455">
        <f t="shared" ca="1" si="174"/>
        <v>62882473905592.367</v>
      </c>
      <c r="M4659" s="471">
        <f t="shared" si="176"/>
        <v>0.05</v>
      </c>
      <c r="N4659" s="475">
        <f t="shared" si="177"/>
        <v>192850</v>
      </c>
    </row>
    <row r="4660" spans="7:14" ht="11.25" customHeight="1" x14ac:dyDescent="0.3">
      <c r="G4660" s="470"/>
      <c r="H4660" s="470">
        <v>4653</v>
      </c>
      <c r="I4660" s="455">
        <f t="shared" ca="1" si="175"/>
        <v>62882473905592.367</v>
      </c>
      <c r="J4660" s="455">
        <f t="array" ref="J4660">IFERROR(INDEX('Retirement Calculator'!K:K,MATCH('Lorri 401b'!N4660,'Retirement Calculator'!A:A,0),0),0)</f>
        <v>0</v>
      </c>
      <c r="K4660" s="455">
        <f t="shared" ca="1" si="173"/>
        <v>262010307939.9682</v>
      </c>
      <c r="L4660" s="455">
        <f t="shared" ca="1" si="174"/>
        <v>63144484213532.336</v>
      </c>
      <c r="M4660" s="471">
        <f t="shared" si="176"/>
        <v>0.05</v>
      </c>
      <c r="N4660" s="475">
        <f t="shared" si="177"/>
        <v>192881</v>
      </c>
    </row>
    <row r="4661" spans="7:14" ht="11.25" customHeight="1" x14ac:dyDescent="0.3">
      <c r="G4661" s="470"/>
      <c r="H4661" s="470">
        <v>4654</v>
      </c>
      <c r="I4661" s="455">
        <f t="shared" ca="1" si="175"/>
        <v>63144484213532.336</v>
      </c>
      <c r="J4661" s="455">
        <f t="array" ref="J4661">IFERROR(INDEX('Retirement Calculator'!K:K,MATCH('Lorri 401b'!N4661,'Retirement Calculator'!A:A,0),0),0)</f>
        <v>0</v>
      </c>
      <c r="K4661" s="455">
        <f t="shared" ca="1" si="173"/>
        <v>263102017556.38474</v>
      </c>
      <c r="L4661" s="455">
        <f t="shared" ca="1" si="174"/>
        <v>63407586231088.719</v>
      </c>
      <c r="M4661" s="471">
        <f t="shared" si="176"/>
        <v>0.05</v>
      </c>
      <c r="N4661" s="475">
        <f t="shared" si="177"/>
        <v>192910</v>
      </c>
    </row>
    <row r="4662" spans="7:14" ht="11.25" customHeight="1" x14ac:dyDescent="0.3">
      <c r="G4662" s="470"/>
      <c r="H4662" s="470">
        <v>4655</v>
      </c>
      <c r="I4662" s="455">
        <f t="shared" ca="1" si="175"/>
        <v>63407586231088.719</v>
      </c>
      <c r="J4662" s="455">
        <f t="array" ref="J4662">IFERROR(INDEX('Retirement Calculator'!K:K,MATCH('Lorri 401b'!N4662,'Retirement Calculator'!A:A,0),0),0)</f>
        <v>0</v>
      </c>
      <c r="K4662" s="455">
        <f t="shared" ca="1" si="173"/>
        <v>264198275962.86966</v>
      </c>
      <c r="L4662" s="455">
        <f t="shared" ca="1" si="174"/>
        <v>63671784507051.586</v>
      </c>
      <c r="M4662" s="471">
        <f t="shared" si="176"/>
        <v>0.05</v>
      </c>
      <c r="N4662" s="475">
        <f t="shared" si="177"/>
        <v>192941</v>
      </c>
    </row>
    <row r="4663" spans="7:14" ht="11.25" customHeight="1" x14ac:dyDescent="0.3">
      <c r="G4663" s="470"/>
      <c r="H4663" s="470">
        <v>4656</v>
      </c>
      <c r="I4663" s="455">
        <f t="shared" ca="1" si="175"/>
        <v>63671784507051.586</v>
      </c>
      <c r="J4663" s="455">
        <f t="array" ref="J4663">IFERROR(INDEX('Retirement Calculator'!K:K,MATCH('Lorri 401b'!N4663,'Retirement Calculator'!A:A,0),0),0)</f>
        <v>0</v>
      </c>
      <c r="K4663" s="455">
        <f t="shared" ca="1" si="173"/>
        <v>265299102112.71494</v>
      </c>
      <c r="L4663" s="455">
        <f t="shared" ca="1" si="174"/>
        <v>63937083609164.305</v>
      </c>
      <c r="M4663" s="471">
        <f t="shared" si="176"/>
        <v>0.05</v>
      </c>
      <c r="N4663" s="475">
        <f t="shared" si="177"/>
        <v>192971</v>
      </c>
    </row>
    <row r="4664" spans="7:14" ht="11.25" customHeight="1" x14ac:dyDescent="0.3">
      <c r="G4664" s="470"/>
      <c r="H4664" s="470">
        <v>4657</v>
      </c>
      <c r="I4664" s="455">
        <f t="shared" ca="1" si="175"/>
        <v>63937083609164.305</v>
      </c>
      <c r="J4664" s="455">
        <f t="array" ref="J4664">IFERROR(INDEX('Retirement Calculator'!K:K,MATCH('Lorri 401b'!N4664,'Retirement Calculator'!A:A,0),0),0)</f>
        <v>0</v>
      </c>
      <c r="K4664" s="455">
        <f t="shared" ca="1" si="173"/>
        <v>266404515038.1846</v>
      </c>
      <c r="L4664" s="455">
        <f t="shared" ca="1" si="174"/>
        <v>64203488124202.492</v>
      </c>
      <c r="M4664" s="471">
        <f t="shared" si="176"/>
        <v>0.05</v>
      </c>
      <c r="N4664" s="475">
        <f t="shared" si="177"/>
        <v>193002</v>
      </c>
    </row>
    <row r="4665" spans="7:14" ht="11.25" customHeight="1" x14ac:dyDescent="0.3">
      <c r="G4665" s="470"/>
      <c r="H4665" s="470">
        <v>4658</v>
      </c>
      <c r="I4665" s="455">
        <f t="shared" ca="1" si="175"/>
        <v>64203488124202.492</v>
      </c>
      <c r="J4665" s="455">
        <f t="array" ref="J4665">IFERROR(INDEX('Retirement Calculator'!K:K,MATCH('Lorri 401b'!N4665,'Retirement Calculator'!A:A,0),0),0)</f>
        <v>0</v>
      </c>
      <c r="K4665" s="455">
        <f t="shared" ca="1" si="173"/>
        <v>267514533850.84372</v>
      </c>
      <c r="L4665" s="455">
        <f t="shared" ca="1" si="174"/>
        <v>64471002658053.336</v>
      </c>
      <c r="M4665" s="471">
        <f t="shared" si="176"/>
        <v>0.05</v>
      </c>
      <c r="N4665" s="475">
        <f t="shared" si="177"/>
        <v>193032</v>
      </c>
    </row>
    <row r="4666" spans="7:14" ht="11.25" customHeight="1" x14ac:dyDescent="0.3">
      <c r="G4666" s="470"/>
      <c r="H4666" s="470">
        <v>4659</v>
      </c>
      <c r="I4666" s="455">
        <f t="shared" ca="1" si="175"/>
        <v>64471002658053.336</v>
      </c>
      <c r="J4666" s="455">
        <f t="array" ref="J4666">IFERROR(INDEX('Retirement Calculator'!K:K,MATCH('Lorri 401b'!N4666,'Retirement Calculator'!A:A,0),0),0)</f>
        <v>0</v>
      </c>
      <c r="K4666" s="455">
        <f t="shared" ca="1" si="173"/>
        <v>268629177741.88889</v>
      </c>
      <c r="L4666" s="455">
        <f t="shared" ca="1" si="174"/>
        <v>64739631835795.227</v>
      </c>
      <c r="M4666" s="471">
        <f t="shared" si="176"/>
        <v>0.05</v>
      </c>
      <c r="N4666" s="475">
        <f t="shared" si="177"/>
        <v>193063</v>
      </c>
    </row>
    <row r="4667" spans="7:14" ht="11.25" customHeight="1" x14ac:dyDescent="0.3">
      <c r="G4667" s="470"/>
      <c r="H4667" s="470">
        <v>4660</v>
      </c>
      <c r="I4667" s="455">
        <f t="shared" ca="1" si="175"/>
        <v>64739631835795.227</v>
      </c>
      <c r="J4667" s="455">
        <f t="array" ref="J4667">IFERROR(INDEX('Retirement Calculator'!K:K,MATCH('Lorri 401b'!N4667,'Retirement Calculator'!A:A,0),0),0)</f>
        <v>0</v>
      </c>
      <c r="K4667" s="455">
        <f t="shared" ca="1" si="173"/>
        <v>269748465982.48007</v>
      </c>
      <c r="L4667" s="455">
        <f t="shared" ca="1" si="174"/>
        <v>65009380301777.703</v>
      </c>
      <c r="M4667" s="471">
        <f t="shared" si="176"/>
        <v>0.05</v>
      </c>
      <c r="N4667" s="475">
        <f t="shared" si="177"/>
        <v>193094</v>
      </c>
    </row>
    <row r="4668" spans="7:14" ht="11.25" customHeight="1" x14ac:dyDescent="0.3">
      <c r="G4668" s="470"/>
      <c r="H4668" s="470">
        <v>4661</v>
      </c>
      <c r="I4668" s="455">
        <f t="shared" ca="1" si="175"/>
        <v>65009380301777.703</v>
      </c>
      <c r="J4668" s="455">
        <f t="array" ref="J4668">IFERROR(INDEX('Retirement Calculator'!K:K,MATCH('Lorri 401b'!N4668,'Retirement Calculator'!A:A,0),0),0)</f>
        <v>0</v>
      </c>
      <c r="K4668" s="455">
        <f t="shared" ca="1" si="173"/>
        <v>270872417924.07376</v>
      </c>
      <c r="L4668" s="455">
        <f t="shared" ca="1" si="174"/>
        <v>65280252719701.773</v>
      </c>
      <c r="M4668" s="471">
        <f t="shared" si="176"/>
        <v>0.05</v>
      </c>
      <c r="N4668" s="475">
        <f t="shared" si="177"/>
        <v>193124</v>
      </c>
    </row>
    <row r="4669" spans="7:14" ht="11.25" customHeight="1" x14ac:dyDescent="0.3">
      <c r="G4669" s="470"/>
      <c r="H4669" s="470">
        <v>4662</v>
      </c>
      <c r="I4669" s="455">
        <f t="shared" ca="1" si="175"/>
        <v>65280252719701.773</v>
      </c>
      <c r="J4669" s="455">
        <f t="array" ref="J4669">IFERROR(INDEX('Retirement Calculator'!K:K,MATCH('Lorri 401b'!N4669,'Retirement Calculator'!A:A,0),0),0)</f>
        <v>0</v>
      </c>
      <c r="K4669" s="455">
        <f t="shared" ca="1" si="173"/>
        <v>272001052998.75739</v>
      </c>
      <c r="L4669" s="455">
        <f t="shared" ca="1" si="174"/>
        <v>65552253772700.531</v>
      </c>
      <c r="M4669" s="471">
        <f t="shared" si="176"/>
        <v>0.05</v>
      </c>
      <c r="N4669" s="475">
        <f t="shared" si="177"/>
        <v>193155</v>
      </c>
    </row>
    <row r="4670" spans="7:14" ht="11.25" customHeight="1" x14ac:dyDescent="0.3">
      <c r="G4670" s="470"/>
      <c r="H4670" s="470">
        <v>4663</v>
      </c>
      <c r="I4670" s="455">
        <f t="shared" ca="1" si="175"/>
        <v>65552253772700.531</v>
      </c>
      <c r="J4670" s="455">
        <f t="array" ref="J4670">IFERROR(INDEX('Retirement Calculator'!K:K,MATCH('Lorri 401b'!N4670,'Retirement Calculator'!A:A,0),0),0)</f>
        <v>0</v>
      </c>
      <c r="K4670" s="455">
        <f t="shared" ca="1" si="173"/>
        <v>273134390719.58554</v>
      </c>
      <c r="L4670" s="455">
        <f t="shared" ca="1" si="174"/>
        <v>65825388163420.117</v>
      </c>
      <c r="M4670" s="471">
        <f t="shared" si="176"/>
        <v>0.05</v>
      </c>
      <c r="N4670" s="475">
        <f t="shared" si="177"/>
        <v>193185</v>
      </c>
    </row>
    <row r="4671" spans="7:14" ht="11.25" customHeight="1" x14ac:dyDescent="0.3">
      <c r="G4671" s="470"/>
      <c r="H4671" s="470">
        <v>4664</v>
      </c>
      <c r="I4671" s="455">
        <f t="shared" ca="1" si="175"/>
        <v>65825388163420.117</v>
      </c>
      <c r="J4671" s="455">
        <f t="array" ref="J4671">IFERROR(INDEX('Retirement Calculator'!K:K,MATCH('Lorri 401b'!N4671,'Retirement Calculator'!A:A,0),0),0)</f>
        <v>0</v>
      </c>
      <c r="K4671" s="455">
        <f t="shared" ca="1" si="173"/>
        <v>274272450680.91714</v>
      </c>
      <c r="L4671" s="455">
        <f t="shared" ca="1" si="174"/>
        <v>66099660614101.031</v>
      </c>
      <c r="M4671" s="471">
        <f t="shared" si="176"/>
        <v>0.05</v>
      </c>
      <c r="N4671" s="475">
        <f t="shared" si="177"/>
        <v>193216</v>
      </c>
    </row>
    <row r="4672" spans="7:14" ht="11.25" customHeight="1" x14ac:dyDescent="0.3">
      <c r="G4672" s="470"/>
      <c r="H4672" s="470">
        <v>4665</v>
      </c>
      <c r="I4672" s="455">
        <f t="shared" ca="1" si="175"/>
        <v>66099660614101.031</v>
      </c>
      <c r="J4672" s="455">
        <f t="array" ref="J4672">IFERROR(INDEX('Retirement Calculator'!K:K,MATCH('Lorri 401b'!N4672,'Retirement Calculator'!A:A,0),0),0)</f>
        <v>0</v>
      </c>
      <c r="K4672" s="455">
        <f t="shared" ca="1" si="173"/>
        <v>275415252558.75433</v>
      </c>
      <c r="L4672" s="455">
        <f t="shared" ca="1" si="174"/>
        <v>66375075866659.789</v>
      </c>
      <c r="M4672" s="471">
        <f t="shared" si="176"/>
        <v>0.05</v>
      </c>
      <c r="N4672" s="475">
        <f t="shared" si="177"/>
        <v>193247</v>
      </c>
    </row>
    <row r="4673" spans="7:14" ht="11.25" customHeight="1" x14ac:dyDescent="0.3">
      <c r="G4673" s="470"/>
      <c r="H4673" s="470">
        <v>4666</v>
      </c>
      <c r="I4673" s="455">
        <f t="shared" ca="1" si="175"/>
        <v>66375075866659.789</v>
      </c>
      <c r="J4673" s="455">
        <f t="array" ref="J4673">IFERROR(INDEX('Retirement Calculator'!K:K,MATCH('Lorri 401b'!N4673,'Retirement Calculator'!A:A,0),0),0)</f>
        <v>0</v>
      </c>
      <c r="K4673" s="455">
        <f t="shared" ca="1" si="173"/>
        <v>276562816111.08246</v>
      </c>
      <c r="L4673" s="455">
        <f t="shared" ca="1" si="174"/>
        <v>66651638682770.875</v>
      </c>
      <c r="M4673" s="471">
        <f t="shared" si="176"/>
        <v>0.05</v>
      </c>
      <c r="N4673" s="475">
        <f t="shared" si="177"/>
        <v>193275</v>
      </c>
    </row>
    <row r="4674" spans="7:14" ht="11.25" customHeight="1" x14ac:dyDescent="0.3">
      <c r="G4674" s="470"/>
      <c r="H4674" s="470">
        <v>4667</v>
      </c>
      <c r="I4674" s="455">
        <f t="shared" ca="1" si="175"/>
        <v>66651638682770.875</v>
      </c>
      <c r="J4674" s="455">
        <f t="array" ref="J4674">IFERROR(INDEX('Retirement Calculator'!K:K,MATCH('Lorri 401b'!N4674,'Retirement Calculator'!A:A,0),0),0)</f>
        <v>0</v>
      </c>
      <c r="K4674" s="455">
        <f t="shared" ca="1" si="173"/>
        <v>277715161178.21198</v>
      </c>
      <c r="L4674" s="455">
        <f t="shared" ca="1" si="174"/>
        <v>66929353843949.086</v>
      </c>
      <c r="M4674" s="471">
        <f t="shared" si="176"/>
        <v>0.05</v>
      </c>
      <c r="N4674" s="475">
        <f t="shared" si="177"/>
        <v>193306</v>
      </c>
    </row>
    <row r="4675" spans="7:14" ht="11.25" customHeight="1" x14ac:dyDescent="0.3">
      <c r="G4675" s="470"/>
      <c r="H4675" s="470">
        <v>4668</v>
      </c>
      <c r="I4675" s="455">
        <f t="shared" ca="1" si="175"/>
        <v>66929353843949.086</v>
      </c>
      <c r="J4675" s="455">
        <f t="array" ref="J4675">IFERROR(INDEX('Retirement Calculator'!K:K,MATCH('Lorri 401b'!N4675,'Retirement Calculator'!A:A,0),0),0)</f>
        <v>0</v>
      </c>
      <c r="K4675" s="455">
        <f t="shared" ca="1" si="173"/>
        <v>278872307683.12122</v>
      </c>
      <c r="L4675" s="455">
        <f t="shared" ca="1" si="174"/>
        <v>67208226151632.211</v>
      </c>
      <c r="M4675" s="471">
        <f t="shared" si="176"/>
        <v>0.05</v>
      </c>
      <c r="N4675" s="475">
        <f t="shared" si="177"/>
        <v>193336</v>
      </c>
    </row>
    <row r="4676" spans="7:14" ht="11.25" customHeight="1" x14ac:dyDescent="0.3">
      <c r="G4676" s="470"/>
      <c r="H4676" s="470">
        <v>4669</v>
      </c>
      <c r="I4676" s="455">
        <f t="shared" ca="1" si="175"/>
        <v>67208226151632.211</v>
      </c>
      <c r="J4676" s="455">
        <f t="array" ref="J4676">IFERROR(INDEX('Retirement Calculator'!K:K,MATCH('Lorri 401b'!N4676,'Retirement Calculator'!A:A,0),0),0)</f>
        <v>0</v>
      </c>
      <c r="K4676" s="455">
        <f t="shared" ca="1" si="173"/>
        <v>280034275631.80084</v>
      </c>
      <c r="L4676" s="455">
        <f t="shared" ca="1" si="174"/>
        <v>67488260427264.016</v>
      </c>
      <c r="M4676" s="471">
        <f t="shared" si="176"/>
        <v>0.05</v>
      </c>
      <c r="N4676" s="475">
        <f t="shared" si="177"/>
        <v>193367</v>
      </c>
    </row>
    <row r="4677" spans="7:14" ht="11.25" customHeight="1" x14ac:dyDescent="0.3">
      <c r="G4677" s="470"/>
      <c r="H4677" s="470">
        <v>4670</v>
      </c>
      <c r="I4677" s="455">
        <f t="shared" ca="1" si="175"/>
        <v>67488260427264.016</v>
      </c>
      <c r="J4677" s="455">
        <f t="array" ref="J4677">IFERROR(INDEX('Retirement Calculator'!K:K,MATCH('Lorri 401b'!N4677,'Retirement Calculator'!A:A,0),0),0)</f>
        <v>0</v>
      </c>
      <c r="K4677" s="455">
        <f t="shared" ca="1" si="173"/>
        <v>281201085113.60004</v>
      </c>
      <c r="L4677" s="455">
        <f t="shared" ca="1" si="174"/>
        <v>67769461512377.617</v>
      </c>
      <c r="M4677" s="471">
        <f t="shared" si="176"/>
        <v>0.05</v>
      </c>
      <c r="N4677" s="475">
        <f t="shared" si="177"/>
        <v>193397</v>
      </c>
    </row>
    <row r="4678" spans="7:14" ht="11.25" customHeight="1" x14ac:dyDescent="0.3">
      <c r="G4678" s="470"/>
      <c r="H4678" s="470">
        <v>4671</v>
      </c>
      <c r="I4678" s="455">
        <f t="shared" ca="1" si="175"/>
        <v>67769461512377.617</v>
      </c>
      <c r="J4678" s="455">
        <f t="array" ref="J4678">IFERROR(INDEX('Retirement Calculator'!K:K,MATCH('Lorri 401b'!N4678,'Retirement Calculator'!A:A,0),0),0)</f>
        <v>0</v>
      </c>
      <c r="K4678" s="455">
        <f t="shared" ca="1" si="173"/>
        <v>282372756301.57343</v>
      </c>
      <c r="L4678" s="455">
        <f t="shared" ca="1" si="174"/>
        <v>68051834268679.188</v>
      </c>
      <c r="M4678" s="471">
        <f t="shared" si="176"/>
        <v>0.05</v>
      </c>
      <c r="N4678" s="475">
        <f t="shared" si="177"/>
        <v>193428</v>
      </c>
    </row>
    <row r="4679" spans="7:14" ht="11.25" customHeight="1" x14ac:dyDescent="0.3">
      <c r="G4679" s="470"/>
      <c r="H4679" s="470">
        <v>4672</v>
      </c>
      <c r="I4679" s="455">
        <f t="shared" ca="1" si="175"/>
        <v>68051834268679.188</v>
      </c>
      <c r="J4679" s="455">
        <f t="array" ref="J4679">IFERROR(INDEX('Retirement Calculator'!K:K,MATCH('Lorri 401b'!N4679,'Retirement Calculator'!A:A,0),0),0)</f>
        <v>0</v>
      </c>
      <c r="K4679" s="455">
        <f t="shared" ca="1" si="173"/>
        <v>283549309452.8299</v>
      </c>
      <c r="L4679" s="455">
        <f t="shared" ca="1" si="174"/>
        <v>68335383578132.016</v>
      </c>
      <c r="M4679" s="471">
        <f t="shared" si="176"/>
        <v>0.05</v>
      </c>
      <c r="N4679" s="475">
        <f t="shared" si="177"/>
        <v>193459</v>
      </c>
    </row>
    <row r="4680" spans="7:14" ht="11.25" customHeight="1" x14ac:dyDescent="0.3">
      <c r="G4680" s="470"/>
      <c r="H4680" s="470">
        <v>4673</v>
      </c>
      <c r="I4680" s="455">
        <f t="shared" ca="1" si="175"/>
        <v>68335383578132.016</v>
      </c>
      <c r="J4680" s="455">
        <f t="array" ref="J4680">IFERROR(INDEX('Retirement Calculator'!K:K,MATCH('Lorri 401b'!N4680,'Retirement Calculator'!A:A,0),0),0)</f>
        <v>0</v>
      </c>
      <c r="K4680" s="455">
        <f t="shared" ca="1" si="173"/>
        <v>284730764908.88342</v>
      </c>
      <c r="L4680" s="455">
        <f t="shared" ca="1" si="174"/>
        <v>68620114343040.898</v>
      </c>
      <c r="M4680" s="471">
        <f t="shared" si="176"/>
        <v>0.05</v>
      </c>
      <c r="N4680" s="475">
        <f t="shared" si="177"/>
        <v>193489</v>
      </c>
    </row>
    <row r="4681" spans="7:14" ht="11.25" customHeight="1" x14ac:dyDescent="0.3">
      <c r="G4681" s="470"/>
      <c r="H4681" s="470">
        <v>4674</v>
      </c>
      <c r="I4681" s="455">
        <f t="shared" ca="1" si="175"/>
        <v>68620114343040.898</v>
      </c>
      <c r="J4681" s="455">
        <f t="array" ref="J4681">IFERROR(INDEX('Retirement Calculator'!K:K,MATCH('Lorri 401b'!N4681,'Retirement Calculator'!A:A,0),0),0)</f>
        <v>0</v>
      </c>
      <c r="K4681" s="455">
        <f t="shared" ca="1" si="173"/>
        <v>285917143096.00378</v>
      </c>
      <c r="L4681" s="455">
        <f t="shared" ca="1" si="174"/>
        <v>68906031486136.898</v>
      </c>
      <c r="M4681" s="471">
        <f t="shared" si="176"/>
        <v>0.05</v>
      </c>
      <c r="N4681" s="475">
        <f t="shared" si="177"/>
        <v>193520</v>
      </c>
    </row>
    <row r="4682" spans="7:14" ht="11.25" customHeight="1" x14ac:dyDescent="0.3">
      <c r="G4682" s="470"/>
      <c r="H4682" s="470">
        <v>4675</v>
      </c>
      <c r="I4682" s="455">
        <f t="shared" ca="1" si="175"/>
        <v>68906031486136.898</v>
      </c>
      <c r="J4682" s="455">
        <f t="array" ref="J4682">IFERROR(INDEX('Retirement Calculator'!K:K,MATCH('Lorri 401b'!N4682,'Retirement Calculator'!A:A,0),0),0)</f>
        <v>0</v>
      </c>
      <c r="K4682" s="455">
        <f t="shared" ca="1" si="173"/>
        <v>287108464525.57043</v>
      </c>
      <c r="L4682" s="455">
        <f t="shared" ca="1" si="174"/>
        <v>69193139950662.469</v>
      </c>
      <c r="M4682" s="471">
        <f t="shared" si="176"/>
        <v>0.05</v>
      </c>
      <c r="N4682" s="475">
        <f t="shared" si="177"/>
        <v>193550</v>
      </c>
    </row>
    <row r="4683" spans="7:14" ht="11.25" customHeight="1" x14ac:dyDescent="0.3">
      <c r="G4683" s="470"/>
      <c r="H4683" s="470">
        <v>4676</v>
      </c>
      <c r="I4683" s="455">
        <f t="shared" ca="1" si="175"/>
        <v>69193139950662.469</v>
      </c>
      <c r="J4683" s="455">
        <f t="array" ref="J4683">IFERROR(INDEX('Retirement Calculator'!K:K,MATCH('Lorri 401b'!N4683,'Retirement Calculator'!A:A,0),0),0)</f>
        <v>0</v>
      </c>
      <c r="K4683" s="455">
        <f t="shared" ca="1" si="173"/>
        <v>288304749794.42694</v>
      </c>
      <c r="L4683" s="455">
        <f t="shared" ca="1" si="174"/>
        <v>69481444700456.898</v>
      </c>
      <c r="M4683" s="471">
        <f t="shared" si="176"/>
        <v>0.05</v>
      </c>
      <c r="N4683" s="475">
        <f t="shared" si="177"/>
        <v>193581</v>
      </c>
    </row>
    <row r="4684" spans="7:14" ht="11.25" customHeight="1" x14ac:dyDescent="0.3">
      <c r="G4684" s="470"/>
      <c r="H4684" s="470">
        <v>4677</v>
      </c>
      <c r="I4684" s="455">
        <f t="shared" ca="1" si="175"/>
        <v>69481444700456.898</v>
      </c>
      <c r="J4684" s="455">
        <f t="array" ref="J4684">IFERROR(INDEX('Retirement Calculator'!K:K,MATCH('Lorri 401b'!N4684,'Retirement Calculator'!A:A,0),0),0)</f>
        <v>0</v>
      </c>
      <c r="K4684" s="455">
        <f t="shared" ca="1" si="173"/>
        <v>289506019585.23706</v>
      </c>
      <c r="L4684" s="455">
        <f t="shared" ca="1" si="174"/>
        <v>69770950720042.133</v>
      </c>
      <c r="M4684" s="471">
        <f t="shared" si="176"/>
        <v>0.05</v>
      </c>
      <c r="N4684" s="475">
        <f t="shared" si="177"/>
        <v>193612</v>
      </c>
    </row>
    <row r="4685" spans="7:14" ht="11.25" customHeight="1" x14ac:dyDescent="0.3">
      <c r="G4685" s="470"/>
      <c r="H4685" s="470">
        <v>4678</v>
      </c>
      <c r="I4685" s="455">
        <f t="shared" ca="1" si="175"/>
        <v>69770950720042.133</v>
      </c>
      <c r="J4685" s="455">
        <f t="array" ref="J4685">IFERROR(INDEX('Retirement Calculator'!K:K,MATCH('Lorri 401b'!N4685,'Retirement Calculator'!A:A,0),0),0)</f>
        <v>0</v>
      </c>
      <c r="K4685" s="455">
        <f t="shared" ca="1" si="173"/>
        <v>290712294666.84222</v>
      </c>
      <c r="L4685" s="455">
        <f t="shared" ca="1" si="174"/>
        <v>70061663014708.977</v>
      </c>
      <c r="M4685" s="471">
        <f t="shared" si="176"/>
        <v>0.05</v>
      </c>
      <c r="N4685" s="475">
        <f t="shared" si="177"/>
        <v>193640</v>
      </c>
    </row>
    <row r="4686" spans="7:14" ht="11.25" customHeight="1" x14ac:dyDescent="0.3">
      <c r="G4686" s="470"/>
      <c r="H4686" s="470">
        <v>4679</v>
      </c>
      <c r="I4686" s="455">
        <f t="shared" ca="1" si="175"/>
        <v>70061663014708.977</v>
      </c>
      <c r="J4686" s="455">
        <f t="array" ref="J4686">IFERROR(INDEX('Retirement Calculator'!K:K,MATCH('Lorri 401b'!N4686,'Retirement Calculator'!A:A,0),0),0)</f>
        <v>0</v>
      </c>
      <c r="K4686" s="455">
        <f t="shared" ca="1" si="173"/>
        <v>291923595894.62073</v>
      </c>
      <c r="L4686" s="455">
        <f t="shared" ca="1" si="174"/>
        <v>70353586610603.594</v>
      </c>
      <c r="M4686" s="471">
        <f t="shared" si="176"/>
        <v>0.05</v>
      </c>
      <c r="N4686" s="475">
        <f t="shared" si="177"/>
        <v>193671</v>
      </c>
    </row>
    <row r="4687" spans="7:14" ht="11.25" customHeight="1" x14ac:dyDescent="0.3">
      <c r="G4687" s="470"/>
      <c r="H4687" s="470">
        <v>4680</v>
      </c>
      <c r="I4687" s="455">
        <f t="shared" ca="1" si="175"/>
        <v>70353586610603.594</v>
      </c>
      <c r="J4687" s="455">
        <f t="array" ref="J4687">IFERROR(INDEX('Retirement Calculator'!K:K,MATCH('Lorri 401b'!N4687,'Retirement Calculator'!A:A,0),0),0)</f>
        <v>0</v>
      </c>
      <c r="K4687" s="455">
        <f t="shared" ca="1" si="173"/>
        <v>293139944210.84827</v>
      </c>
      <c r="L4687" s="455">
        <f t="shared" ca="1" si="174"/>
        <v>70646726554814.438</v>
      </c>
      <c r="M4687" s="471">
        <f t="shared" si="176"/>
        <v>0.05</v>
      </c>
      <c r="N4687" s="475">
        <f t="shared" si="177"/>
        <v>193701</v>
      </c>
    </row>
    <row r="4688" spans="7:14" ht="11.25" customHeight="1" x14ac:dyDescent="0.3">
      <c r="G4688" s="470"/>
      <c r="H4688" s="470">
        <v>4681</v>
      </c>
      <c r="I4688" s="455">
        <f t="shared" ca="1" si="175"/>
        <v>70646726554814.438</v>
      </c>
      <c r="J4688" s="455">
        <f t="array" ref="J4688">IFERROR(INDEX('Retirement Calculator'!K:K,MATCH('Lorri 401b'!N4688,'Retirement Calculator'!A:A,0),0),0)</f>
        <v>0</v>
      </c>
      <c r="K4688" s="455">
        <f t="shared" ca="1" si="173"/>
        <v>294361360645.06018</v>
      </c>
      <c r="L4688" s="455">
        <f t="shared" ca="1" si="174"/>
        <v>70941087915459.5</v>
      </c>
      <c r="M4688" s="471">
        <f t="shared" si="176"/>
        <v>0.05</v>
      </c>
      <c r="N4688" s="475">
        <f t="shared" si="177"/>
        <v>193732</v>
      </c>
    </row>
    <row r="4689" spans="7:14" ht="11.25" customHeight="1" x14ac:dyDescent="0.3">
      <c r="G4689" s="470"/>
      <c r="H4689" s="470">
        <v>4682</v>
      </c>
      <c r="I4689" s="455">
        <f t="shared" ca="1" si="175"/>
        <v>70941087915459.5</v>
      </c>
      <c r="J4689" s="455">
        <f t="array" ref="J4689">IFERROR(INDEX('Retirement Calculator'!K:K,MATCH('Lorri 401b'!N4689,'Retirement Calculator'!A:A,0),0),0)</f>
        <v>0</v>
      </c>
      <c r="K4689" s="455">
        <f t="shared" ca="1" si="173"/>
        <v>295587866314.41455</v>
      </c>
      <c r="L4689" s="455">
        <f t="shared" ca="1" si="174"/>
        <v>71236675781773.922</v>
      </c>
      <c r="M4689" s="471">
        <f t="shared" si="176"/>
        <v>0.05</v>
      </c>
      <c r="N4689" s="475">
        <f t="shared" si="177"/>
        <v>193762</v>
      </c>
    </row>
    <row r="4690" spans="7:14" ht="11.25" customHeight="1" x14ac:dyDescent="0.3">
      <c r="G4690" s="470"/>
      <c r="H4690" s="470">
        <v>4683</v>
      </c>
      <c r="I4690" s="455">
        <f t="shared" ca="1" si="175"/>
        <v>71236675781773.922</v>
      </c>
      <c r="J4690" s="455">
        <f t="array" ref="J4690">IFERROR(INDEX('Retirement Calculator'!K:K,MATCH('Lorri 401b'!N4690,'Retirement Calculator'!A:A,0),0),0)</f>
        <v>0</v>
      </c>
      <c r="K4690" s="455">
        <f t="shared" ca="1" si="173"/>
        <v>296819482424.05798</v>
      </c>
      <c r="L4690" s="455">
        <f t="shared" ca="1" si="174"/>
        <v>71533495264197.984</v>
      </c>
      <c r="M4690" s="471">
        <f t="shared" si="176"/>
        <v>0.05</v>
      </c>
      <c r="N4690" s="475">
        <f t="shared" si="177"/>
        <v>193793</v>
      </c>
    </row>
    <row r="4691" spans="7:14" ht="11.25" customHeight="1" x14ac:dyDescent="0.3">
      <c r="G4691" s="470"/>
      <c r="H4691" s="470">
        <v>4684</v>
      </c>
      <c r="I4691" s="455">
        <f t="shared" ca="1" si="175"/>
        <v>71533495264197.984</v>
      </c>
      <c r="J4691" s="455">
        <f t="array" ref="J4691">IFERROR(INDEX('Retirement Calculator'!K:K,MATCH('Lorri 401b'!N4691,'Retirement Calculator'!A:A,0),0),0)</f>
        <v>0</v>
      </c>
      <c r="K4691" s="455">
        <f t="shared" ca="1" si="173"/>
        <v>298056230267.49158</v>
      </c>
      <c r="L4691" s="455">
        <f t="shared" ca="1" si="174"/>
        <v>71831551494465.469</v>
      </c>
      <c r="M4691" s="471">
        <f t="shared" si="176"/>
        <v>0.05</v>
      </c>
      <c r="N4691" s="475">
        <f t="shared" si="177"/>
        <v>193824</v>
      </c>
    </row>
    <row r="4692" spans="7:14" ht="11.25" customHeight="1" x14ac:dyDescent="0.3">
      <c r="G4692" s="470"/>
      <c r="H4692" s="470">
        <v>4685</v>
      </c>
      <c r="I4692" s="455">
        <f t="shared" ca="1" si="175"/>
        <v>71831551494465.469</v>
      </c>
      <c r="J4692" s="455">
        <f t="array" ref="J4692">IFERROR(INDEX('Retirement Calculator'!K:K,MATCH('Lorri 401b'!N4692,'Retirement Calculator'!A:A,0),0),0)</f>
        <v>0</v>
      </c>
      <c r="K4692" s="455">
        <f t="shared" ca="1" si="173"/>
        <v>299298131226.93945</v>
      </c>
      <c r="L4692" s="455">
        <f t="shared" ca="1" si="174"/>
        <v>72130849625692.406</v>
      </c>
      <c r="M4692" s="471">
        <f t="shared" si="176"/>
        <v>0.05</v>
      </c>
      <c r="N4692" s="475">
        <f t="shared" si="177"/>
        <v>193854</v>
      </c>
    </row>
    <row r="4693" spans="7:14" ht="11.25" customHeight="1" x14ac:dyDescent="0.3">
      <c r="G4693" s="470"/>
      <c r="H4693" s="470">
        <v>4686</v>
      </c>
      <c r="I4693" s="455">
        <f t="shared" ca="1" si="175"/>
        <v>72130849625692.406</v>
      </c>
      <c r="J4693" s="455">
        <f t="array" ref="J4693">IFERROR(INDEX('Retirement Calculator'!K:K,MATCH('Lorri 401b'!N4693,'Retirement Calculator'!A:A,0),0),0)</f>
        <v>0</v>
      </c>
      <c r="K4693" s="455">
        <f t="shared" ca="1" si="173"/>
        <v>300545206773.71838</v>
      </c>
      <c r="L4693" s="455">
        <f t="shared" ca="1" si="174"/>
        <v>72431394832466.125</v>
      </c>
      <c r="M4693" s="471">
        <f t="shared" si="176"/>
        <v>0.05</v>
      </c>
      <c r="N4693" s="475">
        <f t="shared" si="177"/>
        <v>193885</v>
      </c>
    </row>
    <row r="4694" spans="7:14" ht="11.25" customHeight="1" x14ac:dyDescent="0.3">
      <c r="G4694" s="470"/>
      <c r="H4694" s="470">
        <v>4687</v>
      </c>
      <c r="I4694" s="455">
        <f t="shared" ca="1" si="175"/>
        <v>72431394832466.125</v>
      </c>
      <c r="J4694" s="455">
        <f t="array" ref="J4694">IFERROR(INDEX('Retirement Calculator'!K:K,MATCH('Lorri 401b'!N4694,'Retirement Calculator'!A:A,0),0),0)</f>
        <v>0</v>
      </c>
      <c r="K4694" s="455">
        <f t="shared" ca="1" si="173"/>
        <v>301797478468.60883</v>
      </c>
      <c r="L4694" s="455">
        <f t="shared" ca="1" si="174"/>
        <v>72733192310934.734</v>
      </c>
      <c r="M4694" s="471">
        <f t="shared" si="176"/>
        <v>0.05</v>
      </c>
      <c r="N4694" s="475">
        <f t="shared" si="177"/>
        <v>193915</v>
      </c>
    </row>
    <row r="4695" spans="7:14" ht="11.25" customHeight="1" x14ac:dyDescent="0.3">
      <c r="G4695" s="470"/>
      <c r="H4695" s="470">
        <v>4688</v>
      </c>
      <c r="I4695" s="455">
        <f t="shared" ca="1" si="175"/>
        <v>72733192310934.734</v>
      </c>
      <c r="J4695" s="455">
        <f t="array" ref="J4695">IFERROR(INDEX('Retirement Calculator'!K:K,MATCH('Lorri 401b'!N4695,'Retirement Calculator'!A:A,0),0),0)</f>
        <v>0</v>
      </c>
      <c r="K4695" s="455">
        <f t="shared" ca="1" si="173"/>
        <v>303054967962.22803</v>
      </c>
      <c r="L4695" s="455">
        <f t="shared" ca="1" si="174"/>
        <v>73036247278896.969</v>
      </c>
      <c r="M4695" s="471">
        <f t="shared" si="176"/>
        <v>0.05</v>
      </c>
      <c r="N4695" s="475">
        <f t="shared" si="177"/>
        <v>193946</v>
      </c>
    </row>
    <row r="4696" spans="7:14" ht="11.25" customHeight="1" x14ac:dyDescent="0.3">
      <c r="G4696" s="470"/>
      <c r="H4696" s="470">
        <v>4689</v>
      </c>
      <c r="I4696" s="455">
        <f t="shared" ca="1" si="175"/>
        <v>73036247278896.969</v>
      </c>
      <c r="J4696" s="455">
        <f t="array" ref="J4696">IFERROR(INDEX('Retirement Calculator'!K:K,MATCH('Lorri 401b'!N4696,'Retirement Calculator'!A:A,0),0),0)</f>
        <v>0</v>
      </c>
      <c r="K4696" s="455">
        <f t="shared" ca="1" si="173"/>
        <v>304317696995.40405</v>
      </c>
      <c r="L4696" s="455">
        <f t="shared" ca="1" si="174"/>
        <v>73340564975892.375</v>
      </c>
      <c r="M4696" s="471">
        <f t="shared" si="176"/>
        <v>0.05</v>
      </c>
      <c r="N4696" s="475">
        <f t="shared" si="177"/>
        <v>193977</v>
      </c>
    </row>
    <row r="4697" spans="7:14" ht="11.25" customHeight="1" x14ac:dyDescent="0.3">
      <c r="G4697" s="470"/>
      <c r="H4697" s="470">
        <v>4690</v>
      </c>
      <c r="I4697" s="455">
        <f t="shared" ca="1" si="175"/>
        <v>73340564975892.375</v>
      </c>
      <c r="J4697" s="455">
        <f t="array" ref="J4697">IFERROR(INDEX('Retirement Calculator'!K:K,MATCH('Lorri 401b'!N4697,'Retirement Calculator'!A:A,0),0),0)</f>
        <v>0</v>
      </c>
      <c r="K4697" s="455">
        <f t="shared" ca="1" si="173"/>
        <v>305585687399.55157</v>
      </c>
      <c r="L4697" s="455">
        <f t="shared" ca="1" si="174"/>
        <v>73646150663291.922</v>
      </c>
      <c r="M4697" s="471">
        <f t="shared" si="176"/>
        <v>0.05</v>
      </c>
      <c r="N4697" s="475">
        <f t="shared" si="177"/>
        <v>194005</v>
      </c>
    </row>
    <row r="4698" spans="7:14" ht="11.25" customHeight="1" x14ac:dyDescent="0.3">
      <c r="G4698" s="470"/>
      <c r="H4698" s="470">
        <v>4691</v>
      </c>
      <c r="I4698" s="455">
        <f t="shared" ca="1" si="175"/>
        <v>73646150663291.922</v>
      </c>
      <c r="J4698" s="455">
        <f t="array" ref="J4698">IFERROR(INDEX('Retirement Calculator'!K:K,MATCH('Lorri 401b'!N4698,'Retirement Calculator'!A:A,0),0),0)</f>
        <v>0</v>
      </c>
      <c r="K4698" s="455">
        <f t="shared" ca="1" si="173"/>
        <v>306858961097.04968</v>
      </c>
      <c r="L4698" s="455">
        <f t="shared" ca="1" si="174"/>
        <v>73953009624388.969</v>
      </c>
      <c r="M4698" s="471">
        <f t="shared" si="176"/>
        <v>0.05</v>
      </c>
      <c r="N4698" s="475">
        <f t="shared" si="177"/>
        <v>194036</v>
      </c>
    </row>
    <row r="4699" spans="7:14" ht="11.25" customHeight="1" x14ac:dyDescent="0.3">
      <c r="G4699" s="470"/>
      <c r="H4699" s="470">
        <v>4692</v>
      </c>
      <c r="I4699" s="455">
        <f t="shared" ca="1" si="175"/>
        <v>73953009624388.969</v>
      </c>
      <c r="J4699" s="455">
        <f t="array" ref="J4699">IFERROR(INDEX('Retirement Calculator'!K:K,MATCH('Lorri 401b'!N4699,'Retirement Calculator'!A:A,0),0),0)</f>
        <v>0</v>
      </c>
      <c r="K4699" s="455">
        <f t="shared" ca="1" si="173"/>
        <v>308137540101.62073</v>
      </c>
      <c r="L4699" s="455">
        <f t="shared" ca="1" si="174"/>
        <v>74261147164490.594</v>
      </c>
      <c r="M4699" s="471">
        <f t="shared" si="176"/>
        <v>0.05</v>
      </c>
      <c r="N4699" s="475">
        <f t="shared" si="177"/>
        <v>194066</v>
      </c>
    </row>
    <row r="4700" spans="7:14" ht="11.25" customHeight="1" x14ac:dyDescent="0.3">
      <c r="G4700" s="470"/>
      <c r="H4700" s="470">
        <v>4693</v>
      </c>
      <c r="I4700" s="455">
        <f t="shared" ca="1" si="175"/>
        <v>74261147164490.594</v>
      </c>
      <c r="J4700" s="455">
        <f t="array" ref="J4700">IFERROR(INDEX('Retirement Calculator'!K:K,MATCH('Lorri 401b'!N4700,'Retirement Calculator'!A:A,0),0),0)</f>
        <v>0</v>
      </c>
      <c r="K4700" s="455">
        <f t="shared" ca="1" si="173"/>
        <v>309421446518.71082</v>
      </c>
      <c r="L4700" s="455">
        <f t="shared" ca="1" si="174"/>
        <v>74570568611009.297</v>
      </c>
      <c r="M4700" s="471">
        <f t="shared" si="176"/>
        <v>0.05</v>
      </c>
      <c r="N4700" s="475">
        <f t="shared" si="177"/>
        <v>194097</v>
      </c>
    </row>
    <row r="4701" spans="7:14" ht="11.25" customHeight="1" x14ac:dyDescent="0.3">
      <c r="G4701" s="470"/>
      <c r="H4701" s="470">
        <v>4694</v>
      </c>
      <c r="I4701" s="455">
        <f t="shared" ca="1" si="175"/>
        <v>74570568611009.297</v>
      </c>
      <c r="J4701" s="455">
        <f t="array" ref="J4701">IFERROR(INDEX('Retirement Calculator'!K:K,MATCH('Lorri 401b'!N4701,'Retirement Calculator'!A:A,0),0),0)</f>
        <v>0</v>
      </c>
      <c r="K4701" s="455">
        <f t="shared" ca="1" si="173"/>
        <v>310710702545.87207</v>
      </c>
      <c r="L4701" s="455">
        <f t="shared" ca="1" si="174"/>
        <v>74881279313555.172</v>
      </c>
      <c r="M4701" s="471">
        <f t="shared" si="176"/>
        <v>0.05</v>
      </c>
      <c r="N4701" s="475">
        <f t="shared" si="177"/>
        <v>194127</v>
      </c>
    </row>
    <row r="4702" spans="7:14" ht="11.25" customHeight="1" x14ac:dyDescent="0.3">
      <c r="G4702" s="470"/>
      <c r="H4702" s="470">
        <v>4695</v>
      </c>
      <c r="I4702" s="455">
        <f t="shared" ca="1" si="175"/>
        <v>74881279313555.172</v>
      </c>
      <c r="J4702" s="455">
        <f t="array" ref="J4702">IFERROR(INDEX('Retirement Calculator'!K:K,MATCH('Lorri 401b'!N4702,'Retirement Calculator'!A:A,0),0),0)</f>
        <v>0</v>
      </c>
      <c r="K4702" s="455">
        <f t="shared" ca="1" si="173"/>
        <v>312005330473.14655</v>
      </c>
      <c r="L4702" s="455">
        <f t="shared" ca="1" si="174"/>
        <v>75193284644028.313</v>
      </c>
      <c r="M4702" s="471">
        <f t="shared" si="176"/>
        <v>0.05</v>
      </c>
      <c r="N4702" s="475">
        <f t="shared" si="177"/>
        <v>194158</v>
      </c>
    </row>
    <row r="4703" spans="7:14" ht="11.25" customHeight="1" x14ac:dyDescent="0.3">
      <c r="G4703" s="470"/>
      <c r="H4703" s="470">
        <v>4696</v>
      </c>
      <c r="I4703" s="455">
        <f t="shared" ca="1" si="175"/>
        <v>75193284644028.313</v>
      </c>
      <c r="J4703" s="455">
        <f t="array" ref="J4703">IFERROR(INDEX('Retirement Calculator'!K:K,MATCH('Lorri 401b'!N4703,'Retirement Calculator'!A:A,0),0),0)</f>
        <v>0</v>
      </c>
      <c r="K4703" s="455">
        <f t="shared" ca="1" si="173"/>
        <v>313305352683.45129</v>
      </c>
      <c r="L4703" s="455">
        <f t="shared" ca="1" si="174"/>
        <v>75506589996711.766</v>
      </c>
      <c r="M4703" s="471">
        <f t="shared" si="176"/>
        <v>0.05</v>
      </c>
      <c r="N4703" s="475">
        <f t="shared" si="177"/>
        <v>194189</v>
      </c>
    </row>
    <row r="4704" spans="7:14" ht="11.25" customHeight="1" x14ac:dyDescent="0.3">
      <c r="G4704" s="470"/>
      <c r="H4704" s="470">
        <v>4697</v>
      </c>
      <c r="I4704" s="455">
        <f t="shared" ca="1" si="175"/>
        <v>75506589996711.766</v>
      </c>
      <c r="J4704" s="455">
        <f t="array" ref="J4704">IFERROR(INDEX('Retirement Calculator'!K:K,MATCH('Lorri 401b'!N4704,'Retirement Calculator'!A:A,0),0),0)</f>
        <v>0</v>
      </c>
      <c r="K4704" s="455">
        <f t="shared" ca="1" si="173"/>
        <v>314610791652.9657</v>
      </c>
      <c r="L4704" s="455">
        <f t="shared" ca="1" si="174"/>
        <v>75821200788364.734</v>
      </c>
      <c r="M4704" s="471">
        <f t="shared" si="176"/>
        <v>0.05</v>
      </c>
      <c r="N4704" s="475">
        <f t="shared" si="177"/>
        <v>194219</v>
      </c>
    </row>
    <row r="4705" spans="7:14" ht="11.25" customHeight="1" x14ac:dyDescent="0.3">
      <c r="G4705" s="470"/>
      <c r="H4705" s="470">
        <v>4698</v>
      </c>
      <c r="I4705" s="455">
        <f t="shared" ca="1" si="175"/>
        <v>75821200788364.734</v>
      </c>
      <c r="J4705" s="455">
        <f t="array" ref="J4705">IFERROR(INDEX('Retirement Calculator'!K:K,MATCH('Lorri 401b'!N4705,'Retirement Calculator'!A:A,0),0),0)</f>
        <v>0</v>
      </c>
      <c r="K4705" s="455">
        <f t="shared" ca="1" si="173"/>
        <v>315921669951.51971</v>
      </c>
      <c r="L4705" s="455">
        <f t="shared" ca="1" si="174"/>
        <v>76137122458316.25</v>
      </c>
      <c r="M4705" s="471">
        <f t="shared" si="176"/>
        <v>0.05</v>
      </c>
      <c r="N4705" s="475">
        <f t="shared" si="177"/>
        <v>194250</v>
      </c>
    </row>
    <row r="4706" spans="7:14" ht="11.25" customHeight="1" x14ac:dyDescent="0.3">
      <c r="G4706" s="470"/>
      <c r="H4706" s="470">
        <v>4699</v>
      </c>
      <c r="I4706" s="455">
        <f t="shared" ca="1" si="175"/>
        <v>76137122458316.25</v>
      </c>
      <c r="J4706" s="455">
        <f t="array" ref="J4706">IFERROR(INDEX('Retirement Calculator'!K:K,MATCH('Lorri 401b'!N4706,'Retirement Calculator'!A:A,0),0),0)</f>
        <v>0</v>
      </c>
      <c r="K4706" s="455">
        <f t="shared" ca="1" si="173"/>
        <v>317238010242.98438</v>
      </c>
      <c r="L4706" s="455">
        <f t="shared" ca="1" si="174"/>
        <v>76454360468559.234</v>
      </c>
      <c r="M4706" s="471">
        <f t="shared" si="176"/>
        <v>0.05</v>
      </c>
      <c r="N4706" s="475">
        <f t="shared" si="177"/>
        <v>194280</v>
      </c>
    </row>
    <row r="4707" spans="7:14" ht="11.25" customHeight="1" x14ac:dyDescent="0.3">
      <c r="G4707" s="470"/>
      <c r="H4707" s="470">
        <v>4700</v>
      </c>
      <c r="I4707" s="455">
        <f t="shared" ca="1" si="175"/>
        <v>76454360468559.234</v>
      </c>
      <c r="J4707" s="455">
        <f t="array" ref="J4707">IFERROR(INDEX('Retirement Calculator'!K:K,MATCH('Lorri 401b'!N4707,'Retirement Calculator'!A:A,0),0),0)</f>
        <v>0</v>
      </c>
      <c r="K4707" s="455">
        <f t="shared" ca="1" si="173"/>
        <v>318559835285.66345</v>
      </c>
      <c r="L4707" s="455">
        <f t="shared" ca="1" si="174"/>
        <v>76772920303844.891</v>
      </c>
      <c r="M4707" s="471">
        <f t="shared" si="176"/>
        <v>0.05</v>
      </c>
      <c r="N4707" s="475">
        <f t="shared" si="177"/>
        <v>194311</v>
      </c>
    </row>
    <row r="4708" spans="7:14" ht="11.25" customHeight="1" x14ac:dyDescent="0.3">
      <c r="G4708" s="470"/>
      <c r="H4708" s="470">
        <v>4701</v>
      </c>
      <c r="I4708" s="455">
        <f t="shared" ca="1" si="175"/>
        <v>76772920303844.891</v>
      </c>
      <c r="J4708" s="455">
        <f t="array" ref="J4708">IFERROR(INDEX('Retirement Calculator'!K:K,MATCH('Lorri 401b'!N4708,'Retirement Calculator'!A:A,0),0),0)</f>
        <v>0</v>
      </c>
      <c r="K4708" s="455">
        <f t="shared" ca="1" si="173"/>
        <v>319887167932.68701</v>
      </c>
      <c r="L4708" s="455">
        <f t="shared" ca="1" si="174"/>
        <v>77092807471777.578</v>
      </c>
      <c r="M4708" s="471">
        <f t="shared" si="176"/>
        <v>0.05</v>
      </c>
      <c r="N4708" s="475">
        <f t="shared" si="177"/>
        <v>194342</v>
      </c>
    </row>
    <row r="4709" spans="7:14" ht="11.25" customHeight="1" x14ac:dyDescent="0.3">
      <c r="G4709" s="470"/>
      <c r="H4709" s="470">
        <v>4702</v>
      </c>
      <c r="I4709" s="455">
        <f t="shared" ca="1" si="175"/>
        <v>77092807471777.578</v>
      </c>
      <c r="J4709" s="455">
        <f t="array" ref="J4709">IFERROR(INDEX('Retirement Calculator'!K:K,MATCH('Lorri 401b'!N4709,'Retirement Calculator'!A:A,0),0),0)</f>
        <v>0</v>
      </c>
      <c r="K4709" s="455">
        <f t="shared" ca="1" si="173"/>
        <v>321220031132.40656</v>
      </c>
      <c r="L4709" s="455">
        <f t="shared" ca="1" si="174"/>
        <v>77414027502909.984</v>
      </c>
      <c r="M4709" s="471">
        <f t="shared" si="176"/>
        <v>0.05</v>
      </c>
      <c r="N4709" s="475">
        <f t="shared" si="177"/>
        <v>194371</v>
      </c>
    </row>
    <row r="4710" spans="7:14" ht="11.25" customHeight="1" x14ac:dyDescent="0.3">
      <c r="G4710" s="470"/>
      <c r="H4710" s="470">
        <v>4703</v>
      </c>
      <c r="I4710" s="455">
        <f t="shared" ca="1" si="175"/>
        <v>77414027502909.984</v>
      </c>
      <c r="J4710" s="455">
        <f t="array" ref="J4710">IFERROR(INDEX('Retirement Calculator'!K:K,MATCH('Lorri 401b'!N4710,'Retirement Calculator'!A:A,0),0),0)</f>
        <v>0</v>
      </c>
      <c r="K4710" s="455">
        <f t="shared" ca="1" si="173"/>
        <v>322558447928.79163</v>
      </c>
      <c r="L4710" s="455">
        <f t="shared" ca="1" si="174"/>
        <v>77736585950838.781</v>
      </c>
      <c r="M4710" s="471">
        <f t="shared" si="176"/>
        <v>0.05</v>
      </c>
      <c r="N4710" s="475">
        <f t="shared" si="177"/>
        <v>194402</v>
      </c>
    </row>
    <row r="4711" spans="7:14" ht="11.25" customHeight="1" x14ac:dyDescent="0.3">
      <c r="G4711" s="470"/>
      <c r="H4711" s="470">
        <v>4704</v>
      </c>
      <c r="I4711" s="455">
        <f t="shared" ca="1" si="175"/>
        <v>77736585950838.781</v>
      </c>
      <c r="J4711" s="455">
        <f t="array" ref="J4711">IFERROR(INDEX('Retirement Calculator'!K:K,MATCH('Lorri 401b'!N4711,'Retirement Calculator'!A:A,0),0),0)</f>
        <v>0</v>
      </c>
      <c r="K4711" s="455">
        <f t="shared" ca="1" si="173"/>
        <v>323902441461.82825</v>
      </c>
      <c r="L4711" s="455">
        <f t="shared" ca="1" si="174"/>
        <v>78060488392300.609</v>
      </c>
      <c r="M4711" s="471">
        <f t="shared" si="176"/>
        <v>0.05</v>
      </c>
      <c r="N4711" s="475">
        <f t="shared" si="177"/>
        <v>194432</v>
      </c>
    </row>
    <row r="4712" spans="7:14" ht="11.25" customHeight="1" x14ac:dyDescent="0.3">
      <c r="G4712" s="470"/>
      <c r="H4712" s="470">
        <v>4705</v>
      </c>
      <c r="I4712" s="455">
        <f t="shared" ca="1" si="175"/>
        <v>78060488392300.609</v>
      </c>
      <c r="J4712" s="455">
        <f t="array" ref="J4712">IFERROR(INDEX('Retirement Calculator'!K:K,MATCH('Lorri 401b'!N4712,'Retirement Calculator'!A:A,0),0),0)</f>
        <v>0</v>
      </c>
      <c r="K4712" s="455">
        <f t="shared" ca="1" si="173"/>
        <v>325252034967.91919</v>
      </c>
      <c r="L4712" s="455">
        <f t="shared" ca="1" si="174"/>
        <v>78385740427268.531</v>
      </c>
      <c r="M4712" s="471">
        <f t="shared" si="176"/>
        <v>0.05</v>
      </c>
      <c r="N4712" s="475">
        <f t="shared" si="177"/>
        <v>194463</v>
      </c>
    </row>
    <row r="4713" spans="7:14" ht="11.25" customHeight="1" x14ac:dyDescent="0.3">
      <c r="G4713" s="470"/>
      <c r="H4713" s="470">
        <v>4706</v>
      </c>
      <c r="I4713" s="455">
        <f t="shared" ca="1" si="175"/>
        <v>78385740427268.531</v>
      </c>
      <c r="J4713" s="455">
        <f t="array" ref="J4713">IFERROR(INDEX('Retirement Calculator'!K:K,MATCH('Lorri 401b'!N4713,'Retirement Calculator'!A:A,0),0),0)</f>
        <v>0</v>
      </c>
      <c r="K4713" s="455">
        <f t="shared" ca="1" si="173"/>
        <v>326607251780.28552</v>
      </c>
      <c r="L4713" s="455">
        <f t="shared" ca="1" si="174"/>
        <v>78712347679048.813</v>
      </c>
      <c r="M4713" s="471">
        <f t="shared" si="176"/>
        <v>0.05</v>
      </c>
      <c r="N4713" s="475">
        <f t="shared" si="177"/>
        <v>194493</v>
      </c>
    </row>
    <row r="4714" spans="7:14" ht="11.25" customHeight="1" x14ac:dyDescent="0.3">
      <c r="G4714" s="470"/>
      <c r="H4714" s="470">
        <v>4707</v>
      </c>
      <c r="I4714" s="455">
        <f t="shared" ca="1" si="175"/>
        <v>78712347679048.813</v>
      </c>
      <c r="J4714" s="455">
        <f t="array" ref="J4714">IFERROR(INDEX('Retirement Calculator'!K:K,MATCH('Lorri 401b'!N4714,'Retirement Calculator'!A:A,0),0),0)</f>
        <v>0</v>
      </c>
      <c r="K4714" s="455">
        <f t="shared" ca="1" si="173"/>
        <v>327968115329.37006</v>
      </c>
      <c r="L4714" s="455">
        <f t="shared" ca="1" si="174"/>
        <v>79040315794378.188</v>
      </c>
      <c r="M4714" s="471">
        <f t="shared" si="176"/>
        <v>0.05</v>
      </c>
      <c r="N4714" s="475">
        <f t="shared" si="177"/>
        <v>194524</v>
      </c>
    </row>
    <row r="4715" spans="7:14" ht="11.25" customHeight="1" x14ac:dyDescent="0.3">
      <c r="G4715" s="470"/>
      <c r="H4715" s="470">
        <v>4708</v>
      </c>
      <c r="I4715" s="455">
        <f t="shared" ca="1" si="175"/>
        <v>79040315794378.188</v>
      </c>
      <c r="J4715" s="455">
        <f t="array" ref="J4715">IFERROR(INDEX('Retirement Calculator'!K:K,MATCH('Lorri 401b'!N4715,'Retirement Calculator'!A:A,0),0),0)</f>
        <v>0</v>
      </c>
      <c r="K4715" s="455">
        <f t="shared" ca="1" si="173"/>
        <v>329334649143.24243</v>
      </c>
      <c r="L4715" s="455">
        <f t="shared" ca="1" si="174"/>
        <v>79369650443521.438</v>
      </c>
      <c r="M4715" s="471">
        <f t="shared" si="176"/>
        <v>0.05</v>
      </c>
      <c r="N4715" s="475">
        <f t="shared" si="177"/>
        <v>194555</v>
      </c>
    </row>
    <row r="4716" spans="7:14" ht="11.25" customHeight="1" x14ac:dyDescent="0.3">
      <c r="G4716" s="470"/>
      <c r="H4716" s="470">
        <v>4709</v>
      </c>
      <c r="I4716" s="455">
        <f t="shared" ca="1" si="175"/>
        <v>79369650443521.438</v>
      </c>
      <c r="J4716" s="455">
        <f t="array" ref="J4716">IFERROR(INDEX('Retirement Calculator'!K:K,MATCH('Lorri 401b'!N4716,'Retirement Calculator'!A:A,0),0),0)</f>
        <v>0</v>
      </c>
      <c r="K4716" s="455">
        <f t="shared" ca="1" si="173"/>
        <v>330706876848.00598</v>
      </c>
      <c r="L4716" s="455">
        <f t="shared" ca="1" si="174"/>
        <v>79700357320369.438</v>
      </c>
      <c r="M4716" s="471">
        <f t="shared" si="176"/>
        <v>0.05</v>
      </c>
      <c r="N4716" s="475">
        <f t="shared" si="177"/>
        <v>194585</v>
      </c>
    </row>
    <row r="4717" spans="7:14" ht="11.25" customHeight="1" x14ac:dyDescent="0.3">
      <c r="G4717" s="470"/>
      <c r="H4717" s="470">
        <v>4710</v>
      </c>
      <c r="I4717" s="455">
        <f t="shared" ca="1" si="175"/>
        <v>79700357320369.438</v>
      </c>
      <c r="J4717" s="455">
        <f t="array" ref="J4717">IFERROR(INDEX('Retirement Calculator'!K:K,MATCH('Lorri 401b'!N4717,'Retirement Calculator'!A:A,0),0),0)</f>
        <v>0</v>
      </c>
      <c r="K4717" s="455">
        <f t="shared" ca="1" si="173"/>
        <v>332084822168.20599</v>
      </c>
      <c r="L4717" s="455">
        <f t="shared" ca="1" si="174"/>
        <v>80032442142537.641</v>
      </c>
      <c r="M4717" s="471">
        <f t="shared" si="176"/>
        <v>0.05</v>
      </c>
      <c r="N4717" s="475">
        <f t="shared" si="177"/>
        <v>194616</v>
      </c>
    </row>
    <row r="4718" spans="7:14" ht="11.25" customHeight="1" x14ac:dyDescent="0.3">
      <c r="G4718" s="470"/>
      <c r="H4718" s="470">
        <v>4711</v>
      </c>
      <c r="I4718" s="455">
        <f t="shared" ca="1" si="175"/>
        <v>80032442142537.641</v>
      </c>
      <c r="J4718" s="455">
        <f t="array" ref="J4718">IFERROR(INDEX('Retirement Calculator'!K:K,MATCH('Lorri 401b'!N4718,'Retirement Calculator'!A:A,0),0),0)</f>
        <v>0</v>
      </c>
      <c r="K4718" s="455">
        <f t="shared" ca="1" si="173"/>
        <v>333468508927.24017</v>
      </c>
      <c r="L4718" s="455">
        <f t="shared" ca="1" si="174"/>
        <v>80365910651464.875</v>
      </c>
      <c r="M4718" s="471">
        <f t="shared" si="176"/>
        <v>0.05</v>
      </c>
      <c r="N4718" s="475">
        <f t="shared" si="177"/>
        <v>194646</v>
      </c>
    </row>
    <row r="4719" spans="7:14" ht="11.25" customHeight="1" x14ac:dyDescent="0.3">
      <c r="G4719" s="470"/>
      <c r="H4719" s="470">
        <v>4712</v>
      </c>
      <c r="I4719" s="455">
        <f t="shared" ca="1" si="175"/>
        <v>80365910651464.875</v>
      </c>
      <c r="J4719" s="455">
        <f t="array" ref="J4719">IFERROR(INDEX('Retirement Calculator'!K:K,MATCH('Lorri 401b'!N4719,'Retirement Calculator'!A:A,0),0),0)</f>
        <v>0</v>
      </c>
      <c r="K4719" s="455">
        <f t="shared" ca="1" si="173"/>
        <v>334857961047.77032</v>
      </c>
      <c r="L4719" s="455">
        <f t="shared" ca="1" si="174"/>
        <v>80700768612512.641</v>
      </c>
      <c r="M4719" s="471">
        <f t="shared" si="176"/>
        <v>0.05</v>
      </c>
      <c r="N4719" s="475">
        <f t="shared" si="177"/>
        <v>194677</v>
      </c>
    </row>
    <row r="4720" spans="7:14" ht="11.25" customHeight="1" x14ac:dyDescent="0.3">
      <c r="G4720" s="470"/>
      <c r="H4720" s="470">
        <v>4713</v>
      </c>
      <c r="I4720" s="455">
        <f t="shared" ca="1" si="175"/>
        <v>80700768612512.641</v>
      </c>
      <c r="J4720" s="455">
        <f t="array" ref="J4720">IFERROR(INDEX('Retirement Calculator'!K:K,MATCH('Lorri 401b'!N4720,'Retirement Calculator'!A:A,0),0),0)</f>
        <v>0</v>
      </c>
      <c r="K4720" s="455">
        <f t="shared" ca="1" si="173"/>
        <v>336253202552.13599</v>
      </c>
      <c r="L4720" s="455">
        <f t="shared" ca="1" si="174"/>
        <v>81037021815064.781</v>
      </c>
      <c r="M4720" s="471">
        <f t="shared" si="176"/>
        <v>0.05</v>
      </c>
      <c r="N4720" s="475">
        <f t="shared" si="177"/>
        <v>194708</v>
      </c>
    </row>
    <row r="4721" spans="7:14" ht="11.25" customHeight="1" x14ac:dyDescent="0.3">
      <c r="G4721" s="470"/>
      <c r="H4721" s="470">
        <v>4714</v>
      </c>
      <c r="I4721" s="455">
        <f t="shared" ca="1" si="175"/>
        <v>81037021815064.781</v>
      </c>
      <c r="J4721" s="455">
        <f t="array" ref="J4721">IFERROR(INDEX('Retirement Calculator'!K:K,MATCH('Lorri 401b'!N4721,'Retirement Calculator'!A:A,0),0),0)</f>
        <v>0</v>
      </c>
      <c r="K4721" s="455">
        <f t="shared" ca="1" si="173"/>
        <v>337654257562.7699</v>
      </c>
      <c r="L4721" s="455">
        <f t="shared" ca="1" si="174"/>
        <v>81374676072627.547</v>
      </c>
      <c r="M4721" s="471">
        <f t="shared" si="176"/>
        <v>0.05</v>
      </c>
      <c r="N4721" s="475">
        <f t="shared" si="177"/>
        <v>194736</v>
      </c>
    </row>
    <row r="4722" spans="7:14" ht="11.25" customHeight="1" x14ac:dyDescent="0.3">
      <c r="G4722" s="470"/>
      <c r="H4722" s="470">
        <v>4715</v>
      </c>
      <c r="I4722" s="455">
        <f t="shared" ca="1" si="175"/>
        <v>81374676072627.547</v>
      </c>
      <c r="J4722" s="455">
        <f t="array" ref="J4722">IFERROR(INDEX('Retirement Calculator'!K:K,MATCH('Lorri 401b'!N4722,'Retirement Calculator'!A:A,0),0),0)</f>
        <v>0</v>
      </c>
      <c r="K4722" s="455">
        <f t="shared" ca="1" si="173"/>
        <v>339061150302.61475</v>
      </c>
      <c r="L4722" s="455">
        <f t="shared" ca="1" si="174"/>
        <v>81713737222930.156</v>
      </c>
      <c r="M4722" s="471">
        <f t="shared" si="176"/>
        <v>0.05</v>
      </c>
      <c r="N4722" s="475">
        <f t="shared" si="177"/>
        <v>194767</v>
      </c>
    </row>
    <row r="4723" spans="7:14" ht="11.25" customHeight="1" x14ac:dyDescent="0.3">
      <c r="G4723" s="470"/>
      <c r="H4723" s="470">
        <v>4716</v>
      </c>
      <c r="I4723" s="455">
        <f t="shared" ca="1" si="175"/>
        <v>81713737222930.156</v>
      </c>
      <c r="J4723" s="455">
        <f t="array" ref="J4723">IFERROR(INDEX('Retirement Calculator'!K:K,MATCH('Lorri 401b'!N4723,'Retirement Calculator'!A:A,0),0),0)</f>
        <v>0</v>
      </c>
      <c r="K4723" s="455">
        <f t="shared" ca="1" si="173"/>
        <v>340473905095.5423</v>
      </c>
      <c r="L4723" s="455">
        <f t="shared" ca="1" si="174"/>
        <v>82054211128025.703</v>
      </c>
      <c r="M4723" s="471">
        <f t="shared" si="176"/>
        <v>0.05</v>
      </c>
      <c r="N4723" s="475">
        <f t="shared" si="177"/>
        <v>194797</v>
      </c>
    </row>
    <row r="4724" spans="7:14" ht="11.25" customHeight="1" x14ac:dyDescent="0.3">
      <c r="G4724" s="470"/>
      <c r="H4724" s="470">
        <v>4717</v>
      </c>
      <c r="I4724" s="455">
        <f t="shared" ca="1" si="175"/>
        <v>82054211128025.703</v>
      </c>
      <c r="J4724" s="455">
        <f t="array" ref="J4724">IFERROR(INDEX('Retirement Calculator'!K:K,MATCH('Lorri 401b'!N4724,'Retirement Calculator'!A:A,0),0),0)</f>
        <v>0</v>
      </c>
      <c r="K4724" s="455">
        <f t="shared" ca="1" si="173"/>
        <v>341892546366.77374</v>
      </c>
      <c r="L4724" s="455">
        <f t="shared" ca="1" si="174"/>
        <v>82396103674392.484</v>
      </c>
      <c r="M4724" s="471">
        <f t="shared" si="176"/>
        <v>0.05</v>
      </c>
      <c r="N4724" s="475">
        <f t="shared" si="177"/>
        <v>194828</v>
      </c>
    </row>
    <row r="4725" spans="7:14" ht="11.25" customHeight="1" x14ac:dyDescent="0.3">
      <c r="G4725" s="470"/>
      <c r="H4725" s="470">
        <v>4718</v>
      </c>
      <c r="I4725" s="455">
        <f t="shared" ca="1" si="175"/>
        <v>82396103674392.484</v>
      </c>
      <c r="J4725" s="455">
        <f t="array" ref="J4725">IFERROR(INDEX('Retirement Calculator'!K:K,MATCH('Lorri 401b'!N4725,'Retirement Calculator'!A:A,0),0),0)</f>
        <v>0</v>
      </c>
      <c r="K4725" s="455">
        <f t="shared" ca="1" si="173"/>
        <v>343317098643.302</v>
      </c>
      <c r="L4725" s="455">
        <f t="shared" ca="1" si="174"/>
        <v>82739420773035.781</v>
      </c>
      <c r="M4725" s="471">
        <f t="shared" si="176"/>
        <v>0.05</v>
      </c>
      <c r="N4725" s="475">
        <f t="shared" si="177"/>
        <v>194858</v>
      </c>
    </row>
    <row r="4726" spans="7:14" ht="11.25" customHeight="1" x14ac:dyDescent="0.3">
      <c r="G4726" s="470"/>
      <c r="H4726" s="470">
        <v>4719</v>
      </c>
      <c r="I4726" s="455">
        <f t="shared" ca="1" si="175"/>
        <v>82739420773035.781</v>
      </c>
      <c r="J4726" s="455">
        <f t="array" ref="J4726">IFERROR(INDEX('Retirement Calculator'!K:K,MATCH('Lorri 401b'!N4726,'Retirement Calculator'!A:A,0),0),0)</f>
        <v>0</v>
      </c>
      <c r="K4726" s="455">
        <f t="shared" ca="1" si="173"/>
        <v>344747586554.31573</v>
      </c>
      <c r="L4726" s="455">
        <f t="shared" ca="1" si="174"/>
        <v>83084168359590.094</v>
      </c>
      <c r="M4726" s="471">
        <f t="shared" si="176"/>
        <v>0.05</v>
      </c>
      <c r="N4726" s="475">
        <f t="shared" si="177"/>
        <v>194889</v>
      </c>
    </row>
    <row r="4727" spans="7:14" ht="11.25" customHeight="1" x14ac:dyDescent="0.3">
      <c r="G4727" s="470"/>
      <c r="H4727" s="470">
        <v>4720</v>
      </c>
      <c r="I4727" s="455">
        <f t="shared" ca="1" si="175"/>
        <v>83084168359590.094</v>
      </c>
      <c r="J4727" s="455">
        <f t="array" ref="J4727">IFERROR(INDEX('Retirement Calculator'!K:K,MATCH('Lorri 401b'!N4727,'Retirement Calculator'!A:A,0),0),0)</f>
        <v>0</v>
      </c>
      <c r="K4727" s="455">
        <f t="shared" ca="1" si="173"/>
        <v>346184034831.62537</v>
      </c>
      <c r="L4727" s="455">
        <f t="shared" ca="1" si="174"/>
        <v>83430352394421.719</v>
      </c>
      <c r="M4727" s="471">
        <f t="shared" si="176"/>
        <v>0.05</v>
      </c>
      <c r="N4727" s="475">
        <f t="shared" si="177"/>
        <v>194920</v>
      </c>
    </row>
    <row r="4728" spans="7:14" ht="11.25" customHeight="1" x14ac:dyDescent="0.3">
      <c r="G4728" s="470"/>
      <c r="H4728" s="470">
        <v>4721</v>
      </c>
      <c r="I4728" s="455">
        <f t="shared" ca="1" si="175"/>
        <v>83430352394421.719</v>
      </c>
      <c r="J4728" s="455">
        <f t="array" ref="J4728">IFERROR(INDEX('Retirement Calculator'!K:K,MATCH('Lorri 401b'!N4728,'Retirement Calculator'!A:A,0),0),0)</f>
        <v>0</v>
      </c>
      <c r="K4728" s="455">
        <f t="shared" ca="1" si="173"/>
        <v>347626468310.09052</v>
      </c>
      <c r="L4728" s="455">
        <f t="shared" ca="1" si="174"/>
        <v>83777978862731.813</v>
      </c>
      <c r="M4728" s="471">
        <f t="shared" si="176"/>
        <v>0.05</v>
      </c>
      <c r="N4728" s="475">
        <f t="shared" si="177"/>
        <v>194950</v>
      </c>
    </row>
    <row r="4729" spans="7:14" ht="11.25" customHeight="1" x14ac:dyDescent="0.3">
      <c r="G4729" s="470"/>
      <c r="H4729" s="470">
        <v>4722</v>
      </c>
      <c r="I4729" s="455">
        <f t="shared" ca="1" si="175"/>
        <v>83777978862731.813</v>
      </c>
      <c r="J4729" s="455">
        <f t="array" ref="J4729">IFERROR(INDEX('Retirement Calculator'!K:K,MATCH('Lorri 401b'!N4729,'Retirement Calculator'!A:A,0),0),0)</f>
        <v>0</v>
      </c>
      <c r="K4729" s="455">
        <f t="shared" ca="1" si="173"/>
        <v>349074911928.04919</v>
      </c>
      <c r="L4729" s="455">
        <f t="shared" ca="1" si="174"/>
        <v>84127053774659.859</v>
      </c>
      <c r="M4729" s="471">
        <f t="shared" si="176"/>
        <v>0.05</v>
      </c>
      <c r="N4729" s="475">
        <f t="shared" si="177"/>
        <v>194981</v>
      </c>
    </row>
    <row r="4730" spans="7:14" ht="11.25" customHeight="1" x14ac:dyDescent="0.3">
      <c r="G4730" s="470"/>
      <c r="H4730" s="470">
        <v>4723</v>
      </c>
      <c r="I4730" s="455">
        <f t="shared" ca="1" si="175"/>
        <v>84127053774659.859</v>
      </c>
      <c r="J4730" s="455">
        <f t="array" ref="J4730">IFERROR(INDEX('Retirement Calculator'!K:K,MATCH('Lorri 401b'!N4730,'Retirement Calculator'!A:A,0),0),0)</f>
        <v>0</v>
      </c>
      <c r="K4730" s="455">
        <f t="shared" ca="1" si="173"/>
        <v>350529390727.74939</v>
      </c>
      <c r="L4730" s="455">
        <f t="shared" ca="1" si="174"/>
        <v>84477583165387.609</v>
      </c>
      <c r="M4730" s="471">
        <f t="shared" si="176"/>
        <v>0.05</v>
      </c>
      <c r="N4730" s="475">
        <f t="shared" si="177"/>
        <v>195011</v>
      </c>
    </row>
    <row r="4731" spans="7:14" ht="11.25" customHeight="1" x14ac:dyDescent="0.3">
      <c r="G4731" s="470"/>
      <c r="H4731" s="470">
        <v>4724</v>
      </c>
      <c r="I4731" s="455">
        <f t="shared" ca="1" si="175"/>
        <v>84477583165387.609</v>
      </c>
      <c r="J4731" s="455">
        <f t="array" ref="J4731">IFERROR(INDEX('Retirement Calculator'!K:K,MATCH('Lorri 401b'!N4731,'Retirement Calculator'!A:A,0),0),0)</f>
        <v>0</v>
      </c>
      <c r="K4731" s="455">
        <f t="shared" ca="1" si="173"/>
        <v>351989929855.78168</v>
      </c>
      <c r="L4731" s="455">
        <f t="shared" ca="1" si="174"/>
        <v>84829573095243.391</v>
      </c>
      <c r="M4731" s="471">
        <f t="shared" si="176"/>
        <v>0.05</v>
      </c>
      <c r="N4731" s="475">
        <f t="shared" si="177"/>
        <v>195042</v>
      </c>
    </row>
    <row r="4732" spans="7:14" ht="11.25" customHeight="1" x14ac:dyDescent="0.3">
      <c r="G4732" s="470"/>
      <c r="H4732" s="470">
        <v>4725</v>
      </c>
      <c r="I4732" s="455">
        <f t="shared" ca="1" si="175"/>
        <v>84829573095243.391</v>
      </c>
      <c r="J4732" s="455">
        <f t="array" ref="J4732">IFERROR(INDEX('Retirement Calculator'!K:K,MATCH('Lorri 401b'!N4732,'Retirement Calculator'!A:A,0),0),0)</f>
        <v>0</v>
      </c>
      <c r="K4732" s="455">
        <f t="shared" ca="1" si="173"/>
        <v>353456554563.5141</v>
      </c>
      <c r="L4732" s="455">
        <f t="shared" ca="1" si="174"/>
        <v>85183029649806.906</v>
      </c>
      <c r="M4732" s="471">
        <f t="shared" si="176"/>
        <v>0.05</v>
      </c>
      <c r="N4732" s="475">
        <f t="shared" si="177"/>
        <v>195073</v>
      </c>
    </row>
    <row r="4733" spans="7:14" ht="11.25" customHeight="1" x14ac:dyDescent="0.3">
      <c r="G4733" s="470"/>
      <c r="H4733" s="470">
        <v>4726</v>
      </c>
      <c r="I4733" s="455">
        <f t="shared" ca="1" si="175"/>
        <v>85183029649806.906</v>
      </c>
      <c r="J4733" s="455">
        <f t="array" ref="J4733">IFERROR(INDEX('Retirement Calculator'!K:K,MATCH('Lorri 401b'!N4733,'Retirement Calculator'!A:A,0),0),0)</f>
        <v>0</v>
      </c>
      <c r="K4733" s="455">
        <f t="shared" ca="1" si="173"/>
        <v>354929290207.52875</v>
      </c>
      <c r="L4733" s="455">
        <f t="shared" ca="1" si="174"/>
        <v>85537958940014.438</v>
      </c>
      <c r="M4733" s="471">
        <f t="shared" si="176"/>
        <v>0.05</v>
      </c>
      <c r="N4733" s="475">
        <f t="shared" si="177"/>
        <v>195101</v>
      </c>
    </row>
    <row r="4734" spans="7:14" ht="11.25" customHeight="1" x14ac:dyDescent="0.3">
      <c r="G4734" s="470"/>
      <c r="H4734" s="470">
        <v>4727</v>
      </c>
      <c r="I4734" s="455">
        <f t="shared" ca="1" si="175"/>
        <v>85537958940014.438</v>
      </c>
      <c r="J4734" s="455">
        <f t="array" ref="J4734">IFERROR(INDEX('Retirement Calculator'!K:K,MATCH('Lorri 401b'!N4734,'Retirement Calculator'!A:A,0),0),0)</f>
        <v>0</v>
      </c>
      <c r="K4734" s="455">
        <f t="shared" ca="1" si="173"/>
        <v>356408162250.06018</v>
      </c>
      <c r="L4734" s="455">
        <f t="shared" ca="1" si="174"/>
        <v>85894367102264.5</v>
      </c>
      <c r="M4734" s="471">
        <f t="shared" si="176"/>
        <v>0.05</v>
      </c>
      <c r="N4734" s="475">
        <f t="shared" si="177"/>
        <v>195132</v>
      </c>
    </row>
    <row r="4735" spans="7:14" ht="11.25" customHeight="1" x14ac:dyDescent="0.3">
      <c r="G4735" s="470"/>
      <c r="H4735" s="470">
        <v>4728</v>
      </c>
      <c r="I4735" s="455">
        <f t="shared" ca="1" si="175"/>
        <v>85894367102264.5</v>
      </c>
      <c r="J4735" s="455">
        <f t="array" ref="J4735">IFERROR(INDEX('Retirement Calculator'!K:K,MATCH('Lorri 401b'!N4735,'Retirement Calculator'!A:A,0),0),0)</f>
        <v>0</v>
      </c>
      <c r="K4735" s="455">
        <f t="shared" ca="1" si="173"/>
        <v>357893196259.43542</v>
      </c>
      <c r="L4735" s="455">
        <f t="shared" ca="1" si="174"/>
        <v>86252260298523.938</v>
      </c>
      <c r="M4735" s="471">
        <f t="shared" si="176"/>
        <v>0.05</v>
      </c>
      <c r="N4735" s="475">
        <f t="shared" si="177"/>
        <v>195162</v>
      </c>
    </row>
    <row r="4736" spans="7:14" ht="11.25" customHeight="1" x14ac:dyDescent="0.3">
      <c r="G4736" s="470"/>
      <c r="H4736" s="470">
        <v>4729</v>
      </c>
      <c r="I4736" s="455">
        <f t="shared" ca="1" si="175"/>
        <v>86252260298523.938</v>
      </c>
      <c r="J4736" s="455">
        <f t="array" ref="J4736">IFERROR(INDEX('Retirement Calculator'!K:K,MATCH('Lorri 401b'!N4736,'Retirement Calculator'!A:A,0),0),0)</f>
        <v>0</v>
      </c>
      <c r="K4736" s="455">
        <f t="shared" ca="1" si="173"/>
        <v>359384417910.51642</v>
      </c>
      <c r="L4736" s="455">
        <f t="shared" ca="1" si="174"/>
        <v>86611644716434.453</v>
      </c>
      <c r="M4736" s="471">
        <f t="shared" si="176"/>
        <v>0.05</v>
      </c>
      <c r="N4736" s="475">
        <f t="shared" si="177"/>
        <v>195193</v>
      </c>
    </row>
    <row r="4737" spans="7:14" ht="11.25" customHeight="1" x14ac:dyDescent="0.3">
      <c r="G4737" s="470"/>
      <c r="H4737" s="470">
        <v>4730</v>
      </c>
      <c r="I4737" s="455">
        <f t="shared" ca="1" si="175"/>
        <v>86611644716434.453</v>
      </c>
      <c r="J4737" s="455">
        <f t="array" ref="J4737">IFERROR(INDEX('Retirement Calculator'!K:K,MATCH('Lorri 401b'!N4737,'Retirement Calculator'!A:A,0),0),0)</f>
        <v>0</v>
      </c>
      <c r="K4737" s="455">
        <f t="shared" ca="1" si="173"/>
        <v>360881852985.14355</v>
      </c>
      <c r="L4737" s="455">
        <f t="shared" ca="1" si="174"/>
        <v>86972526569419.594</v>
      </c>
      <c r="M4737" s="471">
        <f t="shared" si="176"/>
        <v>0.05</v>
      </c>
      <c r="N4737" s="475">
        <f t="shared" si="177"/>
        <v>195223</v>
      </c>
    </row>
    <row r="4738" spans="7:14" ht="11.25" customHeight="1" x14ac:dyDescent="0.3">
      <c r="G4738" s="470"/>
      <c r="H4738" s="470">
        <v>4731</v>
      </c>
      <c r="I4738" s="455">
        <f t="shared" ca="1" si="175"/>
        <v>86972526569419.594</v>
      </c>
      <c r="J4738" s="455">
        <f t="array" ref="J4738">IFERROR(INDEX('Retirement Calculator'!K:K,MATCH('Lorri 401b'!N4738,'Retirement Calculator'!A:A,0),0),0)</f>
        <v>0</v>
      </c>
      <c r="K4738" s="455">
        <f t="shared" ca="1" si="173"/>
        <v>362385527372.58167</v>
      </c>
      <c r="L4738" s="455">
        <f t="shared" ca="1" si="174"/>
        <v>87334912096792.172</v>
      </c>
      <c r="M4738" s="471">
        <f t="shared" si="176"/>
        <v>0.05</v>
      </c>
      <c r="N4738" s="475">
        <f t="shared" si="177"/>
        <v>195254</v>
      </c>
    </row>
    <row r="4739" spans="7:14" ht="11.25" customHeight="1" x14ac:dyDescent="0.3">
      <c r="G4739" s="470"/>
      <c r="H4739" s="470">
        <v>4732</v>
      </c>
      <c r="I4739" s="455">
        <f t="shared" ca="1" si="175"/>
        <v>87334912096792.172</v>
      </c>
      <c r="J4739" s="455">
        <f t="array" ref="J4739">IFERROR(INDEX('Retirement Calculator'!K:K,MATCH('Lorri 401b'!N4739,'Retirement Calculator'!A:A,0),0),0)</f>
        <v>0</v>
      </c>
      <c r="K4739" s="455">
        <f t="shared" ca="1" si="173"/>
        <v>363895467069.96741</v>
      </c>
      <c r="L4739" s="455">
        <f t="shared" ca="1" si="174"/>
        <v>87698807563862.141</v>
      </c>
      <c r="M4739" s="471">
        <f t="shared" si="176"/>
        <v>0.05</v>
      </c>
      <c r="N4739" s="475">
        <f t="shared" si="177"/>
        <v>195285</v>
      </c>
    </row>
    <row r="4740" spans="7:14" ht="11.25" customHeight="1" x14ac:dyDescent="0.3">
      <c r="G4740" s="470"/>
      <c r="H4740" s="470">
        <v>4733</v>
      </c>
      <c r="I4740" s="455">
        <f t="shared" ca="1" si="175"/>
        <v>87698807563862.141</v>
      </c>
      <c r="J4740" s="455">
        <f t="array" ref="J4740">IFERROR(INDEX('Retirement Calculator'!K:K,MATCH('Lorri 401b'!N4740,'Retirement Calculator'!A:A,0),0),0)</f>
        <v>0</v>
      </c>
      <c r="K4740" s="455">
        <f t="shared" ca="1" si="173"/>
        <v>365411698182.75891</v>
      </c>
      <c r="L4740" s="455">
        <f t="shared" ca="1" si="174"/>
        <v>88064219262044.906</v>
      </c>
      <c r="M4740" s="471">
        <f t="shared" si="176"/>
        <v>0.05</v>
      </c>
      <c r="N4740" s="475">
        <f t="shared" si="177"/>
        <v>195315</v>
      </c>
    </row>
    <row r="4741" spans="7:14" ht="11.25" customHeight="1" x14ac:dyDescent="0.3">
      <c r="G4741" s="470"/>
      <c r="H4741" s="470">
        <v>4734</v>
      </c>
      <c r="I4741" s="455">
        <f t="shared" ca="1" si="175"/>
        <v>88064219262044.906</v>
      </c>
      <c r="J4741" s="455">
        <f t="array" ref="J4741">IFERROR(INDEX('Retirement Calculator'!K:K,MATCH('Lorri 401b'!N4741,'Retirement Calculator'!A:A,0),0),0)</f>
        <v>0</v>
      </c>
      <c r="K4741" s="455">
        <f t="shared" ca="1" si="173"/>
        <v>366934246925.18713</v>
      </c>
      <c r="L4741" s="455">
        <f t="shared" ca="1" si="174"/>
        <v>88431153508970.094</v>
      </c>
      <c r="M4741" s="471">
        <f t="shared" si="176"/>
        <v>0.05</v>
      </c>
      <c r="N4741" s="475">
        <f t="shared" si="177"/>
        <v>195346</v>
      </c>
    </row>
    <row r="4742" spans="7:14" ht="11.25" customHeight="1" x14ac:dyDescent="0.3">
      <c r="G4742" s="470"/>
      <c r="H4742" s="470">
        <v>4735</v>
      </c>
      <c r="I4742" s="455">
        <f t="shared" ca="1" si="175"/>
        <v>88431153508970.094</v>
      </c>
      <c r="J4742" s="455">
        <f t="array" ref="J4742">IFERROR(INDEX('Retirement Calculator'!K:K,MATCH('Lorri 401b'!N4742,'Retirement Calculator'!A:A,0),0),0)</f>
        <v>0</v>
      </c>
      <c r="K4742" s="455">
        <f t="shared" ca="1" si="173"/>
        <v>368463139620.70874</v>
      </c>
      <c r="L4742" s="455">
        <f t="shared" ca="1" si="174"/>
        <v>88799616648590.797</v>
      </c>
      <c r="M4742" s="471">
        <f t="shared" si="176"/>
        <v>0.05</v>
      </c>
      <c r="N4742" s="475">
        <f t="shared" si="177"/>
        <v>195376</v>
      </c>
    </row>
    <row r="4743" spans="7:14" ht="11.25" customHeight="1" x14ac:dyDescent="0.3">
      <c r="G4743" s="470"/>
      <c r="H4743" s="470">
        <v>4736</v>
      </c>
      <c r="I4743" s="455">
        <f t="shared" ca="1" si="175"/>
        <v>88799616648590.797</v>
      </c>
      <c r="J4743" s="455">
        <f t="array" ref="J4743">IFERROR(INDEX('Retirement Calculator'!K:K,MATCH('Lorri 401b'!N4743,'Retirement Calculator'!A:A,0),0),0)</f>
        <v>0</v>
      </c>
      <c r="K4743" s="455">
        <f t="shared" ca="1" si="173"/>
        <v>369998402702.46167</v>
      </c>
      <c r="L4743" s="455">
        <f t="shared" ca="1" si="174"/>
        <v>89169615051293.266</v>
      </c>
      <c r="M4743" s="471">
        <f t="shared" si="176"/>
        <v>0.05</v>
      </c>
      <c r="N4743" s="475">
        <f t="shared" si="177"/>
        <v>195407</v>
      </c>
    </row>
    <row r="4744" spans="7:14" ht="11.25" customHeight="1" x14ac:dyDescent="0.3">
      <c r="G4744" s="470"/>
      <c r="H4744" s="470">
        <v>4737</v>
      </c>
      <c r="I4744" s="455">
        <f t="shared" ca="1" si="175"/>
        <v>89169615051293.266</v>
      </c>
      <c r="J4744" s="455">
        <f t="array" ref="J4744">IFERROR(INDEX('Retirement Calculator'!K:K,MATCH('Lorri 401b'!N4744,'Retirement Calculator'!A:A,0),0),0)</f>
        <v>0</v>
      </c>
      <c r="K4744" s="455">
        <f t="shared" ca="1" si="173"/>
        <v>371540062713.72192</v>
      </c>
      <c r="L4744" s="455">
        <f t="shared" ca="1" si="174"/>
        <v>89541155114006.984</v>
      </c>
      <c r="M4744" s="471">
        <f t="shared" si="176"/>
        <v>0.05</v>
      </c>
      <c r="N4744" s="475">
        <f t="shared" si="177"/>
        <v>195438</v>
      </c>
    </row>
    <row r="4745" spans="7:14" ht="11.25" customHeight="1" x14ac:dyDescent="0.3">
      <c r="G4745" s="470"/>
      <c r="H4745" s="470">
        <v>4738</v>
      </c>
      <c r="I4745" s="455">
        <f t="shared" ca="1" si="175"/>
        <v>89541155114006.984</v>
      </c>
      <c r="J4745" s="455">
        <f t="array" ref="J4745">IFERROR(INDEX('Retirement Calculator'!K:K,MATCH('Lorri 401b'!N4745,'Retirement Calculator'!A:A,0),0),0)</f>
        <v>0</v>
      </c>
      <c r="K4745" s="455">
        <f t="shared" ca="1" si="173"/>
        <v>373088146308.36243</v>
      </c>
      <c r="L4745" s="455">
        <f t="shared" ca="1" si="174"/>
        <v>89914243260315.344</v>
      </c>
      <c r="M4745" s="471">
        <f t="shared" si="176"/>
        <v>0.05</v>
      </c>
      <c r="N4745" s="475">
        <f t="shared" si="177"/>
        <v>195466</v>
      </c>
    </row>
    <row r="4746" spans="7:14" ht="11.25" customHeight="1" x14ac:dyDescent="0.3">
      <c r="G4746" s="470"/>
      <c r="H4746" s="470">
        <v>4739</v>
      </c>
      <c r="I4746" s="455">
        <f t="shared" ca="1" si="175"/>
        <v>89914243260315.344</v>
      </c>
      <c r="J4746" s="455">
        <f t="array" ref="J4746">IFERROR(INDEX('Retirement Calculator'!K:K,MATCH('Lorri 401b'!N4746,'Retirement Calculator'!A:A,0),0),0)</f>
        <v>0</v>
      </c>
      <c r="K4746" s="455">
        <f t="shared" ca="1" si="173"/>
        <v>374642680251.3139</v>
      </c>
      <c r="L4746" s="455">
        <f t="shared" ca="1" si="174"/>
        <v>90288885940566.656</v>
      </c>
      <c r="M4746" s="471">
        <f t="shared" si="176"/>
        <v>0.05</v>
      </c>
      <c r="N4746" s="475">
        <f t="shared" si="177"/>
        <v>195497</v>
      </c>
    </row>
    <row r="4747" spans="7:14" ht="11.25" customHeight="1" x14ac:dyDescent="0.3">
      <c r="G4747" s="470"/>
      <c r="H4747" s="470">
        <v>4740</v>
      </c>
      <c r="I4747" s="455">
        <f t="shared" ca="1" si="175"/>
        <v>90288885940566.656</v>
      </c>
      <c r="J4747" s="455">
        <f t="array" ref="J4747">IFERROR(INDEX('Retirement Calculator'!K:K,MATCH('Lorri 401b'!N4747,'Retirement Calculator'!A:A,0),0),0)</f>
        <v>0</v>
      </c>
      <c r="K4747" s="455">
        <f t="shared" ca="1" si="173"/>
        <v>376203691419.02771</v>
      </c>
      <c r="L4747" s="455">
        <f t="shared" ca="1" si="174"/>
        <v>90665089631985.688</v>
      </c>
      <c r="M4747" s="471">
        <f t="shared" si="176"/>
        <v>0.05</v>
      </c>
      <c r="N4747" s="475">
        <f t="shared" si="177"/>
        <v>195527</v>
      </c>
    </row>
    <row r="4748" spans="7:14" ht="11.25" customHeight="1" x14ac:dyDescent="0.3">
      <c r="G4748" s="470"/>
      <c r="H4748" s="470">
        <v>4741</v>
      </c>
      <c r="I4748" s="455">
        <f t="shared" ca="1" si="175"/>
        <v>90665089631985.688</v>
      </c>
      <c r="J4748" s="455">
        <f t="array" ref="J4748">IFERROR(INDEX('Retirement Calculator'!K:K,MATCH('Lorri 401b'!N4748,'Retirement Calculator'!A:A,0),0),0)</f>
        <v>0</v>
      </c>
      <c r="K4748" s="455">
        <f t="shared" ca="1" si="173"/>
        <v>377771206799.94037</v>
      </c>
      <c r="L4748" s="455">
        <f t="shared" ca="1" si="174"/>
        <v>91042860838785.625</v>
      </c>
      <c r="M4748" s="471">
        <f t="shared" si="176"/>
        <v>0.05</v>
      </c>
      <c r="N4748" s="475">
        <f t="shared" si="177"/>
        <v>195558</v>
      </c>
    </row>
    <row r="4749" spans="7:14" ht="11.25" customHeight="1" x14ac:dyDescent="0.3">
      <c r="G4749" s="470"/>
      <c r="H4749" s="470">
        <v>4742</v>
      </c>
      <c r="I4749" s="455">
        <f t="shared" ca="1" si="175"/>
        <v>91042860838785.625</v>
      </c>
      <c r="J4749" s="455">
        <f t="array" ref="J4749">IFERROR(INDEX('Retirement Calculator'!K:K,MATCH('Lorri 401b'!N4749,'Retirement Calculator'!A:A,0),0),0)</f>
        <v>0</v>
      </c>
      <c r="K4749" s="455">
        <f t="shared" ca="1" si="173"/>
        <v>379345253494.94012</v>
      </c>
      <c r="L4749" s="455">
        <f t="shared" ca="1" si="174"/>
        <v>91422206092280.563</v>
      </c>
      <c r="M4749" s="471">
        <f t="shared" si="176"/>
        <v>0.05</v>
      </c>
      <c r="N4749" s="475">
        <f t="shared" si="177"/>
        <v>195588</v>
      </c>
    </row>
    <row r="4750" spans="7:14" ht="11.25" customHeight="1" x14ac:dyDescent="0.3">
      <c r="G4750" s="470"/>
      <c r="H4750" s="470">
        <v>4743</v>
      </c>
      <c r="I4750" s="455">
        <f t="shared" ca="1" si="175"/>
        <v>91422206092280.563</v>
      </c>
      <c r="J4750" s="455">
        <f t="array" ref="J4750">IFERROR(INDEX('Retirement Calculator'!K:K,MATCH('Lorri 401b'!N4750,'Retirement Calculator'!A:A,0),0),0)</f>
        <v>0</v>
      </c>
      <c r="K4750" s="455">
        <f t="shared" ca="1" si="173"/>
        <v>380925858717.83569</v>
      </c>
      <c r="L4750" s="455">
        <f t="shared" ca="1" si="174"/>
        <v>91803131950998.391</v>
      </c>
      <c r="M4750" s="471">
        <f t="shared" si="176"/>
        <v>0.05</v>
      </c>
      <c r="N4750" s="475">
        <f t="shared" si="177"/>
        <v>195619</v>
      </c>
    </row>
    <row r="4751" spans="7:14" ht="11.25" customHeight="1" x14ac:dyDescent="0.3">
      <c r="G4751" s="470"/>
      <c r="H4751" s="470">
        <v>4744</v>
      </c>
      <c r="I4751" s="455">
        <f t="shared" ca="1" si="175"/>
        <v>91803131950998.391</v>
      </c>
      <c r="J4751" s="455">
        <f t="array" ref="J4751">IFERROR(INDEX('Retirement Calculator'!K:K,MATCH('Lorri 401b'!N4751,'Retirement Calculator'!A:A,0),0),0)</f>
        <v>0</v>
      </c>
      <c r="K4751" s="455">
        <f t="shared" ca="1" si="173"/>
        <v>382513049795.8266</v>
      </c>
      <c r="L4751" s="455">
        <f t="shared" ca="1" si="174"/>
        <v>92185645000794.219</v>
      </c>
      <c r="M4751" s="471">
        <f t="shared" si="176"/>
        <v>0.05</v>
      </c>
      <c r="N4751" s="475">
        <f t="shared" si="177"/>
        <v>195650</v>
      </c>
    </row>
    <row r="4752" spans="7:14" ht="11.25" customHeight="1" x14ac:dyDescent="0.3">
      <c r="G4752" s="470"/>
      <c r="H4752" s="470">
        <v>4745</v>
      </c>
      <c r="I4752" s="455">
        <f t="shared" ca="1" si="175"/>
        <v>92185645000794.219</v>
      </c>
      <c r="J4752" s="455">
        <f t="array" ref="J4752">IFERROR(INDEX('Retirement Calculator'!K:K,MATCH('Lorri 401b'!N4752,'Retirement Calculator'!A:A,0),0),0)</f>
        <v>0</v>
      </c>
      <c r="K4752" s="455">
        <f t="shared" ca="1" si="173"/>
        <v>384106854169.97589</v>
      </c>
      <c r="L4752" s="455">
        <f t="shared" ca="1" si="174"/>
        <v>92569751854964.188</v>
      </c>
      <c r="M4752" s="471">
        <f t="shared" si="176"/>
        <v>0.05</v>
      </c>
      <c r="N4752" s="475">
        <f t="shared" si="177"/>
        <v>195680</v>
      </c>
    </row>
    <row r="4753" spans="7:14" ht="11.25" customHeight="1" x14ac:dyDescent="0.3">
      <c r="G4753" s="470"/>
      <c r="H4753" s="470">
        <v>4746</v>
      </c>
      <c r="I4753" s="455">
        <f t="shared" ca="1" si="175"/>
        <v>92569751854964.188</v>
      </c>
      <c r="J4753" s="455">
        <f t="array" ref="J4753">IFERROR(INDEX('Retirement Calculator'!K:K,MATCH('Lorri 401b'!N4753,'Retirement Calculator'!A:A,0),0),0)</f>
        <v>0</v>
      </c>
      <c r="K4753" s="455">
        <f t="shared" ca="1" si="173"/>
        <v>385707299395.68408</v>
      </c>
      <c r="L4753" s="455">
        <f t="shared" ca="1" si="174"/>
        <v>92955459154359.875</v>
      </c>
      <c r="M4753" s="471">
        <f t="shared" si="176"/>
        <v>0.05</v>
      </c>
      <c r="N4753" s="475">
        <f t="shared" si="177"/>
        <v>195711</v>
      </c>
    </row>
    <row r="4754" spans="7:14" ht="11.25" customHeight="1" x14ac:dyDescent="0.3">
      <c r="G4754" s="470"/>
      <c r="H4754" s="470">
        <v>4747</v>
      </c>
      <c r="I4754" s="455">
        <f t="shared" ca="1" si="175"/>
        <v>92955459154359.875</v>
      </c>
      <c r="J4754" s="455">
        <f t="array" ref="J4754">IFERROR(INDEX('Retirement Calculator'!K:K,MATCH('Lorri 401b'!N4754,'Retirement Calculator'!A:A,0),0),0)</f>
        <v>0</v>
      </c>
      <c r="K4754" s="455">
        <f t="shared" ca="1" si="173"/>
        <v>387314413143.16614</v>
      </c>
      <c r="L4754" s="455">
        <f t="shared" ca="1" si="174"/>
        <v>93342773567503.047</v>
      </c>
      <c r="M4754" s="471">
        <f t="shared" si="176"/>
        <v>0.05</v>
      </c>
      <c r="N4754" s="475">
        <f t="shared" si="177"/>
        <v>195741</v>
      </c>
    </row>
    <row r="4755" spans="7:14" ht="11.25" customHeight="1" x14ac:dyDescent="0.3">
      <c r="G4755" s="470"/>
      <c r="H4755" s="470">
        <v>4748</v>
      </c>
      <c r="I4755" s="455">
        <f t="shared" ca="1" si="175"/>
        <v>93342773567503.047</v>
      </c>
      <c r="J4755" s="455">
        <f t="array" ref="J4755">IFERROR(INDEX('Retirement Calculator'!K:K,MATCH('Lorri 401b'!N4755,'Retirement Calculator'!A:A,0),0),0)</f>
        <v>0</v>
      </c>
      <c r="K4755" s="455">
        <f t="shared" ca="1" si="173"/>
        <v>388928223197.92938</v>
      </c>
      <c r="L4755" s="455">
        <f t="shared" ca="1" si="174"/>
        <v>93731701790700.969</v>
      </c>
      <c r="M4755" s="471">
        <f t="shared" si="176"/>
        <v>0.05</v>
      </c>
      <c r="N4755" s="475">
        <f t="shared" si="177"/>
        <v>195772</v>
      </c>
    </row>
    <row r="4756" spans="7:14" ht="11.25" customHeight="1" x14ac:dyDescent="0.3">
      <c r="G4756" s="470"/>
      <c r="H4756" s="470">
        <v>4749</v>
      </c>
      <c r="I4756" s="455">
        <f t="shared" ca="1" si="175"/>
        <v>93731701790700.969</v>
      </c>
      <c r="J4756" s="455">
        <f t="array" ref="J4756">IFERROR(INDEX('Retirement Calculator'!K:K,MATCH('Lorri 401b'!N4756,'Retirement Calculator'!A:A,0),0),0)</f>
        <v>0</v>
      </c>
      <c r="K4756" s="455">
        <f t="shared" ca="1" si="173"/>
        <v>390548757461.25403</v>
      </c>
      <c r="L4756" s="455">
        <f t="shared" ca="1" si="174"/>
        <v>94122250548162.219</v>
      </c>
      <c r="M4756" s="471">
        <f t="shared" si="176"/>
        <v>0.05</v>
      </c>
      <c r="N4756" s="475">
        <f t="shared" si="177"/>
        <v>195803</v>
      </c>
    </row>
    <row r="4757" spans="7:14" ht="11.25" customHeight="1" x14ac:dyDescent="0.3">
      <c r="G4757" s="470"/>
      <c r="H4757" s="470">
        <v>4750</v>
      </c>
      <c r="I4757" s="455">
        <f t="shared" ca="1" si="175"/>
        <v>94122250548162.219</v>
      </c>
      <c r="J4757" s="455">
        <f t="array" ref="J4757">IFERROR(INDEX('Retirement Calculator'!K:K,MATCH('Lorri 401b'!N4757,'Retirement Calculator'!A:A,0),0),0)</f>
        <v>0</v>
      </c>
      <c r="K4757" s="455">
        <f t="shared" ca="1" si="173"/>
        <v>392176043950.6759</v>
      </c>
      <c r="L4757" s="455">
        <f t="shared" ca="1" si="174"/>
        <v>94514426592112.891</v>
      </c>
      <c r="M4757" s="471">
        <f t="shared" si="176"/>
        <v>0.05</v>
      </c>
      <c r="N4757" s="475">
        <f t="shared" si="177"/>
        <v>195832</v>
      </c>
    </row>
    <row r="4758" spans="7:14" ht="11.25" customHeight="1" x14ac:dyDescent="0.3">
      <c r="G4758" s="470"/>
      <c r="H4758" s="470">
        <v>4751</v>
      </c>
      <c r="I4758" s="455">
        <f t="shared" ca="1" si="175"/>
        <v>94514426592112.891</v>
      </c>
      <c r="J4758" s="455">
        <f t="array" ref="J4758">IFERROR(INDEX('Retirement Calculator'!K:K,MATCH('Lorri 401b'!N4758,'Retirement Calculator'!A:A,0),0),0)</f>
        <v>0</v>
      </c>
      <c r="K4758" s="455">
        <f t="shared" ca="1" si="173"/>
        <v>393810110800.4704</v>
      </c>
      <c r="L4758" s="455">
        <f t="shared" ca="1" si="174"/>
        <v>94908236702913.359</v>
      </c>
      <c r="M4758" s="471">
        <f t="shared" si="176"/>
        <v>0.05</v>
      </c>
      <c r="N4758" s="475">
        <f t="shared" si="177"/>
        <v>195863</v>
      </c>
    </row>
    <row r="4759" spans="7:14" ht="11.25" customHeight="1" x14ac:dyDescent="0.3">
      <c r="G4759" s="470"/>
      <c r="H4759" s="470">
        <v>4752</v>
      </c>
      <c r="I4759" s="455">
        <f t="shared" ca="1" si="175"/>
        <v>94908236702913.359</v>
      </c>
      <c r="J4759" s="455">
        <f t="array" ref="J4759">IFERROR(INDEX('Retirement Calculator'!K:K,MATCH('Lorri 401b'!N4759,'Retirement Calculator'!A:A,0),0),0)</f>
        <v>0</v>
      </c>
      <c r="K4759" s="455">
        <f t="shared" ca="1" si="173"/>
        <v>395450986262.13898</v>
      </c>
      <c r="L4759" s="455">
        <f t="shared" ca="1" si="174"/>
        <v>95303687689175.5</v>
      </c>
      <c r="M4759" s="471">
        <f t="shared" si="176"/>
        <v>0.05</v>
      </c>
      <c r="N4759" s="475">
        <f t="shared" si="177"/>
        <v>195893</v>
      </c>
    </row>
    <row r="4760" spans="7:14" ht="11.25" customHeight="1" x14ac:dyDescent="0.3">
      <c r="G4760" s="470"/>
      <c r="H4760" s="470">
        <v>4753</v>
      </c>
      <c r="I4760" s="455">
        <f t="shared" ca="1" si="175"/>
        <v>95303687689175.5</v>
      </c>
      <c r="J4760" s="455">
        <f t="array" ref="J4760">IFERROR(INDEX('Retirement Calculator'!K:K,MATCH('Lorri 401b'!N4760,'Retirement Calculator'!A:A,0),0),0)</f>
        <v>0</v>
      </c>
      <c r="K4760" s="455">
        <f t="shared" ca="1" si="173"/>
        <v>397098698704.89789</v>
      </c>
      <c r="L4760" s="455">
        <f t="shared" ca="1" si="174"/>
        <v>95700786387880.391</v>
      </c>
      <c r="M4760" s="471">
        <f t="shared" si="176"/>
        <v>0.05</v>
      </c>
      <c r="N4760" s="475">
        <f t="shared" si="177"/>
        <v>195924</v>
      </c>
    </row>
    <row r="4761" spans="7:14" ht="11.25" customHeight="1" x14ac:dyDescent="0.3">
      <c r="G4761" s="470"/>
      <c r="H4761" s="470">
        <v>4754</v>
      </c>
      <c r="I4761" s="455">
        <f t="shared" ca="1" si="175"/>
        <v>95700786387880.391</v>
      </c>
      <c r="J4761" s="455">
        <f t="array" ref="J4761">IFERROR(INDEX('Retirement Calculator'!K:K,MATCH('Lorri 401b'!N4761,'Retirement Calculator'!A:A,0),0),0)</f>
        <v>0</v>
      </c>
      <c r="K4761" s="455">
        <f t="shared" ca="1" si="173"/>
        <v>398753276616.16827</v>
      </c>
      <c r="L4761" s="455">
        <f t="shared" ca="1" si="174"/>
        <v>96099539664496.563</v>
      </c>
      <c r="M4761" s="471">
        <f t="shared" si="176"/>
        <v>0.05</v>
      </c>
      <c r="N4761" s="475">
        <f t="shared" si="177"/>
        <v>195954</v>
      </c>
    </row>
    <row r="4762" spans="7:14" ht="11.25" customHeight="1" x14ac:dyDescent="0.3">
      <c r="G4762" s="470"/>
      <c r="H4762" s="470">
        <v>4755</v>
      </c>
      <c r="I4762" s="455">
        <f t="shared" ca="1" si="175"/>
        <v>96099539664496.563</v>
      </c>
      <c r="J4762" s="455">
        <f t="array" ref="J4762">IFERROR(INDEX('Retirement Calculator'!K:K,MATCH('Lorri 401b'!N4762,'Retirement Calculator'!A:A,0),0),0)</f>
        <v>0</v>
      </c>
      <c r="K4762" s="455">
        <f t="shared" ca="1" si="173"/>
        <v>400414748602.06903</v>
      </c>
      <c r="L4762" s="455">
        <f t="shared" ca="1" si="174"/>
        <v>96499954413098.625</v>
      </c>
      <c r="M4762" s="471">
        <f t="shared" si="176"/>
        <v>0.05</v>
      </c>
      <c r="N4762" s="475">
        <f t="shared" si="177"/>
        <v>195985</v>
      </c>
    </row>
    <row r="4763" spans="7:14" ht="11.25" customHeight="1" x14ac:dyDescent="0.3">
      <c r="G4763" s="470"/>
      <c r="H4763" s="470">
        <v>4756</v>
      </c>
      <c r="I4763" s="455">
        <f t="shared" ca="1" si="175"/>
        <v>96499954413098.625</v>
      </c>
      <c r="J4763" s="455">
        <f t="array" ref="J4763">IFERROR(INDEX('Retirement Calculator'!K:K,MATCH('Lorri 401b'!N4763,'Retirement Calculator'!A:A,0),0),0)</f>
        <v>0</v>
      </c>
      <c r="K4763" s="455">
        <f t="shared" ca="1" si="173"/>
        <v>402083143387.91095</v>
      </c>
      <c r="L4763" s="455">
        <f t="shared" ca="1" si="174"/>
        <v>96902037556486.531</v>
      </c>
      <c r="M4763" s="471">
        <f t="shared" si="176"/>
        <v>0.05</v>
      </c>
      <c r="N4763" s="475">
        <f t="shared" si="177"/>
        <v>196016</v>
      </c>
    </row>
    <row r="4764" spans="7:14" ht="11.25" customHeight="1" x14ac:dyDescent="0.3">
      <c r="G4764" s="470"/>
      <c r="H4764" s="470">
        <v>4757</v>
      </c>
      <c r="I4764" s="455">
        <f t="shared" ca="1" si="175"/>
        <v>96902037556486.531</v>
      </c>
      <c r="J4764" s="455">
        <f t="array" ref="J4764">IFERROR(INDEX('Retirement Calculator'!K:K,MATCH('Lorri 401b'!N4764,'Retirement Calculator'!A:A,0),0),0)</f>
        <v>0</v>
      </c>
      <c r="K4764" s="455">
        <f t="shared" ca="1" si="173"/>
        <v>403758489818.69385</v>
      </c>
      <c r="L4764" s="455">
        <f t="shared" ca="1" si="174"/>
        <v>97305796046305.219</v>
      </c>
      <c r="M4764" s="471">
        <f t="shared" si="176"/>
        <v>0.05</v>
      </c>
      <c r="N4764" s="475">
        <f t="shared" si="177"/>
        <v>196046</v>
      </c>
    </row>
    <row r="4765" spans="7:14" ht="11.25" customHeight="1" x14ac:dyDescent="0.3">
      <c r="G4765" s="470"/>
      <c r="H4765" s="470">
        <v>4758</v>
      </c>
      <c r="I4765" s="455">
        <f t="shared" ca="1" si="175"/>
        <v>97305796046305.219</v>
      </c>
      <c r="J4765" s="455">
        <f t="array" ref="J4765">IFERROR(INDEX('Retirement Calculator'!K:K,MATCH('Lorri 401b'!N4765,'Retirement Calculator'!A:A,0),0),0)</f>
        <v>0</v>
      </c>
      <c r="K4765" s="455">
        <f t="shared" ca="1" si="173"/>
        <v>405440816859.6051</v>
      </c>
      <c r="L4765" s="455">
        <f t="shared" ca="1" si="174"/>
        <v>97711236863164.828</v>
      </c>
      <c r="M4765" s="471">
        <f t="shared" si="176"/>
        <v>0.05</v>
      </c>
      <c r="N4765" s="475">
        <f t="shared" si="177"/>
        <v>196077</v>
      </c>
    </row>
    <row r="4766" spans="7:14" ht="11.25" customHeight="1" x14ac:dyDescent="0.3">
      <c r="G4766" s="470"/>
      <c r="H4766" s="470">
        <v>4759</v>
      </c>
      <c r="I4766" s="455">
        <f t="shared" ca="1" si="175"/>
        <v>97711236863164.828</v>
      </c>
      <c r="J4766" s="455">
        <f t="array" ref="J4766">IFERROR(INDEX('Retirement Calculator'!K:K,MATCH('Lorri 401b'!N4766,'Retirement Calculator'!A:A,0),0),0)</f>
        <v>0</v>
      </c>
      <c r="K4766" s="455">
        <f t="shared" ca="1" si="173"/>
        <v>407130153596.52014</v>
      </c>
      <c r="L4766" s="455">
        <f t="shared" ca="1" si="174"/>
        <v>98118367016761.344</v>
      </c>
      <c r="M4766" s="471">
        <f t="shared" si="176"/>
        <v>0.05</v>
      </c>
      <c r="N4766" s="475">
        <f t="shared" si="177"/>
        <v>196107</v>
      </c>
    </row>
    <row r="4767" spans="7:14" ht="11.25" customHeight="1" x14ac:dyDescent="0.3">
      <c r="G4767" s="470"/>
      <c r="H4767" s="470">
        <v>4760</v>
      </c>
      <c r="I4767" s="455">
        <f t="shared" ca="1" si="175"/>
        <v>98118367016761.344</v>
      </c>
      <c r="J4767" s="455">
        <f t="array" ref="J4767">IFERROR(INDEX('Retirement Calculator'!K:K,MATCH('Lorri 401b'!N4767,'Retirement Calculator'!A:A,0),0),0)</f>
        <v>0</v>
      </c>
      <c r="K4767" s="455">
        <f t="shared" ca="1" si="173"/>
        <v>408826529236.50562</v>
      </c>
      <c r="L4767" s="455">
        <f t="shared" ca="1" si="174"/>
        <v>98527193545997.844</v>
      </c>
      <c r="M4767" s="471">
        <f t="shared" si="176"/>
        <v>0.05</v>
      </c>
      <c r="N4767" s="475">
        <f t="shared" si="177"/>
        <v>196138</v>
      </c>
    </row>
    <row r="4768" spans="7:14" ht="11.25" customHeight="1" x14ac:dyDescent="0.3">
      <c r="G4768" s="470"/>
      <c r="H4768" s="470">
        <v>4761</v>
      </c>
      <c r="I4768" s="455">
        <f t="shared" ca="1" si="175"/>
        <v>98527193545997.844</v>
      </c>
      <c r="J4768" s="455">
        <f t="array" ref="J4768">IFERROR(INDEX('Retirement Calculator'!K:K,MATCH('Lorri 401b'!N4768,'Retirement Calculator'!A:A,0),0),0)</f>
        <v>0</v>
      </c>
      <c r="K4768" s="455">
        <f t="shared" ca="1" si="173"/>
        <v>410529973108.32434</v>
      </c>
      <c r="L4768" s="455">
        <f t="shared" ca="1" si="174"/>
        <v>98937723519106.172</v>
      </c>
      <c r="M4768" s="471">
        <f t="shared" si="176"/>
        <v>0.05</v>
      </c>
      <c r="N4768" s="475">
        <f t="shared" si="177"/>
        <v>196169</v>
      </c>
    </row>
    <row r="4769" spans="7:14" ht="11.25" customHeight="1" x14ac:dyDescent="0.3">
      <c r="G4769" s="470"/>
      <c r="H4769" s="470">
        <v>4762</v>
      </c>
      <c r="I4769" s="455">
        <f t="shared" ca="1" si="175"/>
        <v>98937723519106.172</v>
      </c>
      <c r="J4769" s="455">
        <f t="array" ref="J4769">IFERROR(INDEX('Retirement Calculator'!K:K,MATCH('Lorri 401b'!N4769,'Retirement Calculator'!A:A,0),0),0)</f>
        <v>0</v>
      </c>
      <c r="K4769" s="455">
        <f t="shared" ca="1" si="173"/>
        <v>412240514662.94238</v>
      </c>
      <c r="L4769" s="455">
        <f t="shared" ca="1" si="174"/>
        <v>99349964033769.109</v>
      </c>
      <c r="M4769" s="471">
        <f t="shared" si="176"/>
        <v>0.05</v>
      </c>
      <c r="N4769" s="475">
        <f t="shared" si="177"/>
        <v>196197</v>
      </c>
    </row>
    <row r="4770" spans="7:14" ht="11.25" customHeight="1" x14ac:dyDescent="0.3">
      <c r="G4770" s="470"/>
      <c r="H4770" s="470">
        <v>4763</v>
      </c>
      <c r="I4770" s="455">
        <f t="shared" ca="1" si="175"/>
        <v>99349964033769.109</v>
      </c>
      <c r="J4770" s="455">
        <f t="array" ref="J4770">IFERROR(INDEX('Retirement Calculator'!K:K,MATCH('Lorri 401b'!N4770,'Retirement Calculator'!A:A,0),0),0)</f>
        <v>0</v>
      </c>
      <c r="K4770" s="455">
        <f t="shared" ca="1" si="173"/>
        <v>413958183474.03796</v>
      </c>
      <c r="L4770" s="455">
        <f t="shared" ca="1" si="174"/>
        <v>99763922217243.141</v>
      </c>
      <c r="M4770" s="471">
        <f t="shared" si="176"/>
        <v>0.05</v>
      </c>
      <c r="N4770" s="475">
        <f t="shared" si="177"/>
        <v>196228</v>
      </c>
    </row>
    <row r="4771" spans="7:14" ht="11.25" customHeight="1" x14ac:dyDescent="0.3">
      <c r="G4771" s="470"/>
      <c r="H4771" s="470">
        <v>4764</v>
      </c>
      <c r="I4771" s="455">
        <f t="shared" ca="1" si="175"/>
        <v>99763922217243.141</v>
      </c>
      <c r="J4771" s="455">
        <f t="array" ref="J4771">IFERROR(INDEX('Retirement Calculator'!K:K,MATCH('Lorri 401b'!N4771,'Retirement Calculator'!A:A,0),0),0)</f>
        <v>0</v>
      </c>
      <c r="K4771" s="455">
        <f t="shared" ca="1" si="173"/>
        <v>415683009238.51306</v>
      </c>
      <c r="L4771" s="455">
        <f t="shared" ca="1" si="174"/>
        <v>100179605226481.66</v>
      </c>
      <c r="M4771" s="471">
        <f t="shared" si="176"/>
        <v>0.05</v>
      </c>
      <c r="N4771" s="475">
        <f t="shared" si="177"/>
        <v>196258</v>
      </c>
    </row>
    <row r="4772" spans="7:14" ht="11.25" customHeight="1" x14ac:dyDescent="0.3">
      <c r="G4772" s="470"/>
      <c r="H4772" s="470">
        <v>4765</v>
      </c>
      <c r="I4772" s="455">
        <f t="shared" ca="1" si="175"/>
        <v>100179605226481.66</v>
      </c>
      <c r="J4772" s="455">
        <f t="array" ref="J4772">IFERROR(INDEX('Retirement Calculator'!K:K,MATCH('Lorri 401b'!N4772,'Retirement Calculator'!A:A,0),0),0)</f>
        <v>0</v>
      </c>
      <c r="K4772" s="455">
        <f t="shared" ca="1" si="173"/>
        <v>417415021777.0069</v>
      </c>
      <c r="L4772" s="455">
        <f t="shared" ca="1" si="174"/>
        <v>100597020248258.66</v>
      </c>
      <c r="M4772" s="471">
        <f t="shared" si="176"/>
        <v>0.05</v>
      </c>
      <c r="N4772" s="475">
        <f t="shared" si="177"/>
        <v>196289</v>
      </c>
    </row>
    <row r="4773" spans="7:14" ht="11.25" customHeight="1" x14ac:dyDescent="0.3">
      <c r="G4773" s="470"/>
      <c r="H4773" s="470">
        <v>4766</v>
      </c>
      <c r="I4773" s="455">
        <f t="shared" ca="1" si="175"/>
        <v>100597020248258.66</v>
      </c>
      <c r="J4773" s="455">
        <f t="array" ref="J4773">IFERROR(INDEX('Retirement Calculator'!K:K,MATCH('Lorri 401b'!N4773,'Retirement Calculator'!A:A,0),0),0)</f>
        <v>0</v>
      </c>
      <c r="K4773" s="455">
        <f t="shared" ca="1" si="173"/>
        <v>419154251034.41107</v>
      </c>
      <c r="L4773" s="455">
        <f t="shared" ca="1" si="174"/>
        <v>101016174499293.06</v>
      </c>
      <c r="M4773" s="471">
        <f t="shared" si="176"/>
        <v>0.05</v>
      </c>
      <c r="N4773" s="475">
        <f t="shared" si="177"/>
        <v>196319</v>
      </c>
    </row>
    <row r="4774" spans="7:14" ht="11.25" customHeight="1" x14ac:dyDescent="0.3">
      <c r="G4774" s="470"/>
      <c r="H4774" s="470">
        <v>4767</v>
      </c>
      <c r="I4774" s="455">
        <f t="shared" ca="1" si="175"/>
        <v>101016174499293.06</v>
      </c>
      <c r="J4774" s="455">
        <f t="array" ref="J4774">IFERROR(INDEX('Retirement Calculator'!K:K,MATCH('Lorri 401b'!N4774,'Retirement Calculator'!A:A,0),0),0)</f>
        <v>0</v>
      </c>
      <c r="K4774" s="455">
        <f t="shared" ca="1" si="173"/>
        <v>420900727080.38776</v>
      </c>
      <c r="L4774" s="455">
        <f t="shared" ca="1" si="174"/>
        <v>101437075226373.45</v>
      </c>
      <c r="M4774" s="471">
        <f t="shared" si="176"/>
        <v>0.05</v>
      </c>
      <c r="N4774" s="475">
        <f t="shared" si="177"/>
        <v>196350</v>
      </c>
    </row>
    <row r="4775" spans="7:14" ht="11.25" customHeight="1" x14ac:dyDescent="0.3">
      <c r="G4775" s="470"/>
      <c r="H4775" s="470">
        <v>4768</v>
      </c>
      <c r="I4775" s="455">
        <f t="shared" ca="1" si="175"/>
        <v>101437075226373.45</v>
      </c>
      <c r="J4775" s="455">
        <f t="array" ref="J4775">IFERROR(INDEX('Retirement Calculator'!K:K,MATCH('Lorri 401b'!N4775,'Retirement Calculator'!A:A,0),0),0)</f>
        <v>0</v>
      </c>
      <c r="K4775" s="455">
        <f t="shared" ca="1" si="173"/>
        <v>422654480109.8894</v>
      </c>
      <c r="L4775" s="455">
        <f t="shared" ca="1" si="174"/>
        <v>101859729706483.34</v>
      </c>
      <c r="M4775" s="471">
        <f t="shared" si="176"/>
        <v>0.05</v>
      </c>
      <c r="N4775" s="475">
        <f t="shared" si="177"/>
        <v>196381</v>
      </c>
    </row>
    <row r="4776" spans="7:14" ht="11.25" customHeight="1" x14ac:dyDescent="0.3">
      <c r="G4776" s="470"/>
      <c r="H4776" s="470">
        <v>4769</v>
      </c>
      <c r="I4776" s="455">
        <f t="shared" ca="1" si="175"/>
        <v>101859729706483.34</v>
      </c>
      <c r="J4776" s="455">
        <f t="array" ref="J4776">IFERROR(INDEX('Retirement Calculator'!K:K,MATCH('Lorri 401b'!N4776,'Retirement Calculator'!A:A,0),0),0)</f>
        <v>0</v>
      </c>
      <c r="K4776" s="455">
        <f t="shared" ca="1" si="173"/>
        <v>424415540443.6806</v>
      </c>
      <c r="L4776" s="455">
        <f t="shared" ca="1" si="174"/>
        <v>102284145246927.03</v>
      </c>
      <c r="M4776" s="471">
        <f t="shared" si="176"/>
        <v>0.05</v>
      </c>
      <c r="N4776" s="475">
        <f t="shared" si="177"/>
        <v>196411</v>
      </c>
    </row>
    <row r="4777" spans="7:14" ht="11.25" customHeight="1" x14ac:dyDescent="0.3">
      <c r="G4777" s="470"/>
      <c r="H4777" s="470">
        <v>4770</v>
      </c>
      <c r="I4777" s="455">
        <f t="shared" ca="1" si="175"/>
        <v>102284145246927.03</v>
      </c>
      <c r="J4777" s="455">
        <f t="array" ref="J4777">IFERROR(INDEX('Retirement Calculator'!K:K,MATCH('Lorri 401b'!N4777,'Retirement Calculator'!A:A,0),0),0)</f>
        <v>0</v>
      </c>
      <c r="K4777" s="455">
        <f t="shared" ca="1" si="173"/>
        <v>426183938528.86261</v>
      </c>
      <c r="L4777" s="455">
        <f t="shared" ca="1" si="174"/>
        <v>102710329185455.89</v>
      </c>
      <c r="M4777" s="471">
        <f t="shared" si="176"/>
        <v>0.05</v>
      </c>
      <c r="N4777" s="475">
        <f t="shared" si="177"/>
        <v>196442</v>
      </c>
    </row>
    <row r="4778" spans="7:14" ht="11.25" customHeight="1" x14ac:dyDescent="0.3">
      <c r="G4778" s="470"/>
      <c r="H4778" s="470">
        <v>4771</v>
      </c>
      <c r="I4778" s="455">
        <f t="shared" ca="1" si="175"/>
        <v>102710329185455.89</v>
      </c>
      <c r="J4778" s="455">
        <f t="array" ref="J4778">IFERROR(INDEX('Retirement Calculator'!K:K,MATCH('Lorri 401b'!N4778,'Retirement Calculator'!A:A,0),0),0)</f>
        <v>0</v>
      </c>
      <c r="K4778" s="455">
        <f t="shared" ca="1" si="173"/>
        <v>427959704939.39954</v>
      </c>
      <c r="L4778" s="455">
        <f t="shared" ca="1" si="174"/>
        <v>103138288890395.3</v>
      </c>
      <c r="M4778" s="471">
        <f t="shared" si="176"/>
        <v>0.05</v>
      </c>
      <c r="N4778" s="475">
        <f t="shared" si="177"/>
        <v>196472</v>
      </c>
    </row>
    <row r="4779" spans="7:14" ht="11.25" customHeight="1" x14ac:dyDescent="0.3">
      <c r="G4779" s="470"/>
      <c r="H4779" s="470">
        <v>4772</v>
      </c>
      <c r="I4779" s="455">
        <f t="shared" ca="1" si="175"/>
        <v>103138288890395.3</v>
      </c>
      <c r="J4779" s="455">
        <f t="array" ref="J4779">IFERROR(INDEX('Retirement Calculator'!K:K,MATCH('Lorri 401b'!N4779,'Retirement Calculator'!A:A,0),0),0)</f>
        <v>0</v>
      </c>
      <c r="K4779" s="455">
        <f t="shared" ca="1" si="173"/>
        <v>429742870376.64709</v>
      </c>
      <c r="L4779" s="455">
        <f t="shared" ca="1" si="174"/>
        <v>103568031760771.94</v>
      </c>
      <c r="M4779" s="471">
        <f t="shared" si="176"/>
        <v>0.05</v>
      </c>
      <c r="N4779" s="475">
        <f t="shared" si="177"/>
        <v>196503</v>
      </c>
    </row>
    <row r="4780" spans="7:14" ht="11.25" customHeight="1" x14ac:dyDescent="0.3">
      <c r="G4780" s="470"/>
      <c r="H4780" s="470">
        <v>4773</v>
      </c>
      <c r="I4780" s="455">
        <f t="shared" ca="1" si="175"/>
        <v>103568031760771.94</v>
      </c>
      <c r="J4780" s="455">
        <f t="array" ref="J4780">IFERROR(INDEX('Retirement Calculator'!K:K,MATCH('Lorri 401b'!N4780,'Retirement Calculator'!A:A,0),0),0)</f>
        <v>0</v>
      </c>
      <c r="K4780" s="455">
        <f t="shared" ca="1" si="173"/>
        <v>431533465669.88306</v>
      </c>
      <c r="L4780" s="455">
        <f t="shared" ca="1" si="174"/>
        <v>103999565226441.83</v>
      </c>
      <c r="M4780" s="471">
        <f t="shared" si="176"/>
        <v>0.05</v>
      </c>
      <c r="N4780" s="475">
        <f t="shared" si="177"/>
        <v>196534</v>
      </c>
    </row>
    <row r="4781" spans="7:14" ht="11.25" customHeight="1" x14ac:dyDescent="0.3">
      <c r="G4781" s="470"/>
      <c r="H4781" s="470">
        <v>4774</v>
      </c>
      <c r="I4781" s="455">
        <f t="shared" ca="1" si="175"/>
        <v>103999565226441.83</v>
      </c>
      <c r="J4781" s="455">
        <f t="array" ref="J4781">IFERROR(INDEX('Retirement Calculator'!K:K,MATCH('Lorri 401b'!N4781,'Retirement Calculator'!A:A,0),0),0)</f>
        <v>0</v>
      </c>
      <c r="K4781" s="455">
        <f t="shared" ca="1" si="173"/>
        <v>433331521776.84094</v>
      </c>
      <c r="L4781" s="455">
        <f t="shared" ca="1" si="174"/>
        <v>104432896748218.67</v>
      </c>
      <c r="M4781" s="471">
        <f t="shared" si="176"/>
        <v>0.05</v>
      </c>
      <c r="N4781" s="475">
        <f t="shared" si="177"/>
        <v>196562</v>
      </c>
    </row>
    <row r="4782" spans="7:14" ht="11.25" customHeight="1" x14ac:dyDescent="0.3">
      <c r="G4782" s="470"/>
      <c r="H4782" s="470">
        <v>4775</v>
      </c>
      <c r="I4782" s="455">
        <f t="shared" ca="1" si="175"/>
        <v>104432896748218.67</v>
      </c>
      <c r="J4782" s="455">
        <f t="array" ref="J4782">IFERROR(INDEX('Retirement Calculator'!K:K,MATCH('Lorri 401b'!N4782,'Retirement Calculator'!A:A,0),0),0)</f>
        <v>0</v>
      </c>
      <c r="K4782" s="455">
        <f t="shared" ca="1" si="173"/>
        <v>435137069784.24445</v>
      </c>
      <c r="L4782" s="455">
        <f t="shared" ca="1" si="174"/>
        <v>104868033818002.92</v>
      </c>
      <c r="M4782" s="471">
        <f t="shared" si="176"/>
        <v>0.05</v>
      </c>
      <c r="N4782" s="475">
        <f t="shared" si="177"/>
        <v>196593</v>
      </c>
    </row>
    <row r="4783" spans="7:14" ht="11.25" customHeight="1" x14ac:dyDescent="0.3">
      <c r="G4783" s="470"/>
      <c r="H4783" s="470">
        <v>4776</v>
      </c>
      <c r="I4783" s="455">
        <f t="shared" ca="1" si="175"/>
        <v>104868033818002.92</v>
      </c>
      <c r="J4783" s="455">
        <f t="array" ref="J4783">IFERROR(INDEX('Retirement Calculator'!K:K,MATCH('Lorri 401b'!N4783,'Retirement Calculator'!A:A,0),0),0)</f>
        <v>0</v>
      </c>
      <c r="K4783" s="455">
        <f t="shared" ca="1" si="173"/>
        <v>436950140908.34552</v>
      </c>
      <c r="L4783" s="455">
        <f t="shared" ca="1" si="174"/>
        <v>105304983958911.27</v>
      </c>
      <c r="M4783" s="471">
        <f t="shared" si="176"/>
        <v>0.05</v>
      </c>
      <c r="N4783" s="475">
        <f t="shared" si="177"/>
        <v>196623</v>
      </c>
    </row>
    <row r="4784" spans="7:14" ht="11.25" customHeight="1" x14ac:dyDescent="0.3">
      <c r="G4784" s="470"/>
      <c r="H4784" s="470">
        <v>4777</v>
      </c>
      <c r="I4784" s="455">
        <f t="shared" ca="1" si="175"/>
        <v>105304983958911.27</v>
      </c>
      <c r="J4784" s="455">
        <f t="array" ref="J4784">IFERROR(INDEX('Retirement Calculator'!K:K,MATCH('Lorri 401b'!N4784,'Retirement Calculator'!A:A,0),0),0)</f>
        <v>0</v>
      </c>
      <c r="K4784" s="455">
        <f t="shared" ca="1" si="173"/>
        <v>438770766495.46362</v>
      </c>
      <c r="L4784" s="455">
        <f t="shared" ca="1" si="174"/>
        <v>105743754725406.73</v>
      </c>
      <c r="M4784" s="471">
        <f t="shared" si="176"/>
        <v>0.05</v>
      </c>
      <c r="N4784" s="475">
        <f t="shared" si="177"/>
        <v>196654</v>
      </c>
    </row>
    <row r="4785" spans="7:14" ht="11.25" customHeight="1" x14ac:dyDescent="0.3">
      <c r="G4785" s="470"/>
      <c r="H4785" s="470">
        <v>4778</v>
      </c>
      <c r="I4785" s="455">
        <f t="shared" ca="1" si="175"/>
        <v>105743754725406.73</v>
      </c>
      <c r="J4785" s="455">
        <f t="array" ref="J4785">IFERROR(INDEX('Retirement Calculator'!K:K,MATCH('Lorri 401b'!N4785,'Retirement Calculator'!A:A,0),0),0)</f>
        <v>0</v>
      </c>
      <c r="K4785" s="455">
        <f t="shared" ca="1" si="173"/>
        <v>440598978022.52808</v>
      </c>
      <c r="L4785" s="455">
        <f t="shared" ca="1" si="174"/>
        <v>106184353703429.27</v>
      </c>
      <c r="M4785" s="471">
        <f t="shared" si="176"/>
        <v>0.05</v>
      </c>
      <c r="N4785" s="475">
        <f t="shared" si="177"/>
        <v>196684</v>
      </c>
    </row>
    <row r="4786" spans="7:14" ht="11.25" customHeight="1" x14ac:dyDescent="0.3">
      <c r="G4786" s="470"/>
      <c r="H4786" s="470">
        <v>4779</v>
      </c>
      <c r="I4786" s="455">
        <f t="shared" ca="1" si="175"/>
        <v>106184353703429.27</v>
      </c>
      <c r="J4786" s="455">
        <f t="array" ref="J4786">IFERROR(INDEX('Retirement Calculator'!K:K,MATCH('Lorri 401b'!N4786,'Retirement Calculator'!A:A,0),0),0)</f>
        <v>0</v>
      </c>
      <c r="K4786" s="455">
        <f t="shared" ca="1" si="173"/>
        <v>442434807097.62195</v>
      </c>
      <c r="L4786" s="455">
        <f t="shared" ca="1" si="174"/>
        <v>106626788510526.89</v>
      </c>
      <c r="M4786" s="471">
        <f t="shared" si="176"/>
        <v>0.05</v>
      </c>
      <c r="N4786" s="475">
        <f t="shared" si="177"/>
        <v>196715</v>
      </c>
    </row>
    <row r="4787" spans="7:14" ht="11.25" customHeight="1" x14ac:dyDescent="0.3">
      <c r="G4787" s="470"/>
      <c r="H4787" s="470">
        <v>4780</v>
      </c>
      <c r="I4787" s="455">
        <f t="shared" ca="1" si="175"/>
        <v>106626788510526.89</v>
      </c>
      <c r="J4787" s="455">
        <f t="array" ref="J4787">IFERROR(INDEX('Retirement Calculator'!K:K,MATCH('Lorri 401b'!N4787,'Retirement Calculator'!A:A,0),0),0)</f>
        <v>0</v>
      </c>
      <c r="K4787" s="455">
        <f t="shared" ca="1" si="173"/>
        <v>444278285460.52869</v>
      </c>
      <c r="L4787" s="455">
        <f t="shared" ca="1" si="174"/>
        <v>107071066795987.42</v>
      </c>
      <c r="M4787" s="471">
        <f t="shared" si="176"/>
        <v>0.05</v>
      </c>
      <c r="N4787" s="475">
        <f t="shared" si="177"/>
        <v>196746</v>
      </c>
    </row>
    <row r="4788" spans="7:14" ht="11.25" customHeight="1" x14ac:dyDescent="0.3">
      <c r="G4788" s="470"/>
      <c r="H4788" s="470">
        <v>4781</v>
      </c>
      <c r="I4788" s="455">
        <f t="shared" ca="1" si="175"/>
        <v>107071066795987.42</v>
      </c>
      <c r="J4788" s="455">
        <f t="array" ref="J4788">IFERROR(INDEX('Retirement Calculator'!K:K,MATCH('Lorri 401b'!N4788,'Retirement Calculator'!A:A,0),0),0)</f>
        <v>0</v>
      </c>
      <c r="K4788" s="455">
        <f t="shared" ca="1" si="173"/>
        <v>446129444983.28094</v>
      </c>
      <c r="L4788" s="455">
        <f t="shared" ca="1" si="174"/>
        <v>107517196240970.7</v>
      </c>
      <c r="M4788" s="471">
        <f t="shared" si="176"/>
        <v>0.05</v>
      </c>
      <c r="N4788" s="475">
        <f t="shared" si="177"/>
        <v>196776</v>
      </c>
    </row>
    <row r="4789" spans="7:14" ht="11.25" customHeight="1" x14ac:dyDescent="0.3">
      <c r="G4789" s="470"/>
      <c r="H4789" s="470">
        <v>4782</v>
      </c>
      <c r="I4789" s="455">
        <f t="shared" ca="1" si="175"/>
        <v>107517196240970.7</v>
      </c>
      <c r="J4789" s="455">
        <f t="array" ref="J4789">IFERROR(INDEX('Retirement Calculator'!K:K,MATCH('Lorri 401b'!N4789,'Retirement Calculator'!A:A,0),0),0)</f>
        <v>0</v>
      </c>
      <c r="K4789" s="455">
        <f t="shared" ca="1" si="173"/>
        <v>447988317670.71124</v>
      </c>
      <c r="L4789" s="455">
        <f t="shared" ca="1" si="174"/>
        <v>107965184558641.42</v>
      </c>
      <c r="M4789" s="471">
        <f t="shared" si="176"/>
        <v>0.05</v>
      </c>
      <c r="N4789" s="475">
        <f t="shared" si="177"/>
        <v>196807</v>
      </c>
    </row>
    <row r="4790" spans="7:14" ht="11.25" customHeight="1" x14ac:dyDescent="0.3">
      <c r="G4790" s="470"/>
      <c r="H4790" s="470">
        <v>4783</v>
      </c>
      <c r="I4790" s="455">
        <f t="shared" ca="1" si="175"/>
        <v>107965184558641.42</v>
      </c>
      <c r="J4790" s="455">
        <f t="array" ref="J4790">IFERROR(INDEX('Retirement Calculator'!K:K,MATCH('Lorri 401b'!N4790,'Retirement Calculator'!A:A,0),0),0)</f>
        <v>0</v>
      </c>
      <c r="K4790" s="455">
        <f t="shared" ca="1" si="173"/>
        <v>449854935661.00592</v>
      </c>
      <c r="L4790" s="455">
        <f t="shared" ca="1" si="174"/>
        <v>108415039494302.42</v>
      </c>
      <c r="M4790" s="471">
        <f t="shared" si="176"/>
        <v>0.05</v>
      </c>
      <c r="N4790" s="475">
        <f t="shared" si="177"/>
        <v>196837</v>
      </c>
    </row>
    <row r="4791" spans="7:14" ht="11.25" customHeight="1" x14ac:dyDescent="0.3">
      <c r="G4791" s="470"/>
      <c r="H4791" s="470">
        <v>4784</v>
      </c>
      <c r="I4791" s="455">
        <f t="shared" ca="1" si="175"/>
        <v>108415039494302.42</v>
      </c>
      <c r="J4791" s="455">
        <f t="array" ref="J4791">IFERROR(INDEX('Retirement Calculator'!K:K,MATCH('Lorri 401b'!N4791,'Retirement Calculator'!A:A,0),0),0)</f>
        <v>0</v>
      </c>
      <c r="K4791" s="455">
        <f t="shared" ca="1" si="173"/>
        <v>451729331226.26007</v>
      </c>
      <c r="L4791" s="455">
        <f t="shared" ca="1" si="174"/>
        <v>108866768825528.69</v>
      </c>
      <c r="M4791" s="471">
        <f t="shared" si="176"/>
        <v>0.05</v>
      </c>
      <c r="N4791" s="475">
        <f t="shared" si="177"/>
        <v>196868</v>
      </c>
    </row>
    <row r="4792" spans="7:14" ht="11.25" customHeight="1" x14ac:dyDescent="0.3">
      <c r="G4792" s="470"/>
      <c r="H4792" s="470">
        <v>4785</v>
      </c>
      <c r="I4792" s="455">
        <f t="shared" ca="1" si="175"/>
        <v>108866768825528.69</v>
      </c>
      <c r="J4792" s="455">
        <f t="array" ref="J4792">IFERROR(INDEX('Retirement Calculator'!K:K,MATCH('Lorri 401b'!N4792,'Retirement Calculator'!A:A,0),0),0)</f>
        <v>0</v>
      </c>
      <c r="K4792" s="455">
        <f t="shared" ca="1" si="173"/>
        <v>453611536773.03619</v>
      </c>
      <c r="L4792" s="455">
        <f t="shared" ca="1" si="174"/>
        <v>109320380362301.72</v>
      </c>
      <c r="M4792" s="471">
        <f t="shared" si="176"/>
        <v>0.05</v>
      </c>
      <c r="N4792" s="475">
        <f t="shared" si="177"/>
        <v>196899</v>
      </c>
    </row>
    <row r="4793" spans="7:14" ht="11.25" customHeight="1" x14ac:dyDescent="0.3">
      <c r="G4793" s="470"/>
      <c r="H4793" s="470">
        <v>4786</v>
      </c>
      <c r="I4793" s="455">
        <f t="shared" ca="1" si="175"/>
        <v>109320380362301.72</v>
      </c>
      <c r="J4793" s="455">
        <f t="array" ref="J4793">IFERROR(INDEX('Retirement Calculator'!K:K,MATCH('Lorri 401b'!N4793,'Retirement Calculator'!A:A,0),0),0)</f>
        <v>0</v>
      </c>
      <c r="K4793" s="455">
        <f t="shared" ca="1" si="173"/>
        <v>455501584842.92383</v>
      </c>
      <c r="L4793" s="455">
        <f t="shared" ca="1" si="174"/>
        <v>109775881947144.64</v>
      </c>
      <c r="M4793" s="471">
        <f t="shared" si="176"/>
        <v>0.05</v>
      </c>
      <c r="N4793" s="475">
        <f t="shared" si="177"/>
        <v>196927</v>
      </c>
    </row>
    <row r="4794" spans="7:14" ht="11.25" customHeight="1" x14ac:dyDescent="0.3">
      <c r="G4794" s="470"/>
      <c r="H4794" s="470">
        <v>4787</v>
      </c>
      <c r="I4794" s="455">
        <f t="shared" ca="1" si="175"/>
        <v>109775881947144.64</v>
      </c>
      <c r="J4794" s="455">
        <f t="array" ref="J4794">IFERROR(INDEX('Retirement Calculator'!K:K,MATCH('Lorri 401b'!N4794,'Retirement Calculator'!A:A,0),0),0)</f>
        <v>0</v>
      </c>
      <c r="K4794" s="455">
        <f t="shared" ca="1" si="173"/>
        <v>457399508113.10266</v>
      </c>
      <c r="L4794" s="455">
        <f t="shared" ca="1" si="174"/>
        <v>110233281455257.75</v>
      </c>
      <c r="M4794" s="471">
        <f t="shared" si="176"/>
        <v>0.05</v>
      </c>
      <c r="N4794" s="475">
        <f t="shared" si="177"/>
        <v>196958</v>
      </c>
    </row>
    <row r="4795" spans="7:14" ht="11.25" customHeight="1" x14ac:dyDescent="0.3">
      <c r="G4795" s="470"/>
      <c r="H4795" s="470">
        <v>4788</v>
      </c>
      <c r="I4795" s="455">
        <f t="shared" ca="1" si="175"/>
        <v>110233281455257.75</v>
      </c>
      <c r="J4795" s="455">
        <f t="array" ref="J4795">IFERROR(INDEX('Retirement Calculator'!K:K,MATCH('Lorri 401b'!N4795,'Retirement Calculator'!A:A,0),0),0)</f>
        <v>0</v>
      </c>
      <c r="K4795" s="455">
        <f t="shared" ca="1" si="173"/>
        <v>459305339396.90735</v>
      </c>
      <c r="L4795" s="455">
        <f t="shared" ca="1" si="174"/>
        <v>110692586794654.66</v>
      </c>
      <c r="M4795" s="471">
        <f t="shared" si="176"/>
        <v>0.05</v>
      </c>
      <c r="N4795" s="475">
        <f t="shared" si="177"/>
        <v>196988</v>
      </c>
    </row>
    <row r="4796" spans="7:14" ht="11.25" customHeight="1" x14ac:dyDescent="0.3">
      <c r="G4796" s="470"/>
      <c r="H4796" s="470">
        <v>4789</v>
      </c>
      <c r="I4796" s="455">
        <f t="shared" ca="1" si="175"/>
        <v>110692586794654.66</v>
      </c>
      <c r="J4796" s="455">
        <f t="array" ref="J4796">IFERROR(INDEX('Retirement Calculator'!K:K,MATCH('Lorri 401b'!N4796,'Retirement Calculator'!A:A,0),0),0)</f>
        <v>0</v>
      </c>
      <c r="K4796" s="455">
        <f t="shared" ca="1" si="173"/>
        <v>461219111644.39435</v>
      </c>
      <c r="L4796" s="455">
        <f t="shared" ca="1" si="174"/>
        <v>111153805906299.05</v>
      </c>
      <c r="M4796" s="471">
        <f t="shared" si="176"/>
        <v>0.05</v>
      </c>
      <c r="N4796" s="475">
        <f t="shared" si="177"/>
        <v>197019</v>
      </c>
    </row>
    <row r="4797" spans="7:14" ht="11.25" customHeight="1" x14ac:dyDescent="0.3">
      <c r="G4797" s="470"/>
      <c r="H4797" s="470">
        <v>4790</v>
      </c>
      <c r="I4797" s="455">
        <f t="shared" ca="1" si="175"/>
        <v>111153805906299.05</v>
      </c>
      <c r="J4797" s="455">
        <f t="array" ref="J4797">IFERROR(INDEX('Retirement Calculator'!K:K,MATCH('Lorri 401b'!N4797,'Retirement Calculator'!A:A,0),0),0)</f>
        <v>0</v>
      </c>
      <c r="K4797" s="455">
        <f t="shared" ca="1" si="173"/>
        <v>463140857942.91266</v>
      </c>
      <c r="L4797" s="455">
        <f t="shared" ca="1" si="174"/>
        <v>111616946764241.95</v>
      </c>
      <c r="M4797" s="471">
        <f t="shared" si="176"/>
        <v>0.05</v>
      </c>
      <c r="N4797" s="475">
        <f t="shared" si="177"/>
        <v>197049</v>
      </c>
    </row>
    <row r="4798" spans="7:14" ht="11.25" customHeight="1" x14ac:dyDescent="0.3">
      <c r="G4798" s="470"/>
      <c r="H4798" s="470">
        <v>4791</v>
      </c>
      <c r="I4798" s="455">
        <f t="shared" ca="1" si="175"/>
        <v>111616946764241.95</v>
      </c>
      <c r="J4798" s="455">
        <f t="array" ref="J4798">IFERROR(INDEX('Retirement Calculator'!K:K,MATCH('Lorri 401b'!N4798,'Retirement Calculator'!A:A,0),0),0)</f>
        <v>0</v>
      </c>
      <c r="K4798" s="455">
        <f t="shared" ca="1" si="173"/>
        <v>465070611517.6748</v>
      </c>
      <c r="L4798" s="455">
        <f t="shared" ca="1" si="174"/>
        <v>112082017375759.63</v>
      </c>
      <c r="M4798" s="471">
        <f t="shared" si="176"/>
        <v>0.05</v>
      </c>
      <c r="N4798" s="475">
        <f t="shared" si="177"/>
        <v>197080</v>
      </c>
    </row>
    <row r="4799" spans="7:14" ht="11.25" customHeight="1" x14ac:dyDescent="0.3">
      <c r="G4799" s="470"/>
      <c r="H4799" s="470">
        <v>4792</v>
      </c>
      <c r="I4799" s="455">
        <f t="shared" ca="1" si="175"/>
        <v>112082017375759.63</v>
      </c>
      <c r="J4799" s="455">
        <f t="array" ref="J4799">IFERROR(INDEX('Retirement Calculator'!K:K,MATCH('Lorri 401b'!N4799,'Retirement Calculator'!A:A,0),0),0)</f>
        <v>0</v>
      </c>
      <c r="K4799" s="455">
        <f t="shared" ca="1" si="173"/>
        <v>467008405732.33179</v>
      </c>
      <c r="L4799" s="455">
        <f t="shared" ca="1" si="174"/>
        <v>112549025781491.95</v>
      </c>
      <c r="M4799" s="471">
        <f t="shared" si="176"/>
        <v>0.05</v>
      </c>
      <c r="N4799" s="475">
        <f t="shared" si="177"/>
        <v>197111</v>
      </c>
    </row>
    <row r="4800" spans="7:14" ht="11.25" customHeight="1" x14ac:dyDescent="0.3">
      <c r="G4800" s="470"/>
      <c r="H4800" s="470">
        <v>4793</v>
      </c>
      <c r="I4800" s="455">
        <f t="shared" ca="1" si="175"/>
        <v>112549025781491.95</v>
      </c>
      <c r="J4800" s="455">
        <f t="array" ref="J4800">IFERROR(INDEX('Retirement Calculator'!K:K,MATCH('Lorri 401b'!N4800,'Retirement Calculator'!A:A,0),0),0)</f>
        <v>0</v>
      </c>
      <c r="K4800" s="455">
        <f t="shared" ca="1" si="173"/>
        <v>468954274089.5498</v>
      </c>
      <c r="L4800" s="455">
        <f t="shared" ca="1" si="174"/>
        <v>113017980055581.5</v>
      </c>
      <c r="M4800" s="471">
        <f t="shared" si="176"/>
        <v>0.05</v>
      </c>
      <c r="N4800" s="475">
        <f t="shared" si="177"/>
        <v>197141</v>
      </c>
    </row>
    <row r="4801" spans="7:14" ht="11.25" customHeight="1" x14ac:dyDescent="0.3">
      <c r="G4801" s="470"/>
      <c r="H4801" s="470">
        <v>4794</v>
      </c>
      <c r="I4801" s="455">
        <f t="shared" ca="1" si="175"/>
        <v>113017980055581.5</v>
      </c>
      <c r="J4801" s="455">
        <f t="array" ref="J4801">IFERROR(INDEX('Retirement Calculator'!K:K,MATCH('Lorri 401b'!N4801,'Retirement Calculator'!A:A,0),0),0)</f>
        <v>0</v>
      </c>
      <c r="K4801" s="455">
        <f t="shared" ca="1" si="173"/>
        <v>470908250231.58966</v>
      </c>
      <c r="L4801" s="455">
        <f t="shared" ca="1" si="174"/>
        <v>113488888305813.09</v>
      </c>
      <c r="M4801" s="471">
        <f t="shared" si="176"/>
        <v>0.05</v>
      </c>
      <c r="N4801" s="475">
        <f t="shared" si="177"/>
        <v>197172</v>
      </c>
    </row>
    <row r="4802" spans="7:14" ht="11.25" customHeight="1" x14ac:dyDescent="0.3">
      <c r="G4802" s="470"/>
      <c r="H4802" s="470">
        <v>4795</v>
      </c>
      <c r="I4802" s="455">
        <f t="shared" ca="1" si="175"/>
        <v>113488888305813.09</v>
      </c>
      <c r="J4802" s="455">
        <f t="array" ref="J4802">IFERROR(INDEX('Retirement Calculator'!K:K,MATCH('Lorri 401b'!N4802,'Retirement Calculator'!A:A,0),0),0)</f>
        <v>0</v>
      </c>
      <c r="K4802" s="455">
        <f t="shared" ca="1" si="173"/>
        <v>472870367940.88788</v>
      </c>
      <c r="L4802" s="455">
        <f t="shared" ca="1" si="174"/>
        <v>113961758673753.98</v>
      </c>
      <c r="M4802" s="471">
        <f t="shared" si="176"/>
        <v>0.05</v>
      </c>
      <c r="N4802" s="475">
        <f t="shared" si="177"/>
        <v>197202</v>
      </c>
    </row>
    <row r="4803" spans="7:14" ht="11.25" customHeight="1" x14ac:dyDescent="0.3">
      <c r="G4803" s="470"/>
      <c r="H4803" s="470">
        <v>4796</v>
      </c>
      <c r="I4803" s="455">
        <f t="shared" ca="1" si="175"/>
        <v>113961758673753.98</v>
      </c>
      <c r="J4803" s="455">
        <f t="array" ref="J4803">IFERROR(INDEX('Retirement Calculator'!K:K,MATCH('Lorri 401b'!N4803,'Retirement Calculator'!A:A,0),0),0)</f>
        <v>0</v>
      </c>
      <c r="K4803" s="455">
        <f t="shared" ca="1" si="173"/>
        <v>474840661140.64154</v>
      </c>
      <c r="L4803" s="455">
        <f t="shared" ca="1" si="174"/>
        <v>114436599334894.63</v>
      </c>
      <c r="M4803" s="471">
        <f t="shared" si="176"/>
        <v>0.05</v>
      </c>
      <c r="N4803" s="475">
        <f t="shared" si="177"/>
        <v>197233</v>
      </c>
    </row>
    <row r="4804" spans="7:14" ht="11.25" customHeight="1" x14ac:dyDescent="0.3">
      <c r="G4804" s="470"/>
      <c r="H4804" s="470">
        <v>4797</v>
      </c>
      <c r="I4804" s="455">
        <f t="shared" ca="1" si="175"/>
        <v>114436599334894.63</v>
      </c>
      <c r="J4804" s="455">
        <f t="array" ref="J4804">IFERROR(INDEX('Retirement Calculator'!K:K,MATCH('Lorri 401b'!N4804,'Retirement Calculator'!A:A,0),0),0)</f>
        <v>0</v>
      </c>
      <c r="K4804" s="455">
        <f t="shared" ca="1" si="173"/>
        <v>476819163895.39435</v>
      </c>
      <c r="L4804" s="455">
        <f t="shared" ca="1" si="174"/>
        <v>114913418498790.02</v>
      </c>
      <c r="M4804" s="471">
        <f t="shared" si="176"/>
        <v>0.05</v>
      </c>
      <c r="N4804" s="475">
        <f t="shared" si="177"/>
        <v>197264</v>
      </c>
    </row>
    <row r="4805" spans="7:14" ht="11.25" customHeight="1" x14ac:dyDescent="0.3">
      <c r="G4805" s="470"/>
      <c r="H4805" s="470">
        <v>4798</v>
      </c>
      <c r="I4805" s="455">
        <f t="shared" ca="1" si="175"/>
        <v>114913418498790.02</v>
      </c>
      <c r="J4805" s="455">
        <f t="array" ref="J4805">IFERROR(INDEX('Retirement Calculator'!K:K,MATCH('Lorri 401b'!N4805,'Retirement Calculator'!A:A,0),0),0)</f>
        <v>0</v>
      </c>
      <c r="K4805" s="455">
        <f t="shared" ca="1" si="173"/>
        <v>478805910411.62512</v>
      </c>
      <c r="L4805" s="455">
        <f t="shared" ca="1" si="174"/>
        <v>115392224409201.64</v>
      </c>
      <c r="M4805" s="471">
        <f t="shared" si="176"/>
        <v>0.05</v>
      </c>
      <c r="N4805" s="475">
        <f t="shared" si="177"/>
        <v>197293</v>
      </c>
    </row>
    <row r="4806" spans="7:14" ht="11.25" customHeight="1" x14ac:dyDescent="0.3">
      <c r="G4806" s="470"/>
      <c r="H4806" s="470">
        <v>4799</v>
      </c>
      <c r="I4806" s="455">
        <f t="shared" ca="1" si="175"/>
        <v>115392224409201.64</v>
      </c>
      <c r="J4806" s="455">
        <f t="array" ref="J4806">IFERROR(INDEX('Retirement Calculator'!K:K,MATCH('Lorri 401b'!N4806,'Retirement Calculator'!A:A,0),0),0)</f>
        <v>0</v>
      </c>
      <c r="K4806" s="455">
        <f t="shared" ca="1" si="173"/>
        <v>480800935038.34015</v>
      </c>
      <c r="L4806" s="455">
        <f t="shared" ca="1" si="174"/>
        <v>115873025344239.98</v>
      </c>
      <c r="M4806" s="471">
        <f t="shared" si="176"/>
        <v>0.05</v>
      </c>
      <c r="N4806" s="475">
        <f t="shared" si="177"/>
        <v>197324</v>
      </c>
    </row>
    <row r="4807" spans="7:14" ht="11.25" customHeight="1" x14ac:dyDescent="0.3">
      <c r="G4807" s="470"/>
      <c r="H4807" s="470">
        <v>4800</v>
      </c>
      <c r="I4807" s="455">
        <f t="shared" ca="1" si="175"/>
        <v>115873025344239.98</v>
      </c>
      <c r="J4807" s="455">
        <f t="array" ref="J4807">IFERROR(INDEX('Retirement Calculator'!K:K,MATCH('Lorri 401b'!N4807,'Retirement Calculator'!A:A,0),0),0)</f>
        <v>0</v>
      </c>
      <c r="K4807" s="455">
        <f t="shared" ca="1" si="173"/>
        <v>482804272267.66656</v>
      </c>
      <c r="L4807" s="455">
        <f t="shared" ca="1" si="174"/>
        <v>116355829616507.66</v>
      </c>
      <c r="M4807" s="471">
        <f t="shared" si="176"/>
        <v>0.05</v>
      </c>
      <c r="N4807" s="475">
        <f t="shared" si="177"/>
        <v>197354</v>
      </c>
    </row>
    <row r="4808" spans="7:14" ht="11.25" customHeight="1" x14ac:dyDescent="0.3">
      <c r="G4808" s="470"/>
      <c r="H4808" s="470">
        <v>4801</v>
      </c>
      <c r="I4808" s="455">
        <f t="shared" ca="1" si="175"/>
        <v>116355829616507.66</v>
      </c>
      <c r="J4808" s="455">
        <f t="array" ref="J4808">IFERROR(INDEX('Retirement Calculator'!K:K,MATCH('Lorri 401b'!N4808,'Retirement Calculator'!A:A,0),0),0)</f>
        <v>0</v>
      </c>
      <c r="K4808" s="455">
        <f t="shared" ca="1" si="173"/>
        <v>484815956735.44849</v>
      </c>
      <c r="L4808" s="455">
        <f t="shared" ca="1" si="174"/>
        <v>116840645573243.11</v>
      </c>
      <c r="M4808" s="471">
        <f t="shared" si="176"/>
        <v>0.05</v>
      </c>
      <c r="N4808" s="475">
        <f t="shared" si="177"/>
        <v>197385</v>
      </c>
    </row>
    <row r="4809" spans="7:14" ht="11.25" customHeight="1" x14ac:dyDescent="0.3">
      <c r="G4809" s="470"/>
      <c r="H4809" s="470">
        <v>4802</v>
      </c>
      <c r="I4809" s="455">
        <f t="shared" ca="1" si="175"/>
        <v>116840645573243.11</v>
      </c>
      <c r="J4809" s="455">
        <f t="array" ref="J4809">IFERROR(INDEX('Retirement Calculator'!K:K,MATCH('Lorri 401b'!N4809,'Retirement Calculator'!A:A,0),0),0)</f>
        <v>0</v>
      </c>
      <c r="K4809" s="455">
        <f t="shared" ca="1" si="173"/>
        <v>486836023221.84625</v>
      </c>
      <c r="L4809" s="455">
        <f t="shared" ca="1" si="174"/>
        <v>117327481596464.95</v>
      </c>
      <c r="M4809" s="471">
        <f t="shared" si="176"/>
        <v>0.05</v>
      </c>
      <c r="N4809" s="475">
        <f t="shared" si="177"/>
        <v>197415</v>
      </c>
    </row>
    <row r="4810" spans="7:14" ht="11.25" customHeight="1" x14ac:dyDescent="0.3">
      <c r="G4810" s="470"/>
      <c r="H4810" s="470">
        <v>4803</v>
      </c>
      <c r="I4810" s="455">
        <f t="shared" ca="1" si="175"/>
        <v>117327481596464.95</v>
      </c>
      <c r="J4810" s="455">
        <f t="array" ref="J4810">IFERROR(INDEX('Retirement Calculator'!K:K,MATCH('Lorri 401b'!N4810,'Retirement Calculator'!A:A,0),0),0)</f>
        <v>0</v>
      </c>
      <c r="K4810" s="455">
        <f t="shared" ca="1" si="173"/>
        <v>488864506651.93732</v>
      </c>
      <c r="L4810" s="455">
        <f t="shared" ca="1" si="174"/>
        <v>117816346103116.89</v>
      </c>
      <c r="M4810" s="471">
        <f t="shared" si="176"/>
        <v>0.05</v>
      </c>
      <c r="N4810" s="475">
        <f t="shared" si="177"/>
        <v>197446</v>
      </c>
    </row>
    <row r="4811" spans="7:14" ht="11.25" customHeight="1" x14ac:dyDescent="0.3">
      <c r="G4811" s="470"/>
      <c r="H4811" s="470">
        <v>4804</v>
      </c>
      <c r="I4811" s="455">
        <f t="shared" ca="1" si="175"/>
        <v>117816346103116.89</v>
      </c>
      <c r="J4811" s="455">
        <f t="array" ref="J4811">IFERROR(INDEX('Retirement Calculator'!K:K,MATCH('Lorri 401b'!N4811,'Retirement Calculator'!A:A,0),0),0)</f>
        <v>0</v>
      </c>
      <c r="K4811" s="455">
        <f t="shared" ca="1" si="173"/>
        <v>490901442096.32031</v>
      </c>
      <c r="L4811" s="455">
        <f t="shared" ca="1" si="174"/>
        <v>118307247545213.22</v>
      </c>
      <c r="M4811" s="471">
        <f t="shared" si="176"/>
        <v>0.05</v>
      </c>
      <c r="N4811" s="475">
        <f t="shared" si="177"/>
        <v>197477</v>
      </c>
    </row>
    <row r="4812" spans="7:14" ht="11.25" customHeight="1" x14ac:dyDescent="0.3">
      <c r="G4812" s="470"/>
      <c r="H4812" s="470">
        <v>4805</v>
      </c>
      <c r="I4812" s="455">
        <f t="shared" ca="1" si="175"/>
        <v>118307247545213.22</v>
      </c>
      <c r="J4812" s="455">
        <f t="array" ref="J4812">IFERROR(INDEX('Retirement Calculator'!K:K,MATCH('Lorri 401b'!N4812,'Retirement Calculator'!A:A,0),0),0)</f>
        <v>0</v>
      </c>
      <c r="K4812" s="455">
        <f t="shared" ca="1" si="173"/>
        <v>492946864771.72174</v>
      </c>
      <c r="L4812" s="455">
        <f t="shared" ca="1" si="174"/>
        <v>118800194409984.94</v>
      </c>
      <c r="M4812" s="471">
        <f t="shared" si="176"/>
        <v>0.05</v>
      </c>
      <c r="N4812" s="475">
        <f t="shared" si="177"/>
        <v>197507</v>
      </c>
    </row>
    <row r="4813" spans="7:14" ht="11.25" customHeight="1" x14ac:dyDescent="0.3">
      <c r="G4813" s="470"/>
      <c r="H4813" s="470">
        <v>4806</v>
      </c>
      <c r="I4813" s="455">
        <f t="shared" ca="1" si="175"/>
        <v>118800194409984.94</v>
      </c>
      <c r="J4813" s="455">
        <f t="array" ref="J4813">IFERROR(INDEX('Retirement Calculator'!K:K,MATCH('Lorri 401b'!N4813,'Retirement Calculator'!A:A,0),0),0)</f>
        <v>0</v>
      </c>
      <c r="K4813" s="455">
        <f t="shared" ca="1" si="173"/>
        <v>495000810041.60388</v>
      </c>
      <c r="L4813" s="455">
        <f t="shared" ca="1" si="174"/>
        <v>119295195220026.55</v>
      </c>
      <c r="M4813" s="471">
        <f t="shared" si="176"/>
        <v>0.05</v>
      </c>
      <c r="N4813" s="475">
        <f t="shared" si="177"/>
        <v>197538</v>
      </c>
    </row>
    <row r="4814" spans="7:14" ht="11.25" customHeight="1" x14ac:dyDescent="0.3">
      <c r="G4814" s="470"/>
      <c r="H4814" s="470">
        <v>4807</v>
      </c>
      <c r="I4814" s="455">
        <f t="shared" ca="1" si="175"/>
        <v>119295195220026.55</v>
      </c>
      <c r="J4814" s="455">
        <f t="array" ref="J4814">IFERROR(INDEX('Retirement Calculator'!K:K,MATCH('Lorri 401b'!N4814,'Retirement Calculator'!A:A,0),0),0)</f>
        <v>0</v>
      </c>
      <c r="K4814" s="455">
        <f t="shared" ca="1" si="173"/>
        <v>497063313416.77728</v>
      </c>
      <c r="L4814" s="455">
        <f t="shared" ca="1" si="174"/>
        <v>119792258533443.33</v>
      </c>
      <c r="M4814" s="471">
        <f t="shared" si="176"/>
        <v>0.05</v>
      </c>
      <c r="N4814" s="475">
        <f t="shared" si="177"/>
        <v>197568</v>
      </c>
    </row>
    <row r="4815" spans="7:14" ht="11.25" customHeight="1" x14ac:dyDescent="0.3">
      <c r="G4815" s="470"/>
      <c r="H4815" s="470">
        <v>4808</v>
      </c>
      <c r="I4815" s="455">
        <f t="shared" ca="1" si="175"/>
        <v>119792258533443.33</v>
      </c>
      <c r="J4815" s="455">
        <f t="array" ref="J4815">IFERROR(INDEX('Retirement Calculator'!K:K,MATCH('Lorri 401b'!N4815,'Retirement Calculator'!A:A,0),0),0)</f>
        <v>0</v>
      </c>
      <c r="K4815" s="455">
        <f t="shared" ca="1" si="173"/>
        <v>499134410556.01385</v>
      </c>
      <c r="L4815" s="455">
        <f t="shared" ca="1" si="174"/>
        <v>120291392943999.34</v>
      </c>
      <c r="M4815" s="471">
        <f t="shared" si="176"/>
        <v>0.05</v>
      </c>
      <c r="N4815" s="475">
        <f t="shared" si="177"/>
        <v>197599</v>
      </c>
    </row>
    <row r="4816" spans="7:14" ht="11.25" customHeight="1" x14ac:dyDescent="0.3">
      <c r="G4816" s="470"/>
      <c r="H4816" s="470">
        <v>4809</v>
      </c>
      <c r="I4816" s="455">
        <f t="shared" ca="1" si="175"/>
        <v>120291392943999.34</v>
      </c>
      <c r="J4816" s="455">
        <f t="array" ref="J4816">IFERROR(INDEX('Retirement Calculator'!K:K,MATCH('Lorri 401b'!N4816,'Retirement Calculator'!A:A,0),0),0)</f>
        <v>0</v>
      </c>
      <c r="K4816" s="455">
        <f t="shared" ca="1" si="173"/>
        <v>501214137266.66394</v>
      </c>
      <c r="L4816" s="455">
        <f t="shared" ca="1" si="174"/>
        <v>120792607081266</v>
      </c>
      <c r="M4816" s="471">
        <f t="shared" si="176"/>
        <v>0.05</v>
      </c>
      <c r="N4816" s="475">
        <f t="shared" si="177"/>
        <v>197630</v>
      </c>
    </row>
    <row r="4817" spans="7:14" ht="11.25" customHeight="1" x14ac:dyDescent="0.3">
      <c r="G4817" s="470"/>
      <c r="H4817" s="470">
        <v>4810</v>
      </c>
      <c r="I4817" s="455">
        <f t="shared" ca="1" si="175"/>
        <v>120792607081266</v>
      </c>
      <c r="J4817" s="455">
        <f t="array" ref="J4817">IFERROR(INDEX('Retirement Calculator'!K:K,MATCH('Lorri 401b'!N4817,'Retirement Calculator'!A:A,0),0),0)</f>
        <v>0</v>
      </c>
      <c r="K4817" s="455">
        <f t="shared" ca="1" si="173"/>
        <v>503302529505.2749</v>
      </c>
      <c r="L4817" s="455">
        <f t="shared" ca="1" si="174"/>
        <v>121295909610771.28</v>
      </c>
      <c r="M4817" s="471">
        <f t="shared" si="176"/>
        <v>0.05</v>
      </c>
      <c r="N4817" s="475">
        <f t="shared" si="177"/>
        <v>197658</v>
      </c>
    </row>
    <row r="4818" spans="7:14" ht="11.25" customHeight="1" x14ac:dyDescent="0.3">
      <c r="G4818" s="470"/>
      <c r="H4818" s="470">
        <v>4811</v>
      </c>
      <c r="I4818" s="455">
        <f t="shared" ca="1" si="175"/>
        <v>121295909610771.28</v>
      </c>
      <c r="J4818" s="455">
        <f t="array" ref="J4818">IFERROR(INDEX('Retirement Calculator'!K:K,MATCH('Lorri 401b'!N4818,'Retirement Calculator'!A:A,0),0),0)</f>
        <v>0</v>
      </c>
      <c r="K4818" s="455">
        <f t="shared" ca="1" si="173"/>
        <v>505399623378.21375</v>
      </c>
      <c r="L4818" s="455">
        <f t="shared" ca="1" si="174"/>
        <v>121801309234149.5</v>
      </c>
      <c r="M4818" s="471">
        <f t="shared" si="176"/>
        <v>0.05</v>
      </c>
      <c r="N4818" s="475">
        <f t="shared" si="177"/>
        <v>197689</v>
      </c>
    </row>
    <row r="4819" spans="7:14" ht="11.25" customHeight="1" x14ac:dyDescent="0.3">
      <c r="G4819" s="470"/>
      <c r="H4819" s="470">
        <v>4812</v>
      </c>
      <c r="I4819" s="455">
        <f t="shared" ca="1" si="175"/>
        <v>121801309234149.5</v>
      </c>
      <c r="J4819" s="455">
        <f t="array" ref="J4819">IFERROR(INDEX('Retirement Calculator'!K:K,MATCH('Lorri 401b'!N4819,'Retirement Calculator'!A:A,0),0),0)</f>
        <v>0</v>
      </c>
      <c r="K4819" s="455">
        <f t="shared" ca="1" si="173"/>
        <v>507505455142.28955</v>
      </c>
      <c r="L4819" s="455">
        <f t="shared" ca="1" si="174"/>
        <v>122308814689291.8</v>
      </c>
      <c r="M4819" s="471">
        <f t="shared" si="176"/>
        <v>0.05</v>
      </c>
      <c r="N4819" s="475">
        <f t="shared" si="177"/>
        <v>197719</v>
      </c>
    </row>
    <row r="4820" spans="7:14" ht="11.25" customHeight="1" x14ac:dyDescent="0.3">
      <c r="G4820" s="470"/>
      <c r="H4820" s="470">
        <v>4813</v>
      </c>
      <c r="I4820" s="455">
        <f t="shared" ca="1" si="175"/>
        <v>122308814689291.8</v>
      </c>
      <c r="J4820" s="455">
        <f t="array" ref="J4820">IFERROR(INDEX('Retirement Calculator'!K:K,MATCH('Lorri 401b'!N4820,'Retirement Calculator'!A:A,0),0),0)</f>
        <v>0</v>
      </c>
      <c r="K4820" s="455">
        <f t="shared" ca="1" si="173"/>
        <v>509620061205.38251</v>
      </c>
      <c r="L4820" s="455">
        <f t="shared" ca="1" si="174"/>
        <v>122818434750497.17</v>
      </c>
      <c r="M4820" s="471">
        <f t="shared" si="176"/>
        <v>0.05</v>
      </c>
      <c r="N4820" s="475">
        <f t="shared" si="177"/>
        <v>197750</v>
      </c>
    </row>
    <row r="4821" spans="7:14" ht="11.25" customHeight="1" x14ac:dyDescent="0.3">
      <c r="G4821" s="470"/>
      <c r="H4821" s="470">
        <v>4814</v>
      </c>
      <c r="I4821" s="455">
        <f t="shared" ca="1" si="175"/>
        <v>122818434750497.17</v>
      </c>
      <c r="J4821" s="455">
        <f t="array" ref="J4821">IFERROR(INDEX('Retirement Calculator'!K:K,MATCH('Lorri 401b'!N4821,'Retirement Calculator'!A:A,0),0),0)</f>
        <v>0</v>
      </c>
      <c r="K4821" s="455">
        <f t="shared" ca="1" si="173"/>
        <v>511743478127.07153</v>
      </c>
      <c r="L4821" s="455">
        <f t="shared" ca="1" si="174"/>
        <v>123330178228624.25</v>
      </c>
      <c r="M4821" s="471">
        <f t="shared" si="176"/>
        <v>0.05</v>
      </c>
      <c r="N4821" s="475">
        <f t="shared" si="177"/>
        <v>197780</v>
      </c>
    </row>
    <row r="4822" spans="7:14" ht="11.25" customHeight="1" x14ac:dyDescent="0.3">
      <c r="G4822" s="470"/>
      <c r="H4822" s="470">
        <v>4815</v>
      </c>
      <c r="I4822" s="455">
        <f t="shared" ca="1" si="175"/>
        <v>123330178228624.25</v>
      </c>
      <c r="J4822" s="455">
        <f t="array" ref="J4822">IFERROR(INDEX('Retirement Calculator'!K:K,MATCH('Lorri 401b'!N4822,'Retirement Calculator'!A:A,0),0),0)</f>
        <v>0</v>
      </c>
      <c r="K4822" s="455">
        <f t="shared" ca="1" si="173"/>
        <v>513875742619.2677</v>
      </c>
      <c r="L4822" s="455">
        <f t="shared" ca="1" si="174"/>
        <v>123844053971243.52</v>
      </c>
      <c r="M4822" s="471">
        <f t="shared" si="176"/>
        <v>0.05</v>
      </c>
      <c r="N4822" s="475">
        <f t="shared" si="177"/>
        <v>197811</v>
      </c>
    </row>
    <row r="4823" spans="7:14" ht="11.25" customHeight="1" x14ac:dyDescent="0.3">
      <c r="G4823" s="470"/>
      <c r="H4823" s="470">
        <v>4816</v>
      </c>
      <c r="I4823" s="455">
        <f t="shared" ca="1" si="175"/>
        <v>123844053971243.52</v>
      </c>
      <c r="J4823" s="455">
        <f t="array" ref="J4823">IFERROR(INDEX('Retirement Calculator'!K:K,MATCH('Lorri 401b'!N4823,'Retirement Calculator'!A:A,0),0),0)</f>
        <v>0</v>
      </c>
      <c r="K4823" s="455">
        <f t="shared" ca="1" si="173"/>
        <v>516016891546.8479</v>
      </c>
      <c r="L4823" s="455">
        <f t="shared" ca="1" si="174"/>
        <v>124360070862790.36</v>
      </c>
      <c r="M4823" s="471">
        <f t="shared" si="176"/>
        <v>0.05</v>
      </c>
      <c r="N4823" s="475">
        <f t="shared" si="177"/>
        <v>197842</v>
      </c>
    </row>
    <row r="4824" spans="7:14" ht="11.25" customHeight="1" x14ac:dyDescent="0.3">
      <c r="G4824" s="470"/>
      <c r="H4824" s="470">
        <v>4817</v>
      </c>
      <c r="I4824" s="455">
        <f t="shared" ca="1" si="175"/>
        <v>124360070862790.36</v>
      </c>
      <c r="J4824" s="455">
        <f t="array" ref="J4824">IFERROR(INDEX('Retirement Calculator'!K:K,MATCH('Lorri 401b'!N4824,'Retirement Calculator'!A:A,0),0),0)</f>
        <v>0</v>
      </c>
      <c r="K4824" s="455">
        <f t="shared" ca="1" si="173"/>
        <v>518166961928.29321</v>
      </c>
      <c r="L4824" s="455">
        <f t="shared" ca="1" si="174"/>
        <v>124878237824718.66</v>
      </c>
      <c r="M4824" s="471">
        <f t="shared" si="176"/>
        <v>0.05</v>
      </c>
      <c r="N4824" s="475">
        <f t="shared" si="177"/>
        <v>197872</v>
      </c>
    </row>
    <row r="4825" spans="7:14" ht="11.25" customHeight="1" x14ac:dyDescent="0.3">
      <c r="G4825" s="470"/>
      <c r="H4825" s="470">
        <v>4818</v>
      </c>
      <c r="I4825" s="455">
        <f t="shared" ca="1" si="175"/>
        <v>124878237824718.66</v>
      </c>
      <c r="J4825" s="455">
        <f t="array" ref="J4825">IFERROR(INDEX('Retirement Calculator'!K:K,MATCH('Lorri 401b'!N4825,'Retirement Calculator'!A:A,0),0),0)</f>
        <v>0</v>
      </c>
      <c r="K4825" s="455">
        <f t="shared" ca="1" si="173"/>
        <v>520325990936.3277</v>
      </c>
      <c r="L4825" s="455">
        <f t="shared" ca="1" si="174"/>
        <v>125398563815654.98</v>
      </c>
      <c r="M4825" s="471">
        <f t="shared" si="176"/>
        <v>0.05</v>
      </c>
      <c r="N4825" s="475">
        <f t="shared" si="177"/>
        <v>197903</v>
      </c>
    </row>
    <row r="4826" spans="7:14" ht="11.25" customHeight="1" x14ac:dyDescent="0.3">
      <c r="G4826" s="470"/>
      <c r="H4826" s="470">
        <v>4819</v>
      </c>
      <c r="I4826" s="455">
        <f t="shared" ca="1" si="175"/>
        <v>125398563815654.98</v>
      </c>
      <c r="J4826" s="455">
        <f t="array" ref="J4826">IFERROR(INDEX('Retirement Calculator'!K:K,MATCH('Lorri 401b'!N4826,'Retirement Calculator'!A:A,0),0),0)</f>
        <v>0</v>
      </c>
      <c r="K4826" s="455">
        <f t="shared" ca="1" si="173"/>
        <v>522494015898.56244</v>
      </c>
      <c r="L4826" s="455">
        <f t="shared" ca="1" si="174"/>
        <v>125921057831553.55</v>
      </c>
      <c r="M4826" s="471">
        <f t="shared" si="176"/>
        <v>0.05</v>
      </c>
      <c r="N4826" s="475">
        <f t="shared" si="177"/>
        <v>197933</v>
      </c>
    </row>
    <row r="4827" spans="7:14" ht="11.25" customHeight="1" x14ac:dyDescent="0.3">
      <c r="G4827" s="470"/>
      <c r="H4827" s="470">
        <v>4820</v>
      </c>
      <c r="I4827" s="455">
        <f t="shared" ca="1" si="175"/>
        <v>125921057831553.55</v>
      </c>
      <c r="J4827" s="455">
        <f t="array" ref="J4827">IFERROR(INDEX('Retirement Calculator'!K:K,MATCH('Lorri 401b'!N4827,'Retirement Calculator'!A:A,0),0),0)</f>
        <v>0</v>
      </c>
      <c r="K4827" s="455">
        <f t="shared" ca="1" si="173"/>
        <v>524671074298.13983</v>
      </c>
      <c r="L4827" s="455">
        <f t="shared" ca="1" si="174"/>
        <v>126445728905851.69</v>
      </c>
      <c r="M4827" s="471">
        <f t="shared" si="176"/>
        <v>0.05</v>
      </c>
      <c r="N4827" s="475">
        <f t="shared" si="177"/>
        <v>197964</v>
      </c>
    </row>
    <row r="4828" spans="7:14" ht="11.25" customHeight="1" x14ac:dyDescent="0.3">
      <c r="G4828" s="470"/>
      <c r="H4828" s="470">
        <v>4821</v>
      </c>
      <c r="I4828" s="455">
        <f t="shared" ca="1" si="175"/>
        <v>126445728905851.69</v>
      </c>
      <c r="J4828" s="455">
        <f t="array" ref="J4828">IFERROR(INDEX('Retirement Calculator'!K:K,MATCH('Lorri 401b'!N4828,'Retirement Calculator'!A:A,0),0),0)</f>
        <v>0</v>
      </c>
      <c r="K4828" s="455">
        <f t="shared" ca="1" si="173"/>
        <v>526857203774.38202</v>
      </c>
      <c r="L4828" s="455">
        <f t="shared" ca="1" si="174"/>
        <v>126972586109626.06</v>
      </c>
      <c r="M4828" s="471">
        <f t="shared" si="176"/>
        <v>0.05</v>
      </c>
      <c r="N4828" s="475">
        <f t="shared" si="177"/>
        <v>197995</v>
      </c>
    </row>
    <row r="4829" spans="7:14" ht="11.25" customHeight="1" x14ac:dyDescent="0.3">
      <c r="G4829" s="470"/>
      <c r="H4829" s="470">
        <v>4822</v>
      </c>
      <c r="I4829" s="455">
        <f t="shared" ca="1" si="175"/>
        <v>126972586109626.06</v>
      </c>
      <c r="J4829" s="455">
        <f t="array" ref="J4829">IFERROR(INDEX('Retirement Calculator'!K:K,MATCH('Lorri 401b'!N4829,'Retirement Calculator'!A:A,0),0),0)</f>
        <v>0</v>
      </c>
      <c r="K4829" s="455">
        <f t="shared" ca="1" si="173"/>
        <v>529052442123.44189</v>
      </c>
      <c r="L4829" s="455">
        <f t="shared" ca="1" si="174"/>
        <v>127501638551749.5</v>
      </c>
      <c r="M4829" s="471">
        <f t="shared" si="176"/>
        <v>0.05</v>
      </c>
      <c r="N4829" s="475">
        <f t="shared" si="177"/>
        <v>198023</v>
      </c>
    </row>
    <row r="4830" spans="7:14" ht="11.25" customHeight="1" x14ac:dyDescent="0.3">
      <c r="G4830" s="470"/>
      <c r="H4830" s="470">
        <v>4823</v>
      </c>
      <c r="I4830" s="455">
        <f t="shared" ca="1" si="175"/>
        <v>127501638551749.5</v>
      </c>
      <c r="J4830" s="455">
        <f t="array" ref="J4830">IFERROR(INDEX('Retirement Calculator'!K:K,MATCH('Lorri 401b'!N4830,'Retirement Calculator'!A:A,0),0),0)</f>
        <v>0</v>
      </c>
      <c r="K4830" s="455">
        <f t="shared" ca="1" si="173"/>
        <v>531256827298.9563</v>
      </c>
      <c r="L4830" s="455">
        <f t="shared" ca="1" si="174"/>
        <v>128032895379048.45</v>
      </c>
      <c r="M4830" s="471">
        <f t="shared" si="176"/>
        <v>0.05</v>
      </c>
      <c r="N4830" s="475">
        <f t="shared" si="177"/>
        <v>198054</v>
      </c>
    </row>
    <row r="4831" spans="7:14" ht="11.25" customHeight="1" x14ac:dyDescent="0.3">
      <c r="G4831" s="470"/>
      <c r="H4831" s="470">
        <v>4824</v>
      </c>
      <c r="I4831" s="455">
        <f t="shared" ca="1" si="175"/>
        <v>128032895379048.45</v>
      </c>
      <c r="J4831" s="455">
        <f t="array" ref="J4831">IFERROR(INDEX('Retirement Calculator'!K:K,MATCH('Lorri 401b'!N4831,'Retirement Calculator'!A:A,0),0),0)</f>
        <v>0</v>
      </c>
      <c r="K4831" s="455">
        <f t="shared" ca="1" si="173"/>
        <v>533470397412.7019</v>
      </c>
      <c r="L4831" s="455">
        <f t="shared" ca="1" si="174"/>
        <v>128566365776461.16</v>
      </c>
      <c r="M4831" s="471">
        <f t="shared" si="176"/>
        <v>0.05</v>
      </c>
      <c r="N4831" s="475">
        <f t="shared" si="177"/>
        <v>198084</v>
      </c>
    </row>
    <row r="4832" spans="7:14" ht="11.25" customHeight="1" x14ac:dyDescent="0.3">
      <c r="G4832" s="470"/>
      <c r="H4832" s="470">
        <v>4825</v>
      </c>
      <c r="I4832" s="455">
        <f t="shared" ca="1" si="175"/>
        <v>128566365776461.16</v>
      </c>
      <c r="J4832" s="455">
        <f t="array" ref="J4832">IFERROR(INDEX('Retirement Calculator'!K:K,MATCH('Lorri 401b'!N4832,'Retirement Calculator'!A:A,0),0),0)</f>
        <v>0</v>
      </c>
      <c r="K4832" s="455">
        <f t="shared" ca="1" si="173"/>
        <v>535693190735.25482</v>
      </c>
      <c r="L4832" s="455">
        <f t="shared" ca="1" si="174"/>
        <v>129102058967196.41</v>
      </c>
      <c r="M4832" s="471">
        <f t="shared" si="176"/>
        <v>0.05</v>
      </c>
      <c r="N4832" s="475">
        <f t="shared" si="177"/>
        <v>198115</v>
      </c>
    </row>
    <row r="4833" spans="7:14" ht="11.25" customHeight="1" x14ac:dyDescent="0.3">
      <c r="G4833" s="470"/>
      <c r="H4833" s="470">
        <v>4826</v>
      </c>
      <c r="I4833" s="455">
        <f t="shared" ca="1" si="175"/>
        <v>129102058967196.41</v>
      </c>
      <c r="J4833" s="455">
        <f t="array" ref="J4833">IFERROR(INDEX('Retirement Calculator'!K:K,MATCH('Lorri 401b'!N4833,'Retirement Calculator'!A:A,0),0),0)</f>
        <v>0</v>
      </c>
      <c r="K4833" s="455">
        <f t="shared" ca="1" si="173"/>
        <v>537925245696.65161</v>
      </c>
      <c r="L4833" s="455">
        <f t="shared" ca="1" si="174"/>
        <v>129639984212893.06</v>
      </c>
      <c r="M4833" s="471">
        <f t="shared" si="176"/>
        <v>0.05</v>
      </c>
      <c r="N4833" s="475">
        <f t="shared" si="177"/>
        <v>198145</v>
      </c>
    </row>
    <row r="4834" spans="7:14" ht="11.25" customHeight="1" x14ac:dyDescent="0.3">
      <c r="G4834" s="470"/>
      <c r="H4834" s="470">
        <v>4827</v>
      </c>
      <c r="I4834" s="455">
        <f t="shared" ca="1" si="175"/>
        <v>129639984212893.06</v>
      </c>
      <c r="J4834" s="455">
        <f t="array" ref="J4834">IFERROR(INDEX('Retirement Calculator'!K:K,MATCH('Lorri 401b'!N4834,'Retirement Calculator'!A:A,0),0),0)</f>
        <v>0</v>
      </c>
      <c r="K4834" s="455">
        <f t="shared" ca="1" si="173"/>
        <v>540166600887.05438</v>
      </c>
      <c r="L4834" s="455">
        <f t="shared" ca="1" si="174"/>
        <v>130180150813780.11</v>
      </c>
      <c r="M4834" s="471">
        <f t="shared" si="176"/>
        <v>0.05</v>
      </c>
      <c r="N4834" s="475">
        <f t="shared" si="177"/>
        <v>198176</v>
      </c>
    </row>
    <row r="4835" spans="7:14" ht="11.25" customHeight="1" x14ac:dyDescent="0.3">
      <c r="G4835" s="470"/>
      <c r="H4835" s="470">
        <v>4828</v>
      </c>
      <c r="I4835" s="455">
        <f t="shared" ca="1" si="175"/>
        <v>130180150813780.11</v>
      </c>
      <c r="J4835" s="455">
        <f t="array" ref="J4835">IFERROR(INDEX('Retirement Calculator'!K:K,MATCH('Lorri 401b'!N4835,'Retirement Calculator'!A:A,0),0),0)</f>
        <v>0</v>
      </c>
      <c r="K4835" s="455">
        <f t="shared" ca="1" si="173"/>
        <v>542417295057.41711</v>
      </c>
      <c r="L4835" s="455">
        <f t="shared" ca="1" si="174"/>
        <v>130722568108837.53</v>
      </c>
      <c r="M4835" s="471">
        <f t="shared" si="176"/>
        <v>0.05</v>
      </c>
      <c r="N4835" s="475">
        <f t="shared" si="177"/>
        <v>198207</v>
      </c>
    </row>
    <row r="4836" spans="7:14" ht="11.25" customHeight="1" x14ac:dyDescent="0.3">
      <c r="G4836" s="470"/>
      <c r="H4836" s="470">
        <v>4829</v>
      </c>
      <c r="I4836" s="455">
        <f t="shared" ca="1" si="175"/>
        <v>130722568108837.53</v>
      </c>
      <c r="J4836" s="455">
        <f t="array" ref="J4836">IFERROR(INDEX('Retirement Calculator'!K:K,MATCH('Lorri 401b'!N4836,'Retirement Calculator'!A:A,0),0),0)</f>
        <v>0</v>
      </c>
      <c r="K4836" s="455">
        <f t="shared" ca="1" si="173"/>
        <v>544677367120.15637</v>
      </c>
      <c r="L4836" s="455">
        <f t="shared" ca="1" si="174"/>
        <v>131267245475957.69</v>
      </c>
      <c r="M4836" s="471">
        <f t="shared" si="176"/>
        <v>0.05</v>
      </c>
      <c r="N4836" s="475">
        <f t="shared" si="177"/>
        <v>198237</v>
      </c>
    </row>
    <row r="4837" spans="7:14" ht="11.25" customHeight="1" x14ac:dyDescent="0.3">
      <c r="G4837" s="470"/>
      <c r="H4837" s="470">
        <v>4830</v>
      </c>
      <c r="I4837" s="455">
        <f t="shared" ca="1" si="175"/>
        <v>131267245475957.69</v>
      </c>
      <c r="J4837" s="455">
        <f t="array" ref="J4837">IFERROR(INDEX('Retirement Calculator'!K:K,MATCH('Lorri 401b'!N4837,'Retirement Calculator'!A:A,0),0),0)</f>
        <v>0</v>
      </c>
      <c r="K4837" s="455">
        <f t="shared" ca="1" si="173"/>
        <v>546946856149.82367</v>
      </c>
      <c r="L4837" s="455">
        <f t="shared" ca="1" si="174"/>
        <v>131814192332107.52</v>
      </c>
      <c r="M4837" s="471">
        <f t="shared" si="176"/>
        <v>0.05</v>
      </c>
      <c r="N4837" s="475">
        <f t="shared" si="177"/>
        <v>198268</v>
      </c>
    </row>
    <row r="4838" spans="7:14" ht="11.25" customHeight="1" x14ac:dyDescent="0.3">
      <c r="G4838" s="470"/>
      <c r="H4838" s="470">
        <v>4831</v>
      </c>
      <c r="I4838" s="455">
        <f t="shared" ca="1" si="175"/>
        <v>131814192332107.52</v>
      </c>
      <c r="J4838" s="455">
        <f t="array" ref="J4838">IFERROR(INDEX('Retirement Calculator'!K:K,MATCH('Lorri 401b'!N4838,'Retirement Calculator'!A:A,0),0),0)</f>
        <v>0</v>
      </c>
      <c r="K4838" s="455">
        <f t="shared" ca="1" si="173"/>
        <v>549225801383.78131</v>
      </c>
      <c r="L4838" s="455">
        <f t="shared" ca="1" si="174"/>
        <v>132363418133491.3</v>
      </c>
      <c r="M4838" s="471">
        <f t="shared" si="176"/>
        <v>0.05</v>
      </c>
      <c r="N4838" s="475">
        <f t="shared" si="177"/>
        <v>198298</v>
      </c>
    </row>
    <row r="4839" spans="7:14" ht="11.25" customHeight="1" x14ac:dyDescent="0.3">
      <c r="G4839" s="470"/>
      <c r="H4839" s="470">
        <v>4832</v>
      </c>
      <c r="I4839" s="455">
        <f t="shared" ca="1" si="175"/>
        <v>132363418133491.3</v>
      </c>
      <c r="J4839" s="455">
        <f t="array" ref="J4839">IFERROR(INDEX('Retirement Calculator'!K:K,MATCH('Lorri 401b'!N4839,'Retirement Calculator'!A:A,0),0),0)</f>
        <v>0</v>
      </c>
      <c r="K4839" s="455">
        <f t="shared" ca="1" si="173"/>
        <v>551514242222.88049</v>
      </c>
      <c r="L4839" s="455">
        <f t="shared" ca="1" si="174"/>
        <v>132914932375714.17</v>
      </c>
      <c r="M4839" s="471">
        <f t="shared" si="176"/>
        <v>0.05</v>
      </c>
      <c r="N4839" s="475">
        <f t="shared" si="177"/>
        <v>198329</v>
      </c>
    </row>
    <row r="4840" spans="7:14" ht="11.25" customHeight="1" x14ac:dyDescent="0.3">
      <c r="G4840" s="470"/>
      <c r="H4840" s="470">
        <v>4833</v>
      </c>
      <c r="I4840" s="455">
        <f t="shared" ca="1" si="175"/>
        <v>132914932375714.17</v>
      </c>
      <c r="J4840" s="455">
        <f t="array" ref="J4840">IFERROR(INDEX('Retirement Calculator'!K:K,MATCH('Lorri 401b'!N4840,'Retirement Calculator'!A:A,0),0),0)</f>
        <v>0</v>
      </c>
      <c r="K4840" s="455">
        <f t="shared" ca="1" si="173"/>
        <v>553812218232.14233</v>
      </c>
      <c r="L4840" s="455">
        <f t="shared" ca="1" si="174"/>
        <v>133468744593946.31</v>
      </c>
      <c r="M4840" s="471">
        <f t="shared" si="176"/>
        <v>0.05</v>
      </c>
      <c r="N4840" s="475">
        <f t="shared" si="177"/>
        <v>198360</v>
      </c>
    </row>
    <row r="4841" spans="7:14" ht="11.25" customHeight="1" x14ac:dyDescent="0.3">
      <c r="G4841" s="470"/>
      <c r="H4841" s="470">
        <v>4834</v>
      </c>
      <c r="I4841" s="455">
        <f t="shared" ca="1" si="175"/>
        <v>133468744593946.31</v>
      </c>
      <c r="J4841" s="455">
        <f t="array" ref="J4841">IFERROR(INDEX('Retirement Calculator'!K:K,MATCH('Lorri 401b'!N4841,'Retirement Calculator'!A:A,0),0),0)</f>
        <v>0</v>
      </c>
      <c r="K4841" s="455">
        <f t="shared" ca="1" si="173"/>
        <v>556119769141.44299</v>
      </c>
      <c r="L4841" s="455">
        <f t="shared" ca="1" si="174"/>
        <v>134024864363087.75</v>
      </c>
      <c r="M4841" s="471">
        <f t="shared" si="176"/>
        <v>0.05</v>
      </c>
      <c r="N4841" s="475">
        <f t="shared" si="177"/>
        <v>198388</v>
      </c>
    </row>
    <row r="4842" spans="7:14" ht="11.25" customHeight="1" x14ac:dyDescent="0.3">
      <c r="G4842" s="470"/>
      <c r="H4842" s="470">
        <v>4835</v>
      </c>
      <c r="I4842" s="455">
        <f t="shared" ca="1" si="175"/>
        <v>134024864363087.75</v>
      </c>
      <c r="J4842" s="455">
        <f t="array" ref="J4842">IFERROR(INDEX('Retirement Calculator'!K:K,MATCH('Lorri 401b'!N4842,'Retirement Calculator'!A:A,0),0),0)</f>
        <v>0</v>
      </c>
      <c r="K4842" s="455">
        <f t="shared" ca="1" si="173"/>
        <v>558436934846.19897</v>
      </c>
      <c r="L4842" s="455">
        <f t="shared" ca="1" si="174"/>
        <v>134583301297933.95</v>
      </c>
      <c r="M4842" s="471">
        <f t="shared" si="176"/>
        <v>0.05</v>
      </c>
      <c r="N4842" s="475">
        <f t="shared" si="177"/>
        <v>198419</v>
      </c>
    </row>
    <row r="4843" spans="7:14" ht="11.25" customHeight="1" x14ac:dyDescent="0.3">
      <c r="G4843" s="470"/>
      <c r="H4843" s="470">
        <v>4836</v>
      </c>
      <c r="I4843" s="455">
        <f t="shared" ca="1" si="175"/>
        <v>134583301297933.95</v>
      </c>
      <c r="J4843" s="455">
        <f t="array" ref="J4843">IFERROR(INDEX('Retirement Calculator'!K:K,MATCH('Lorri 401b'!N4843,'Retirement Calculator'!A:A,0),0),0)</f>
        <v>0</v>
      </c>
      <c r="K4843" s="455">
        <f t="shared" ca="1" si="173"/>
        <v>560763755408.05811</v>
      </c>
      <c r="L4843" s="455">
        <f t="shared" ca="1" si="174"/>
        <v>135144065053342.02</v>
      </c>
      <c r="M4843" s="471">
        <f t="shared" si="176"/>
        <v>0.05</v>
      </c>
      <c r="N4843" s="475">
        <f t="shared" si="177"/>
        <v>198449</v>
      </c>
    </row>
    <row r="4844" spans="7:14" ht="11.25" customHeight="1" x14ac:dyDescent="0.3">
      <c r="G4844" s="470"/>
      <c r="H4844" s="470">
        <v>4837</v>
      </c>
      <c r="I4844" s="455">
        <f t="shared" ca="1" si="175"/>
        <v>135144065053342.02</v>
      </c>
      <c r="J4844" s="455">
        <f t="array" ref="J4844">IFERROR(INDEX('Retirement Calculator'!K:K,MATCH('Lorri 401b'!N4844,'Retirement Calculator'!A:A,0),0),0)</f>
        <v>0</v>
      </c>
      <c r="K4844" s="455">
        <f t="shared" ca="1" si="173"/>
        <v>563100271055.59167</v>
      </c>
      <c r="L4844" s="455">
        <f t="shared" ca="1" si="174"/>
        <v>135707165324397.61</v>
      </c>
      <c r="M4844" s="471">
        <f t="shared" si="176"/>
        <v>0.05</v>
      </c>
      <c r="N4844" s="475">
        <f t="shared" si="177"/>
        <v>198480</v>
      </c>
    </row>
    <row r="4845" spans="7:14" ht="11.25" customHeight="1" x14ac:dyDescent="0.3">
      <c r="G4845" s="470"/>
      <c r="H4845" s="470">
        <v>4838</v>
      </c>
      <c r="I4845" s="455">
        <f t="shared" ca="1" si="175"/>
        <v>135707165324397.61</v>
      </c>
      <c r="J4845" s="455">
        <f t="array" ref="J4845">IFERROR(INDEX('Retirement Calculator'!K:K,MATCH('Lorri 401b'!N4845,'Retirement Calculator'!A:A,0),0),0)</f>
        <v>0</v>
      </c>
      <c r="K4845" s="455">
        <f t="shared" ca="1" si="173"/>
        <v>565446522184.98999</v>
      </c>
      <c r="L4845" s="455">
        <f t="shared" ca="1" si="174"/>
        <v>136272611846582.59</v>
      </c>
      <c r="M4845" s="471">
        <f t="shared" si="176"/>
        <v>0.05</v>
      </c>
      <c r="N4845" s="475">
        <f t="shared" si="177"/>
        <v>198510</v>
      </c>
    </row>
    <row r="4846" spans="7:14" ht="11.25" customHeight="1" x14ac:dyDescent="0.3">
      <c r="G4846" s="470"/>
      <c r="H4846" s="470">
        <v>4839</v>
      </c>
      <c r="I4846" s="455">
        <f t="shared" ca="1" si="175"/>
        <v>136272611846582.59</v>
      </c>
      <c r="J4846" s="455">
        <f t="array" ref="J4846">IFERROR(INDEX('Retirement Calculator'!K:K,MATCH('Lorri 401b'!N4846,'Retirement Calculator'!A:A,0),0),0)</f>
        <v>0</v>
      </c>
      <c r="K4846" s="455">
        <f t="shared" ca="1" si="173"/>
        <v>567802549360.76074</v>
      </c>
      <c r="L4846" s="455">
        <f t="shared" ca="1" si="174"/>
        <v>136840414395943.36</v>
      </c>
      <c r="M4846" s="471">
        <f t="shared" si="176"/>
        <v>0.05</v>
      </c>
      <c r="N4846" s="475">
        <f t="shared" si="177"/>
        <v>198541</v>
      </c>
    </row>
    <row r="4847" spans="7:14" ht="11.25" customHeight="1" x14ac:dyDescent="0.3">
      <c r="G4847" s="470"/>
      <c r="H4847" s="470">
        <v>4840</v>
      </c>
      <c r="I4847" s="455">
        <f t="shared" ca="1" si="175"/>
        <v>136840414395943.36</v>
      </c>
      <c r="J4847" s="455">
        <f t="array" ref="J4847">IFERROR(INDEX('Retirement Calculator'!K:K,MATCH('Lorri 401b'!N4847,'Retirement Calculator'!A:A,0),0),0)</f>
        <v>0</v>
      </c>
      <c r="K4847" s="455">
        <f t="shared" ca="1" si="173"/>
        <v>570168393316.43066</v>
      </c>
      <c r="L4847" s="455">
        <f t="shared" ca="1" si="174"/>
        <v>137410582789259.8</v>
      </c>
      <c r="M4847" s="471">
        <f t="shared" si="176"/>
        <v>0.05</v>
      </c>
      <c r="N4847" s="475">
        <f t="shared" si="177"/>
        <v>198572</v>
      </c>
    </row>
    <row r="4848" spans="7:14" ht="11.25" customHeight="1" x14ac:dyDescent="0.3">
      <c r="G4848" s="470"/>
      <c r="H4848" s="470">
        <v>4841</v>
      </c>
      <c r="I4848" s="455">
        <f t="shared" ca="1" si="175"/>
        <v>137410582789259.8</v>
      </c>
      <c r="J4848" s="455">
        <f t="array" ref="J4848">IFERROR(INDEX('Retirement Calculator'!K:K,MATCH('Lorri 401b'!N4848,'Retirement Calculator'!A:A,0),0),0)</f>
        <v>0</v>
      </c>
      <c r="K4848" s="455">
        <f t="shared" ca="1" si="173"/>
        <v>572544094955.24915</v>
      </c>
      <c r="L4848" s="455">
        <f t="shared" ca="1" si="174"/>
        <v>137983126884215.05</v>
      </c>
      <c r="M4848" s="471">
        <f t="shared" si="176"/>
        <v>0.05</v>
      </c>
      <c r="N4848" s="475">
        <f t="shared" si="177"/>
        <v>198602</v>
      </c>
    </row>
    <row r="4849" spans="7:14" ht="11.25" customHeight="1" x14ac:dyDescent="0.3">
      <c r="G4849" s="470"/>
      <c r="H4849" s="470">
        <v>4842</v>
      </c>
      <c r="I4849" s="455">
        <f t="shared" ca="1" si="175"/>
        <v>137983126884215.05</v>
      </c>
      <c r="J4849" s="455">
        <f t="array" ref="J4849">IFERROR(INDEX('Retirement Calculator'!K:K,MATCH('Lorri 401b'!N4849,'Retirement Calculator'!A:A,0),0),0)</f>
        <v>0</v>
      </c>
      <c r="K4849" s="455">
        <f t="shared" ca="1" si="173"/>
        <v>574929695350.89612</v>
      </c>
      <c r="L4849" s="455">
        <f t="shared" ca="1" si="174"/>
        <v>138558056579565.94</v>
      </c>
      <c r="M4849" s="471">
        <f t="shared" si="176"/>
        <v>0.05</v>
      </c>
      <c r="N4849" s="475">
        <f t="shared" si="177"/>
        <v>198633</v>
      </c>
    </row>
    <row r="4850" spans="7:14" ht="11.25" customHeight="1" x14ac:dyDescent="0.3">
      <c r="G4850" s="470"/>
      <c r="H4850" s="470">
        <v>4843</v>
      </c>
      <c r="I4850" s="455">
        <f t="shared" ca="1" si="175"/>
        <v>138558056579565.94</v>
      </c>
      <c r="J4850" s="455">
        <f t="array" ref="J4850">IFERROR(INDEX('Retirement Calculator'!K:K,MATCH('Lorri 401b'!N4850,'Retirement Calculator'!A:A,0),0),0)</f>
        <v>0</v>
      </c>
      <c r="K4850" s="455">
        <f t="shared" ca="1" si="173"/>
        <v>577325235748.19141</v>
      </c>
      <c r="L4850" s="455">
        <f t="shared" ca="1" si="174"/>
        <v>139135381815314.13</v>
      </c>
      <c r="M4850" s="471">
        <f t="shared" si="176"/>
        <v>0.05</v>
      </c>
      <c r="N4850" s="475">
        <f t="shared" si="177"/>
        <v>198663</v>
      </c>
    </row>
    <row r="4851" spans="7:14" ht="11.25" customHeight="1" x14ac:dyDescent="0.3">
      <c r="G4851" s="470"/>
      <c r="H4851" s="470">
        <v>4844</v>
      </c>
      <c r="I4851" s="455">
        <f t="shared" ca="1" si="175"/>
        <v>139135381815314.13</v>
      </c>
      <c r="J4851" s="455">
        <f t="array" ref="J4851">IFERROR(INDEX('Retirement Calculator'!K:K,MATCH('Lorri 401b'!N4851,'Retirement Calculator'!A:A,0),0),0)</f>
        <v>0</v>
      </c>
      <c r="K4851" s="455">
        <f t="shared" ca="1" si="173"/>
        <v>579730757563.80884</v>
      </c>
      <c r="L4851" s="455">
        <f t="shared" ca="1" si="174"/>
        <v>139715112572877.94</v>
      </c>
      <c r="M4851" s="471">
        <f t="shared" si="176"/>
        <v>0.05</v>
      </c>
      <c r="N4851" s="475">
        <f t="shared" si="177"/>
        <v>198694</v>
      </c>
    </row>
    <row r="4852" spans="7:14" ht="11.25" customHeight="1" x14ac:dyDescent="0.3">
      <c r="G4852" s="470"/>
      <c r="H4852" s="470">
        <v>4845</v>
      </c>
      <c r="I4852" s="455">
        <f t="shared" ca="1" si="175"/>
        <v>139715112572877.94</v>
      </c>
      <c r="J4852" s="455">
        <f t="array" ref="J4852">IFERROR(INDEX('Retirement Calculator'!K:K,MATCH('Lorri 401b'!N4852,'Retirement Calculator'!A:A,0),0),0)</f>
        <v>0</v>
      </c>
      <c r="K4852" s="455">
        <f t="shared" ca="1" si="173"/>
        <v>582146302386.99146</v>
      </c>
      <c r="L4852" s="455">
        <f t="shared" ca="1" si="174"/>
        <v>140297258875264.92</v>
      </c>
      <c r="M4852" s="471">
        <f t="shared" si="176"/>
        <v>0.05</v>
      </c>
      <c r="N4852" s="475">
        <f t="shared" si="177"/>
        <v>198725</v>
      </c>
    </row>
    <row r="4853" spans="7:14" ht="11.25" customHeight="1" x14ac:dyDescent="0.3">
      <c r="G4853" s="470"/>
      <c r="H4853" s="470">
        <v>4846</v>
      </c>
      <c r="I4853" s="455">
        <f t="shared" ca="1" si="175"/>
        <v>140297258875264.92</v>
      </c>
      <c r="J4853" s="455">
        <f t="array" ref="J4853">IFERROR(INDEX('Retirement Calculator'!K:K,MATCH('Lorri 401b'!N4853,'Retirement Calculator'!A:A,0),0),0)</f>
        <v>0</v>
      </c>
      <c r="K4853" s="455">
        <f t="shared" ref="K4853:K5107" ca="1" si="178">IPMT(M4853/12,1,12,-I4853+J4853,,0)</f>
        <v>584571911980.27051</v>
      </c>
      <c r="L4853" s="455">
        <f t="shared" ref="L4853:L5107" ca="1" si="179">I4853-J4853+K4853</f>
        <v>140881830787245.19</v>
      </c>
      <c r="M4853" s="471">
        <f t="shared" si="176"/>
        <v>0.05</v>
      </c>
      <c r="N4853" s="475">
        <f t="shared" si="177"/>
        <v>198754</v>
      </c>
    </row>
    <row r="4854" spans="7:14" ht="11.25" customHeight="1" x14ac:dyDescent="0.3">
      <c r="G4854" s="470"/>
      <c r="H4854" s="470">
        <v>4847</v>
      </c>
      <c r="I4854" s="455">
        <f t="shared" ref="I4854:I5108" ca="1" si="180">L4853</f>
        <v>140881830787245.19</v>
      </c>
      <c r="J4854" s="455">
        <f t="array" ref="J4854">IFERROR(INDEX('Retirement Calculator'!K:K,MATCH('Lorri 401b'!N4854,'Retirement Calculator'!A:A,0),0),0)</f>
        <v>0</v>
      </c>
      <c r="K4854" s="455">
        <f t="shared" ca="1" si="178"/>
        <v>587007628280.18823</v>
      </c>
      <c r="L4854" s="455">
        <f t="shared" ca="1" si="179"/>
        <v>141468838415525.38</v>
      </c>
      <c r="M4854" s="471">
        <f t="shared" ref="M4854:M5108" si="181">M4853</f>
        <v>0.05</v>
      </c>
      <c r="N4854" s="475">
        <f t="shared" ref="N4854:N5108" si="182">EDATE(N4853,1)</f>
        <v>198785</v>
      </c>
    </row>
    <row r="4855" spans="7:14" ht="11.25" customHeight="1" x14ac:dyDescent="0.3">
      <c r="G4855" s="470"/>
      <c r="H4855" s="470">
        <v>4848</v>
      </c>
      <c r="I4855" s="455">
        <f t="shared" ca="1" si="180"/>
        <v>141468838415525.38</v>
      </c>
      <c r="J4855" s="455">
        <f t="array" ref="J4855">IFERROR(INDEX('Retirement Calculator'!K:K,MATCH('Lorri 401b'!N4855,'Retirement Calculator'!A:A,0),0),0)</f>
        <v>0</v>
      </c>
      <c r="K4855" s="455">
        <f t="shared" ca="1" si="178"/>
        <v>589453493398.02234</v>
      </c>
      <c r="L4855" s="455">
        <f t="shared" ca="1" si="179"/>
        <v>142058291908923.41</v>
      </c>
      <c r="M4855" s="471">
        <f t="shared" si="181"/>
        <v>0.05</v>
      </c>
      <c r="N4855" s="475">
        <f t="shared" si="182"/>
        <v>198815</v>
      </c>
    </row>
    <row r="4856" spans="7:14" ht="11.25" customHeight="1" x14ac:dyDescent="0.3">
      <c r="G4856" s="470"/>
      <c r="H4856" s="470">
        <v>4849</v>
      </c>
      <c r="I4856" s="455">
        <f t="shared" ca="1" si="180"/>
        <v>142058291908923.41</v>
      </c>
      <c r="J4856" s="455">
        <f t="array" ref="J4856">IFERROR(INDEX('Retirement Calculator'!K:K,MATCH('Lorri 401b'!N4856,'Retirement Calculator'!A:A,0),0),0)</f>
        <v>0</v>
      </c>
      <c r="K4856" s="455">
        <f t="shared" ca="1" si="178"/>
        <v>591909549620.51416</v>
      </c>
      <c r="L4856" s="455">
        <f t="shared" ca="1" si="179"/>
        <v>142650201458543.91</v>
      </c>
      <c r="M4856" s="471">
        <f t="shared" si="181"/>
        <v>0.05</v>
      </c>
      <c r="N4856" s="475">
        <f t="shared" si="182"/>
        <v>198846</v>
      </c>
    </row>
    <row r="4857" spans="7:14" ht="11.25" customHeight="1" x14ac:dyDescent="0.3">
      <c r="G4857" s="470"/>
      <c r="H4857" s="470">
        <v>4850</v>
      </c>
      <c r="I4857" s="455">
        <f t="shared" ca="1" si="180"/>
        <v>142650201458543.91</v>
      </c>
      <c r="J4857" s="455">
        <f t="array" ref="J4857">IFERROR(INDEX('Retirement Calculator'!K:K,MATCH('Lorri 401b'!N4857,'Retirement Calculator'!A:A,0),0),0)</f>
        <v>0</v>
      </c>
      <c r="K4857" s="455">
        <f t="shared" ca="1" si="178"/>
        <v>594375839410.59961</v>
      </c>
      <c r="L4857" s="455">
        <f t="shared" ca="1" si="179"/>
        <v>143244577297954.5</v>
      </c>
      <c r="M4857" s="471">
        <f t="shared" si="181"/>
        <v>0.05</v>
      </c>
      <c r="N4857" s="475">
        <f t="shared" si="182"/>
        <v>198876</v>
      </c>
    </row>
    <row r="4858" spans="7:14" ht="11.25" customHeight="1" x14ac:dyDescent="0.3">
      <c r="G4858" s="470"/>
      <c r="H4858" s="470">
        <v>4851</v>
      </c>
      <c r="I4858" s="455">
        <f t="shared" ca="1" si="180"/>
        <v>143244577297954.5</v>
      </c>
      <c r="J4858" s="455">
        <f t="array" ref="J4858">IFERROR(INDEX('Retirement Calculator'!K:K,MATCH('Lorri 401b'!N4858,'Retirement Calculator'!A:A,0),0),0)</f>
        <v>0</v>
      </c>
      <c r="K4858" s="455">
        <f t="shared" ca="1" si="178"/>
        <v>596852405408.1438</v>
      </c>
      <c r="L4858" s="455">
        <f t="shared" ca="1" si="179"/>
        <v>143841429703362.66</v>
      </c>
      <c r="M4858" s="471">
        <f t="shared" si="181"/>
        <v>0.05</v>
      </c>
      <c r="N4858" s="475">
        <f t="shared" si="182"/>
        <v>198907</v>
      </c>
    </row>
    <row r="4859" spans="7:14" ht="11.25" customHeight="1" x14ac:dyDescent="0.3">
      <c r="G4859" s="470"/>
      <c r="H4859" s="470">
        <v>4852</v>
      </c>
      <c r="I4859" s="455">
        <f t="shared" ca="1" si="180"/>
        <v>143841429703362.66</v>
      </c>
      <c r="J4859" s="455">
        <f t="array" ref="J4859">IFERROR(INDEX('Retirement Calculator'!K:K,MATCH('Lorri 401b'!N4859,'Retirement Calculator'!A:A,0),0),0)</f>
        <v>0</v>
      </c>
      <c r="K4859" s="455">
        <f t="shared" ca="1" si="178"/>
        <v>599339290430.67773</v>
      </c>
      <c r="L4859" s="455">
        <f t="shared" ca="1" si="179"/>
        <v>144440768993793.34</v>
      </c>
      <c r="M4859" s="471">
        <f t="shared" si="181"/>
        <v>0.05</v>
      </c>
      <c r="N4859" s="475">
        <f t="shared" si="182"/>
        <v>198938</v>
      </c>
    </row>
    <row r="4860" spans="7:14" ht="11.25" customHeight="1" x14ac:dyDescent="0.3">
      <c r="G4860" s="470"/>
      <c r="H4860" s="470">
        <v>4853</v>
      </c>
      <c r="I4860" s="455">
        <f t="shared" ca="1" si="180"/>
        <v>144440768993793.34</v>
      </c>
      <c r="J4860" s="455">
        <f t="array" ref="J4860">IFERROR(INDEX('Retirement Calculator'!K:K,MATCH('Lorri 401b'!N4860,'Retirement Calculator'!A:A,0),0),0)</f>
        <v>0</v>
      </c>
      <c r="K4860" s="455">
        <f t="shared" ca="1" si="178"/>
        <v>601836537474.13892</v>
      </c>
      <c r="L4860" s="455">
        <f t="shared" ca="1" si="179"/>
        <v>145042605531267.47</v>
      </c>
      <c r="M4860" s="471">
        <f t="shared" si="181"/>
        <v>0.05</v>
      </c>
      <c r="N4860" s="475">
        <f t="shared" si="182"/>
        <v>198968</v>
      </c>
    </row>
    <row r="4861" spans="7:14" ht="11.25" customHeight="1" x14ac:dyDescent="0.3">
      <c r="G4861" s="470"/>
      <c r="H4861" s="470">
        <v>4854</v>
      </c>
      <c r="I4861" s="455">
        <f t="shared" ca="1" si="180"/>
        <v>145042605531267.47</v>
      </c>
      <c r="J4861" s="455">
        <f t="array" ref="J4861">IFERROR(INDEX('Retirement Calculator'!K:K,MATCH('Lorri 401b'!N4861,'Retirement Calculator'!A:A,0),0),0)</f>
        <v>0</v>
      </c>
      <c r="K4861" s="455">
        <f t="shared" ca="1" si="178"/>
        <v>604344189713.6145</v>
      </c>
      <c r="L4861" s="455">
        <f t="shared" ca="1" si="179"/>
        <v>145646949720981.09</v>
      </c>
      <c r="M4861" s="471">
        <f t="shared" si="181"/>
        <v>0.05</v>
      </c>
      <c r="N4861" s="475">
        <f t="shared" si="182"/>
        <v>198999</v>
      </c>
    </row>
    <row r="4862" spans="7:14" ht="11.25" customHeight="1" x14ac:dyDescent="0.3">
      <c r="G4862" s="470"/>
      <c r="H4862" s="470">
        <v>4855</v>
      </c>
      <c r="I4862" s="455">
        <f t="shared" ca="1" si="180"/>
        <v>145646949720981.09</v>
      </c>
      <c r="J4862" s="455">
        <f t="array" ref="J4862">IFERROR(INDEX('Retirement Calculator'!K:K,MATCH('Lorri 401b'!N4862,'Retirement Calculator'!A:A,0),0),0)</f>
        <v>0</v>
      </c>
      <c r="K4862" s="455">
        <f t="shared" ca="1" si="178"/>
        <v>606862290504.08789</v>
      </c>
      <c r="L4862" s="455">
        <f t="shared" ca="1" si="179"/>
        <v>146253812011485.19</v>
      </c>
      <c r="M4862" s="471">
        <f t="shared" si="181"/>
        <v>0.05</v>
      </c>
      <c r="N4862" s="475">
        <f t="shared" si="182"/>
        <v>199029</v>
      </c>
    </row>
    <row r="4863" spans="7:14" ht="11.25" customHeight="1" x14ac:dyDescent="0.3">
      <c r="G4863" s="470"/>
      <c r="H4863" s="470">
        <v>4856</v>
      </c>
      <c r="I4863" s="455">
        <f t="shared" ca="1" si="180"/>
        <v>146253812011485.19</v>
      </c>
      <c r="J4863" s="455">
        <f t="array" ref="J4863">IFERROR(INDEX('Retirement Calculator'!K:K,MATCH('Lorri 401b'!N4863,'Retirement Calculator'!A:A,0),0),0)</f>
        <v>0</v>
      </c>
      <c r="K4863" s="455">
        <f t="shared" ca="1" si="178"/>
        <v>609390883381.18823</v>
      </c>
      <c r="L4863" s="455">
        <f t="shared" ca="1" si="179"/>
        <v>146863202894866.38</v>
      </c>
      <c r="M4863" s="471">
        <f t="shared" si="181"/>
        <v>0.05</v>
      </c>
      <c r="N4863" s="475">
        <f t="shared" si="182"/>
        <v>199060</v>
      </c>
    </row>
    <row r="4864" spans="7:14" ht="11.25" customHeight="1" x14ac:dyDescent="0.3">
      <c r="G4864" s="470"/>
      <c r="H4864" s="470">
        <v>4857</v>
      </c>
      <c r="I4864" s="455">
        <f t="shared" ca="1" si="180"/>
        <v>146863202894866.38</v>
      </c>
      <c r="J4864" s="455">
        <f t="array" ref="J4864">IFERROR(INDEX('Retirement Calculator'!K:K,MATCH('Lorri 401b'!N4864,'Retirement Calculator'!A:A,0),0),0)</f>
        <v>0</v>
      </c>
      <c r="K4864" s="455">
        <f t="shared" ca="1" si="178"/>
        <v>611930012061.94324</v>
      </c>
      <c r="L4864" s="455">
        <f t="shared" ca="1" si="179"/>
        <v>147475132906928.31</v>
      </c>
      <c r="M4864" s="471">
        <f t="shared" si="181"/>
        <v>0.05</v>
      </c>
      <c r="N4864" s="475">
        <f t="shared" si="182"/>
        <v>199091</v>
      </c>
    </row>
    <row r="4865" spans="7:14" ht="11.25" customHeight="1" x14ac:dyDescent="0.3">
      <c r="G4865" s="470"/>
      <c r="H4865" s="470">
        <v>4858</v>
      </c>
      <c r="I4865" s="455">
        <f t="shared" ca="1" si="180"/>
        <v>147475132906928.31</v>
      </c>
      <c r="J4865" s="455">
        <f t="array" ref="J4865">IFERROR(INDEX('Retirement Calculator'!K:K,MATCH('Lorri 401b'!N4865,'Retirement Calculator'!A:A,0),0),0)</f>
        <v>0</v>
      </c>
      <c r="K4865" s="455">
        <f t="shared" ca="1" si="178"/>
        <v>614479720445.53467</v>
      </c>
      <c r="L4865" s="455">
        <f t="shared" ca="1" si="179"/>
        <v>148089612627373.84</v>
      </c>
      <c r="M4865" s="471">
        <f t="shared" si="181"/>
        <v>0.05</v>
      </c>
      <c r="N4865" s="475">
        <f t="shared" si="182"/>
        <v>199119</v>
      </c>
    </row>
    <row r="4866" spans="7:14" ht="11.25" customHeight="1" x14ac:dyDescent="0.3">
      <c r="G4866" s="470"/>
      <c r="H4866" s="470">
        <v>4859</v>
      </c>
      <c r="I4866" s="455">
        <f t="shared" ca="1" si="180"/>
        <v>148089612627373.84</v>
      </c>
      <c r="J4866" s="455">
        <f t="array" ref="J4866">IFERROR(INDEX('Retirement Calculator'!K:K,MATCH('Lorri 401b'!N4866,'Retirement Calculator'!A:A,0),0),0)</f>
        <v>0</v>
      </c>
      <c r="K4866" s="455">
        <f t="shared" ca="1" si="178"/>
        <v>617040052614.05762</v>
      </c>
      <c r="L4866" s="455">
        <f t="shared" ca="1" si="179"/>
        <v>148706652679987.91</v>
      </c>
      <c r="M4866" s="471">
        <f t="shared" si="181"/>
        <v>0.05</v>
      </c>
      <c r="N4866" s="475">
        <f t="shared" si="182"/>
        <v>199150</v>
      </c>
    </row>
    <row r="4867" spans="7:14" ht="11.25" customHeight="1" x14ac:dyDescent="0.3">
      <c r="G4867" s="470"/>
      <c r="H4867" s="470">
        <v>4860</v>
      </c>
      <c r="I4867" s="455">
        <f t="shared" ca="1" si="180"/>
        <v>148706652679987.91</v>
      </c>
      <c r="J4867" s="455">
        <f t="array" ref="J4867">IFERROR(INDEX('Retirement Calculator'!K:K,MATCH('Lorri 401b'!N4867,'Retirement Calculator'!A:A,0),0),0)</f>
        <v>0</v>
      </c>
      <c r="K4867" s="455">
        <f t="shared" ca="1" si="178"/>
        <v>619611052833.28296</v>
      </c>
      <c r="L4867" s="455">
        <f t="shared" ca="1" si="179"/>
        <v>149326263732821.19</v>
      </c>
      <c r="M4867" s="471">
        <f t="shared" si="181"/>
        <v>0.05</v>
      </c>
      <c r="N4867" s="475">
        <f t="shared" si="182"/>
        <v>199180</v>
      </c>
    </row>
    <row r="4868" spans="7:14" ht="11.25" customHeight="1" x14ac:dyDescent="0.3">
      <c r="G4868" s="470"/>
      <c r="H4868" s="470">
        <v>4861</v>
      </c>
      <c r="I4868" s="455">
        <f t="shared" ca="1" si="180"/>
        <v>149326263732821.19</v>
      </c>
      <c r="J4868" s="455">
        <f t="array" ref="J4868">IFERROR(INDEX('Retirement Calculator'!K:K,MATCH('Lorri 401b'!N4868,'Retirement Calculator'!A:A,0),0),0)</f>
        <v>0</v>
      </c>
      <c r="K4868" s="455">
        <f t="shared" ca="1" si="178"/>
        <v>622192765553.42163</v>
      </c>
      <c r="L4868" s="455">
        <f t="shared" ca="1" si="179"/>
        <v>149948456498374.59</v>
      </c>
      <c r="M4868" s="471">
        <f t="shared" si="181"/>
        <v>0.05</v>
      </c>
      <c r="N4868" s="475">
        <f t="shared" si="182"/>
        <v>199211</v>
      </c>
    </row>
    <row r="4869" spans="7:14" ht="11.25" customHeight="1" x14ac:dyDescent="0.3">
      <c r="G4869" s="470"/>
      <c r="H4869" s="470">
        <v>4862</v>
      </c>
      <c r="I4869" s="455">
        <f t="shared" ca="1" si="180"/>
        <v>149948456498374.59</v>
      </c>
      <c r="J4869" s="455">
        <f t="array" ref="J4869">IFERROR(INDEX('Retirement Calculator'!K:K,MATCH('Lorri 401b'!N4869,'Retirement Calculator'!A:A,0),0),0)</f>
        <v>0</v>
      </c>
      <c r="K4869" s="455">
        <f t="shared" ca="1" si="178"/>
        <v>624785235409.89417</v>
      </c>
      <c r="L4869" s="455">
        <f t="shared" ca="1" si="179"/>
        <v>150573241733784.5</v>
      </c>
      <c r="M4869" s="471">
        <f t="shared" si="181"/>
        <v>0.05</v>
      </c>
      <c r="N4869" s="475">
        <f t="shared" si="182"/>
        <v>199241</v>
      </c>
    </row>
    <row r="4870" spans="7:14" ht="11.25" customHeight="1" x14ac:dyDescent="0.3">
      <c r="G4870" s="470"/>
      <c r="H4870" s="470">
        <v>4863</v>
      </c>
      <c r="I4870" s="455">
        <f t="shared" ca="1" si="180"/>
        <v>150573241733784.5</v>
      </c>
      <c r="J4870" s="455">
        <f t="array" ref="J4870">IFERROR(INDEX('Retirement Calculator'!K:K,MATCH('Lorri 401b'!N4870,'Retirement Calculator'!A:A,0),0),0)</f>
        <v>0</v>
      </c>
      <c r="K4870" s="455">
        <f t="shared" ca="1" si="178"/>
        <v>627388507224.10205</v>
      </c>
      <c r="L4870" s="455">
        <f t="shared" ca="1" si="179"/>
        <v>151200630241008.59</v>
      </c>
      <c r="M4870" s="471">
        <f t="shared" si="181"/>
        <v>0.05</v>
      </c>
      <c r="N4870" s="475">
        <f t="shared" si="182"/>
        <v>199272</v>
      </c>
    </row>
    <row r="4871" spans="7:14" ht="11.25" customHeight="1" x14ac:dyDescent="0.3">
      <c r="G4871" s="470"/>
      <c r="H4871" s="470">
        <v>4864</v>
      </c>
      <c r="I4871" s="455">
        <f t="shared" ca="1" si="180"/>
        <v>151200630241008.59</v>
      </c>
      <c r="J4871" s="455">
        <f t="array" ref="J4871">IFERROR(INDEX('Retirement Calculator'!K:K,MATCH('Lorri 401b'!N4871,'Retirement Calculator'!A:A,0),0),0)</f>
        <v>0</v>
      </c>
      <c r="K4871" s="455">
        <f t="shared" ca="1" si="178"/>
        <v>630002626004.20251</v>
      </c>
      <c r="L4871" s="455">
        <f t="shared" ca="1" si="179"/>
        <v>151830632867012.78</v>
      </c>
      <c r="M4871" s="471">
        <f t="shared" si="181"/>
        <v>0.05</v>
      </c>
      <c r="N4871" s="475">
        <f t="shared" si="182"/>
        <v>199303</v>
      </c>
    </row>
    <row r="4872" spans="7:14" ht="11.25" customHeight="1" x14ac:dyDescent="0.3">
      <c r="G4872" s="470"/>
      <c r="H4872" s="470">
        <v>4865</v>
      </c>
      <c r="I4872" s="455">
        <f t="shared" ca="1" si="180"/>
        <v>151830632867012.78</v>
      </c>
      <c r="J4872" s="455">
        <f t="array" ref="J4872">IFERROR(INDEX('Retirement Calculator'!K:K,MATCH('Lorri 401b'!N4872,'Retirement Calculator'!A:A,0),0),0)</f>
        <v>0</v>
      </c>
      <c r="K4872" s="455">
        <f t="shared" ca="1" si="178"/>
        <v>632627636945.8866</v>
      </c>
      <c r="L4872" s="455">
        <f t="shared" ca="1" si="179"/>
        <v>152463260503958.66</v>
      </c>
      <c r="M4872" s="471">
        <f t="shared" si="181"/>
        <v>0.05</v>
      </c>
      <c r="N4872" s="475">
        <f t="shared" si="182"/>
        <v>199333</v>
      </c>
    </row>
    <row r="4873" spans="7:14" ht="11.25" customHeight="1" x14ac:dyDescent="0.3">
      <c r="G4873" s="470"/>
      <c r="H4873" s="470">
        <v>4866</v>
      </c>
      <c r="I4873" s="455">
        <f t="shared" ca="1" si="180"/>
        <v>152463260503958.66</v>
      </c>
      <c r="J4873" s="455">
        <f t="array" ref="J4873">IFERROR(INDEX('Retirement Calculator'!K:K,MATCH('Lorri 401b'!N4873,'Retirement Calculator'!A:A,0),0),0)</f>
        <v>0</v>
      </c>
      <c r="K4873" s="455">
        <f t="shared" ca="1" si="178"/>
        <v>635263585433.16101</v>
      </c>
      <c r="L4873" s="455">
        <f t="shared" ca="1" si="179"/>
        <v>153098524089391.81</v>
      </c>
      <c r="M4873" s="471">
        <f t="shared" si="181"/>
        <v>0.05</v>
      </c>
      <c r="N4873" s="475">
        <f t="shared" si="182"/>
        <v>199364</v>
      </c>
    </row>
    <row r="4874" spans="7:14" ht="11.25" customHeight="1" x14ac:dyDescent="0.3">
      <c r="G4874" s="470"/>
      <c r="H4874" s="470">
        <v>4867</v>
      </c>
      <c r="I4874" s="455">
        <f t="shared" ca="1" si="180"/>
        <v>153098524089391.81</v>
      </c>
      <c r="J4874" s="455">
        <f t="array" ref="J4874">IFERROR(INDEX('Retirement Calculator'!K:K,MATCH('Lorri 401b'!N4874,'Retirement Calculator'!A:A,0),0),0)</f>
        <v>0</v>
      </c>
      <c r="K4874" s="455">
        <f t="shared" ca="1" si="178"/>
        <v>637910517039.13257</v>
      </c>
      <c r="L4874" s="455">
        <f t="shared" ca="1" si="179"/>
        <v>153736434606430.94</v>
      </c>
      <c r="M4874" s="471">
        <f t="shared" si="181"/>
        <v>0.05</v>
      </c>
      <c r="N4874" s="475">
        <f t="shared" si="182"/>
        <v>199394</v>
      </c>
    </row>
    <row r="4875" spans="7:14" ht="11.25" customHeight="1" x14ac:dyDescent="0.3">
      <c r="G4875" s="470"/>
      <c r="H4875" s="470">
        <v>4868</v>
      </c>
      <c r="I4875" s="455">
        <f t="shared" ca="1" si="180"/>
        <v>153736434606430.94</v>
      </c>
      <c r="J4875" s="455">
        <f t="array" ref="J4875">IFERROR(INDEX('Retirement Calculator'!K:K,MATCH('Lorri 401b'!N4875,'Retirement Calculator'!A:A,0),0),0)</f>
        <v>0</v>
      </c>
      <c r="K4875" s="455">
        <f t="shared" ca="1" si="178"/>
        <v>640568477526.79553</v>
      </c>
      <c r="L4875" s="455">
        <f t="shared" ca="1" si="179"/>
        <v>154377003083957.72</v>
      </c>
      <c r="M4875" s="471">
        <f t="shared" si="181"/>
        <v>0.05</v>
      </c>
      <c r="N4875" s="475">
        <f t="shared" si="182"/>
        <v>199425</v>
      </c>
    </row>
    <row r="4876" spans="7:14" ht="11.25" customHeight="1" x14ac:dyDescent="0.3">
      <c r="G4876" s="470"/>
      <c r="H4876" s="470">
        <v>4869</v>
      </c>
      <c r="I4876" s="455">
        <f t="shared" ca="1" si="180"/>
        <v>154377003083957.72</v>
      </c>
      <c r="J4876" s="455">
        <f t="array" ref="J4876">IFERROR(INDEX('Retirement Calculator'!K:K,MATCH('Lorri 401b'!N4876,'Retirement Calculator'!A:A,0),0),0)</f>
        <v>0</v>
      </c>
      <c r="K4876" s="455">
        <f t="shared" ca="1" si="178"/>
        <v>643237512849.82385</v>
      </c>
      <c r="L4876" s="455">
        <f t="shared" ca="1" si="179"/>
        <v>155020240596807.53</v>
      </c>
      <c r="M4876" s="471">
        <f t="shared" si="181"/>
        <v>0.05</v>
      </c>
      <c r="N4876" s="475">
        <f t="shared" si="182"/>
        <v>199456</v>
      </c>
    </row>
    <row r="4877" spans="7:14" ht="11.25" customHeight="1" x14ac:dyDescent="0.3">
      <c r="G4877" s="470"/>
      <c r="H4877" s="470">
        <v>4870</v>
      </c>
      <c r="I4877" s="455">
        <f t="shared" ca="1" si="180"/>
        <v>155020240596807.53</v>
      </c>
      <c r="J4877" s="455">
        <f t="array" ref="J4877">IFERROR(INDEX('Retirement Calculator'!K:K,MATCH('Lorri 401b'!N4877,'Retirement Calculator'!A:A,0),0),0)</f>
        <v>0</v>
      </c>
      <c r="K4877" s="455">
        <f t="shared" ca="1" si="178"/>
        <v>645917669153.36475</v>
      </c>
      <c r="L4877" s="455">
        <f t="shared" ca="1" si="179"/>
        <v>155666158265960.91</v>
      </c>
      <c r="M4877" s="471">
        <f t="shared" si="181"/>
        <v>0.05</v>
      </c>
      <c r="N4877" s="475">
        <f t="shared" si="182"/>
        <v>199484</v>
      </c>
    </row>
    <row r="4878" spans="7:14" ht="11.25" customHeight="1" x14ac:dyDescent="0.3">
      <c r="G4878" s="470"/>
      <c r="H4878" s="470">
        <v>4871</v>
      </c>
      <c r="I4878" s="455">
        <f t="shared" ca="1" si="180"/>
        <v>155666158265960.91</v>
      </c>
      <c r="J4878" s="455">
        <f t="array" ref="J4878">IFERROR(INDEX('Retirement Calculator'!K:K,MATCH('Lorri 401b'!N4878,'Retirement Calculator'!A:A,0),0),0)</f>
        <v>0</v>
      </c>
      <c r="K4878" s="455">
        <f t="shared" ca="1" si="178"/>
        <v>648608992774.83716</v>
      </c>
      <c r="L4878" s="455">
        <f t="shared" ca="1" si="179"/>
        <v>156314767258735.75</v>
      </c>
      <c r="M4878" s="471">
        <f t="shared" si="181"/>
        <v>0.05</v>
      </c>
      <c r="N4878" s="475">
        <f t="shared" si="182"/>
        <v>199515</v>
      </c>
    </row>
    <row r="4879" spans="7:14" ht="11.25" customHeight="1" x14ac:dyDescent="0.3">
      <c r="G4879" s="470"/>
      <c r="H4879" s="470">
        <v>4872</v>
      </c>
      <c r="I4879" s="455">
        <f t="shared" ca="1" si="180"/>
        <v>156314767258735.75</v>
      </c>
      <c r="J4879" s="455">
        <f t="array" ref="J4879">IFERROR(INDEX('Retirement Calculator'!K:K,MATCH('Lorri 401b'!N4879,'Retirement Calculator'!A:A,0),0),0)</f>
        <v>0</v>
      </c>
      <c r="K4879" s="455">
        <f t="shared" ca="1" si="178"/>
        <v>651311530244.7323</v>
      </c>
      <c r="L4879" s="455">
        <f t="shared" ca="1" si="179"/>
        <v>156966078788980.47</v>
      </c>
      <c r="M4879" s="471">
        <f t="shared" si="181"/>
        <v>0.05</v>
      </c>
      <c r="N4879" s="475">
        <f t="shared" si="182"/>
        <v>199545</v>
      </c>
    </row>
    <row r="4880" spans="7:14" ht="11.25" customHeight="1" x14ac:dyDescent="0.3">
      <c r="G4880" s="470"/>
      <c r="H4880" s="470">
        <v>4873</v>
      </c>
      <c r="I4880" s="455">
        <f t="shared" ca="1" si="180"/>
        <v>156966078788980.47</v>
      </c>
      <c r="J4880" s="455">
        <f t="array" ref="J4880">IFERROR(INDEX('Retirement Calculator'!K:K,MATCH('Lorri 401b'!N4880,'Retirement Calculator'!A:A,0),0),0)</f>
        <v>0</v>
      </c>
      <c r="K4880" s="455">
        <f t="shared" ca="1" si="178"/>
        <v>654025328287.41858</v>
      </c>
      <c r="L4880" s="455">
        <f t="shared" ca="1" si="179"/>
        <v>157620104117267.88</v>
      </c>
      <c r="M4880" s="471">
        <f t="shared" si="181"/>
        <v>0.05</v>
      </c>
      <c r="N4880" s="475">
        <f t="shared" si="182"/>
        <v>199576</v>
      </c>
    </row>
    <row r="4881" spans="7:14" ht="11.25" customHeight="1" x14ac:dyDescent="0.3">
      <c r="G4881" s="470"/>
      <c r="H4881" s="470">
        <v>4874</v>
      </c>
      <c r="I4881" s="455">
        <f t="shared" ca="1" si="180"/>
        <v>157620104117267.88</v>
      </c>
      <c r="J4881" s="455">
        <f t="array" ref="J4881">IFERROR(INDEX('Retirement Calculator'!K:K,MATCH('Lorri 401b'!N4881,'Retirement Calculator'!A:A,0),0),0)</f>
        <v>0</v>
      </c>
      <c r="K4881" s="455">
        <f t="shared" ca="1" si="178"/>
        <v>656750433821.94946</v>
      </c>
      <c r="L4881" s="455">
        <f t="shared" ca="1" si="179"/>
        <v>158276854551089.81</v>
      </c>
      <c r="M4881" s="471">
        <f t="shared" si="181"/>
        <v>0.05</v>
      </c>
      <c r="N4881" s="475">
        <f t="shared" si="182"/>
        <v>199606</v>
      </c>
    </row>
    <row r="4882" spans="7:14" ht="11.25" customHeight="1" x14ac:dyDescent="0.3">
      <c r="G4882" s="470"/>
      <c r="H4882" s="470">
        <v>4875</v>
      </c>
      <c r="I4882" s="455">
        <f t="shared" ca="1" si="180"/>
        <v>158276854551089.81</v>
      </c>
      <c r="J4882" s="455">
        <f t="array" ref="J4882">IFERROR(INDEX('Retirement Calculator'!K:K,MATCH('Lorri 401b'!N4882,'Retirement Calculator'!A:A,0),0),0)</f>
        <v>0</v>
      </c>
      <c r="K4882" s="455">
        <f t="shared" ca="1" si="178"/>
        <v>659486893962.87427</v>
      </c>
      <c r="L4882" s="455">
        <f t="shared" ca="1" si="179"/>
        <v>158936341445052.69</v>
      </c>
      <c r="M4882" s="471">
        <f t="shared" si="181"/>
        <v>0.05</v>
      </c>
      <c r="N4882" s="475">
        <f t="shared" si="182"/>
        <v>199637</v>
      </c>
    </row>
    <row r="4883" spans="7:14" ht="11.25" customHeight="1" x14ac:dyDescent="0.3">
      <c r="G4883" s="470"/>
      <c r="H4883" s="470">
        <v>4876</v>
      </c>
      <c r="I4883" s="455">
        <f t="shared" ca="1" si="180"/>
        <v>158936341445052.69</v>
      </c>
      <c r="J4883" s="455">
        <f t="array" ref="J4883">IFERROR(INDEX('Retirement Calculator'!K:K,MATCH('Lorri 401b'!N4883,'Retirement Calculator'!A:A,0),0),0)</f>
        <v>0</v>
      </c>
      <c r="K4883" s="455">
        <f t="shared" ca="1" si="178"/>
        <v>662234756021.05286</v>
      </c>
      <c r="L4883" s="455">
        <f t="shared" ca="1" si="179"/>
        <v>159598576201073.75</v>
      </c>
      <c r="M4883" s="471">
        <f t="shared" si="181"/>
        <v>0.05</v>
      </c>
      <c r="N4883" s="475">
        <f t="shared" si="182"/>
        <v>199668</v>
      </c>
    </row>
    <row r="4884" spans="7:14" ht="11.25" customHeight="1" x14ac:dyDescent="0.3">
      <c r="G4884" s="470"/>
      <c r="H4884" s="470">
        <v>4877</v>
      </c>
      <c r="I4884" s="455">
        <f t="shared" ca="1" si="180"/>
        <v>159598576201073.75</v>
      </c>
      <c r="J4884" s="455">
        <f t="array" ref="J4884">IFERROR(INDEX('Retirement Calculator'!K:K,MATCH('Lorri 401b'!N4884,'Retirement Calculator'!A:A,0),0),0)</f>
        <v>0</v>
      </c>
      <c r="K4884" s="455">
        <f t="shared" ca="1" si="178"/>
        <v>664994067504.474</v>
      </c>
      <c r="L4884" s="455">
        <f t="shared" ca="1" si="179"/>
        <v>160263570268578.22</v>
      </c>
      <c r="M4884" s="471">
        <f t="shared" si="181"/>
        <v>0.05</v>
      </c>
      <c r="N4884" s="475">
        <f t="shared" si="182"/>
        <v>199698</v>
      </c>
    </row>
    <row r="4885" spans="7:14" ht="11.25" customHeight="1" x14ac:dyDescent="0.3">
      <c r="G4885" s="470"/>
      <c r="H4885" s="470">
        <v>4878</v>
      </c>
      <c r="I4885" s="455">
        <f t="shared" ca="1" si="180"/>
        <v>160263570268578.22</v>
      </c>
      <c r="J4885" s="455">
        <f t="array" ref="J4885">IFERROR(INDEX('Retirement Calculator'!K:K,MATCH('Lorri 401b'!N4885,'Retirement Calculator'!A:A,0),0),0)</f>
        <v>0</v>
      </c>
      <c r="K4885" s="455">
        <f t="shared" ca="1" si="178"/>
        <v>667764876119.07593</v>
      </c>
      <c r="L4885" s="455">
        <f t="shared" ca="1" si="179"/>
        <v>160931335144697.28</v>
      </c>
      <c r="M4885" s="471">
        <f t="shared" si="181"/>
        <v>0.05</v>
      </c>
      <c r="N4885" s="475">
        <f t="shared" si="182"/>
        <v>199729</v>
      </c>
    </row>
    <row r="4886" spans="7:14" ht="11.25" customHeight="1" x14ac:dyDescent="0.3">
      <c r="G4886" s="470"/>
      <c r="H4886" s="470">
        <v>4879</v>
      </c>
      <c r="I4886" s="455">
        <f t="shared" ca="1" si="180"/>
        <v>160931335144697.28</v>
      </c>
      <c r="J4886" s="455">
        <f t="array" ref="J4886">IFERROR(INDEX('Retirement Calculator'!K:K,MATCH('Lorri 401b'!N4886,'Retirement Calculator'!A:A,0),0),0)</f>
        <v>0</v>
      </c>
      <c r="K4886" s="455">
        <f t="shared" ca="1" si="178"/>
        <v>670547229769.57202</v>
      </c>
      <c r="L4886" s="455">
        <f t="shared" ca="1" si="179"/>
        <v>161601882374466.84</v>
      </c>
      <c r="M4886" s="471">
        <f t="shared" si="181"/>
        <v>0.05</v>
      </c>
      <c r="N4886" s="475">
        <f t="shared" si="182"/>
        <v>199759</v>
      </c>
    </row>
    <row r="4887" spans="7:14" ht="11.25" customHeight="1" x14ac:dyDescent="0.3">
      <c r="G4887" s="470"/>
      <c r="H4887" s="470">
        <v>4880</v>
      </c>
      <c r="I4887" s="455">
        <f t="shared" ca="1" si="180"/>
        <v>161601882374466.84</v>
      </c>
      <c r="J4887" s="455">
        <f t="array" ref="J4887">IFERROR(INDEX('Retirement Calculator'!K:K,MATCH('Lorri 401b'!N4887,'Retirement Calculator'!A:A,0),0),0)</f>
        <v>0</v>
      </c>
      <c r="K4887" s="455">
        <f t="shared" ca="1" si="178"/>
        <v>673341176560.27856</v>
      </c>
      <c r="L4887" s="455">
        <f t="shared" ca="1" si="179"/>
        <v>162275223551027.13</v>
      </c>
      <c r="M4887" s="471">
        <f t="shared" si="181"/>
        <v>0.05</v>
      </c>
      <c r="N4887" s="475">
        <f t="shared" si="182"/>
        <v>199790</v>
      </c>
    </row>
    <row r="4888" spans="7:14" ht="11.25" customHeight="1" x14ac:dyDescent="0.3">
      <c r="G4888" s="470"/>
      <c r="H4888" s="470">
        <v>4881</v>
      </c>
      <c r="I4888" s="455">
        <f t="shared" ca="1" si="180"/>
        <v>162275223551027.13</v>
      </c>
      <c r="J4888" s="455">
        <f t="array" ref="J4888">IFERROR(INDEX('Retirement Calculator'!K:K,MATCH('Lorri 401b'!N4888,'Retirement Calculator'!A:A,0),0),0)</f>
        <v>0</v>
      </c>
      <c r="K4888" s="455">
        <f t="shared" ca="1" si="178"/>
        <v>676146764795.94629</v>
      </c>
      <c r="L4888" s="455">
        <f t="shared" ca="1" si="179"/>
        <v>162951370315823.06</v>
      </c>
      <c r="M4888" s="471">
        <f t="shared" si="181"/>
        <v>0.05</v>
      </c>
      <c r="N4888" s="475">
        <f t="shared" si="182"/>
        <v>199821</v>
      </c>
    </row>
    <row r="4889" spans="7:14" ht="11.25" customHeight="1" x14ac:dyDescent="0.3">
      <c r="G4889" s="470"/>
      <c r="H4889" s="470">
        <v>4882</v>
      </c>
      <c r="I4889" s="455">
        <f t="shared" ca="1" si="180"/>
        <v>162951370315823.06</v>
      </c>
      <c r="J4889" s="455">
        <f t="array" ref="J4889">IFERROR(INDEX('Retirement Calculator'!K:K,MATCH('Lorri 401b'!N4889,'Retirement Calculator'!A:A,0),0),0)</f>
        <v>0</v>
      </c>
      <c r="K4889" s="455">
        <f t="shared" ca="1" si="178"/>
        <v>678964042982.59607</v>
      </c>
      <c r="L4889" s="455">
        <f t="shared" ca="1" si="179"/>
        <v>163630334358805.66</v>
      </c>
      <c r="M4889" s="471">
        <f t="shared" si="181"/>
        <v>0.05</v>
      </c>
      <c r="N4889" s="475">
        <f t="shared" si="182"/>
        <v>199849</v>
      </c>
    </row>
    <row r="4890" spans="7:14" ht="11.25" customHeight="1" x14ac:dyDescent="0.3">
      <c r="G4890" s="470"/>
      <c r="H4890" s="470">
        <v>4883</v>
      </c>
      <c r="I4890" s="455">
        <f t="shared" ca="1" si="180"/>
        <v>163630334358805.66</v>
      </c>
      <c r="J4890" s="455">
        <f t="array" ref="J4890">IFERROR(INDEX('Retirement Calculator'!K:K,MATCH('Lorri 401b'!N4890,'Retirement Calculator'!A:A,0),0),0)</f>
        <v>0</v>
      </c>
      <c r="K4890" s="455">
        <f t="shared" ca="1" si="178"/>
        <v>681793059828.35693</v>
      </c>
      <c r="L4890" s="455">
        <f t="shared" ca="1" si="179"/>
        <v>164312127418634</v>
      </c>
      <c r="M4890" s="471">
        <f t="shared" si="181"/>
        <v>0.05</v>
      </c>
      <c r="N4890" s="475">
        <f t="shared" si="182"/>
        <v>199880</v>
      </c>
    </row>
    <row r="4891" spans="7:14" ht="11.25" customHeight="1" x14ac:dyDescent="0.3">
      <c r="G4891" s="470"/>
      <c r="H4891" s="470">
        <v>4884</v>
      </c>
      <c r="I4891" s="455">
        <f t="shared" ca="1" si="180"/>
        <v>164312127418634</v>
      </c>
      <c r="J4891" s="455">
        <f t="array" ref="J4891">IFERROR(INDEX('Retirement Calculator'!K:K,MATCH('Lorri 401b'!N4891,'Retirement Calculator'!A:A,0),0),0)</f>
        <v>0</v>
      </c>
      <c r="K4891" s="455">
        <f t="shared" ca="1" si="178"/>
        <v>684633864244.30835</v>
      </c>
      <c r="L4891" s="455">
        <f t="shared" ca="1" si="179"/>
        <v>164996761282878.31</v>
      </c>
      <c r="M4891" s="471">
        <f t="shared" si="181"/>
        <v>0.05</v>
      </c>
      <c r="N4891" s="475">
        <f t="shared" si="182"/>
        <v>199910</v>
      </c>
    </row>
    <row r="4892" spans="7:14" ht="11.25" customHeight="1" x14ac:dyDescent="0.3">
      <c r="G4892" s="470"/>
      <c r="H4892" s="470">
        <v>4885</v>
      </c>
      <c r="I4892" s="455">
        <f t="shared" ca="1" si="180"/>
        <v>164996761282878.31</v>
      </c>
      <c r="J4892" s="455">
        <f t="array" ref="J4892">IFERROR(INDEX('Retirement Calculator'!K:K,MATCH('Lorri 401b'!N4892,'Retirement Calculator'!A:A,0),0),0)</f>
        <v>0</v>
      </c>
      <c r="K4892" s="455">
        <f t="shared" ca="1" si="178"/>
        <v>687486505345.32629</v>
      </c>
      <c r="L4892" s="455">
        <f t="shared" ca="1" si="179"/>
        <v>165684247788223.63</v>
      </c>
      <c r="M4892" s="471">
        <f t="shared" si="181"/>
        <v>0.05</v>
      </c>
      <c r="N4892" s="475">
        <f t="shared" si="182"/>
        <v>199941</v>
      </c>
    </row>
    <row r="4893" spans="7:14" ht="11.25" customHeight="1" x14ac:dyDescent="0.3">
      <c r="G4893" s="470"/>
      <c r="H4893" s="470">
        <v>4886</v>
      </c>
      <c r="I4893" s="455">
        <f t="shared" ca="1" si="180"/>
        <v>165684247788223.63</v>
      </c>
      <c r="J4893" s="455">
        <f t="array" ref="J4893">IFERROR(INDEX('Retirement Calculator'!K:K,MATCH('Lorri 401b'!N4893,'Retirement Calculator'!A:A,0),0),0)</f>
        <v>0</v>
      </c>
      <c r="K4893" s="455">
        <f t="shared" ca="1" si="178"/>
        <v>690351032450.93176</v>
      </c>
      <c r="L4893" s="455">
        <f t="shared" ca="1" si="179"/>
        <v>166374598820674.56</v>
      </c>
      <c r="M4893" s="471">
        <f t="shared" si="181"/>
        <v>0.05</v>
      </c>
      <c r="N4893" s="475">
        <f t="shared" si="182"/>
        <v>199971</v>
      </c>
    </row>
    <row r="4894" spans="7:14" ht="11.25" customHeight="1" x14ac:dyDescent="0.3">
      <c r="G4894" s="470"/>
      <c r="H4894" s="470">
        <v>4887</v>
      </c>
      <c r="I4894" s="455">
        <f t="shared" ca="1" si="180"/>
        <v>166374598820674.56</v>
      </c>
      <c r="J4894" s="455">
        <f t="array" ref="J4894">IFERROR(INDEX('Retirement Calculator'!K:K,MATCH('Lorri 401b'!N4894,'Retirement Calculator'!A:A,0),0),0)</f>
        <v>0</v>
      </c>
      <c r="K4894" s="455">
        <f t="shared" ca="1" si="178"/>
        <v>693227495086.14404</v>
      </c>
      <c r="L4894" s="455">
        <f t="shared" ca="1" si="179"/>
        <v>167067826315760.72</v>
      </c>
      <c r="M4894" s="471">
        <f t="shared" si="181"/>
        <v>0.05</v>
      </c>
      <c r="N4894" s="475">
        <f t="shared" si="182"/>
        <v>200002</v>
      </c>
    </row>
    <row r="4895" spans="7:14" ht="11.25" customHeight="1" x14ac:dyDescent="0.3">
      <c r="G4895" s="470"/>
      <c r="H4895" s="470">
        <v>4888</v>
      </c>
      <c r="I4895" s="455">
        <f t="shared" ca="1" si="180"/>
        <v>167067826315760.72</v>
      </c>
      <c r="J4895" s="455">
        <f t="array" ref="J4895">IFERROR(INDEX('Retirement Calculator'!K:K,MATCH('Lorri 401b'!N4895,'Retirement Calculator'!A:A,0),0),0)</f>
        <v>0</v>
      </c>
      <c r="K4895" s="455">
        <f t="shared" ca="1" si="178"/>
        <v>696115942982.3363</v>
      </c>
      <c r="L4895" s="455">
        <f t="shared" ca="1" si="179"/>
        <v>167763942258743.06</v>
      </c>
      <c r="M4895" s="471">
        <f t="shared" si="181"/>
        <v>0.05</v>
      </c>
      <c r="N4895" s="475">
        <f t="shared" si="182"/>
        <v>200033</v>
      </c>
    </row>
    <row r="4896" spans="7:14" ht="11.25" customHeight="1" x14ac:dyDescent="0.3">
      <c r="G4896" s="470"/>
      <c r="H4896" s="470">
        <v>4889</v>
      </c>
      <c r="I4896" s="455">
        <f t="shared" ca="1" si="180"/>
        <v>167763942258743.06</v>
      </c>
      <c r="J4896" s="455">
        <f t="array" ref="J4896">IFERROR(INDEX('Retirement Calculator'!K:K,MATCH('Lorri 401b'!N4896,'Retirement Calculator'!A:A,0),0),0)</f>
        <v>0</v>
      </c>
      <c r="K4896" s="455">
        <f t="shared" ca="1" si="178"/>
        <v>699016426078.09607</v>
      </c>
      <c r="L4896" s="455">
        <f t="shared" ca="1" si="179"/>
        <v>168462958684821.16</v>
      </c>
      <c r="M4896" s="471">
        <f t="shared" si="181"/>
        <v>0.05</v>
      </c>
      <c r="N4896" s="475">
        <f t="shared" si="182"/>
        <v>200063</v>
      </c>
    </row>
    <row r="4897" spans="7:14" ht="11.25" customHeight="1" x14ac:dyDescent="0.3">
      <c r="G4897" s="470"/>
      <c r="H4897" s="470">
        <v>4890</v>
      </c>
      <c r="I4897" s="455">
        <f t="shared" ca="1" si="180"/>
        <v>168462958684821.16</v>
      </c>
      <c r="J4897" s="455">
        <f t="array" ref="J4897">IFERROR(INDEX('Retirement Calculator'!K:K,MATCH('Lorri 401b'!N4897,'Retirement Calculator'!A:A,0),0),0)</f>
        <v>0</v>
      </c>
      <c r="K4897" s="455">
        <f t="shared" ca="1" si="178"/>
        <v>701928994520.08813</v>
      </c>
      <c r="L4897" s="455">
        <f t="shared" ca="1" si="179"/>
        <v>169164887679341.25</v>
      </c>
      <c r="M4897" s="471">
        <f t="shared" si="181"/>
        <v>0.05</v>
      </c>
      <c r="N4897" s="475">
        <f t="shared" si="182"/>
        <v>200094</v>
      </c>
    </row>
    <row r="4898" spans="7:14" ht="11.25" customHeight="1" x14ac:dyDescent="0.3">
      <c r="G4898" s="470"/>
      <c r="H4898" s="470">
        <v>4891</v>
      </c>
      <c r="I4898" s="455">
        <f t="shared" ca="1" si="180"/>
        <v>169164887679341.25</v>
      </c>
      <c r="J4898" s="455">
        <f t="array" ref="J4898">IFERROR(INDEX('Retirement Calculator'!K:K,MATCH('Lorri 401b'!N4898,'Retirement Calculator'!A:A,0),0),0)</f>
        <v>0</v>
      </c>
      <c r="K4898" s="455">
        <f t="shared" ca="1" si="178"/>
        <v>704853698663.92188</v>
      </c>
      <c r="L4898" s="455">
        <f t="shared" ca="1" si="179"/>
        <v>169869741378005.19</v>
      </c>
      <c r="M4898" s="471">
        <f t="shared" si="181"/>
        <v>0.05</v>
      </c>
      <c r="N4898" s="475">
        <f t="shared" si="182"/>
        <v>200124</v>
      </c>
    </row>
    <row r="4899" spans="7:14" ht="11.25" customHeight="1" x14ac:dyDescent="0.3">
      <c r="G4899" s="470"/>
      <c r="H4899" s="470">
        <v>4892</v>
      </c>
      <c r="I4899" s="455">
        <f t="shared" ca="1" si="180"/>
        <v>169869741378005.19</v>
      </c>
      <c r="J4899" s="455">
        <f t="array" ref="J4899">IFERROR(INDEX('Retirement Calculator'!K:K,MATCH('Lorri 401b'!N4899,'Retirement Calculator'!A:A,0),0),0)</f>
        <v>0</v>
      </c>
      <c r="K4899" s="455">
        <f t="shared" ca="1" si="178"/>
        <v>707790589075.02161</v>
      </c>
      <c r="L4899" s="455">
        <f t="shared" ca="1" si="179"/>
        <v>170577531967080.22</v>
      </c>
      <c r="M4899" s="471">
        <f t="shared" si="181"/>
        <v>0.05</v>
      </c>
      <c r="N4899" s="475">
        <f t="shared" si="182"/>
        <v>200155</v>
      </c>
    </row>
    <row r="4900" spans="7:14" ht="11.25" customHeight="1" x14ac:dyDescent="0.3">
      <c r="G4900" s="470"/>
      <c r="H4900" s="470">
        <v>4893</v>
      </c>
      <c r="I4900" s="455">
        <f t="shared" ca="1" si="180"/>
        <v>170577531967080.22</v>
      </c>
      <c r="J4900" s="455">
        <f t="array" ref="J4900">IFERROR(INDEX('Retirement Calculator'!K:K,MATCH('Lorri 401b'!N4900,'Retirement Calculator'!A:A,0),0),0)</f>
        <v>0</v>
      </c>
      <c r="K4900" s="455">
        <f t="shared" ca="1" si="178"/>
        <v>710739716529.50085</v>
      </c>
      <c r="L4900" s="455">
        <f t="shared" ca="1" si="179"/>
        <v>171288271683609.72</v>
      </c>
      <c r="M4900" s="471">
        <f t="shared" si="181"/>
        <v>0.05</v>
      </c>
      <c r="N4900" s="475">
        <f t="shared" si="182"/>
        <v>200186</v>
      </c>
    </row>
    <row r="4901" spans="7:14" ht="11.25" customHeight="1" x14ac:dyDescent="0.3">
      <c r="G4901" s="470"/>
      <c r="H4901" s="470">
        <v>4894</v>
      </c>
      <c r="I4901" s="455">
        <f t="shared" ca="1" si="180"/>
        <v>171288271683609.72</v>
      </c>
      <c r="J4901" s="455">
        <f t="array" ref="J4901">IFERROR(INDEX('Retirement Calculator'!K:K,MATCH('Lorri 401b'!N4901,'Retirement Calculator'!A:A,0),0),0)</f>
        <v>0</v>
      </c>
      <c r="K4901" s="455">
        <f t="shared" ca="1" si="178"/>
        <v>713701132015.04053</v>
      </c>
      <c r="L4901" s="455">
        <f t="shared" ca="1" si="179"/>
        <v>172001972815624.75</v>
      </c>
      <c r="M4901" s="471">
        <f t="shared" si="181"/>
        <v>0.05</v>
      </c>
      <c r="N4901" s="475">
        <f t="shared" si="182"/>
        <v>200215</v>
      </c>
    </row>
    <row r="4902" spans="7:14" ht="11.25" customHeight="1" x14ac:dyDescent="0.3">
      <c r="G4902" s="470"/>
      <c r="H4902" s="470">
        <v>4895</v>
      </c>
      <c r="I4902" s="455">
        <f t="shared" ca="1" si="180"/>
        <v>172001972815624.75</v>
      </c>
      <c r="J4902" s="455">
        <f t="array" ref="J4902">IFERROR(INDEX('Retirement Calculator'!K:K,MATCH('Lorri 401b'!N4902,'Retirement Calculator'!A:A,0),0),0)</f>
        <v>0</v>
      </c>
      <c r="K4902" s="455">
        <f t="shared" ca="1" si="178"/>
        <v>716674886731.76978</v>
      </c>
      <c r="L4902" s="455">
        <f t="shared" ca="1" si="179"/>
        <v>172718647702356.53</v>
      </c>
      <c r="M4902" s="471">
        <f t="shared" si="181"/>
        <v>0.05</v>
      </c>
      <c r="N4902" s="475">
        <f t="shared" si="182"/>
        <v>200246</v>
      </c>
    </row>
    <row r="4903" spans="7:14" ht="11.25" customHeight="1" x14ac:dyDescent="0.3">
      <c r="G4903" s="470"/>
      <c r="H4903" s="470">
        <v>4896</v>
      </c>
      <c r="I4903" s="455">
        <f t="shared" ca="1" si="180"/>
        <v>172718647702356.53</v>
      </c>
      <c r="J4903" s="455">
        <f t="array" ref="J4903">IFERROR(INDEX('Retirement Calculator'!K:K,MATCH('Lorri 401b'!N4903,'Retirement Calculator'!A:A,0),0),0)</f>
        <v>0</v>
      </c>
      <c r="K4903" s="455">
        <f t="shared" ca="1" si="178"/>
        <v>719661032093.15222</v>
      </c>
      <c r="L4903" s="455">
        <f t="shared" ca="1" si="179"/>
        <v>173438308734449.69</v>
      </c>
      <c r="M4903" s="471">
        <f t="shared" si="181"/>
        <v>0.05</v>
      </c>
      <c r="N4903" s="475">
        <f t="shared" si="182"/>
        <v>200276</v>
      </c>
    </row>
    <row r="4904" spans="7:14" ht="11.25" customHeight="1" x14ac:dyDescent="0.3">
      <c r="G4904" s="470"/>
      <c r="H4904" s="470">
        <v>4897</v>
      </c>
      <c r="I4904" s="455">
        <f t="shared" ca="1" si="180"/>
        <v>173438308734449.69</v>
      </c>
      <c r="J4904" s="455">
        <f t="array" ref="J4904">IFERROR(INDEX('Retirement Calculator'!K:K,MATCH('Lorri 401b'!N4904,'Retirement Calculator'!A:A,0),0),0)</f>
        <v>0</v>
      </c>
      <c r="K4904" s="455">
        <f t="shared" ca="1" si="178"/>
        <v>722659619726.87366</v>
      </c>
      <c r="L4904" s="455">
        <f t="shared" ca="1" si="179"/>
        <v>174160968354176.56</v>
      </c>
      <c r="M4904" s="471">
        <f t="shared" si="181"/>
        <v>0.05</v>
      </c>
      <c r="N4904" s="475">
        <f t="shared" si="182"/>
        <v>200307</v>
      </c>
    </row>
    <row r="4905" spans="7:14" ht="11.25" customHeight="1" x14ac:dyDescent="0.3">
      <c r="G4905" s="470"/>
      <c r="H4905" s="470">
        <v>4898</v>
      </c>
      <c r="I4905" s="455">
        <f t="shared" ca="1" si="180"/>
        <v>174160968354176.56</v>
      </c>
      <c r="J4905" s="455">
        <f t="array" ref="J4905">IFERROR(INDEX('Retirement Calculator'!K:K,MATCH('Lorri 401b'!N4905,'Retirement Calculator'!A:A,0),0),0)</f>
        <v>0</v>
      </c>
      <c r="K4905" s="455">
        <f t="shared" ca="1" si="178"/>
        <v>725670701475.73572</v>
      </c>
      <c r="L4905" s="455">
        <f t="shared" ca="1" si="179"/>
        <v>174886639055652.31</v>
      </c>
      <c r="M4905" s="471">
        <f t="shared" si="181"/>
        <v>0.05</v>
      </c>
      <c r="N4905" s="475">
        <f t="shared" si="182"/>
        <v>200337</v>
      </c>
    </row>
    <row r="4906" spans="7:14" ht="11.25" customHeight="1" x14ac:dyDescent="0.3">
      <c r="G4906" s="470"/>
      <c r="H4906" s="470">
        <v>4899</v>
      </c>
      <c r="I4906" s="455">
        <f t="shared" ca="1" si="180"/>
        <v>174886639055652.31</v>
      </c>
      <c r="J4906" s="455">
        <f t="array" ref="J4906">IFERROR(INDEX('Retirement Calculator'!K:K,MATCH('Lorri 401b'!N4906,'Retirement Calculator'!A:A,0),0),0)</f>
        <v>0</v>
      </c>
      <c r="K4906" s="455">
        <f t="shared" ca="1" si="178"/>
        <v>728694329398.55127</v>
      </c>
      <c r="L4906" s="455">
        <f t="shared" ca="1" si="179"/>
        <v>175615333385050.88</v>
      </c>
      <c r="M4906" s="471">
        <f t="shared" si="181"/>
        <v>0.05</v>
      </c>
      <c r="N4906" s="475">
        <f t="shared" si="182"/>
        <v>200368</v>
      </c>
    </row>
    <row r="4907" spans="7:14" ht="11.25" customHeight="1" x14ac:dyDescent="0.3">
      <c r="G4907" s="470"/>
      <c r="H4907" s="470">
        <v>4900</v>
      </c>
      <c r="I4907" s="455">
        <f t="shared" ca="1" si="180"/>
        <v>175615333385050.88</v>
      </c>
      <c r="J4907" s="455">
        <f t="array" ref="J4907">IFERROR(INDEX('Retirement Calculator'!K:K,MATCH('Lorri 401b'!N4907,'Retirement Calculator'!A:A,0),0),0)</f>
        <v>0</v>
      </c>
      <c r="K4907" s="455">
        <f t="shared" ca="1" si="178"/>
        <v>731730555771.04529</v>
      </c>
      <c r="L4907" s="455">
        <f t="shared" ca="1" si="179"/>
        <v>176347063940821.91</v>
      </c>
      <c r="M4907" s="471">
        <f t="shared" si="181"/>
        <v>0.05</v>
      </c>
      <c r="N4907" s="475">
        <f t="shared" si="182"/>
        <v>200399</v>
      </c>
    </row>
    <row r="4908" spans="7:14" ht="11.25" customHeight="1" x14ac:dyDescent="0.3">
      <c r="G4908" s="470"/>
      <c r="H4908" s="470">
        <v>4901</v>
      </c>
      <c r="I4908" s="455">
        <f t="shared" ca="1" si="180"/>
        <v>176347063940821.91</v>
      </c>
      <c r="J4908" s="455">
        <f t="array" ref="J4908">IFERROR(INDEX('Retirement Calculator'!K:K,MATCH('Lorri 401b'!N4908,'Retirement Calculator'!A:A,0),0),0)</f>
        <v>0</v>
      </c>
      <c r="K4908" s="455">
        <f t="shared" ca="1" si="178"/>
        <v>734779433086.75793</v>
      </c>
      <c r="L4908" s="455">
        <f t="shared" ca="1" si="179"/>
        <v>177081843373908.66</v>
      </c>
      <c r="M4908" s="471">
        <f t="shared" si="181"/>
        <v>0.05</v>
      </c>
      <c r="N4908" s="475">
        <f t="shared" si="182"/>
        <v>200429</v>
      </c>
    </row>
    <row r="4909" spans="7:14" ht="11.25" customHeight="1" x14ac:dyDescent="0.3">
      <c r="G4909" s="470"/>
      <c r="H4909" s="470">
        <v>4902</v>
      </c>
      <c r="I4909" s="455">
        <f t="shared" ca="1" si="180"/>
        <v>177081843373908.66</v>
      </c>
      <c r="J4909" s="455">
        <f t="array" ref="J4909">IFERROR(INDEX('Retirement Calculator'!K:K,MATCH('Lorri 401b'!N4909,'Retirement Calculator'!A:A,0),0),0)</f>
        <v>0</v>
      </c>
      <c r="K4909" s="455">
        <f t="shared" ca="1" si="178"/>
        <v>737841014057.95276</v>
      </c>
      <c r="L4909" s="455">
        <f t="shared" ca="1" si="179"/>
        <v>177819684387966.59</v>
      </c>
      <c r="M4909" s="471">
        <f t="shared" si="181"/>
        <v>0.05</v>
      </c>
      <c r="N4909" s="475">
        <f t="shared" si="182"/>
        <v>200460</v>
      </c>
    </row>
    <row r="4910" spans="7:14" ht="11.25" customHeight="1" x14ac:dyDescent="0.3">
      <c r="G4910" s="470"/>
      <c r="H4910" s="470">
        <v>4903</v>
      </c>
      <c r="I4910" s="455">
        <f t="shared" ca="1" si="180"/>
        <v>177819684387966.59</v>
      </c>
      <c r="J4910" s="455">
        <f t="array" ref="J4910">IFERROR(INDEX('Retirement Calculator'!K:K,MATCH('Lorri 401b'!N4910,'Retirement Calculator'!A:A,0),0),0)</f>
        <v>0</v>
      </c>
      <c r="K4910" s="455">
        <f t="shared" ca="1" si="178"/>
        <v>740915351616.52747</v>
      </c>
      <c r="L4910" s="455">
        <f t="shared" ca="1" si="179"/>
        <v>178560599739583.13</v>
      </c>
      <c r="M4910" s="471">
        <f t="shared" si="181"/>
        <v>0.05</v>
      </c>
      <c r="N4910" s="475">
        <f t="shared" si="182"/>
        <v>200490</v>
      </c>
    </row>
    <row r="4911" spans="7:14" ht="11.25" customHeight="1" x14ac:dyDescent="0.3">
      <c r="G4911" s="470"/>
      <c r="H4911" s="470">
        <v>4904</v>
      </c>
      <c r="I4911" s="455">
        <f t="shared" ca="1" si="180"/>
        <v>178560599739583.13</v>
      </c>
      <c r="J4911" s="455">
        <f t="array" ref="J4911">IFERROR(INDEX('Retirement Calculator'!K:K,MATCH('Lorri 401b'!N4911,'Retirement Calculator'!A:A,0),0),0)</f>
        <v>0</v>
      </c>
      <c r="K4911" s="455">
        <f t="shared" ca="1" si="178"/>
        <v>744002498914.92969</v>
      </c>
      <c r="L4911" s="455">
        <f t="shared" ca="1" si="179"/>
        <v>179304602238498.06</v>
      </c>
      <c r="M4911" s="471">
        <f t="shared" si="181"/>
        <v>0.05</v>
      </c>
      <c r="N4911" s="475">
        <f t="shared" si="182"/>
        <v>200521</v>
      </c>
    </row>
    <row r="4912" spans="7:14" ht="11.25" customHeight="1" x14ac:dyDescent="0.3">
      <c r="G4912" s="470"/>
      <c r="H4912" s="470">
        <v>4905</v>
      </c>
      <c r="I4912" s="455">
        <f t="shared" ca="1" si="180"/>
        <v>179304602238498.06</v>
      </c>
      <c r="J4912" s="455">
        <f t="array" ref="J4912">IFERROR(INDEX('Retirement Calculator'!K:K,MATCH('Lorri 401b'!N4912,'Retirement Calculator'!A:A,0),0),0)</f>
        <v>0</v>
      </c>
      <c r="K4912" s="455">
        <f t="shared" ca="1" si="178"/>
        <v>747102509327.0752</v>
      </c>
      <c r="L4912" s="455">
        <f t="shared" ca="1" si="179"/>
        <v>180051704747825.13</v>
      </c>
      <c r="M4912" s="471">
        <f t="shared" si="181"/>
        <v>0.05</v>
      </c>
      <c r="N4912" s="475">
        <f t="shared" si="182"/>
        <v>200552</v>
      </c>
    </row>
    <row r="4913" spans="7:14" ht="11.25" customHeight="1" x14ac:dyDescent="0.3">
      <c r="G4913" s="470"/>
      <c r="H4913" s="470">
        <v>4906</v>
      </c>
      <c r="I4913" s="455">
        <f t="shared" ca="1" si="180"/>
        <v>180051704747825.13</v>
      </c>
      <c r="J4913" s="455">
        <f t="array" ref="J4913">IFERROR(INDEX('Retirement Calculator'!K:K,MATCH('Lorri 401b'!N4913,'Retirement Calculator'!A:A,0),0),0)</f>
        <v>0</v>
      </c>
      <c r="K4913" s="455">
        <f t="shared" ca="1" si="178"/>
        <v>750215436449.27136</v>
      </c>
      <c r="L4913" s="455">
        <f t="shared" ca="1" si="179"/>
        <v>180801920184274.41</v>
      </c>
      <c r="M4913" s="471">
        <f t="shared" si="181"/>
        <v>0.05</v>
      </c>
      <c r="N4913" s="475">
        <f t="shared" si="182"/>
        <v>200580</v>
      </c>
    </row>
    <row r="4914" spans="7:14" ht="11.25" customHeight="1" x14ac:dyDescent="0.3">
      <c r="G4914" s="470"/>
      <c r="H4914" s="470">
        <v>4907</v>
      </c>
      <c r="I4914" s="455">
        <f t="shared" ca="1" si="180"/>
        <v>180801920184274.41</v>
      </c>
      <c r="J4914" s="455">
        <f t="array" ref="J4914">IFERROR(INDEX('Retirement Calculator'!K:K,MATCH('Lorri 401b'!N4914,'Retirement Calculator'!A:A,0),0),0)</f>
        <v>0</v>
      </c>
      <c r="K4914" s="455">
        <f t="shared" ca="1" si="178"/>
        <v>753341334101.14331</v>
      </c>
      <c r="L4914" s="455">
        <f t="shared" ca="1" si="179"/>
        <v>181555261518375.56</v>
      </c>
      <c r="M4914" s="471">
        <f t="shared" si="181"/>
        <v>0.05</v>
      </c>
      <c r="N4914" s="475">
        <f t="shared" si="182"/>
        <v>200611</v>
      </c>
    </row>
    <row r="4915" spans="7:14" ht="11.25" customHeight="1" x14ac:dyDescent="0.3">
      <c r="G4915" s="470"/>
      <c r="H4915" s="470">
        <v>4908</v>
      </c>
      <c r="I4915" s="455">
        <f t="shared" ca="1" si="180"/>
        <v>181555261518375.56</v>
      </c>
      <c r="J4915" s="455">
        <f t="array" ref="J4915">IFERROR(INDEX('Retirement Calculator'!K:K,MATCH('Lorri 401b'!N4915,'Retirement Calculator'!A:A,0),0),0)</f>
        <v>0</v>
      </c>
      <c r="K4915" s="455">
        <f t="shared" ca="1" si="178"/>
        <v>756480256326.56482</v>
      </c>
      <c r="L4915" s="455">
        <f t="shared" ca="1" si="179"/>
        <v>182311741774702.13</v>
      </c>
      <c r="M4915" s="471">
        <f t="shared" si="181"/>
        <v>0.05</v>
      </c>
      <c r="N4915" s="475">
        <f t="shared" si="182"/>
        <v>200641</v>
      </c>
    </row>
    <row r="4916" spans="7:14" ht="11.25" customHeight="1" x14ac:dyDescent="0.3">
      <c r="G4916" s="470"/>
      <c r="H4916" s="470">
        <v>4909</v>
      </c>
      <c r="I4916" s="455">
        <f t="shared" ca="1" si="180"/>
        <v>182311741774702.13</v>
      </c>
      <c r="J4916" s="455">
        <f t="array" ref="J4916">IFERROR(INDEX('Retirement Calculator'!K:K,MATCH('Lorri 401b'!N4916,'Retirement Calculator'!A:A,0),0),0)</f>
        <v>0</v>
      </c>
      <c r="K4916" s="455">
        <f t="shared" ca="1" si="178"/>
        <v>759632257394.59216</v>
      </c>
      <c r="L4916" s="455">
        <f t="shared" ca="1" si="179"/>
        <v>183071374032096.72</v>
      </c>
      <c r="M4916" s="471">
        <f t="shared" si="181"/>
        <v>0.05</v>
      </c>
      <c r="N4916" s="475">
        <f t="shared" si="182"/>
        <v>200672</v>
      </c>
    </row>
    <row r="4917" spans="7:14" ht="11.25" customHeight="1" x14ac:dyDescent="0.3">
      <c r="G4917" s="470"/>
      <c r="H4917" s="470">
        <v>4910</v>
      </c>
      <c r="I4917" s="455">
        <f t="shared" ca="1" si="180"/>
        <v>183071374032096.72</v>
      </c>
      <c r="J4917" s="455">
        <f t="array" ref="J4917">IFERROR(INDEX('Retirement Calculator'!K:K,MATCH('Lorri 401b'!N4917,'Retirement Calculator'!A:A,0),0),0)</f>
        <v>0</v>
      </c>
      <c r="K4917" s="455">
        <f t="shared" ca="1" si="178"/>
        <v>762797391800.40295</v>
      </c>
      <c r="L4917" s="455">
        <f t="shared" ca="1" si="179"/>
        <v>183834171423897.13</v>
      </c>
      <c r="M4917" s="471">
        <f t="shared" si="181"/>
        <v>0.05</v>
      </c>
      <c r="N4917" s="475">
        <f t="shared" si="182"/>
        <v>200702</v>
      </c>
    </row>
    <row r="4918" spans="7:14" ht="11.25" customHeight="1" x14ac:dyDescent="0.3">
      <c r="G4918" s="470"/>
      <c r="H4918" s="470">
        <v>4911</v>
      </c>
      <c r="I4918" s="455">
        <f t="shared" ca="1" si="180"/>
        <v>183834171423897.13</v>
      </c>
      <c r="J4918" s="455">
        <f t="array" ref="J4918">IFERROR(INDEX('Retirement Calculator'!K:K,MATCH('Lorri 401b'!N4918,'Retirement Calculator'!A:A,0),0),0)</f>
        <v>0</v>
      </c>
      <c r="K4918" s="455">
        <f t="shared" ca="1" si="178"/>
        <v>765975714266.23804</v>
      </c>
      <c r="L4918" s="455">
        <f t="shared" ca="1" si="179"/>
        <v>184600147138163.38</v>
      </c>
      <c r="M4918" s="471">
        <f t="shared" si="181"/>
        <v>0.05</v>
      </c>
      <c r="N4918" s="475">
        <f t="shared" si="182"/>
        <v>200733</v>
      </c>
    </row>
    <row r="4919" spans="7:14" ht="11.25" customHeight="1" x14ac:dyDescent="0.3">
      <c r="G4919" s="470"/>
      <c r="H4919" s="470">
        <v>4912</v>
      </c>
      <c r="I4919" s="455">
        <f t="shared" ca="1" si="180"/>
        <v>184600147138163.38</v>
      </c>
      <c r="J4919" s="455">
        <f t="array" ref="J4919">IFERROR(INDEX('Retirement Calculator'!K:K,MATCH('Lorri 401b'!N4919,'Retirement Calculator'!A:A,0),0),0)</f>
        <v>0</v>
      </c>
      <c r="K4919" s="455">
        <f t="shared" ca="1" si="178"/>
        <v>769167279742.34741</v>
      </c>
      <c r="L4919" s="455">
        <f t="shared" ca="1" si="179"/>
        <v>185369314417905.72</v>
      </c>
      <c r="M4919" s="471">
        <f t="shared" si="181"/>
        <v>0.05</v>
      </c>
      <c r="N4919" s="475">
        <f t="shared" si="182"/>
        <v>200764</v>
      </c>
    </row>
    <row r="4920" spans="7:14" ht="11.25" customHeight="1" x14ac:dyDescent="0.3">
      <c r="G4920" s="470"/>
      <c r="H4920" s="470">
        <v>4913</v>
      </c>
      <c r="I4920" s="455">
        <f t="shared" ca="1" si="180"/>
        <v>185369314417905.72</v>
      </c>
      <c r="J4920" s="455">
        <f t="array" ref="J4920">IFERROR(INDEX('Retirement Calculator'!K:K,MATCH('Lorri 401b'!N4920,'Retirement Calculator'!A:A,0),0),0)</f>
        <v>0</v>
      </c>
      <c r="K4920" s="455">
        <f t="shared" ca="1" si="178"/>
        <v>772372143407.94043</v>
      </c>
      <c r="L4920" s="455">
        <f t="shared" ca="1" si="179"/>
        <v>186141686561313.66</v>
      </c>
      <c r="M4920" s="471">
        <f t="shared" si="181"/>
        <v>0.05</v>
      </c>
      <c r="N4920" s="475">
        <f t="shared" si="182"/>
        <v>200794</v>
      </c>
    </row>
    <row r="4921" spans="7:14" ht="11.25" customHeight="1" x14ac:dyDescent="0.3">
      <c r="G4921" s="470"/>
      <c r="H4921" s="470">
        <v>4914</v>
      </c>
      <c r="I4921" s="455">
        <f t="shared" ca="1" si="180"/>
        <v>186141686561313.66</v>
      </c>
      <c r="J4921" s="455">
        <f t="array" ref="J4921">IFERROR(INDEX('Retirement Calculator'!K:K,MATCH('Lorri 401b'!N4921,'Retirement Calculator'!A:A,0),0),0)</f>
        <v>0</v>
      </c>
      <c r="K4921" s="455">
        <f t="shared" ca="1" si="178"/>
        <v>775590360672.14026</v>
      </c>
      <c r="L4921" s="455">
        <f t="shared" ca="1" si="179"/>
        <v>186917276921985.78</v>
      </c>
      <c r="M4921" s="471">
        <f t="shared" si="181"/>
        <v>0.05</v>
      </c>
      <c r="N4921" s="475">
        <f t="shared" si="182"/>
        <v>200825</v>
      </c>
    </row>
    <row r="4922" spans="7:14" ht="11.25" customHeight="1" x14ac:dyDescent="0.3">
      <c r="G4922" s="470"/>
      <c r="H4922" s="470">
        <v>4915</v>
      </c>
      <c r="I4922" s="455">
        <f t="shared" ca="1" si="180"/>
        <v>186917276921985.78</v>
      </c>
      <c r="J4922" s="455">
        <f t="array" ref="J4922">IFERROR(INDEX('Retirement Calculator'!K:K,MATCH('Lorri 401b'!N4922,'Retirement Calculator'!A:A,0),0),0)</f>
        <v>0</v>
      </c>
      <c r="K4922" s="455">
        <f t="shared" ca="1" si="178"/>
        <v>778821987174.9408</v>
      </c>
      <c r="L4922" s="455">
        <f t="shared" ca="1" si="179"/>
        <v>187696098909160.72</v>
      </c>
      <c r="M4922" s="471">
        <f t="shared" si="181"/>
        <v>0.05</v>
      </c>
      <c r="N4922" s="475">
        <f t="shared" si="182"/>
        <v>200855</v>
      </c>
    </row>
    <row r="4923" spans="7:14" ht="11.25" customHeight="1" x14ac:dyDescent="0.3">
      <c r="G4923" s="470"/>
      <c r="H4923" s="470">
        <v>4916</v>
      </c>
      <c r="I4923" s="455">
        <f t="shared" ca="1" si="180"/>
        <v>187696098909160.72</v>
      </c>
      <c r="J4923" s="455">
        <f t="array" ref="J4923">IFERROR(INDEX('Retirement Calculator'!K:K,MATCH('Lorri 401b'!N4923,'Retirement Calculator'!A:A,0),0),0)</f>
        <v>0</v>
      </c>
      <c r="K4923" s="455">
        <f t="shared" ca="1" si="178"/>
        <v>782067078788.16968</v>
      </c>
      <c r="L4923" s="455">
        <f t="shared" ca="1" si="179"/>
        <v>188478165987948.88</v>
      </c>
      <c r="M4923" s="471">
        <f t="shared" si="181"/>
        <v>0.05</v>
      </c>
      <c r="N4923" s="475">
        <f t="shared" si="182"/>
        <v>200886</v>
      </c>
    </row>
    <row r="4924" spans="7:14" ht="11.25" customHeight="1" x14ac:dyDescent="0.3">
      <c r="G4924" s="470"/>
      <c r="H4924" s="470">
        <v>4917</v>
      </c>
      <c r="I4924" s="455">
        <f t="shared" ca="1" si="180"/>
        <v>188478165987948.88</v>
      </c>
      <c r="J4924" s="455">
        <f t="array" ref="J4924">IFERROR(INDEX('Retirement Calculator'!K:K,MATCH('Lorri 401b'!N4924,'Retirement Calculator'!A:A,0),0),0)</f>
        <v>0</v>
      </c>
      <c r="K4924" s="455">
        <f t="shared" ca="1" si="178"/>
        <v>785325691616.45361</v>
      </c>
      <c r="L4924" s="455">
        <f t="shared" ca="1" si="179"/>
        <v>189263491679565.34</v>
      </c>
      <c r="M4924" s="471">
        <f t="shared" si="181"/>
        <v>0.05</v>
      </c>
      <c r="N4924" s="475">
        <f t="shared" si="182"/>
        <v>200917</v>
      </c>
    </row>
    <row r="4925" spans="7:14" ht="11.25" customHeight="1" x14ac:dyDescent="0.3">
      <c r="G4925" s="470"/>
      <c r="H4925" s="470">
        <v>4918</v>
      </c>
      <c r="I4925" s="455">
        <f t="shared" ca="1" si="180"/>
        <v>189263491679565.34</v>
      </c>
      <c r="J4925" s="455">
        <f t="array" ref="J4925">IFERROR(INDEX('Retirement Calculator'!K:K,MATCH('Lorri 401b'!N4925,'Retirement Calculator'!A:A,0),0),0)</f>
        <v>0</v>
      </c>
      <c r="K4925" s="455">
        <f t="shared" ca="1" si="178"/>
        <v>788597881998.18896</v>
      </c>
      <c r="L4925" s="455">
        <f t="shared" ca="1" si="179"/>
        <v>190052089561563.53</v>
      </c>
      <c r="M4925" s="471">
        <f t="shared" si="181"/>
        <v>0.05</v>
      </c>
      <c r="N4925" s="475">
        <f t="shared" si="182"/>
        <v>200945</v>
      </c>
    </row>
    <row r="4926" spans="7:14" ht="11.25" customHeight="1" x14ac:dyDescent="0.3">
      <c r="G4926" s="470"/>
      <c r="H4926" s="470">
        <v>4919</v>
      </c>
      <c r="I4926" s="455">
        <f t="shared" ca="1" si="180"/>
        <v>190052089561563.53</v>
      </c>
      <c r="J4926" s="455">
        <f t="array" ref="J4926">IFERROR(INDEX('Retirement Calculator'!K:K,MATCH('Lorri 401b'!N4926,'Retirement Calculator'!A:A,0),0),0)</f>
        <v>0</v>
      </c>
      <c r="K4926" s="455">
        <f t="shared" ca="1" si="178"/>
        <v>791883706506.51465</v>
      </c>
      <c r="L4926" s="455">
        <f t="shared" ca="1" si="179"/>
        <v>190843973268070.03</v>
      </c>
      <c r="M4926" s="471">
        <f t="shared" si="181"/>
        <v>0.05</v>
      </c>
      <c r="N4926" s="475">
        <f t="shared" si="182"/>
        <v>200976</v>
      </c>
    </row>
    <row r="4927" spans="7:14" ht="11.25" customHeight="1" x14ac:dyDescent="0.3">
      <c r="G4927" s="470"/>
      <c r="H4927" s="470">
        <v>4920</v>
      </c>
      <c r="I4927" s="455">
        <f t="shared" ca="1" si="180"/>
        <v>190843973268070.03</v>
      </c>
      <c r="J4927" s="455">
        <f t="array" ref="J4927">IFERROR(INDEX('Retirement Calculator'!K:K,MATCH('Lorri 401b'!N4927,'Retirement Calculator'!A:A,0),0),0)</f>
        <v>0</v>
      </c>
      <c r="K4927" s="455">
        <f t="shared" ca="1" si="178"/>
        <v>795183221950.29175</v>
      </c>
      <c r="L4927" s="455">
        <f t="shared" ca="1" si="179"/>
        <v>191639156490020.31</v>
      </c>
      <c r="M4927" s="471">
        <f t="shared" si="181"/>
        <v>0.05</v>
      </c>
      <c r="N4927" s="475">
        <f t="shared" si="182"/>
        <v>201006</v>
      </c>
    </row>
    <row r="4928" spans="7:14" ht="11.25" customHeight="1" x14ac:dyDescent="0.3">
      <c r="G4928" s="470"/>
      <c r="H4928" s="470">
        <v>4921</v>
      </c>
      <c r="I4928" s="455">
        <f t="shared" ca="1" si="180"/>
        <v>191639156490020.31</v>
      </c>
      <c r="J4928" s="455">
        <f t="array" ref="J4928">IFERROR(INDEX('Retirement Calculator'!K:K,MATCH('Lorri 401b'!N4928,'Retirement Calculator'!A:A,0),0),0)</f>
        <v>0</v>
      </c>
      <c r="K4928" s="455">
        <f t="shared" ca="1" si="178"/>
        <v>798496485375.08459</v>
      </c>
      <c r="L4928" s="455">
        <f t="shared" ca="1" si="179"/>
        <v>192437652975395.41</v>
      </c>
      <c r="M4928" s="471">
        <f t="shared" si="181"/>
        <v>0.05</v>
      </c>
      <c r="N4928" s="475">
        <f t="shared" si="182"/>
        <v>201037</v>
      </c>
    </row>
    <row r="4929" spans="7:14" ht="11.25" customHeight="1" x14ac:dyDescent="0.3">
      <c r="G4929" s="470"/>
      <c r="H4929" s="470">
        <v>4922</v>
      </c>
      <c r="I4929" s="455">
        <f t="shared" ca="1" si="180"/>
        <v>192437652975395.41</v>
      </c>
      <c r="J4929" s="455">
        <f t="array" ref="J4929">IFERROR(INDEX('Retirement Calculator'!K:K,MATCH('Lorri 401b'!N4929,'Retirement Calculator'!A:A,0),0),0)</f>
        <v>0</v>
      </c>
      <c r="K4929" s="455">
        <f t="shared" ca="1" si="178"/>
        <v>801823554064.14746</v>
      </c>
      <c r="L4929" s="455">
        <f t="shared" ca="1" si="179"/>
        <v>193239476529459.56</v>
      </c>
      <c r="M4929" s="471">
        <f t="shared" si="181"/>
        <v>0.05</v>
      </c>
      <c r="N4929" s="475">
        <f t="shared" si="182"/>
        <v>201067</v>
      </c>
    </row>
    <row r="4930" spans="7:14" ht="11.25" customHeight="1" x14ac:dyDescent="0.3">
      <c r="G4930" s="470"/>
      <c r="H4930" s="470">
        <v>4923</v>
      </c>
      <c r="I4930" s="455">
        <f t="shared" ca="1" si="180"/>
        <v>193239476529459.56</v>
      </c>
      <c r="J4930" s="455">
        <f t="array" ref="J4930">IFERROR(INDEX('Retirement Calculator'!K:K,MATCH('Lorri 401b'!N4930,'Retirement Calculator'!A:A,0),0),0)</f>
        <v>0</v>
      </c>
      <c r="K4930" s="455">
        <f t="shared" ca="1" si="178"/>
        <v>805164485539.41479</v>
      </c>
      <c r="L4930" s="455">
        <f t="shared" ca="1" si="179"/>
        <v>194044641014998.97</v>
      </c>
      <c r="M4930" s="471">
        <f t="shared" si="181"/>
        <v>0.05</v>
      </c>
      <c r="N4930" s="475">
        <f t="shared" si="182"/>
        <v>201098</v>
      </c>
    </row>
    <row r="4931" spans="7:14" ht="11.25" customHeight="1" x14ac:dyDescent="0.3">
      <c r="G4931" s="470"/>
      <c r="H4931" s="470">
        <v>4924</v>
      </c>
      <c r="I4931" s="455">
        <f t="shared" ca="1" si="180"/>
        <v>194044641014998.97</v>
      </c>
      <c r="J4931" s="455">
        <f t="array" ref="J4931">IFERROR(INDEX('Retirement Calculator'!K:K,MATCH('Lorri 401b'!N4931,'Retirement Calculator'!A:A,0),0),0)</f>
        <v>0</v>
      </c>
      <c r="K4931" s="455">
        <f t="shared" ca="1" si="178"/>
        <v>808519337562.49573</v>
      </c>
      <c r="L4931" s="455">
        <f t="shared" ca="1" si="179"/>
        <v>194853160352561.47</v>
      </c>
      <c r="M4931" s="471">
        <f t="shared" si="181"/>
        <v>0.05</v>
      </c>
      <c r="N4931" s="475">
        <f t="shared" si="182"/>
        <v>201129</v>
      </c>
    </row>
    <row r="4932" spans="7:14" ht="11.25" customHeight="1" x14ac:dyDescent="0.3">
      <c r="G4932" s="470"/>
      <c r="H4932" s="470">
        <v>4925</v>
      </c>
      <c r="I4932" s="455">
        <f t="shared" ca="1" si="180"/>
        <v>194853160352561.47</v>
      </c>
      <c r="J4932" s="455">
        <f t="array" ref="J4932">IFERROR(INDEX('Retirement Calculator'!K:K,MATCH('Lorri 401b'!N4932,'Retirement Calculator'!A:A,0),0),0)</f>
        <v>0</v>
      </c>
      <c r="K4932" s="455">
        <f t="shared" ca="1" si="178"/>
        <v>811888168135.67273</v>
      </c>
      <c r="L4932" s="455">
        <f t="shared" ca="1" si="179"/>
        <v>195665048520697.16</v>
      </c>
      <c r="M4932" s="471">
        <f t="shared" si="181"/>
        <v>0.05</v>
      </c>
      <c r="N4932" s="475">
        <f t="shared" si="182"/>
        <v>201159</v>
      </c>
    </row>
    <row r="4933" spans="7:14" ht="11.25" customHeight="1" x14ac:dyDescent="0.3">
      <c r="G4933" s="470"/>
      <c r="H4933" s="470">
        <v>4926</v>
      </c>
      <c r="I4933" s="455">
        <f t="shared" ca="1" si="180"/>
        <v>195665048520697.16</v>
      </c>
      <c r="J4933" s="455">
        <f t="array" ref="J4933">IFERROR(INDEX('Retirement Calculator'!K:K,MATCH('Lorri 401b'!N4933,'Retirement Calculator'!A:A,0),0),0)</f>
        <v>0</v>
      </c>
      <c r="K4933" s="455">
        <f t="shared" ca="1" si="178"/>
        <v>815271035502.90479</v>
      </c>
      <c r="L4933" s="455">
        <f t="shared" ca="1" si="179"/>
        <v>196480319556200.06</v>
      </c>
      <c r="M4933" s="471">
        <f t="shared" si="181"/>
        <v>0.05</v>
      </c>
      <c r="N4933" s="475">
        <f t="shared" si="182"/>
        <v>201190</v>
      </c>
    </row>
    <row r="4934" spans="7:14" ht="11.25" customHeight="1" x14ac:dyDescent="0.3">
      <c r="G4934" s="470"/>
      <c r="H4934" s="470">
        <v>4927</v>
      </c>
      <c r="I4934" s="455">
        <f t="shared" ca="1" si="180"/>
        <v>196480319556200.06</v>
      </c>
      <c r="J4934" s="455">
        <f t="array" ref="J4934">IFERROR(INDEX('Retirement Calculator'!K:K,MATCH('Lorri 401b'!N4934,'Retirement Calculator'!A:A,0),0),0)</f>
        <v>0</v>
      </c>
      <c r="K4934" s="455">
        <f t="shared" ca="1" si="178"/>
        <v>818667998150.83362</v>
      </c>
      <c r="L4934" s="455">
        <f t="shared" ca="1" si="179"/>
        <v>197298987554350.91</v>
      </c>
      <c r="M4934" s="471">
        <f t="shared" si="181"/>
        <v>0.05</v>
      </c>
      <c r="N4934" s="475">
        <f t="shared" si="182"/>
        <v>201220</v>
      </c>
    </row>
    <row r="4935" spans="7:14" ht="11.25" customHeight="1" x14ac:dyDescent="0.3">
      <c r="G4935" s="470"/>
      <c r="H4935" s="470">
        <v>4928</v>
      </c>
      <c r="I4935" s="455">
        <f t="shared" ca="1" si="180"/>
        <v>197298987554350.91</v>
      </c>
      <c r="J4935" s="455">
        <f t="array" ref="J4935">IFERROR(INDEX('Retirement Calculator'!K:K,MATCH('Lorri 401b'!N4935,'Retirement Calculator'!A:A,0),0),0)</f>
        <v>0</v>
      </c>
      <c r="K4935" s="455">
        <f t="shared" ca="1" si="178"/>
        <v>822079114809.79541</v>
      </c>
      <c r="L4935" s="455">
        <f t="shared" ca="1" si="179"/>
        <v>198121066669160.69</v>
      </c>
      <c r="M4935" s="471">
        <f t="shared" si="181"/>
        <v>0.05</v>
      </c>
      <c r="N4935" s="475">
        <f t="shared" si="182"/>
        <v>201251</v>
      </c>
    </row>
    <row r="4936" spans="7:14" ht="11.25" customHeight="1" x14ac:dyDescent="0.3">
      <c r="G4936" s="470"/>
      <c r="H4936" s="470">
        <v>4929</v>
      </c>
      <c r="I4936" s="455">
        <f t="shared" ca="1" si="180"/>
        <v>198121066669160.69</v>
      </c>
      <c r="J4936" s="455">
        <f t="array" ref="J4936">IFERROR(INDEX('Retirement Calculator'!K:K,MATCH('Lorri 401b'!N4936,'Retirement Calculator'!A:A,0),0),0)</f>
        <v>0</v>
      </c>
      <c r="K4936" s="455">
        <f t="shared" ca="1" si="178"/>
        <v>825504444454.83618</v>
      </c>
      <c r="L4936" s="455">
        <f t="shared" ca="1" si="179"/>
        <v>198946571113615.53</v>
      </c>
      <c r="M4936" s="471">
        <f t="shared" si="181"/>
        <v>0.05</v>
      </c>
      <c r="N4936" s="475">
        <f t="shared" si="182"/>
        <v>201282</v>
      </c>
    </row>
    <row r="4937" spans="7:14" ht="11.25" customHeight="1" x14ac:dyDescent="0.3">
      <c r="G4937" s="470"/>
      <c r="H4937" s="470">
        <v>4930</v>
      </c>
      <c r="I4937" s="455">
        <f t="shared" ca="1" si="180"/>
        <v>198946571113615.53</v>
      </c>
      <c r="J4937" s="455">
        <f t="array" ref="J4937">IFERROR(INDEX('Retirement Calculator'!K:K,MATCH('Lorri 401b'!N4937,'Retirement Calculator'!A:A,0),0),0)</f>
        <v>0</v>
      </c>
      <c r="K4937" s="455">
        <f t="shared" ca="1" si="178"/>
        <v>828944046306.73132</v>
      </c>
      <c r="L4937" s="455">
        <f t="shared" ca="1" si="179"/>
        <v>199775515159922.25</v>
      </c>
      <c r="M4937" s="471">
        <f t="shared" si="181"/>
        <v>0.05</v>
      </c>
      <c r="N4937" s="475">
        <f t="shared" si="182"/>
        <v>201310</v>
      </c>
    </row>
    <row r="4938" spans="7:14" ht="11.25" customHeight="1" x14ac:dyDescent="0.3">
      <c r="G4938" s="470"/>
      <c r="H4938" s="470">
        <v>4931</v>
      </c>
      <c r="I4938" s="455">
        <f t="shared" ca="1" si="180"/>
        <v>199775515159922.25</v>
      </c>
      <c r="J4938" s="455">
        <f t="array" ref="J4938">IFERROR(INDEX('Retirement Calculator'!K:K,MATCH('Lorri 401b'!N4938,'Retirement Calculator'!A:A,0),0),0)</f>
        <v>0</v>
      </c>
      <c r="K4938" s="455">
        <f t="shared" ca="1" si="178"/>
        <v>832397979833.0094</v>
      </c>
      <c r="L4938" s="455">
        <f t="shared" ca="1" si="179"/>
        <v>200607913139755.25</v>
      </c>
      <c r="M4938" s="471">
        <f t="shared" si="181"/>
        <v>0.05</v>
      </c>
      <c r="N4938" s="475">
        <f t="shared" si="182"/>
        <v>201341</v>
      </c>
    </row>
    <row r="4939" spans="7:14" ht="11.25" customHeight="1" x14ac:dyDescent="0.3">
      <c r="G4939" s="470"/>
      <c r="H4939" s="470">
        <v>4932</v>
      </c>
      <c r="I4939" s="455">
        <f t="shared" ca="1" si="180"/>
        <v>200607913139755.25</v>
      </c>
      <c r="J4939" s="455">
        <f t="array" ref="J4939">IFERROR(INDEX('Retirement Calculator'!K:K,MATCH('Lorri 401b'!N4939,'Retirement Calculator'!A:A,0),0),0)</f>
        <v>0</v>
      </c>
      <c r="K4939" s="455">
        <f t="shared" ca="1" si="178"/>
        <v>835866304748.98022</v>
      </c>
      <c r="L4939" s="455">
        <f t="shared" ca="1" si="179"/>
        <v>201443779444504.22</v>
      </c>
      <c r="M4939" s="471">
        <f t="shared" si="181"/>
        <v>0.05</v>
      </c>
      <c r="N4939" s="475">
        <f t="shared" si="182"/>
        <v>201371</v>
      </c>
    </row>
    <row r="4940" spans="7:14" ht="11.25" customHeight="1" x14ac:dyDescent="0.3">
      <c r="G4940" s="470"/>
      <c r="H4940" s="470">
        <v>4933</v>
      </c>
      <c r="I4940" s="455">
        <f t="shared" ca="1" si="180"/>
        <v>201443779444504.22</v>
      </c>
      <c r="J4940" s="455">
        <f t="array" ref="J4940">IFERROR(INDEX('Retirement Calculator'!K:K,MATCH('Lorri 401b'!N4940,'Retirement Calculator'!A:A,0),0),0)</f>
        <v>0</v>
      </c>
      <c r="K4940" s="455">
        <f t="shared" ca="1" si="178"/>
        <v>839349081018.76758</v>
      </c>
      <c r="L4940" s="455">
        <f t="shared" ca="1" si="179"/>
        <v>202283128525523</v>
      </c>
      <c r="M4940" s="471">
        <f t="shared" si="181"/>
        <v>0.05</v>
      </c>
      <c r="N4940" s="475">
        <f t="shared" si="182"/>
        <v>201402</v>
      </c>
    </row>
    <row r="4941" spans="7:14" ht="11.25" customHeight="1" x14ac:dyDescent="0.3">
      <c r="G4941" s="470"/>
      <c r="H4941" s="470">
        <v>4934</v>
      </c>
      <c r="I4941" s="455">
        <f t="shared" ca="1" si="180"/>
        <v>202283128525523</v>
      </c>
      <c r="J4941" s="455">
        <f t="array" ref="J4941">IFERROR(INDEX('Retirement Calculator'!K:K,MATCH('Lorri 401b'!N4941,'Retirement Calculator'!A:A,0),0),0)</f>
        <v>0</v>
      </c>
      <c r="K4941" s="455">
        <f t="shared" ca="1" si="178"/>
        <v>842846368856.34583</v>
      </c>
      <c r="L4941" s="455">
        <f t="shared" ca="1" si="179"/>
        <v>203125974894379.34</v>
      </c>
      <c r="M4941" s="471">
        <f t="shared" si="181"/>
        <v>0.05</v>
      </c>
      <c r="N4941" s="475">
        <f t="shared" si="182"/>
        <v>201432</v>
      </c>
    </row>
    <row r="4942" spans="7:14" ht="11.25" customHeight="1" x14ac:dyDescent="0.3">
      <c r="G4942" s="470"/>
      <c r="H4942" s="470">
        <v>4935</v>
      </c>
      <c r="I4942" s="455">
        <f t="shared" ca="1" si="180"/>
        <v>203125974894379.34</v>
      </c>
      <c r="J4942" s="455">
        <f t="array" ref="J4942">IFERROR(INDEX('Retirement Calculator'!K:K,MATCH('Lorri 401b'!N4942,'Retirement Calculator'!A:A,0),0),0)</f>
        <v>0</v>
      </c>
      <c r="K4942" s="455">
        <f t="shared" ca="1" si="178"/>
        <v>846358228726.58057</v>
      </c>
      <c r="L4942" s="455">
        <f t="shared" ca="1" si="179"/>
        <v>203972333123105.94</v>
      </c>
      <c r="M4942" s="471">
        <f t="shared" si="181"/>
        <v>0.05</v>
      </c>
      <c r="N4942" s="475">
        <f t="shared" si="182"/>
        <v>201463</v>
      </c>
    </row>
    <row r="4943" spans="7:14" ht="11.25" customHeight="1" x14ac:dyDescent="0.3">
      <c r="G4943" s="470"/>
      <c r="H4943" s="470">
        <v>4936</v>
      </c>
      <c r="I4943" s="455">
        <f t="shared" ca="1" si="180"/>
        <v>203972333123105.94</v>
      </c>
      <c r="J4943" s="455">
        <f t="array" ref="J4943">IFERROR(INDEX('Retirement Calculator'!K:K,MATCH('Lorri 401b'!N4943,'Retirement Calculator'!A:A,0),0),0)</f>
        <v>0</v>
      </c>
      <c r="K4943" s="455">
        <f t="shared" ca="1" si="178"/>
        <v>849884721346.27478</v>
      </c>
      <c r="L4943" s="455">
        <f t="shared" ca="1" si="179"/>
        <v>204822217844452.22</v>
      </c>
      <c r="M4943" s="471">
        <f t="shared" si="181"/>
        <v>0.05</v>
      </c>
      <c r="N4943" s="475">
        <f t="shared" si="182"/>
        <v>201494</v>
      </c>
    </row>
    <row r="4944" spans="7:14" ht="11.25" customHeight="1" x14ac:dyDescent="0.3">
      <c r="G4944" s="470"/>
      <c r="H4944" s="470">
        <v>4937</v>
      </c>
      <c r="I4944" s="455">
        <f t="shared" ca="1" si="180"/>
        <v>204822217844452.22</v>
      </c>
      <c r="J4944" s="455">
        <f t="array" ref="J4944">IFERROR(INDEX('Retirement Calculator'!K:K,MATCH('Lorri 401b'!N4944,'Retirement Calculator'!A:A,0),0),0)</f>
        <v>0</v>
      </c>
      <c r="K4944" s="455">
        <f t="shared" ca="1" si="178"/>
        <v>853425907685.21753</v>
      </c>
      <c r="L4944" s="455">
        <f t="shared" ca="1" si="179"/>
        <v>205675643752137.44</v>
      </c>
      <c r="M4944" s="471">
        <f t="shared" si="181"/>
        <v>0.05</v>
      </c>
      <c r="N4944" s="475">
        <f t="shared" si="182"/>
        <v>201524</v>
      </c>
    </row>
    <row r="4945" spans="7:14" ht="11.25" customHeight="1" x14ac:dyDescent="0.3">
      <c r="G4945" s="470"/>
      <c r="H4945" s="470">
        <v>4938</v>
      </c>
      <c r="I4945" s="455">
        <f t="shared" ca="1" si="180"/>
        <v>205675643752137.44</v>
      </c>
      <c r="J4945" s="455">
        <f t="array" ref="J4945">IFERROR(INDEX('Retirement Calculator'!K:K,MATCH('Lorri 401b'!N4945,'Retirement Calculator'!A:A,0),0),0)</f>
        <v>0</v>
      </c>
      <c r="K4945" s="455">
        <f t="shared" ca="1" si="178"/>
        <v>856981848967.23926</v>
      </c>
      <c r="L4945" s="455">
        <f t="shared" ca="1" si="179"/>
        <v>206532625601104.69</v>
      </c>
      <c r="M4945" s="471">
        <f t="shared" si="181"/>
        <v>0.05</v>
      </c>
      <c r="N4945" s="475">
        <f t="shared" si="182"/>
        <v>201555</v>
      </c>
    </row>
    <row r="4946" spans="7:14" ht="11.25" customHeight="1" x14ac:dyDescent="0.3">
      <c r="G4946" s="470"/>
      <c r="H4946" s="470">
        <v>4939</v>
      </c>
      <c r="I4946" s="455">
        <f t="shared" ca="1" si="180"/>
        <v>206532625601104.69</v>
      </c>
      <c r="J4946" s="455">
        <f t="array" ref="J4946">IFERROR(INDEX('Retirement Calculator'!K:K,MATCH('Lorri 401b'!N4946,'Retirement Calculator'!A:A,0),0),0)</f>
        <v>0</v>
      </c>
      <c r="K4946" s="455">
        <f t="shared" ca="1" si="178"/>
        <v>860552606671.26953</v>
      </c>
      <c r="L4946" s="455">
        <f t="shared" ca="1" si="179"/>
        <v>207393178207775.97</v>
      </c>
      <c r="M4946" s="471">
        <f t="shared" si="181"/>
        <v>0.05</v>
      </c>
      <c r="N4946" s="475">
        <f t="shared" si="182"/>
        <v>201585</v>
      </c>
    </row>
    <row r="4947" spans="7:14" ht="11.25" customHeight="1" x14ac:dyDescent="0.3">
      <c r="G4947" s="470"/>
      <c r="H4947" s="470">
        <v>4940</v>
      </c>
      <c r="I4947" s="455">
        <f t="shared" ca="1" si="180"/>
        <v>207393178207775.97</v>
      </c>
      <c r="J4947" s="455">
        <f t="array" ref="J4947">IFERROR(INDEX('Retirement Calculator'!K:K,MATCH('Lorri 401b'!N4947,'Retirement Calculator'!A:A,0),0),0)</f>
        <v>0</v>
      </c>
      <c r="K4947" s="455">
        <f t="shared" ca="1" si="178"/>
        <v>864138242532.3999</v>
      </c>
      <c r="L4947" s="455">
        <f t="shared" ca="1" si="179"/>
        <v>208257316450308.38</v>
      </c>
      <c r="M4947" s="471">
        <f t="shared" si="181"/>
        <v>0.05</v>
      </c>
      <c r="N4947" s="475">
        <f t="shared" si="182"/>
        <v>201616</v>
      </c>
    </row>
    <row r="4948" spans="7:14" ht="11.25" customHeight="1" x14ac:dyDescent="0.3">
      <c r="G4948" s="470"/>
      <c r="H4948" s="470">
        <v>4941</v>
      </c>
      <c r="I4948" s="455">
        <f t="shared" ca="1" si="180"/>
        <v>208257316450308.38</v>
      </c>
      <c r="J4948" s="455">
        <f t="array" ref="J4948">IFERROR(INDEX('Retirement Calculator'!K:K,MATCH('Lorri 401b'!N4948,'Retirement Calculator'!A:A,0),0),0)</f>
        <v>0</v>
      </c>
      <c r="K4948" s="455">
        <f t="shared" ca="1" si="178"/>
        <v>867738818542.95154</v>
      </c>
      <c r="L4948" s="455">
        <f t="shared" ca="1" si="179"/>
        <v>209125055268851.31</v>
      </c>
      <c r="M4948" s="471">
        <f t="shared" si="181"/>
        <v>0.05</v>
      </c>
      <c r="N4948" s="475">
        <f t="shared" si="182"/>
        <v>201647</v>
      </c>
    </row>
    <row r="4949" spans="7:14" ht="11.25" customHeight="1" x14ac:dyDescent="0.3">
      <c r="G4949" s="470"/>
      <c r="H4949" s="470">
        <v>4942</v>
      </c>
      <c r="I4949" s="455">
        <f t="shared" ca="1" si="180"/>
        <v>209125055268851.31</v>
      </c>
      <c r="J4949" s="455">
        <f t="array" ref="J4949">IFERROR(INDEX('Retirement Calculator'!K:K,MATCH('Lorri 401b'!N4949,'Retirement Calculator'!A:A,0),0),0)</f>
        <v>0</v>
      </c>
      <c r="K4949" s="455">
        <f t="shared" ca="1" si="178"/>
        <v>871354396953.54712</v>
      </c>
      <c r="L4949" s="455">
        <f t="shared" ca="1" si="179"/>
        <v>209996409665804.88</v>
      </c>
      <c r="M4949" s="471">
        <f t="shared" si="181"/>
        <v>0.05</v>
      </c>
      <c r="N4949" s="475">
        <f t="shared" si="182"/>
        <v>201676</v>
      </c>
    </row>
    <row r="4950" spans="7:14" ht="11.25" customHeight="1" x14ac:dyDescent="0.3">
      <c r="G4950" s="470"/>
      <c r="H4950" s="470">
        <v>4943</v>
      </c>
      <c r="I4950" s="455">
        <f t="shared" ca="1" si="180"/>
        <v>209996409665804.88</v>
      </c>
      <c r="J4950" s="455">
        <f t="array" ref="J4950">IFERROR(INDEX('Retirement Calculator'!K:K,MATCH('Lorri 401b'!N4950,'Retirement Calculator'!A:A,0),0),0)</f>
        <v>0</v>
      </c>
      <c r="K4950" s="455">
        <f t="shared" ca="1" si="178"/>
        <v>874985040274.18701</v>
      </c>
      <c r="L4950" s="455">
        <f t="shared" ca="1" si="179"/>
        <v>210871394706079.06</v>
      </c>
      <c r="M4950" s="471">
        <f t="shared" si="181"/>
        <v>0.05</v>
      </c>
      <c r="N4950" s="475">
        <f t="shared" si="182"/>
        <v>201707</v>
      </c>
    </row>
    <row r="4951" spans="7:14" ht="11.25" customHeight="1" x14ac:dyDescent="0.3">
      <c r="G4951" s="470"/>
      <c r="H4951" s="470">
        <v>4944</v>
      </c>
      <c r="I4951" s="455">
        <f t="shared" ca="1" si="180"/>
        <v>210871394706079.06</v>
      </c>
      <c r="J4951" s="455">
        <f t="array" ref="J4951">IFERROR(INDEX('Retirement Calculator'!K:K,MATCH('Lorri 401b'!N4951,'Retirement Calculator'!A:A,0),0),0)</f>
        <v>0</v>
      </c>
      <c r="K4951" s="455">
        <f t="shared" ca="1" si="178"/>
        <v>878630811275.32947</v>
      </c>
      <c r="L4951" s="455">
        <f t="shared" ca="1" si="179"/>
        <v>211750025517354.41</v>
      </c>
      <c r="M4951" s="471">
        <f t="shared" si="181"/>
        <v>0.05</v>
      </c>
      <c r="N4951" s="475">
        <f t="shared" si="182"/>
        <v>201737</v>
      </c>
    </row>
    <row r="4952" spans="7:14" ht="11.25" customHeight="1" x14ac:dyDescent="0.3">
      <c r="G4952" s="470"/>
      <c r="H4952" s="470">
        <v>4945</v>
      </c>
      <c r="I4952" s="455">
        <f t="shared" ca="1" si="180"/>
        <v>211750025517354.41</v>
      </c>
      <c r="J4952" s="455">
        <f t="array" ref="J4952">IFERROR(INDEX('Retirement Calculator'!K:K,MATCH('Lorri 401b'!N4952,'Retirement Calculator'!A:A,0),0),0)</f>
        <v>0</v>
      </c>
      <c r="K4952" s="455">
        <f t="shared" ca="1" si="178"/>
        <v>882291772988.97668</v>
      </c>
      <c r="L4952" s="455">
        <f t="shared" ca="1" si="179"/>
        <v>212632317290343.38</v>
      </c>
      <c r="M4952" s="471">
        <f t="shared" si="181"/>
        <v>0.05</v>
      </c>
      <c r="N4952" s="475">
        <f t="shared" si="182"/>
        <v>201768</v>
      </c>
    </row>
    <row r="4953" spans="7:14" ht="11.25" customHeight="1" x14ac:dyDescent="0.3">
      <c r="G4953" s="470"/>
      <c r="H4953" s="470">
        <v>4946</v>
      </c>
      <c r="I4953" s="455">
        <f t="shared" ca="1" si="180"/>
        <v>212632317290343.38</v>
      </c>
      <c r="J4953" s="455">
        <f t="array" ref="J4953">IFERROR(INDEX('Retirement Calculator'!K:K,MATCH('Lorri 401b'!N4953,'Retirement Calculator'!A:A,0),0),0)</f>
        <v>0</v>
      </c>
      <c r="K4953" s="455">
        <f t="shared" ca="1" si="178"/>
        <v>885967988709.76404</v>
      </c>
      <c r="L4953" s="455">
        <f t="shared" ca="1" si="179"/>
        <v>213518285279053.13</v>
      </c>
      <c r="M4953" s="471">
        <f t="shared" si="181"/>
        <v>0.05</v>
      </c>
      <c r="N4953" s="475">
        <f t="shared" si="182"/>
        <v>201798</v>
      </c>
    </row>
    <row r="4954" spans="7:14" ht="11.25" customHeight="1" x14ac:dyDescent="0.3">
      <c r="G4954" s="470"/>
      <c r="H4954" s="470">
        <v>4947</v>
      </c>
      <c r="I4954" s="455">
        <f t="shared" ca="1" si="180"/>
        <v>213518285279053.13</v>
      </c>
      <c r="J4954" s="455">
        <f t="array" ref="J4954">IFERROR(INDEX('Retirement Calculator'!K:K,MATCH('Lorri 401b'!N4954,'Retirement Calculator'!A:A,0),0),0)</f>
        <v>0</v>
      </c>
      <c r="K4954" s="455">
        <f t="shared" ca="1" si="178"/>
        <v>889659521996.05469</v>
      </c>
      <c r="L4954" s="455">
        <f t="shared" ca="1" si="179"/>
        <v>214407944801049.19</v>
      </c>
      <c r="M4954" s="471">
        <f t="shared" si="181"/>
        <v>0.05</v>
      </c>
      <c r="N4954" s="475">
        <f t="shared" si="182"/>
        <v>201829</v>
      </c>
    </row>
    <row r="4955" spans="7:14" ht="11.25" customHeight="1" x14ac:dyDescent="0.3">
      <c r="G4955" s="470"/>
      <c r="H4955" s="470">
        <v>4948</v>
      </c>
      <c r="I4955" s="455">
        <f t="shared" ca="1" si="180"/>
        <v>214407944801049.19</v>
      </c>
      <c r="J4955" s="455">
        <f t="array" ref="J4955">IFERROR(INDEX('Retirement Calculator'!K:K,MATCH('Lorri 401b'!N4955,'Retirement Calculator'!A:A,0),0),0)</f>
        <v>0</v>
      </c>
      <c r="K4955" s="455">
        <f t="shared" ca="1" si="178"/>
        <v>893366436671.03821</v>
      </c>
      <c r="L4955" s="455">
        <f t="shared" ca="1" si="179"/>
        <v>215301311237720.22</v>
      </c>
      <c r="M4955" s="471">
        <f t="shared" si="181"/>
        <v>0.05</v>
      </c>
      <c r="N4955" s="475">
        <f t="shared" si="182"/>
        <v>201860</v>
      </c>
    </row>
    <row r="4956" spans="7:14" ht="11.25" customHeight="1" x14ac:dyDescent="0.3">
      <c r="G4956" s="470"/>
      <c r="H4956" s="470">
        <v>4949</v>
      </c>
      <c r="I4956" s="455">
        <f t="shared" ca="1" si="180"/>
        <v>215301311237720.22</v>
      </c>
      <c r="J4956" s="455">
        <f t="array" ref="J4956">IFERROR(INDEX('Retirement Calculator'!K:K,MATCH('Lorri 401b'!N4956,'Retirement Calculator'!A:A,0),0),0)</f>
        <v>0</v>
      </c>
      <c r="K4956" s="455">
        <f t="shared" ca="1" si="178"/>
        <v>897088796823.83423</v>
      </c>
      <c r="L4956" s="455">
        <f t="shared" ca="1" si="179"/>
        <v>216198400034544.06</v>
      </c>
      <c r="M4956" s="471">
        <f t="shared" si="181"/>
        <v>0.05</v>
      </c>
      <c r="N4956" s="475">
        <f t="shared" si="182"/>
        <v>201890</v>
      </c>
    </row>
    <row r="4957" spans="7:14" ht="11.25" customHeight="1" x14ac:dyDescent="0.3">
      <c r="G4957" s="470"/>
      <c r="H4957" s="470">
        <v>4950</v>
      </c>
      <c r="I4957" s="455">
        <f t="shared" ca="1" si="180"/>
        <v>216198400034544.06</v>
      </c>
      <c r="J4957" s="455">
        <f t="array" ref="J4957">IFERROR(INDEX('Retirement Calculator'!K:K,MATCH('Lorri 401b'!N4957,'Retirement Calculator'!A:A,0),0),0)</f>
        <v>0</v>
      </c>
      <c r="K4957" s="455">
        <f t="shared" ca="1" si="178"/>
        <v>900826666810.60022</v>
      </c>
      <c r="L4957" s="455">
        <f t="shared" ca="1" si="179"/>
        <v>217099226701354.66</v>
      </c>
      <c r="M4957" s="471">
        <f t="shared" si="181"/>
        <v>0.05</v>
      </c>
      <c r="N4957" s="475">
        <f t="shared" si="182"/>
        <v>201921</v>
      </c>
    </row>
    <row r="4958" spans="7:14" ht="11.25" customHeight="1" x14ac:dyDescent="0.3">
      <c r="G4958" s="470"/>
      <c r="H4958" s="470">
        <v>4951</v>
      </c>
      <c r="I4958" s="455">
        <f t="shared" ca="1" si="180"/>
        <v>217099226701354.66</v>
      </c>
      <c r="J4958" s="455">
        <f t="array" ref="J4958">IFERROR(INDEX('Retirement Calculator'!K:K,MATCH('Lorri 401b'!N4958,'Retirement Calculator'!A:A,0),0),0)</f>
        <v>0</v>
      </c>
      <c r="K4958" s="455">
        <f t="shared" ca="1" si="178"/>
        <v>904580111255.64441</v>
      </c>
      <c r="L4958" s="455">
        <f t="shared" ca="1" si="179"/>
        <v>218003806812610.31</v>
      </c>
      <c r="M4958" s="471">
        <f t="shared" si="181"/>
        <v>0.05</v>
      </c>
      <c r="N4958" s="475">
        <f t="shared" si="182"/>
        <v>201951</v>
      </c>
    </row>
    <row r="4959" spans="7:14" ht="11.25" customHeight="1" x14ac:dyDescent="0.3">
      <c r="G4959" s="470"/>
      <c r="H4959" s="470">
        <v>4952</v>
      </c>
      <c r="I4959" s="455">
        <f t="shared" ca="1" si="180"/>
        <v>218003806812610.31</v>
      </c>
      <c r="J4959" s="455">
        <f t="array" ref="J4959">IFERROR(INDEX('Retirement Calculator'!K:K,MATCH('Lorri 401b'!N4959,'Retirement Calculator'!A:A,0),0),0)</f>
        <v>0</v>
      </c>
      <c r="K4959" s="455">
        <f t="shared" ca="1" si="178"/>
        <v>908349195052.54297</v>
      </c>
      <c r="L4959" s="455">
        <f t="shared" ca="1" si="179"/>
        <v>218912156007662.84</v>
      </c>
      <c r="M4959" s="471">
        <f t="shared" si="181"/>
        <v>0.05</v>
      </c>
      <c r="N4959" s="475">
        <f t="shared" si="182"/>
        <v>201982</v>
      </c>
    </row>
    <row r="4960" spans="7:14" ht="11.25" customHeight="1" x14ac:dyDescent="0.3">
      <c r="G4960" s="470"/>
      <c r="H4960" s="470">
        <v>4953</v>
      </c>
      <c r="I4960" s="455">
        <f t="shared" ca="1" si="180"/>
        <v>218912156007662.84</v>
      </c>
      <c r="J4960" s="455">
        <f t="array" ref="J4960">IFERROR(INDEX('Retirement Calculator'!K:K,MATCH('Lorri 401b'!N4960,'Retirement Calculator'!A:A,0),0),0)</f>
        <v>0</v>
      </c>
      <c r="K4960" s="455">
        <f t="shared" ca="1" si="178"/>
        <v>912133983365.26184</v>
      </c>
      <c r="L4960" s="455">
        <f t="shared" ca="1" si="179"/>
        <v>219824289991028.09</v>
      </c>
      <c r="M4960" s="471">
        <f t="shared" si="181"/>
        <v>0.05</v>
      </c>
      <c r="N4960" s="475">
        <f t="shared" si="182"/>
        <v>202013</v>
      </c>
    </row>
    <row r="4961" spans="7:14" ht="11.25" customHeight="1" x14ac:dyDescent="0.3">
      <c r="G4961" s="470"/>
      <c r="H4961" s="470">
        <v>4954</v>
      </c>
      <c r="I4961" s="455">
        <f t="shared" ca="1" si="180"/>
        <v>219824289991028.09</v>
      </c>
      <c r="J4961" s="455">
        <f t="array" ref="J4961">IFERROR(INDEX('Retirement Calculator'!K:K,MATCH('Lorri 401b'!N4961,'Retirement Calculator'!A:A,0),0),0)</f>
        <v>0</v>
      </c>
      <c r="K4961" s="455">
        <f t="shared" ca="1" si="178"/>
        <v>915934541629.28369</v>
      </c>
      <c r="L4961" s="455">
        <f t="shared" ca="1" si="179"/>
        <v>220740224532657.38</v>
      </c>
      <c r="M4961" s="471">
        <f t="shared" si="181"/>
        <v>0.05</v>
      </c>
      <c r="N4961" s="475">
        <f t="shared" si="182"/>
        <v>202041</v>
      </c>
    </row>
    <row r="4962" spans="7:14" ht="11.25" customHeight="1" x14ac:dyDescent="0.3">
      <c r="G4962" s="470"/>
      <c r="H4962" s="470">
        <v>4955</v>
      </c>
      <c r="I4962" s="455">
        <f t="shared" ca="1" si="180"/>
        <v>220740224532657.38</v>
      </c>
      <c r="J4962" s="455">
        <f t="array" ref="J4962">IFERROR(INDEX('Retirement Calculator'!K:K,MATCH('Lorri 401b'!N4962,'Retirement Calculator'!A:A,0),0),0)</f>
        <v>0</v>
      </c>
      <c r="K4962" s="455">
        <f t="shared" ca="1" si="178"/>
        <v>919750935552.73901</v>
      </c>
      <c r="L4962" s="455">
        <f t="shared" ca="1" si="179"/>
        <v>221659975468210.13</v>
      </c>
      <c r="M4962" s="471">
        <f t="shared" si="181"/>
        <v>0.05</v>
      </c>
      <c r="N4962" s="475">
        <f t="shared" si="182"/>
        <v>202072</v>
      </c>
    </row>
    <row r="4963" spans="7:14" ht="11.25" customHeight="1" x14ac:dyDescent="0.3">
      <c r="G4963" s="470"/>
      <c r="H4963" s="470">
        <v>4956</v>
      </c>
      <c r="I4963" s="455">
        <f t="shared" ca="1" si="180"/>
        <v>221659975468210.13</v>
      </c>
      <c r="J4963" s="455">
        <f t="array" ref="J4963">IFERROR(INDEX('Retirement Calculator'!K:K,MATCH('Lorri 401b'!N4963,'Retirement Calculator'!A:A,0),0),0)</f>
        <v>0</v>
      </c>
      <c r="K4963" s="455">
        <f t="shared" ca="1" si="178"/>
        <v>923583231117.54236</v>
      </c>
      <c r="L4963" s="455">
        <f t="shared" ca="1" si="179"/>
        <v>222583558699327.66</v>
      </c>
      <c r="M4963" s="471">
        <f t="shared" si="181"/>
        <v>0.05</v>
      </c>
      <c r="N4963" s="475">
        <f t="shared" si="182"/>
        <v>202102</v>
      </c>
    </row>
    <row r="4964" spans="7:14" ht="11.25" customHeight="1" x14ac:dyDescent="0.3">
      <c r="G4964" s="470"/>
      <c r="H4964" s="470">
        <v>4957</v>
      </c>
      <c r="I4964" s="455">
        <f t="shared" ca="1" si="180"/>
        <v>222583558699327.66</v>
      </c>
      <c r="J4964" s="455">
        <f t="array" ref="J4964">IFERROR(INDEX('Retirement Calculator'!K:K,MATCH('Lorri 401b'!N4964,'Retirement Calculator'!A:A,0),0),0)</f>
        <v>0</v>
      </c>
      <c r="K4964" s="455">
        <f t="shared" ca="1" si="178"/>
        <v>927431494580.53186</v>
      </c>
      <c r="L4964" s="455">
        <f t="shared" ca="1" si="179"/>
        <v>223510990193908.19</v>
      </c>
      <c r="M4964" s="471">
        <f t="shared" si="181"/>
        <v>0.05</v>
      </c>
      <c r="N4964" s="475">
        <f t="shared" si="182"/>
        <v>202133</v>
      </c>
    </row>
    <row r="4965" spans="7:14" ht="11.25" customHeight="1" x14ac:dyDescent="0.3">
      <c r="G4965" s="470"/>
      <c r="H4965" s="470">
        <v>4958</v>
      </c>
      <c r="I4965" s="455">
        <f t="shared" ca="1" si="180"/>
        <v>223510990193908.19</v>
      </c>
      <c r="J4965" s="455">
        <f t="array" ref="J4965">IFERROR(INDEX('Retirement Calculator'!K:K,MATCH('Lorri 401b'!N4965,'Retirement Calculator'!A:A,0),0),0)</f>
        <v>0</v>
      </c>
      <c r="K4965" s="455">
        <f t="shared" ca="1" si="178"/>
        <v>931295792474.61743</v>
      </c>
      <c r="L4965" s="455">
        <f t="shared" ca="1" si="179"/>
        <v>224442285986382.81</v>
      </c>
      <c r="M4965" s="471">
        <f t="shared" si="181"/>
        <v>0.05</v>
      </c>
      <c r="N4965" s="475">
        <f t="shared" si="182"/>
        <v>202163</v>
      </c>
    </row>
    <row r="4966" spans="7:14" ht="11.25" customHeight="1" x14ac:dyDescent="0.3">
      <c r="G4966" s="470"/>
      <c r="H4966" s="470">
        <v>4959</v>
      </c>
      <c r="I4966" s="455">
        <f t="shared" ca="1" si="180"/>
        <v>224442285986382.81</v>
      </c>
      <c r="J4966" s="455">
        <f t="array" ref="J4966">IFERROR(INDEX('Retirement Calculator'!K:K,MATCH('Lorri 401b'!N4966,'Retirement Calculator'!A:A,0),0),0)</f>
        <v>0</v>
      </c>
      <c r="K4966" s="455">
        <f t="shared" ca="1" si="178"/>
        <v>935176191609.92822</v>
      </c>
      <c r="L4966" s="455">
        <f t="shared" ca="1" si="179"/>
        <v>225377462177992.75</v>
      </c>
      <c r="M4966" s="471">
        <f t="shared" si="181"/>
        <v>0.05</v>
      </c>
      <c r="N4966" s="475">
        <f t="shared" si="182"/>
        <v>202194</v>
      </c>
    </row>
    <row r="4967" spans="7:14" ht="11.25" customHeight="1" x14ac:dyDescent="0.3">
      <c r="G4967" s="470"/>
      <c r="H4967" s="470">
        <v>4960</v>
      </c>
      <c r="I4967" s="455">
        <f t="shared" ca="1" si="180"/>
        <v>225377462177992.75</v>
      </c>
      <c r="J4967" s="455">
        <f t="array" ref="J4967">IFERROR(INDEX('Retirement Calculator'!K:K,MATCH('Lorri 401b'!N4967,'Retirement Calculator'!A:A,0),0),0)</f>
        <v>0</v>
      </c>
      <c r="K4967" s="455">
        <f t="shared" ca="1" si="178"/>
        <v>939072759074.96973</v>
      </c>
      <c r="L4967" s="455">
        <f t="shared" ca="1" si="179"/>
        <v>226316534937067.72</v>
      </c>
      <c r="M4967" s="471">
        <f t="shared" si="181"/>
        <v>0.05</v>
      </c>
      <c r="N4967" s="475">
        <f t="shared" si="182"/>
        <v>202225</v>
      </c>
    </row>
    <row r="4968" spans="7:14" ht="11.25" customHeight="1" x14ac:dyDescent="0.3">
      <c r="G4968" s="470"/>
      <c r="H4968" s="470">
        <v>4961</v>
      </c>
      <c r="I4968" s="455">
        <f t="shared" ca="1" si="180"/>
        <v>226316534937067.72</v>
      </c>
      <c r="J4968" s="455">
        <f t="array" ref="J4968">IFERROR(INDEX('Retirement Calculator'!K:K,MATCH('Lorri 401b'!N4968,'Retirement Calculator'!A:A,0),0),0)</f>
        <v>0</v>
      </c>
      <c r="K4968" s="455">
        <f t="shared" ca="1" si="178"/>
        <v>942985562237.7821</v>
      </c>
      <c r="L4968" s="455">
        <f t="shared" ca="1" si="179"/>
        <v>227259520499305.5</v>
      </c>
      <c r="M4968" s="471">
        <f t="shared" si="181"/>
        <v>0.05</v>
      </c>
      <c r="N4968" s="475">
        <f t="shared" si="182"/>
        <v>202255</v>
      </c>
    </row>
    <row r="4969" spans="7:14" ht="11.25" customHeight="1" x14ac:dyDescent="0.3">
      <c r="G4969" s="470"/>
      <c r="H4969" s="470">
        <v>4962</v>
      </c>
      <c r="I4969" s="455">
        <f t="shared" ca="1" si="180"/>
        <v>227259520499305.5</v>
      </c>
      <c r="J4969" s="455">
        <f t="array" ref="J4969">IFERROR(INDEX('Retirement Calculator'!K:K,MATCH('Lorri 401b'!N4969,'Retirement Calculator'!A:A,0),0),0)</f>
        <v>0</v>
      </c>
      <c r="K4969" s="455">
        <f t="shared" ca="1" si="178"/>
        <v>946914668747.1062</v>
      </c>
      <c r="L4969" s="455">
        <f t="shared" ca="1" si="179"/>
        <v>228206435168052.59</v>
      </c>
      <c r="M4969" s="471">
        <f t="shared" si="181"/>
        <v>0.05</v>
      </c>
      <c r="N4969" s="475">
        <f t="shared" si="182"/>
        <v>202286</v>
      </c>
    </row>
    <row r="4970" spans="7:14" ht="11.25" customHeight="1" x14ac:dyDescent="0.3">
      <c r="G4970" s="470"/>
      <c r="H4970" s="470">
        <v>4963</v>
      </c>
      <c r="I4970" s="455">
        <f t="shared" ca="1" si="180"/>
        <v>228206435168052.59</v>
      </c>
      <c r="J4970" s="455">
        <f t="array" ref="J4970">IFERROR(INDEX('Retirement Calculator'!K:K,MATCH('Lorri 401b'!N4970,'Retirement Calculator'!A:A,0),0),0)</f>
        <v>0</v>
      </c>
      <c r="K4970" s="455">
        <f t="shared" ca="1" si="178"/>
        <v>950860146533.55249</v>
      </c>
      <c r="L4970" s="455">
        <f t="shared" ca="1" si="179"/>
        <v>229157295314586.16</v>
      </c>
      <c r="M4970" s="471">
        <f t="shared" si="181"/>
        <v>0.05</v>
      </c>
      <c r="N4970" s="475">
        <f t="shared" si="182"/>
        <v>202316</v>
      </c>
    </row>
    <row r="4971" spans="7:14" ht="11.25" customHeight="1" x14ac:dyDescent="0.3">
      <c r="G4971" s="470"/>
      <c r="H4971" s="470">
        <v>4964</v>
      </c>
      <c r="I4971" s="455">
        <f t="shared" ca="1" si="180"/>
        <v>229157295314586.16</v>
      </c>
      <c r="J4971" s="455">
        <f t="array" ref="J4971">IFERROR(INDEX('Retirement Calculator'!K:K,MATCH('Lorri 401b'!N4971,'Retirement Calculator'!A:A,0),0),0)</f>
        <v>0</v>
      </c>
      <c r="K4971" s="455">
        <f t="shared" ca="1" si="178"/>
        <v>954822063810.77551</v>
      </c>
      <c r="L4971" s="455">
        <f t="shared" ca="1" si="179"/>
        <v>230112117378396.94</v>
      </c>
      <c r="M4971" s="471">
        <f t="shared" si="181"/>
        <v>0.05</v>
      </c>
      <c r="N4971" s="475">
        <f t="shared" si="182"/>
        <v>202347</v>
      </c>
    </row>
    <row r="4972" spans="7:14" ht="11.25" customHeight="1" x14ac:dyDescent="0.3">
      <c r="G4972" s="470"/>
      <c r="H4972" s="470">
        <v>4965</v>
      </c>
      <c r="I4972" s="455">
        <f t="shared" ca="1" si="180"/>
        <v>230112117378396.94</v>
      </c>
      <c r="J4972" s="455">
        <f t="array" ref="J4972">IFERROR(INDEX('Retirement Calculator'!K:K,MATCH('Lorri 401b'!N4972,'Retirement Calculator'!A:A,0),0),0)</f>
        <v>0</v>
      </c>
      <c r="K4972" s="455">
        <f t="shared" ca="1" si="178"/>
        <v>958800489076.65393</v>
      </c>
      <c r="L4972" s="455">
        <f t="shared" ca="1" si="179"/>
        <v>231070917867473.59</v>
      </c>
      <c r="M4972" s="471">
        <f t="shared" si="181"/>
        <v>0.05</v>
      </c>
      <c r="N4972" s="475">
        <f t="shared" si="182"/>
        <v>202378</v>
      </c>
    </row>
    <row r="4973" spans="7:14" ht="11.25" customHeight="1" x14ac:dyDescent="0.3">
      <c r="G4973" s="470"/>
      <c r="H4973" s="470">
        <v>4966</v>
      </c>
      <c r="I4973" s="455">
        <f t="shared" ca="1" si="180"/>
        <v>231070917867473.59</v>
      </c>
      <c r="J4973" s="455">
        <f t="array" ref="J4973">IFERROR(INDEX('Retirement Calculator'!K:K,MATCH('Lorri 401b'!N4973,'Retirement Calculator'!A:A,0),0),0)</f>
        <v>0</v>
      </c>
      <c r="K4973" s="455">
        <f t="shared" ca="1" si="178"/>
        <v>962795491114.47327</v>
      </c>
      <c r="L4973" s="455">
        <f t="shared" ca="1" si="179"/>
        <v>232033713358588.06</v>
      </c>
      <c r="M4973" s="471">
        <f t="shared" si="181"/>
        <v>0.05</v>
      </c>
      <c r="N4973" s="475">
        <f t="shared" si="182"/>
        <v>202406</v>
      </c>
    </row>
    <row r="4974" spans="7:14" ht="11.25" customHeight="1" x14ac:dyDescent="0.3">
      <c r="G4974" s="470"/>
      <c r="H4974" s="470">
        <v>4967</v>
      </c>
      <c r="I4974" s="455">
        <f t="shared" ca="1" si="180"/>
        <v>232033713358588.06</v>
      </c>
      <c r="J4974" s="455">
        <f t="array" ref="J4974">IFERROR(INDEX('Retirement Calculator'!K:K,MATCH('Lorri 401b'!N4974,'Retirement Calculator'!A:A,0),0),0)</f>
        <v>0</v>
      </c>
      <c r="K4974" s="455">
        <f t="shared" ca="1" si="178"/>
        <v>966807138994.11694</v>
      </c>
      <c r="L4974" s="455">
        <f t="shared" ca="1" si="179"/>
        <v>233000520497582.19</v>
      </c>
      <c r="M4974" s="471">
        <f t="shared" si="181"/>
        <v>0.05</v>
      </c>
      <c r="N4974" s="475">
        <f t="shared" si="182"/>
        <v>202437</v>
      </c>
    </row>
    <row r="4975" spans="7:14" ht="11.25" customHeight="1" x14ac:dyDescent="0.3">
      <c r="G4975" s="470"/>
      <c r="H4975" s="470">
        <v>4968</v>
      </c>
      <c r="I4975" s="455">
        <f t="shared" ca="1" si="180"/>
        <v>233000520497582.19</v>
      </c>
      <c r="J4975" s="455">
        <f t="array" ref="J4975">IFERROR(INDEX('Retirement Calculator'!K:K,MATCH('Lorri 401b'!N4975,'Retirement Calculator'!A:A,0),0),0)</f>
        <v>0</v>
      </c>
      <c r="K4975" s="455">
        <f t="shared" ca="1" si="178"/>
        <v>970835502073.25916</v>
      </c>
      <c r="L4975" s="455">
        <f t="shared" ca="1" si="179"/>
        <v>233971355999655.44</v>
      </c>
      <c r="M4975" s="471">
        <f t="shared" si="181"/>
        <v>0.05</v>
      </c>
      <c r="N4975" s="475">
        <f t="shared" si="182"/>
        <v>202467</v>
      </c>
    </row>
    <row r="4976" spans="7:14" ht="11.25" customHeight="1" x14ac:dyDescent="0.3">
      <c r="G4976" s="470"/>
      <c r="H4976" s="470">
        <v>4969</v>
      </c>
      <c r="I4976" s="455">
        <f t="shared" ca="1" si="180"/>
        <v>233971355999655.44</v>
      </c>
      <c r="J4976" s="455">
        <f t="array" ref="J4976">IFERROR(INDEX('Retirement Calculator'!K:K,MATCH('Lorri 401b'!N4976,'Retirement Calculator'!A:A,0),0),0)</f>
        <v>0</v>
      </c>
      <c r="K4976" s="455">
        <f t="shared" ca="1" si="178"/>
        <v>974880649998.56433</v>
      </c>
      <c r="L4976" s="455">
        <f t="shared" ca="1" si="179"/>
        <v>234946236649654</v>
      </c>
      <c r="M4976" s="471">
        <f t="shared" si="181"/>
        <v>0.05</v>
      </c>
      <c r="N4976" s="475">
        <f t="shared" si="182"/>
        <v>202498</v>
      </c>
    </row>
    <row r="4977" spans="7:14" ht="11.25" customHeight="1" x14ac:dyDescent="0.3">
      <c r="G4977" s="470"/>
      <c r="H4977" s="470">
        <v>4970</v>
      </c>
      <c r="I4977" s="455">
        <f t="shared" ca="1" si="180"/>
        <v>234946236649654</v>
      </c>
      <c r="J4977" s="455">
        <f t="array" ref="J4977">IFERROR(INDEX('Retirement Calculator'!K:K,MATCH('Lorri 401b'!N4977,'Retirement Calculator'!A:A,0),0),0)</f>
        <v>0</v>
      </c>
      <c r="K4977" s="455">
        <f t="shared" ca="1" si="178"/>
        <v>978942652706.89148</v>
      </c>
      <c r="L4977" s="455">
        <f t="shared" ca="1" si="179"/>
        <v>235925179302360.91</v>
      </c>
      <c r="M4977" s="471">
        <f t="shared" si="181"/>
        <v>0.05</v>
      </c>
      <c r="N4977" s="475">
        <f t="shared" si="182"/>
        <v>202528</v>
      </c>
    </row>
    <row r="4978" spans="7:14" ht="11.25" customHeight="1" x14ac:dyDescent="0.3">
      <c r="G4978" s="470"/>
      <c r="H4978" s="470">
        <v>4971</v>
      </c>
      <c r="I4978" s="455">
        <f t="shared" ca="1" si="180"/>
        <v>235925179302360.91</v>
      </c>
      <c r="J4978" s="455">
        <f t="array" ref="J4978">IFERROR(INDEX('Retirement Calculator'!K:K,MATCH('Lorri 401b'!N4978,'Retirement Calculator'!A:A,0),0),0)</f>
        <v>0</v>
      </c>
      <c r="K4978" s="455">
        <f t="shared" ca="1" si="178"/>
        <v>983021580426.50378</v>
      </c>
      <c r="L4978" s="455">
        <f t="shared" ca="1" si="179"/>
        <v>236908200882787.41</v>
      </c>
      <c r="M4978" s="471">
        <f t="shared" si="181"/>
        <v>0.05</v>
      </c>
      <c r="N4978" s="475">
        <f t="shared" si="182"/>
        <v>202559</v>
      </c>
    </row>
    <row r="4979" spans="7:14" ht="11.25" customHeight="1" x14ac:dyDescent="0.3">
      <c r="G4979" s="470"/>
      <c r="H4979" s="470">
        <v>4972</v>
      </c>
      <c r="I4979" s="455">
        <f t="shared" ca="1" si="180"/>
        <v>236908200882787.41</v>
      </c>
      <c r="J4979" s="455">
        <f t="array" ref="J4979">IFERROR(INDEX('Retirement Calculator'!K:K,MATCH('Lorri 401b'!N4979,'Retirement Calculator'!A:A,0),0),0)</f>
        <v>0</v>
      </c>
      <c r="K4979" s="455">
        <f t="shared" ca="1" si="178"/>
        <v>987117503678.28076</v>
      </c>
      <c r="L4979" s="455">
        <f t="shared" ca="1" si="179"/>
        <v>237895318386465.69</v>
      </c>
      <c r="M4979" s="471">
        <f t="shared" si="181"/>
        <v>0.05</v>
      </c>
      <c r="N4979" s="475">
        <f t="shared" si="182"/>
        <v>202590</v>
      </c>
    </row>
    <row r="4980" spans="7:14" ht="11.25" customHeight="1" x14ac:dyDescent="0.3">
      <c r="G4980" s="470"/>
      <c r="H4980" s="470">
        <v>4973</v>
      </c>
      <c r="I4980" s="455">
        <f t="shared" ca="1" si="180"/>
        <v>237895318386465.69</v>
      </c>
      <c r="J4980" s="455">
        <f t="array" ref="J4980">IFERROR(INDEX('Retirement Calculator'!K:K,MATCH('Lorri 401b'!N4980,'Retirement Calculator'!A:A,0),0),0)</f>
        <v>0</v>
      </c>
      <c r="K4980" s="455">
        <f t="shared" ca="1" si="178"/>
        <v>991230493276.94031</v>
      </c>
      <c r="L4980" s="455">
        <f t="shared" ca="1" si="179"/>
        <v>238886548879742.63</v>
      </c>
      <c r="M4980" s="471">
        <f t="shared" si="181"/>
        <v>0.05</v>
      </c>
      <c r="N4980" s="475">
        <f t="shared" si="182"/>
        <v>202620</v>
      </c>
    </row>
    <row r="4981" spans="7:14" ht="11.25" customHeight="1" x14ac:dyDescent="0.3">
      <c r="G4981" s="470"/>
      <c r="H4981" s="470">
        <v>4974</v>
      </c>
      <c r="I4981" s="455">
        <f t="shared" ca="1" si="180"/>
        <v>238886548879742.63</v>
      </c>
      <c r="J4981" s="455">
        <f t="array" ref="J4981">IFERROR(INDEX('Retirement Calculator'!K:K,MATCH('Lorri 401b'!N4981,'Retirement Calculator'!A:A,0),0),0)</f>
        <v>0</v>
      </c>
      <c r="K4981" s="455">
        <f t="shared" ca="1" si="178"/>
        <v>995360620332.26086</v>
      </c>
      <c r="L4981" s="455">
        <f t="shared" ca="1" si="179"/>
        <v>239881909500074.88</v>
      </c>
      <c r="M4981" s="471">
        <f t="shared" si="181"/>
        <v>0.05</v>
      </c>
      <c r="N4981" s="475">
        <f t="shared" si="182"/>
        <v>202651</v>
      </c>
    </row>
    <row r="4982" spans="7:14" ht="11.25" customHeight="1" x14ac:dyDescent="0.3">
      <c r="G4982" s="470"/>
      <c r="H4982" s="470">
        <v>4975</v>
      </c>
      <c r="I4982" s="455">
        <f t="shared" ca="1" si="180"/>
        <v>239881909500074.88</v>
      </c>
      <c r="J4982" s="455">
        <f t="array" ref="J4982">IFERROR(INDEX('Retirement Calculator'!K:K,MATCH('Lorri 401b'!N4982,'Retirement Calculator'!A:A,0),0),0)</f>
        <v>0</v>
      </c>
      <c r="K4982" s="455">
        <f t="shared" ca="1" si="178"/>
        <v>999507956250.31201</v>
      </c>
      <c r="L4982" s="455">
        <f t="shared" ca="1" si="179"/>
        <v>240881417456325.19</v>
      </c>
      <c r="M4982" s="471">
        <f t="shared" si="181"/>
        <v>0.05</v>
      </c>
      <c r="N4982" s="475">
        <f t="shared" si="182"/>
        <v>202681</v>
      </c>
    </row>
    <row r="4983" spans="7:14" ht="11.25" customHeight="1" x14ac:dyDescent="0.3">
      <c r="G4983" s="470"/>
      <c r="H4983" s="470">
        <v>4976</v>
      </c>
      <c r="I4983" s="455">
        <f t="shared" ca="1" si="180"/>
        <v>240881417456325.19</v>
      </c>
      <c r="J4983" s="455">
        <f t="array" ref="J4983">IFERROR(INDEX('Retirement Calculator'!K:K,MATCH('Lorri 401b'!N4983,'Retirement Calculator'!A:A,0),0),0)</f>
        <v>0</v>
      </c>
      <c r="K4983" s="455">
        <f t="shared" ca="1" si="178"/>
        <v>1003672572734.6884</v>
      </c>
      <c r="L4983" s="455">
        <f t="shared" ca="1" si="179"/>
        <v>241885090029059.88</v>
      </c>
      <c r="M4983" s="471">
        <f t="shared" si="181"/>
        <v>0.05</v>
      </c>
      <c r="N4983" s="475">
        <f t="shared" si="182"/>
        <v>202712</v>
      </c>
    </row>
    <row r="4984" spans="7:14" ht="11.25" customHeight="1" x14ac:dyDescent="0.3">
      <c r="G4984" s="470"/>
      <c r="H4984" s="470">
        <v>4977</v>
      </c>
      <c r="I4984" s="455">
        <f t="shared" ca="1" si="180"/>
        <v>241885090029059.88</v>
      </c>
      <c r="J4984" s="455">
        <f t="array" ref="J4984">IFERROR(INDEX('Retirement Calculator'!K:K,MATCH('Lorri 401b'!N4984,'Retirement Calculator'!A:A,0),0),0)</f>
        <v>0</v>
      </c>
      <c r="K4984" s="455">
        <f t="shared" ca="1" si="178"/>
        <v>1007854541787.7495</v>
      </c>
      <c r="L4984" s="455">
        <f t="shared" ca="1" si="179"/>
        <v>242892944570847.63</v>
      </c>
      <c r="M4984" s="471">
        <f t="shared" si="181"/>
        <v>0.05</v>
      </c>
      <c r="N4984" s="475">
        <f t="shared" si="182"/>
        <v>202743</v>
      </c>
    </row>
    <row r="4985" spans="7:14" ht="11.25" customHeight="1" x14ac:dyDescent="0.3">
      <c r="G4985" s="470"/>
      <c r="H4985" s="470">
        <v>4978</v>
      </c>
      <c r="I4985" s="455">
        <f t="shared" ca="1" si="180"/>
        <v>242892944570847.63</v>
      </c>
      <c r="J4985" s="455">
        <f t="array" ref="J4985">IFERROR(INDEX('Retirement Calculator'!K:K,MATCH('Lorri 401b'!N4985,'Retirement Calculator'!A:A,0),0),0)</f>
        <v>0</v>
      </c>
      <c r="K4985" s="455">
        <f t="shared" ca="1" si="178"/>
        <v>1012053935711.8652</v>
      </c>
      <c r="L4985" s="455">
        <f t="shared" ca="1" si="179"/>
        <v>243904998506559.5</v>
      </c>
      <c r="M4985" s="471">
        <f t="shared" si="181"/>
        <v>0.05</v>
      </c>
      <c r="N4985" s="475">
        <f t="shared" si="182"/>
        <v>202771</v>
      </c>
    </row>
    <row r="4986" spans="7:14" ht="11.25" customHeight="1" x14ac:dyDescent="0.3">
      <c r="G4986" s="470"/>
      <c r="H4986" s="470">
        <v>4979</v>
      </c>
      <c r="I4986" s="455">
        <f t="shared" ca="1" si="180"/>
        <v>243904998506559.5</v>
      </c>
      <c r="J4986" s="455">
        <f t="array" ref="J4986">IFERROR(INDEX('Retirement Calculator'!K:K,MATCH('Lorri 401b'!N4986,'Retirement Calculator'!A:A,0),0),0)</f>
        <v>0</v>
      </c>
      <c r="K4986" s="455">
        <f t="shared" ca="1" si="178"/>
        <v>1016270827110.6646</v>
      </c>
      <c r="L4986" s="455">
        <f t="shared" ca="1" si="179"/>
        <v>244921269333670.16</v>
      </c>
      <c r="M4986" s="471">
        <f t="shared" si="181"/>
        <v>0.05</v>
      </c>
      <c r="N4986" s="475">
        <f t="shared" si="182"/>
        <v>202802</v>
      </c>
    </row>
    <row r="4987" spans="7:14" ht="11.25" customHeight="1" x14ac:dyDescent="0.3">
      <c r="G4987" s="470"/>
      <c r="H4987" s="470">
        <v>4980</v>
      </c>
      <c r="I4987" s="455">
        <f t="shared" ca="1" si="180"/>
        <v>244921269333670.16</v>
      </c>
      <c r="J4987" s="455">
        <f t="array" ref="J4987">IFERROR(INDEX('Retirement Calculator'!K:K,MATCH('Lorri 401b'!N4987,'Retirement Calculator'!A:A,0),0),0)</f>
        <v>0</v>
      </c>
      <c r="K4987" s="455">
        <f t="shared" ca="1" si="178"/>
        <v>1020505288890.2924</v>
      </c>
      <c r="L4987" s="455">
        <f t="shared" ca="1" si="179"/>
        <v>245941774622560.44</v>
      </c>
      <c r="M4987" s="471">
        <f t="shared" si="181"/>
        <v>0.05</v>
      </c>
      <c r="N4987" s="475">
        <f t="shared" si="182"/>
        <v>202832</v>
      </c>
    </row>
    <row r="4988" spans="7:14" ht="11.25" customHeight="1" x14ac:dyDescent="0.3">
      <c r="G4988" s="470"/>
      <c r="H4988" s="470">
        <v>4981</v>
      </c>
      <c r="I4988" s="455">
        <f t="shared" ca="1" si="180"/>
        <v>245941774622560.44</v>
      </c>
      <c r="J4988" s="455">
        <f t="array" ref="J4988">IFERROR(INDEX('Retirement Calculator'!K:K,MATCH('Lorri 401b'!N4988,'Retirement Calculator'!A:A,0),0),0)</f>
        <v>0</v>
      </c>
      <c r="K4988" s="455">
        <f t="shared" ca="1" si="178"/>
        <v>1024757394260.6685</v>
      </c>
      <c r="L4988" s="455">
        <f t="shared" ca="1" si="179"/>
        <v>246966532016821.09</v>
      </c>
      <c r="M4988" s="471">
        <f t="shared" si="181"/>
        <v>0.05</v>
      </c>
      <c r="N4988" s="475">
        <f t="shared" si="182"/>
        <v>202863</v>
      </c>
    </row>
    <row r="4989" spans="7:14" ht="11.25" customHeight="1" x14ac:dyDescent="0.3">
      <c r="G4989" s="470"/>
      <c r="H4989" s="470">
        <v>4982</v>
      </c>
      <c r="I4989" s="455">
        <f t="shared" ca="1" si="180"/>
        <v>246966532016821.09</v>
      </c>
      <c r="J4989" s="455">
        <f t="array" ref="J4989">IFERROR(INDEX('Retirement Calculator'!K:K,MATCH('Lorri 401b'!N4989,'Retirement Calculator'!A:A,0),0),0)</f>
        <v>0</v>
      </c>
      <c r="K4989" s="455">
        <f t="shared" ca="1" si="178"/>
        <v>1029027216736.7545</v>
      </c>
      <c r="L4989" s="455">
        <f t="shared" ca="1" si="179"/>
        <v>247995559233557.84</v>
      </c>
      <c r="M4989" s="471">
        <f t="shared" si="181"/>
        <v>0.05</v>
      </c>
      <c r="N4989" s="475">
        <f t="shared" si="182"/>
        <v>202893</v>
      </c>
    </row>
    <row r="4990" spans="7:14" ht="11.25" customHeight="1" x14ac:dyDescent="0.3">
      <c r="G4990" s="470"/>
      <c r="H4990" s="470">
        <v>4983</v>
      </c>
      <c r="I4990" s="455">
        <f t="shared" ca="1" si="180"/>
        <v>247995559233557.84</v>
      </c>
      <c r="J4990" s="455">
        <f t="array" ref="J4990">IFERROR(INDEX('Retirement Calculator'!K:K,MATCH('Lorri 401b'!N4990,'Retirement Calculator'!A:A,0),0),0)</f>
        <v>0</v>
      </c>
      <c r="K4990" s="455">
        <f t="shared" ca="1" si="178"/>
        <v>1033314830139.8243</v>
      </c>
      <c r="L4990" s="455">
        <f t="shared" ca="1" si="179"/>
        <v>249028874063697.66</v>
      </c>
      <c r="M4990" s="471">
        <f t="shared" si="181"/>
        <v>0.05</v>
      </c>
      <c r="N4990" s="475">
        <f t="shared" si="182"/>
        <v>202924</v>
      </c>
    </row>
    <row r="4991" spans="7:14" ht="11.25" customHeight="1" x14ac:dyDescent="0.3">
      <c r="G4991" s="470"/>
      <c r="H4991" s="470">
        <v>4984</v>
      </c>
      <c r="I4991" s="455">
        <f t="shared" ca="1" si="180"/>
        <v>249028874063697.66</v>
      </c>
      <c r="J4991" s="455">
        <f t="array" ref="J4991">IFERROR(INDEX('Retirement Calculator'!K:K,MATCH('Lorri 401b'!N4991,'Retirement Calculator'!A:A,0),0),0)</f>
        <v>0</v>
      </c>
      <c r="K4991" s="455">
        <f t="shared" ca="1" si="178"/>
        <v>1037620308598.7402</v>
      </c>
      <c r="L4991" s="455">
        <f t="shared" ca="1" si="179"/>
        <v>250066494372296.41</v>
      </c>
      <c r="M4991" s="471">
        <f t="shared" si="181"/>
        <v>0.05</v>
      </c>
      <c r="N4991" s="475">
        <f t="shared" si="182"/>
        <v>202955</v>
      </c>
    </row>
    <row r="4992" spans="7:14" ht="11.25" customHeight="1" x14ac:dyDescent="0.3">
      <c r="G4992" s="470"/>
      <c r="H4992" s="470">
        <v>4985</v>
      </c>
      <c r="I4992" s="455">
        <f t="shared" ca="1" si="180"/>
        <v>250066494372296.41</v>
      </c>
      <c r="J4992" s="455">
        <f t="array" ref="J4992">IFERROR(INDEX('Retirement Calculator'!K:K,MATCH('Lorri 401b'!N4992,'Retirement Calculator'!A:A,0),0),0)</f>
        <v>0</v>
      </c>
      <c r="K4992" s="455">
        <f t="shared" ca="1" si="178"/>
        <v>1041943726551.235</v>
      </c>
      <c r="L4992" s="455">
        <f t="shared" ca="1" si="179"/>
        <v>251108438098847.66</v>
      </c>
      <c r="M4992" s="471">
        <f t="shared" si="181"/>
        <v>0.05</v>
      </c>
      <c r="N4992" s="475">
        <f t="shared" si="182"/>
        <v>202985</v>
      </c>
    </row>
    <row r="4993" spans="7:14" ht="11.25" customHeight="1" x14ac:dyDescent="0.3">
      <c r="G4993" s="470"/>
      <c r="H4993" s="470">
        <v>4986</v>
      </c>
      <c r="I4993" s="455">
        <f t="shared" ca="1" si="180"/>
        <v>251108438098847.66</v>
      </c>
      <c r="J4993" s="455">
        <f t="array" ref="J4993">IFERROR(INDEX('Retirement Calculator'!K:K,MATCH('Lorri 401b'!N4993,'Retirement Calculator'!A:A,0),0),0)</f>
        <v>0</v>
      </c>
      <c r="K4993" s="455">
        <f t="shared" ca="1" si="178"/>
        <v>1046285158745.1986</v>
      </c>
      <c r="L4993" s="455">
        <f t="shared" ca="1" si="179"/>
        <v>252154723257592.84</v>
      </c>
      <c r="M4993" s="471">
        <f t="shared" si="181"/>
        <v>0.05</v>
      </c>
      <c r="N4993" s="475">
        <f t="shared" si="182"/>
        <v>203016</v>
      </c>
    </row>
    <row r="4994" spans="7:14" ht="11.25" customHeight="1" x14ac:dyDescent="0.3">
      <c r="G4994" s="470"/>
      <c r="H4994" s="470">
        <v>4987</v>
      </c>
      <c r="I4994" s="455">
        <f t="shared" ca="1" si="180"/>
        <v>252154723257592.84</v>
      </c>
      <c r="J4994" s="455">
        <f t="array" ref="J4994">IFERROR(INDEX('Retirement Calculator'!K:K,MATCH('Lorri 401b'!N4994,'Retirement Calculator'!A:A,0),0),0)</f>
        <v>0</v>
      </c>
      <c r="K4994" s="455">
        <f t="shared" ca="1" si="178"/>
        <v>1050644680239.9703</v>
      </c>
      <c r="L4994" s="455">
        <f t="shared" ca="1" si="179"/>
        <v>253205367937832.81</v>
      </c>
      <c r="M4994" s="471">
        <f t="shared" si="181"/>
        <v>0.05</v>
      </c>
      <c r="N4994" s="475">
        <f t="shared" si="182"/>
        <v>203046</v>
      </c>
    </row>
    <row r="4995" spans="7:14" ht="11.25" customHeight="1" x14ac:dyDescent="0.3">
      <c r="G4995" s="470"/>
      <c r="H4995" s="470">
        <v>4988</v>
      </c>
      <c r="I4995" s="455">
        <f t="shared" ca="1" si="180"/>
        <v>253205367937832.81</v>
      </c>
      <c r="J4995" s="455">
        <f t="array" ref="J4995">IFERROR(INDEX('Retirement Calculator'!K:K,MATCH('Lorri 401b'!N4995,'Retirement Calculator'!A:A,0),0),0)</f>
        <v>0</v>
      </c>
      <c r="K4995" s="455">
        <f t="shared" ca="1" si="178"/>
        <v>1055022366407.6367</v>
      </c>
      <c r="L4995" s="455">
        <f t="shared" ca="1" si="179"/>
        <v>254260390304240.44</v>
      </c>
      <c r="M4995" s="471">
        <f t="shared" si="181"/>
        <v>0.05</v>
      </c>
      <c r="N4995" s="475">
        <f t="shared" si="182"/>
        <v>203077</v>
      </c>
    </row>
    <row r="4996" spans="7:14" ht="11.25" customHeight="1" x14ac:dyDescent="0.3">
      <c r="G4996" s="470"/>
      <c r="H4996" s="470">
        <v>4989</v>
      </c>
      <c r="I4996" s="455">
        <f t="shared" ca="1" si="180"/>
        <v>254260390304240.44</v>
      </c>
      <c r="J4996" s="455">
        <f t="array" ref="J4996">IFERROR(INDEX('Retirement Calculator'!K:K,MATCH('Lorri 401b'!N4996,'Retirement Calculator'!A:A,0),0),0)</f>
        <v>0</v>
      </c>
      <c r="K4996" s="455">
        <f t="shared" ca="1" si="178"/>
        <v>1059418292934.3351</v>
      </c>
      <c r="L4996" s="455">
        <f t="shared" ca="1" si="179"/>
        <v>255319808597174.78</v>
      </c>
      <c r="M4996" s="471">
        <f t="shared" si="181"/>
        <v>0.05</v>
      </c>
      <c r="N4996" s="475">
        <f t="shared" si="182"/>
        <v>203108</v>
      </c>
    </row>
    <row r="4997" spans="7:14" ht="11.25" customHeight="1" x14ac:dyDescent="0.3">
      <c r="G4997" s="470"/>
      <c r="H4997" s="470">
        <v>4990</v>
      </c>
      <c r="I4997" s="455">
        <f t="shared" ca="1" si="180"/>
        <v>255319808597174.78</v>
      </c>
      <c r="J4997" s="455">
        <f t="array" ref="J4997">IFERROR(INDEX('Retirement Calculator'!K:K,MATCH('Lorri 401b'!N4997,'Retirement Calculator'!A:A,0),0),0)</f>
        <v>0</v>
      </c>
      <c r="K4997" s="455">
        <f t="shared" ca="1" si="178"/>
        <v>1063832535821.5615</v>
      </c>
      <c r="L4997" s="455">
        <f t="shared" ca="1" si="179"/>
        <v>256383641132996.34</v>
      </c>
      <c r="M4997" s="471">
        <f t="shared" si="181"/>
        <v>0.05</v>
      </c>
      <c r="N4997" s="475">
        <f t="shared" si="182"/>
        <v>203137</v>
      </c>
    </row>
    <row r="4998" spans="7:14" ht="11.25" customHeight="1" x14ac:dyDescent="0.3">
      <c r="G4998" s="470"/>
      <c r="H4998" s="470">
        <v>4991</v>
      </c>
      <c r="I4998" s="455">
        <f t="shared" ca="1" si="180"/>
        <v>256383641132996.34</v>
      </c>
      <c r="J4998" s="455">
        <f t="array" ref="J4998">IFERROR(INDEX('Retirement Calculator'!K:K,MATCH('Lorri 401b'!N4998,'Retirement Calculator'!A:A,0),0),0)</f>
        <v>0</v>
      </c>
      <c r="K4998" s="455">
        <f t="shared" ca="1" si="178"/>
        <v>1068265171387.4846</v>
      </c>
      <c r="L4998" s="455">
        <f t="shared" ca="1" si="179"/>
        <v>257451906304383.84</v>
      </c>
      <c r="M4998" s="471">
        <f t="shared" si="181"/>
        <v>0.05</v>
      </c>
      <c r="N4998" s="475">
        <f t="shared" si="182"/>
        <v>203168</v>
      </c>
    </row>
    <row r="4999" spans="7:14" ht="11.25" customHeight="1" x14ac:dyDescent="0.3">
      <c r="G4999" s="470"/>
      <c r="H4999" s="470">
        <v>4992</v>
      </c>
      <c r="I4999" s="455">
        <f t="shared" ca="1" si="180"/>
        <v>257451906304383.84</v>
      </c>
      <c r="J4999" s="455">
        <f t="array" ref="J4999">IFERROR(INDEX('Retirement Calculator'!K:K,MATCH('Lorri 401b'!N4999,'Retirement Calculator'!A:A,0),0),0)</f>
        <v>0</v>
      </c>
      <c r="K4999" s="455">
        <f t="shared" ca="1" si="178"/>
        <v>1072716276268.2661</v>
      </c>
      <c r="L4999" s="455">
        <f t="shared" ca="1" si="179"/>
        <v>258524622580652.13</v>
      </c>
      <c r="M4999" s="471">
        <f t="shared" si="181"/>
        <v>0.05</v>
      </c>
      <c r="N4999" s="475">
        <f t="shared" si="182"/>
        <v>203198</v>
      </c>
    </row>
    <row r="5000" spans="7:14" ht="11.25" customHeight="1" x14ac:dyDescent="0.3">
      <c r="G5000" s="470"/>
      <c r="H5000" s="470">
        <v>4993</v>
      </c>
      <c r="I5000" s="455">
        <f t="shared" ca="1" si="180"/>
        <v>258524622580652.13</v>
      </c>
      <c r="J5000" s="455">
        <f t="array" ref="J5000">IFERROR(INDEX('Retirement Calculator'!K:K,MATCH('Lorri 401b'!N5000,'Retirement Calculator'!A:A,0),0),0)</f>
        <v>0</v>
      </c>
      <c r="K5000" s="455">
        <f t="shared" ca="1" si="178"/>
        <v>1077185927419.3839</v>
      </c>
      <c r="L5000" s="455">
        <f t="shared" ca="1" si="179"/>
        <v>259601808508071.5</v>
      </c>
      <c r="M5000" s="471">
        <f t="shared" si="181"/>
        <v>0.05</v>
      </c>
      <c r="N5000" s="475">
        <f t="shared" si="182"/>
        <v>203229</v>
      </c>
    </row>
    <row r="5001" spans="7:14" ht="11.25" customHeight="1" x14ac:dyDescent="0.3">
      <c r="G5001" s="470"/>
      <c r="H5001" s="470">
        <v>4994</v>
      </c>
      <c r="I5001" s="455">
        <f t="shared" ca="1" si="180"/>
        <v>259601808508071.5</v>
      </c>
      <c r="J5001" s="455">
        <f t="array" ref="J5001">IFERROR(INDEX('Retirement Calculator'!K:K,MATCH('Lorri 401b'!N5001,'Retirement Calculator'!A:A,0),0),0)</f>
        <v>0</v>
      </c>
      <c r="K5001" s="455">
        <f t="shared" ca="1" si="178"/>
        <v>1081674202116.9646</v>
      </c>
      <c r="L5001" s="455">
        <f t="shared" ca="1" si="179"/>
        <v>260683482710188.47</v>
      </c>
      <c r="M5001" s="471">
        <f t="shared" si="181"/>
        <v>0.05</v>
      </c>
      <c r="N5001" s="475">
        <f t="shared" si="182"/>
        <v>203259</v>
      </c>
    </row>
    <row r="5002" spans="7:14" ht="11.25" customHeight="1" x14ac:dyDescent="0.3">
      <c r="G5002" s="470"/>
      <c r="H5002" s="470">
        <v>4995</v>
      </c>
      <c r="I5002" s="455">
        <f t="shared" ca="1" si="180"/>
        <v>260683482710188.47</v>
      </c>
      <c r="J5002" s="455">
        <f t="array" ref="J5002">IFERROR(INDEX('Retirement Calculator'!K:K,MATCH('Lorri 401b'!N5002,'Retirement Calculator'!A:A,0),0),0)</f>
        <v>0</v>
      </c>
      <c r="K5002" s="455">
        <f t="shared" ca="1" si="178"/>
        <v>1086181177959.1187</v>
      </c>
      <c r="L5002" s="455">
        <f t="shared" ca="1" si="179"/>
        <v>261769663888147.59</v>
      </c>
      <c r="M5002" s="471">
        <f t="shared" si="181"/>
        <v>0.05</v>
      </c>
      <c r="N5002" s="475">
        <f t="shared" si="182"/>
        <v>203290</v>
      </c>
    </row>
    <row r="5003" spans="7:14" ht="11.25" customHeight="1" x14ac:dyDescent="0.3">
      <c r="G5003" s="470"/>
      <c r="H5003" s="470">
        <v>4996</v>
      </c>
      <c r="I5003" s="455">
        <f t="shared" ca="1" si="180"/>
        <v>261769663888147.59</v>
      </c>
      <c r="J5003" s="455">
        <f t="array" ref="J5003">IFERROR(INDEX('Retirement Calculator'!K:K,MATCH('Lorri 401b'!N5003,'Retirement Calculator'!A:A,0),0),0)</f>
        <v>0</v>
      </c>
      <c r="K5003" s="455">
        <f t="shared" ca="1" si="178"/>
        <v>1090706932867.2817</v>
      </c>
      <c r="L5003" s="455">
        <f t="shared" ca="1" si="179"/>
        <v>262860370821014.88</v>
      </c>
      <c r="M5003" s="471">
        <f t="shared" si="181"/>
        <v>0.05</v>
      </c>
      <c r="N5003" s="475">
        <f t="shared" si="182"/>
        <v>203321</v>
      </c>
    </row>
    <row r="5004" spans="7:14" ht="11.25" customHeight="1" x14ac:dyDescent="0.3">
      <c r="G5004" s="470"/>
      <c r="H5004" s="470">
        <v>4997</v>
      </c>
      <c r="I5004" s="455">
        <f t="shared" ca="1" si="180"/>
        <v>262860370821014.88</v>
      </c>
      <c r="J5004" s="455">
        <f t="array" ref="J5004">IFERROR(INDEX('Retirement Calculator'!K:K,MATCH('Lorri 401b'!N5004,'Retirement Calculator'!A:A,0),0),0)</f>
        <v>0</v>
      </c>
      <c r="K5004" s="455">
        <f t="shared" ca="1" si="178"/>
        <v>1095251545087.5619</v>
      </c>
      <c r="L5004" s="455">
        <f t="shared" ca="1" si="179"/>
        <v>263955622366102.44</v>
      </c>
      <c r="M5004" s="471">
        <f t="shared" si="181"/>
        <v>0.05</v>
      </c>
      <c r="N5004" s="475">
        <f t="shared" si="182"/>
        <v>203351</v>
      </c>
    </row>
    <row r="5005" spans="7:14" ht="11.25" customHeight="1" x14ac:dyDescent="0.3">
      <c r="G5005" s="470"/>
      <c r="H5005" s="470">
        <v>4998</v>
      </c>
      <c r="I5005" s="455">
        <f t="shared" ca="1" si="180"/>
        <v>263955622366102.44</v>
      </c>
      <c r="J5005" s="455">
        <f t="array" ref="J5005">IFERROR(INDEX('Retirement Calculator'!K:K,MATCH('Lorri 401b'!N5005,'Retirement Calculator'!A:A,0),0),0)</f>
        <v>0</v>
      </c>
      <c r="K5005" s="455">
        <f t="shared" ca="1" si="178"/>
        <v>1099815093192.0935</v>
      </c>
      <c r="L5005" s="455">
        <f t="shared" ca="1" si="179"/>
        <v>265055437459294.53</v>
      </c>
      <c r="M5005" s="471">
        <f t="shared" si="181"/>
        <v>0.05</v>
      </c>
      <c r="N5005" s="475">
        <f t="shared" si="182"/>
        <v>203382</v>
      </c>
    </row>
    <row r="5006" spans="7:14" ht="11.25" customHeight="1" x14ac:dyDescent="0.3">
      <c r="G5006" s="470"/>
      <c r="H5006" s="470">
        <v>4999</v>
      </c>
      <c r="I5006" s="455">
        <f t="shared" ca="1" si="180"/>
        <v>265055437459294.53</v>
      </c>
      <c r="J5006" s="455">
        <f t="array" ref="J5006">IFERROR(INDEX('Retirement Calculator'!K:K,MATCH('Lorri 401b'!N5006,'Retirement Calculator'!A:A,0),0),0)</f>
        <v>0</v>
      </c>
      <c r="K5006" s="455">
        <f t="shared" ca="1" si="178"/>
        <v>1104397656080.3938</v>
      </c>
      <c r="L5006" s="455">
        <f t="shared" ca="1" si="179"/>
        <v>266159835115374.94</v>
      </c>
      <c r="M5006" s="471">
        <f t="shared" si="181"/>
        <v>0.05</v>
      </c>
      <c r="N5006" s="475">
        <f t="shared" si="182"/>
        <v>203412</v>
      </c>
    </row>
    <row r="5007" spans="7:14" ht="11.25" customHeight="1" x14ac:dyDescent="0.3">
      <c r="G5007" s="470"/>
      <c r="H5007" s="470">
        <v>5000</v>
      </c>
      <c r="I5007" s="455">
        <f t="shared" ca="1" si="180"/>
        <v>266159835115374.94</v>
      </c>
      <c r="J5007" s="455">
        <f t="array" ref="J5007">IFERROR(INDEX('Retirement Calculator'!K:K,MATCH('Lorri 401b'!N5007,'Retirement Calculator'!A:A,0),0),0)</f>
        <v>0</v>
      </c>
      <c r="K5007" s="455">
        <f t="shared" ca="1" si="178"/>
        <v>1108999312980.729</v>
      </c>
      <c r="L5007" s="455">
        <f t="shared" ca="1" si="179"/>
        <v>267268834428355.66</v>
      </c>
      <c r="M5007" s="471">
        <f t="shared" si="181"/>
        <v>0.05</v>
      </c>
      <c r="N5007" s="475">
        <f t="shared" si="182"/>
        <v>203443</v>
      </c>
    </row>
    <row r="5008" spans="7:14" ht="11.25" customHeight="1" x14ac:dyDescent="0.3">
      <c r="G5008" s="470"/>
      <c r="H5008" s="470">
        <v>5001</v>
      </c>
      <c r="I5008" s="455">
        <f t="shared" ca="1" si="180"/>
        <v>267268834428355.66</v>
      </c>
      <c r="J5008" s="455">
        <f t="array" ref="J5008">IFERROR(INDEX('Retirement Calculator'!K:K,MATCH('Lorri 401b'!N5008,'Retirement Calculator'!A:A,0),0),0)</f>
        <v>0</v>
      </c>
      <c r="K5008" s="455">
        <f t="shared" ca="1" si="178"/>
        <v>1113620143451.4817</v>
      </c>
      <c r="L5008" s="455">
        <f t="shared" ca="1" si="179"/>
        <v>268382454571807.13</v>
      </c>
      <c r="M5008" s="471">
        <f t="shared" si="181"/>
        <v>0.05</v>
      </c>
      <c r="N5008" s="475">
        <f t="shared" si="182"/>
        <v>203474</v>
      </c>
    </row>
    <row r="5009" spans="7:14" ht="11.25" customHeight="1" x14ac:dyDescent="0.3">
      <c r="G5009" s="470"/>
      <c r="H5009" s="470">
        <v>5002</v>
      </c>
      <c r="I5009" s="455">
        <f t="shared" ca="1" si="180"/>
        <v>268382454571807.13</v>
      </c>
      <c r="J5009" s="455">
        <f t="array" ref="J5009">IFERROR(INDEX('Retirement Calculator'!K:K,MATCH('Lorri 401b'!N5009,'Retirement Calculator'!A:A,0),0),0)</f>
        <v>0</v>
      </c>
      <c r="K5009" s="455">
        <f t="shared" ca="1" si="178"/>
        <v>1118260227382.5295</v>
      </c>
      <c r="L5009" s="455">
        <f t="shared" ca="1" si="179"/>
        <v>269500714799189.66</v>
      </c>
      <c r="M5009" s="471">
        <f t="shared" si="181"/>
        <v>0.05</v>
      </c>
      <c r="N5009" s="475">
        <f t="shared" si="182"/>
        <v>203502</v>
      </c>
    </row>
    <row r="5010" spans="7:14" ht="11.25" customHeight="1" x14ac:dyDescent="0.3">
      <c r="G5010" s="470"/>
      <c r="H5010" s="470">
        <v>5003</v>
      </c>
      <c r="I5010" s="455">
        <f t="shared" ca="1" si="180"/>
        <v>269500714799189.66</v>
      </c>
      <c r="J5010" s="455">
        <f t="array" ref="J5010">IFERROR(INDEX('Retirement Calculator'!K:K,MATCH('Lorri 401b'!N5010,'Retirement Calculator'!A:A,0),0),0)</f>
        <v>0</v>
      </c>
      <c r="K5010" s="455">
        <f t="shared" ca="1" si="178"/>
        <v>1122919644996.6238</v>
      </c>
      <c r="L5010" s="455">
        <f t="shared" ca="1" si="179"/>
        <v>270623634444186.28</v>
      </c>
      <c r="M5010" s="471">
        <f t="shared" si="181"/>
        <v>0.05</v>
      </c>
      <c r="N5010" s="475">
        <f t="shared" si="182"/>
        <v>203533</v>
      </c>
    </row>
    <row r="5011" spans="7:14" ht="11.25" customHeight="1" x14ac:dyDescent="0.3">
      <c r="G5011" s="470"/>
      <c r="H5011" s="470">
        <v>5004</v>
      </c>
      <c r="I5011" s="455">
        <f t="shared" ca="1" si="180"/>
        <v>270623634444186.28</v>
      </c>
      <c r="J5011" s="455">
        <f t="array" ref="J5011">IFERROR(INDEX('Retirement Calculator'!K:K,MATCH('Lorri 401b'!N5011,'Retirement Calculator'!A:A,0),0),0)</f>
        <v>0</v>
      </c>
      <c r="K5011" s="455">
        <f t="shared" ca="1" si="178"/>
        <v>1127598476850.7761</v>
      </c>
      <c r="L5011" s="455">
        <f t="shared" ca="1" si="179"/>
        <v>271751232921037.06</v>
      </c>
      <c r="M5011" s="471">
        <f t="shared" si="181"/>
        <v>0.05</v>
      </c>
      <c r="N5011" s="475">
        <f t="shared" si="182"/>
        <v>203563</v>
      </c>
    </row>
    <row r="5012" spans="7:14" ht="11.25" customHeight="1" x14ac:dyDescent="0.3">
      <c r="G5012" s="470"/>
      <c r="H5012" s="470">
        <v>5005</v>
      </c>
      <c r="I5012" s="455">
        <f t="shared" ca="1" si="180"/>
        <v>271751232921037.06</v>
      </c>
      <c r="J5012" s="455">
        <f t="array" ref="J5012">IFERROR(INDEX('Retirement Calculator'!K:K,MATCH('Lorri 401b'!N5012,'Retirement Calculator'!A:A,0),0),0)</f>
        <v>0</v>
      </c>
      <c r="K5012" s="455">
        <f t="shared" ca="1" si="178"/>
        <v>1132296803837.6545</v>
      </c>
      <c r="L5012" s="455">
        <f t="shared" ca="1" si="179"/>
        <v>272883529724874.72</v>
      </c>
      <c r="M5012" s="471">
        <f t="shared" si="181"/>
        <v>0.05</v>
      </c>
      <c r="N5012" s="475">
        <f t="shared" si="182"/>
        <v>203594</v>
      </c>
    </row>
    <row r="5013" spans="7:14" ht="11.25" customHeight="1" x14ac:dyDescent="0.3">
      <c r="G5013" s="470"/>
      <c r="H5013" s="470">
        <v>5006</v>
      </c>
      <c r="I5013" s="455">
        <f t="shared" ca="1" si="180"/>
        <v>272883529724874.72</v>
      </c>
      <c r="J5013" s="455">
        <f t="array" ref="J5013">IFERROR(INDEX('Retirement Calculator'!K:K,MATCH('Lorri 401b'!N5013,'Retirement Calculator'!A:A,0),0),0)</f>
        <v>0</v>
      </c>
      <c r="K5013" s="455">
        <f t="shared" ca="1" si="178"/>
        <v>1137014707186.978</v>
      </c>
      <c r="L5013" s="455">
        <f t="shared" ca="1" si="179"/>
        <v>274020544432061.69</v>
      </c>
      <c r="M5013" s="471">
        <f t="shared" si="181"/>
        <v>0.05</v>
      </c>
      <c r="N5013" s="475">
        <f t="shared" si="182"/>
        <v>203624</v>
      </c>
    </row>
    <row r="5014" spans="7:14" ht="11.25" customHeight="1" x14ac:dyDescent="0.3">
      <c r="G5014" s="470"/>
      <c r="H5014" s="470">
        <v>5007</v>
      </c>
      <c r="I5014" s="455">
        <f t="shared" ca="1" si="180"/>
        <v>274020544432061.69</v>
      </c>
      <c r="J5014" s="455">
        <f t="array" ref="J5014">IFERROR(INDEX('Retirement Calculator'!K:K,MATCH('Lorri 401b'!N5014,'Retirement Calculator'!A:A,0),0),0)</f>
        <v>0</v>
      </c>
      <c r="K5014" s="455">
        <f t="shared" ca="1" si="178"/>
        <v>1141752268466.9238</v>
      </c>
      <c r="L5014" s="455">
        <f t="shared" ca="1" si="179"/>
        <v>275162296700528.63</v>
      </c>
      <c r="M5014" s="471">
        <f t="shared" si="181"/>
        <v>0.05</v>
      </c>
      <c r="N5014" s="475">
        <f t="shared" si="182"/>
        <v>203655</v>
      </c>
    </row>
    <row r="5015" spans="7:14" ht="11.25" customHeight="1" x14ac:dyDescent="0.3">
      <c r="G5015" s="470"/>
      <c r="H5015" s="470">
        <v>5008</v>
      </c>
      <c r="I5015" s="455">
        <f t="shared" ca="1" si="180"/>
        <v>275162296700528.63</v>
      </c>
      <c r="J5015" s="455">
        <f t="array" ref="J5015">IFERROR(INDEX('Retirement Calculator'!K:K,MATCH('Lorri 401b'!N5015,'Retirement Calculator'!A:A,0),0),0)</f>
        <v>0</v>
      </c>
      <c r="K5015" s="455">
        <f t="shared" ca="1" si="178"/>
        <v>1146509569585.5359</v>
      </c>
      <c r="L5015" s="455">
        <f t="shared" ca="1" si="179"/>
        <v>276308806270114.16</v>
      </c>
      <c r="M5015" s="471">
        <f t="shared" si="181"/>
        <v>0.05</v>
      </c>
      <c r="N5015" s="475">
        <f t="shared" si="182"/>
        <v>203686</v>
      </c>
    </row>
    <row r="5016" spans="7:14" ht="11.25" customHeight="1" x14ac:dyDescent="0.3">
      <c r="G5016" s="470"/>
      <c r="H5016" s="470">
        <v>5009</v>
      </c>
      <c r="I5016" s="455">
        <f t="shared" ca="1" si="180"/>
        <v>276308806270114.16</v>
      </c>
      <c r="J5016" s="455">
        <f t="array" ref="J5016">IFERROR(INDEX('Retirement Calculator'!K:K,MATCH('Lorri 401b'!N5016,'Retirement Calculator'!A:A,0),0),0)</f>
        <v>0</v>
      </c>
      <c r="K5016" s="455">
        <f t="shared" ca="1" si="178"/>
        <v>1151286692792.1423</v>
      </c>
      <c r="L5016" s="455">
        <f t="shared" ca="1" si="179"/>
        <v>277460092962906.31</v>
      </c>
      <c r="M5016" s="471">
        <f t="shared" si="181"/>
        <v>0.05</v>
      </c>
      <c r="N5016" s="475">
        <f t="shared" si="182"/>
        <v>203716</v>
      </c>
    </row>
    <row r="5017" spans="7:14" ht="11.25" customHeight="1" x14ac:dyDescent="0.3">
      <c r="G5017" s="470"/>
      <c r="H5017" s="470">
        <v>5010</v>
      </c>
      <c r="I5017" s="455">
        <f t="shared" ca="1" si="180"/>
        <v>277460092962906.31</v>
      </c>
      <c r="J5017" s="455">
        <f t="array" ref="J5017">IFERROR(INDEX('Retirement Calculator'!K:K,MATCH('Lorri 401b'!N5017,'Retirement Calculator'!A:A,0),0),0)</f>
        <v>0</v>
      </c>
      <c r="K5017" s="455">
        <f t="shared" ca="1" si="178"/>
        <v>1156083720678.7764</v>
      </c>
      <c r="L5017" s="455">
        <f t="shared" ca="1" si="179"/>
        <v>278616176683585.09</v>
      </c>
      <c r="M5017" s="471">
        <f t="shared" si="181"/>
        <v>0.05</v>
      </c>
      <c r="N5017" s="475">
        <f t="shared" si="182"/>
        <v>203747</v>
      </c>
    </row>
    <row r="5018" spans="7:14" ht="11.25" customHeight="1" x14ac:dyDescent="0.3">
      <c r="G5018" s="470"/>
      <c r="H5018" s="470">
        <v>5011</v>
      </c>
      <c r="I5018" s="455">
        <f t="shared" ca="1" si="180"/>
        <v>278616176683585.09</v>
      </c>
      <c r="J5018" s="455">
        <f t="array" ref="J5018">IFERROR(INDEX('Retirement Calculator'!K:K,MATCH('Lorri 401b'!N5018,'Retirement Calculator'!A:A,0),0),0)</f>
        <v>0</v>
      </c>
      <c r="K5018" s="455">
        <f t="shared" ca="1" si="178"/>
        <v>1160900736181.6045</v>
      </c>
      <c r="L5018" s="455">
        <f t="shared" ca="1" si="179"/>
        <v>279777077419766.69</v>
      </c>
      <c r="M5018" s="471">
        <f t="shared" si="181"/>
        <v>0.05</v>
      </c>
      <c r="N5018" s="475">
        <f t="shared" si="182"/>
        <v>203777</v>
      </c>
    </row>
    <row r="5019" spans="7:14" ht="11.25" customHeight="1" x14ac:dyDescent="0.3">
      <c r="G5019" s="470"/>
      <c r="H5019" s="470">
        <v>5012</v>
      </c>
      <c r="I5019" s="455">
        <f t="shared" ca="1" si="180"/>
        <v>279777077419766.69</v>
      </c>
      <c r="J5019" s="455">
        <f t="array" ref="J5019">IFERROR(INDEX('Retirement Calculator'!K:K,MATCH('Lorri 401b'!N5019,'Retirement Calculator'!A:A,0),0),0)</f>
        <v>0</v>
      </c>
      <c r="K5019" s="455">
        <f t="shared" ca="1" si="178"/>
        <v>1165737822582.3611</v>
      </c>
      <c r="L5019" s="455">
        <f t="shared" ca="1" si="179"/>
        <v>280942815242349.06</v>
      </c>
      <c r="M5019" s="471">
        <f t="shared" si="181"/>
        <v>0.05</v>
      </c>
      <c r="N5019" s="475">
        <f t="shared" si="182"/>
        <v>203808</v>
      </c>
    </row>
    <row r="5020" spans="7:14" ht="11.25" customHeight="1" x14ac:dyDescent="0.3">
      <c r="G5020" s="470"/>
      <c r="H5020" s="470">
        <v>5013</v>
      </c>
      <c r="I5020" s="455">
        <f t="shared" ca="1" si="180"/>
        <v>280942815242349.06</v>
      </c>
      <c r="J5020" s="455">
        <f t="array" ref="J5020">IFERROR(INDEX('Retirement Calculator'!K:K,MATCH('Lorri 401b'!N5020,'Retirement Calculator'!A:A,0),0),0)</f>
        <v>0</v>
      </c>
      <c r="K5020" s="455">
        <f t="shared" ca="1" si="178"/>
        <v>1170595063509.7878</v>
      </c>
      <c r="L5020" s="455">
        <f t="shared" ca="1" si="179"/>
        <v>282113410305858.88</v>
      </c>
      <c r="M5020" s="471">
        <f t="shared" si="181"/>
        <v>0.05</v>
      </c>
      <c r="N5020" s="475">
        <f t="shared" si="182"/>
        <v>203839</v>
      </c>
    </row>
    <row r="5021" spans="7:14" ht="11.25" customHeight="1" x14ac:dyDescent="0.3">
      <c r="G5021" s="470"/>
      <c r="H5021" s="470">
        <v>5014</v>
      </c>
      <c r="I5021" s="455">
        <f t="shared" ca="1" si="180"/>
        <v>282113410305858.88</v>
      </c>
      <c r="J5021" s="455">
        <f t="array" ref="J5021">IFERROR(INDEX('Retirement Calculator'!K:K,MATCH('Lorri 401b'!N5021,'Retirement Calculator'!A:A,0),0),0)</f>
        <v>0</v>
      </c>
      <c r="K5021" s="455">
        <f t="shared" ca="1" si="178"/>
        <v>1175472542941.0786</v>
      </c>
      <c r="L5021" s="455">
        <f t="shared" ca="1" si="179"/>
        <v>283288882848799.94</v>
      </c>
      <c r="M5021" s="471">
        <f t="shared" si="181"/>
        <v>0.05</v>
      </c>
      <c r="N5021" s="475">
        <f t="shared" si="182"/>
        <v>203867</v>
      </c>
    </row>
    <row r="5022" spans="7:14" ht="11.25" customHeight="1" x14ac:dyDescent="0.3">
      <c r="G5022" s="470"/>
      <c r="H5022" s="470">
        <v>5015</v>
      </c>
      <c r="I5022" s="455">
        <f t="shared" ca="1" si="180"/>
        <v>283288882848799.94</v>
      </c>
      <c r="J5022" s="455">
        <f t="array" ref="J5022">IFERROR(INDEX('Retirement Calculator'!K:K,MATCH('Lorri 401b'!N5022,'Retirement Calculator'!A:A,0),0),0)</f>
        <v>0</v>
      </c>
      <c r="K5022" s="455">
        <f t="shared" ca="1" si="178"/>
        <v>1180370345203.333</v>
      </c>
      <c r="L5022" s="455">
        <f t="shared" ca="1" si="179"/>
        <v>284469253194003.25</v>
      </c>
      <c r="M5022" s="471">
        <f t="shared" si="181"/>
        <v>0.05</v>
      </c>
      <c r="N5022" s="475">
        <f t="shared" si="182"/>
        <v>203898</v>
      </c>
    </row>
    <row r="5023" spans="7:14" ht="11.25" customHeight="1" x14ac:dyDescent="0.3">
      <c r="G5023" s="470"/>
      <c r="H5023" s="470">
        <v>5016</v>
      </c>
      <c r="I5023" s="455">
        <f t="shared" ca="1" si="180"/>
        <v>284469253194003.25</v>
      </c>
      <c r="J5023" s="455">
        <f t="array" ref="J5023">IFERROR(INDEX('Retirement Calculator'!K:K,MATCH('Lorri 401b'!N5023,'Retirement Calculator'!A:A,0),0),0)</f>
        <v>0</v>
      </c>
      <c r="K5023" s="455">
        <f t="shared" ca="1" si="178"/>
        <v>1185288554975.0134</v>
      </c>
      <c r="L5023" s="455">
        <f t="shared" ca="1" si="179"/>
        <v>285654541748978.25</v>
      </c>
      <c r="M5023" s="471">
        <f t="shared" si="181"/>
        <v>0.05</v>
      </c>
      <c r="N5023" s="475">
        <f t="shared" si="182"/>
        <v>203928</v>
      </c>
    </row>
    <row r="5024" spans="7:14" ht="11.25" customHeight="1" x14ac:dyDescent="0.3">
      <c r="G5024" s="470"/>
      <c r="H5024" s="470">
        <v>5017</v>
      </c>
      <c r="I5024" s="455">
        <f t="shared" ca="1" si="180"/>
        <v>285654541748978.25</v>
      </c>
      <c r="J5024" s="455">
        <f t="array" ref="J5024">IFERROR(INDEX('Retirement Calculator'!K:K,MATCH('Lorri 401b'!N5024,'Retirement Calculator'!A:A,0),0),0)</f>
        <v>0</v>
      </c>
      <c r="K5024" s="455">
        <f t="shared" ca="1" si="178"/>
        <v>1190227257287.4094</v>
      </c>
      <c r="L5024" s="455">
        <f t="shared" ca="1" si="179"/>
        <v>286844769006265.69</v>
      </c>
      <c r="M5024" s="471">
        <f t="shared" si="181"/>
        <v>0.05</v>
      </c>
      <c r="N5024" s="475">
        <f t="shared" si="182"/>
        <v>203959</v>
      </c>
    </row>
    <row r="5025" spans="7:14" ht="11.25" customHeight="1" x14ac:dyDescent="0.3">
      <c r="G5025" s="470"/>
      <c r="H5025" s="470">
        <v>5018</v>
      </c>
      <c r="I5025" s="455">
        <f t="shared" ca="1" si="180"/>
        <v>286844769006265.69</v>
      </c>
      <c r="J5025" s="455">
        <f t="array" ref="J5025">IFERROR(INDEX('Retirement Calculator'!K:K,MATCH('Lorri 401b'!N5025,'Retirement Calculator'!A:A,0),0),0)</f>
        <v>0</v>
      </c>
      <c r="K5025" s="455">
        <f t="shared" ca="1" si="178"/>
        <v>1195186537526.1069</v>
      </c>
      <c r="L5025" s="455">
        <f t="shared" ca="1" si="179"/>
        <v>288039955543791.81</v>
      </c>
      <c r="M5025" s="471">
        <f t="shared" si="181"/>
        <v>0.05</v>
      </c>
      <c r="N5025" s="475">
        <f t="shared" si="182"/>
        <v>203989</v>
      </c>
    </row>
    <row r="5026" spans="7:14" ht="11.25" customHeight="1" x14ac:dyDescent="0.3">
      <c r="G5026" s="470"/>
      <c r="H5026" s="470">
        <v>5019</v>
      </c>
      <c r="I5026" s="455">
        <f t="shared" ca="1" si="180"/>
        <v>288039955543791.81</v>
      </c>
      <c r="J5026" s="455">
        <f t="array" ref="J5026">IFERROR(INDEX('Retirement Calculator'!K:K,MATCH('Lorri 401b'!N5026,'Retirement Calculator'!A:A,0),0),0)</f>
        <v>0</v>
      </c>
      <c r="K5026" s="455">
        <f t="shared" ca="1" si="178"/>
        <v>1200166481432.4658</v>
      </c>
      <c r="L5026" s="455">
        <f t="shared" ca="1" si="179"/>
        <v>289240122025224.25</v>
      </c>
      <c r="M5026" s="471">
        <f t="shared" si="181"/>
        <v>0.05</v>
      </c>
      <c r="N5026" s="475">
        <f t="shared" si="182"/>
        <v>204020</v>
      </c>
    </row>
    <row r="5027" spans="7:14" ht="11.25" customHeight="1" x14ac:dyDescent="0.3">
      <c r="G5027" s="470"/>
      <c r="H5027" s="470">
        <v>5020</v>
      </c>
      <c r="I5027" s="455">
        <f t="shared" ca="1" si="180"/>
        <v>289240122025224.25</v>
      </c>
      <c r="J5027" s="455">
        <f t="array" ref="J5027">IFERROR(INDEX('Retirement Calculator'!K:K,MATCH('Lorri 401b'!N5027,'Retirement Calculator'!A:A,0),0),0)</f>
        <v>0</v>
      </c>
      <c r="K5027" s="455">
        <f t="shared" ca="1" si="178"/>
        <v>1205167175105.1011</v>
      </c>
      <c r="L5027" s="455">
        <f t="shared" ca="1" si="179"/>
        <v>290445289200329.38</v>
      </c>
      <c r="M5027" s="471">
        <f t="shared" si="181"/>
        <v>0.05</v>
      </c>
      <c r="N5027" s="475">
        <f t="shared" si="182"/>
        <v>204051</v>
      </c>
    </row>
    <row r="5028" spans="7:14" ht="11.25" customHeight="1" x14ac:dyDescent="0.3">
      <c r="G5028" s="470"/>
      <c r="H5028" s="470">
        <v>5021</v>
      </c>
      <c r="I5028" s="455">
        <f t="shared" ca="1" si="180"/>
        <v>290445289200329.38</v>
      </c>
      <c r="J5028" s="455">
        <f t="array" ref="J5028">IFERROR(INDEX('Retirement Calculator'!K:K,MATCH('Lorri 401b'!N5028,'Retirement Calculator'!A:A,0),0),0)</f>
        <v>0</v>
      </c>
      <c r="K5028" s="455">
        <f t="shared" ca="1" si="178"/>
        <v>1210188705001.3723</v>
      </c>
      <c r="L5028" s="455">
        <f t="shared" ca="1" si="179"/>
        <v>291655477905330.75</v>
      </c>
      <c r="M5028" s="471">
        <f t="shared" si="181"/>
        <v>0.05</v>
      </c>
      <c r="N5028" s="475">
        <f t="shared" si="182"/>
        <v>204081</v>
      </c>
    </row>
    <row r="5029" spans="7:14" ht="11.25" customHeight="1" x14ac:dyDescent="0.3">
      <c r="G5029" s="470"/>
      <c r="H5029" s="470">
        <v>5022</v>
      </c>
      <c r="I5029" s="455">
        <f t="shared" ca="1" si="180"/>
        <v>291655477905330.75</v>
      </c>
      <c r="J5029" s="455">
        <f t="array" ref="J5029">IFERROR(INDEX('Retirement Calculator'!K:K,MATCH('Lorri 401b'!N5029,'Retirement Calculator'!A:A,0),0),0)</f>
        <v>0</v>
      </c>
      <c r="K5029" s="455">
        <f t="shared" ca="1" si="178"/>
        <v>1215231157938.8782</v>
      </c>
      <c r="L5029" s="455">
        <f t="shared" ca="1" si="179"/>
        <v>292870709063269.63</v>
      </c>
      <c r="M5029" s="471">
        <f t="shared" si="181"/>
        <v>0.05</v>
      </c>
      <c r="N5029" s="475">
        <f t="shared" si="182"/>
        <v>204112</v>
      </c>
    </row>
    <row r="5030" spans="7:14" ht="11.25" customHeight="1" x14ac:dyDescent="0.3">
      <c r="G5030" s="470"/>
      <c r="H5030" s="470">
        <v>5023</v>
      </c>
      <c r="I5030" s="455">
        <f t="shared" ca="1" si="180"/>
        <v>292870709063269.63</v>
      </c>
      <c r="J5030" s="455">
        <f t="array" ref="J5030">IFERROR(INDEX('Retirement Calculator'!K:K,MATCH('Lorri 401b'!N5030,'Retirement Calculator'!A:A,0),0),0)</f>
        <v>0</v>
      </c>
      <c r="K5030" s="455">
        <f t="shared" ca="1" si="178"/>
        <v>1220294621096.9568</v>
      </c>
      <c r="L5030" s="455">
        <f t="shared" ca="1" si="179"/>
        <v>294091003684366.56</v>
      </c>
      <c r="M5030" s="471">
        <f t="shared" si="181"/>
        <v>0.05</v>
      </c>
      <c r="N5030" s="475">
        <f t="shared" si="182"/>
        <v>204142</v>
      </c>
    </row>
    <row r="5031" spans="7:14" ht="11.25" customHeight="1" x14ac:dyDescent="0.3">
      <c r="G5031" s="470"/>
      <c r="H5031" s="470">
        <v>5024</v>
      </c>
      <c r="I5031" s="455">
        <f t="shared" ca="1" si="180"/>
        <v>294091003684366.56</v>
      </c>
      <c r="J5031" s="455">
        <f t="array" ref="J5031">IFERROR(INDEX('Retirement Calculator'!K:K,MATCH('Lorri 401b'!N5031,'Retirement Calculator'!A:A,0),0),0)</f>
        <v>0</v>
      </c>
      <c r="K5031" s="455">
        <f t="shared" ca="1" si="178"/>
        <v>1225379182018.1941</v>
      </c>
      <c r="L5031" s="455">
        <f t="shared" ca="1" si="179"/>
        <v>295316382866384.75</v>
      </c>
      <c r="M5031" s="471">
        <f t="shared" si="181"/>
        <v>0.05</v>
      </c>
      <c r="N5031" s="475">
        <f t="shared" si="182"/>
        <v>204173</v>
      </c>
    </row>
    <row r="5032" spans="7:14" ht="11.25" customHeight="1" x14ac:dyDescent="0.3">
      <c r="G5032" s="470"/>
      <c r="H5032" s="470">
        <v>5025</v>
      </c>
      <c r="I5032" s="455">
        <f t="shared" ca="1" si="180"/>
        <v>295316382866384.75</v>
      </c>
      <c r="J5032" s="455">
        <f t="array" ref="J5032">IFERROR(INDEX('Retirement Calculator'!K:K,MATCH('Lorri 401b'!N5032,'Retirement Calculator'!A:A,0),0),0)</f>
        <v>0</v>
      </c>
      <c r="K5032" s="455">
        <f t="shared" ca="1" si="178"/>
        <v>1230484928609.9365</v>
      </c>
      <c r="L5032" s="455">
        <f t="shared" ca="1" si="179"/>
        <v>296546867794994.69</v>
      </c>
      <c r="M5032" s="471">
        <f t="shared" si="181"/>
        <v>0.05</v>
      </c>
      <c r="N5032" s="475">
        <f t="shared" si="182"/>
        <v>204204</v>
      </c>
    </row>
    <row r="5033" spans="7:14" ht="11.25" customHeight="1" x14ac:dyDescent="0.3">
      <c r="G5033" s="470"/>
      <c r="H5033" s="470">
        <v>5026</v>
      </c>
      <c r="I5033" s="455">
        <f t="shared" ca="1" si="180"/>
        <v>296546867794994.69</v>
      </c>
      <c r="J5033" s="455">
        <f t="array" ref="J5033">IFERROR(INDEX('Retirement Calculator'!K:K,MATCH('Lorri 401b'!N5033,'Retirement Calculator'!A:A,0),0),0)</f>
        <v>0</v>
      </c>
      <c r="K5033" s="455">
        <f t="shared" ca="1" si="178"/>
        <v>1235611949145.8113</v>
      </c>
      <c r="L5033" s="455">
        <f t="shared" ca="1" si="179"/>
        <v>297782479744140.5</v>
      </c>
      <c r="M5033" s="471">
        <f t="shared" si="181"/>
        <v>0.05</v>
      </c>
      <c r="N5033" s="475">
        <f t="shared" si="182"/>
        <v>204232</v>
      </c>
    </row>
    <row r="5034" spans="7:14" ht="11.25" customHeight="1" x14ac:dyDescent="0.3">
      <c r="G5034" s="470"/>
      <c r="H5034" s="470">
        <v>5027</v>
      </c>
      <c r="I5034" s="455">
        <f t="shared" ca="1" si="180"/>
        <v>297782479744140.5</v>
      </c>
      <c r="J5034" s="455">
        <f t="array" ref="J5034">IFERROR(INDEX('Retirement Calculator'!K:K,MATCH('Lorri 401b'!N5034,'Retirement Calculator'!A:A,0),0),0)</f>
        <v>0</v>
      </c>
      <c r="K5034" s="455">
        <f t="shared" ca="1" si="178"/>
        <v>1240760332267.252</v>
      </c>
      <c r="L5034" s="455">
        <f t="shared" ca="1" si="179"/>
        <v>299023240076407.75</v>
      </c>
      <c r="M5034" s="471">
        <f t="shared" si="181"/>
        <v>0.05</v>
      </c>
      <c r="N5034" s="475">
        <f t="shared" si="182"/>
        <v>204263</v>
      </c>
    </row>
    <row r="5035" spans="7:14" ht="11.25" customHeight="1" x14ac:dyDescent="0.3">
      <c r="G5035" s="470"/>
      <c r="H5035" s="470">
        <v>5028</v>
      </c>
      <c r="I5035" s="455">
        <f t="shared" ca="1" si="180"/>
        <v>299023240076407.75</v>
      </c>
      <c r="J5035" s="455">
        <f t="array" ref="J5035">IFERROR(INDEX('Retirement Calculator'!K:K,MATCH('Lorri 401b'!N5035,'Retirement Calculator'!A:A,0),0),0)</f>
        <v>0</v>
      </c>
      <c r="K5035" s="455">
        <f t="shared" ca="1" si="178"/>
        <v>1245930166985.0322</v>
      </c>
      <c r="L5035" s="455">
        <f t="shared" ca="1" si="179"/>
        <v>300269170243392.81</v>
      </c>
      <c r="M5035" s="471">
        <f t="shared" si="181"/>
        <v>0.05</v>
      </c>
      <c r="N5035" s="475">
        <f t="shared" si="182"/>
        <v>204293</v>
      </c>
    </row>
    <row r="5036" spans="7:14" ht="11.25" customHeight="1" x14ac:dyDescent="0.3">
      <c r="G5036" s="470"/>
      <c r="H5036" s="470">
        <v>5029</v>
      </c>
      <c r="I5036" s="455">
        <f t="shared" ca="1" si="180"/>
        <v>300269170243392.81</v>
      </c>
      <c r="J5036" s="455">
        <f t="array" ref="J5036">IFERROR(INDEX('Retirement Calculator'!K:K,MATCH('Lorri 401b'!N5036,'Retirement Calculator'!A:A,0),0),0)</f>
        <v>0</v>
      </c>
      <c r="K5036" s="455">
        <f t="shared" ca="1" si="178"/>
        <v>1251121542680.8035</v>
      </c>
      <c r="L5036" s="455">
        <f t="shared" ca="1" si="179"/>
        <v>301520291786073.63</v>
      </c>
      <c r="M5036" s="471">
        <f t="shared" si="181"/>
        <v>0.05</v>
      </c>
      <c r="N5036" s="475">
        <f t="shared" si="182"/>
        <v>204324</v>
      </c>
    </row>
    <row r="5037" spans="7:14" ht="11.25" customHeight="1" x14ac:dyDescent="0.3">
      <c r="G5037" s="470"/>
      <c r="H5037" s="470">
        <v>5030</v>
      </c>
      <c r="I5037" s="455">
        <f t="shared" ca="1" si="180"/>
        <v>301520291786073.63</v>
      </c>
      <c r="J5037" s="455">
        <f t="array" ref="J5037">IFERROR(INDEX('Retirement Calculator'!K:K,MATCH('Lorri 401b'!N5037,'Retirement Calculator'!A:A,0),0),0)</f>
        <v>0</v>
      </c>
      <c r="K5037" s="455">
        <f t="shared" ca="1" si="178"/>
        <v>1256334549108.6401</v>
      </c>
      <c r="L5037" s="455">
        <f t="shared" ca="1" si="179"/>
        <v>302776626335182.25</v>
      </c>
      <c r="M5037" s="471">
        <f t="shared" si="181"/>
        <v>0.05</v>
      </c>
      <c r="N5037" s="475">
        <f t="shared" si="182"/>
        <v>204354</v>
      </c>
    </row>
    <row r="5038" spans="7:14" ht="11.25" customHeight="1" x14ac:dyDescent="0.3">
      <c r="G5038" s="470"/>
      <c r="H5038" s="470">
        <v>5031</v>
      </c>
      <c r="I5038" s="455">
        <f t="shared" ca="1" si="180"/>
        <v>302776626335182.25</v>
      </c>
      <c r="J5038" s="455">
        <f t="array" ref="J5038">IFERROR(INDEX('Retirement Calculator'!K:K,MATCH('Lorri 401b'!N5038,'Retirement Calculator'!A:A,0),0),0)</f>
        <v>0</v>
      </c>
      <c r="K5038" s="455">
        <f t="shared" ca="1" si="178"/>
        <v>1261569276396.5928</v>
      </c>
      <c r="L5038" s="455">
        <f t="shared" ca="1" si="179"/>
        <v>304038195611578.81</v>
      </c>
      <c r="M5038" s="471">
        <f t="shared" si="181"/>
        <v>0.05</v>
      </c>
      <c r="N5038" s="475">
        <f t="shared" si="182"/>
        <v>204385</v>
      </c>
    </row>
    <row r="5039" spans="7:14" ht="11.25" customHeight="1" x14ac:dyDescent="0.3">
      <c r="G5039" s="470"/>
      <c r="H5039" s="470">
        <v>5032</v>
      </c>
      <c r="I5039" s="455">
        <f t="shared" ca="1" si="180"/>
        <v>304038195611578.81</v>
      </c>
      <c r="J5039" s="455">
        <f t="array" ref="J5039">IFERROR(INDEX('Retirement Calculator'!K:K,MATCH('Lorri 401b'!N5039,'Retirement Calculator'!A:A,0),0),0)</f>
        <v>0</v>
      </c>
      <c r="K5039" s="455">
        <f t="shared" ca="1" si="178"/>
        <v>1266825815048.2451</v>
      </c>
      <c r="L5039" s="455">
        <f t="shared" ca="1" si="179"/>
        <v>305305021426627.06</v>
      </c>
      <c r="M5039" s="471">
        <f t="shared" si="181"/>
        <v>0.05</v>
      </c>
      <c r="N5039" s="475">
        <f t="shared" si="182"/>
        <v>204416</v>
      </c>
    </row>
    <row r="5040" spans="7:14" ht="11.25" customHeight="1" x14ac:dyDescent="0.3">
      <c r="G5040" s="470"/>
      <c r="H5040" s="470">
        <v>5033</v>
      </c>
      <c r="I5040" s="455">
        <f t="shared" ca="1" si="180"/>
        <v>305305021426627.06</v>
      </c>
      <c r="J5040" s="455">
        <f t="array" ref="J5040">IFERROR(INDEX('Retirement Calculator'!K:K,MATCH('Lorri 401b'!N5040,'Retirement Calculator'!A:A,0),0),0)</f>
        <v>0</v>
      </c>
      <c r="K5040" s="455">
        <f t="shared" ca="1" si="178"/>
        <v>1272104255944.2793</v>
      </c>
      <c r="L5040" s="455">
        <f t="shared" ca="1" si="179"/>
        <v>306577125682571.31</v>
      </c>
      <c r="M5040" s="471">
        <f t="shared" si="181"/>
        <v>0.05</v>
      </c>
      <c r="N5040" s="475">
        <f t="shared" si="182"/>
        <v>204446</v>
      </c>
    </row>
    <row r="5041" spans="7:14" ht="11.25" customHeight="1" x14ac:dyDescent="0.3">
      <c r="G5041" s="470"/>
      <c r="H5041" s="470">
        <v>5034</v>
      </c>
      <c r="I5041" s="455">
        <f t="shared" ca="1" si="180"/>
        <v>306577125682571.31</v>
      </c>
      <c r="J5041" s="455">
        <f t="array" ref="J5041">IFERROR(INDEX('Retirement Calculator'!K:K,MATCH('Lorri 401b'!N5041,'Retirement Calculator'!A:A,0),0),0)</f>
        <v>0</v>
      </c>
      <c r="K5041" s="455">
        <f t="shared" ca="1" si="178"/>
        <v>1277404690344.0471</v>
      </c>
      <c r="L5041" s="455">
        <f t="shared" ca="1" si="179"/>
        <v>307854530372915.38</v>
      </c>
      <c r="M5041" s="471">
        <f t="shared" si="181"/>
        <v>0.05</v>
      </c>
      <c r="N5041" s="475">
        <f t="shared" si="182"/>
        <v>204477</v>
      </c>
    </row>
    <row r="5042" spans="7:14" ht="11.25" customHeight="1" x14ac:dyDescent="0.3">
      <c r="G5042" s="470"/>
      <c r="H5042" s="470">
        <v>5035</v>
      </c>
      <c r="I5042" s="455">
        <f t="shared" ca="1" si="180"/>
        <v>307854530372915.38</v>
      </c>
      <c r="J5042" s="455">
        <f t="array" ref="J5042">IFERROR(INDEX('Retirement Calculator'!K:K,MATCH('Lorri 401b'!N5042,'Retirement Calculator'!A:A,0),0),0)</f>
        <v>0</v>
      </c>
      <c r="K5042" s="455">
        <f t="shared" ca="1" si="178"/>
        <v>1282727209887.1475</v>
      </c>
      <c r="L5042" s="455">
        <f t="shared" ca="1" si="179"/>
        <v>309137257582802.5</v>
      </c>
      <c r="M5042" s="471">
        <f t="shared" si="181"/>
        <v>0.05</v>
      </c>
      <c r="N5042" s="475">
        <f t="shared" si="182"/>
        <v>204507</v>
      </c>
    </row>
    <row r="5043" spans="7:14" ht="11.25" customHeight="1" x14ac:dyDescent="0.3">
      <c r="G5043" s="470"/>
      <c r="H5043" s="470">
        <v>5036</v>
      </c>
      <c r="I5043" s="455">
        <f t="shared" ca="1" si="180"/>
        <v>309137257582802.5</v>
      </c>
      <c r="J5043" s="455">
        <f t="array" ref="J5043">IFERROR(INDEX('Retirement Calculator'!K:K,MATCH('Lorri 401b'!N5043,'Retirement Calculator'!A:A,0),0),0)</f>
        <v>0</v>
      </c>
      <c r="K5043" s="455">
        <f t="shared" ca="1" si="178"/>
        <v>1288071906595.0105</v>
      </c>
      <c r="L5043" s="455">
        <f t="shared" ca="1" si="179"/>
        <v>310425329489397.5</v>
      </c>
      <c r="M5043" s="471">
        <f t="shared" si="181"/>
        <v>0.05</v>
      </c>
      <c r="N5043" s="475">
        <f t="shared" si="182"/>
        <v>204538</v>
      </c>
    </row>
    <row r="5044" spans="7:14" ht="11.25" customHeight="1" x14ac:dyDescent="0.3">
      <c r="G5044" s="470"/>
      <c r="H5044" s="470">
        <v>5037</v>
      </c>
      <c r="I5044" s="455">
        <f t="shared" ca="1" si="180"/>
        <v>310425329489397.5</v>
      </c>
      <c r="J5044" s="455">
        <f t="array" ref="J5044">IFERROR(INDEX('Retirement Calculator'!K:K,MATCH('Lorri 401b'!N5044,'Retirement Calculator'!A:A,0),0),0)</f>
        <v>0</v>
      </c>
      <c r="K5044" s="455">
        <f t="shared" ca="1" si="178"/>
        <v>1293438872872.4895</v>
      </c>
      <c r="L5044" s="455">
        <f t="shared" ca="1" si="179"/>
        <v>311718768362270</v>
      </c>
      <c r="M5044" s="471">
        <f t="shared" si="181"/>
        <v>0.05</v>
      </c>
      <c r="N5044" s="475">
        <f t="shared" si="182"/>
        <v>204569</v>
      </c>
    </row>
    <row r="5045" spans="7:14" ht="11.25" customHeight="1" x14ac:dyDescent="0.3">
      <c r="G5045" s="470"/>
      <c r="H5045" s="470">
        <v>5038</v>
      </c>
      <c r="I5045" s="455">
        <f t="shared" ca="1" si="180"/>
        <v>311718768362270</v>
      </c>
      <c r="J5045" s="455">
        <f t="array" ref="J5045">IFERROR(INDEX('Retirement Calculator'!K:K,MATCH('Lorri 401b'!N5045,'Retirement Calculator'!A:A,0),0),0)</f>
        <v>0</v>
      </c>
      <c r="K5045" s="455">
        <f t="shared" ca="1" si="178"/>
        <v>1298828201509.4583</v>
      </c>
      <c r="L5045" s="455">
        <f t="shared" ca="1" si="179"/>
        <v>313017596563779.44</v>
      </c>
      <c r="M5045" s="471">
        <f t="shared" si="181"/>
        <v>0.05</v>
      </c>
      <c r="N5045" s="475">
        <f t="shared" si="182"/>
        <v>204598</v>
      </c>
    </row>
    <row r="5046" spans="7:14" ht="11.25" customHeight="1" x14ac:dyDescent="0.3">
      <c r="G5046" s="470"/>
      <c r="H5046" s="470">
        <v>5039</v>
      </c>
      <c r="I5046" s="455">
        <f t="shared" ca="1" si="180"/>
        <v>313017596563779.44</v>
      </c>
      <c r="J5046" s="455">
        <f t="array" ref="J5046">IFERROR(INDEX('Retirement Calculator'!K:K,MATCH('Lorri 401b'!N5046,'Retirement Calculator'!A:A,0),0),0)</f>
        <v>0</v>
      </c>
      <c r="K5046" s="455">
        <f t="shared" ca="1" si="178"/>
        <v>1304239985682.4143</v>
      </c>
      <c r="L5046" s="455">
        <f t="shared" ca="1" si="179"/>
        <v>314321836549461.88</v>
      </c>
      <c r="M5046" s="471">
        <f t="shared" si="181"/>
        <v>0.05</v>
      </c>
      <c r="N5046" s="475">
        <f t="shared" si="182"/>
        <v>204629</v>
      </c>
    </row>
    <row r="5047" spans="7:14" ht="11.25" customHeight="1" x14ac:dyDescent="0.3">
      <c r="G5047" s="470"/>
      <c r="H5047" s="470">
        <v>5040</v>
      </c>
      <c r="I5047" s="455">
        <f t="shared" ca="1" si="180"/>
        <v>314321836549461.88</v>
      </c>
      <c r="J5047" s="455">
        <f t="array" ref="J5047">IFERROR(INDEX('Retirement Calculator'!K:K,MATCH('Lorri 401b'!N5047,'Retirement Calculator'!A:A,0),0),0)</f>
        <v>0</v>
      </c>
      <c r="K5047" s="455">
        <f t="shared" ca="1" si="178"/>
        <v>1309674318956.0911</v>
      </c>
      <c r="L5047" s="455">
        <f t="shared" ca="1" si="179"/>
        <v>315631510868417.94</v>
      </c>
      <c r="M5047" s="471">
        <f t="shared" si="181"/>
        <v>0.05</v>
      </c>
      <c r="N5047" s="475">
        <f t="shared" si="182"/>
        <v>204659</v>
      </c>
    </row>
    <row r="5048" spans="7:14" ht="11.25" customHeight="1" x14ac:dyDescent="0.3">
      <c r="G5048" s="470"/>
      <c r="H5048" s="470">
        <v>5041</v>
      </c>
      <c r="I5048" s="455">
        <f t="shared" ca="1" si="180"/>
        <v>315631510868417.94</v>
      </c>
      <c r="J5048" s="455">
        <f t="array" ref="J5048">IFERROR(INDEX('Retirement Calculator'!K:K,MATCH('Lorri 401b'!N5048,'Retirement Calculator'!A:A,0),0),0)</f>
        <v>0</v>
      </c>
      <c r="K5048" s="455">
        <f t="shared" ca="1" si="178"/>
        <v>1315131295285.0747</v>
      </c>
      <c r="L5048" s="455">
        <f t="shared" ca="1" si="179"/>
        <v>316946642163703</v>
      </c>
      <c r="M5048" s="471">
        <f t="shared" si="181"/>
        <v>0.05</v>
      </c>
      <c r="N5048" s="475">
        <f t="shared" si="182"/>
        <v>204690</v>
      </c>
    </row>
    <row r="5049" spans="7:14" ht="11.25" customHeight="1" x14ac:dyDescent="0.3">
      <c r="G5049" s="470"/>
      <c r="H5049" s="470">
        <v>5042</v>
      </c>
      <c r="I5049" s="455">
        <f t="shared" ca="1" si="180"/>
        <v>316946642163703</v>
      </c>
      <c r="J5049" s="455">
        <f t="array" ref="J5049">IFERROR(INDEX('Retirement Calculator'!K:K,MATCH('Lorri 401b'!N5049,'Retirement Calculator'!A:A,0),0),0)</f>
        <v>0</v>
      </c>
      <c r="K5049" s="455">
        <f t="shared" ca="1" si="178"/>
        <v>1320611009015.4292</v>
      </c>
      <c r="L5049" s="455">
        <f t="shared" ca="1" si="179"/>
        <v>318267253172718.44</v>
      </c>
      <c r="M5049" s="471">
        <f t="shared" si="181"/>
        <v>0.05</v>
      </c>
      <c r="N5049" s="475">
        <f t="shared" si="182"/>
        <v>204720</v>
      </c>
    </row>
    <row r="5050" spans="7:14" ht="11.25" customHeight="1" x14ac:dyDescent="0.3">
      <c r="G5050" s="470"/>
      <c r="H5050" s="470">
        <v>5043</v>
      </c>
      <c r="I5050" s="455">
        <f t="shared" ca="1" si="180"/>
        <v>318267253172718.44</v>
      </c>
      <c r="J5050" s="455">
        <f t="array" ref="J5050">IFERROR(INDEX('Retirement Calculator'!K:K,MATCH('Lorri 401b'!N5050,'Retirement Calculator'!A:A,0),0),0)</f>
        <v>0</v>
      </c>
      <c r="K5050" s="455">
        <f t="shared" ca="1" si="178"/>
        <v>1326113554886.3269</v>
      </c>
      <c r="L5050" s="455">
        <f t="shared" ca="1" si="179"/>
        <v>319593366727604.75</v>
      </c>
      <c r="M5050" s="471">
        <f t="shared" si="181"/>
        <v>0.05</v>
      </c>
      <c r="N5050" s="475">
        <f t="shared" si="182"/>
        <v>204751</v>
      </c>
    </row>
    <row r="5051" spans="7:14" ht="11.25" customHeight="1" x14ac:dyDescent="0.3">
      <c r="G5051" s="470"/>
      <c r="H5051" s="470">
        <v>5044</v>
      </c>
      <c r="I5051" s="455">
        <f t="shared" ca="1" si="180"/>
        <v>319593366727604.75</v>
      </c>
      <c r="J5051" s="455">
        <f t="array" ref="J5051">IFERROR(INDEX('Retirement Calculator'!K:K,MATCH('Lorri 401b'!N5051,'Retirement Calculator'!A:A,0),0),0)</f>
        <v>0</v>
      </c>
      <c r="K5051" s="455">
        <f t="shared" ca="1" si="178"/>
        <v>1331639028031.6865</v>
      </c>
      <c r="L5051" s="455">
        <f t="shared" ca="1" si="179"/>
        <v>320925005755636.44</v>
      </c>
      <c r="M5051" s="471">
        <f t="shared" si="181"/>
        <v>0.05</v>
      </c>
      <c r="N5051" s="475">
        <f t="shared" si="182"/>
        <v>204782</v>
      </c>
    </row>
    <row r="5052" spans="7:14" ht="11.25" customHeight="1" x14ac:dyDescent="0.3">
      <c r="G5052" s="470"/>
      <c r="H5052" s="470">
        <v>5045</v>
      </c>
      <c r="I5052" s="455">
        <f t="shared" ca="1" si="180"/>
        <v>320925005755636.44</v>
      </c>
      <c r="J5052" s="455">
        <f t="array" ref="J5052">IFERROR(INDEX('Retirement Calculator'!K:K,MATCH('Lorri 401b'!N5052,'Retirement Calculator'!A:A,0),0),0)</f>
        <v>0</v>
      </c>
      <c r="K5052" s="455">
        <f t="shared" ca="1" si="178"/>
        <v>1337187523981.8184</v>
      </c>
      <c r="L5052" s="455">
        <f t="shared" ca="1" si="179"/>
        <v>322262193279618.25</v>
      </c>
      <c r="M5052" s="471">
        <f t="shared" si="181"/>
        <v>0.05</v>
      </c>
      <c r="N5052" s="475">
        <f t="shared" si="182"/>
        <v>204812</v>
      </c>
    </row>
    <row r="5053" spans="7:14" ht="11.25" customHeight="1" x14ac:dyDescent="0.3">
      <c r="G5053" s="470"/>
      <c r="H5053" s="470">
        <v>5046</v>
      </c>
      <c r="I5053" s="455">
        <f t="shared" ca="1" si="180"/>
        <v>322262193279618.25</v>
      </c>
      <c r="J5053" s="455">
        <f t="array" ref="J5053">IFERROR(INDEX('Retirement Calculator'!K:K,MATCH('Lorri 401b'!N5053,'Retirement Calculator'!A:A,0),0),0)</f>
        <v>0</v>
      </c>
      <c r="K5053" s="455">
        <f t="shared" ca="1" si="178"/>
        <v>1342759138665.0759</v>
      </c>
      <c r="L5053" s="455">
        <f t="shared" ca="1" si="179"/>
        <v>323604952418283.31</v>
      </c>
      <c r="M5053" s="471">
        <f t="shared" si="181"/>
        <v>0.05</v>
      </c>
      <c r="N5053" s="475">
        <f t="shared" si="182"/>
        <v>204843</v>
      </c>
    </row>
    <row r="5054" spans="7:14" ht="11.25" customHeight="1" x14ac:dyDescent="0.3">
      <c r="G5054" s="470"/>
      <c r="H5054" s="470">
        <v>5047</v>
      </c>
      <c r="I5054" s="455">
        <f t="shared" ca="1" si="180"/>
        <v>323604952418283.31</v>
      </c>
      <c r="J5054" s="455">
        <f t="array" ref="J5054">IFERROR(INDEX('Retirement Calculator'!K:K,MATCH('Lorri 401b'!N5054,'Retirement Calculator'!A:A,0),0),0)</f>
        <v>0</v>
      </c>
      <c r="K5054" s="455">
        <f t="shared" ca="1" si="178"/>
        <v>1348353968409.5137</v>
      </c>
      <c r="L5054" s="455">
        <f t="shared" ca="1" si="179"/>
        <v>324953306386692.81</v>
      </c>
      <c r="M5054" s="471">
        <f t="shared" si="181"/>
        <v>0.05</v>
      </c>
      <c r="N5054" s="475">
        <f t="shared" si="182"/>
        <v>204873</v>
      </c>
    </row>
    <row r="5055" spans="7:14" ht="11.25" customHeight="1" x14ac:dyDescent="0.3">
      <c r="G5055" s="470"/>
      <c r="H5055" s="470">
        <v>5048</v>
      </c>
      <c r="I5055" s="455">
        <f t="shared" ca="1" si="180"/>
        <v>324953306386692.81</v>
      </c>
      <c r="J5055" s="455">
        <f t="array" ref="J5055">IFERROR(INDEX('Retirement Calculator'!K:K,MATCH('Lorri 401b'!N5055,'Retirement Calculator'!A:A,0),0),0)</f>
        <v>0</v>
      </c>
      <c r="K5055" s="455">
        <f t="shared" ca="1" si="178"/>
        <v>1353972109944.5535</v>
      </c>
      <c r="L5055" s="455">
        <f t="shared" ca="1" si="179"/>
        <v>326307278496637.38</v>
      </c>
      <c r="M5055" s="471">
        <f t="shared" si="181"/>
        <v>0.05</v>
      </c>
      <c r="N5055" s="475">
        <f t="shared" si="182"/>
        <v>204904</v>
      </c>
    </row>
    <row r="5056" spans="7:14" ht="11.25" customHeight="1" x14ac:dyDescent="0.3">
      <c r="G5056" s="470"/>
      <c r="H5056" s="470">
        <v>5049</v>
      </c>
      <c r="I5056" s="455">
        <f t="shared" ca="1" si="180"/>
        <v>326307278496637.38</v>
      </c>
      <c r="J5056" s="455">
        <f t="array" ref="J5056">IFERROR(INDEX('Retirement Calculator'!K:K,MATCH('Lorri 401b'!N5056,'Retirement Calculator'!A:A,0),0),0)</f>
        <v>0</v>
      </c>
      <c r="K5056" s="455">
        <f t="shared" ca="1" si="178"/>
        <v>1359613660402.6558</v>
      </c>
      <c r="L5056" s="455">
        <f t="shared" ca="1" si="179"/>
        <v>327666892157040</v>
      </c>
      <c r="M5056" s="471">
        <f t="shared" si="181"/>
        <v>0.05</v>
      </c>
      <c r="N5056" s="475">
        <f t="shared" si="182"/>
        <v>204935</v>
      </c>
    </row>
    <row r="5057" spans="7:14" ht="11.25" customHeight="1" x14ac:dyDescent="0.3">
      <c r="G5057" s="470"/>
      <c r="H5057" s="470">
        <v>5050</v>
      </c>
      <c r="I5057" s="455">
        <f t="shared" ca="1" si="180"/>
        <v>327666892157040</v>
      </c>
      <c r="J5057" s="455">
        <f t="array" ref="J5057">IFERROR(INDEX('Retirement Calculator'!K:K,MATCH('Lorri 401b'!N5057,'Retirement Calculator'!A:A,0),0),0)</f>
        <v>0</v>
      </c>
      <c r="K5057" s="455">
        <f t="shared" ca="1" si="178"/>
        <v>1365278717321</v>
      </c>
      <c r="L5057" s="455">
        <f t="shared" ca="1" si="179"/>
        <v>329032170874361</v>
      </c>
      <c r="M5057" s="471">
        <f t="shared" si="181"/>
        <v>0.05</v>
      </c>
      <c r="N5057" s="475">
        <f t="shared" si="182"/>
        <v>204963</v>
      </c>
    </row>
    <row r="5058" spans="7:14" ht="11.25" customHeight="1" x14ac:dyDescent="0.3">
      <c r="G5058" s="470"/>
      <c r="H5058" s="470">
        <v>5051</v>
      </c>
      <c r="I5058" s="455">
        <f t="shared" ca="1" si="180"/>
        <v>329032170874361</v>
      </c>
      <c r="J5058" s="455">
        <f t="array" ref="J5058">IFERROR(INDEX('Retirement Calculator'!K:K,MATCH('Lorri 401b'!N5058,'Retirement Calculator'!A:A,0),0),0)</f>
        <v>0</v>
      </c>
      <c r="K5058" s="455">
        <f t="shared" ca="1" si="178"/>
        <v>1370967378643.1709</v>
      </c>
      <c r="L5058" s="455">
        <f t="shared" ca="1" si="179"/>
        <v>330403138253004.19</v>
      </c>
      <c r="M5058" s="471">
        <f t="shared" si="181"/>
        <v>0.05</v>
      </c>
      <c r="N5058" s="475">
        <f t="shared" si="182"/>
        <v>204994</v>
      </c>
    </row>
    <row r="5059" spans="7:14" ht="11.25" customHeight="1" x14ac:dyDescent="0.3">
      <c r="G5059" s="470"/>
      <c r="H5059" s="470">
        <v>5052</v>
      </c>
      <c r="I5059" s="455">
        <f t="shared" ca="1" si="180"/>
        <v>330403138253004.19</v>
      </c>
      <c r="J5059" s="455">
        <f t="array" ref="J5059">IFERROR(INDEX('Retirement Calculator'!K:K,MATCH('Lorri 401b'!N5059,'Retirement Calculator'!A:A,0),0),0)</f>
        <v>0</v>
      </c>
      <c r="K5059" s="455">
        <f t="shared" ca="1" si="178"/>
        <v>1376679742720.8508</v>
      </c>
      <c r="L5059" s="455">
        <f t="shared" ca="1" si="179"/>
        <v>331779817995725.06</v>
      </c>
      <c r="M5059" s="471">
        <f t="shared" si="181"/>
        <v>0.05</v>
      </c>
      <c r="N5059" s="475">
        <f t="shared" si="182"/>
        <v>205024</v>
      </c>
    </row>
    <row r="5060" spans="7:14" ht="11.25" customHeight="1" x14ac:dyDescent="0.3">
      <c r="G5060" s="470"/>
      <c r="H5060" s="470">
        <v>5053</v>
      </c>
      <c r="I5060" s="455">
        <f t="shared" ca="1" si="180"/>
        <v>331779817995725.06</v>
      </c>
      <c r="J5060" s="455">
        <f t="array" ref="J5060">IFERROR(INDEX('Retirement Calculator'!K:K,MATCH('Lorri 401b'!N5060,'Retirement Calculator'!A:A,0),0),0)</f>
        <v>0</v>
      </c>
      <c r="K5060" s="455">
        <f t="shared" ca="1" si="178"/>
        <v>1382415908315.521</v>
      </c>
      <c r="L5060" s="455">
        <f t="shared" ca="1" si="179"/>
        <v>333162233904040.56</v>
      </c>
      <c r="M5060" s="471">
        <f t="shared" si="181"/>
        <v>0.05</v>
      </c>
      <c r="N5060" s="475">
        <f t="shared" si="182"/>
        <v>205055</v>
      </c>
    </row>
    <row r="5061" spans="7:14" ht="11.25" customHeight="1" x14ac:dyDescent="0.3">
      <c r="G5061" s="470"/>
      <c r="H5061" s="470">
        <v>5054</v>
      </c>
      <c r="I5061" s="455">
        <f t="shared" ca="1" si="180"/>
        <v>333162233904040.56</v>
      </c>
      <c r="J5061" s="455">
        <f t="array" ref="J5061">IFERROR(INDEX('Retirement Calculator'!K:K,MATCH('Lorri 401b'!N5061,'Retirement Calculator'!A:A,0),0),0)</f>
        <v>0</v>
      </c>
      <c r="K5061" s="455">
        <f t="shared" ca="1" si="178"/>
        <v>1388175974600.1689</v>
      </c>
      <c r="L5061" s="455">
        <f t="shared" ca="1" si="179"/>
        <v>334550409878640.75</v>
      </c>
      <c r="M5061" s="471">
        <f t="shared" si="181"/>
        <v>0.05</v>
      </c>
      <c r="N5061" s="475">
        <f t="shared" si="182"/>
        <v>205085</v>
      </c>
    </row>
    <row r="5062" spans="7:14" ht="11.25" customHeight="1" x14ac:dyDescent="0.3">
      <c r="G5062" s="470"/>
      <c r="H5062" s="470">
        <v>5055</v>
      </c>
      <c r="I5062" s="455">
        <f t="shared" ca="1" si="180"/>
        <v>334550409878640.75</v>
      </c>
      <c r="J5062" s="455">
        <f t="array" ref="J5062">IFERROR(INDEX('Retirement Calculator'!K:K,MATCH('Lorri 401b'!N5062,'Retirement Calculator'!A:A,0),0),0)</f>
        <v>0</v>
      </c>
      <c r="K5062" s="455">
        <f t="shared" ca="1" si="178"/>
        <v>1393960041161.0032</v>
      </c>
      <c r="L5062" s="455">
        <f t="shared" ca="1" si="179"/>
        <v>335944369919801.75</v>
      </c>
      <c r="M5062" s="471">
        <f t="shared" si="181"/>
        <v>0.05</v>
      </c>
      <c r="N5062" s="475">
        <f t="shared" si="182"/>
        <v>205116</v>
      </c>
    </row>
    <row r="5063" spans="7:14" ht="11.25" customHeight="1" x14ac:dyDescent="0.3">
      <c r="G5063" s="470"/>
      <c r="H5063" s="470">
        <v>5056</v>
      </c>
      <c r="I5063" s="455">
        <f t="shared" ca="1" si="180"/>
        <v>335944369919801.75</v>
      </c>
      <c r="J5063" s="455">
        <f t="array" ref="J5063">IFERROR(INDEX('Retirement Calculator'!K:K,MATCH('Lorri 401b'!N5063,'Retirement Calculator'!A:A,0),0),0)</f>
        <v>0</v>
      </c>
      <c r="K5063" s="455">
        <f t="shared" ca="1" si="178"/>
        <v>1399768207999.1738</v>
      </c>
      <c r="L5063" s="455">
        <f t="shared" ca="1" si="179"/>
        <v>337344138127800.94</v>
      </c>
      <c r="M5063" s="471">
        <f t="shared" si="181"/>
        <v>0.05</v>
      </c>
      <c r="N5063" s="475">
        <f t="shared" si="182"/>
        <v>205147</v>
      </c>
    </row>
    <row r="5064" spans="7:14" ht="11.25" customHeight="1" x14ac:dyDescent="0.3">
      <c r="G5064" s="470"/>
      <c r="H5064" s="470">
        <v>5057</v>
      </c>
      <c r="I5064" s="455">
        <f t="shared" ca="1" si="180"/>
        <v>337344138127800.94</v>
      </c>
      <c r="J5064" s="455">
        <f t="array" ref="J5064">IFERROR(INDEX('Retirement Calculator'!K:K,MATCH('Lorri 401b'!N5064,'Retirement Calculator'!A:A,0),0),0)</f>
        <v>0</v>
      </c>
      <c r="K5064" s="455">
        <f t="shared" ca="1" si="178"/>
        <v>1405600575532.5039</v>
      </c>
      <c r="L5064" s="455">
        <f t="shared" ca="1" si="179"/>
        <v>338749738703333.44</v>
      </c>
      <c r="M5064" s="471">
        <f t="shared" si="181"/>
        <v>0.05</v>
      </c>
      <c r="N5064" s="475">
        <f t="shared" si="182"/>
        <v>205177</v>
      </c>
    </row>
    <row r="5065" spans="7:14" ht="11.25" customHeight="1" x14ac:dyDescent="0.3">
      <c r="G5065" s="470"/>
      <c r="H5065" s="470">
        <v>5058</v>
      </c>
      <c r="I5065" s="455">
        <f t="shared" ca="1" si="180"/>
        <v>338749738703333.44</v>
      </c>
      <c r="J5065" s="455">
        <f t="array" ref="J5065">IFERROR(INDEX('Retirement Calculator'!K:K,MATCH('Lorri 401b'!N5065,'Retirement Calculator'!A:A,0),0),0)</f>
        <v>0</v>
      </c>
      <c r="K5065" s="455">
        <f t="shared" ca="1" si="178"/>
        <v>1411457244597.2227</v>
      </c>
      <c r="L5065" s="455">
        <f t="shared" ca="1" si="179"/>
        <v>340161195947930.69</v>
      </c>
      <c r="M5065" s="471">
        <f t="shared" si="181"/>
        <v>0.05</v>
      </c>
      <c r="N5065" s="475">
        <f t="shared" si="182"/>
        <v>205208</v>
      </c>
    </row>
    <row r="5066" spans="7:14" ht="11.25" customHeight="1" x14ac:dyDescent="0.3">
      <c r="G5066" s="470"/>
      <c r="H5066" s="470">
        <v>5059</v>
      </c>
      <c r="I5066" s="455">
        <f t="shared" ca="1" si="180"/>
        <v>340161195947930.69</v>
      </c>
      <c r="J5066" s="455">
        <f t="array" ref="J5066">IFERROR(INDEX('Retirement Calculator'!K:K,MATCH('Lorri 401b'!N5066,'Retirement Calculator'!A:A,0),0),0)</f>
        <v>0</v>
      </c>
      <c r="K5066" s="455">
        <f t="shared" ca="1" si="178"/>
        <v>1417338316449.7112</v>
      </c>
      <c r="L5066" s="455">
        <f t="shared" ca="1" si="179"/>
        <v>341578534264380.38</v>
      </c>
      <c r="M5066" s="471">
        <f t="shared" si="181"/>
        <v>0.05</v>
      </c>
      <c r="N5066" s="475">
        <f t="shared" si="182"/>
        <v>205238</v>
      </c>
    </row>
    <row r="5067" spans="7:14" ht="11.25" customHeight="1" x14ac:dyDescent="0.3">
      <c r="G5067" s="470"/>
      <c r="H5067" s="470">
        <v>5060</v>
      </c>
      <c r="I5067" s="455">
        <f t="shared" ca="1" si="180"/>
        <v>341578534264380.38</v>
      </c>
      <c r="J5067" s="455">
        <f t="array" ref="J5067">IFERROR(INDEX('Retirement Calculator'!K:K,MATCH('Lorri 401b'!N5067,'Retirement Calculator'!A:A,0),0),0)</f>
        <v>0</v>
      </c>
      <c r="K5067" s="455">
        <f t="shared" ca="1" si="178"/>
        <v>1423243892768.2515</v>
      </c>
      <c r="L5067" s="455">
        <f t="shared" ca="1" si="179"/>
        <v>343001778157148.63</v>
      </c>
      <c r="M5067" s="471">
        <f t="shared" si="181"/>
        <v>0.05</v>
      </c>
      <c r="N5067" s="475">
        <f t="shared" si="182"/>
        <v>205269</v>
      </c>
    </row>
    <row r="5068" spans="7:14" ht="11.25" customHeight="1" x14ac:dyDescent="0.3">
      <c r="G5068" s="470"/>
      <c r="H5068" s="470">
        <v>5061</v>
      </c>
      <c r="I5068" s="455">
        <f t="shared" ca="1" si="180"/>
        <v>343001778157148.63</v>
      </c>
      <c r="J5068" s="455">
        <f t="array" ref="J5068">IFERROR(INDEX('Retirement Calculator'!K:K,MATCH('Lorri 401b'!N5068,'Retirement Calculator'!A:A,0),0),0)</f>
        <v>0</v>
      </c>
      <c r="K5068" s="455">
        <f t="shared" ca="1" si="178"/>
        <v>1429174075654.7859</v>
      </c>
      <c r="L5068" s="455">
        <f t="shared" ca="1" si="179"/>
        <v>344430952232803.44</v>
      </c>
      <c r="M5068" s="471">
        <f t="shared" si="181"/>
        <v>0.05</v>
      </c>
      <c r="N5068" s="475">
        <f t="shared" si="182"/>
        <v>205300</v>
      </c>
    </row>
    <row r="5069" spans="7:14" ht="11.25" customHeight="1" x14ac:dyDescent="0.3">
      <c r="G5069" s="470"/>
      <c r="H5069" s="470">
        <v>5062</v>
      </c>
      <c r="I5069" s="455">
        <f t="shared" ca="1" si="180"/>
        <v>344430952232803.44</v>
      </c>
      <c r="J5069" s="455">
        <f t="array" ref="J5069">IFERROR(INDEX('Retirement Calculator'!K:K,MATCH('Lorri 401b'!N5069,'Retirement Calculator'!A:A,0),0),0)</f>
        <v>0</v>
      </c>
      <c r="K5069" s="455">
        <f t="shared" ca="1" si="178"/>
        <v>1435128967636.6809</v>
      </c>
      <c r="L5069" s="455">
        <f t="shared" ca="1" si="179"/>
        <v>345866081200440.13</v>
      </c>
      <c r="M5069" s="471">
        <f t="shared" si="181"/>
        <v>0.05</v>
      </c>
      <c r="N5069" s="475">
        <f t="shared" si="182"/>
        <v>205328</v>
      </c>
    </row>
    <row r="5070" spans="7:14" ht="11.25" customHeight="1" x14ac:dyDescent="0.3">
      <c r="G5070" s="470"/>
      <c r="H5070" s="470">
        <v>5063</v>
      </c>
      <c r="I5070" s="455">
        <f t="shared" ca="1" si="180"/>
        <v>345866081200440.13</v>
      </c>
      <c r="J5070" s="455">
        <f t="array" ref="J5070">IFERROR(INDEX('Retirement Calculator'!K:K,MATCH('Lorri 401b'!N5070,'Retirement Calculator'!A:A,0),0),0)</f>
        <v>0</v>
      </c>
      <c r="K5070" s="455">
        <f t="shared" ca="1" si="178"/>
        <v>1441108671668.5005</v>
      </c>
      <c r="L5070" s="455">
        <f t="shared" ca="1" si="179"/>
        <v>347307189872108.63</v>
      </c>
      <c r="M5070" s="471">
        <f t="shared" si="181"/>
        <v>0.05</v>
      </c>
      <c r="N5070" s="475">
        <f t="shared" si="182"/>
        <v>205359</v>
      </c>
    </row>
    <row r="5071" spans="7:14" ht="11.25" customHeight="1" x14ac:dyDescent="0.3">
      <c r="G5071" s="470"/>
      <c r="H5071" s="470">
        <v>5064</v>
      </c>
      <c r="I5071" s="455">
        <f t="shared" ca="1" si="180"/>
        <v>347307189872108.63</v>
      </c>
      <c r="J5071" s="455">
        <f t="array" ref="J5071">IFERROR(INDEX('Retirement Calculator'!K:K,MATCH('Lorri 401b'!N5071,'Retirement Calculator'!A:A,0),0),0)</f>
        <v>0</v>
      </c>
      <c r="K5071" s="455">
        <f t="shared" ca="1" si="178"/>
        <v>1447113291133.7859</v>
      </c>
      <c r="L5071" s="455">
        <f t="shared" ca="1" si="179"/>
        <v>348754303163242.44</v>
      </c>
      <c r="M5071" s="471">
        <f t="shared" si="181"/>
        <v>0.05</v>
      </c>
      <c r="N5071" s="475">
        <f t="shared" si="182"/>
        <v>205389</v>
      </c>
    </row>
    <row r="5072" spans="7:14" ht="11.25" customHeight="1" x14ac:dyDescent="0.3">
      <c r="G5072" s="470"/>
      <c r="H5072" s="470">
        <v>5065</v>
      </c>
      <c r="I5072" s="455">
        <f t="shared" ca="1" si="180"/>
        <v>348754303163242.44</v>
      </c>
      <c r="J5072" s="455">
        <f t="array" ref="J5072">IFERROR(INDEX('Retirement Calculator'!K:K,MATCH('Lorri 401b'!N5072,'Retirement Calculator'!A:A,0),0),0)</f>
        <v>0</v>
      </c>
      <c r="K5072" s="455">
        <f t="shared" ca="1" si="178"/>
        <v>1453142929846.8435</v>
      </c>
      <c r="L5072" s="455">
        <f t="shared" ca="1" si="179"/>
        <v>350207446093089.25</v>
      </c>
      <c r="M5072" s="471">
        <f t="shared" si="181"/>
        <v>0.05</v>
      </c>
      <c r="N5072" s="475">
        <f t="shared" si="182"/>
        <v>205420</v>
      </c>
    </row>
    <row r="5073" spans="7:14" ht="11.25" customHeight="1" x14ac:dyDescent="0.3">
      <c r="G5073" s="470"/>
      <c r="H5073" s="470">
        <v>5066</v>
      </c>
      <c r="I5073" s="455">
        <f t="shared" ca="1" si="180"/>
        <v>350207446093089.25</v>
      </c>
      <c r="J5073" s="455">
        <f t="array" ref="J5073">IFERROR(INDEX('Retirement Calculator'!K:K,MATCH('Lorri 401b'!N5073,'Retirement Calculator'!A:A,0),0),0)</f>
        <v>0</v>
      </c>
      <c r="K5073" s="455">
        <f t="shared" ca="1" si="178"/>
        <v>1459197692054.5386</v>
      </c>
      <c r="L5073" s="455">
        <f t="shared" ca="1" si="179"/>
        <v>351666643785143.81</v>
      </c>
      <c r="M5073" s="471">
        <f t="shared" si="181"/>
        <v>0.05</v>
      </c>
      <c r="N5073" s="475">
        <f t="shared" si="182"/>
        <v>205450</v>
      </c>
    </row>
    <row r="5074" spans="7:14" ht="11.25" customHeight="1" x14ac:dyDescent="0.3">
      <c r="G5074" s="470"/>
      <c r="H5074" s="470">
        <v>5067</v>
      </c>
      <c r="I5074" s="455">
        <f t="shared" ca="1" si="180"/>
        <v>351666643785143.81</v>
      </c>
      <c r="J5074" s="455">
        <f t="array" ref="J5074">IFERROR(INDEX('Retirement Calculator'!K:K,MATCH('Lorri 401b'!N5074,'Retirement Calculator'!A:A,0),0),0)</f>
        <v>0</v>
      </c>
      <c r="K5074" s="455">
        <f t="shared" ca="1" si="178"/>
        <v>1465277682438.0991</v>
      </c>
      <c r="L5074" s="455">
        <f t="shared" ca="1" si="179"/>
        <v>353131921467581.94</v>
      </c>
      <c r="M5074" s="471">
        <f t="shared" si="181"/>
        <v>0.05</v>
      </c>
      <c r="N5074" s="475">
        <f t="shared" si="182"/>
        <v>205481</v>
      </c>
    </row>
    <row r="5075" spans="7:14" ht="11.25" customHeight="1" x14ac:dyDescent="0.3">
      <c r="G5075" s="470"/>
      <c r="H5075" s="470">
        <v>5068</v>
      </c>
      <c r="I5075" s="455">
        <f t="shared" ca="1" si="180"/>
        <v>353131921467581.94</v>
      </c>
      <c r="J5075" s="455">
        <f t="array" ref="J5075">IFERROR(INDEX('Retirement Calculator'!K:K,MATCH('Lorri 401b'!N5075,'Retirement Calculator'!A:A,0),0),0)</f>
        <v>0</v>
      </c>
      <c r="K5075" s="455">
        <f t="shared" ca="1" si="178"/>
        <v>1471383006114.9248</v>
      </c>
      <c r="L5075" s="455">
        <f t="shared" ca="1" si="179"/>
        <v>354603304473696.88</v>
      </c>
      <c r="M5075" s="471">
        <f t="shared" si="181"/>
        <v>0.05</v>
      </c>
      <c r="N5075" s="475">
        <f t="shared" si="182"/>
        <v>205512</v>
      </c>
    </row>
    <row r="5076" spans="7:14" ht="11.25" customHeight="1" x14ac:dyDescent="0.3">
      <c r="G5076" s="470"/>
      <c r="H5076" s="470">
        <v>5069</v>
      </c>
      <c r="I5076" s="455">
        <f t="shared" ca="1" si="180"/>
        <v>354603304473696.88</v>
      </c>
      <c r="J5076" s="455">
        <f t="array" ref="J5076">IFERROR(INDEX('Retirement Calculator'!K:K,MATCH('Lorri 401b'!N5076,'Retirement Calculator'!A:A,0),0),0)</f>
        <v>0</v>
      </c>
      <c r="K5076" s="455">
        <f t="shared" ca="1" si="178"/>
        <v>1477513768640.4036</v>
      </c>
      <c r="L5076" s="455">
        <f t="shared" ca="1" si="179"/>
        <v>356080818242337.25</v>
      </c>
      <c r="M5076" s="471">
        <f t="shared" si="181"/>
        <v>0.05</v>
      </c>
      <c r="N5076" s="475">
        <f t="shared" si="182"/>
        <v>205542</v>
      </c>
    </row>
    <row r="5077" spans="7:14" ht="11.25" customHeight="1" x14ac:dyDescent="0.3">
      <c r="G5077" s="470"/>
      <c r="H5077" s="470">
        <v>5070</v>
      </c>
      <c r="I5077" s="455">
        <f t="shared" ca="1" si="180"/>
        <v>356080818242337.25</v>
      </c>
      <c r="J5077" s="455">
        <f t="array" ref="J5077">IFERROR(INDEX('Retirement Calculator'!K:K,MATCH('Lorri 401b'!N5077,'Retirement Calculator'!A:A,0),0),0)</f>
        <v>0</v>
      </c>
      <c r="K5077" s="455">
        <f t="shared" ca="1" si="178"/>
        <v>1483670076009.7385</v>
      </c>
      <c r="L5077" s="455">
        <f t="shared" ca="1" si="179"/>
        <v>357564488318347</v>
      </c>
      <c r="M5077" s="471">
        <f t="shared" si="181"/>
        <v>0.05</v>
      </c>
      <c r="N5077" s="475">
        <f t="shared" si="182"/>
        <v>205573</v>
      </c>
    </row>
    <row r="5078" spans="7:14" ht="11.25" customHeight="1" x14ac:dyDescent="0.3">
      <c r="G5078" s="470"/>
      <c r="H5078" s="470">
        <v>5071</v>
      </c>
      <c r="I5078" s="455">
        <f t="shared" ca="1" si="180"/>
        <v>357564488318347</v>
      </c>
      <c r="J5078" s="455">
        <f t="array" ref="J5078">IFERROR(INDEX('Retirement Calculator'!K:K,MATCH('Lorri 401b'!N5078,'Retirement Calculator'!A:A,0),0),0)</f>
        <v>0</v>
      </c>
      <c r="K5078" s="455">
        <f t="shared" ca="1" si="178"/>
        <v>1489852034659.7791</v>
      </c>
      <c r="L5078" s="455">
        <f t="shared" ca="1" si="179"/>
        <v>359054340353006.75</v>
      </c>
      <c r="M5078" s="471">
        <f t="shared" si="181"/>
        <v>0.05</v>
      </c>
      <c r="N5078" s="475">
        <f t="shared" si="182"/>
        <v>205603</v>
      </c>
    </row>
    <row r="5079" spans="7:14" ht="11.25" customHeight="1" x14ac:dyDescent="0.3">
      <c r="G5079" s="470"/>
      <c r="H5079" s="470">
        <v>5072</v>
      </c>
      <c r="I5079" s="455">
        <f t="shared" ca="1" si="180"/>
        <v>359054340353006.75</v>
      </c>
      <c r="J5079" s="455">
        <f t="array" ref="J5079">IFERROR(INDEX('Retirement Calculator'!K:K,MATCH('Lorri 401b'!N5079,'Retirement Calculator'!A:A,0),0),0)</f>
        <v>0</v>
      </c>
      <c r="K5079" s="455">
        <f t="shared" ca="1" si="178"/>
        <v>1496059751470.8613</v>
      </c>
      <c r="L5079" s="455">
        <f t="shared" ca="1" si="179"/>
        <v>360550400104477.63</v>
      </c>
      <c r="M5079" s="471">
        <f t="shared" si="181"/>
        <v>0.05</v>
      </c>
      <c r="N5079" s="475">
        <f t="shared" si="182"/>
        <v>205634</v>
      </c>
    </row>
    <row r="5080" spans="7:14" ht="11.25" customHeight="1" x14ac:dyDescent="0.3">
      <c r="G5080" s="470"/>
      <c r="H5080" s="470">
        <v>5073</v>
      </c>
      <c r="I5080" s="455">
        <f t="shared" ca="1" si="180"/>
        <v>360550400104477.63</v>
      </c>
      <c r="J5080" s="455">
        <f t="array" ref="J5080">IFERROR(INDEX('Retirement Calculator'!K:K,MATCH('Lorri 401b'!N5080,'Retirement Calculator'!A:A,0),0),0)</f>
        <v>0</v>
      </c>
      <c r="K5080" s="455">
        <f t="shared" ca="1" si="178"/>
        <v>1502293333768.6567</v>
      </c>
      <c r="L5080" s="455">
        <f t="shared" ca="1" si="179"/>
        <v>362052693438246.31</v>
      </c>
      <c r="M5080" s="471">
        <f t="shared" si="181"/>
        <v>0.05</v>
      </c>
      <c r="N5080" s="475">
        <f t="shared" si="182"/>
        <v>205665</v>
      </c>
    </row>
    <row r="5081" spans="7:14" ht="11.25" customHeight="1" x14ac:dyDescent="0.3">
      <c r="G5081" s="470"/>
      <c r="H5081" s="470">
        <v>5074</v>
      </c>
      <c r="I5081" s="455">
        <f t="shared" ca="1" si="180"/>
        <v>362052693438246.31</v>
      </c>
      <c r="J5081" s="455">
        <f t="array" ref="J5081">IFERROR(INDEX('Retirement Calculator'!K:K,MATCH('Lorri 401b'!N5081,'Retirement Calculator'!A:A,0),0),0)</f>
        <v>0</v>
      </c>
      <c r="K5081" s="455">
        <f t="shared" ca="1" si="178"/>
        <v>1508552889326.0264</v>
      </c>
      <c r="L5081" s="455">
        <f t="shared" ca="1" si="179"/>
        <v>363561246327572.31</v>
      </c>
      <c r="M5081" s="471">
        <f t="shared" si="181"/>
        <v>0.05</v>
      </c>
      <c r="N5081" s="475">
        <f t="shared" si="182"/>
        <v>205693</v>
      </c>
    </row>
    <row r="5082" spans="7:14" ht="11.25" customHeight="1" x14ac:dyDescent="0.3">
      <c r="G5082" s="470"/>
      <c r="H5082" s="470">
        <v>5075</v>
      </c>
      <c r="I5082" s="455">
        <f t="shared" ca="1" si="180"/>
        <v>363561246327572.31</v>
      </c>
      <c r="J5082" s="455">
        <f t="array" ref="J5082">IFERROR(INDEX('Retirement Calculator'!K:K,MATCH('Lorri 401b'!N5082,'Retirement Calculator'!A:A,0),0),0)</f>
        <v>0</v>
      </c>
      <c r="K5082" s="455">
        <f t="shared" ca="1" si="178"/>
        <v>1514838526364.8845</v>
      </c>
      <c r="L5082" s="455">
        <f t="shared" ca="1" si="179"/>
        <v>365076084853937.19</v>
      </c>
      <c r="M5082" s="471">
        <f t="shared" si="181"/>
        <v>0.05</v>
      </c>
      <c r="N5082" s="475">
        <f t="shared" si="182"/>
        <v>205724</v>
      </c>
    </row>
    <row r="5083" spans="7:14" ht="11.25" customHeight="1" x14ac:dyDescent="0.3">
      <c r="G5083" s="470"/>
      <c r="H5083" s="470">
        <v>5076</v>
      </c>
      <c r="I5083" s="455">
        <f t="shared" ca="1" si="180"/>
        <v>365076084853937.19</v>
      </c>
      <c r="J5083" s="455">
        <f t="array" ref="J5083">IFERROR(INDEX('Retirement Calculator'!K:K,MATCH('Lorri 401b'!N5083,'Retirement Calculator'!A:A,0),0),0)</f>
        <v>0</v>
      </c>
      <c r="K5083" s="455">
        <f t="shared" ca="1" si="178"/>
        <v>1521150353558.0715</v>
      </c>
      <c r="L5083" s="455">
        <f t="shared" ca="1" si="179"/>
        <v>366597235207495.25</v>
      </c>
      <c r="M5083" s="471">
        <f t="shared" si="181"/>
        <v>0.05</v>
      </c>
      <c r="N5083" s="475">
        <f t="shared" si="182"/>
        <v>205754</v>
      </c>
    </row>
    <row r="5084" spans="7:14" ht="11.25" customHeight="1" x14ac:dyDescent="0.3">
      <c r="G5084" s="470"/>
      <c r="H5084" s="470">
        <v>5077</v>
      </c>
      <c r="I5084" s="455">
        <f t="shared" ca="1" si="180"/>
        <v>366597235207495.25</v>
      </c>
      <c r="J5084" s="455">
        <f t="array" ref="J5084">IFERROR(INDEX('Retirement Calculator'!K:K,MATCH('Lorri 401b'!N5084,'Retirement Calculator'!A:A,0),0),0)</f>
        <v>0</v>
      </c>
      <c r="K5084" s="455">
        <f t="shared" ca="1" si="178"/>
        <v>1527488480031.2302</v>
      </c>
      <c r="L5084" s="455">
        <f t="shared" ca="1" si="179"/>
        <v>368124723687526.5</v>
      </c>
      <c r="M5084" s="471">
        <f t="shared" si="181"/>
        <v>0.05</v>
      </c>
      <c r="N5084" s="475">
        <f t="shared" si="182"/>
        <v>205785</v>
      </c>
    </row>
    <row r="5085" spans="7:14" ht="11.25" customHeight="1" x14ac:dyDescent="0.3">
      <c r="G5085" s="470"/>
      <c r="H5085" s="470">
        <v>5078</v>
      </c>
      <c r="I5085" s="455">
        <f t="shared" ca="1" si="180"/>
        <v>368124723687526.5</v>
      </c>
      <c r="J5085" s="455">
        <f t="array" ref="J5085">IFERROR(INDEX('Retirement Calculator'!K:K,MATCH('Lorri 401b'!N5085,'Retirement Calculator'!A:A,0),0),0)</f>
        <v>0</v>
      </c>
      <c r="K5085" s="455">
        <f t="shared" ca="1" si="178"/>
        <v>1533853015364.6938</v>
      </c>
      <c r="L5085" s="455">
        <f t="shared" ca="1" si="179"/>
        <v>369658576702891.19</v>
      </c>
      <c r="M5085" s="471">
        <f t="shared" si="181"/>
        <v>0.05</v>
      </c>
      <c r="N5085" s="475">
        <f t="shared" si="182"/>
        <v>205815</v>
      </c>
    </row>
    <row r="5086" spans="7:14" ht="11.25" customHeight="1" x14ac:dyDescent="0.3">
      <c r="G5086" s="470"/>
      <c r="H5086" s="470">
        <v>5079</v>
      </c>
      <c r="I5086" s="455">
        <f t="shared" ca="1" si="180"/>
        <v>369658576702891.19</v>
      </c>
      <c r="J5086" s="455">
        <f t="array" ref="J5086">IFERROR(INDEX('Retirement Calculator'!K:K,MATCH('Lorri 401b'!N5086,'Retirement Calculator'!A:A,0),0),0)</f>
        <v>0</v>
      </c>
      <c r="K5086" s="455">
        <f t="shared" ca="1" si="178"/>
        <v>1540244069595.3799</v>
      </c>
      <c r="L5086" s="455">
        <f t="shared" ca="1" si="179"/>
        <v>371198820772486.56</v>
      </c>
      <c r="M5086" s="471">
        <f t="shared" si="181"/>
        <v>0.05</v>
      </c>
      <c r="N5086" s="475">
        <f t="shared" si="182"/>
        <v>205846</v>
      </c>
    </row>
    <row r="5087" spans="7:14" ht="11.25" customHeight="1" x14ac:dyDescent="0.3">
      <c r="G5087" s="470"/>
      <c r="H5087" s="470">
        <v>5080</v>
      </c>
      <c r="I5087" s="455">
        <f t="shared" ca="1" si="180"/>
        <v>371198820772486.56</v>
      </c>
      <c r="J5087" s="455">
        <f t="array" ref="J5087">IFERROR(INDEX('Retirement Calculator'!K:K,MATCH('Lorri 401b'!N5087,'Retirement Calculator'!A:A,0),0),0)</f>
        <v>0</v>
      </c>
      <c r="K5087" s="455">
        <f t="shared" ca="1" si="178"/>
        <v>1546661753218.6941</v>
      </c>
      <c r="L5087" s="455">
        <f t="shared" ca="1" si="179"/>
        <v>372745482525705.25</v>
      </c>
      <c r="M5087" s="471">
        <f t="shared" si="181"/>
        <v>0.05</v>
      </c>
      <c r="N5087" s="475">
        <f t="shared" si="182"/>
        <v>205877</v>
      </c>
    </row>
    <row r="5088" spans="7:14" ht="11.25" customHeight="1" x14ac:dyDescent="0.3">
      <c r="G5088" s="470"/>
      <c r="H5088" s="470">
        <v>5081</v>
      </c>
      <c r="I5088" s="455">
        <f t="shared" ca="1" si="180"/>
        <v>372745482525705.25</v>
      </c>
      <c r="J5088" s="455">
        <f t="array" ref="J5088">IFERROR(INDEX('Retirement Calculator'!K:K,MATCH('Lorri 401b'!N5088,'Retirement Calculator'!A:A,0),0),0)</f>
        <v>0</v>
      </c>
      <c r="K5088" s="455">
        <f t="shared" ca="1" si="178"/>
        <v>1553106177190.4385</v>
      </c>
      <c r="L5088" s="455">
        <f t="shared" ca="1" si="179"/>
        <v>374298588702895.69</v>
      </c>
      <c r="M5088" s="471">
        <f t="shared" si="181"/>
        <v>0.05</v>
      </c>
      <c r="N5088" s="475">
        <f t="shared" si="182"/>
        <v>205907</v>
      </c>
    </row>
    <row r="5089" spans="7:14" ht="11.25" customHeight="1" x14ac:dyDescent="0.3">
      <c r="G5089" s="470"/>
      <c r="H5089" s="470">
        <v>5082</v>
      </c>
      <c r="I5089" s="455">
        <f t="shared" ca="1" si="180"/>
        <v>374298588702895.69</v>
      </c>
      <c r="J5089" s="455">
        <f t="array" ref="J5089">IFERROR(INDEX('Retirement Calculator'!K:K,MATCH('Lorri 401b'!N5089,'Retirement Calculator'!A:A,0),0),0)</f>
        <v>0</v>
      </c>
      <c r="K5089" s="455">
        <f t="shared" ca="1" si="178"/>
        <v>1559577452928.7319</v>
      </c>
      <c r="L5089" s="455">
        <f t="shared" ca="1" si="179"/>
        <v>375858166155824.44</v>
      </c>
      <c r="M5089" s="471">
        <f t="shared" si="181"/>
        <v>0.05</v>
      </c>
      <c r="N5089" s="475">
        <f t="shared" si="182"/>
        <v>205938</v>
      </c>
    </row>
    <row r="5090" spans="7:14" ht="11.25" customHeight="1" x14ac:dyDescent="0.3">
      <c r="G5090" s="470"/>
      <c r="H5090" s="470">
        <v>5083</v>
      </c>
      <c r="I5090" s="455">
        <f t="shared" ca="1" si="180"/>
        <v>375858166155824.44</v>
      </c>
      <c r="J5090" s="455">
        <f t="array" ref="J5090">IFERROR(INDEX('Retirement Calculator'!K:K,MATCH('Lorri 401b'!N5090,'Retirement Calculator'!A:A,0),0),0)</f>
        <v>0</v>
      </c>
      <c r="K5090" s="455">
        <f t="shared" ca="1" si="178"/>
        <v>1566075692315.9351</v>
      </c>
      <c r="L5090" s="455">
        <f t="shared" ca="1" si="179"/>
        <v>377424241848140.38</v>
      </c>
      <c r="M5090" s="471">
        <f t="shared" si="181"/>
        <v>0.05</v>
      </c>
      <c r="N5090" s="475">
        <f t="shared" si="182"/>
        <v>205968</v>
      </c>
    </row>
    <row r="5091" spans="7:14" ht="11.25" customHeight="1" x14ac:dyDescent="0.3">
      <c r="G5091" s="470"/>
      <c r="H5091" s="470">
        <v>5084</v>
      </c>
      <c r="I5091" s="455">
        <f t="shared" ca="1" si="180"/>
        <v>377424241848140.38</v>
      </c>
      <c r="J5091" s="455">
        <f t="array" ref="J5091">IFERROR(INDEX('Retirement Calculator'!K:K,MATCH('Lorri 401b'!N5091,'Retirement Calculator'!A:A,0),0),0)</f>
        <v>0</v>
      </c>
      <c r="K5091" s="455">
        <f t="shared" ca="1" si="178"/>
        <v>1572601007700.585</v>
      </c>
      <c r="L5091" s="455">
        <f t="shared" ca="1" si="179"/>
        <v>378996842855840.94</v>
      </c>
      <c r="M5091" s="471">
        <f t="shared" si="181"/>
        <v>0.05</v>
      </c>
      <c r="N5091" s="475">
        <f t="shared" si="182"/>
        <v>205999</v>
      </c>
    </row>
    <row r="5092" spans="7:14" ht="11.25" customHeight="1" x14ac:dyDescent="0.3">
      <c r="G5092" s="470"/>
      <c r="H5092" s="470">
        <v>5085</v>
      </c>
      <c r="I5092" s="455">
        <f t="shared" ca="1" si="180"/>
        <v>378996842855840.94</v>
      </c>
      <c r="J5092" s="455">
        <f t="array" ref="J5092">IFERROR(INDEX('Retirement Calculator'!K:K,MATCH('Lorri 401b'!N5092,'Retirement Calculator'!A:A,0),0),0)</f>
        <v>0</v>
      </c>
      <c r="K5092" s="455">
        <f t="shared" ca="1" si="178"/>
        <v>1579153511899.3372</v>
      </c>
      <c r="L5092" s="455">
        <f t="shared" ca="1" si="179"/>
        <v>380575996367740.25</v>
      </c>
      <c r="M5092" s="471">
        <f t="shared" si="181"/>
        <v>0.05</v>
      </c>
      <c r="N5092" s="475">
        <f t="shared" si="182"/>
        <v>206030</v>
      </c>
    </row>
    <row r="5093" spans="7:14" ht="11.25" customHeight="1" x14ac:dyDescent="0.3">
      <c r="G5093" s="470"/>
      <c r="H5093" s="470">
        <v>5086</v>
      </c>
      <c r="I5093" s="455">
        <f t="shared" ca="1" si="180"/>
        <v>380575996367740.25</v>
      </c>
      <c r="J5093" s="455">
        <f t="array" ref="J5093">IFERROR(INDEX('Retirement Calculator'!K:K,MATCH('Lorri 401b'!N5093,'Retirement Calculator'!A:A,0),0),0)</f>
        <v>0</v>
      </c>
      <c r="K5093" s="455">
        <f t="shared" ca="1" si="178"/>
        <v>1585733318198.9177</v>
      </c>
      <c r="L5093" s="455">
        <f t="shared" ca="1" si="179"/>
        <v>382161729685939.19</v>
      </c>
      <c r="M5093" s="471">
        <f t="shared" si="181"/>
        <v>0.05</v>
      </c>
      <c r="N5093" s="475">
        <f t="shared" si="182"/>
        <v>206059</v>
      </c>
    </row>
    <row r="5094" spans="7:14" ht="11.25" customHeight="1" x14ac:dyDescent="0.3">
      <c r="G5094" s="470"/>
      <c r="H5094" s="470">
        <v>5087</v>
      </c>
      <c r="I5094" s="455">
        <f t="shared" ca="1" si="180"/>
        <v>382161729685939.19</v>
      </c>
      <c r="J5094" s="455">
        <f t="array" ref="J5094">IFERROR(INDEX('Retirement Calculator'!K:K,MATCH('Lorri 401b'!N5094,'Retirement Calculator'!A:A,0),0),0)</f>
        <v>0</v>
      </c>
      <c r="K5094" s="455">
        <f t="shared" ca="1" si="178"/>
        <v>1592340540358.0798</v>
      </c>
      <c r="L5094" s="455">
        <f t="shared" ca="1" si="179"/>
        <v>383754070226297.25</v>
      </c>
      <c r="M5094" s="471">
        <f t="shared" si="181"/>
        <v>0.05</v>
      </c>
      <c r="N5094" s="475">
        <f t="shared" si="182"/>
        <v>206090</v>
      </c>
    </row>
    <row r="5095" spans="7:14" ht="11.25" customHeight="1" x14ac:dyDescent="0.3">
      <c r="G5095" s="470"/>
      <c r="H5095" s="470">
        <v>5088</v>
      </c>
      <c r="I5095" s="455">
        <f t="shared" ca="1" si="180"/>
        <v>383754070226297.25</v>
      </c>
      <c r="J5095" s="455">
        <f t="array" ref="J5095">IFERROR(INDEX('Retirement Calculator'!K:K,MATCH('Lorri 401b'!N5095,'Retirement Calculator'!A:A,0),0),0)</f>
        <v>0</v>
      </c>
      <c r="K5095" s="455">
        <f t="shared" ca="1" si="178"/>
        <v>1598975292609.5718</v>
      </c>
      <c r="L5095" s="455">
        <f t="shared" ca="1" si="179"/>
        <v>385353045518906.81</v>
      </c>
      <c r="M5095" s="471">
        <f t="shared" si="181"/>
        <v>0.05</v>
      </c>
      <c r="N5095" s="475">
        <f t="shared" si="182"/>
        <v>206120</v>
      </c>
    </row>
    <row r="5096" spans="7:14" ht="11.25" customHeight="1" x14ac:dyDescent="0.3">
      <c r="G5096" s="470"/>
      <c r="H5096" s="470">
        <v>5089</v>
      </c>
      <c r="I5096" s="455">
        <f t="shared" ca="1" si="180"/>
        <v>385353045518906.81</v>
      </c>
      <c r="J5096" s="455">
        <f t="array" ref="J5096">IFERROR(INDEX('Retirement Calculator'!K:K,MATCH('Lorri 401b'!N5096,'Retirement Calculator'!A:A,0),0),0)</f>
        <v>0</v>
      </c>
      <c r="K5096" s="455">
        <f t="shared" ca="1" si="178"/>
        <v>1605637689662.1118</v>
      </c>
      <c r="L5096" s="455">
        <f t="shared" ca="1" si="179"/>
        <v>386958683208568.94</v>
      </c>
      <c r="M5096" s="471">
        <f t="shared" si="181"/>
        <v>0.05</v>
      </c>
      <c r="N5096" s="475">
        <f t="shared" si="182"/>
        <v>206151</v>
      </c>
    </row>
    <row r="5097" spans="7:14" ht="11.25" customHeight="1" x14ac:dyDescent="0.3">
      <c r="G5097" s="470"/>
      <c r="H5097" s="470">
        <v>5090</v>
      </c>
      <c r="I5097" s="455">
        <f t="shared" ca="1" si="180"/>
        <v>386958683208568.94</v>
      </c>
      <c r="J5097" s="455">
        <f t="array" ref="J5097">IFERROR(INDEX('Retirement Calculator'!K:K,MATCH('Lorri 401b'!N5097,'Retirement Calculator'!A:A,0),0),0)</f>
        <v>0</v>
      </c>
      <c r="K5097" s="455">
        <f t="shared" ca="1" si="178"/>
        <v>1612327846702.3706</v>
      </c>
      <c r="L5097" s="455">
        <f t="shared" ca="1" si="179"/>
        <v>388571011055271.31</v>
      </c>
      <c r="M5097" s="471">
        <f t="shared" si="181"/>
        <v>0.05</v>
      </c>
      <c r="N5097" s="475">
        <f t="shared" si="182"/>
        <v>206181</v>
      </c>
    </row>
    <row r="5098" spans="7:14" ht="11.25" customHeight="1" x14ac:dyDescent="0.3">
      <c r="G5098" s="470"/>
      <c r="H5098" s="470">
        <v>5091</v>
      </c>
      <c r="I5098" s="455">
        <f t="shared" ca="1" si="180"/>
        <v>388571011055271.31</v>
      </c>
      <c r="J5098" s="455">
        <f t="array" ref="J5098">IFERROR(INDEX('Retirement Calculator'!K:K,MATCH('Lorri 401b'!N5098,'Retirement Calculator'!A:A,0),0),0)</f>
        <v>0</v>
      </c>
      <c r="K5098" s="455">
        <f t="shared" ca="1" si="178"/>
        <v>1619045879396.9639</v>
      </c>
      <c r="L5098" s="455">
        <f t="shared" ca="1" si="179"/>
        <v>390190056934668.25</v>
      </c>
      <c r="M5098" s="471">
        <f t="shared" si="181"/>
        <v>0.05</v>
      </c>
      <c r="N5098" s="475">
        <f t="shared" si="182"/>
        <v>206212</v>
      </c>
    </row>
    <row r="5099" spans="7:14" ht="11.25" customHeight="1" x14ac:dyDescent="0.3">
      <c r="G5099" s="470"/>
      <c r="H5099" s="470">
        <v>5092</v>
      </c>
      <c r="I5099" s="455">
        <f t="shared" ca="1" si="180"/>
        <v>390190056934668.25</v>
      </c>
      <c r="J5099" s="455">
        <f t="array" ref="J5099">IFERROR(INDEX('Retirement Calculator'!K:K,MATCH('Lorri 401b'!N5099,'Retirement Calculator'!A:A,0),0),0)</f>
        <v>0</v>
      </c>
      <c r="K5099" s="455">
        <f t="shared" ca="1" si="178"/>
        <v>1625791903894.4509</v>
      </c>
      <c r="L5099" s="455">
        <f t="shared" ca="1" si="179"/>
        <v>391815848838562.69</v>
      </c>
      <c r="M5099" s="471">
        <f t="shared" si="181"/>
        <v>0.05</v>
      </c>
      <c r="N5099" s="475">
        <f t="shared" si="182"/>
        <v>206243</v>
      </c>
    </row>
    <row r="5100" spans="7:14" ht="11.25" customHeight="1" x14ac:dyDescent="0.3">
      <c r="G5100" s="470"/>
      <c r="H5100" s="470">
        <v>5093</v>
      </c>
      <c r="I5100" s="455">
        <f t="shared" ca="1" si="180"/>
        <v>391815848838562.69</v>
      </c>
      <c r="J5100" s="455">
        <f t="array" ref="J5100">IFERROR(INDEX('Retirement Calculator'!K:K,MATCH('Lorri 401b'!N5100,'Retirement Calculator'!A:A,0),0),0)</f>
        <v>0</v>
      </c>
      <c r="K5100" s="455">
        <f t="shared" ca="1" si="178"/>
        <v>1632566036827.3445</v>
      </c>
      <c r="L5100" s="455">
        <f t="shared" ca="1" si="179"/>
        <v>393448414875390.06</v>
      </c>
      <c r="M5100" s="471">
        <f t="shared" si="181"/>
        <v>0.05</v>
      </c>
      <c r="N5100" s="475">
        <f t="shared" si="182"/>
        <v>206273</v>
      </c>
    </row>
    <row r="5101" spans="7:14" ht="11.25" customHeight="1" x14ac:dyDescent="0.3">
      <c r="G5101" s="470"/>
      <c r="H5101" s="470">
        <v>5094</v>
      </c>
      <c r="I5101" s="455">
        <f t="shared" ca="1" si="180"/>
        <v>393448414875390.06</v>
      </c>
      <c r="J5101" s="455">
        <f t="array" ref="J5101">IFERROR(INDEX('Retirement Calculator'!K:K,MATCH('Lorri 401b'!N5101,'Retirement Calculator'!A:A,0),0),0)</f>
        <v>0</v>
      </c>
      <c r="K5101" s="455">
        <f t="shared" ca="1" si="178"/>
        <v>1639368395314.1252</v>
      </c>
      <c r="L5101" s="455">
        <f t="shared" ca="1" si="179"/>
        <v>395087783270704.19</v>
      </c>
      <c r="M5101" s="471">
        <f t="shared" si="181"/>
        <v>0.05</v>
      </c>
      <c r="N5101" s="475">
        <f t="shared" si="182"/>
        <v>206304</v>
      </c>
    </row>
    <row r="5102" spans="7:14" ht="11.25" customHeight="1" x14ac:dyDescent="0.3">
      <c r="G5102" s="470"/>
      <c r="H5102" s="470">
        <v>5095</v>
      </c>
      <c r="I5102" s="455">
        <f t="shared" ca="1" si="180"/>
        <v>395087783270704.19</v>
      </c>
      <c r="J5102" s="455">
        <f t="array" ref="J5102">IFERROR(INDEX('Retirement Calculator'!K:K,MATCH('Lorri 401b'!N5102,'Retirement Calculator'!A:A,0),0),0)</f>
        <v>0</v>
      </c>
      <c r="K5102" s="455">
        <f t="shared" ca="1" si="178"/>
        <v>1646199096961.2673</v>
      </c>
      <c r="L5102" s="455">
        <f t="shared" ca="1" si="179"/>
        <v>396733982367665.44</v>
      </c>
      <c r="M5102" s="471">
        <f t="shared" si="181"/>
        <v>0.05</v>
      </c>
      <c r="N5102" s="475">
        <f t="shared" si="182"/>
        <v>206334</v>
      </c>
    </row>
    <row r="5103" spans="7:14" ht="11.25" customHeight="1" x14ac:dyDescent="0.3">
      <c r="G5103" s="470"/>
      <c r="H5103" s="470">
        <v>5096</v>
      </c>
      <c r="I5103" s="455">
        <f t="shared" ca="1" si="180"/>
        <v>396733982367665.44</v>
      </c>
      <c r="J5103" s="455">
        <f t="array" ref="J5103">IFERROR(INDEX('Retirement Calculator'!K:K,MATCH('Lorri 401b'!N5103,'Retirement Calculator'!A:A,0),0),0)</f>
        <v>0</v>
      </c>
      <c r="K5103" s="455">
        <f t="shared" ca="1" si="178"/>
        <v>1653058259865.2727</v>
      </c>
      <c r="L5103" s="455">
        <f t="shared" ca="1" si="179"/>
        <v>398387040627530.69</v>
      </c>
      <c r="M5103" s="471">
        <f t="shared" si="181"/>
        <v>0.05</v>
      </c>
      <c r="N5103" s="475">
        <f t="shared" si="182"/>
        <v>206365</v>
      </c>
    </row>
    <row r="5104" spans="7:14" ht="11.25" customHeight="1" x14ac:dyDescent="0.3">
      <c r="G5104" s="470"/>
      <c r="H5104" s="470">
        <v>5097</v>
      </c>
      <c r="I5104" s="455">
        <f t="shared" ca="1" si="180"/>
        <v>398387040627530.69</v>
      </c>
      <c r="J5104" s="455">
        <f t="array" ref="J5104">IFERROR(INDEX('Retirement Calculator'!K:K,MATCH('Lorri 401b'!N5104,'Retirement Calculator'!A:A,0),0),0)</f>
        <v>0</v>
      </c>
      <c r="K5104" s="455">
        <f t="shared" ca="1" si="178"/>
        <v>1659946002614.7112</v>
      </c>
      <c r="L5104" s="455">
        <f t="shared" ca="1" si="179"/>
        <v>400046986630145.38</v>
      </c>
      <c r="M5104" s="471">
        <f t="shared" si="181"/>
        <v>0.05</v>
      </c>
      <c r="N5104" s="475">
        <f t="shared" si="182"/>
        <v>206396</v>
      </c>
    </row>
    <row r="5105" spans="7:14" ht="11.25" customHeight="1" x14ac:dyDescent="0.3">
      <c r="G5105" s="470"/>
      <c r="H5105" s="470">
        <v>5098</v>
      </c>
      <c r="I5105" s="455">
        <f t="shared" ca="1" si="180"/>
        <v>400046986630145.38</v>
      </c>
      <c r="J5105" s="455">
        <f t="array" ref="J5105">IFERROR(INDEX('Retirement Calculator'!K:K,MATCH('Lorri 401b'!N5105,'Retirement Calculator'!A:A,0),0),0)</f>
        <v>0</v>
      </c>
      <c r="K5105" s="455">
        <f t="shared" ca="1" si="178"/>
        <v>1666862444292.2725</v>
      </c>
      <c r="L5105" s="455">
        <f t="shared" ca="1" si="179"/>
        <v>401713849074437.63</v>
      </c>
      <c r="M5105" s="471">
        <f t="shared" si="181"/>
        <v>0.05</v>
      </c>
      <c r="N5105" s="475">
        <f t="shared" si="182"/>
        <v>206424</v>
      </c>
    </row>
    <row r="5106" spans="7:14" ht="11.25" customHeight="1" x14ac:dyDescent="0.3">
      <c r="G5106" s="470"/>
      <c r="H5106" s="470">
        <v>5099</v>
      </c>
      <c r="I5106" s="455">
        <f t="shared" ca="1" si="180"/>
        <v>401713849074437.63</v>
      </c>
      <c r="J5106" s="455">
        <f t="array" ref="J5106">IFERROR(INDEX('Retirement Calculator'!K:K,MATCH('Lorri 401b'!N5106,'Retirement Calculator'!A:A,0),0),0)</f>
        <v>0</v>
      </c>
      <c r="K5106" s="455">
        <f t="shared" ca="1" si="178"/>
        <v>1673807704476.8235</v>
      </c>
      <c r="L5106" s="455">
        <f t="shared" ca="1" si="179"/>
        <v>403387656778914.44</v>
      </c>
      <c r="M5106" s="471">
        <f t="shared" si="181"/>
        <v>0.05</v>
      </c>
      <c r="N5106" s="475">
        <f t="shared" si="182"/>
        <v>206455</v>
      </c>
    </row>
    <row r="5107" spans="7:14" ht="11.25" customHeight="1" x14ac:dyDescent="0.3">
      <c r="G5107" s="470"/>
      <c r="H5107" s="470">
        <v>5100</v>
      </c>
      <c r="I5107" s="455">
        <f t="shared" ca="1" si="180"/>
        <v>403387656778914.44</v>
      </c>
      <c r="J5107" s="455">
        <f t="array" ref="J5107">IFERROR(INDEX('Retirement Calculator'!K:K,MATCH('Lorri 401b'!N5107,'Retirement Calculator'!A:A,0),0),0)</f>
        <v>0</v>
      </c>
      <c r="K5107" s="455">
        <f t="shared" ca="1" si="178"/>
        <v>1680781903245.4768</v>
      </c>
      <c r="L5107" s="455">
        <f t="shared" ca="1" si="179"/>
        <v>405068438682159.94</v>
      </c>
      <c r="M5107" s="471">
        <f t="shared" si="181"/>
        <v>0.05</v>
      </c>
      <c r="N5107" s="475">
        <f t="shared" si="182"/>
        <v>206485</v>
      </c>
    </row>
    <row r="5108" spans="7:14" ht="11.25" customHeight="1" x14ac:dyDescent="0.3">
      <c r="G5108" s="470"/>
      <c r="H5108" s="470">
        <v>5101</v>
      </c>
      <c r="I5108" s="455">
        <f t="shared" ca="1" si="180"/>
        <v>405068438682159.94</v>
      </c>
      <c r="J5108" s="455">
        <f t="array" ref="J5108">IFERROR(INDEX('Retirement Calculator'!K:K,MATCH('Lorri 401b'!N5108,'Retirement Calculator'!A:A,0),0),0)</f>
        <v>0</v>
      </c>
      <c r="K5108" s="455">
        <f t="shared" ref="K5108:K5362" ca="1" si="183">IPMT(M5108/12,1,12,-I5108+J5108,,0)</f>
        <v>1687785161175.6665</v>
      </c>
      <c r="L5108" s="455">
        <f t="shared" ref="L5108:L5362" ca="1" si="184">I5108-J5108+K5108</f>
        <v>406756223843335.63</v>
      </c>
      <c r="M5108" s="471">
        <f t="shared" si="181"/>
        <v>0.05</v>
      </c>
      <c r="N5108" s="475">
        <f t="shared" si="182"/>
        <v>206516</v>
      </c>
    </row>
    <row r="5109" spans="7:14" ht="11.25" customHeight="1" x14ac:dyDescent="0.3">
      <c r="G5109" s="470"/>
      <c r="H5109" s="470">
        <v>5102</v>
      </c>
      <c r="I5109" s="455">
        <f t="shared" ref="I5109:I5363" ca="1" si="185">L5108</f>
        <v>406756223843335.63</v>
      </c>
      <c r="J5109" s="455">
        <f t="array" ref="J5109">IFERROR(INDEX('Retirement Calculator'!K:K,MATCH('Lorri 401b'!N5109,'Retirement Calculator'!A:A,0),0),0)</f>
        <v>0</v>
      </c>
      <c r="K5109" s="455">
        <f t="shared" ca="1" si="183"/>
        <v>1694817599347.2317</v>
      </c>
      <c r="L5109" s="455">
        <f t="shared" ca="1" si="184"/>
        <v>408451041442682.88</v>
      </c>
      <c r="M5109" s="471">
        <f t="shared" ref="M5109:M5363" si="186">M5108</f>
        <v>0.05</v>
      </c>
      <c r="N5109" s="475">
        <f t="shared" ref="N5109:N5363" si="187">EDATE(N5108,1)</f>
        <v>206546</v>
      </c>
    </row>
    <row r="5110" spans="7:14" ht="11.25" customHeight="1" x14ac:dyDescent="0.3">
      <c r="G5110" s="470"/>
      <c r="H5110" s="470">
        <v>5103</v>
      </c>
      <c r="I5110" s="455">
        <f t="shared" ca="1" si="185"/>
        <v>408451041442682.88</v>
      </c>
      <c r="J5110" s="455">
        <f t="array" ref="J5110">IFERROR(INDEX('Retirement Calculator'!K:K,MATCH('Lorri 401b'!N5110,'Retirement Calculator'!A:A,0),0),0)</f>
        <v>0</v>
      </c>
      <c r="K5110" s="455">
        <f t="shared" ca="1" si="183"/>
        <v>1701879339344.512</v>
      </c>
      <c r="L5110" s="455">
        <f t="shared" ca="1" si="184"/>
        <v>410152920782027.38</v>
      </c>
      <c r="M5110" s="471">
        <f t="shared" si="186"/>
        <v>0.05</v>
      </c>
      <c r="N5110" s="475">
        <f t="shared" si="187"/>
        <v>206577</v>
      </c>
    </row>
    <row r="5111" spans="7:14" ht="11.25" customHeight="1" x14ac:dyDescent="0.3">
      <c r="G5111" s="470"/>
      <c r="H5111" s="470">
        <v>5104</v>
      </c>
      <c r="I5111" s="455">
        <f t="shared" ca="1" si="185"/>
        <v>410152920782027.38</v>
      </c>
      <c r="J5111" s="455">
        <f t="array" ref="J5111">IFERROR(INDEX('Retirement Calculator'!K:K,MATCH('Lorri 401b'!N5111,'Retirement Calculator'!A:A,0),0),0)</f>
        <v>0</v>
      </c>
      <c r="K5111" s="455">
        <f t="shared" ca="1" si="183"/>
        <v>1708970503258.4473</v>
      </c>
      <c r="L5111" s="455">
        <f t="shared" ca="1" si="184"/>
        <v>411861891285285.81</v>
      </c>
      <c r="M5111" s="471">
        <f t="shared" si="186"/>
        <v>0.05</v>
      </c>
      <c r="N5111" s="475">
        <f t="shared" si="187"/>
        <v>206608</v>
      </c>
    </row>
    <row r="5112" spans="7:14" ht="11.25" customHeight="1" x14ac:dyDescent="0.3">
      <c r="G5112" s="470"/>
      <c r="H5112" s="470">
        <v>5105</v>
      </c>
      <c r="I5112" s="455">
        <f t="shared" ca="1" si="185"/>
        <v>411861891285285.81</v>
      </c>
      <c r="J5112" s="455">
        <f t="array" ref="J5112">IFERROR(INDEX('Retirement Calculator'!K:K,MATCH('Lorri 401b'!N5112,'Retirement Calculator'!A:A,0),0),0)</f>
        <v>0</v>
      </c>
      <c r="K5112" s="455">
        <f t="shared" ca="1" si="183"/>
        <v>1716091213688.6909</v>
      </c>
      <c r="L5112" s="455">
        <f t="shared" ca="1" si="184"/>
        <v>413577982498974.5</v>
      </c>
      <c r="M5112" s="471">
        <f t="shared" si="186"/>
        <v>0.05</v>
      </c>
      <c r="N5112" s="475">
        <f t="shared" si="187"/>
        <v>206638</v>
      </c>
    </row>
    <row r="5113" spans="7:14" ht="11.25" customHeight="1" x14ac:dyDescent="0.3">
      <c r="G5113" s="470"/>
      <c r="H5113" s="470">
        <v>5106</v>
      </c>
      <c r="I5113" s="455">
        <f t="shared" ca="1" si="185"/>
        <v>413577982498974.5</v>
      </c>
      <c r="J5113" s="455">
        <f t="array" ref="J5113">IFERROR(INDEX('Retirement Calculator'!K:K,MATCH('Lorri 401b'!N5113,'Retirement Calculator'!A:A,0),0),0)</f>
        <v>0</v>
      </c>
      <c r="K5113" s="455">
        <f t="shared" ca="1" si="183"/>
        <v>1723241593745.7271</v>
      </c>
      <c r="L5113" s="455">
        <f t="shared" ca="1" si="184"/>
        <v>415301224092720.25</v>
      </c>
      <c r="M5113" s="471">
        <f t="shared" si="186"/>
        <v>0.05</v>
      </c>
      <c r="N5113" s="475">
        <f t="shared" si="187"/>
        <v>206669</v>
      </c>
    </row>
    <row r="5114" spans="7:14" ht="11.25" customHeight="1" x14ac:dyDescent="0.3">
      <c r="G5114" s="470"/>
      <c r="H5114" s="470">
        <v>5107</v>
      </c>
      <c r="I5114" s="455">
        <f t="shared" ca="1" si="185"/>
        <v>415301224092720.25</v>
      </c>
      <c r="J5114" s="455">
        <f t="array" ref="J5114">IFERROR(INDEX('Retirement Calculator'!K:K,MATCH('Lorri 401b'!N5114,'Retirement Calculator'!A:A,0),0),0)</f>
        <v>0</v>
      </c>
      <c r="K5114" s="455">
        <f t="shared" ca="1" si="183"/>
        <v>1730421767053.001</v>
      </c>
      <c r="L5114" s="455">
        <f t="shared" ca="1" si="184"/>
        <v>417031645859773.25</v>
      </c>
      <c r="M5114" s="471">
        <f t="shared" si="186"/>
        <v>0.05</v>
      </c>
      <c r="N5114" s="475">
        <f t="shared" si="187"/>
        <v>206699</v>
      </c>
    </row>
    <row r="5115" spans="7:14" ht="11.25" customHeight="1" x14ac:dyDescent="0.3">
      <c r="G5115" s="470"/>
      <c r="H5115" s="470">
        <v>5108</v>
      </c>
      <c r="I5115" s="455">
        <f t="shared" ca="1" si="185"/>
        <v>417031645859773.25</v>
      </c>
      <c r="J5115" s="455">
        <f t="array" ref="J5115">IFERROR(INDEX('Retirement Calculator'!K:K,MATCH('Lorri 401b'!N5115,'Retirement Calculator'!A:A,0),0),0)</f>
        <v>0</v>
      </c>
      <c r="K5115" s="455">
        <f t="shared" ca="1" si="183"/>
        <v>1737631857749.0552</v>
      </c>
      <c r="L5115" s="455">
        <f t="shared" ca="1" si="184"/>
        <v>418769277717522.31</v>
      </c>
      <c r="M5115" s="471">
        <f t="shared" si="186"/>
        <v>0.05</v>
      </c>
      <c r="N5115" s="475">
        <f t="shared" si="187"/>
        <v>206730</v>
      </c>
    </row>
    <row r="5116" spans="7:14" ht="11.25" customHeight="1" x14ac:dyDescent="0.3">
      <c r="G5116" s="470"/>
      <c r="H5116" s="470">
        <v>5109</v>
      </c>
      <c r="I5116" s="455">
        <f t="shared" ca="1" si="185"/>
        <v>418769277717522.31</v>
      </c>
      <c r="J5116" s="455">
        <f t="array" ref="J5116">IFERROR(INDEX('Retirement Calculator'!K:K,MATCH('Lorri 401b'!N5116,'Retirement Calculator'!A:A,0),0),0)</f>
        <v>0</v>
      </c>
      <c r="K5116" s="455">
        <f t="shared" ca="1" si="183"/>
        <v>1744871990489.6763</v>
      </c>
      <c r="L5116" s="455">
        <f t="shared" ca="1" si="184"/>
        <v>420514149708012</v>
      </c>
      <c r="M5116" s="471">
        <f t="shared" si="186"/>
        <v>0.05</v>
      </c>
      <c r="N5116" s="475">
        <f t="shared" si="187"/>
        <v>206761</v>
      </c>
    </row>
    <row r="5117" spans="7:14" ht="11.25" customHeight="1" x14ac:dyDescent="0.3">
      <c r="G5117" s="470"/>
      <c r="H5117" s="470">
        <v>5110</v>
      </c>
      <c r="I5117" s="455">
        <f t="shared" ca="1" si="185"/>
        <v>420514149708012</v>
      </c>
      <c r="J5117" s="455">
        <f t="array" ref="J5117">IFERROR(INDEX('Retirement Calculator'!K:K,MATCH('Lorri 401b'!N5117,'Retirement Calculator'!A:A,0),0),0)</f>
        <v>0</v>
      </c>
      <c r="K5117" s="455">
        <f t="shared" ca="1" si="183"/>
        <v>1752142290450.05</v>
      </c>
      <c r="L5117" s="455">
        <f t="shared" ca="1" si="184"/>
        <v>422266291998462.06</v>
      </c>
      <c r="M5117" s="471">
        <f t="shared" si="186"/>
        <v>0.05</v>
      </c>
      <c r="N5117" s="475">
        <f t="shared" si="187"/>
        <v>206789</v>
      </c>
    </row>
    <row r="5118" spans="7:14" ht="11.25" customHeight="1" x14ac:dyDescent="0.3">
      <c r="G5118" s="470"/>
      <c r="H5118" s="470">
        <v>5111</v>
      </c>
      <c r="I5118" s="455">
        <f t="shared" ca="1" si="185"/>
        <v>422266291998462.06</v>
      </c>
      <c r="J5118" s="455">
        <f t="array" ref="J5118">IFERROR(INDEX('Retirement Calculator'!K:K,MATCH('Lorri 401b'!N5118,'Retirement Calculator'!A:A,0),0),0)</f>
        <v>0</v>
      </c>
      <c r="K5118" s="455">
        <f t="shared" ca="1" si="183"/>
        <v>1759442883326.9253</v>
      </c>
      <c r="L5118" s="455">
        <f t="shared" ca="1" si="184"/>
        <v>424025734881789</v>
      </c>
      <c r="M5118" s="471">
        <f t="shared" si="186"/>
        <v>0.05</v>
      </c>
      <c r="N5118" s="475">
        <f t="shared" si="187"/>
        <v>206820</v>
      </c>
    </row>
    <row r="5119" spans="7:14" ht="11.25" customHeight="1" x14ac:dyDescent="0.3">
      <c r="G5119" s="470"/>
      <c r="H5119" s="470">
        <v>5112</v>
      </c>
      <c r="I5119" s="455">
        <f t="shared" ca="1" si="185"/>
        <v>424025734881789</v>
      </c>
      <c r="J5119" s="455">
        <f t="array" ref="J5119">IFERROR(INDEX('Retirement Calculator'!K:K,MATCH('Lorri 401b'!N5119,'Retirement Calculator'!A:A,0),0),0)</f>
        <v>0</v>
      </c>
      <c r="K5119" s="455">
        <f t="shared" ca="1" si="183"/>
        <v>1766773895340.7874</v>
      </c>
      <c r="L5119" s="455">
        <f t="shared" ca="1" si="184"/>
        <v>425792508777129.81</v>
      </c>
      <c r="M5119" s="471">
        <f t="shared" si="186"/>
        <v>0.05</v>
      </c>
      <c r="N5119" s="475">
        <f t="shared" si="187"/>
        <v>206850</v>
      </c>
    </row>
    <row r="5120" spans="7:14" ht="11.25" customHeight="1" x14ac:dyDescent="0.3">
      <c r="G5120" s="470"/>
      <c r="H5120" s="470">
        <v>5113</v>
      </c>
      <c r="I5120" s="455">
        <f t="shared" ca="1" si="185"/>
        <v>425792508777129.81</v>
      </c>
      <c r="J5120" s="455">
        <f t="array" ref="J5120">IFERROR(INDEX('Retirement Calculator'!K:K,MATCH('Lorri 401b'!N5120,'Retirement Calculator'!A:A,0),0),0)</f>
        <v>0</v>
      </c>
      <c r="K5120" s="455">
        <f t="shared" ca="1" si="183"/>
        <v>1774135453238.0408</v>
      </c>
      <c r="L5120" s="455">
        <f t="shared" ca="1" si="184"/>
        <v>427566644230367.88</v>
      </c>
      <c r="M5120" s="471">
        <f t="shared" si="186"/>
        <v>0.05</v>
      </c>
      <c r="N5120" s="475">
        <f t="shared" si="187"/>
        <v>206881</v>
      </c>
    </row>
    <row r="5121" spans="7:14" ht="11.25" customHeight="1" x14ac:dyDescent="0.3">
      <c r="G5121" s="470"/>
      <c r="H5121" s="470">
        <v>5114</v>
      </c>
      <c r="I5121" s="455">
        <f t="shared" ca="1" si="185"/>
        <v>427566644230367.88</v>
      </c>
      <c r="J5121" s="455">
        <f t="array" ref="J5121">IFERROR(INDEX('Retirement Calculator'!K:K,MATCH('Lorri 401b'!N5121,'Retirement Calculator'!A:A,0),0),0)</f>
        <v>0</v>
      </c>
      <c r="K5121" s="455">
        <f t="shared" ca="1" si="183"/>
        <v>1781527684293.1995</v>
      </c>
      <c r="L5121" s="455">
        <f t="shared" ca="1" si="184"/>
        <v>429348171914661.06</v>
      </c>
      <c r="M5121" s="471">
        <f t="shared" si="186"/>
        <v>0.05</v>
      </c>
      <c r="N5121" s="475">
        <f t="shared" si="187"/>
        <v>206911</v>
      </c>
    </row>
    <row r="5122" spans="7:14" ht="11.25" customHeight="1" x14ac:dyDescent="0.3">
      <c r="G5122" s="470"/>
      <c r="H5122" s="470">
        <v>5115</v>
      </c>
      <c r="I5122" s="455">
        <f t="shared" ca="1" si="185"/>
        <v>429348171914661.06</v>
      </c>
      <c r="J5122" s="455">
        <f t="array" ref="J5122">IFERROR(INDEX('Retirement Calculator'!K:K,MATCH('Lorri 401b'!N5122,'Retirement Calculator'!A:A,0),0),0)</f>
        <v>0</v>
      </c>
      <c r="K5122" s="455">
        <f t="shared" ca="1" si="183"/>
        <v>1788950716311.0876</v>
      </c>
      <c r="L5122" s="455">
        <f t="shared" ca="1" si="184"/>
        <v>431137122630972.13</v>
      </c>
      <c r="M5122" s="471">
        <f t="shared" si="186"/>
        <v>0.05</v>
      </c>
      <c r="N5122" s="475">
        <f t="shared" si="187"/>
        <v>206942</v>
      </c>
    </row>
    <row r="5123" spans="7:14" ht="11.25" customHeight="1" x14ac:dyDescent="0.3">
      <c r="G5123" s="470"/>
      <c r="H5123" s="470">
        <v>5116</v>
      </c>
      <c r="I5123" s="455">
        <f t="shared" ca="1" si="185"/>
        <v>431137122630972.13</v>
      </c>
      <c r="J5123" s="455">
        <f t="array" ref="J5123">IFERROR(INDEX('Retirement Calculator'!K:K,MATCH('Lorri 401b'!N5123,'Retirement Calculator'!A:A,0),0),0)</f>
        <v>0</v>
      </c>
      <c r="K5123" s="455">
        <f t="shared" ca="1" si="183"/>
        <v>1796404677629.0505</v>
      </c>
      <c r="L5123" s="455">
        <f t="shared" ca="1" si="184"/>
        <v>432933527308601.19</v>
      </c>
      <c r="M5123" s="471">
        <f t="shared" si="186"/>
        <v>0.05</v>
      </c>
      <c r="N5123" s="475">
        <f t="shared" si="187"/>
        <v>206973</v>
      </c>
    </row>
    <row r="5124" spans="7:14" ht="11.25" customHeight="1" x14ac:dyDescent="0.3">
      <c r="G5124" s="470"/>
      <c r="H5124" s="470">
        <v>5117</v>
      </c>
      <c r="I5124" s="455">
        <f t="shared" ca="1" si="185"/>
        <v>432933527308601.19</v>
      </c>
      <c r="J5124" s="455">
        <f t="array" ref="J5124">IFERROR(INDEX('Retirement Calculator'!K:K,MATCH('Lorri 401b'!N5124,'Retirement Calculator'!A:A,0),0),0)</f>
        <v>0</v>
      </c>
      <c r="K5124" s="455">
        <f t="shared" ca="1" si="183"/>
        <v>1803889697119.1716</v>
      </c>
      <c r="L5124" s="455">
        <f t="shared" ca="1" si="184"/>
        <v>434737417005720.38</v>
      </c>
      <c r="M5124" s="471">
        <f t="shared" si="186"/>
        <v>0.05</v>
      </c>
      <c r="N5124" s="475">
        <f t="shared" si="187"/>
        <v>207003</v>
      </c>
    </row>
    <row r="5125" spans="7:14" ht="11.25" customHeight="1" x14ac:dyDescent="0.3">
      <c r="G5125" s="470"/>
      <c r="H5125" s="470">
        <v>5118</v>
      </c>
      <c r="I5125" s="455">
        <f t="shared" ca="1" si="185"/>
        <v>434737417005720.38</v>
      </c>
      <c r="J5125" s="455">
        <f t="array" ref="J5125">IFERROR(INDEX('Retirement Calculator'!K:K,MATCH('Lorri 401b'!N5125,'Retirement Calculator'!A:A,0),0),0)</f>
        <v>0</v>
      </c>
      <c r="K5125" s="455">
        <f t="shared" ca="1" si="183"/>
        <v>1811405904190.5015</v>
      </c>
      <c r="L5125" s="455">
        <f t="shared" ca="1" si="184"/>
        <v>436548822909910.88</v>
      </c>
      <c r="M5125" s="471">
        <f t="shared" si="186"/>
        <v>0.05</v>
      </c>
      <c r="N5125" s="475">
        <f t="shared" si="187"/>
        <v>207034</v>
      </c>
    </row>
    <row r="5126" spans="7:14" ht="11.25" customHeight="1" x14ac:dyDescent="0.3">
      <c r="G5126" s="470"/>
      <c r="H5126" s="470">
        <v>5119</v>
      </c>
      <c r="I5126" s="455">
        <f t="shared" ca="1" si="185"/>
        <v>436548822909910.88</v>
      </c>
      <c r="J5126" s="455">
        <f t="array" ref="J5126">IFERROR(INDEX('Retirement Calculator'!K:K,MATCH('Lorri 401b'!N5126,'Retirement Calculator'!A:A,0),0),0)</f>
        <v>0</v>
      </c>
      <c r="K5126" s="455">
        <f t="shared" ca="1" si="183"/>
        <v>1818953428791.2952</v>
      </c>
      <c r="L5126" s="455">
        <f t="shared" ca="1" si="184"/>
        <v>438367776338702.19</v>
      </c>
      <c r="M5126" s="471">
        <f t="shared" si="186"/>
        <v>0.05</v>
      </c>
      <c r="N5126" s="475">
        <f t="shared" si="187"/>
        <v>207064</v>
      </c>
    </row>
    <row r="5127" spans="7:14" ht="11.25" customHeight="1" x14ac:dyDescent="0.3">
      <c r="G5127" s="470"/>
      <c r="H5127" s="470">
        <v>5120</v>
      </c>
      <c r="I5127" s="455">
        <f t="shared" ca="1" si="185"/>
        <v>438367776338702.19</v>
      </c>
      <c r="J5127" s="455">
        <f t="array" ref="J5127">IFERROR(INDEX('Retirement Calculator'!K:K,MATCH('Lorri 401b'!N5127,'Retirement Calculator'!A:A,0),0),0)</f>
        <v>0</v>
      </c>
      <c r="K5127" s="455">
        <f t="shared" ca="1" si="183"/>
        <v>1826532401411.259</v>
      </c>
      <c r="L5127" s="455">
        <f t="shared" ca="1" si="184"/>
        <v>440194308740113.44</v>
      </c>
      <c r="M5127" s="471">
        <f t="shared" si="186"/>
        <v>0.05</v>
      </c>
      <c r="N5127" s="475">
        <f t="shared" si="187"/>
        <v>207095</v>
      </c>
    </row>
    <row r="5128" spans="7:14" ht="11.25" customHeight="1" x14ac:dyDescent="0.3">
      <c r="G5128" s="470"/>
      <c r="H5128" s="470">
        <v>5121</v>
      </c>
      <c r="I5128" s="455">
        <f t="shared" ca="1" si="185"/>
        <v>440194308740113.44</v>
      </c>
      <c r="J5128" s="455">
        <f t="array" ref="J5128">IFERROR(INDEX('Retirement Calculator'!K:K,MATCH('Lorri 401b'!N5128,'Retirement Calculator'!A:A,0),0),0)</f>
        <v>0</v>
      </c>
      <c r="K5128" s="455">
        <f t="shared" ca="1" si="183"/>
        <v>1834142953083.8062</v>
      </c>
      <c r="L5128" s="455">
        <f t="shared" ca="1" si="184"/>
        <v>442028451693197.25</v>
      </c>
      <c r="M5128" s="471">
        <f t="shared" si="186"/>
        <v>0.05</v>
      </c>
      <c r="N5128" s="475">
        <f t="shared" si="187"/>
        <v>207126</v>
      </c>
    </row>
    <row r="5129" spans="7:14" ht="11.25" customHeight="1" x14ac:dyDescent="0.3">
      <c r="G5129" s="470"/>
      <c r="H5129" s="470">
        <v>5122</v>
      </c>
      <c r="I5129" s="455">
        <f t="shared" ca="1" si="185"/>
        <v>442028451693197.25</v>
      </c>
      <c r="J5129" s="455">
        <f t="array" ref="J5129">IFERROR(INDEX('Retirement Calculator'!K:K,MATCH('Lorri 401b'!N5129,'Retirement Calculator'!A:A,0),0),0)</f>
        <v>0</v>
      </c>
      <c r="K5129" s="455">
        <f t="shared" ca="1" si="183"/>
        <v>1841785215388.3218</v>
      </c>
      <c r="L5129" s="455">
        <f t="shared" ca="1" si="184"/>
        <v>443870236908585.56</v>
      </c>
      <c r="M5129" s="471">
        <f t="shared" si="186"/>
        <v>0.05</v>
      </c>
      <c r="N5129" s="475">
        <f t="shared" si="187"/>
        <v>207154</v>
      </c>
    </row>
    <row r="5130" spans="7:14" ht="11.25" customHeight="1" x14ac:dyDescent="0.3">
      <c r="G5130" s="470"/>
      <c r="H5130" s="470">
        <v>5123</v>
      </c>
      <c r="I5130" s="455">
        <f t="shared" ca="1" si="185"/>
        <v>443870236908585.56</v>
      </c>
      <c r="J5130" s="455">
        <f t="array" ref="J5130">IFERROR(INDEX('Retirement Calculator'!K:K,MATCH('Lorri 401b'!N5130,'Retirement Calculator'!A:A,0),0),0)</f>
        <v>0</v>
      </c>
      <c r="K5130" s="455">
        <f t="shared" ca="1" si="183"/>
        <v>1849459320452.4395</v>
      </c>
      <c r="L5130" s="455">
        <f t="shared" ca="1" si="184"/>
        <v>445719696229038</v>
      </c>
      <c r="M5130" s="471">
        <f t="shared" si="186"/>
        <v>0.05</v>
      </c>
      <c r="N5130" s="475">
        <f t="shared" si="187"/>
        <v>207185</v>
      </c>
    </row>
    <row r="5131" spans="7:14" ht="11.25" customHeight="1" x14ac:dyDescent="0.3">
      <c r="G5131" s="470"/>
      <c r="H5131" s="470">
        <v>5124</v>
      </c>
      <c r="I5131" s="455">
        <f t="shared" ca="1" si="185"/>
        <v>445719696229038</v>
      </c>
      <c r="J5131" s="455">
        <f t="array" ref="J5131">IFERROR(INDEX('Retirement Calculator'!K:K,MATCH('Lorri 401b'!N5131,'Retirement Calculator'!A:A,0),0),0)</f>
        <v>0</v>
      </c>
      <c r="K5131" s="455">
        <f t="shared" ca="1" si="183"/>
        <v>1857165400954.3252</v>
      </c>
      <c r="L5131" s="455">
        <f t="shared" ca="1" si="184"/>
        <v>447576861629992.31</v>
      </c>
      <c r="M5131" s="471">
        <f t="shared" si="186"/>
        <v>0.05</v>
      </c>
      <c r="N5131" s="475">
        <f t="shared" si="187"/>
        <v>207215</v>
      </c>
    </row>
    <row r="5132" spans="7:14" ht="11.25" customHeight="1" x14ac:dyDescent="0.3">
      <c r="G5132" s="470"/>
      <c r="H5132" s="470">
        <v>5125</v>
      </c>
      <c r="I5132" s="455">
        <f t="shared" ca="1" si="185"/>
        <v>447576861629992.31</v>
      </c>
      <c r="J5132" s="455">
        <f t="array" ref="J5132">IFERROR(INDEX('Retirement Calculator'!K:K,MATCH('Lorri 401b'!N5132,'Retirement Calculator'!A:A,0),0),0)</f>
        <v>0</v>
      </c>
      <c r="K5132" s="455">
        <f t="shared" ca="1" si="183"/>
        <v>1864903590124.968</v>
      </c>
      <c r="L5132" s="455">
        <f t="shared" ca="1" si="184"/>
        <v>449441765220117.25</v>
      </c>
      <c r="M5132" s="471">
        <f t="shared" si="186"/>
        <v>0.05</v>
      </c>
      <c r="N5132" s="475">
        <f t="shared" si="187"/>
        <v>207246</v>
      </c>
    </row>
    <row r="5133" spans="7:14" ht="11.25" customHeight="1" x14ac:dyDescent="0.3">
      <c r="G5133" s="470"/>
      <c r="H5133" s="470">
        <v>5126</v>
      </c>
      <c r="I5133" s="455">
        <f t="shared" ca="1" si="185"/>
        <v>449441765220117.25</v>
      </c>
      <c r="J5133" s="455">
        <f t="array" ref="J5133">IFERROR(INDEX('Retirement Calculator'!K:K,MATCH('Lorri 401b'!N5133,'Retirement Calculator'!A:A,0),0),0)</f>
        <v>0</v>
      </c>
      <c r="K5133" s="455">
        <f t="shared" ca="1" si="183"/>
        <v>1872674021750.4885</v>
      </c>
      <c r="L5133" s="455">
        <f t="shared" ca="1" si="184"/>
        <v>451314439241867.75</v>
      </c>
      <c r="M5133" s="471">
        <f t="shared" si="186"/>
        <v>0.05</v>
      </c>
      <c r="N5133" s="475">
        <f t="shared" si="187"/>
        <v>207276</v>
      </c>
    </row>
    <row r="5134" spans="7:14" ht="11.25" customHeight="1" x14ac:dyDescent="0.3">
      <c r="G5134" s="470"/>
      <c r="H5134" s="470">
        <v>5127</v>
      </c>
      <c r="I5134" s="455">
        <f t="shared" ca="1" si="185"/>
        <v>451314439241867.75</v>
      </c>
      <c r="J5134" s="455">
        <f t="array" ref="J5134">IFERROR(INDEX('Retirement Calculator'!K:K,MATCH('Lorri 401b'!N5134,'Retirement Calculator'!A:A,0),0),0)</f>
        <v>0</v>
      </c>
      <c r="K5134" s="455">
        <f t="shared" ca="1" si="183"/>
        <v>1880476830174.449</v>
      </c>
      <c r="L5134" s="455">
        <f t="shared" ca="1" si="184"/>
        <v>453194916072042.19</v>
      </c>
      <c r="M5134" s="471">
        <f t="shared" si="186"/>
        <v>0.05</v>
      </c>
      <c r="N5134" s="475">
        <f t="shared" si="187"/>
        <v>207307</v>
      </c>
    </row>
    <row r="5135" spans="7:14" ht="11.25" customHeight="1" x14ac:dyDescent="0.3">
      <c r="G5135" s="470"/>
      <c r="H5135" s="470">
        <v>5128</v>
      </c>
      <c r="I5135" s="455">
        <f t="shared" ca="1" si="185"/>
        <v>453194916072042.19</v>
      </c>
      <c r="J5135" s="455">
        <f t="array" ref="J5135">IFERROR(INDEX('Retirement Calculator'!K:K,MATCH('Lorri 401b'!N5135,'Retirement Calculator'!A:A,0),0),0)</f>
        <v>0</v>
      </c>
      <c r="K5135" s="455">
        <f t="shared" ca="1" si="183"/>
        <v>1888312150300.1758</v>
      </c>
      <c r="L5135" s="455">
        <f t="shared" ca="1" si="184"/>
        <v>455083228222342.38</v>
      </c>
      <c r="M5135" s="471">
        <f t="shared" si="186"/>
        <v>0.05</v>
      </c>
      <c r="N5135" s="475">
        <f t="shared" si="187"/>
        <v>207338</v>
      </c>
    </row>
    <row r="5136" spans="7:14" ht="11.25" customHeight="1" x14ac:dyDescent="0.3">
      <c r="G5136" s="470"/>
      <c r="H5136" s="470">
        <v>5129</v>
      </c>
      <c r="I5136" s="455">
        <f t="shared" ca="1" si="185"/>
        <v>455083228222342.38</v>
      </c>
      <c r="J5136" s="455">
        <f t="array" ref="J5136">IFERROR(INDEX('Retirement Calculator'!K:K,MATCH('Lorri 401b'!N5136,'Retirement Calculator'!A:A,0),0),0)</f>
        <v>0</v>
      </c>
      <c r="K5136" s="455">
        <f t="shared" ca="1" si="183"/>
        <v>1896180117593.0935</v>
      </c>
      <c r="L5136" s="455">
        <f t="shared" ca="1" si="184"/>
        <v>456979408339935.44</v>
      </c>
      <c r="M5136" s="471">
        <f t="shared" si="186"/>
        <v>0.05</v>
      </c>
      <c r="N5136" s="475">
        <f t="shared" si="187"/>
        <v>207368</v>
      </c>
    </row>
    <row r="5137" spans="7:14" ht="11.25" customHeight="1" x14ac:dyDescent="0.3">
      <c r="G5137" s="470"/>
      <c r="H5137" s="470">
        <v>5130</v>
      </c>
      <c r="I5137" s="455">
        <f t="shared" ca="1" si="185"/>
        <v>456979408339935.44</v>
      </c>
      <c r="J5137" s="455">
        <f t="array" ref="J5137">IFERROR(INDEX('Retirement Calculator'!K:K,MATCH('Lorri 401b'!N5137,'Retirement Calculator'!A:A,0),0),0)</f>
        <v>0</v>
      </c>
      <c r="K5137" s="455">
        <f t="shared" ca="1" si="183"/>
        <v>1904080868083.0642</v>
      </c>
      <c r="L5137" s="455">
        <f t="shared" ca="1" si="184"/>
        <v>458883489208018.5</v>
      </c>
      <c r="M5137" s="471">
        <f t="shared" si="186"/>
        <v>0.05</v>
      </c>
      <c r="N5137" s="475">
        <f t="shared" si="187"/>
        <v>207399</v>
      </c>
    </row>
    <row r="5138" spans="7:14" ht="11.25" customHeight="1" x14ac:dyDescent="0.3">
      <c r="G5138" s="470"/>
      <c r="H5138" s="470">
        <v>5131</v>
      </c>
      <c r="I5138" s="455">
        <f t="shared" ca="1" si="185"/>
        <v>458883489208018.5</v>
      </c>
      <c r="J5138" s="455">
        <f t="array" ref="J5138">IFERROR(INDEX('Retirement Calculator'!K:K,MATCH('Lorri 401b'!N5138,'Retirement Calculator'!A:A,0),0),0)</f>
        <v>0</v>
      </c>
      <c r="K5138" s="455">
        <f t="shared" ca="1" si="183"/>
        <v>1912014538366.7439</v>
      </c>
      <c r="L5138" s="455">
        <f t="shared" ca="1" si="184"/>
        <v>460795503746385.25</v>
      </c>
      <c r="M5138" s="471">
        <f t="shared" si="186"/>
        <v>0.05</v>
      </c>
      <c r="N5138" s="475">
        <f t="shared" si="187"/>
        <v>207429</v>
      </c>
    </row>
    <row r="5139" spans="7:14" ht="11.25" customHeight="1" x14ac:dyDescent="0.3">
      <c r="G5139" s="470"/>
      <c r="H5139" s="470">
        <v>5132</v>
      </c>
      <c r="I5139" s="455">
        <f t="shared" ca="1" si="185"/>
        <v>460795503746385.25</v>
      </c>
      <c r="J5139" s="455">
        <f t="array" ref="J5139">IFERROR(INDEX('Retirement Calculator'!K:K,MATCH('Lorri 401b'!N5139,'Retirement Calculator'!A:A,0),0),0)</f>
        <v>0</v>
      </c>
      <c r="K5139" s="455">
        <f t="shared" ca="1" si="183"/>
        <v>1919981265609.9382</v>
      </c>
      <c r="L5139" s="455">
        <f t="shared" ca="1" si="184"/>
        <v>462715485011995.19</v>
      </c>
      <c r="M5139" s="471">
        <f t="shared" si="186"/>
        <v>0.05</v>
      </c>
      <c r="N5139" s="475">
        <f t="shared" si="187"/>
        <v>207460</v>
      </c>
    </row>
    <row r="5140" spans="7:14" ht="11.25" customHeight="1" x14ac:dyDescent="0.3">
      <c r="G5140" s="470"/>
      <c r="H5140" s="470">
        <v>5133</v>
      </c>
      <c r="I5140" s="455">
        <f t="shared" ca="1" si="185"/>
        <v>462715485011995.19</v>
      </c>
      <c r="J5140" s="455">
        <f t="array" ref="J5140">IFERROR(INDEX('Retirement Calculator'!K:K,MATCH('Lorri 401b'!N5140,'Retirement Calculator'!A:A,0),0),0)</f>
        <v>0</v>
      </c>
      <c r="K5140" s="455">
        <f t="shared" ca="1" si="183"/>
        <v>1927981187549.9802</v>
      </c>
      <c r="L5140" s="455">
        <f t="shared" ca="1" si="184"/>
        <v>464643466199545.19</v>
      </c>
      <c r="M5140" s="471">
        <f t="shared" si="186"/>
        <v>0.05</v>
      </c>
      <c r="N5140" s="475">
        <f t="shared" si="187"/>
        <v>207491</v>
      </c>
    </row>
    <row r="5141" spans="7:14" ht="11.25" customHeight="1" x14ac:dyDescent="0.3">
      <c r="G5141" s="470"/>
      <c r="H5141" s="470">
        <v>5134</v>
      </c>
      <c r="I5141" s="455">
        <f t="shared" ca="1" si="185"/>
        <v>464643466199545.19</v>
      </c>
      <c r="J5141" s="455">
        <f t="array" ref="J5141">IFERROR(INDEX('Retirement Calculator'!K:K,MATCH('Lorri 401b'!N5141,'Retirement Calculator'!A:A,0),0),0)</f>
        <v>0</v>
      </c>
      <c r="K5141" s="455">
        <f t="shared" ca="1" si="183"/>
        <v>1936014442498.105</v>
      </c>
      <c r="L5141" s="455">
        <f t="shared" ca="1" si="184"/>
        <v>466579480642043.31</v>
      </c>
      <c r="M5141" s="471">
        <f t="shared" si="186"/>
        <v>0.05</v>
      </c>
      <c r="N5141" s="475">
        <f t="shared" si="187"/>
        <v>207520</v>
      </c>
    </row>
    <row r="5142" spans="7:14" ht="11.25" customHeight="1" x14ac:dyDescent="0.3">
      <c r="G5142" s="470"/>
      <c r="H5142" s="470">
        <v>5135</v>
      </c>
      <c r="I5142" s="455">
        <f t="shared" ca="1" si="185"/>
        <v>466579480642043.31</v>
      </c>
      <c r="J5142" s="455">
        <f t="array" ref="J5142">IFERROR(INDEX('Retirement Calculator'!K:K,MATCH('Lorri 401b'!N5142,'Retirement Calculator'!A:A,0),0),0)</f>
        <v>0</v>
      </c>
      <c r="K5142" s="455">
        <f t="shared" ca="1" si="183"/>
        <v>1944081169341.8472</v>
      </c>
      <c r="L5142" s="455">
        <f t="shared" ca="1" si="184"/>
        <v>468523561811385.19</v>
      </c>
      <c r="M5142" s="471">
        <f t="shared" si="186"/>
        <v>0.05</v>
      </c>
      <c r="N5142" s="475">
        <f t="shared" si="187"/>
        <v>207551</v>
      </c>
    </row>
    <row r="5143" spans="7:14" ht="11.25" customHeight="1" x14ac:dyDescent="0.3">
      <c r="G5143" s="470"/>
      <c r="H5143" s="470">
        <v>5136</v>
      </c>
      <c r="I5143" s="455">
        <f t="shared" ca="1" si="185"/>
        <v>468523561811385.19</v>
      </c>
      <c r="J5143" s="455">
        <f t="array" ref="J5143">IFERROR(INDEX('Retirement Calculator'!K:K,MATCH('Lorri 401b'!N5143,'Retirement Calculator'!A:A,0),0),0)</f>
        <v>0</v>
      </c>
      <c r="K5143" s="455">
        <f t="shared" ca="1" si="183"/>
        <v>1952181507547.4382</v>
      </c>
      <c r="L5143" s="455">
        <f t="shared" ca="1" si="184"/>
        <v>470475743318932.63</v>
      </c>
      <c r="M5143" s="471">
        <f t="shared" si="186"/>
        <v>0.05</v>
      </c>
      <c r="N5143" s="475">
        <f t="shared" si="187"/>
        <v>207581</v>
      </c>
    </row>
    <row r="5144" spans="7:14" ht="11.25" customHeight="1" x14ac:dyDescent="0.3">
      <c r="G5144" s="470"/>
      <c r="H5144" s="470">
        <v>5137</v>
      </c>
      <c r="I5144" s="455">
        <f t="shared" ca="1" si="185"/>
        <v>470475743318932.63</v>
      </c>
      <c r="J5144" s="455">
        <f t="array" ref="J5144">IFERROR(INDEX('Retirement Calculator'!K:K,MATCH('Lorri 401b'!N5144,'Retirement Calculator'!A:A,0),0),0)</f>
        <v>0</v>
      </c>
      <c r="K5144" s="455">
        <f t="shared" ca="1" si="183"/>
        <v>1960315597162.2192</v>
      </c>
      <c r="L5144" s="455">
        <f t="shared" ca="1" si="184"/>
        <v>472436058916094.88</v>
      </c>
      <c r="M5144" s="471">
        <f t="shared" si="186"/>
        <v>0.05</v>
      </c>
      <c r="N5144" s="475">
        <f t="shared" si="187"/>
        <v>207612</v>
      </c>
    </row>
    <row r="5145" spans="7:14" ht="11.25" customHeight="1" x14ac:dyDescent="0.3">
      <c r="G5145" s="470"/>
      <c r="H5145" s="470">
        <v>5138</v>
      </c>
      <c r="I5145" s="455">
        <f t="shared" ca="1" si="185"/>
        <v>472436058916094.88</v>
      </c>
      <c r="J5145" s="455">
        <f t="array" ref="J5145">IFERROR(INDEX('Retirement Calculator'!K:K,MATCH('Lorri 401b'!N5145,'Retirement Calculator'!A:A,0),0),0)</f>
        <v>0</v>
      </c>
      <c r="K5145" s="455">
        <f t="shared" ca="1" si="183"/>
        <v>1968483578817.062</v>
      </c>
      <c r="L5145" s="455">
        <f t="shared" ca="1" si="184"/>
        <v>474404542494911.94</v>
      </c>
      <c r="M5145" s="471">
        <f t="shared" si="186"/>
        <v>0.05</v>
      </c>
      <c r="N5145" s="475">
        <f t="shared" si="187"/>
        <v>207642</v>
      </c>
    </row>
    <row r="5146" spans="7:14" ht="11.25" customHeight="1" x14ac:dyDescent="0.3">
      <c r="G5146" s="470"/>
      <c r="H5146" s="470">
        <v>5139</v>
      </c>
      <c r="I5146" s="455">
        <f t="shared" ca="1" si="185"/>
        <v>474404542494911.94</v>
      </c>
      <c r="J5146" s="455">
        <f t="array" ref="J5146">IFERROR(INDEX('Retirement Calculator'!K:K,MATCH('Lorri 401b'!N5146,'Retirement Calculator'!A:A,0),0),0)</f>
        <v>0</v>
      </c>
      <c r="K5146" s="455">
        <f t="shared" ca="1" si="183"/>
        <v>1976685593728.7996</v>
      </c>
      <c r="L5146" s="455">
        <f t="shared" ca="1" si="184"/>
        <v>476381228088640.75</v>
      </c>
      <c r="M5146" s="471">
        <f t="shared" si="186"/>
        <v>0.05</v>
      </c>
      <c r="N5146" s="475">
        <f t="shared" si="187"/>
        <v>207673</v>
      </c>
    </row>
    <row r="5147" spans="7:14" ht="11.25" customHeight="1" x14ac:dyDescent="0.3">
      <c r="G5147" s="470"/>
      <c r="H5147" s="470">
        <v>5140</v>
      </c>
      <c r="I5147" s="455">
        <f t="shared" ca="1" si="185"/>
        <v>476381228088640.75</v>
      </c>
      <c r="J5147" s="455">
        <f t="array" ref="J5147">IFERROR(INDEX('Retirement Calculator'!K:K,MATCH('Lorri 401b'!N5147,'Retirement Calculator'!A:A,0),0),0)</f>
        <v>0</v>
      </c>
      <c r="K5147" s="455">
        <f t="shared" ca="1" si="183"/>
        <v>1984921783702.6697</v>
      </c>
      <c r="L5147" s="455">
        <f t="shared" ca="1" si="184"/>
        <v>478366149872343.44</v>
      </c>
      <c r="M5147" s="471">
        <f t="shared" si="186"/>
        <v>0.05</v>
      </c>
      <c r="N5147" s="475">
        <f t="shared" si="187"/>
        <v>207704</v>
      </c>
    </row>
    <row r="5148" spans="7:14" ht="11.25" customHeight="1" x14ac:dyDescent="0.3">
      <c r="G5148" s="470"/>
      <c r="H5148" s="470">
        <v>5141</v>
      </c>
      <c r="I5148" s="455">
        <f t="shared" ca="1" si="185"/>
        <v>478366149872343.44</v>
      </c>
      <c r="J5148" s="455">
        <f t="array" ref="J5148">IFERROR(INDEX('Retirement Calculator'!K:K,MATCH('Lorri 401b'!N5148,'Retirement Calculator'!A:A,0),0),0)</f>
        <v>0</v>
      </c>
      <c r="K5148" s="455">
        <f t="shared" ca="1" si="183"/>
        <v>1993192291134.7639</v>
      </c>
      <c r="L5148" s="455">
        <f t="shared" ca="1" si="184"/>
        <v>480359342163478.19</v>
      </c>
      <c r="M5148" s="471">
        <f t="shared" si="186"/>
        <v>0.05</v>
      </c>
      <c r="N5148" s="475">
        <f t="shared" si="187"/>
        <v>207734</v>
      </c>
    </row>
    <row r="5149" spans="7:14" ht="11.25" customHeight="1" x14ac:dyDescent="0.3">
      <c r="G5149" s="470"/>
      <c r="H5149" s="470">
        <v>5142</v>
      </c>
      <c r="I5149" s="455">
        <f t="shared" ca="1" si="185"/>
        <v>480359342163478.19</v>
      </c>
      <c r="J5149" s="455">
        <f t="array" ref="J5149">IFERROR(INDEX('Retirement Calculator'!K:K,MATCH('Lorri 401b'!N5149,'Retirement Calculator'!A:A,0),0),0)</f>
        <v>0</v>
      </c>
      <c r="K5149" s="455">
        <f t="shared" ca="1" si="183"/>
        <v>2001497259014.4924</v>
      </c>
      <c r="L5149" s="455">
        <f t="shared" ca="1" si="184"/>
        <v>482360839422492.69</v>
      </c>
      <c r="M5149" s="471">
        <f t="shared" si="186"/>
        <v>0.05</v>
      </c>
      <c r="N5149" s="475">
        <f t="shared" si="187"/>
        <v>207765</v>
      </c>
    </row>
    <row r="5150" spans="7:14" ht="11.25" customHeight="1" x14ac:dyDescent="0.3">
      <c r="G5150" s="470"/>
      <c r="H5150" s="470">
        <v>5143</v>
      </c>
      <c r="I5150" s="455">
        <f t="shared" ca="1" si="185"/>
        <v>482360839422492.69</v>
      </c>
      <c r="J5150" s="455">
        <f t="array" ref="J5150">IFERROR(INDEX('Retirement Calculator'!K:K,MATCH('Lorri 401b'!N5150,'Retirement Calculator'!A:A,0),0),0)</f>
        <v>0</v>
      </c>
      <c r="K5150" s="455">
        <f t="shared" ca="1" si="183"/>
        <v>2009836830927.0527</v>
      </c>
      <c r="L5150" s="455">
        <f t="shared" ca="1" si="184"/>
        <v>484370676253419.75</v>
      </c>
      <c r="M5150" s="471">
        <f t="shared" si="186"/>
        <v>0.05</v>
      </c>
      <c r="N5150" s="475">
        <f t="shared" si="187"/>
        <v>207795</v>
      </c>
    </row>
    <row r="5151" spans="7:14" ht="11.25" customHeight="1" x14ac:dyDescent="0.3">
      <c r="G5151" s="470"/>
      <c r="H5151" s="470">
        <v>5144</v>
      </c>
      <c r="I5151" s="455">
        <f t="shared" ca="1" si="185"/>
        <v>484370676253419.75</v>
      </c>
      <c r="J5151" s="455">
        <f t="array" ref="J5151">IFERROR(INDEX('Retirement Calculator'!K:K,MATCH('Lorri 401b'!N5151,'Retirement Calculator'!A:A,0),0),0)</f>
        <v>0</v>
      </c>
      <c r="K5151" s="455">
        <f t="shared" ca="1" si="183"/>
        <v>2018211151055.9155</v>
      </c>
      <c r="L5151" s="455">
        <f t="shared" ca="1" si="184"/>
        <v>486388887404475.69</v>
      </c>
      <c r="M5151" s="471">
        <f t="shared" si="186"/>
        <v>0.05</v>
      </c>
      <c r="N5151" s="475">
        <f t="shared" si="187"/>
        <v>207826</v>
      </c>
    </row>
    <row r="5152" spans="7:14" ht="11.25" customHeight="1" x14ac:dyDescent="0.3">
      <c r="G5152" s="470"/>
      <c r="H5152" s="470">
        <v>5145</v>
      </c>
      <c r="I5152" s="455">
        <f t="shared" ca="1" si="185"/>
        <v>486388887404475.69</v>
      </c>
      <c r="J5152" s="455">
        <f t="array" ref="J5152">IFERROR(INDEX('Retirement Calculator'!K:K,MATCH('Lorri 401b'!N5152,'Retirement Calculator'!A:A,0),0),0)</f>
        <v>0</v>
      </c>
      <c r="K5152" s="455">
        <f t="shared" ca="1" si="183"/>
        <v>2026620364185.3154</v>
      </c>
      <c r="L5152" s="455">
        <f t="shared" ca="1" si="184"/>
        <v>488415507768661</v>
      </c>
      <c r="M5152" s="471">
        <f t="shared" si="186"/>
        <v>0.05</v>
      </c>
      <c r="N5152" s="475">
        <f t="shared" si="187"/>
        <v>207857</v>
      </c>
    </row>
    <row r="5153" spans="7:14" ht="11.25" customHeight="1" x14ac:dyDescent="0.3">
      <c r="G5153" s="470"/>
      <c r="H5153" s="470">
        <v>5146</v>
      </c>
      <c r="I5153" s="455">
        <f t="shared" ca="1" si="185"/>
        <v>488415507768661</v>
      </c>
      <c r="J5153" s="455">
        <f t="array" ref="J5153">IFERROR(INDEX('Retirement Calculator'!K:K,MATCH('Lorri 401b'!N5153,'Retirement Calculator'!A:A,0),0),0)</f>
        <v>0</v>
      </c>
      <c r="K5153" s="455">
        <f t="shared" ca="1" si="183"/>
        <v>2035064615702.7542</v>
      </c>
      <c r="L5153" s="455">
        <f t="shared" ca="1" si="184"/>
        <v>490450572384363.75</v>
      </c>
      <c r="M5153" s="471">
        <f t="shared" si="186"/>
        <v>0.05</v>
      </c>
      <c r="N5153" s="475">
        <f t="shared" si="187"/>
        <v>207885</v>
      </c>
    </row>
    <row r="5154" spans="7:14" ht="11.25" customHeight="1" x14ac:dyDescent="0.3">
      <c r="G5154" s="470"/>
      <c r="H5154" s="470">
        <v>5147</v>
      </c>
      <c r="I5154" s="455">
        <f t="shared" ca="1" si="185"/>
        <v>490450572384363.75</v>
      </c>
      <c r="J5154" s="455">
        <f t="array" ref="J5154">IFERROR(INDEX('Retirement Calculator'!K:K,MATCH('Lorri 401b'!N5154,'Retirement Calculator'!A:A,0),0),0)</f>
        <v>0</v>
      </c>
      <c r="K5154" s="455">
        <f t="shared" ca="1" si="183"/>
        <v>2043544051601.5156</v>
      </c>
      <c r="L5154" s="455">
        <f t="shared" ca="1" si="184"/>
        <v>492494116435965.25</v>
      </c>
      <c r="M5154" s="471">
        <f t="shared" si="186"/>
        <v>0.05</v>
      </c>
      <c r="N5154" s="475">
        <f t="shared" si="187"/>
        <v>207916</v>
      </c>
    </row>
    <row r="5155" spans="7:14" ht="11.25" customHeight="1" x14ac:dyDescent="0.3">
      <c r="G5155" s="470"/>
      <c r="H5155" s="470">
        <v>5148</v>
      </c>
      <c r="I5155" s="455">
        <f t="shared" ca="1" si="185"/>
        <v>492494116435965.25</v>
      </c>
      <c r="J5155" s="455">
        <f t="array" ref="J5155">IFERROR(INDEX('Retirement Calculator'!K:K,MATCH('Lorri 401b'!N5155,'Retirement Calculator'!A:A,0),0),0)</f>
        <v>0</v>
      </c>
      <c r="K5155" s="455">
        <f t="shared" ca="1" si="183"/>
        <v>2052058818483.1887</v>
      </c>
      <c r="L5155" s="455">
        <f t="shared" ca="1" si="184"/>
        <v>494546175254448.44</v>
      </c>
      <c r="M5155" s="471">
        <f t="shared" si="186"/>
        <v>0.05</v>
      </c>
      <c r="N5155" s="475">
        <f t="shared" si="187"/>
        <v>207946</v>
      </c>
    </row>
    <row r="5156" spans="7:14" ht="11.25" customHeight="1" x14ac:dyDescent="0.3">
      <c r="G5156" s="470"/>
      <c r="H5156" s="470">
        <v>5149</v>
      </c>
      <c r="I5156" s="455">
        <f t="shared" ca="1" si="185"/>
        <v>494546175254448.44</v>
      </c>
      <c r="J5156" s="455">
        <f t="array" ref="J5156">IFERROR(INDEX('Retirement Calculator'!K:K,MATCH('Lorri 401b'!N5156,'Retirement Calculator'!A:A,0),0),0)</f>
        <v>0</v>
      </c>
      <c r="K5156" s="455">
        <f t="shared" ca="1" si="183"/>
        <v>2060609063560.2019</v>
      </c>
      <c r="L5156" s="455">
        <f t="shared" ca="1" si="184"/>
        <v>496606784318008.63</v>
      </c>
      <c r="M5156" s="471">
        <f t="shared" si="186"/>
        <v>0.05</v>
      </c>
      <c r="N5156" s="475">
        <f t="shared" si="187"/>
        <v>207977</v>
      </c>
    </row>
    <row r="5157" spans="7:14" ht="11.25" customHeight="1" x14ac:dyDescent="0.3">
      <c r="G5157" s="470"/>
      <c r="H5157" s="470">
        <v>5150</v>
      </c>
      <c r="I5157" s="455">
        <f t="shared" ca="1" si="185"/>
        <v>496606784318008.63</v>
      </c>
      <c r="J5157" s="455">
        <f t="array" ref="J5157">IFERROR(INDEX('Retirement Calculator'!K:K,MATCH('Lorri 401b'!N5157,'Retirement Calculator'!A:A,0),0),0)</f>
        <v>0</v>
      </c>
      <c r="K5157" s="455">
        <f t="shared" ca="1" si="183"/>
        <v>2069194934658.3694</v>
      </c>
      <c r="L5157" s="455">
        <f t="shared" ca="1" si="184"/>
        <v>498675979252667</v>
      </c>
      <c r="M5157" s="471">
        <f t="shared" si="186"/>
        <v>0.05</v>
      </c>
      <c r="N5157" s="475">
        <f t="shared" si="187"/>
        <v>208007</v>
      </c>
    </row>
    <row r="5158" spans="7:14" ht="11.25" customHeight="1" x14ac:dyDescent="0.3">
      <c r="G5158" s="470"/>
      <c r="H5158" s="470">
        <v>5151</v>
      </c>
      <c r="I5158" s="455">
        <f t="shared" ca="1" si="185"/>
        <v>498675979252667</v>
      </c>
      <c r="J5158" s="455">
        <f t="array" ref="J5158">IFERROR(INDEX('Retirement Calculator'!K:K,MATCH('Lorri 401b'!N5158,'Retirement Calculator'!A:A,0),0),0)</f>
        <v>0</v>
      </c>
      <c r="K5158" s="455">
        <f t="shared" ca="1" si="183"/>
        <v>2077816580219.4458</v>
      </c>
      <c r="L5158" s="455">
        <f t="shared" ca="1" si="184"/>
        <v>500753795832886.44</v>
      </c>
      <c r="M5158" s="471">
        <f t="shared" si="186"/>
        <v>0.05</v>
      </c>
      <c r="N5158" s="475">
        <f t="shared" si="187"/>
        <v>208038</v>
      </c>
    </row>
    <row r="5159" spans="7:14" ht="11.25" customHeight="1" x14ac:dyDescent="0.3">
      <c r="G5159" s="470"/>
      <c r="H5159" s="470">
        <v>5152</v>
      </c>
      <c r="I5159" s="455">
        <f t="shared" ca="1" si="185"/>
        <v>500753795832886.44</v>
      </c>
      <c r="J5159" s="455">
        <f t="array" ref="J5159">IFERROR(INDEX('Retirement Calculator'!K:K,MATCH('Lorri 401b'!N5159,'Retirement Calculator'!A:A,0),0),0)</f>
        <v>0</v>
      </c>
      <c r="K5159" s="455">
        <f t="shared" ca="1" si="183"/>
        <v>2086474149303.6936</v>
      </c>
      <c r="L5159" s="455">
        <f t="shared" ca="1" si="184"/>
        <v>502840269982190.13</v>
      </c>
      <c r="M5159" s="471">
        <f t="shared" si="186"/>
        <v>0.05</v>
      </c>
      <c r="N5159" s="475">
        <f t="shared" si="187"/>
        <v>208069</v>
      </c>
    </row>
    <row r="5160" spans="7:14" ht="11.25" customHeight="1" x14ac:dyDescent="0.3">
      <c r="G5160" s="470"/>
      <c r="H5160" s="470">
        <v>5153</v>
      </c>
      <c r="I5160" s="455">
        <f t="shared" ca="1" si="185"/>
        <v>502840269982190.13</v>
      </c>
      <c r="J5160" s="455">
        <f t="array" ref="J5160">IFERROR(INDEX('Retirement Calculator'!K:K,MATCH('Lorri 401b'!N5160,'Retirement Calculator'!A:A,0),0),0)</f>
        <v>0</v>
      </c>
      <c r="K5160" s="455">
        <f t="shared" ca="1" si="183"/>
        <v>2095167791592.4587</v>
      </c>
      <c r="L5160" s="455">
        <f t="shared" ca="1" si="184"/>
        <v>504935437773782.56</v>
      </c>
      <c r="M5160" s="471">
        <f t="shared" si="186"/>
        <v>0.05</v>
      </c>
      <c r="N5160" s="475">
        <f t="shared" si="187"/>
        <v>208099</v>
      </c>
    </row>
    <row r="5161" spans="7:14" ht="11.25" customHeight="1" x14ac:dyDescent="0.3">
      <c r="G5161" s="470"/>
      <c r="H5161" s="470">
        <v>5154</v>
      </c>
      <c r="I5161" s="455">
        <f t="shared" ca="1" si="185"/>
        <v>504935437773782.56</v>
      </c>
      <c r="J5161" s="455">
        <f t="array" ref="J5161">IFERROR(INDEX('Retirement Calculator'!K:K,MATCH('Lorri 401b'!N5161,'Retirement Calculator'!A:A,0),0),0)</f>
        <v>0</v>
      </c>
      <c r="K5161" s="455">
        <f t="shared" ca="1" si="183"/>
        <v>2103897657390.7607</v>
      </c>
      <c r="L5161" s="455">
        <f t="shared" ca="1" si="184"/>
        <v>507039335431173.31</v>
      </c>
      <c r="M5161" s="471">
        <f t="shared" si="186"/>
        <v>0.05</v>
      </c>
      <c r="N5161" s="475">
        <f t="shared" si="187"/>
        <v>208130</v>
      </c>
    </row>
    <row r="5162" spans="7:14" ht="11.25" customHeight="1" x14ac:dyDescent="0.3">
      <c r="G5162" s="470"/>
      <c r="H5162" s="470">
        <v>5155</v>
      </c>
      <c r="I5162" s="455">
        <f t="shared" ca="1" si="185"/>
        <v>507039335431173.31</v>
      </c>
      <c r="J5162" s="455">
        <f t="array" ref="J5162">IFERROR(INDEX('Retirement Calculator'!K:K,MATCH('Lorri 401b'!N5162,'Retirement Calculator'!A:A,0),0),0)</f>
        <v>0</v>
      </c>
      <c r="K5162" s="455">
        <f t="shared" ca="1" si="183"/>
        <v>2112663897629.8884</v>
      </c>
      <c r="L5162" s="455">
        <f t="shared" ca="1" si="184"/>
        <v>509151999328803.19</v>
      </c>
      <c r="M5162" s="471">
        <f t="shared" si="186"/>
        <v>0.05</v>
      </c>
      <c r="N5162" s="475">
        <f t="shared" si="187"/>
        <v>208160</v>
      </c>
    </row>
    <row r="5163" spans="7:14" ht="11.25" customHeight="1" x14ac:dyDescent="0.3">
      <c r="G5163" s="470"/>
      <c r="H5163" s="470">
        <v>5156</v>
      </c>
      <c r="I5163" s="455">
        <f t="shared" ca="1" si="185"/>
        <v>509151999328803.19</v>
      </c>
      <c r="J5163" s="455">
        <f t="array" ref="J5163">IFERROR(INDEX('Retirement Calculator'!K:K,MATCH('Lorri 401b'!N5163,'Retirement Calculator'!A:A,0),0),0)</f>
        <v>0</v>
      </c>
      <c r="K5163" s="455">
        <f t="shared" ca="1" si="183"/>
        <v>2121466663870.0134</v>
      </c>
      <c r="L5163" s="455">
        <f t="shared" ca="1" si="184"/>
        <v>511273465992673.19</v>
      </c>
      <c r="M5163" s="471">
        <f t="shared" si="186"/>
        <v>0.05</v>
      </c>
      <c r="N5163" s="475">
        <f t="shared" si="187"/>
        <v>208191</v>
      </c>
    </row>
    <row r="5164" spans="7:14" ht="11.25" customHeight="1" x14ac:dyDescent="0.3">
      <c r="G5164" s="470"/>
      <c r="H5164" s="470">
        <v>5157</v>
      </c>
      <c r="I5164" s="455">
        <f t="shared" ca="1" si="185"/>
        <v>511273465992673.19</v>
      </c>
      <c r="J5164" s="455">
        <f t="array" ref="J5164">IFERROR(INDEX('Retirement Calculator'!K:K,MATCH('Lorri 401b'!N5164,'Retirement Calculator'!A:A,0),0),0)</f>
        <v>0</v>
      </c>
      <c r="K5164" s="455">
        <f t="shared" ca="1" si="183"/>
        <v>2130306108302.8052</v>
      </c>
      <c r="L5164" s="455">
        <f t="shared" ca="1" si="184"/>
        <v>513403772100976</v>
      </c>
      <c r="M5164" s="471">
        <f t="shared" si="186"/>
        <v>0.05</v>
      </c>
      <c r="N5164" s="475">
        <f t="shared" si="187"/>
        <v>208222</v>
      </c>
    </row>
    <row r="5165" spans="7:14" ht="11.25" customHeight="1" x14ac:dyDescent="0.3">
      <c r="G5165" s="470"/>
      <c r="H5165" s="470">
        <v>5158</v>
      </c>
      <c r="I5165" s="455">
        <f t="shared" ca="1" si="185"/>
        <v>513403772100976</v>
      </c>
      <c r="J5165" s="455">
        <f t="array" ref="J5165">IFERROR(INDEX('Retirement Calculator'!K:K,MATCH('Lorri 401b'!N5165,'Retirement Calculator'!A:A,0),0),0)</f>
        <v>0</v>
      </c>
      <c r="K5165" s="455">
        <f t="shared" ca="1" si="183"/>
        <v>2139182383754.0667</v>
      </c>
      <c r="L5165" s="455">
        <f t="shared" ca="1" si="184"/>
        <v>515542954484730.06</v>
      </c>
      <c r="M5165" s="471">
        <f t="shared" si="186"/>
        <v>0.05</v>
      </c>
      <c r="N5165" s="475">
        <f t="shared" si="187"/>
        <v>208250</v>
      </c>
    </row>
    <row r="5166" spans="7:14" ht="11.25" customHeight="1" x14ac:dyDescent="0.3">
      <c r="G5166" s="470"/>
      <c r="H5166" s="470">
        <v>5159</v>
      </c>
      <c r="I5166" s="455">
        <f t="shared" ca="1" si="185"/>
        <v>515542954484730.06</v>
      </c>
      <c r="J5166" s="455">
        <f t="array" ref="J5166">IFERROR(INDEX('Retirement Calculator'!K:K,MATCH('Lorri 401b'!N5166,'Retirement Calculator'!A:A,0),0),0)</f>
        <v>0</v>
      </c>
      <c r="K5166" s="455">
        <f t="shared" ca="1" si="183"/>
        <v>2148095643686.3752</v>
      </c>
      <c r="L5166" s="455">
        <f t="shared" ca="1" si="184"/>
        <v>517691050128416.44</v>
      </c>
      <c r="M5166" s="471">
        <f t="shared" si="186"/>
        <v>0.05</v>
      </c>
      <c r="N5166" s="475">
        <f t="shared" si="187"/>
        <v>208281</v>
      </c>
    </row>
    <row r="5167" spans="7:14" ht="11.25" customHeight="1" x14ac:dyDescent="0.3">
      <c r="G5167" s="470"/>
      <c r="H5167" s="470">
        <v>5160</v>
      </c>
      <c r="I5167" s="455">
        <f t="shared" ca="1" si="185"/>
        <v>517691050128416.44</v>
      </c>
      <c r="J5167" s="455">
        <f t="array" ref="J5167">IFERROR(INDEX('Retirement Calculator'!K:K,MATCH('Lorri 401b'!N5167,'Retirement Calculator'!A:A,0),0),0)</f>
        <v>0</v>
      </c>
      <c r="K5167" s="455">
        <f t="shared" ca="1" si="183"/>
        <v>2157046042201.7351</v>
      </c>
      <c r="L5167" s="455">
        <f t="shared" ca="1" si="184"/>
        <v>519848096170618.19</v>
      </c>
      <c r="M5167" s="471">
        <f t="shared" si="186"/>
        <v>0.05</v>
      </c>
      <c r="N5167" s="475">
        <f t="shared" si="187"/>
        <v>208311</v>
      </c>
    </row>
    <row r="5168" spans="7:14" ht="11.25" customHeight="1" x14ac:dyDescent="0.3">
      <c r="G5168" s="470"/>
      <c r="H5168" s="470">
        <v>5161</v>
      </c>
      <c r="I5168" s="455">
        <f t="shared" ca="1" si="185"/>
        <v>519848096170618.19</v>
      </c>
      <c r="J5168" s="455">
        <f t="array" ref="J5168">IFERROR(INDEX('Retirement Calculator'!K:K,MATCH('Lorri 401b'!N5168,'Retirement Calculator'!A:A,0),0),0)</f>
        <v>0</v>
      </c>
      <c r="K5168" s="455">
        <f t="shared" ca="1" si="183"/>
        <v>2166033734044.2427</v>
      </c>
      <c r="L5168" s="455">
        <f t="shared" ca="1" si="184"/>
        <v>522014129904662.44</v>
      </c>
      <c r="M5168" s="471">
        <f t="shared" si="186"/>
        <v>0.05</v>
      </c>
      <c r="N5168" s="475">
        <f t="shared" si="187"/>
        <v>208342</v>
      </c>
    </row>
    <row r="5169" spans="7:14" ht="11.25" customHeight="1" x14ac:dyDescent="0.3">
      <c r="G5169" s="470"/>
      <c r="H5169" s="470">
        <v>5162</v>
      </c>
      <c r="I5169" s="455">
        <f t="shared" ca="1" si="185"/>
        <v>522014129904662.44</v>
      </c>
      <c r="J5169" s="455">
        <f t="array" ref="J5169">IFERROR(INDEX('Retirement Calculator'!K:K,MATCH('Lorri 401b'!N5169,'Retirement Calculator'!A:A,0),0),0)</f>
        <v>0</v>
      </c>
      <c r="K5169" s="455">
        <f t="shared" ca="1" si="183"/>
        <v>2175058874602.7598</v>
      </c>
      <c r="L5169" s="455">
        <f t="shared" ca="1" si="184"/>
        <v>524189188779265.19</v>
      </c>
      <c r="M5169" s="471">
        <f t="shared" si="186"/>
        <v>0.05</v>
      </c>
      <c r="N5169" s="475">
        <f t="shared" si="187"/>
        <v>208372</v>
      </c>
    </row>
    <row r="5170" spans="7:14" ht="11.25" customHeight="1" x14ac:dyDescent="0.3">
      <c r="G5170" s="470"/>
      <c r="H5170" s="470">
        <v>5163</v>
      </c>
      <c r="I5170" s="455">
        <f t="shared" ca="1" si="185"/>
        <v>524189188779265.19</v>
      </c>
      <c r="J5170" s="455">
        <f t="array" ref="J5170">IFERROR(INDEX('Retirement Calculator'!K:K,MATCH('Lorri 401b'!N5170,'Retirement Calculator'!A:A,0),0),0)</f>
        <v>0</v>
      </c>
      <c r="K5170" s="455">
        <f t="shared" ca="1" si="183"/>
        <v>2184121619913.6047</v>
      </c>
      <c r="L5170" s="455">
        <f t="shared" ca="1" si="184"/>
        <v>526373310399178.81</v>
      </c>
      <c r="M5170" s="471">
        <f t="shared" si="186"/>
        <v>0.05</v>
      </c>
      <c r="N5170" s="475">
        <f t="shared" si="187"/>
        <v>208403</v>
      </c>
    </row>
    <row r="5171" spans="7:14" ht="11.25" customHeight="1" x14ac:dyDescent="0.3">
      <c r="G5171" s="470"/>
      <c r="H5171" s="470">
        <v>5164</v>
      </c>
      <c r="I5171" s="455">
        <f t="shared" ca="1" si="185"/>
        <v>526373310399178.81</v>
      </c>
      <c r="J5171" s="455">
        <f t="array" ref="J5171">IFERROR(INDEX('Retirement Calculator'!K:K,MATCH('Lorri 401b'!N5171,'Retirement Calculator'!A:A,0),0),0)</f>
        <v>0</v>
      </c>
      <c r="K5171" s="455">
        <f t="shared" ca="1" si="183"/>
        <v>2193222126663.2451</v>
      </c>
      <c r="L5171" s="455">
        <f t="shared" ca="1" si="184"/>
        <v>528566532525842.06</v>
      </c>
      <c r="M5171" s="471">
        <f t="shared" si="186"/>
        <v>0.05</v>
      </c>
      <c r="N5171" s="475">
        <f t="shared" si="187"/>
        <v>208434</v>
      </c>
    </row>
    <row r="5172" spans="7:14" ht="11.25" customHeight="1" x14ac:dyDescent="0.3">
      <c r="G5172" s="470"/>
      <c r="H5172" s="470">
        <v>5165</v>
      </c>
      <c r="I5172" s="455">
        <f t="shared" ca="1" si="185"/>
        <v>528566532525842.06</v>
      </c>
      <c r="J5172" s="455">
        <f t="array" ref="J5172">IFERROR(INDEX('Retirement Calculator'!K:K,MATCH('Lorri 401b'!N5172,'Retirement Calculator'!A:A,0),0),0)</f>
        <v>0</v>
      </c>
      <c r="K5172" s="455">
        <f t="shared" ca="1" si="183"/>
        <v>2202360552191.0088</v>
      </c>
      <c r="L5172" s="455">
        <f t="shared" ca="1" si="184"/>
        <v>530768893078033.06</v>
      </c>
      <c r="M5172" s="471">
        <f t="shared" si="186"/>
        <v>0.05</v>
      </c>
      <c r="N5172" s="475">
        <f t="shared" si="187"/>
        <v>208464</v>
      </c>
    </row>
    <row r="5173" spans="7:14" ht="11.25" customHeight="1" x14ac:dyDescent="0.3">
      <c r="G5173" s="470"/>
      <c r="H5173" s="470">
        <v>5166</v>
      </c>
      <c r="I5173" s="455">
        <f t="shared" ca="1" si="185"/>
        <v>530768893078033.06</v>
      </c>
      <c r="J5173" s="455">
        <f t="array" ref="J5173">IFERROR(INDEX('Retirement Calculator'!K:K,MATCH('Lorri 401b'!N5173,'Retirement Calculator'!A:A,0),0),0)</f>
        <v>0</v>
      </c>
      <c r="K5173" s="455">
        <f t="shared" ca="1" si="183"/>
        <v>2211537054491.8042</v>
      </c>
      <c r="L5173" s="455">
        <f t="shared" ca="1" si="184"/>
        <v>532980430132524.88</v>
      </c>
      <c r="M5173" s="471">
        <f t="shared" si="186"/>
        <v>0.05</v>
      </c>
      <c r="N5173" s="475">
        <f t="shared" si="187"/>
        <v>208495</v>
      </c>
    </row>
    <row r="5174" spans="7:14" ht="11.25" customHeight="1" x14ac:dyDescent="0.3">
      <c r="G5174" s="470"/>
      <c r="H5174" s="470">
        <v>5167</v>
      </c>
      <c r="I5174" s="455">
        <f t="shared" ca="1" si="185"/>
        <v>532980430132524.88</v>
      </c>
      <c r="J5174" s="455">
        <f t="array" ref="J5174">IFERROR(INDEX('Retirement Calculator'!K:K,MATCH('Lorri 401b'!N5174,'Retirement Calculator'!A:A,0),0),0)</f>
        <v>0</v>
      </c>
      <c r="K5174" s="455">
        <f t="shared" ca="1" si="183"/>
        <v>2220751792218.8535</v>
      </c>
      <c r="L5174" s="455">
        <f t="shared" ca="1" si="184"/>
        <v>535201181924743.75</v>
      </c>
      <c r="M5174" s="471">
        <f t="shared" si="186"/>
        <v>0.05</v>
      </c>
      <c r="N5174" s="475">
        <f t="shared" si="187"/>
        <v>208525</v>
      </c>
    </row>
    <row r="5175" spans="7:14" ht="11.25" customHeight="1" x14ac:dyDescent="0.3">
      <c r="G5175" s="470"/>
      <c r="H5175" s="470">
        <v>5168</v>
      </c>
      <c r="I5175" s="455">
        <f t="shared" ca="1" si="185"/>
        <v>535201181924743.75</v>
      </c>
      <c r="J5175" s="455">
        <f t="array" ref="J5175">IFERROR(INDEX('Retirement Calculator'!K:K,MATCH('Lorri 401b'!N5175,'Retirement Calculator'!A:A,0),0),0)</f>
        <v>0</v>
      </c>
      <c r="K5175" s="455">
        <f t="shared" ca="1" si="183"/>
        <v>2230004924686.4321</v>
      </c>
      <c r="L5175" s="455">
        <f t="shared" ca="1" si="184"/>
        <v>537431186849430.19</v>
      </c>
      <c r="M5175" s="471">
        <f t="shared" si="186"/>
        <v>0.05</v>
      </c>
      <c r="N5175" s="475">
        <f t="shared" si="187"/>
        <v>208556</v>
      </c>
    </row>
    <row r="5176" spans="7:14" ht="11.25" customHeight="1" x14ac:dyDescent="0.3">
      <c r="G5176" s="470"/>
      <c r="H5176" s="470">
        <v>5169</v>
      </c>
      <c r="I5176" s="455">
        <f t="shared" ca="1" si="185"/>
        <v>537431186849430.19</v>
      </c>
      <c r="J5176" s="455">
        <f t="array" ref="J5176">IFERROR(INDEX('Retirement Calculator'!K:K,MATCH('Lorri 401b'!N5176,'Retirement Calculator'!A:A,0),0),0)</f>
        <v>0</v>
      </c>
      <c r="K5176" s="455">
        <f t="shared" ca="1" si="183"/>
        <v>2239296611872.6255</v>
      </c>
      <c r="L5176" s="455">
        <f t="shared" ca="1" si="184"/>
        <v>539670483461302.81</v>
      </c>
      <c r="M5176" s="471">
        <f t="shared" si="186"/>
        <v>0.05</v>
      </c>
      <c r="N5176" s="475">
        <f t="shared" si="187"/>
        <v>208587</v>
      </c>
    </row>
    <row r="5177" spans="7:14" ht="11.25" customHeight="1" x14ac:dyDescent="0.3">
      <c r="G5177" s="470"/>
      <c r="H5177" s="470">
        <v>5170</v>
      </c>
      <c r="I5177" s="455">
        <f t="shared" ca="1" si="185"/>
        <v>539670483461302.81</v>
      </c>
      <c r="J5177" s="455">
        <f t="array" ref="J5177">IFERROR(INDEX('Retirement Calculator'!K:K,MATCH('Lorri 401b'!N5177,'Retirement Calculator'!A:A,0),0),0)</f>
        <v>0</v>
      </c>
      <c r="K5177" s="455">
        <f t="shared" ca="1" si="183"/>
        <v>2248627014422.0952</v>
      </c>
      <c r="L5177" s="455">
        <f t="shared" ca="1" si="184"/>
        <v>541919110475724.94</v>
      </c>
      <c r="M5177" s="471">
        <f t="shared" si="186"/>
        <v>0.05</v>
      </c>
      <c r="N5177" s="475">
        <f t="shared" si="187"/>
        <v>208615</v>
      </c>
    </row>
    <row r="5178" spans="7:14" ht="11.25" customHeight="1" x14ac:dyDescent="0.3">
      <c r="G5178" s="470"/>
      <c r="H5178" s="470">
        <v>5171</v>
      </c>
      <c r="I5178" s="455">
        <f t="shared" ca="1" si="185"/>
        <v>541919110475724.94</v>
      </c>
      <c r="J5178" s="455">
        <f t="array" ref="J5178">IFERROR(INDEX('Retirement Calculator'!K:K,MATCH('Lorri 401b'!N5178,'Retirement Calculator'!A:A,0),0),0)</f>
        <v>0</v>
      </c>
      <c r="K5178" s="455">
        <f t="shared" ca="1" si="183"/>
        <v>2257996293648.8535</v>
      </c>
      <c r="L5178" s="455">
        <f t="shared" ca="1" si="184"/>
        <v>544177106769373.81</v>
      </c>
      <c r="M5178" s="471">
        <f t="shared" si="186"/>
        <v>0.05</v>
      </c>
      <c r="N5178" s="475">
        <f t="shared" si="187"/>
        <v>208646</v>
      </c>
    </row>
    <row r="5179" spans="7:14" ht="11.25" customHeight="1" x14ac:dyDescent="0.3">
      <c r="G5179" s="470"/>
      <c r="H5179" s="470">
        <v>5172</v>
      </c>
      <c r="I5179" s="455">
        <f t="shared" ca="1" si="185"/>
        <v>544177106769373.81</v>
      </c>
      <c r="J5179" s="455">
        <f t="array" ref="J5179">IFERROR(INDEX('Retirement Calculator'!K:K,MATCH('Lorri 401b'!N5179,'Retirement Calculator'!A:A,0),0),0)</f>
        <v>0</v>
      </c>
      <c r="K5179" s="455">
        <f t="shared" ca="1" si="183"/>
        <v>2267404611539.0576</v>
      </c>
      <c r="L5179" s="455">
        <f t="shared" ca="1" si="184"/>
        <v>546444511380912.88</v>
      </c>
      <c r="M5179" s="471">
        <f t="shared" si="186"/>
        <v>0.05</v>
      </c>
      <c r="N5179" s="475">
        <f t="shared" si="187"/>
        <v>208676</v>
      </c>
    </row>
    <row r="5180" spans="7:14" ht="11.25" customHeight="1" x14ac:dyDescent="0.3">
      <c r="G5180" s="470"/>
      <c r="H5180" s="470">
        <v>5173</v>
      </c>
      <c r="I5180" s="455">
        <f t="shared" ca="1" si="185"/>
        <v>546444511380912.88</v>
      </c>
      <c r="J5180" s="455">
        <f t="array" ref="J5180">IFERROR(INDEX('Retirement Calculator'!K:K,MATCH('Lorri 401b'!N5180,'Retirement Calculator'!A:A,0),0),0)</f>
        <v>0</v>
      </c>
      <c r="K5180" s="455">
        <f t="shared" ca="1" si="183"/>
        <v>2276852130753.8037</v>
      </c>
      <c r="L5180" s="455">
        <f t="shared" ca="1" si="184"/>
        <v>548721363511666.69</v>
      </c>
      <c r="M5180" s="471">
        <f t="shared" si="186"/>
        <v>0.05</v>
      </c>
      <c r="N5180" s="475">
        <f t="shared" si="187"/>
        <v>208707</v>
      </c>
    </row>
    <row r="5181" spans="7:14" ht="11.25" customHeight="1" x14ac:dyDescent="0.3">
      <c r="G5181" s="470"/>
      <c r="H5181" s="470">
        <v>5174</v>
      </c>
      <c r="I5181" s="455">
        <f t="shared" ca="1" si="185"/>
        <v>548721363511666.69</v>
      </c>
      <c r="J5181" s="455">
        <f t="array" ref="J5181">IFERROR(INDEX('Retirement Calculator'!K:K,MATCH('Lorri 401b'!N5181,'Retirement Calculator'!A:A,0),0),0)</f>
        <v>0</v>
      </c>
      <c r="K5181" s="455">
        <f t="shared" ca="1" si="183"/>
        <v>2286339014631.9443</v>
      </c>
      <c r="L5181" s="455">
        <f t="shared" ca="1" si="184"/>
        <v>551007702526298.63</v>
      </c>
      <c r="M5181" s="471">
        <f t="shared" si="186"/>
        <v>0.05</v>
      </c>
      <c r="N5181" s="475">
        <f t="shared" si="187"/>
        <v>208737</v>
      </c>
    </row>
    <row r="5182" spans="7:14" ht="11.25" customHeight="1" x14ac:dyDescent="0.3">
      <c r="G5182" s="470"/>
      <c r="H5182" s="470">
        <v>5175</v>
      </c>
      <c r="I5182" s="455">
        <f t="shared" ca="1" si="185"/>
        <v>551007702526298.63</v>
      </c>
      <c r="J5182" s="455">
        <f t="array" ref="J5182">IFERROR(INDEX('Retirement Calculator'!K:K,MATCH('Lorri 401b'!N5182,'Retirement Calculator'!A:A,0),0),0)</f>
        <v>0</v>
      </c>
      <c r="K5182" s="455">
        <f t="shared" ca="1" si="183"/>
        <v>2295865427192.9111</v>
      </c>
      <c r="L5182" s="455">
        <f t="shared" ca="1" si="184"/>
        <v>553303567953491.56</v>
      </c>
      <c r="M5182" s="471">
        <f t="shared" si="186"/>
        <v>0.05</v>
      </c>
      <c r="N5182" s="475">
        <f t="shared" si="187"/>
        <v>208768</v>
      </c>
    </row>
    <row r="5183" spans="7:14" ht="11.25" customHeight="1" x14ac:dyDescent="0.3">
      <c r="G5183" s="470"/>
      <c r="H5183" s="470">
        <v>5176</v>
      </c>
      <c r="I5183" s="455">
        <f t="shared" ca="1" si="185"/>
        <v>553303567953491.56</v>
      </c>
      <c r="J5183" s="455">
        <f t="array" ref="J5183">IFERROR(INDEX('Retirement Calculator'!K:K,MATCH('Lorri 401b'!N5183,'Retirement Calculator'!A:A,0),0),0)</f>
        <v>0</v>
      </c>
      <c r="K5183" s="455">
        <f t="shared" ca="1" si="183"/>
        <v>2305431533139.5483</v>
      </c>
      <c r="L5183" s="455">
        <f t="shared" ca="1" si="184"/>
        <v>555608999486631.13</v>
      </c>
      <c r="M5183" s="471">
        <f t="shared" si="186"/>
        <v>0.05</v>
      </c>
      <c r="N5183" s="475">
        <f t="shared" si="187"/>
        <v>208799</v>
      </c>
    </row>
    <row r="5184" spans="7:14" ht="11.25" customHeight="1" x14ac:dyDescent="0.3">
      <c r="G5184" s="470"/>
      <c r="H5184" s="470">
        <v>5177</v>
      </c>
      <c r="I5184" s="455">
        <f t="shared" ca="1" si="185"/>
        <v>555608999486631.13</v>
      </c>
      <c r="J5184" s="455">
        <f t="array" ref="J5184">IFERROR(INDEX('Retirement Calculator'!K:K,MATCH('Lorri 401b'!N5184,'Retirement Calculator'!A:A,0),0),0)</f>
        <v>0</v>
      </c>
      <c r="K5184" s="455">
        <f t="shared" ca="1" si="183"/>
        <v>2315037497860.9629</v>
      </c>
      <c r="L5184" s="455">
        <f t="shared" ca="1" si="184"/>
        <v>557924036984492.06</v>
      </c>
      <c r="M5184" s="471">
        <f t="shared" si="186"/>
        <v>0.05</v>
      </c>
      <c r="N5184" s="475">
        <f t="shared" si="187"/>
        <v>208829</v>
      </c>
    </row>
    <row r="5185" spans="7:14" ht="11.25" customHeight="1" x14ac:dyDescent="0.3">
      <c r="G5185" s="470"/>
      <c r="H5185" s="470">
        <v>5178</v>
      </c>
      <c r="I5185" s="455">
        <f t="shared" ca="1" si="185"/>
        <v>557924036984492.06</v>
      </c>
      <c r="J5185" s="455">
        <f t="array" ref="J5185">IFERROR(INDEX('Retirement Calculator'!K:K,MATCH('Lorri 401b'!N5185,'Retirement Calculator'!A:A,0),0),0)</f>
        <v>0</v>
      </c>
      <c r="K5185" s="455">
        <f t="shared" ca="1" si="183"/>
        <v>2324683487435.3838</v>
      </c>
      <c r="L5185" s="455">
        <f t="shared" ca="1" si="184"/>
        <v>560248720471927.44</v>
      </c>
      <c r="M5185" s="471">
        <f t="shared" si="186"/>
        <v>0.05</v>
      </c>
      <c r="N5185" s="475">
        <f t="shared" si="187"/>
        <v>208860</v>
      </c>
    </row>
    <row r="5186" spans="7:14" ht="11.25" customHeight="1" x14ac:dyDescent="0.3">
      <c r="G5186" s="470"/>
      <c r="H5186" s="470">
        <v>5179</v>
      </c>
      <c r="I5186" s="455">
        <f t="shared" ca="1" si="185"/>
        <v>560248720471927.44</v>
      </c>
      <c r="J5186" s="455">
        <f t="array" ref="J5186">IFERROR(INDEX('Retirement Calculator'!K:K,MATCH('Lorri 401b'!N5186,'Retirement Calculator'!A:A,0),0),0)</f>
        <v>0</v>
      </c>
      <c r="K5186" s="455">
        <f t="shared" ca="1" si="183"/>
        <v>2334369668633.0308</v>
      </c>
      <c r="L5186" s="455">
        <f t="shared" ca="1" si="184"/>
        <v>562583090140560.44</v>
      </c>
      <c r="M5186" s="471">
        <f t="shared" si="186"/>
        <v>0.05</v>
      </c>
      <c r="N5186" s="475">
        <f t="shared" si="187"/>
        <v>208890</v>
      </c>
    </row>
    <row r="5187" spans="7:14" ht="11.25" customHeight="1" x14ac:dyDescent="0.3">
      <c r="G5187" s="470"/>
      <c r="H5187" s="470">
        <v>5180</v>
      </c>
      <c r="I5187" s="455">
        <f t="shared" ca="1" si="185"/>
        <v>562583090140560.44</v>
      </c>
      <c r="J5187" s="455">
        <f t="array" ref="J5187">IFERROR(INDEX('Retirement Calculator'!K:K,MATCH('Lorri 401b'!N5187,'Retirement Calculator'!A:A,0),0),0)</f>
        <v>0</v>
      </c>
      <c r="K5187" s="455">
        <f t="shared" ca="1" si="183"/>
        <v>2344096208919.002</v>
      </c>
      <c r="L5187" s="455">
        <f t="shared" ca="1" si="184"/>
        <v>564927186349479.5</v>
      </c>
      <c r="M5187" s="471">
        <f t="shared" si="186"/>
        <v>0.05</v>
      </c>
      <c r="N5187" s="475">
        <f t="shared" si="187"/>
        <v>208921</v>
      </c>
    </row>
    <row r="5188" spans="7:14" ht="11.25" customHeight="1" x14ac:dyDescent="0.3">
      <c r="G5188" s="470"/>
      <c r="H5188" s="470">
        <v>5181</v>
      </c>
      <c r="I5188" s="455">
        <f t="shared" ca="1" si="185"/>
        <v>564927186349479.5</v>
      </c>
      <c r="J5188" s="455">
        <f t="array" ref="J5188">IFERROR(INDEX('Retirement Calculator'!K:K,MATCH('Lorri 401b'!N5188,'Retirement Calculator'!A:A,0),0),0)</f>
        <v>0</v>
      </c>
      <c r="K5188" s="455">
        <f t="shared" ca="1" si="183"/>
        <v>2353863276456.1646</v>
      </c>
      <c r="L5188" s="455">
        <f t="shared" ca="1" si="184"/>
        <v>567281049625935.63</v>
      </c>
      <c r="M5188" s="471">
        <f t="shared" si="186"/>
        <v>0.05</v>
      </c>
      <c r="N5188" s="475">
        <f t="shared" si="187"/>
        <v>208952</v>
      </c>
    </row>
    <row r="5189" spans="7:14" ht="11.25" customHeight="1" x14ac:dyDescent="0.3">
      <c r="G5189" s="470"/>
      <c r="H5189" s="470">
        <v>5182</v>
      </c>
      <c r="I5189" s="455">
        <f t="shared" ca="1" si="185"/>
        <v>567281049625935.63</v>
      </c>
      <c r="J5189" s="455">
        <f t="array" ref="J5189">IFERROR(INDEX('Retirement Calculator'!K:K,MATCH('Lorri 401b'!N5189,'Retirement Calculator'!A:A,0),0),0)</f>
        <v>0</v>
      </c>
      <c r="K5189" s="455">
        <f t="shared" ca="1" si="183"/>
        <v>2363671040108.0649</v>
      </c>
      <c r="L5189" s="455">
        <f t="shared" ca="1" si="184"/>
        <v>569644720666043.75</v>
      </c>
      <c r="M5189" s="471">
        <f t="shared" si="186"/>
        <v>0.05</v>
      </c>
      <c r="N5189" s="475">
        <f t="shared" si="187"/>
        <v>208981</v>
      </c>
    </row>
    <row r="5190" spans="7:14" ht="11.25" customHeight="1" x14ac:dyDescent="0.3">
      <c r="G5190" s="470"/>
      <c r="H5190" s="470">
        <v>5183</v>
      </c>
      <c r="I5190" s="455">
        <f t="shared" ca="1" si="185"/>
        <v>569644720666043.75</v>
      </c>
      <c r="J5190" s="455">
        <f t="array" ref="J5190">IFERROR(INDEX('Retirement Calculator'!K:K,MATCH('Lorri 401b'!N5190,'Retirement Calculator'!A:A,0),0),0)</f>
        <v>0</v>
      </c>
      <c r="K5190" s="455">
        <f t="shared" ca="1" si="183"/>
        <v>2373519669441.8491</v>
      </c>
      <c r="L5190" s="455">
        <f t="shared" ca="1" si="184"/>
        <v>572018240335485.63</v>
      </c>
      <c r="M5190" s="471">
        <f t="shared" si="186"/>
        <v>0.05</v>
      </c>
      <c r="N5190" s="475">
        <f t="shared" si="187"/>
        <v>209012</v>
      </c>
    </row>
    <row r="5191" spans="7:14" ht="11.25" customHeight="1" x14ac:dyDescent="0.3">
      <c r="G5191" s="470"/>
      <c r="H5191" s="470">
        <v>5184</v>
      </c>
      <c r="I5191" s="455">
        <f t="shared" ca="1" si="185"/>
        <v>572018240335485.63</v>
      </c>
      <c r="J5191" s="455">
        <f t="array" ref="J5191">IFERROR(INDEX('Retirement Calculator'!K:K,MATCH('Lorri 401b'!N5191,'Retirement Calculator'!A:A,0),0),0)</f>
        <v>0</v>
      </c>
      <c r="K5191" s="455">
        <f t="shared" ca="1" si="183"/>
        <v>2383409334731.1899</v>
      </c>
      <c r="L5191" s="455">
        <f t="shared" ca="1" si="184"/>
        <v>574401649670216.88</v>
      </c>
      <c r="M5191" s="471">
        <f t="shared" si="186"/>
        <v>0.05</v>
      </c>
      <c r="N5191" s="475">
        <f t="shared" si="187"/>
        <v>209042</v>
      </c>
    </row>
    <row r="5192" spans="7:14" ht="11.25" customHeight="1" x14ac:dyDescent="0.3">
      <c r="G5192" s="470"/>
      <c r="H5192" s="470">
        <v>5185</v>
      </c>
      <c r="I5192" s="455">
        <f t="shared" ca="1" si="185"/>
        <v>574401649670216.88</v>
      </c>
      <c r="J5192" s="455">
        <f t="array" ref="J5192">IFERROR(INDEX('Retirement Calculator'!K:K,MATCH('Lorri 401b'!N5192,'Retirement Calculator'!A:A,0),0),0)</f>
        <v>0</v>
      </c>
      <c r="K5192" s="455">
        <f t="shared" ca="1" si="183"/>
        <v>2393340206959.2368</v>
      </c>
      <c r="L5192" s="455">
        <f t="shared" ca="1" si="184"/>
        <v>576794989877176.13</v>
      </c>
      <c r="M5192" s="471">
        <f t="shared" si="186"/>
        <v>0.05</v>
      </c>
      <c r="N5192" s="475">
        <f t="shared" si="187"/>
        <v>209073</v>
      </c>
    </row>
    <row r="5193" spans="7:14" ht="11.25" customHeight="1" x14ac:dyDescent="0.3">
      <c r="G5193" s="470"/>
      <c r="H5193" s="470">
        <v>5186</v>
      </c>
      <c r="I5193" s="455">
        <f t="shared" ca="1" si="185"/>
        <v>576794989877176.13</v>
      </c>
      <c r="J5193" s="455">
        <f t="array" ref="J5193">IFERROR(INDEX('Retirement Calculator'!K:K,MATCH('Lorri 401b'!N5193,'Retirement Calculator'!A:A,0),0),0)</f>
        <v>0</v>
      </c>
      <c r="K5193" s="455">
        <f t="shared" ca="1" si="183"/>
        <v>2403312457821.5674</v>
      </c>
      <c r="L5193" s="455">
        <f t="shared" ca="1" si="184"/>
        <v>579198302334997.75</v>
      </c>
      <c r="M5193" s="471">
        <f t="shared" si="186"/>
        <v>0.05</v>
      </c>
      <c r="N5193" s="475">
        <f t="shared" si="187"/>
        <v>209103</v>
      </c>
    </row>
    <row r="5194" spans="7:14" ht="11.25" customHeight="1" x14ac:dyDescent="0.3">
      <c r="G5194" s="470"/>
      <c r="H5194" s="470">
        <v>5187</v>
      </c>
      <c r="I5194" s="455">
        <f t="shared" ca="1" si="185"/>
        <v>579198302334997.75</v>
      </c>
      <c r="J5194" s="455">
        <f t="array" ref="J5194">IFERROR(INDEX('Retirement Calculator'!K:K,MATCH('Lorri 401b'!N5194,'Retirement Calculator'!A:A,0),0),0)</f>
        <v>0</v>
      </c>
      <c r="K5194" s="455">
        <f t="shared" ca="1" si="183"/>
        <v>2413326259729.1572</v>
      </c>
      <c r="L5194" s="455">
        <f t="shared" ca="1" si="184"/>
        <v>581611628594726.88</v>
      </c>
      <c r="M5194" s="471">
        <f t="shared" si="186"/>
        <v>0.05</v>
      </c>
      <c r="N5194" s="475">
        <f t="shared" si="187"/>
        <v>209134</v>
      </c>
    </row>
    <row r="5195" spans="7:14" ht="11.25" customHeight="1" x14ac:dyDescent="0.3">
      <c r="G5195" s="470"/>
      <c r="H5195" s="470">
        <v>5188</v>
      </c>
      <c r="I5195" s="455">
        <f t="shared" ca="1" si="185"/>
        <v>581611628594726.88</v>
      </c>
      <c r="J5195" s="455">
        <f t="array" ref="J5195">IFERROR(INDEX('Retirement Calculator'!K:K,MATCH('Lorri 401b'!N5195,'Retirement Calculator'!A:A,0),0),0)</f>
        <v>0</v>
      </c>
      <c r="K5195" s="455">
        <f t="shared" ca="1" si="183"/>
        <v>2423381785811.3618</v>
      </c>
      <c r="L5195" s="455">
        <f t="shared" ca="1" si="184"/>
        <v>584035010380538.25</v>
      </c>
      <c r="M5195" s="471">
        <f t="shared" si="186"/>
        <v>0.05</v>
      </c>
      <c r="N5195" s="475">
        <f t="shared" si="187"/>
        <v>209165</v>
      </c>
    </row>
    <row r="5196" spans="7:14" ht="11.25" customHeight="1" x14ac:dyDescent="0.3">
      <c r="G5196" s="470"/>
      <c r="H5196" s="470">
        <v>5189</v>
      </c>
      <c r="I5196" s="455">
        <f t="shared" ca="1" si="185"/>
        <v>584035010380538.25</v>
      </c>
      <c r="J5196" s="455">
        <f t="array" ref="J5196">IFERROR(INDEX('Retirement Calculator'!K:K,MATCH('Lorri 401b'!N5196,'Retirement Calculator'!A:A,0),0),0)</f>
        <v>0</v>
      </c>
      <c r="K5196" s="455">
        <f t="shared" ca="1" si="183"/>
        <v>2433479209918.9092</v>
      </c>
      <c r="L5196" s="455">
        <f t="shared" ca="1" si="184"/>
        <v>586468489590457.13</v>
      </c>
      <c r="M5196" s="471">
        <f t="shared" si="186"/>
        <v>0.05</v>
      </c>
      <c r="N5196" s="475">
        <f t="shared" si="187"/>
        <v>209195</v>
      </c>
    </row>
    <row r="5197" spans="7:14" ht="11.25" customHeight="1" x14ac:dyDescent="0.3">
      <c r="G5197" s="470"/>
      <c r="H5197" s="470">
        <v>5190</v>
      </c>
      <c r="I5197" s="455">
        <f t="shared" ca="1" si="185"/>
        <v>586468489590457.13</v>
      </c>
      <c r="J5197" s="455">
        <f t="array" ref="J5197">IFERROR(INDEX('Retirement Calculator'!K:K,MATCH('Lorri 401b'!N5197,'Retirement Calculator'!A:A,0),0),0)</f>
        <v>0</v>
      </c>
      <c r="K5197" s="455">
        <f t="shared" ca="1" si="183"/>
        <v>2443618706626.9048</v>
      </c>
      <c r="L5197" s="455">
        <f t="shared" ca="1" si="184"/>
        <v>588912108297084</v>
      </c>
      <c r="M5197" s="471">
        <f t="shared" si="186"/>
        <v>0.05</v>
      </c>
      <c r="N5197" s="475">
        <f t="shared" si="187"/>
        <v>209226</v>
      </c>
    </row>
    <row r="5198" spans="7:14" ht="11.25" customHeight="1" x14ac:dyDescent="0.3">
      <c r="G5198" s="470"/>
      <c r="H5198" s="470">
        <v>5191</v>
      </c>
      <c r="I5198" s="455">
        <f t="shared" ca="1" si="185"/>
        <v>588912108297084</v>
      </c>
      <c r="J5198" s="455">
        <f t="array" ref="J5198">IFERROR(INDEX('Retirement Calculator'!K:K,MATCH('Lorri 401b'!N5198,'Retirement Calculator'!A:A,0),0),0)</f>
        <v>0</v>
      </c>
      <c r="K5198" s="455">
        <f t="shared" ca="1" si="183"/>
        <v>2453800451237.8501</v>
      </c>
      <c r="L5198" s="455">
        <f t="shared" ca="1" si="184"/>
        <v>591365908748321.88</v>
      </c>
      <c r="M5198" s="471">
        <f t="shared" si="186"/>
        <v>0.05</v>
      </c>
      <c r="N5198" s="475">
        <f t="shared" si="187"/>
        <v>209256</v>
      </c>
    </row>
    <row r="5199" spans="7:14" ht="11.25" customHeight="1" x14ac:dyDescent="0.3">
      <c r="G5199" s="470"/>
      <c r="H5199" s="470">
        <v>5192</v>
      </c>
      <c r="I5199" s="455">
        <f t="shared" ca="1" si="185"/>
        <v>591365908748321.88</v>
      </c>
      <c r="J5199" s="455">
        <f t="array" ref="J5199">IFERROR(INDEX('Retirement Calculator'!K:K,MATCH('Lorri 401b'!N5199,'Retirement Calculator'!A:A,0),0),0)</f>
        <v>0</v>
      </c>
      <c r="K5199" s="455">
        <f t="shared" ca="1" si="183"/>
        <v>2464024619784.6743</v>
      </c>
      <c r="L5199" s="455">
        <f t="shared" ca="1" si="184"/>
        <v>593829933368106.5</v>
      </c>
      <c r="M5199" s="471">
        <f t="shared" si="186"/>
        <v>0.05</v>
      </c>
      <c r="N5199" s="475">
        <f t="shared" si="187"/>
        <v>209287</v>
      </c>
    </row>
    <row r="5200" spans="7:14" ht="11.25" customHeight="1" x14ac:dyDescent="0.3">
      <c r="G5200" s="470"/>
      <c r="H5200" s="470">
        <v>5193</v>
      </c>
      <c r="I5200" s="455">
        <f t="shared" ca="1" si="185"/>
        <v>593829933368106.5</v>
      </c>
      <c r="J5200" s="455">
        <f t="array" ref="J5200">IFERROR(INDEX('Retirement Calculator'!K:K,MATCH('Lorri 401b'!N5200,'Retirement Calculator'!A:A,0),0),0)</f>
        <v>0</v>
      </c>
      <c r="K5200" s="455">
        <f t="shared" ca="1" si="183"/>
        <v>2474291389033.7769</v>
      </c>
      <c r="L5200" s="455">
        <f t="shared" ca="1" si="184"/>
        <v>596304224757140.25</v>
      </c>
      <c r="M5200" s="471">
        <f t="shared" si="186"/>
        <v>0.05</v>
      </c>
      <c r="N5200" s="475">
        <f t="shared" si="187"/>
        <v>209318</v>
      </c>
    </row>
    <row r="5201" spans="7:14" ht="11.25" customHeight="1" x14ac:dyDescent="0.3">
      <c r="G5201" s="470"/>
      <c r="H5201" s="470">
        <v>5194</v>
      </c>
      <c r="I5201" s="455">
        <f t="shared" ca="1" si="185"/>
        <v>596304224757140.25</v>
      </c>
      <c r="J5201" s="455">
        <f t="array" ref="J5201">IFERROR(INDEX('Retirement Calculator'!K:K,MATCH('Lorri 401b'!N5201,'Retirement Calculator'!A:A,0),0),0)</f>
        <v>0</v>
      </c>
      <c r="K5201" s="455">
        <f t="shared" ca="1" si="183"/>
        <v>2484600936488.0845</v>
      </c>
      <c r="L5201" s="455">
        <f t="shared" ca="1" si="184"/>
        <v>598788825693628.38</v>
      </c>
      <c r="M5201" s="471">
        <f t="shared" si="186"/>
        <v>0.05</v>
      </c>
      <c r="N5201" s="475">
        <f t="shared" si="187"/>
        <v>209346</v>
      </c>
    </row>
    <row r="5202" spans="7:14" ht="11.25" customHeight="1" x14ac:dyDescent="0.3">
      <c r="G5202" s="470"/>
      <c r="H5202" s="470">
        <v>5195</v>
      </c>
      <c r="I5202" s="455">
        <f t="shared" ca="1" si="185"/>
        <v>598788825693628.38</v>
      </c>
      <c r="J5202" s="455">
        <f t="array" ref="J5202">IFERROR(INDEX('Retirement Calculator'!K:K,MATCH('Lorri 401b'!N5202,'Retirement Calculator'!A:A,0),0),0)</f>
        <v>0</v>
      </c>
      <c r="K5202" s="455">
        <f t="shared" ca="1" si="183"/>
        <v>2494953440390.1182</v>
      </c>
      <c r="L5202" s="455">
        <f t="shared" ca="1" si="184"/>
        <v>601283779134018.5</v>
      </c>
      <c r="M5202" s="471">
        <f t="shared" si="186"/>
        <v>0.05</v>
      </c>
      <c r="N5202" s="475">
        <f t="shared" si="187"/>
        <v>209377</v>
      </c>
    </row>
    <row r="5203" spans="7:14" ht="11.25" customHeight="1" x14ac:dyDescent="0.3">
      <c r="G5203" s="470"/>
      <c r="H5203" s="470">
        <v>5196</v>
      </c>
      <c r="I5203" s="455">
        <f t="shared" ca="1" si="185"/>
        <v>601283779134018.5</v>
      </c>
      <c r="J5203" s="455">
        <f t="array" ref="J5203">IFERROR(INDEX('Retirement Calculator'!K:K,MATCH('Lorri 401b'!N5203,'Retirement Calculator'!A:A,0),0),0)</f>
        <v>0</v>
      </c>
      <c r="K5203" s="455">
        <f t="shared" ca="1" si="183"/>
        <v>2505349079725.0771</v>
      </c>
      <c r="L5203" s="455">
        <f t="shared" ca="1" si="184"/>
        <v>603789128213743.63</v>
      </c>
      <c r="M5203" s="471">
        <f t="shared" si="186"/>
        <v>0.05</v>
      </c>
      <c r="N5203" s="475">
        <f t="shared" si="187"/>
        <v>209407</v>
      </c>
    </row>
    <row r="5204" spans="7:14" ht="11.25" customHeight="1" x14ac:dyDescent="0.3">
      <c r="G5204" s="470"/>
      <c r="H5204" s="470">
        <v>5197</v>
      </c>
      <c r="I5204" s="455">
        <f t="shared" ca="1" si="185"/>
        <v>603789128213743.63</v>
      </c>
      <c r="J5204" s="455">
        <f t="array" ref="J5204">IFERROR(INDEX('Retirement Calculator'!K:K,MATCH('Lorri 401b'!N5204,'Retirement Calculator'!A:A,0),0),0)</f>
        <v>0</v>
      </c>
      <c r="K5204" s="455">
        <f t="shared" ca="1" si="183"/>
        <v>2515788034223.9316</v>
      </c>
      <c r="L5204" s="455">
        <f t="shared" ca="1" si="184"/>
        <v>606304916247967.5</v>
      </c>
      <c r="M5204" s="471">
        <f t="shared" si="186"/>
        <v>0.05</v>
      </c>
      <c r="N5204" s="475">
        <f t="shared" si="187"/>
        <v>209438</v>
      </c>
    </row>
    <row r="5205" spans="7:14" ht="11.25" customHeight="1" x14ac:dyDescent="0.3">
      <c r="G5205" s="470"/>
      <c r="H5205" s="470">
        <v>5198</v>
      </c>
      <c r="I5205" s="455">
        <f t="shared" ca="1" si="185"/>
        <v>606304916247967.5</v>
      </c>
      <c r="J5205" s="455">
        <f t="array" ref="J5205">IFERROR(INDEX('Retirement Calculator'!K:K,MATCH('Lorri 401b'!N5205,'Retirement Calculator'!A:A,0),0),0)</f>
        <v>0</v>
      </c>
      <c r="K5205" s="455">
        <f t="shared" ca="1" si="183"/>
        <v>2526270484366.5313</v>
      </c>
      <c r="L5205" s="455">
        <f t="shared" ca="1" si="184"/>
        <v>608831186732334</v>
      </c>
      <c r="M5205" s="471">
        <f t="shared" si="186"/>
        <v>0.05</v>
      </c>
      <c r="N5205" s="475">
        <f t="shared" si="187"/>
        <v>209468</v>
      </c>
    </row>
    <row r="5206" spans="7:14" ht="11.25" customHeight="1" x14ac:dyDescent="0.3">
      <c r="G5206" s="470"/>
      <c r="H5206" s="470">
        <v>5199</v>
      </c>
      <c r="I5206" s="455">
        <f t="shared" ca="1" si="185"/>
        <v>608831186732334</v>
      </c>
      <c r="J5206" s="455">
        <f t="array" ref="J5206">IFERROR(INDEX('Retirement Calculator'!K:K,MATCH('Lorri 401b'!N5206,'Retirement Calculator'!A:A,0),0),0)</f>
        <v>0</v>
      </c>
      <c r="K5206" s="455">
        <f t="shared" ca="1" si="183"/>
        <v>2536796611384.7251</v>
      </c>
      <c r="L5206" s="455">
        <f t="shared" ca="1" si="184"/>
        <v>611367983343718.75</v>
      </c>
      <c r="M5206" s="471">
        <f t="shared" si="186"/>
        <v>0.05</v>
      </c>
      <c r="N5206" s="475">
        <f t="shared" si="187"/>
        <v>209499</v>
      </c>
    </row>
    <row r="5207" spans="7:14" ht="11.25" customHeight="1" x14ac:dyDescent="0.3">
      <c r="G5207" s="470"/>
      <c r="H5207" s="470">
        <v>5200</v>
      </c>
      <c r="I5207" s="455">
        <f t="shared" ca="1" si="185"/>
        <v>611367983343718.75</v>
      </c>
      <c r="J5207" s="455">
        <f t="array" ref="J5207">IFERROR(INDEX('Retirement Calculator'!K:K,MATCH('Lorri 401b'!N5207,'Retirement Calculator'!A:A,0),0),0)</f>
        <v>0</v>
      </c>
      <c r="K5207" s="455">
        <f t="shared" ca="1" si="183"/>
        <v>2547366597265.4946</v>
      </c>
      <c r="L5207" s="455">
        <f t="shared" ca="1" si="184"/>
        <v>613915349940984.25</v>
      </c>
      <c r="M5207" s="471">
        <f t="shared" si="186"/>
        <v>0.05</v>
      </c>
      <c r="N5207" s="475">
        <f t="shared" si="187"/>
        <v>209530</v>
      </c>
    </row>
    <row r="5208" spans="7:14" ht="11.25" customHeight="1" x14ac:dyDescent="0.3">
      <c r="G5208" s="470"/>
      <c r="H5208" s="470">
        <v>5201</v>
      </c>
      <c r="I5208" s="455">
        <f t="shared" ca="1" si="185"/>
        <v>613915349940984.25</v>
      </c>
      <c r="J5208" s="455">
        <f t="array" ref="J5208">IFERROR(INDEX('Retirement Calculator'!K:K,MATCH('Lorri 401b'!N5208,'Retirement Calculator'!A:A,0),0),0)</f>
        <v>0</v>
      </c>
      <c r="K5208" s="455">
        <f t="shared" ca="1" si="183"/>
        <v>2557980624754.1011</v>
      </c>
      <c r="L5208" s="455">
        <f t="shared" ca="1" si="184"/>
        <v>616473330565738.38</v>
      </c>
      <c r="M5208" s="471">
        <f t="shared" si="186"/>
        <v>0.05</v>
      </c>
      <c r="N5208" s="475">
        <f t="shared" si="187"/>
        <v>209560</v>
      </c>
    </row>
    <row r="5209" spans="7:14" ht="11.25" customHeight="1" x14ac:dyDescent="0.3">
      <c r="G5209" s="470"/>
      <c r="H5209" s="470">
        <v>5202</v>
      </c>
      <c r="I5209" s="455">
        <f t="shared" ca="1" si="185"/>
        <v>616473330565738.38</v>
      </c>
      <c r="J5209" s="455">
        <f t="array" ref="J5209">IFERROR(INDEX('Retirement Calculator'!K:K,MATCH('Lorri 401b'!N5209,'Retirement Calculator'!A:A,0),0),0)</f>
        <v>0</v>
      </c>
      <c r="K5209" s="455">
        <f t="shared" ca="1" si="183"/>
        <v>2568638877357.2432</v>
      </c>
      <c r="L5209" s="455">
        <f t="shared" ca="1" si="184"/>
        <v>619041969443095.63</v>
      </c>
      <c r="M5209" s="471">
        <f t="shared" si="186"/>
        <v>0.05</v>
      </c>
      <c r="N5209" s="475">
        <f t="shared" si="187"/>
        <v>209591</v>
      </c>
    </row>
    <row r="5210" spans="7:14" ht="11.25" customHeight="1" x14ac:dyDescent="0.3">
      <c r="G5210" s="470"/>
      <c r="H5210" s="470">
        <v>5203</v>
      </c>
      <c r="I5210" s="455">
        <f t="shared" ca="1" si="185"/>
        <v>619041969443095.63</v>
      </c>
      <c r="J5210" s="455">
        <f t="array" ref="J5210">IFERROR(INDEX('Retirement Calculator'!K:K,MATCH('Lorri 401b'!N5210,'Retirement Calculator'!A:A,0),0),0)</f>
        <v>0</v>
      </c>
      <c r="K5210" s="455">
        <f t="shared" ca="1" si="183"/>
        <v>2579341539346.2319</v>
      </c>
      <c r="L5210" s="455">
        <f t="shared" ca="1" si="184"/>
        <v>621621310982441.88</v>
      </c>
      <c r="M5210" s="471">
        <f t="shared" si="186"/>
        <v>0.05</v>
      </c>
      <c r="N5210" s="475">
        <f t="shared" si="187"/>
        <v>209621</v>
      </c>
    </row>
    <row r="5211" spans="7:14" ht="11.25" customHeight="1" x14ac:dyDescent="0.3">
      <c r="G5211" s="470"/>
      <c r="H5211" s="470">
        <v>5204</v>
      </c>
      <c r="I5211" s="455">
        <f t="shared" ca="1" si="185"/>
        <v>621621310982441.88</v>
      </c>
      <c r="J5211" s="455">
        <f t="array" ref="J5211">IFERROR(INDEX('Retirement Calculator'!K:K,MATCH('Lorri 401b'!N5211,'Retirement Calculator'!A:A,0),0),0)</f>
        <v>0</v>
      </c>
      <c r="K5211" s="455">
        <f t="shared" ca="1" si="183"/>
        <v>2590088795760.1743</v>
      </c>
      <c r="L5211" s="455">
        <f t="shared" ca="1" si="184"/>
        <v>624211399778202</v>
      </c>
      <c r="M5211" s="471">
        <f t="shared" si="186"/>
        <v>0.05</v>
      </c>
      <c r="N5211" s="475">
        <f t="shared" si="187"/>
        <v>209652</v>
      </c>
    </row>
    <row r="5212" spans="7:14" ht="11.25" customHeight="1" x14ac:dyDescent="0.3">
      <c r="G5212" s="470"/>
      <c r="H5212" s="470">
        <v>5205</v>
      </c>
      <c r="I5212" s="455">
        <f t="shared" ca="1" si="185"/>
        <v>624211399778202</v>
      </c>
      <c r="J5212" s="455">
        <f t="array" ref="J5212">IFERROR(INDEX('Retirement Calculator'!K:K,MATCH('Lorri 401b'!N5212,'Retirement Calculator'!A:A,0),0),0)</f>
        <v>0</v>
      </c>
      <c r="K5212" s="455">
        <f t="shared" ca="1" si="183"/>
        <v>2600880832409.1748</v>
      </c>
      <c r="L5212" s="455">
        <f t="shared" ca="1" si="184"/>
        <v>626812280610611.13</v>
      </c>
      <c r="M5212" s="471">
        <f t="shared" si="186"/>
        <v>0.05</v>
      </c>
      <c r="N5212" s="475">
        <f t="shared" si="187"/>
        <v>209683</v>
      </c>
    </row>
    <row r="5213" spans="7:14" ht="11.25" customHeight="1" x14ac:dyDescent="0.3">
      <c r="G5213" s="470"/>
      <c r="H5213" s="470">
        <v>5206</v>
      </c>
      <c r="I5213" s="455">
        <f t="shared" ca="1" si="185"/>
        <v>626812280610611.13</v>
      </c>
      <c r="J5213" s="455">
        <f t="array" ref="J5213">IFERROR(INDEX('Retirement Calculator'!K:K,MATCH('Lorri 401b'!N5213,'Retirement Calculator'!A:A,0),0),0)</f>
        <v>0</v>
      </c>
      <c r="K5213" s="455">
        <f t="shared" ca="1" si="183"/>
        <v>2611717835877.5464</v>
      </c>
      <c r="L5213" s="455">
        <f t="shared" ca="1" si="184"/>
        <v>629423998446488.63</v>
      </c>
      <c r="M5213" s="471">
        <f t="shared" si="186"/>
        <v>0.05</v>
      </c>
      <c r="N5213" s="475">
        <f t="shared" si="187"/>
        <v>209711</v>
      </c>
    </row>
    <row r="5214" spans="7:14" ht="11.25" customHeight="1" x14ac:dyDescent="0.3">
      <c r="G5214" s="470"/>
      <c r="H5214" s="470">
        <v>5207</v>
      </c>
      <c r="I5214" s="455">
        <f t="shared" ca="1" si="185"/>
        <v>629423998446488.63</v>
      </c>
      <c r="J5214" s="455">
        <f t="array" ref="J5214">IFERROR(INDEX('Retirement Calculator'!K:K,MATCH('Lorri 401b'!N5214,'Retirement Calculator'!A:A,0),0),0)</f>
        <v>0</v>
      </c>
      <c r="K5214" s="455">
        <f t="shared" ca="1" si="183"/>
        <v>2622599993527.0361</v>
      </c>
      <c r="L5214" s="455">
        <f t="shared" ca="1" si="184"/>
        <v>632046598440015.63</v>
      </c>
      <c r="M5214" s="471">
        <f t="shared" si="186"/>
        <v>0.05</v>
      </c>
      <c r="N5214" s="475">
        <f t="shared" si="187"/>
        <v>209742</v>
      </c>
    </row>
    <row r="5215" spans="7:14" ht="11.25" customHeight="1" x14ac:dyDescent="0.3">
      <c r="G5215" s="470"/>
      <c r="H5215" s="470">
        <v>5208</v>
      </c>
      <c r="I5215" s="455">
        <f t="shared" ca="1" si="185"/>
        <v>632046598440015.63</v>
      </c>
      <c r="J5215" s="455">
        <f t="array" ref="J5215">IFERROR(INDEX('Retirement Calculator'!K:K,MATCH('Lorri 401b'!N5215,'Retirement Calculator'!A:A,0),0),0)</f>
        <v>0</v>
      </c>
      <c r="K5215" s="455">
        <f t="shared" ca="1" si="183"/>
        <v>2633527493500.0649</v>
      </c>
      <c r="L5215" s="455">
        <f t="shared" ca="1" si="184"/>
        <v>634680125933515.75</v>
      </c>
      <c r="M5215" s="471">
        <f t="shared" si="186"/>
        <v>0.05</v>
      </c>
      <c r="N5215" s="475">
        <f t="shared" si="187"/>
        <v>209772</v>
      </c>
    </row>
    <row r="5216" spans="7:14" ht="11.25" customHeight="1" x14ac:dyDescent="0.3">
      <c r="G5216" s="470"/>
      <c r="H5216" s="470">
        <v>5209</v>
      </c>
      <c r="I5216" s="455">
        <f t="shared" ca="1" si="185"/>
        <v>634680125933515.75</v>
      </c>
      <c r="J5216" s="455">
        <f t="array" ref="J5216">IFERROR(INDEX('Retirement Calculator'!K:K,MATCH('Lorri 401b'!N5216,'Retirement Calculator'!A:A,0),0),0)</f>
        <v>0</v>
      </c>
      <c r="K5216" s="455">
        <f t="shared" ca="1" si="183"/>
        <v>2644500524722.9824</v>
      </c>
      <c r="L5216" s="455">
        <f t="shared" ca="1" si="184"/>
        <v>637324626458238.75</v>
      </c>
      <c r="M5216" s="471">
        <f t="shared" si="186"/>
        <v>0.05</v>
      </c>
      <c r="N5216" s="475">
        <f t="shared" si="187"/>
        <v>209803</v>
      </c>
    </row>
    <row r="5217" spans="7:14" ht="11.25" customHeight="1" x14ac:dyDescent="0.3">
      <c r="G5217" s="470"/>
      <c r="H5217" s="470">
        <v>5210</v>
      </c>
      <c r="I5217" s="455">
        <f t="shared" ca="1" si="185"/>
        <v>637324626458238.75</v>
      </c>
      <c r="J5217" s="455">
        <f t="array" ref="J5217">IFERROR(INDEX('Retirement Calculator'!K:K,MATCH('Lorri 401b'!N5217,'Retirement Calculator'!A:A,0),0),0)</f>
        <v>0</v>
      </c>
      <c r="K5217" s="455">
        <f t="shared" ca="1" si="183"/>
        <v>2655519276909.3281</v>
      </c>
      <c r="L5217" s="455">
        <f t="shared" ca="1" si="184"/>
        <v>639980145735148.13</v>
      </c>
      <c r="M5217" s="471">
        <f t="shared" si="186"/>
        <v>0.05</v>
      </c>
      <c r="N5217" s="475">
        <f t="shared" si="187"/>
        <v>209833</v>
      </c>
    </row>
    <row r="5218" spans="7:14" ht="11.25" customHeight="1" x14ac:dyDescent="0.3">
      <c r="G5218" s="470"/>
      <c r="H5218" s="470">
        <v>5211</v>
      </c>
      <c r="I5218" s="455">
        <f t="shared" ca="1" si="185"/>
        <v>639980145735148.13</v>
      </c>
      <c r="J5218" s="455">
        <f t="array" ref="J5218">IFERROR(INDEX('Retirement Calculator'!K:K,MATCH('Lorri 401b'!N5218,'Retirement Calculator'!A:A,0),0),0)</f>
        <v>0</v>
      </c>
      <c r="K5218" s="455">
        <f t="shared" ca="1" si="183"/>
        <v>2666583940563.1172</v>
      </c>
      <c r="L5218" s="455">
        <f t="shared" ca="1" si="184"/>
        <v>642646729675711.25</v>
      </c>
      <c r="M5218" s="471">
        <f t="shared" si="186"/>
        <v>0.05</v>
      </c>
      <c r="N5218" s="475">
        <f t="shared" si="187"/>
        <v>209864</v>
      </c>
    </row>
    <row r="5219" spans="7:14" ht="11.25" customHeight="1" x14ac:dyDescent="0.3">
      <c r="G5219" s="470"/>
      <c r="H5219" s="470">
        <v>5212</v>
      </c>
      <c r="I5219" s="455">
        <f t="shared" ca="1" si="185"/>
        <v>642646729675711.25</v>
      </c>
      <c r="J5219" s="455">
        <f t="array" ref="J5219">IFERROR(INDEX('Retirement Calculator'!K:K,MATCH('Lorri 401b'!N5219,'Retirement Calculator'!A:A,0),0),0)</f>
        <v>0</v>
      </c>
      <c r="K5219" s="455">
        <f t="shared" ca="1" si="183"/>
        <v>2677694706982.1304</v>
      </c>
      <c r="L5219" s="455">
        <f t="shared" ca="1" si="184"/>
        <v>645324424382693.38</v>
      </c>
      <c r="M5219" s="471">
        <f t="shared" si="186"/>
        <v>0.05</v>
      </c>
      <c r="N5219" s="475">
        <f t="shared" si="187"/>
        <v>209895</v>
      </c>
    </row>
    <row r="5220" spans="7:14" ht="11.25" customHeight="1" x14ac:dyDescent="0.3">
      <c r="G5220" s="470"/>
      <c r="H5220" s="470">
        <v>5213</v>
      </c>
      <c r="I5220" s="455">
        <f t="shared" ca="1" si="185"/>
        <v>645324424382693.38</v>
      </c>
      <c r="J5220" s="455">
        <f t="array" ref="J5220">IFERROR(INDEX('Retirement Calculator'!K:K,MATCH('Lorri 401b'!N5220,'Retirement Calculator'!A:A,0),0),0)</f>
        <v>0</v>
      </c>
      <c r="K5220" s="455">
        <f t="shared" ca="1" si="183"/>
        <v>2688851768261.2222</v>
      </c>
      <c r="L5220" s="455">
        <f t="shared" ca="1" si="184"/>
        <v>648013276150954.63</v>
      </c>
      <c r="M5220" s="471">
        <f t="shared" si="186"/>
        <v>0.05</v>
      </c>
      <c r="N5220" s="475">
        <f t="shared" si="187"/>
        <v>209925</v>
      </c>
    </row>
    <row r="5221" spans="7:14" ht="11.25" customHeight="1" x14ac:dyDescent="0.3">
      <c r="G5221" s="470"/>
      <c r="H5221" s="470">
        <v>5214</v>
      </c>
      <c r="I5221" s="455">
        <f t="shared" ca="1" si="185"/>
        <v>648013276150954.63</v>
      </c>
      <c r="J5221" s="455">
        <f t="array" ref="J5221">IFERROR(INDEX('Retirement Calculator'!K:K,MATCH('Lorri 401b'!N5221,'Retirement Calculator'!A:A,0),0),0)</f>
        <v>0</v>
      </c>
      <c r="K5221" s="455">
        <f t="shared" ca="1" si="183"/>
        <v>2700055317295.644</v>
      </c>
      <c r="L5221" s="455">
        <f t="shared" ca="1" si="184"/>
        <v>650713331468250.25</v>
      </c>
      <c r="M5221" s="471">
        <f t="shared" si="186"/>
        <v>0.05</v>
      </c>
      <c r="N5221" s="475">
        <f t="shared" si="187"/>
        <v>209956</v>
      </c>
    </row>
    <row r="5222" spans="7:14" ht="11.25" customHeight="1" x14ac:dyDescent="0.3">
      <c r="G5222" s="470"/>
      <c r="H5222" s="470">
        <v>5215</v>
      </c>
      <c r="I5222" s="455">
        <f t="shared" ca="1" si="185"/>
        <v>650713331468250.25</v>
      </c>
      <c r="J5222" s="455">
        <f t="array" ref="J5222">IFERROR(INDEX('Retirement Calculator'!K:K,MATCH('Lorri 401b'!N5222,'Retirement Calculator'!A:A,0),0),0)</f>
        <v>0</v>
      </c>
      <c r="K5222" s="455">
        <f t="shared" ca="1" si="183"/>
        <v>2711305547784.376</v>
      </c>
      <c r="L5222" s="455">
        <f t="shared" ca="1" si="184"/>
        <v>653424637016034.63</v>
      </c>
      <c r="M5222" s="471">
        <f t="shared" si="186"/>
        <v>0.05</v>
      </c>
      <c r="N5222" s="475">
        <f t="shared" si="187"/>
        <v>209986</v>
      </c>
    </row>
    <row r="5223" spans="7:14" ht="11.25" customHeight="1" x14ac:dyDescent="0.3">
      <c r="G5223" s="470"/>
      <c r="H5223" s="470">
        <v>5216</v>
      </c>
      <c r="I5223" s="455">
        <f t="shared" ca="1" si="185"/>
        <v>653424637016034.63</v>
      </c>
      <c r="J5223" s="455">
        <f t="array" ref="J5223">IFERROR(INDEX('Retirement Calculator'!K:K,MATCH('Lorri 401b'!N5223,'Retirement Calculator'!A:A,0),0),0)</f>
        <v>0</v>
      </c>
      <c r="K5223" s="455">
        <f t="shared" ca="1" si="183"/>
        <v>2722602654233.4775</v>
      </c>
      <c r="L5223" s="455">
        <f t="shared" ca="1" si="184"/>
        <v>656147239670268.13</v>
      </c>
      <c r="M5223" s="471">
        <f t="shared" si="186"/>
        <v>0.05</v>
      </c>
      <c r="N5223" s="475">
        <f t="shared" si="187"/>
        <v>210017</v>
      </c>
    </row>
    <row r="5224" spans="7:14" ht="11.25" customHeight="1" x14ac:dyDescent="0.3">
      <c r="G5224" s="470"/>
      <c r="H5224" s="470">
        <v>5217</v>
      </c>
      <c r="I5224" s="455">
        <f t="shared" ca="1" si="185"/>
        <v>656147239670268.13</v>
      </c>
      <c r="J5224" s="455">
        <f t="array" ref="J5224">IFERROR(INDEX('Retirement Calculator'!K:K,MATCH('Lorri 401b'!N5224,'Retirement Calculator'!A:A,0),0),0)</f>
        <v>0</v>
      </c>
      <c r="K5224" s="455">
        <f t="shared" ca="1" si="183"/>
        <v>2733946831959.4507</v>
      </c>
      <c r="L5224" s="455">
        <f t="shared" ca="1" si="184"/>
        <v>658881186502227.63</v>
      </c>
      <c r="M5224" s="471">
        <f t="shared" si="186"/>
        <v>0.05</v>
      </c>
      <c r="N5224" s="475">
        <f t="shared" si="187"/>
        <v>210048</v>
      </c>
    </row>
    <row r="5225" spans="7:14" ht="11.25" customHeight="1" x14ac:dyDescent="0.3">
      <c r="G5225" s="470"/>
      <c r="H5225" s="470">
        <v>5218</v>
      </c>
      <c r="I5225" s="455">
        <f t="shared" ca="1" si="185"/>
        <v>658881186502227.63</v>
      </c>
      <c r="J5225" s="455">
        <f t="array" ref="J5225">IFERROR(INDEX('Retirement Calculator'!K:K,MATCH('Lorri 401b'!N5225,'Retirement Calculator'!A:A,0),0),0)</f>
        <v>0</v>
      </c>
      <c r="K5225" s="455">
        <f t="shared" ca="1" si="183"/>
        <v>2745338277092.6152</v>
      </c>
      <c r="L5225" s="455">
        <f t="shared" ca="1" si="184"/>
        <v>661626524779320.25</v>
      </c>
      <c r="M5225" s="471">
        <f t="shared" si="186"/>
        <v>0.05</v>
      </c>
      <c r="N5225" s="475">
        <f t="shared" si="187"/>
        <v>210076</v>
      </c>
    </row>
    <row r="5226" spans="7:14" ht="11.25" customHeight="1" x14ac:dyDescent="0.3">
      <c r="G5226" s="470"/>
      <c r="H5226" s="470">
        <v>5219</v>
      </c>
      <c r="I5226" s="455">
        <f t="shared" ca="1" si="185"/>
        <v>661626524779320.25</v>
      </c>
      <c r="J5226" s="455">
        <f t="array" ref="J5226">IFERROR(INDEX('Retirement Calculator'!K:K,MATCH('Lorri 401b'!N5226,'Retirement Calculator'!A:A,0),0),0)</f>
        <v>0</v>
      </c>
      <c r="K5226" s="455">
        <f t="shared" ca="1" si="183"/>
        <v>2756777186580.501</v>
      </c>
      <c r="L5226" s="455">
        <f t="shared" ca="1" si="184"/>
        <v>664383301965900.75</v>
      </c>
      <c r="M5226" s="471">
        <f t="shared" si="186"/>
        <v>0.05</v>
      </c>
      <c r="N5226" s="475">
        <f t="shared" si="187"/>
        <v>210107</v>
      </c>
    </row>
    <row r="5227" spans="7:14" ht="11.25" customHeight="1" x14ac:dyDescent="0.3">
      <c r="G5227" s="470"/>
      <c r="H5227" s="470">
        <v>5220</v>
      </c>
      <c r="I5227" s="455">
        <f t="shared" ca="1" si="185"/>
        <v>664383301965900.75</v>
      </c>
      <c r="J5227" s="455">
        <f t="array" ref="J5227">IFERROR(INDEX('Retirement Calculator'!K:K,MATCH('Lorri 401b'!N5227,'Retirement Calculator'!A:A,0),0),0)</f>
        <v>0</v>
      </c>
      <c r="K5227" s="455">
        <f t="shared" ca="1" si="183"/>
        <v>2768263758191.2529</v>
      </c>
      <c r="L5227" s="455">
        <f t="shared" ca="1" si="184"/>
        <v>667151565724092</v>
      </c>
      <c r="M5227" s="471">
        <f t="shared" si="186"/>
        <v>0.05</v>
      </c>
      <c r="N5227" s="475">
        <f t="shared" si="187"/>
        <v>210137</v>
      </c>
    </row>
    <row r="5228" spans="7:14" ht="11.25" customHeight="1" x14ac:dyDescent="0.3">
      <c r="G5228" s="470"/>
      <c r="H5228" s="470">
        <v>5221</v>
      </c>
      <c r="I5228" s="455">
        <f t="shared" ca="1" si="185"/>
        <v>667151565724092</v>
      </c>
      <c r="J5228" s="455">
        <f t="array" ref="J5228">IFERROR(INDEX('Retirement Calculator'!K:K,MATCH('Lorri 401b'!N5228,'Retirement Calculator'!A:A,0),0),0)</f>
        <v>0</v>
      </c>
      <c r="K5228" s="455">
        <f t="shared" ca="1" si="183"/>
        <v>2779798190517.0498</v>
      </c>
      <c r="L5228" s="455">
        <f t="shared" ca="1" si="184"/>
        <v>669931363914609</v>
      </c>
      <c r="M5228" s="471">
        <f t="shared" si="186"/>
        <v>0.05</v>
      </c>
      <c r="N5228" s="475">
        <f t="shared" si="187"/>
        <v>210168</v>
      </c>
    </row>
    <row r="5229" spans="7:14" ht="11.25" customHeight="1" x14ac:dyDescent="0.3">
      <c r="G5229" s="470"/>
      <c r="H5229" s="470">
        <v>5222</v>
      </c>
      <c r="I5229" s="455">
        <f t="shared" ca="1" si="185"/>
        <v>669931363914609</v>
      </c>
      <c r="J5229" s="455">
        <f t="array" ref="J5229">IFERROR(INDEX('Retirement Calculator'!K:K,MATCH('Lorri 401b'!N5229,'Retirement Calculator'!A:A,0),0),0)</f>
        <v>0</v>
      </c>
      <c r="K5229" s="455">
        <f t="shared" ca="1" si="183"/>
        <v>2791380682977.5376</v>
      </c>
      <c r="L5229" s="455">
        <f t="shared" ca="1" si="184"/>
        <v>672722744597586.5</v>
      </c>
      <c r="M5229" s="471">
        <f t="shared" si="186"/>
        <v>0.05</v>
      </c>
      <c r="N5229" s="475">
        <f t="shared" si="187"/>
        <v>210198</v>
      </c>
    </row>
    <row r="5230" spans="7:14" ht="11.25" customHeight="1" x14ac:dyDescent="0.3">
      <c r="G5230" s="470"/>
      <c r="H5230" s="470">
        <v>5223</v>
      </c>
      <c r="I5230" s="455">
        <f t="shared" ca="1" si="185"/>
        <v>672722744597586.5</v>
      </c>
      <c r="J5230" s="455">
        <f t="array" ref="J5230">IFERROR(INDEX('Retirement Calculator'!K:K,MATCH('Lorri 401b'!N5230,'Retirement Calculator'!A:A,0),0),0)</f>
        <v>0</v>
      </c>
      <c r="K5230" s="455">
        <f t="shared" ca="1" si="183"/>
        <v>2803011435823.2769</v>
      </c>
      <c r="L5230" s="455">
        <f t="shared" ca="1" si="184"/>
        <v>675525756033409.75</v>
      </c>
      <c r="M5230" s="471">
        <f t="shared" si="186"/>
        <v>0.05</v>
      </c>
      <c r="N5230" s="475">
        <f t="shared" si="187"/>
        <v>210229</v>
      </c>
    </row>
    <row r="5231" spans="7:14" ht="11.25" customHeight="1" x14ac:dyDescent="0.3">
      <c r="G5231" s="470"/>
      <c r="H5231" s="470">
        <v>5224</v>
      </c>
      <c r="I5231" s="455">
        <f t="shared" ca="1" si="185"/>
        <v>675525756033409.75</v>
      </c>
      <c r="J5231" s="455">
        <f t="array" ref="J5231">IFERROR(INDEX('Retirement Calculator'!K:K,MATCH('Lorri 401b'!N5231,'Retirement Calculator'!A:A,0),0),0)</f>
        <v>0</v>
      </c>
      <c r="K5231" s="455">
        <f t="shared" ca="1" si="183"/>
        <v>2814690650139.207</v>
      </c>
      <c r="L5231" s="455">
        <f t="shared" ca="1" si="184"/>
        <v>678340446683549</v>
      </c>
      <c r="M5231" s="471">
        <f t="shared" si="186"/>
        <v>0.05</v>
      </c>
      <c r="N5231" s="475">
        <f t="shared" si="187"/>
        <v>210260</v>
      </c>
    </row>
    <row r="5232" spans="7:14" ht="11.25" customHeight="1" x14ac:dyDescent="0.3">
      <c r="G5232" s="470"/>
      <c r="H5232" s="470">
        <v>5225</v>
      </c>
      <c r="I5232" s="455">
        <f t="shared" ca="1" si="185"/>
        <v>678340446683549</v>
      </c>
      <c r="J5232" s="455">
        <f t="array" ref="J5232">IFERROR(INDEX('Retirement Calculator'!K:K,MATCH('Lorri 401b'!N5232,'Retirement Calculator'!A:A,0),0),0)</f>
        <v>0</v>
      </c>
      <c r="K5232" s="455">
        <f t="shared" ca="1" si="183"/>
        <v>2826418527848.1206</v>
      </c>
      <c r="L5232" s="455">
        <f t="shared" ca="1" si="184"/>
        <v>681166865211397.13</v>
      </c>
      <c r="M5232" s="471">
        <f t="shared" si="186"/>
        <v>0.05</v>
      </c>
      <c r="N5232" s="475">
        <f t="shared" si="187"/>
        <v>210290</v>
      </c>
    </row>
    <row r="5233" spans="7:14" ht="11.25" customHeight="1" x14ac:dyDescent="0.3">
      <c r="G5233" s="470"/>
      <c r="H5233" s="470">
        <v>5226</v>
      </c>
      <c r="I5233" s="455">
        <f t="shared" ca="1" si="185"/>
        <v>681166865211397.13</v>
      </c>
      <c r="J5233" s="455">
        <f t="array" ref="J5233">IFERROR(INDEX('Retirement Calculator'!K:K,MATCH('Lorri 401b'!N5233,'Retirement Calculator'!A:A,0),0),0)</f>
        <v>0</v>
      </c>
      <c r="K5233" s="455">
        <f t="shared" ca="1" si="183"/>
        <v>2838195271714.1548</v>
      </c>
      <c r="L5233" s="455">
        <f t="shared" ca="1" si="184"/>
        <v>684005060483111.25</v>
      </c>
      <c r="M5233" s="471">
        <f t="shared" si="186"/>
        <v>0.05</v>
      </c>
      <c r="N5233" s="475">
        <f t="shared" si="187"/>
        <v>210321</v>
      </c>
    </row>
    <row r="5234" spans="7:14" ht="11.25" customHeight="1" x14ac:dyDescent="0.3">
      <c r="G5234" s="470"/>
      <c r="H5234" s="470">
        <v>5227</v>
      </c>
      <c r="I5234" s="455">
        <f t="shared" ca="1" si="185"/>
        <v>684005060483111.25</v>
      </c>
      <c r="J5234" s="455">
        <f t="array" ref="J5234">IFERROR(INDEX('Retirement Calculator'!K:K,MATCH('Lorri 401b'!N5234,'Retirement Calculator'!A:A,0),0),0)</f>
        <v>0</v>
      </c>
      <c r="K5234" s="455">
        <f t="shared" ca="1" si="183"/>
        <v>2850021085346.2969</v>
      </c>
      <c r="L5234" s="455">
        <f t="shared" ca="1" si="184"/>
        <v>686855081568457.5</v>
      </c>
      <c r="M5234" s="471">
        <f t="shared" si="186"/>
        <v>0.05</v>
      </c>
      <c r="N5234" s="475">
        <f t="shared" si="187"/>
        <v>210351</v>
      </c>
    </row>
    <row r="5235" spans="7:14" ht="11.25" customHeight="1" x14ac:dyDescent="0.3">
      <c r="G5235" s="470"/>
      <c r="H5235" s="470">
        <v>5228</v>
      </c>
      <c r="I5235" s="455">
        <f t="shared" ca="1" si="185"/>
        <v>686855081568457.5</v>
      </c>
      <c r="J5235" s="455">
        <f t="array" ref="J5235">IFERROR(INDEX('Retirement Calculator'!K:K,MATCH('Lorri 401b'!N5235,'Retirement Calculator'!A:A,0),0),0)</f>
        <v>0</v>
      </c>
      <c r="K5235" s="455">
        <f t="shared" ca="1" si="183"/>
        <v>2861896173201.9063</v>
      </c>
      <c r="L5235" s="455">
        <f t="shared" ca="1" si="184"/>
        <v>689716977741659.38</v>
      </c>
      <c r="M5235" s="471">
        <f t="shared" si="186"/>
        <v>0.05</v>
      </c>
      <c r="N5235" s="475">
        <f t="shared" si="187"/>
        <v>210382</v>
      </c>
    </row>
    <row r="5236" spans="7:14" ht="11.25" customHeight="1" x14ac:dyDescent="0.3">
      <c r="G5236" s="470"/>
      <c r="H5236" s="470">
        <v>5229</v>
      </c>
      <c r="I5236" s="455">
        <f t="shared" ca="1" si="185"/>
        <v>689716977741659.38</v>
      </c>
      <c r="J5236" s="455">
        <f t="array" ref="J5236">IFERROR(INDEX('Retirement Calculator'!K:K,MATCH('Lorri 401b'!N5236,'Retirement Calculator'!A:A,0),0),0)</f>
        <v>0</v>
      </c>
      <c r="K5236" s="455">
        <f t="shared" ca="1" si="183"/>
        <v>2873820740590.2476</v>
      </c>
      <c r="L5236" s="455">
        <f t="shared" ca="1" si="184"/>
        <v>692590798482249.63</v>
      </c>
      <c r="M5236" s="471">
        <f t="shared" si="186"/>
        <v>0.05</v>
      </c>
      <c r="N5236" s="475">
        <f t="shared" si="187"/>
        <v>210413</v>
      </c>
    </row>
    <row r="5237" spans="7:14" ht="11.25" customHeight="1" x14ac:dyDescent="0.3">
      <c r="G5237" s="470"/>
      <c r="H5237" s="470">
        <v>5230</v>
      </c>
      <c r="I5237" s="455">
        <f t="shared" ca="1" si="185"/>
        <v>692590798482249.63</v>
      </c>
      <c r="J5237" s="455">
        <f t="array" ref="J5237">IFERROR(INDEX('Retirement Calculator'!K:K,MATCH('Lorri 401b'!N5237,'Retirement Calculator'!A:A,0),0),0)</f>
        <v>0</v>
      </c>
      <c r="K5237" s="455">
        <f t="shared" ca="1" si="183"/>
        <v>2885794993676.04</v>
      </c>
      <c r="L5237" s="455">
        <f t="shared" ca="1" si="184"/>
        <v>695476593475925.63</v>
      </c>
      <c r="M5237" s="471">
        <f t="shared" si="186"/>
        <v>0.05</v>
      </c>
      <c r="N5237" s="475">
        <f t="shared" si="187"/>
        <v>210442</v>
      </c>
    </row>
    <row r="5238" spans="7:14" ht="11.25" customHeight="1" x14ac:dyDescent="0.3">
      <c r="G5238" s="470"/>
      <c r="H5238" s="470">
        <v>5231</v>
      </c>
      <c r="I5238" s="455">
        <f t="shared" ca="1" si="185"/>
        <v>695476593475925.63</v>
      </c>
      <c r="J5238" s="455">
        <f t="array" ref="J5238">IFERROR(INDEX('Retirement Calculator'!K:K,MATCH('Lorri 401b'!N5238,'Retirement Calculator'!A:A,0),0),0)</f>
        <v>0</v>
      </c>
      <c r="K5238" s="455">
        <f t="shared" ca="1" si="183"/>
        <v>2897819139483.0234</v>
      </c>
      <c r="L5238" s="455">
        <f t="shared" ca="1" si="184"/>
        <v>698374412615408.63</v>
      </c>
      <c r="M5238" s="471">
        <f t="shared" si="186"/>
        <v>0.05</v>
      </c>
      <c r="N5238" s="475">
        <f t="shared" si="187"/>
        <v>210473</v>
      </c>
    </row>
    <row r="5239" spans="7:14" ht="11.25" customHeight="1" x14ac:dyDescent="0.3">
      <c r="G5239" s="470"/>
      <c r="H5239" s="470">
        <v>5232</v>
      </c>
      <c r="I5239" s="455">
        <f t="shared" ca="1" si="185"/>
        <v>698374412615408.63</v>
      </c>
      <c r="J5239" s="455">
        <f t="array" ref="J5239">IFERROR(INDEX('Retirement Calculator'!K:K,MATCH('Lorri 401b'!N5239,'Retirement Calculator'!A:A,0),0),0)</f>
        <v>0</v>
      </c>
      <c r="K5239" s="455">
        <f t="shared" ca="1" si="183"/>
        <v>2909893385897.5361</v>
      </c>
      <c r="L5239" s="455">
        <f t="shared" ca="1" si="184"/>
        <v>701284306001306.13</v>
      </c>
      <c r="M5239" s="471">
        <f t="shared" si="186"/>
        <v>0.05</v>
      </c>
      <c r="N5239" s="475">
        <f t="shared" si="187"/>
        <v>210503</v>
      </c>
    </row>
    <row r="5240" spans="7:14" ht="11.25" customHeight="1" x14ac:dyDescent="0.3">
      <c r="G5240" s="470"/>
      <c r="H5240" s="470">
        <v>5233</v>
      </c>
      <c r="I5240" s="455">
        <f t="shared" ca="1" si="185"/>
        <v>701284306001306.13</v>
      </c>
      <c r="J5240" s="455">
        <f t="array" ref="J5240">IFERROR(INDEX('Retirement Calculator'!K:K,MATCH('Lorri 401b'!N5240,'Retirement Calculator'!A:A,0),0),0)</f>
        <v>0</v>
      </c>
      <c r="K5240" s="455">
        <f t="shared" ca="1" si="183"/>
        <v>2922017941672.1089</v>
      </c>
      <c r="L5240" s="455">
        <f t="shared" ca="1" si="184"/>
        <v>704206323942978.25</v>
      </c>
      <c r="M5240" s="471">
        <f t="shared" si="186"/>
        <v>0.05</v>
      </c>
      <c r="N5240" s="475">
        <f t="shared" si="187"/>
        <v>210534</v>
      </c>
    </row>
    <row r="5241" spans="7:14" ht="11.25" customHeight="1" x14ac:dyDescent="0.3">
      <c r="G5241" s="470"/>
      <c r="H5241" s="470">
        <v>5234</v>
      </c>
      <c r="I5241" s="455">
        <f t="shared" ca="1" si="185"/>
        <v>704206323942978.25</v>
      </c>
      <c r="J5241" s="455">
        <f t="array" ref="J5241">IFERROR(INDEX('Retirement Calculator'!K:K,MATCH('Lorri 401b'!N5241,'Retirement Calculator'!A:A,0),0),0)</f>
        <v>0</v>
      </c>
      <c r="K5241" s="455">
        <f t="shared" ca="1" si="183"/>
        <v>2934193016429.0762</v>
      </c>
      <c r="L5241" s="455">
        <f t="shared" ca="1" si="184"/>
        <v>707140516959407.38</v>
      </c>
      <c r="M5241" s="471">
        <f t="shared" si="186"/>
        <v>0.05</v>
      </c>
      <c r="N5241" s="475">
        <f t="shared" si="187"/>
        <v>210564</v>
      </c>
    </row>
    <row r="5242" spans="7:14" ht="11.25" customHeight="1" x14ac:dyDescent="0.3">
      <c r="G5242" s="470"/>
      <c r="H5242" s="470">
        <v>5235</v>
      </c>
      <c r="I5242" s="455">
        <f t="shared" ca="1" si="185"/>
        <v>707140516959407.38</v>
      </c>
      <c r="J5242" s="455">
        <f t="array" ref="J5242">IFERROR(INDEX('Retirement Calculator'!K:K,MATCH('Lorri 401b'!N5242,'Retirement Calculator'!A:A,0),0),0)</f>
        <v>0</v>
      </c>
      <c r="K5242" s="455">
        <f t="shared" ca="1" si="183"/>
        <v>2946418820664.1973</v>
      </c>
      <c r="L5242" s="455">
        <f t="shared" ca="1" si="184"/>
        <v>710086935780071.63</v>
      </c>
      <c r="M5242" s="471">
        <f t="shared" si="186"/>
        <v>0.05</v>
      </c>
      <c r="N5242" s="475">
        <f t="shared" si="187"/>
        <v>210595</v>
      </c>
    </row>
    <row r="5243" spans="7:14" ht="11.25" customHeight="1" x14ac:dyDescent="0.3">
      <c r="G5243" s="470"/>
      <c r="H5243" s="470">
        <v>5236</v>
      </c>
      <c r="I5243" s="455">
        <f t="shared" ca="1" si="185"/>
        <v>710086935780071.63</v>
      </c>
      <c r="J5243" s="455">
        <f t="array" ref="J5243">IFERROR(INDEX('Retirement Calculator'!K:K,MATCH('Lorri 401b'!N5243,'Retirement Calculator'!A:A,0),0),0)</f>
        <v>0</v>
      </c>
      <c r="K5243" s="455">
        <f t="shared" ca="1" si="183"/>
        <v>2958695565750.2983</v>
      </c>
      <c r="L5243" s="455">
        <f t="shared" ca="1" si="184"/>
        <v>713045631345821.88</v>
      </c>
      <c r="M5243" s="471">
        <f t="shared" si="186"/>
        <v>0.05</v>
      </c>
      <c r="N5243" s="475">
        <f t="shared" si="187"/>
        <v>210626</v>
      </c>
    </row>
    <row r="5244" spans="7:14" ht="11.25" customHeight="1" x14ac:dyDescent="0.3">
      <c r="G5244" s="470"/>
      <c r="H5244" s="470">
        <v>5237</v>
      </c>
      <c r="I5244" s="455">
        <f t="shared" ca="1" si="185"/>
        <v>713045631345821.88</v>
      </c>
      <c r="J5244" s="455">
        <f t="array" ref="J5244">IFERROR(INDEX('Retirement Calculator'!K:K,MATCH('Lorri 401b'!N5244,'Retirement Calculator'!A:A,0),0),0)</f>
        <v>0</v>
      </c>
      <c r="K5244" s="455">
        <f t="shared" ca="1" si="183"/>
        <v>2971023463940.9243</v>
      </c>
      <c r="L5244" s="455">
        <f t="shared" ca="1" si="184"/>
        <v>716016654809762.75</v>
      </c>
      <c r="M5244" s="471">
        <f t="shared" si="186"/>
        <v>0.05</v>
      </c>
      <c r="N5244" s="475">
        <f t="shared" si="187"/>
        <v>210656</v>
      </c>
    </row>
    <row r="5245" spans="7:14" ht="11.25" customHeight="1" x14ac:dyDescent="0.3">
      <c r="G5245" s="470"/>
      <c r="H5245" s="470">
        <v>5238</v>
      </c>
      <c r="I5245" s="455">
        <f t="shared" ca="1" si="185"/>
        <v>716016654809762.75</v>
      </c>
      <c r="J5245" s="455">
        <f t="array" ref="J5245">IFERROR(INDEX('Retirement Calculator'!K:K,MATCH('Lorri 401b'!N5245,'Retirement Calculator'!A:A,0),0),0)</f>
        <v>0</v>
      </c>
      <c r="K5245" s="455">
        <f t="shared" ca="1" si="183"/>
        <v>2983402728374.0112</v>
      </c>
      <c r="L5245" s="455">
        <f t="shared" ca="1" si="184"/>
        <v>719000057538136.75</v>
      </c>
      <c r="M5245" s="471">
        <f t="shared" si="186"/>
        <v>0.05</v>
      </c>
      <c r="N5245" s="475">
        <f t="shared" si="187"/>
        <v>210687</v>
      </c>
    </row>
    <row r="5246" spans="7:14" ht="11.25" customHeight="1" x14ac:dyDescent="0.3">
      <c r="G5246" s="470"/>
      <c r="H5246" s="470">
        <v>5239</v>
      </c>
      <c r="I5246" s="455">
        <f t="shared" ca="1" si="185"/>
        <v>719000057538136.75</v>
      </c>
      <c r="J5246" s="455">
        <f t="array" ref="J5246">IFERROR(INDEX('Retirement Calculator'!K:K,MATCH('Lorri 401b'!N5246,'Retirement Calculator'!A:A,0),0),0)</f>
        <v>0</v>
      </c>
      <c r="K5246" s="455">
        <f t="shared" ca="1" si="183"/>
        <v>2995833573075.5698</v>
      </c>
      <c r="L5246" s="455">
        <f t="shared" ca="1" si="184"/>
        <v>721995891111212.38</v>
      </c>
      <c r="M5246" s="471">
        <f t="shared" si="186"/>
        <v>0.05</v>
      </c>
      <c r="N5246" s="475">
        <f t="shared" si="187"/>
        <v>210717</v>
      </c>
    </row>
    <row r="5247" spans="7:14" ht="11.25" customHeight="1" x14ac:dyDescent="0.3">
      <c r="G5247" s="470"/>
      <c r="H5247" s="470">
        <v>5240</v>
      </c>
      <c r="I5247" s="455">
        <f t="shared" ca="1" si="185"/>
        <v>721995891111212.38</v>
      </c>
      <c r="J5247" s="455">
        <f t="array" ref="J5247">IFERROR(INDEX('Retirement Calculator'!K:K,MATCH('Lorri 401b'!N5247,'Retirement Calculator'!A:A,0),0),0)</f>
        <v>0</v>
      </c>
      <c r="K5247" s="455">
        <f t="shared" ca="1" si="183"/>
        <v>3008316212963.3848</v>
      </c>
      <c r="L5247" s="455">
        <f t="shared" ca="1" si="184"/>
        <v>725004207324175.75</v>
      </c>
      <c r="M5247" s="471">
        <f t="shared" si="186"/>
        <v>0.05</v>
      </c>
      <c r="N5247" s="475">
        <f t="shared" si="187"/>
        <v>210748</v>
      </c>
    </row>
    <row r="5248" spans="7:14" ht="11.25" customHeight="1" x14ac:dyDescent="0.3">
      <c r="G5248" s="470"/>
      <c r="H5248" s="470">
        <v>5241</v>
      </c>
      <c r="I5248" s="455">
        <f t="shared" ca="1" si="185"/>
        <v>725004207324175.75</v>
      </c>
      <c r="J5248" s="455">
        <f t="array" ref="J5248">IFERROR(INDEX('Retirement Calculator'!K:K,MATCH('Lorri 401b'!N5248,'Retirement Calculator'!A:A,0),0),0)</f>
        <v>0</v>
      </c>
      <c r="K5248" s="455">
        <f t="shared" ca="1" si="183"/>
        <v>3020850863850.7324</v>
      </c>
      <c r="L5248" s="455">
        <f t="shared" ca="1" si="184"/>
        <v>728025058188026.5</v>
      </c>
      <c r="M5248" s="471">
        <f t="shared" si="186"/>
        <v>0.05</v>
      </c>
      <c r="N5248" s="475">
        <f t="shared" si="187"/>
        <v>210779</v>
      </c>
    </row>
    <row r="5249" spans="7:14" ht="11.25" customHeight="1" x14ac:dyDescent="0.3">
      <c r="G5249" s="470"/>
      <c r="H5249" s="470">
        <v>5242</v>
      </c>
      <c r="I5249" s="455">
        <f t="shared" ca="1" si="185"/>
        <v>728025058188026.5</v>
      </c>
      <c r="J5249" s="455">
        <f t="array" ref="J5249">IFERROR(INDEX('Retirement Calculator'!K:K,MATCH('Lorri 401b'!N5249,'Retirement Calculator'!A:A,0),0),0)</f>
        <v>0</v>
      </c>
      <c r="K5249" s="455">
        <f t="shared" ca="1" si="183"/>
        <v>3033437742450.1104</v>
      </c>
      <c r="L5249" s="455">
        <f t="shared" ca="1" si="184"/>
        <v>731058495930476.63</v>
      </c>
      <c r="M5249" s="471">
        <f t="shared" si="186"/>
        <v>0.05</v>
      </c>
      <c r="N5249" s="475">
        <f t="shared" si="187"/>
        <v>210807</v>
      </c>
    </row>
    <row r="5250" spans="7:14" ht="11.25" customHeight="1" x14ac:dyDescent="0.3">
      <c r="G5250" s="470"/>
      <c r="H5250" s="470">
        <v>5243</v>
      </c>
      <c r="I5250" s="455">
        <f t="shared" ca="1" si="185"/>
        <v>731058495930476.63</v>
      </c>
      <c r="J5250" s="455">
        <f t="array" ref="J5250">IFERROR(INDEX('Retirement Calculator'!K:K,MATCH('Lorri 401b'!N5250,'Retirement Calculator'!A:A,0),0),0)</f>
        <v>0</v>
      </c>
      <c r="K5250" s="455">
        <f t="shared" ca="1" si="183"/>
        <v>3046077066376.9858</v>
      </c>
      <c r="L5250" s="455">
        <f t="shared" ca="1" si="184"/>
        <v>734104572996853.63</v>
      </c>
      <c r="M5250" s="471">
        <f t="shared" si="186"/>
        <v>0.05</v>
      </c>
      <c r="N5250" s="475">
        <f t="shared" si="187"/>
        <v>210838</v>
      </c>
    </row>
    <row r="5251" spans="7:14" ht="11.25" customHeight="1" x14ac:dyDescent="0.3">
      <c r="G5251" s="470"/>
      <c r="H5251" s="470">
        <v>5244</v>
      </c>
      <c r="I5251" s="455">
        <f t="shared" ca="1" si="185"/>
        <v>734104572996853.63</v>
      </c>
      <c r="J5251" s="455">
        <f t="array" ref="J5251">IFERROR(INDEX('Retirement Calculator'!K:K,MATCH('Lorri 401b'!N5251,'Retirement Calculator'!A:A,0),0),0)</f>
        <v>0</v>
      </c>
      <c r="K5251" s="455">
        <f t="shared" ca="1" si="183"/>
        <v>3058769054153.5566</v>
      </c>
      <c r="L5251" s="455">
        <f t="shared" ca="1" si="184"/>
        <v>737163342051007.13</v>
      </c>
      <c r="M5251" s="471">
        <f t="shared" si="186"/>
        <v>0.05</v>
      </c>
      <c r="N5251" s="475">
        <f t="shared" si="187"/>
        <v>210868</v>
      </c>
    </row>
    <row r="5252" spans="7:14" ht="11.25" customHeight="1" x14ac:dyDescent="0.3">
      <c r="G5252" s="470"/>
      <c r="H5252" s="470">
        <v>5245</v>
      </c>
      <c r="I5252" s="455">
        <f t="shared" ca="1" si="185"/>
        <v>737163342051007.13</v>
      </c>
      <c r="J5252" s="455">
        <f t="array" ref="J5252">IFERROR(INDEX('Retirement Calculator'!K:K,MATCH('Lorri 401b'!N5252,'Retirement Calculator'!A:A,0),0),0)</f>
        <v>0</v>
      </c>
      <c r="K5252" s="455">
        <f t="shared" ca="1" si="183"/>
        <v>3071513925212.5298</v>
      </c>
      <c r="L5252" s="455">
        <f t="shared" ca="1" si="184"/>
        <v>740234855976219.63</v>
      </c>
      <c r="M5252" s="471">
        <f t="shared" si="186"/>
        <v>0.05</v>
      </c>
      <c r="N5252" s="475">
        <f t="shared" si="187"/>
        <v>210899</v>
      </c>
    </row>
    <row r="5253" spans="7:14" ht="11.25" customHeight="1" x14ac:dyDescent="0.3">
      <c r="G5253" s="470"/>
      <c r="H5253" s="470">
        <v>5246</v>
      </c>
      <c r="I5253" s="455">
        <f t="shared" ca="1" si="185"/>
        <v>740234855976219.63</v>
      </c>
      <c r="J5253" s="455">
        <f t="array" ref="J5253">IFERROR(INDEX('Retirement Calculator'!K:K,MATCH('Lorri 401b'!N5253,'Retirement Calculator'!A:A,0),0),0)</f>
        <v>0</v>
      </c>
      <c r="K5253" s="455">
        <f t="shared" ca="1" si="183"/>
        <v>3084311899900.915</v>
      </c>
      <c r="L5253" s="455">
        <f t="shared" ca="1" si="184"/>
        <v>743319167876120.5</v>
      </c>
      <c r="M5253" s="471">
        <f t="shared" si="186"/>
        <v>0.05</v>
      </c>
      <c r="N5253" s="475">
        <f t="shared" si="187"/>
        <v>210929</v>
      </c>
    </row>
    <row r="5254" spans="7:14" ht="11.25" customHeight="1" x14ac:dyDescent="0.3">
      <c r="G5254" s="470"/>
      <c r="H5254" s="470">
        <v>5247</v>
      </c>
      <c r="I5254" s="455">
        <f t="shared" ca="1" si="185"/>
        <v>743319167876120.5</v>
      </c>
      <c r="J5254" s="455">
        <f t="array" ref="J5254">IFERROR(INDEX('Retirement Calculator'!K:K,MATCH('Lorri 401b'!N5254,'Retirement Calculator'!A:A,0),0),0)</f>
        <v>0</v>
      </c>
      <c r="K5254" s="455">
        <f t="shared" ca="1" si="183"/>
        <v>3097163199483.8354</v>
      </c>
      <c r="L5254" s="455">
        <f t="shared" ca="1" si="184"/>
        <v>746416331075604.38</v>
      </c>
      <c r="M5254" s="471">
        <f t="shared" si="186"/>
        <v>0.05</v>
      </c>
      <c r="N5254" s="475">
        <f t="shared" si="187"/>
        <v>210960</v>
      </c>
    </row>
    <row r="5255" spans="7:14" ht="11.25" customHeight="1" x14ac:dyDescent="0.3">
      <c r="G5255" s="470"/>
      <c r="H5255" s="470">
        <v>5248</v>
      </c>
      <c r="I5255" s="455">
        <f t="shared" ca="1" si="185"/>
        <v>746416331075604.38</v>
      </c>
      <c r="J5255" s="455">
        <f t="array" ref="J5255">IFERROR(INDEX('Retirement Calculator'!K:K,MATCH('Lorri 401b'!N5255,'Retirement Calculator'!A:A,0),0),0)</f>
        <v>0</v>
      </c>
      <c r="K5255" s="455">
        <f t="shared" ca="1" si="183"/>
        <v>3110068046148.3516</v>
      </c>
      <c r="L5255" s="455">
        <f t="shared" ca="1" si="184"/>
        <v>749526399121752.75</v>
      </c>
      <c r="M5255" s="471">
        <f t="shared" si="186"/>
        <v>0.05</v>
      </c>
      <c r="N5255" s="475">
        <f t="shared" si="187"/>
        <v>210991</v>
      </c>
    </row>
    <row r="5256" spans="7:14" ht="11.25" customHeight="1" x14ac:dyDescent="0.3">
      <c r="G5256" s="470"/>
      <c r="H5256" s="470">
        <v>5249</v>
      </c>
      <c r="I5256" s="455">
        <f t="shared" ca="1" si="185"/>
        <v>749526399121752.75</v>
      </c>
      <c r="J5256" s="455">
        <f t="array" ref="J5256">IFERROR(INDEX('Retirement Calculator'!K:K,MATCH('Lorri 401b'!N5256,'Retirement Calculator'!A:A,0),0),0)</f>
        <v>0</v>
      </c>
      <c r="K5256" s="455">
        <f t="shared" ca="1" si="183"/>
        <v>3123026663007.3032</v>
      </c>
      <c r="L5256" s="455">
        <f t="shared" ca="1" si="184"/>
        <v>752649425784760</v>
      </c>
      <c r="M5256" s="471">
        <f t="shared" si="186"/>
        <v>0.05</v>
      </c>
      <c r="N5256" s="475">
        <f t="shared" si="187"/>
        <v>211021</v>
      </c>
    </row>
    <row r="5257" spans="7:14" ht="11.25" customHeight="1" x14ac:dyDescent="0.3">
      <c r="G5257" s="470"/>
      <c r="H5257" s="470">
        <v>5250</v>
      </c>
      <c r="I5257" s="455">
        <f t="shared" ca="1" si="185"/>
        <v>752649425784760</v>
      </c>
      <c r="J5257" s="455">
        <f t="array" ref="J5257">IFERROR(INDEX('Retirement Calculator'!K:K,MATCH('Lorri 401b'!N5257,'Retirement Calculator'!A:A,0),0),0)</f>
        <v>0</v>
      </c>
      <c r="K5257" s="455">
        <f t="shared" ca="1" si="183"/>
        <v>3136039274103.1665</v>
      </c>
      <c r="L5257" s="455">
        <f t="shared" ca="1" si="184"/>
        <v>755785465058863.13</v>
      </c>
      <c r="M5257" s="471">
        <f t="shared" si="186"/>
        <v>0.05</v>
      </c>
      <c r="N5257" s="475">
        <f t="shared" si="187"/>
        <v>211052</v>
      </c>
    </row>
    <row r="5258" spans="7:14" ht="11.25" customHeight="1" x14ac:dyDescent="0.3">
      <c r="G5258" s="470"/>
      <c r="H5258" s="470">
        <v>5251</v>
      </c>
      <c r="I5258" s="455">
        <f t="shared" ca="1" si="185"/>
        <v>755785465058863.13</v>
      </c>
      <c r="J5258" s="455">
        <f t="array" ref="J5258">IFERROR(INDEX('Retirement Calculator'!K:K,MATCH('Lorri 401b'!N5258,'Retirement Calculator'!A:A,0),0),0)</f>
        <v>0</v>
      </c>
      <c r="K5258" s="455">
        <f t="shared" ca="1" si="183"/>
        <v>3149106104411.9297</v>
      </c>
      <c r="L5258" s="455">
        <f t="shared" ca="1" si="184"/>
        <v>758934571163275</v>
      </c>
      <c r="M5258" s="471">
        <f t="shared" si="186"/>
        <v>0.05</v>
      </c>
      <c r="N5258" s="475">
        <f t="shared" si="187"/>
        <v>211082</v>
      </c>
    </row>
    <row r="5259" spans="7:14" ht="11.25" customHeight="1" x14ac:dyDescent="0.3">
      <c r="G5259" s="470"/>
      <c r="H5259" s="470">
        <v>5252</v>
      </c>
      <c r="I5259" s="455">
        <f t="shared" ca="1" si="185"/>
        <v>758934571163275</v>
      </c>
      <c r="J5259" s="455">
        <f t="array" ref="J5259">IFERROR(INDEX('Retirement Calculator'!K:K,MATCH('Lorri 401b'!N5259,'Retirement Calculator'!A:A,0),0),0)</f>
        <v>0</v>
      </c>
      <c r="K5259" s="455">
        <f t="shared" ca="1" si="183"/>
        <v>3162227379846.979</v>
      </c>
      <c r="L5259" s="455">
        <f t="shared" ca="1" si="184"/>
        <v>762096798543122</v>
      </c>
      <c r="M5259" s="471">
        <f t="shared" si="186"/>
        <v>0.05</v>
      </c>
      <c r="N5259" s="475">
        <f t="shared" si="187"/>
        <v>211113</v>
      </c>
    </row>
    <row r="5260" spans="7:14" ht="11.25" customHeight="1" x14ac:dyDescent="0.3">
      <c r="G5260" s="470"/>
      <c r="H5260" s="470">
        <v>5253</v>
      </c>
      <c r="I5260" s="455">
        <f t="shared" ca="1" si="185"/>
        <v>762096798543122</v>
      </c>
      <c r="J5260" s="455">
        <f t="array" ref="J5260">IFERROR(INDEX('Retirement Calculator'!K:K,MATCH('Lorri 401b'!N5260,'Retirement Calculator'!A:A,0),0),0)</f>
        <v>0</v>
      </c>
      <c r="K5260" s="455">
        <f t="shared" ca="1" si="183"/>
        <v>3175403327263.0083</v>
      </c>
      <c r="L5260" s="455">
        <f t="shared" ca="1" si="184"/>
        <v>765272201870385</v>
      </c>
      <c r="M5260" s="471">
        <f t="shared" si="186"/>
        <v>0.05</v>
      </c>
      <c r="N5260" s="475">
        <f t="shared" si="187"/>
        <v>211144</v>
      </c>
    </row>
    <row r="5261" spans="7:14" ht="11.25" customHeight="1" x14ac:dyDescent="0.3">
      <c r="G5261" s="470"/>
      <c r="H5261" s="470">
        <v>5254</v>
      </c>
      <c r="I5261" s="455">
        <f t="shared" ca="1" si="185"/>
        <v>765272201870385</v>
      </c>
      <c r="J5261" s="455">
        <f t="array" ref="J5261">IFERROR(INDEX('Retirement Calculator'!K:K,MATCH('Lorri 401b'!N5261,'Retirement Calculator'!A:A,0),0),0)</f>
        <v>0</v>
      </c>
      <c r="K5261" s="455">
        <f t="shared" ca="1" si="183"/>
        <v>3188634174459.9375</v>
      </c>
      <c r="L5261" s="455">
        <f t="shared" ca="1" si="184"/>
        <v>768460836044845</v>
      </c>
      <c r="M5261" s="471">
        <f t="shared" si="186"/>
        <v>0.05</v>
      </c>
      <c r="N5261" s="475">
        <f t="shared" si="187"/>
        <v>211172</v>
      </c>
    </row>
    <row r="5262" spans="7:14" ht="11.25" customHeight="1" x14ac:dyDescent="0.3">
      <c r="G5262" s="470"/>
      <c r="H5262" s="470">
        <v>5255</v>
      </c>
      <c r="I5262" s="455">
        <f t="shared" ca="1" si="185"/>
        <v>768460836044845</v>
      </c>
      <c r="J5262" s="455">
        <f t="array" ref="J5262">IFERROR(INDEX('Retirement Calculator'!K:K,MATCH('Lorri 401b'!N5262,'Retirement Calculator'!A:A,0),0),0)</f>
        <v>0</v>
      </c>
      <c r="K5262" s="455">
        <f t="shared" ca="1" si="183"/>
        <v>3201920150186.854</v>
      </c>
      <c r="L5262" s="455">
        <f t="shared" ca="1" si="184"/>
        <v>771662756195031.88</v>
      </c>
      <c r="M5262" s="471">
        <f t="shared" si="186"/>
        <v>0.05</v>
      </c>
      <c r="N5262" s="475">
        <f t="shared" si="187"/>
        <v>211203</v>
      </c>
    </row>
    <row r="5263" spans="7:14" ht="11.25" customHeight="1" x14ac:dyDescent="0.3">
      <c r="G5263" s="470"/>
      <c r="H5263" s="470">
        <v>5256</v>
      </c>
      <c r="I5263" s="455">
        <f t="shared" ca="1" si="185"/>
        <v>771662756195031.88</v>
      </c>
      <c r="J5263" s="455">
        <f t="array" ref="J5263">IFERROR(INDEX('Retirement Calculator'!K:K,MATCH('Lorri 401b'!N5263,'Retirement Calculator'!A:A,0),0),0)</f>
        <v>0</v>
      </c>
      <c r="K5263" s="455">
        <f t="shared" ca="1" si="183"/>
        <v>3215261484145.9663</v>
      </c>
      <c r="L5263" s="455">
        <f t="shared" ca="1" si="184"/>
        <v>774878017679177.88</v>
      </c>
      <c r="M5263" s="471">
        <f t="shared" si="186"/>
        <v>0.05</v>
      </c>
      <c r="N5263" s="475">
        <f t="shared" si="187"/>
        <v>211233</v>
      </c>
    </row>
    <row r="5264" spans="7:14" ht="11.25" customHeight="1" x14ac:dyDescent="0.3">
      <c r="G5264" s="470"/>
      <c r="H5264" s="470">
        <v>5257</v>
      </c>
      <c r="I5264" s="455">
        <f t="shared" ca="1" si="185"/>
        <v>774878017679177.88</v>
      </c>
      <c r="J5264" s="455">
        <f t="array" ref="J5264">IFERROR(INDEX('Retirement Calculator'!K:K,MATCH('Lorri 401b'!N5264,'Retirement Calculator'!A:A,0),0),0)</f>
        <v>0</v>
      </c>
      <c r="K5264" s="455">
        <f t="shared" ca="1" si="183"/>
        <v>3228658406996.5742</v>
      </c>
      <c r="L5264" s="455">
        <f t="shared" ca="1" si="184"/>
        <v>778106676086174.5</v>
      </c>
      <c r="M5264" s="471">
        <f t="shared" si="186"/>
        <v>0.05</v>
      </c>
      <c r="N5264" s="475">
        <f t="shared" si="187"/>
        <v>211264</v>
      </c>
    </row>
    <row r="5265" spans="7:14" ht="11.25" customHeight="1" x14ac:dyDescent="0.3">
      <c r="G5265" s="470"/>
      <c r="H5265" s="470">
        <v>5258</v>
      </c>
      <c r="I5265" s="455">
        <f t="shared" ca="1" si="185"/>
        <v>778106676086174.5</v>
      </c>
      <c r="J5265" s="455">
        <f t="array" ref="J5265">IFERROR(INDEX('Retirement Calculator'!K:K,MATCH('Lorri 401b'!N5265,'Retirement Calculator'!A:A,0),0),0)</f>
        <v>0</v>
      </c>
      <c r="K5265" s="455">
        <f t="shared" ca="1" si="183"/>
        <v>3242111150359.0605</v>
      </c>
      <c r="L5265" s="455">
        <f t="shared" ca="1" si="184"/>
        <v>781348787236533.5</v>
      </c>
      <c r="M5265" s="471">
        <f t="shared" si="186"/>
        <v>0.05</v>
      </c>
      <c r="N5265" s="475">
        <f t="shared" si="187"/>
        <v>211294</v>
      </c>
    </row>
    <row r="5266" spans="7:14" ht="11.25" customHeight="1" x14ac:dyDescent="0.3">
      <c r="G5266" s="470"/>
      <c r="H5266" s="470">
        <v>5259</v>
      </c>
      <c r="I5266" s="455">
        <f t="shared" ca="1" si="185"/>
        <v>781348787236533.5</v>
      </c>
      <c r="J5266" s="455">
        <f t="array" ref="J5266">IFERROR(INDEX('Retirement Calculator'!K:K,MATCH('Lorri 401b'!N5266,'Retirement Calculator'!A:A,0),0),0)</f>
        <v>0</v>
      </c>
      <c r="K5266" s="455">
        <f t="shared" ca="1" si="183"/>
        <v>3255619946818.8896</v>
      </c>
      <c r="L5266" s="455">
        <f t="shared" ca="1" si="184"/>
        <v>784604407183352.38</v>
      </c>
      <c r="M5266" s="471">
        <f t="shared" si="186"/>
        <v>0.05</v>
      </c>
      <c r="N5266" s="475">
        <f t="shared" si="187"/>
        <v>211325</v>
      </c>
    </row>
    <row r="5267" spans="7:14" ht="11.25" customHeight="1" x14ac:dyDescent="0.3">
      <c r="G5267" s="470"/>
      <c r="H5267" s="470">
        <v>5260</v>
      </c>
      <c r="I5267" s="455">
        <f t="shared" ca="1" si="185"/>
        <v>784604407183352.38</v>
      </c>
      <c r="J5267" s="455">
        <f t="array" ref="J5267">IFERROR(INDEX('Retirement Calculator'!K:K,MATCH('Lorri 401b'!N5267,'Retirement Calculator'!A:A,0),0),0)</f>
        <v>0</v>
      </c>
      <c r="K5267" s="455">
        <f t="shared" ca="1" si="183"/>
        <v>3269185029930.6348</v>
      </c>
      <c r="L5267" s="455">
        <f t="shared" ca="1" si="184"/>
        <v>787873592213283</v>
      </c>
      <c r="M5267" s="471">
        <f t="shared" si="186"/>
        <v>0.05</v>
      </c>
      <c r="N5267" s="475">
        <f t="shared" si="187"/>
        <v>211356</v>
      </c>
    </row>
    <row r="5268" spans="7:14" ht="11.25" customHeight="1" x14ac:dyDescent="0.3">
      <c r="G5268" s="470"/>
      <c r="H5268" s="470">
        <v>5261</v>
      </c>
      <c r="I5268" s="455">
        <f t="shared" ca="1" si="185"/>
        <v>787873592213283</v>
      </c>
      <c r="J5268" s="455">
        <f t="array" ref="J5268">IFERROR(INDEX('Retirement Calculator'!K:K,MATCH('Lorri 401b'!N5268,'Retirement Calculator'!A:A,0),0),0)</f>
        <v>0</v>
      </c>
      <c r="K5268" s="455">
        <f t="shared" ca="1" si="183"/>
        <v>3282806634222.0127</v>
      </c>
      <c r="L5268" s="455">
        <f t="shared" ca="1" si="184"/>
        <v>791156398847505</v>
      </c>
      <c r="M5268" s="471">
        <f t="shared" si="186"/>
        <v>0.05</v>
      </c>
      <c r="N5268" s="475">
        <f t="shared" si="187"/>
        <v>211386</v>
      </c>
    </row>
    <row r="5269" spans="7:14" ht="11.25" customHeight="1" x14ac:dyDescent="0.3">
      <c r="G5269" s="470"/>
      <c r="H5269" s="470">
        <v>5262</v>
      </c>
      <c r="I5269" s="455">
        <f t="shared" ca="1" si="185"/>
        <v>791156398847505</v>
      </c>
      <c r="J5269" s="455">
        <f t="array" ref="J5269">IFERROR(INDEX('Retirement Calculator'!K:K,MATCH('Lorri 401b'!N5269,'Retirement Calculator'!A:A,0),0),0)</f>
        <v>0</v>
      </c>
      <c r="K5269" s="455">
        <f t="shared" ca="1" si="183"/>
        <v>3296484995197.9375</v>
      </c>
      <c r="L5269" s="455">
        <f t="shared" ca="1" si="184"/>
        <v>794452883842703</v>
      </c>
      <c r="M5269" s="471">
        <f t="shared" si="186"/>
        <v>0.05</v>
      </c>
      <c r="N5269" s="475">
        <f t="shared" si="187"/>
        <v>211417</v>
      </c>
    </row>
    <row r="5270" spans="7:14" ht="11.25" customHeight="1" x14ac:dyDescent="0.3">
      <c r="G5270" s="470"/>
      <c r="H5270" s="470">
        <v>5263</v>
      </c>
      <c r="I5270" s="455">
        <f t="shared" ca="1" si="185"/>
        <v>794452883842703</v>
      </c>
      <c r="J5270" s="455">
        <f t="array" ref="J5270">IFERROR(INDEX('Retirement Calculator'!K:K,MATCH('Lorri 401b'!N5270,'Retirement Calculator'!A:A,0),0),0)</f>
        <v>0</v>
      </c>
      <c r="K5270" s="455">
        <f t="shared" ca="1" si="183"/>
        <v>3310220349344.5957</v>
      </c>
      <c r="L5270" s="455">
        <f t="shared" ca="1" si="184"/>
        <v>797763104192047.63</v>
      </c>
      <c r="M5270" s="471">
        <f t="shared" si="186"/>
        <v>0.05</v>
      </c>
      <c r="N5270" s="475">
        <f t="shared" si="187"/>
        <v>211447</v>
      </c>
    </row>
    <row r="5271" spans="7:14" ht="11.25" customHeight="1" x14ac:dyDescent="0.3">
      <c r="G5271" s="470"/>
      <c r="H5271" s="470">
        <v>5264</v>
      </c>
      <c r="I5271" s="455">
        <f t="shared" ca="1" si="185"/>
        <v>797763104192047.63</v>
      </c>
      <c r="J5271" s="455">
        <f t="array" ref="J5271">IFERROR(INDEX('Retirement Calculator'!K:K,MATCH('Lorri 401b'!N5271,'Retirement Calculator'!A:A,0),0),0)</f>
        <v>0</v>
      </c>
      <c r="K5271" s="455">
        <f t="shared" ca="1" si="183"/>
        <v>3324012934133.5317</v>
      </c>
      <c r="L5271" s="455">
        <f t="shared" ca="1" si="184"/>
        <v>801087117126181.13</v>
      </c>
      <c r="M5271" s="471">
        <f t="shared" si="186"/>
        <v>0.05</v>
      </c>
      <c r="N5271" s="475">
        <f t="shared" si="187"/>
        <v>211478</v>
      </c>
    </row>
    <row r="5272" spans="7:14" ht="11.25" customHeight="1" x14ac:dyDescent="0.3">
      <c r="G5272" s="470"/>
      <c r="H5272" s="470">
        <v>5265</v>
      </c>
      <c r="I5272" s="455">
        <f t="shared" ca="1" si="185"/>
        <v>801087117126181.13</v>
      </c>
      <c r="J5272" s="455">
        <f t="array" ref="J5272">IFERROR(INDEX('Retirement Calculator'!K:K,MATCH('Lorri 401b'!N5272,'Retirement Calculator'!A:A,0),0),0)</f>
        <v>0</v>
      </c>
      <c r="K5272" s="455">
        <f t="shared" ca="1" si="183"/>
        <v>3337862988025.7549</v>
      </c>
      <c r="L5272" s="455">
        <f t="shared" ca="1" si="184"/>
        <v>804424980114206.88</v>
      </c>
      <c r="M5272" s="471">
        <f t="shared" si="186"/>
        <v>0.05</v>
      </c>
      <c r="N5272" s="475">
        <f t="shared" si="187"/>
        <v>211509</v>
      </c>
    </row>
    <row r="5273" spans="7:14" ht="11.25" customHeight="1" x14ac:dyDescent="0.3">
      <c r="G5273" s="470"/>
      <c r="H5273" s="470">
        <v>5266</v>
      </c>
      <c r="I5273" s="455">
        <f t="shared" ca="1" si="185"/>
        <v>804424980114206.88</v>
      </c>
      <c r="J5273" s="455">
        <f t="array" ref="J5273">IFERROR(INDEX('Retirement Calculator'!K:K,MATCH('Lorri 401b'!N5273,'Retirement Calculator'!A:A,0),0),0)</f>
        <v>0</v>
      </c>
      <c r="K5273" s="455">
        <f t="shared" ca="1" si="183"/>
        <v>3351770750475.8618</v>
      </c>
      <c r="L5273" s="455">
        <f t="shared" ca="1" si="184"/>
        <v>807776750864682.75</v>
      </c>
      <c r="M5273" s="471">
        <f t="shared" si="186"/>
        <v>0.05</v>
      </c>
      <c r="N5273" s="475">
        <f t="shared" si="187"/>
        <v>211537</v>
      </c>
    </row>
    <row r="5274" spans="7:14" ht="11.25" customHeight="1" x14ac:dyDescent="0.3">
      <c r="G5274" s="470"/>
      <c r="H5274" s="470">
        <v>5267</v>
      </c>
      <c r="I5274" s="455">
        <f t="shared" ca="1" si="185"/>
        <v>807776750864682.75</v>
      </c>
      <c r="J5274" s="455">
        <f t="array" ref="J5274">IFERROR(INDEX('Retirement Calculator'!K:K,MATCH('Lorri 401b'!N5274,'Retirement Calculator'!A:A,0),0),0)</f>
        <v>0</v>
      </c>
      <c r="K5274" s="455">
        <f t="shared" ca="1" si="183"/>
        <v>3365736461936.1782</v>
      </c>
      <c r="L5274" s="455">
        <f t="shared" ca="1" si="184"/>
        <v>811142487326618.88</v>
      </c>
      <c r="M5274" s="471">
        <f t="shared" si="186"/>
        <v>0.05</v>
      </c>
      <c r="N5274" s="475">
        <f t="shared" si="187"/>
        <v>211568</v>
      </c>
    </row>
    <row r="5275" spans="7:14" ht="11.25" customHeight="1" x14ac:dyDescent="0.3">
      <c r="G5275" s="470"/>
      <c r="H5275" s="470">
        <v>5268</v>
      </c>
      <c r="I5275" s="455">
        <f t="shared" ca="1" si="185"/>
        <v>811142487326618.88</v>
      </c>
      <c r="J5275" s="455">
        <f t="array" ref="J5275">IFERROR(INDEX('Retirement Calculator'!K:K,MATCH('Lorri 401b'!N5275,'Retirement Calculator'!A:A,0),0),0)</f>
        <v>0</v>
      </c>
      <c r="K5275" s="455">
        <f t="shared" ca="1" si="183"/>
        <v>3379760363860.9121</v>
      </c>
      <c r="L5275" s="455">
        <f t="shared" ca="1" si="184"/>
        <v>814522247690479.75</v>
      </c>
      <c r="M5275" s="471">
        <f t="shared" si="186"/>
        <v>0.05</v>
      </c>
      <c r="N5275" s="475">
        <f t="shared" si="187"/>
        <v>211598</v>
      </c>
    </row>
    <row r="5276" spans="7:14" ht="11.25" customHeight="1" x14ac:dyDescent="0.3">
      <c r="G5276" s="470"/>
      <c r="H5276" s="470">
        <v>5269</v>
      </c>
      <c r="I5276" s="455">
        <f t="shared" ca="1" si="185"/>
        <v>814522247690479.75</v>
      </c>
      <c r="J5276" s="455">
        <f t="array" ref="J5276">IFERROR(INDEX('Retirement Calculator'!K:K,MATCH('Lorri 401b'!N5276,'Retirement Calculator'!A:A,0),0),0)</f>
        <v>0</v>
      </c>
      <c r="K5276" s="455">
        <f t="shared" ca="1" si="183"/>
        <v>3393842698710.332</v>
      </c>
      <c r="L5276" s="455">
        <f t="shared" ca="1" si="184"/>
        <v>817916090389190.13</v>
      </c>
      <c r="M5276" s="471">
        <f t="shared" si="186"/>
        <v>0.05</v>
      </c>
      <c r="N5276" s="475">
        <f t="shared" si="187"/>
        <v>211629</v>
      </c>
    </row>
    <row r="5277" spans="7:14" ht="11.25" customHeight="1" x14ac:dyDescent="0.3">
      <c r="G5277" s="470"/>
      <c r="H5277" s="470">
        <v>5270</v>
      </c>
      <c r="I5277" s="455">
        <f t="shared" ca="1" si="185"/>
        <v>817916090389190.13</v>
      </c>
      <c r="J5277" s="455">
        <f t="array" ref="J5277">IFERROR(INDEX('Retirement Calculator'!K:K,MATCH('Lorri 401b'!N5277,'Retirement Calculator'!A:A,0),0),0)</f>
        <v>0</v>
      </c>
      <c r="K5277" s="455">
        <f t="shared" ca="1" si="183"/>
        <v>3407983709954.959</v>
      </c>
      <c r="L5277" s="455">
        <f t="shared" ca="1" si="184"/>
        <v>821324074099145.13</v>
      </c>
      <c r="M5277" s="471">
        <f t="shared" si="186"/>
        <v>0.05</v>
      </c>
      <c r="N5277" s="475">
        <f t="shared" si="187"/>
        <v>211659</v>
      </c>
    </row>
    <row r="5278" spans="7:14" ht="11.25" customHeight="1" x14ac:dyDescent="0.3">
      <c r="G5278" s="470"/>
      <c r="H5278" s="470">
        <v>5271</v>
      </c>
      <c r="I5278" s="455">
        <f t="shared" ca="1" si="185"/>
        <v>821324074099145.13</v>
      </c>
      <c r="J5278" s="455">
        <f t="array" ref="J5278">IFERROR(INDEX('Retirement Calculator'!K:K,MATCH('Lorri 401b'!N5278,'Retirement Calculator'!A:A,0),0),0)</f>
        <v>0</v>
      </c>
      <c r="K5278" s="455">
        <f t="shared" ca="1" si="183"/>
        <v>3422183642079.7715</v>
      </c>
      <c r="L5278" s="455">
        <f t="shared" ca="1" si="184"/>
        <v>824746257741224.88</v>
      </c>
      <c r="M5278" s="471">
        <f t="shared" si="186"/>
        <v>0.05</v>
      </c>
      <c r="N5278" s="475">
        <f t="shared" si="187"/>
        <v>211690</v>
      </c>
    </row>
    <row r="5279" spans="7:14" ht="11.25" customHeight="1" x14ac:dyDescent="0.3">
      <c r="G5279" s="470"/>
      <c r="H5279" s="470">
        <v>5272</v>
      </c>
      <c r="I5279" s="455">
        <f t="shared" ca="1" si="185"/>
        <v>824746257741224.88</v>
      </c>
      <c r="J5279" s="455">
        <f t="array" ref="J5279">IFERROR(INDEX('Retirement Calculator'!K:K,MATCH('Lorri 401b'!N5279,'Retirement Calculator'!A:A,0),0),0)</f>
        <v>0</v>
      </c>
      <c r="K5279" s="455">
        <f t="shared" ca="1" si="183"/>
        <v>3436442740588.437</v>
      </c>
      <c r="L5279" s="455">
        <f t="shared" ca="1" si="184"/>
        <v>828182700481813.25</v>
      </c>
      <c r="M5279" s="471">
        <f t="shared" si="186"/>
        <v>0.05</v>
      </c>
      <c r="N5279" s="475">
        <f t="shared" si="187"/>
        <v>211721</v>
      </c>
    </row>
    <row r="5280" spans="7:14" ht="11.25" customHeight="1" x14ac:dyDescent="0.3">
      <c r="G5280" s="470"/>
      <c r="H5280" s="470">
        <v>5273</v>
      </c>
      <c r="I5280" s="455">
        <f t="shared" ca="1" si="185"/>
        <v>828182700481813.25</v>
      </c>
      <c r="J5280" s="455">
        <f t="array" ref="J5280">IFERROR(INDEX('Retirement Calculator'!K:K,MATCH('Lorri 401b'!N5280,'Retirement Calculator'!A:A,0),0),0)</f>
        <v>0</v>
      </c>
      <c r="K5280" s="455">
        <f t="shared" ca="1" si="183"/>
        <v>3450761252007.5552</v>
      </c>
      <c r="L5280" s="455">
        <f t="shared" ca="1" si="184"/>
        <v>831633461733820.75</v>
      </c>
      <c r="M5280" s="471">
        <f t="shared" si="186"/>
        <v>0.05</v>
      </c>
      <c r="N5280" s="475">
        <f t="shared" si="187"/>
        <v>211751</v>
      </c>
    </row>
    <row r="5281" spans="7:14" ht="11.25" customHeight="1" x14ac:dyDescent="0.3">
      <c r="G5281" s="470"/>
      <c r="H5281" s="470">
        <v>5274</v>
      </c>
      <c r="I5281" s="455">
        <f t="shared" ca="1" si="185"/>
        <v>831633461733820.75</v>
      </c>
      <c r="J5281" s="455">
        <f t="array" ref="J5281">IFERROR(INDEX('Retirement Calculator'!K:K,MATCH('Lorri 401b'!N5281,'Retirement Calculator'!A:A,0),0),0)</f>
        <v>0</v>
      </c>
      <c r="K5281" s="455">
        <f t="shared" ca="1" si="183"/>
        <v>3465139423890.9199</v>
      </c>
      <c r="L5281" s="455">
        <f t="shared" ca="1" si="184"/>
        <v>835098601157711.63</v>
      </c>
      <c r="M5281" s="471">
        <f t="shared" si="186"/>
        <v>0.05</v>
      </c>
      <c r="N5281" s="475">
        <f t="shared" si="187"/>
        <v>211782</v>
      </c>
    </row>
    <row r="5282" spans="7:14" ht="11.25" customHeight="1" x14ac:dyDescent="0.3">
      <c r="G5282" s="470"/>
      <c r="H5282" s="470">
        <v>5275</v>
      </c>
      <c r="I5282" s="455">
        <f t="shared" ca="1" si="185"/>
        <v>835098601157711.63</v>
      </c>
      <c r="J5282" s="455">
        <f t="array" ref="J5282">IFERROR(INDEX('Retirement Calculator'!K:K,MATCH('Lorri 401b'!N5282,'Retirement Calculator'!A:A,0),0),0)</f>
        <v>0</v>
      </c>
      <c r="K5282" s="455">
        <f t="shared" ca="1" si="183"/>
        <v>3479577504823.7983</v>
      </c>
      <c r="L5282" s="455">
        <f t="shared" ca="1" si="184"/>
        <v>838578178662535.38</v>
      </c>
      <c r="M5282" s="471">
        <f t="shared" si="186"/>
        <v>0.05</v>
      </c>
      <c r="N5282" s="475">
        <f t="shared" si="187"/>
        <v>211812</v>
      </c>
    </row>
    <row r="5283" spans="7:14" ht="11.25" customHeight="1" x14ac:dyDescent="0.3">
      <c r="G5283" s="470"/>
      <c r="H5283" s="470">
        <v>5276</v>
      </c>
      <c r="I5283" s="455">
        <f t="shared" ca="1" si="185"/>
        <v>838578178662535.38</v>
      </c>
      <c r="J5283" s="455">
        <f t="array" ref="J5283">IFERROR(INDEX('Retirement Calculator'!K:K,MATCH('Lorri 401b'!N5283,'Retirement Calculator'!A:A,0),0),0)</f>
        <v>0</v>
      </c>
      <c r="K5283" s="455">
        <f t="shared" ca="1" si="183"/>
        <v>3494075744427.2305</v>
      </c>
      <c r="L5283" s="455">
        <f t="shared" ca="1" si="184"/>
        <v>842072254406962.63</v>
      </c>
      <c r="M5283" s="471">
        <f t="shared" si="186"/>
        <v>0.05</v>
      </c>
      <c r="N5283" s="475">
        <f t="shared" si="187"/>
        <v>211843</v>
      </c>
    </row>
    <row r="5284" spans="7:14" ht="11.25" customHeight="1" x14ac:dyDescent="0.3">
      <c r="G5284" s="470"/>
      <c r="H5284" s="470">
        <v>5277</v>
      </c>
      <c r="I5284" s="455">
        <f t="shared" ca="1" si="185"/>
        <v>842072254406962.63</v>
      </c>
      <c r="J5284" s="455">
        <f t="array" ref="J5284">IFERROR(INDEX('Retirement Calculator'!K:K,MATCH('Lorri 401b'!N5284,'Retirement Calculator'!A:A,0),0),0)</f>
        <v>0</v>
      </c>
      <c r="K5284" s="455">
        <f t="shared" ca="1" si="183"/>
        <v>3508634393362.3442</v>
      </c>
      <c r="L5284" s="455">
        <f t="shared" ca="1" si="184"/>
        <v>845580888800325</v>
      </c>
      <c r="M5284" s="471">
        <f t="shared" si="186"/>
        <v>0.05</v>
      </c>
      <c r="N5284" s="475">
        <f t="shared" si="187"/>
        <v>211874</v>
      </c>
    </row>
    <row r="5285" spans="7:14" ht="11.25" customHeight="1" x14ac:dyDescent="0.3">
      <c r="G5285" s="470"/>
      <c r="H5285" s="470">
        <v>5278</v>
      </c>
      <c r="I5285" s="455">
        <f t="shared" ca="1" si="185"/>
        <v>845580888800325</v>
      </c>
      <c r="J5285" s="455">
        <f t="array" ref="J5285">IFERROR(INDEX('Retirement Calculator'!K:K,MATCH('Lorri 401b'!N5285,'Retirement Calculator'!A:A,0),0),0)</f>
        <v>0</v>
      </c>
      <c r="K5285" s="455">
        <f t="shared" ca="1" si="183"/>
        <v>3523253703334.6875</v>
      </c>
      <c r="L5285" s="455">
        <f t="shared" ca="1" si="184"/>
        <v>849104142503659.75</v>
      </c>
      <c r="M5285" s="471">
        <f t="shared" si="186"/>
        <v>0.05</v>
      </c>
      <c r="N5285" s="475">
        <f t="shared" si="187"/>
        <v>211903</v>
      </c>
    </row>
    <row r="5286" spans="7:14" ht="11.25" customHeight="1" x14ac:dyDescent="0.3">
      <c r="G5286" s="470"/>
      <c r="H5286" s="470">
        <v>5279</v>
      </c>
      <c r="I5286" s="455">
        <f t="shared" ca="1" si="185"/>
        <v>849104142503659.75</v>
      </c>
      <c r="J5286" s="455">
        <f t="array" ref="J5286">IFERROR(INDEX('Retirement Calculator'!K:K,MATCH('Lorri 401b'!N5286,'Retirement Calculator'!A:A,0),0),0)</f>
        <v>0</v>
      </c>
      <c r="K5286" s="455">
        <f t="shared" ca="1" si="183"/>
        <v>3537933927098.582</v>
      </c>
      <c r="L5286" s="455">
        <f t="shared" ca="1" si="184"/>
        <v>852642076430758.38</v>
      </c>
      <c r="M5286" s="471">
        <f t="shared" si="186"/>
        <v>0.05</v>
      </c>
      <c r="N5286" s="475">
        <f t="shared" si="187"/>
        <v>211934</v>
      </c>
    </row>
    <row r="5287" spans="7:14" ht="11.25" customHeight="1" x14ac:dyDescent="0.3">
      <c r="G5287" s="470"/>
      <c r="H5287" s="470">
        <v>5280</v>
      </c>
      <c r="I5287" s="455">
        <f t="shared" ca="1" si="185"/>
        <v>852642076430758.38</v>
      </c>
      <c r="J5287" s="455">
        <f t="array" ref="J5287">IFERROR(INDEX('Retirement Calculator'!K:K,MATCH('Lorri 401b'!N5287,'Retirement Calculator'!A:A,0),0),0)</f>
        <v>0</v>
      </c>
      <c r="K5287" s="455">
        <f t="shared" ca="1" si="183"/>
        <v>3552675318461.4932</v>
      </c>
      <c r="L5287" s="455">
        <f t="shared" ca="1" si="184"/>
        <v>856194751749219.88</v>
      </c>
      <c r="M5287" s="471">
        <f t="shared" si="186"/>
        <v>0.05</v>
      </c>
      <c r="N5287" s="475">
        <f t="shared" si="187"/>
        <v>211964</v>
      </c>
    </row>
    <row r="5288" spans="7:14" ht="11.25" customHeight="1" x14ac:dyDescent="0.3">
      <c r="G5288" s="470"/>
      <c r="H5288" s="470">
        <v>5281</v>
      </c>
      <c r="I5288" s="455">
        <f t="shared" ca="1" si="185"/>
        <v>856194751749219.88</v>
      </c>
      <c r="J5288" s="455">
        <f t="array" ref="J5288">IFERROR(INDEX('Retirement Calculator'!K:K,MATCH('Lorri 401b'!N5288,'Retirement Calculator'!A:A,0),0),0)</f>
        <v>0</v>
      </c>
      <c r="K5288" s="455">
        <f t="shared" ca="1" si="183"/>
        <v>3567478132288.416</v>
      </c>
      <c r="L5288" s="455">
        <f t="shared" ca="1" si="184"/>
        <v>859762229881508.25</v>
      </c>
      <c r="M5288" s="471">
        <f t="shared" si="186"/>
        <v>0.05</v>
      </c>
      <c r="N5288" s="475">
        <f t="shared" si="187"/>
        <v>211995</v>
      </c>
    </row>
    <row r="5289" spans="7:14" ht="11.25" customHeight="1" x14ac:dyDescent="0.3">
      <c r="G5289" s="470"/>
      <c r="H5289" s="470">
        <v>5282</v>
      </c>
      <c r="I5289" s="455">
        <f t="shared" ca="1" si="185"/>
        <v>859762229881508.25</v>
      </c>
      <c r="J5289" s="455">
        <f t="array" ref="J5289">IFERROR(INDEX('Retirement Calculator'!K:K,MATCH('Lorri 401b'!N5289,'Retirement Calculator'!A:A,0),0),0)</f>
        <v>0</v>
      </c>
      <c r="K5289" s="455">
        <f t="shared" ca="1" si="183"/>
        <v>3582342624506.2842</v>
      </c>
      <c r="L5289" s="455">
        <f t="shared" ca="1" si="184"/>
        <v>863344572506014.5</v>
      </c>
      <c r="M5289" s="471">
        <f t="shared" si="186"/>
        <v>0.05</v>
      </c>
      <c r="N5289" s="475">
        <f t="shared" si="187"/>
        <v>212025</v>
      </c>
    </row>
    <row r="5290" spans="7:14" ht="11.25" customHeight="1" x14ac:dyDescent="0.3">
      <c r="G5290" s="470"/>
      <c r="H5290" s="470">
        <v>5283</v>
      </c>
      <c r="I5290" s="455">
        <f t="shared" ca="1" si="185"/>
        <v>863344572506014.5</v>
      </c>
      <c r="J5290" s="455">
        <f t="array" ref="J5290">IFERROR(INDEX('Retirement Calculator'!K:K,MATCH('Lorri 401b'!N5290,'Retirement Calculator'!A:A,0),0),0)</f>
        <v>0</v>
      </c>
      <c r="K5290" s="455">
        <f t="shared" ca="1" si="183"/>
        <v>3597269052108.3936</v>
      </c>
      <c r="L5290" s="455">
        <f t="shared" ca="1" si="184"/>
        <v>866941841558122.88</v>
      </c>
      <c r="M5290" s="471">
        <f t="shared" si="186"/>
        <v>0.05</v>
      </c>
      <c r="N5290" s="475">
        <f t="shared" si="187"/>
        <v>212056</v>
      </c>
    </row>
    <row r="5291" spans="7:14" ht="11.25" customHeight="1" x14ac:dyDescent="0.3">
      <c r="G5291" s="470"/>
      <c r="H5291" s="470">
        <v>5284</v>
      </c>
      <c r="I5291" s="455">
        <f t="shared" ca="1" si="185"/>
        <v>866941841558122.88</v>
      </c>
      <c r="J5291" s="455">
        <f t="array" ref="J5291">IFERROR(INDEX('Retirement Calculator'!K:K,MATCH('Lorri 401b'!N5291,'Retirement Calculator'!A:A,0),0),0)</f>
        <v>0</v>
      </c>
      <c r="K5291" s="455">
        <f t="shared" ca="1" si="183"/>
        <v>3612257673158.8452</v>
      </c>
      <c r="L5291" s="455">
        <f t="shared" ca="1" si="184"/>
        <v>870554099231281.75</v>
      </c>
      <c r="M5291" s="471">
        <f t="shared" si="186"/>
        <v>0.05</v>
      </c>
      <c r="N5291" s="475">
        <f t="shared" si="187"/>
        <v>212087</v>
      </c>
    </row>
    <row r="5292" spans="7:14" ht="11.25" customHeight="1" x14ac:dyDescent="0.3">
      <c r="G5292" s="470"/>
      <c r="H5292" s="470">
        <v>5285</v>
      </c>
      <c r="I5292" s="455">
        <f t="shared" ca="1" si="185"/>
        <v>870554099231281.75</v>
      </c>
      <c r="J5292" s="455">
        <f t="array" ref="J5292">IFERROR(INDEX('Retirement Calculator'!K:K,MATCH('Lorri 401b'!N5292,'Retirement Calculator'!A:A,0),0),0)</f>
        <v>0</v>
      </c>
      <c r="K5292" s="455">
        <f t="shared" ca="1" si="183"/>
        <v>3627308746797.0073</v>
      </c>
      <c r="L5292" s="455">
        <f t="shared" ca="1" si="184"/>
        <v>874181407978078.75</v>
      </c>
      <c r="M5292" s="471">
        <f t="shared" si="186"/>
        <v>0.05</v>
      </c>
      <c r="N5292" s="475">
        <f t="shared" si="187"/>
        <v>212117</v>
      </c>
    </row>
    <row r="5293" spans="7:14" ht="11.25" customHeight="1" x14ac:dyDescent="0.3">
      <c r="G5293" s="470"/>
      <c r="H5293" s="470">
        <v>5286</v>
      </c>
      <c r="I5293" s="455">
        <f t="shared" ca="1" si="185"/>
        <v>874181407978078.75</v>
      </c>
      <c r="J5293" s="455">
        <f t="array" ref="J5293">IFERROR(INDEX('Retirement Calculator'!K:K,MATCH('Lorri 401b'!N5293,'Retirement Calculator'!A:A,0),0),0)</f>
        <v>0</v>
      </c>
      <c r="K5293" s="455">
        <f t="shared" ca="1" si="183"/>
        <v>3642422533241.9946</v>
      </c>
      <c r="L5293" s="455">
        <f t="shared" ca="1" si="184"/>
        <v>877823830511320.75</v>
      </c>
      <c r="M5293" s="471">
        <f t="shared" si="186"/>
        <v>0.05</v>
      </c>
      <c r="N5293" s="475">
        <f t="shared" si="187"/>
        <v>212148</v>
      </c>
    </row>
    <row r="5294" spans="7:14" ht="11.25" customHeight="1" x14ac:dyDescent="0.3">
      <c r="G5294" s="470"/>
      <c r="H5294" s="470">
        <v>5287</v>
      </c>
      <c r="I5294" s="455">
        <f t="shared" ca="1" si="185"/>
        <v>877823830511320.75</v>
      </c>
      <c r="J5294" s="455">
        <f t="array" ref="J5294">IFERROR(INDEX('Retirement Calculator'!K:K,MATCH('Lorri 401b'!N5294,'Retirement Calculator'!A:A,0),0),0)</f>
        <v>0</v>
      </c>
      <c r="K5294" s="455">
        <f t="shared" ca="1" si="183"/>
        <v>3657599293797.1699</v>
      </c>
      <c r="L5294" s="455">
        <f t="shared" ca="1" si="184"/>
        <v>881481429805117.88</v>
      </c>
      <c r="M5294" s="471">
        <f t="shared" si="186"/>
        <v>0.05</v>
      </c>
      <c r="N5294" s="475">
        <f t="shared" si="187"/>
        <v>212178</v>
      </c>
    </row>
    <row r="5295" spans="7:14" ht="11.25" customHeight="1" x14ac:dyDescent="0.3">
      <c r="G5295" s="470"/>
      <c r="H5295" s="470">
        <v>5288</v>
      </c>
      <c r="I5295" s="455">
        <f t="shared" ca="1" si="185"/>
        <v>881481429805117.88</v>
      </c>
      <c r="J5295" s="455">
        <f t="array" ref="J5295">IFERROR(INDEX('Retirement Calculator'!K:K,MATCH('Lorri 401b'!N5295,'Retirement Calculator'!A:A,0),0),0)</f>
        <v>0</v>
      </c>
      <c r="K5295" s="455">
        <f t="shared" ca="1" si="183"/>
        <v>3672839290854.6577</v>
      </c>
      <c r="L5295" s="455">
        <f t="shared" ca="1" si="184"/>
        <v>885154269095972.5</v>
      </c>
      <c r="M5295" s="471">
        <f t="shared" si="186"/>
        <v>0.05</v>
      </c>
      <c r="N5295" s="475">
        <f t="shared" si="187"/>
        <v>212209</v>
      </c>
    </row>
    <row r="5296" spans="7:14" ht="11.25" customHeight="1" x14ac:dyDescent="0.3">
      <c r="G5296" s="470"/>
      <c r="H5296" s="470">
        <v>5289</v>
      </c>
      <c r="I5296" s="455">
        <f t="shared" ca="1" si="185"/>
        <v>885154269095972.5</v>
      </c>
      <c r="J5296" s="455">
        <f t="array" ref="J5296">IFERROR(INDEX('Retirement Calculator'!K:K,MATCH('Lorri 401b'!N5296,'Retirement Calculator'!A:A,0),0),0)</f>
        <v>0</v>
      </c>
      <c r="K5296" s="455">
        <f t="shared" ca="1" si="183"/>
        <v>3688142787899.8853</v>
      </c>
      <c r="L5296" s="455">
        <f t="shared" ca="1" si="184"/>
        <v>888842411883872.38</v>
      </c>
      <c r="M5296" s="471">
        <f t="shared" si="186"/>
        <v>0.05</v>
      </c>
      <c r="N5296" s="475">
        <f t="shared" si="187"/>
        <v>212240</v>
      </c>
    </row>
    <row r="5297" spans="7:14" ht="11.25" customHeight="1" x14ac:dyDescent="0.3">
      <c r="G5297" s="470"/>
      <c r="H5297" s="470">
        <v>5290</v>
      </c>
      <c r="I5297" s="455">
        <f t="shared" ca="1" si="185"/>
        <v>888842411883872.38</v>
      </c>
      <c r="J5297" s="455">
        <f t="array" ref="J5297">IFERROR(INDEX('Retirement Calculator'!K:K,MATCH('Lorri 401b'!N5297,'Retirement Calculator'!A:A,0),0),0)</f>
        <v>0</v>
      </c>
      <c r="K5297" s="455">
        <f t="shared" ca="1" si="183"/>
        <v>3703510049516.1348</v>
      </c>
      <c r="L5297" s="455">
        <f t="shared" ca="1" si="184"/>
        <v>892545921933388.5</v>
      </c>
      <c r="M5297" s="471">
        <f t="shared" si="186"/>
        <v>0.05</v>
      </c>
      <c r="N5297" s="475">
        <f t="shared" si="187"/>
        <v>212268</v>
      </c>
    </row>
    <row r="5298" spans="7:14" ht="11.25" customHeight="1" x14ac:dyDescent="0.3">
      <c r="G5298" s="470"/>
      <c r="H5298" s="470">
        <v>5291</v>
      </c>
      <c r="I5298" s="455">
        <f t="shared" ca="1" si="185"/>
        <v>892545921933388.5</v>
      </c>
      <c r="J5298" s="455">
        <f t="array" ref="J5298">IFERROR(INDEX('Retirement Calculator'!K:K,MATCH('Lorri 401b'!N5298,'Retirement Calculator'!A:A,0),0),0)</f>
        <v>0</v>
      </c>
      <c r="K5298" s="455">
        <f t="shared" ca="1" si="183"/>
        <v>3718941341389.1191</v>
      </c>
      <c r="L5298" s="455">
        <f t="shared" ca="1" si="184"/>
        <v>896264863274777.63</v>
      </c>
      <c r="M5298" s="471">
        <f t="shared" si="186"/>
        <v>0.05</v>
      </c>
      <c r="N5298" s="475">
        <f t="shared" si="187"/>
        <v>212299</v>
      </c>
    </row>
    <row r="5299" spans="7:14" ht="11.25" customHeight="1" x14ac:dyDescent="0.3">
      <c r="G5299" s="470"/>
      <c r="H5299" s="470">
        <v>5292</v>
      </c>
      <c r="I5299" s="455">
        <f t="shared" ca="1" si="185"/>
        <v>896264863274777.63</v>
      </c>
      <c r="J5299" s="455">
        <f t="array" ref="J5299">IFERROR(INDEX('Retirement Calculator'!K:K,MATCH('Lorri 401b'!N5299,'Retirement Calculator'!A:A,0),0),0)</f>
        <v>0</v>
      </c>
      <c r="K5299" s="455">
        <f t="shared" ca="1" si="183"/>
        <v>3734436930311.5728</v>
      </c>
      <c r="L5299" s="455">
        <f t="shared" ca="1" si="184"/>
        <v>899999300205089.25</v>
      </c>
      <c r="M5299" s="471">
        <f t="shared" si="186"/>
        <v>0.05</v>
      </c>
      <c r="N5299" s="475">
        <f t="shared" si="187"/>
        <v>212329</v>
      </c>
    </row>
    <row r="5300" spans="7:14" ht="11.25" customHeight="1" x14ac:dyDescent="0.3">
      <c r="G5300" s="470"/>
      <c r="H5300" s="470">
        <v>5293</v>
      </c>
      <c r="I5300" s="455">
        <f t="shared" ca="1" si="185"/>
        <v>899999300205089.25</v>
      </c>
      <c r="J5300" s="455">
        <f t="array" ref="J5300">IFERROR(INDEX('Retirement Calculator'!K:K,MATCH('Lorri 401b'!N5300,'Retirement Calculator'!A:A,0),0),0)</f>
        <v>0</v>
      </c>
      <c r="K5300" s="455">
        <f t="shared" ca="1" si="183"/>
        <v>3749997084187.8711</v>
      </c>
      <c r="L5300" s="455">
        <f t="shared" ca="1" si="184"/>
        <v>903749297289277.13</v>
      </c>
      <c r="M5300" s="471">
        <f t="shared" si="186"/>
        <v>0.05</v>
      </c>
      <c r="N5300" s="475">
        <f t="shared" si="187"/>
        <v>212360</v>
      </c>
    </row>
    <row r="5301" spans="7:14" ht="11.25" customHeight="1" x14ac:dyDescent="0.3">
      <c r="G5301" s="470"/>
      <c r="H5301" s="470">
        <v>5294</v>
      </c>
      <c r="I5301" s="455">
        <f t="shared" ca="1" si="185"/>
        <v>903749297289277.13</v>
      </c>
      <c r="J5301" s="455">
        <f t="array" ref="J5301">IFERROR(INDEX('Retirement Calculator'!K:K,MATCH('Lorri 401b'!N5301,'Retirement Calculator'!A:A,0),0),0)</f>
        <v>0</v>
      </c>
      <c r="K5301" s="455">
        <f t="shared" ca="1" si="183"/>
        <v>3765622072038.6543</v>
      </c>
      <c r="L5301" s="455">
        <f t="shared" ca="1" si="184"/>
        <v>907514919361315.75</v>
      </c>
      <c r="M5301" s="471">
        <f t="shared" si="186"/>
        <v>0.05</v>
      </c>
      <c r="N5301" s="475">
        <f t="shared" si="187"/>
        <v>212390</v>
      </c>
    </row>
    <row r="5302" spans="7:14" ht="11.25" customHeight="1" x14ac:dyDescent="0.3">
      <c r="G5302" s="470"/>
      <c r="H5302" s="470">
        <v>5295</v>
      </c>
      <c r="I5302" s="455">
        <f t="shared" ca="1" si="185"/>
        <v>907514919361315.75</v>
      </c>
      <c r="J5302" s="455">
        <f t="array" ref="J5302">IFERROR(INDEX('Retirement Calculator'!K:K,MATCH('Lorri 401b'!N5302,'Retirement Calculator'!A:A,0),0),0)</f>
        <v>0</v>
      </c>
      <c r="K5302" s="455">
        <f t="shared" ca="1" si="183"/>
        <v>3781312164005.4824</v>
      </c>
      <c r="L5302" s="455">
        <f t="shared" ca="1" si="184"/>
        <v>911296231525321.25</v>
      </c>
      <c r="M5302" s="471">
        <f t="shared" si="186"/>
        <v>0.05</v>
      </c>
      <c r="N5302" s="475">
        <f t="shared" si="187"/>
        <v>212421</v>
      </c>
    </row>
    <row r="5303" spans="7:14" ht="11.25" customHeight="1" x14ac:dyDescent="0.3">
      <c r="G5303" s="470"/>
      <c r="H5303" s="470">
        <v>5296</v>
      </c>
      <c r="I5303" s="455">
        <f t="shared" ca="1" si="185"/>
        <v>911296231525321.25</v>
      </c>
      <c r="J5303" s="455">
        <f t="array" ref="J5303">IFERROR(INDEX('Retirement Calculator'!K:K,MATCH('Lorri 401b'!N5303,'Retirement Calculator'!A:A,0),0),0)</f>
        <v>0</v>
      </c>
      <c r="K5303" s="455">
        <f t="shared" ca="1" si="183"/>
        <v>3797067631355.5054</v>
      </c>
      <c r="L5303" s="455">
        <f t="shared" ca="1" si="184"/>
        <v>915093299156676.75</v>
      </c>
      <c r="M5303" s="471">
        <f t="shared" si="186"/>
        <v>0.05</v>
      </c>
      <c r="N5303" s="475">
        <f t="shared" si="187"/>
        <v>212452</v>
      </c>
    </row>
    <row r="5304" spans="7:14" ht="11.25" customHeight="1" x14ac:dyDescent="0.3">
      <c r="G5304" s="470"/>
      <c r="H5304" s="470">
        <v>5297</v>
      </c>
      <c r="I5304" s="455">
        <f t="shared" ca="1" si="185"/>
        <v>915093299156676.75</v>
      </c>
      <c r="J5304" s="455">
        <f t="array" ref="J5304">IFERROR(INDEX('Retirement Calculator'!K:K,MATCH('Lorri 401b'!N5304,'Retirement Calculator'!A:A,0),0),0)</f>
        <v>0</v>
      </c>
      <c r="K5304" s="455">
        <f t="shared" ca="1" si="183"/>
        <v>3812888746486.1523</v>
      </c>
      <c r="L5304" s="455">
        <f t="shared" ca="1" si="184"/>
        <v>918906187903162.88</v>
      </c>
      <c r="M5304" s="471">
        <f t="shared" si="186"/>
        <v>0.05</v>
      </c>
      <c r="N5304" s="475">
        <f t="shared" si="187"/>
        <v>212482</v>
      </c>
    </row>
    <row r="5305" spans="7:14" ht="11.25" customHeight="1" x14ac:dyDescent="0.3">
      <c r="G5305" s="470"/>
      <c r="H5305" s="470">
        <v>5298</v>
      </c>
      <c r="I5305" s="455">
        <f t="shared" ca="1" si="185"/>
        <v>918906187903162.88</v>
      </c>
      <c r="J5305" s="455">
        <f t="array" ref="J5305">IFERROR(INDEX('Retirement Calculator'!K:K,MATCH('Lorri 401b'!N5305,'Retirement Calculator'!A:A,0),0),0)</f>
        <v>0</v>
      </c>
      <c r="K5305" s="455">
        <f t="shared" ca="1" si="183"/>
        <v>3828775782929.8452</v>
      </c>
      <c r="L5305" s="455">
        <f t="shared" ca="1" si="184"/>
        <v>922734963686092.75</v>
      </c>
      <c r="M5305" s="471">
        <f t="shared" si="186"/>
        <v>0.05</v>
      </c>
      <c r="N5305" s="475">
        <f t="shared" si="187"/>
        <v>212513</v>
      </c>
    </row>
    <row r="5306" spans="7:14" ht="11.25" customHeight="1" x14ac:dyDescent="0.3">
      <c r="G5306" s="470"/>
      <c r="H5306" s="470">
        <v>5299</v>
      </c>
      <c r="I5306" s="455">
        <f t="shared" ca="1" si="185"/>
        <v>922734963686092.75</v>
      </c>
      <c r="J5306" s="455">
        <f t="array" ref="J5306">IFERROR(INDEX('Retirement Calculator'!K:K,MATCH('Lorri 401b'!N5306,'Retirement Calculator'!A:A,0),0),0)</f>
        <v>0</v>
      </c>
      <c r="K5306" s="455">
        <f t="shared" ca="1" si="183"/>
        <v>3844729015358.7197</v>
      </c>
      <c r="L5306" s="455">
        <f t="shared" ca="1" si="184"/>
        <v>926579692701451.5</v>
      </c>
      <c r="M5306" s="471">
        <f t="shared" si="186"/>
        <v>0.05</v>
      </c>
      <c r="N5306" s="475">
        <f t="shared" si="187"/>
        <v>212543</v>
      </c>
    </row>
    <row r="5307" spans="7:14" ht="11.25" customHeight="1" x14ac:dyDescent="0.3">
      <c r="G5307" s="470"/>
      <c r="H5307" s="470">
        <v>5300</v>
      </c>
      <c r="I5307" s="455">
        <f t="shared" ca="1" si="185"/>
        <v>926579692701451.5</v>
      </c>
      <c r="J5307" s="455">
        <f t="array" ref="J5307">IFERROR(INDEX('Retirement Calculator'!K:K,MATCH('Lorri 401b'!N5307,'Retirement Calculator'!A:A,0),0),0)</f>
        <v>0</v>
      </c>
      <c r="K5307" s="455">
        <f t="shared" ca="1" si="183"/>
        <v>3860748719589.3813</v>
      </c>
      <c r="L5307" s="455">
        <f t="shared" ca="1" si="184"/>
        <v>930440441421040.88</v>
      </c>
      <c r="M5307" s="471">
        <f t="shared" si="186"/>
        <v>0.05</v>
      </c>
      <c r="N5307" s="475">
        <f t="shared" si="187"/>
        <v>212574</v>
      </c>
    </row>
    <row r="5308" spans="7:14" ht="11.25" customHeight="1" x14ac:dyDescent="0.3">
      <c r="G5308" s="470"/>
      <c r="H5308" s="470">
        <v>5301</v>
      </c>
      <c r="I5308" s="455">
        <f t="shared" ca="1" si="185"/>
        <v>930440441421040.88</v>
      </c>
      <c r="J5308" s="455">
        <f t="array" ref="J5308">IFERROR(INDEX('Retirement Calculator'!K:K,MATCH('Lorri 401b'!N5308,'Retirement Calculator'!A:A,0),0),0)</f>
        <v>0</v>
      </c>
      <c r="K5308" s="455">
        <f t="shared" ca="1" si="183"/>
        <v>3876835172587.6699</v>
      </c>
      <c r="L5308" s="455">
        <f t="shared" ca="1" si="184"/>
        <v>934317276593628.5</v>
      </c>
      <c r="M5308" s="471">
        <f t="shared" si="186"/>
        <v>0.05</v>
      </c>
      <c r="N5308" s="475">
        <f t="shared" si="187"/>
        <v>212605</v>
      </c>
    </row>
    <row r="5309" spans="7:14" ht="11.25" customHeight="1" x14ac:dyDescent="0.3">
      <c r="G5309" s="470"/>
      <c r="H5309" s="470">
        <v>5302</v>
      </c>
      <c r="I5309" s="455">
        <f t="shared" ca="1" si="185"/>
        <v>934317276593628.5</v>
      </c>
      <c r="J5309" s="455">
        <f t="array" ref="J5309">IFERROR(INDEX('Retirement Calculator'!K:K,MATCH('Lorri 401b'!N5309,'Retirement Calculator'!A:A,0),0),0)</f>
        <v>0</v>
      </c>
      <c r="K5309" s="455">
        <f t="shared" ca="1" si="183"/>
        <v>3892988652473.4517</v>
      </c>
      <c r="L5309" s="455">
        <f t="shared" ca="1" si="184"/>
        <v>938210265246102</v>
      </c>
      <c r="M5309" s="471">
        <f t="shared" si="186"/>
        <v>0.05</v>
      </c>
      <c r="N5309" s="475">
        <f t="shared" si="187"/>
        <v>212633</v>
      </c>
    </row>
    <row r="5310" spans="7:14" ht="11.25" customHeight="1" x14ac:dyDescent="0.3">
      <c r="G5310" s="470"/>
      <c r="H5310" s="470">
        <v>5303</v>
      </c>
      <c r="I5310" s="455">
        <f t="shared" ca="1" si="185"/>
        <v>938210265246102</v>
      </c>
      <c r="J5310" s="455">
        <f t="array" ref="J5310">IFERROR(INDEX('Retirement Calculator'!K:K,MATCH('Lorri 401b'!N5310,'Retirement Calculator'!A:A,0),0),0)</f>
        <v>0</v>
      </c>
      <c r="K5310" s="455">
        <f t="shared" ca="1" si="183"/>
        <v>3909209438525.4253</v>
      </c>
      <c r="L5310" s="455">
        <f t="shared" ca="1" si="184"/>
        <v>942119474684627.38</v>
      </c>
      <c r="M5310" s="471">
        <f t="shared" si="186"/>
        <v>0.05</v>
      </c>
      <c r="N5310" s="475">
        <f t="shared" si="187"/>
        <v>212664</v>
      </c>
    </row>
    <row r="5311" spans="7:14" ht="11.25" customHeight="1" x14ac:dyDescent="0.3">
      <c r="G5311" s="470"/>
      <c r="H5311" s="470">
        <v>5304</v>
      </c>
      <c r="I5311" s="455">
        <f t="shared" ca="1" si="185"/>
        <v>942119474684627.38</v>
      </c>
      <c r="J5311" s="455">
        <f t="array" ref="J5311">IFERROR(INDEX('Retirement Calculator'!K:K,MATCH('Lorri 401b'!N5311,'Retirement Calculator'!A:A,0),0),0)</f>
        <v>0</v>
      </c>
      <c r="K5311" s="455">
        <f t="shared" ca="1" si="183"/>
        <v>3925497811185.9468</v>
      </c>
      <c r="L5311" s="455">
        <f t="shared" ca="1" si="184"/>
        <v>946044972495813.38</v>
      </c>
      <c r="M5311" s="471">
        <f t="shared" si="186"/>
        <v>0.05</v>
      </c>
      <c r="N5311" s="475">
        <f t="shared" si="187"/>
        <v>212694</v>
      </c>
    </row>
    <row r="5312" spans="7:14" ht="11.25" customHeight="1" x14ac:dyDescent="0.3">
      <c r="G5312" s="470"/>
      <c r="H5312" s="470">
        <v>5305</v>
      </c>
      <c r="I5312" s="455">
        <f t="shared" ca="1" si="185"/>
        <v>946044972495813.38</v>
      </c>
      <c r="J5312" s="455">
        <f t="array" ref="J5312">IFERROR(INDEX('Retirement Calculator'!K:K,MATCH('Lorri 401b'!N5312,'Retirement Calculator'!A:A,0),0),0)</f>
        <v>0</v>
      </c>
      <c r="K5312" s="455">
        <f t="shared" ca="1" si="183"/>
        <v>3941854052065.8892</v>
      </c>
      <c r="L5312" s="455">
        <f t="shared" ca="1" si="184"/>
        <v>949986826547879.25</v>
      </c>
      <c r="M5312" s="471">
        <f t="shared" si="186"/>
        <v>0.05</v>
      </c>
      <c r="N5312" s="475">
        <f t="shared" si="187"/>
        <v>212725</v>
      </c>
    </row>
    <row r="5313" spans="7:14" ht="11.25" customHeight="1" x14ac:dyDescent="0.3">
      <c r="G5313" s="470"/>
      <c r="H5313" s="470">
        <v>5306</v>
      </c>
      <c r="I5313" s="455">
        <f t="shared" ca="1" si="185"/>
        <v>949986826547879.25</v>
      </c>
      <c r="J5313" s="455">
        <f t="array" ref="J5313">IFERROR(INDEX('Retirement Calculator'!K:K,MATCH('Lorri 401b'!N5313,'Retirement Calculator'!A:A,0),0),0)</f>
        <v>0</v>
      </c>
      <c r="K5313" s="455">
        <f t="shared" ca="1" si="183"/>
        <v>3958278443949.4966</v>
      </c>
      <c r="L5313" s="455">
        <f t="shared" ca="1" si="184"/>
        <v>953945104991828.75</v>
      </c>
      <c r="M5313" s="471">
        <f t="shared" si="186"/>
        <v>0.05</v>
      </c>
      <c r="N5313" s="475">
        <f t="shared" si="187"/>
        <v>212755</v>
      </c>
    </row>
    <row r="5314" spans="7:14" ht="11.25" customHeight="1" x14ac:dyDescent="0.3">
      <c r="G5314" s="470"/>
      <c r="H5314" s="470">
        <v>5307</v>
      </c>
      <c r="I5314" s="455">
        <f t="shared" ca="1" si="185"/>
        <v>953945104991828.75</v>
      </c>
      <c r="J5314" s="455">
        <f t="array" ref="J5314">IFERROR(INDEX('Retirement Calculator'!K:K,MATCH('Lorri 401b'!N5314,'Retirement Calculator'!A:A,0),0),0)</f>
        <v>0</v>
      </c>
      <c r="K5314" s="455">
        <f t="shared" ca="1" si="183"/>
        <v>3974771270799.2871</v>
      </c>
      <c r="L5314" s="455">
        <f t="shared" ca="1" si="184"/>
        <v>957919876262628</v>
      </c>
      <c r="M5314" s="471">
        <f t="shared" si="186"/>
        <v>0.05</v>
      </c>
      <c r="N5314" s="475">
        <f t="shared" si="187"/>
        <v>212786</v>
      </c>
    </row>
    <row r="5315" spans="7:14" ht="11.25" customHeight="1" x14ac:dyDescent="0.3">
      <c r="G5315" s="470"/>
      <c r="H5315" s="470">
        <v>5308</v>
      </c>
      <c r="I5315" s="455">
        <f t="shared" ca="1" si="185"/>
        <v>957919876262628</v>
      </c>
      <c r="J5315" s="455">
        <f t="array" ref="J5315">IFERROR(INDEX('Retirement Calculator'!K:K,MATCH('Lorri 401b'!N5315,'Retirement Calculator'!A:A,0),0),0)</f>
        <v>0</v>
      </c>
      <c r="K5315" s="455">
        <f t="shared" ca="1" si="183"/>
        <v>3991332817760.9497</v>
      </c>
      <c r="L5315" s="455">
        <f t="shared" ca="1" si="184"/>
        <v>961911209080389</v>
      </c>
      <c r="M5315" s="471">
        <f t="shared" si="186"/>
        <v>0.05</v>
      </c>
      <c r="N5315" s="475">
        <f t="shared" si="187"/>
        <v>212817</v>
      </c>
    </row>
    <row r="5316" spans="7:14" ht="11.25" customHeight="1" x14ac:dyDescent="0.3">
      <c r="G5316" s="470"/>
      <c r="H5316" s="470">
        <v>5309</v>
      </c>
      <c r="I5316" s="455">
        <f t="shared" ca="1" si="185"/>
        <v>961911209080389</v>
      </c>
      <c r="J5316" s="455">
        <f t="array" ref="J5316">IFERROR(INDEX('Retirement Calculator'!K:K,MATCH('Lorri 401b'!N5316,'Retirement Calculator'!A:A,0),0),0)</f>
        <v>0</v>
      </c>
      <c r="K5316" s="455">
        <f t="shared" ca="1" si="183"/>
        <v>4007963371168.2876</v>
      </c>
      <c r="L5316" s="455">
        <f t="shared" ca="1" si="184"/>
        <v>965919172451557.25</v>
      </c>
      <c r="M5316" s="471">
        <f t="shared" si="186"/>
        <v>0.05</v>
      </c>
      <c r="N5316" s="475">
        <f t="shared" si="187"/>
        <v>212847</v>
      </c>
    </row>
    <row r="5317" spans="7:14" ht="11.25" customHeight="1" x14ac:dyDescent="0.3">
      <c r="G5317" s="470"/>
      <c r="H5317" s="470">
        <v>5310</v>
      </c>
      <c r="I5317" s="455">
        <f t="shared" ca="1" si="185"/>
        <v>965919172451557.25</v>
      </c>
      <c r="J5317" s="455">
        <f t="array" ref="J5317">IFERROR(INDEX('Retirement Calculator'!K:K,MATCH('Lorri 401b'!N5317,'Retirement Calculator'!A:A,0),0),0)</f>
        <v>0</v>
      </c>
      <c r="K5317" s="455">
        <f t="shared" ca="1" si="183"/>
        <v>4024663218548.1558</v>
      </c>
      <c r="L5317" s="455">
        <f t="shared" ca="1" si="184"/>
        <v>969943835670105.38</v>
      </c>
      <c r="M5317" s="471">
        <f t="shared" si="186"/>
        <v>0.05</v>
      </c>
      <c r="N5317" s="475">
        <f t="shared" si="187"/>
        <v>212878</v>
      </c>
    </row>
    <row r="5318" spans="7:14" ht="11.25" customHeight="1" x14ac:dyDescent="0.3">
      <c r="G5318" s="470"/>
      <c r="H5318" s="470">
        <v>5311</v>
      </c>
      <c r="I5318" s="455">
        <f t="shared" ca="1" si="185"/>
        <v>969943835670105.38</v>
      </c>
      <c r="J5318" s="455">
        <f t="array" ref="J5318">IFERROR(INDEX('Retirement Calculator'!K:K,MATCH('Lorri 401b'!N5318,'Retirement Calculator'!A:A,0),0),0)</f>
        <v>0</v>
      </c>
      <c r="K5318" s="455">
        <f t="shared" ca="1" si="183"/>
        <v>4041432648625.439</v>
      </c>
      <c r="L5318" s="455">
        <f t="shared" ca="1" si="184"/>
        <v>973985268318730.88</v>
      </c>
      <c r="M5318" s="471">
        <f t="shared" si="186"/>
        <v>0.05</v>
      </c>
      <c r="N5318" s="475">
        <f t="shared" si="187"/>
        <v>212908</v>
      </c>
    </row>
    <row r="5319" spans="7:14" ht="11.25" customHeight="1" x14ac:dyDescent="0.3">
      <c r="G5319" s="470"/>
      <c r="H5319" s="470">
        <v>5312</v>
      </c>
      <c r="I5319" s="455">
        <f t="shared" ca="1" si="185"/>
        <v>973985268318730.88</v>
      </c>
      <c r="J5319" s="455">
        <f t="array" ref="J5319">IFERROR(INDEX('Retirement Calculator'!K:K,MATCH('Lorri 401b'!N5319,'Retirement Calculator'!A:A,0),0),0)</f>
        <v>0</v>
      </c>
      <c r="K5319" s="455">
        <f t="shared" ca="1" si="183"/>
        <v>4058271951328.0449</v>
      </c>
      <c r="L5319" s="455">
        <f t="shared" ca="1" si="184"/>
        <v>978043540270058.88</v>
      </c>
      <c r="M5319" s="471">
        <f t="shared" si="186"/>
        <v>0.05</v>
      </c>
      <c r="N5319" s="475">
        <f t="shared" si="187"/>
        <v>212939</v>
      </c>
    </row>
    <row r="5320" spans="7:14" ht="11.25" customHeight="1" x14ac:dyDescent="0.3">
      <c r="G5320" s="470"/>
      <c r="H5320" s="470">
        <v>5313</v>
      </c>
      <c r="I5320" s="455">
        <f t="shared" ca="1" si="185"/>
        <v>978043540270058.88</v>
      </c>
      <c r="J5320" s="455">
        <f t="array" ref="J5320">IFERROR(INDEX('Retirement Calculator'!K:K,MATCH('Lorri 401b'!N5320,'Retirement Calculator'!A:A,0),0),0)</f>
        <v>0</v>
      </c>
      <c r="K5320" s="455">
        <f t="shared" ca="1" si="183"/>
        <v>4075181417791.9121</v>
      </c>
      <c r="L5320" s="455">
        <f t="shared" ca="1" si="184"/>
        <v>982118721687850.75</v>
      </c>
      <c r="M5320" s="471">
        <f t="shared" si="186"/>
        <v>0.05</v>
      </c>
      <c r="N5320" s="475">
        <f t="shared" si="187"/>
        <v>212970</v>
      </c>
    </row>
    <row r="5321" spans="7:14" ht="11.25" customHeight="1" x14ac:dyDescent="0.3">
      <c r="G5321" s="470"/>
      <c r="H5321" s="470">
        <v>5314</v>
      </c>
      <c r="I5321" s="455">
        <f t="shared" ca="1" si="185"/>
        <v>982118721687850.75</v>
      </c>
      <c r="J5321" s="455">
        <f t="array" ref="J5321">IFERROR(INDEX('Retirement Calculator'!K:K,MATCH('Lorri 401b'!N5321,'Retirement Calculator'!A:A,0),0),0)</f>
        <v>0</v>
      </c>
      <c r="K5321" s="455">
        <f t="shared" ca="1" si="183"/>
        <v>4092161340366.0449</v>
      </c>
      <c r="L5321" s="455">
        <f t="shared" ca="1" si="184"/>
        <v>986210883028216.75</v>
      </c>
      <c r="M5321" s="471">
        <f t="shared" si="186"/>
        <v>0.05</v>
      </c>
      <c r="N5321" s="475">
        <f t="shared" si="187"/>
        <v>212998</v>
      </c>
    </row>
    <row r="5322" spans="7:14" ht="11.25" customHeight="1" x14ac:dyDescent="0.3">
      <c r="G5322" s="470"/>
      <c r="H5322" s="470">
        <v>5315</v>
      </c>
      <c r="I5322" s="455">
        <f t="shared" ca="1" si="185"/>
        <v>986210883028216.75</v>
      </c>
      <c r="J5322" s="455">
        <f t="array" ref="J5322">IFERROR(INDEX('Retirement Calculator'!K:K,MATCH('Lorri 401b'!N5322,'Retirement Calculator'!A:A,0),0),0)</f>
        <v>0</v>
      </c>
      <c r="K5322" s="455">
        <f t="shared" ca="1" si="183"/>
        <v>4109212012617.5698</v>
      </c>
      <c r="L5322" s="455">
        <f t="shared" ca="1" si="184"/>
        <v>990320095040834.38</v>
      </c>
      <c r="M5322" s="471">
        <f t="shared" si="186"/>
        <v>0.05</v>
      </c>
      <c r="N5322" s="475">
        <f t="shared" si="187"/>
        <v>213029</v>
      </c>
    </row>
    <row r="5323" spans="7:14" ht="11.25" customHeight="1" x14ac:dyDescent="0.3">
      <c r="G5323" s="470"/>
      <c r="H5323" s="470">
        <v>5316</v>
      </c>
      <c r="I5323" s="455">
        <f t="shared" ca="1" si="185"/>
        <v>990320095040834.38</v>
      </c>
      <c r="J5323" s="455">
        <f t="array" ref="J5323">IFERROR(INDEX('Retirement Calculator'!K:K,MATCH('Lorri 401b'!N5323,'Retirement Calculator'!A:A,0),0),0)</f>
        <v>0</v>
      </c>
      <c r="K5323" s="455">
        <f t="shared" ca="1" si="183"/>
        <v>4126333729336.8101</v>
      </c>
      <c r="L5323" s="455">
        <f t="shared" ca="1" si="184"/>
        <v>994446428770171.13</v>
      </c>
      <c r="M5323" s="471">
        <f t="shared" si="186"/>
        <v>0.05</v>
      </c>
      <c r="N5323" s="475">
        <f t="shared" si="187"/>
        <v>213059</v>
      </c>
    </row>
    <row r="5324" spans="7:14" ht="11.25" customHeight="1" x14ac:dyDescent="0.3">
      <c r="G5324" s="470"/>
      <c r="H5324" s="470">
        <v>5317</v>
      </c>
      <c r="I5324" s="455">
        <f t="shared" ca="1" si="185"/>
        <v>994446428770171.13</v>
      </c>
      <c r="J5324" s="455">
        <f t="array" ref="J5324">IFERROR(INDEX('Retirement Calculator'!K:K,MATCH('Lorri 401b'!N5324,'Retirement Calculator'!A:A,0),0),0)</f>
        <v>0</v>
      </c>
      <c r="K5324" s="455">
        <f t="shared" ca="1" si="183"/>
        <v>4143526786542.3794</v>
      </c>
      <c r="L5324" s="455">
        <f t="shared" ca="1" si="184"/>
        <v>998589955556713.5</v>
      </c>
      <c r="M5324" s="471">
        <f t="shared" si="186"/>
        <v>0.05</v>
      </c>
      <c r="N5324" s="475">
        <f t="shared" si="187"/>
        <v>213090</v>
      </c>
    </row>
    <row r="5325" spans="7:14" ht="11.25" customHeight="1" x14ac:dyDescent="0.3">
      <c r="G5325" s="470"/>
      <c r="H5325" s="470">
        <v>5318</v>
      </c>
      <c r="I5325" s="455">
        <f t="shared" ca="1" si="185"/>
        <v>998589955556713.5</v>
      </c>
      <c r="J5325" s="455">
        <f t="array" ref="J5325">IFERROR(INDEX('Retirement Calculator'!K:K,MATCH('Lorri 401b'!N5325,'Retirement Calculator'!A:A,0),0),0)</f>
        <v>0</v>
      </c>
      <c r="K5325" s="455">
        <f t="shared" ca="1" si="183"/>
        <v>4160791481486.3062</v>
      </c>
      <c r="L5325" s="455">
        <f t="shared" ca="1" si="184"/>
        <v>1002750747038199.8</v>
      </c>
      <c r="M5325" s="471">
        <f t="shared" si="186"/>
        <v>0.05</v>
      </c>
      <c r="N5325" s="475">
        <f t="shared" si="187"/>
        <v>213120</v>
      </c>
    </row>
    <row r="5326" spans="7:14" ht="11.25" customHeight="1" x14ac:dyDescent="0.3">
      <c r="G5326" s="470"/>
      <c r="H5326" s="470">
        <v>5319</v>
      </c>
      <c r="I5326" s="455">
        <f t="shared" ca="1" si="185"/>
        <v>1002750747038199.8</v>
      </c>
      <c r="J5326" s="455">
        <f t="array" ref="J5326">IFERROR(INDEX('Retirement Calculator'!K:K,MATCH('Lorri 401b'!N5326,'Retirement Calculator'!A:A,0),0),0)</f>
        <v>0</v>
      </c>
      <c r="K5326" s="455">
        <f t="shared" ca="1" si="183"/>
        <v>4178128112659.166</v>
      </c>
      <c r="L5326" s="455">
        <f t="shared" ca="1" si="184"/>
        <v>1006928875150858.9</v>
      </c>
      <c r="M5326" s="471">
        <f t="shared" si="186"/>
        <v>0.05</v>
      </c>
      <c r="N5326" s="475">
        <f t="shared" si="187"/>
        <v>213151</v>
      </c>
    </row>
    <row r="5327" spans="7:14" ht="11.25" customHeight="1" x14ac:dyDescent="0.3">
      <c r="G5327" s="470"/>
      <c r="H5327" s="470">
        <v>5320</v>
      </c>
      <c r="I5327" s="455">
        <f t="shared" ca="1" si="185"/>
        <v>1006928875150858.9</v>
      </c>
      <c r="J5327" s="455">
        <f t="array" ref="J5327">IFERROR(INDEX('Retirement Calculator'!K:K,MATCH('Lorri 401b'!N5327,'Retirement Calculator'!A:A,0),0),0)</f>
        <v>0</v>
      </c>
      <c r="K5327" s="455">
        <f t="shared" ca="1" si="183"/>
        <v>4195536979795.2456</v>
      </c>
      <c r="L5327" s="455">
        <f t="shared" ca="1" si="184"/>
        <v>1011124412130654.1</v>
      </c>
      <c r="M5327" s="471">
        <f t="shared" si="186"/>
        <v>0.05</v>
      </c>
      <c r="N5327" s="475">
        <f t="shared" si="187"/>
        <v>213182</v>
      </c>
    </row>
    <row r="5328" spans="7:14" ht="11.25" customHeight="1" x14ac:dyDescent="0.3">
      <c r="G5328" s="470"/>
      <c r="H5328" s="470">
        <v>5321</v>
      </c>
      <c r="I5328" s="455">
        <f t="shared" ca="1" si="185"/>
        <v>1011124412130654.1</v>
      </c>
      <c r="J5328" s="455">
        <f t="array" ref="J5328">IFERROR(INDEX('Retirement Calculator'!K:K,MATCH('Lorri 401b'!N5328,'Retirement Calculator'!A:A,0),0),0)</f>
        <v>0</v>
      </c>
      <c r="K5328" s="455">
        <f t="shared" ca="1" si="183"/>
        <v>4213018383877.7256</v>
      </c>
      <c r="L5328" s="455">
        <f t="shared" ca="1" si="184"/>
        <v>1015337430514531.9</v>
      </c>
      <c r="M5328" s="471">
        <f t="shared" si="186"/>
        <v>0.05</v>
      </c>
      <c r="N5328" s="475">
        <f t="shared" si="187"/>
        <v>213212</v>
      </c>
    </row>
    <row r="5329" spans="7:14" ht="11.25" customHeight="1" x14ac:dyDescent="0.3">
      <c r="G5329" s="470"/>
      <c r="H5329" s="470">
        <v>5322</v>
      </c>
      <c r="I5329" s="455">
        <f t="shared" ca="1" si="185"/>
        <v>1015337430514531.9</v>
      </c>
      <c r="J5329" s="455">
        <f t="array" ref="J5329">IFERROR(INDEX('Retirement Calculator'!K:K,MATCH('Lorri 401b'!N5329,'Retirement Calculator'!A:A,0),0),0)</f>
        <v>0</v>
      </c>
      <c r="K5329" s="455">
        <f t="shared" ca="1" si="183"/>
        <v>4230572627143.8828</v>
      </c>
      <c r="L5329" s="455">
        <f t="shared" ca="1" si="184"/>
        <v>1019568003141675.8</v>
      </c>
      <c r="M5329" s="471">
        <f t="shared" si="186"/>
        <v>0.05</v>
      </c>
      <c r="N5329" s="475">
        <f t="shared" si="187"/>
        <v>213243</v>
      </c>
    </row>
    <row r="5330" spans="7:14" ht="11.25" customHeight="1" x14ac:dyDescent="0.3">
      <c r="G5330" s="470"/>
      <c r="H5330" s="470">
        <v>5323</v>
      </c>
      <c r="I5330" s="455">
        <f t="shared" ca="1" si="185"/>
        <v>1019568003141675.8</v>
      </c>
      <c r="J5330" s="455">
        <f t="array" ref="J5330">IFERROR(INDEX('Retirement Calculator'!K:K,MATCH('Lorri 401b'!N5330,'Retirement Calculator'!A:A,0),0),0)</f>
        <v>0</v>
      </c>
      <c r="K5330" s="455">
        <f t="shared" ca="1" si="183"/>
        <v>4248200013090.3154</v>
      </c>
      <c r="L5330" s="455">
        <f t="shared" ca="1" si="184"/>
        <v>1023816203154766.1</v>
      </c>
      <c r="M5330" s="471">
        <f t="shared" si="186"/>
        <v>0.05</v>
      </c>
      <c r="N5330" s="475">
        <f t="shared" si="187"/>
        <v>213273</v>
      </c>
    </row>
    <row r="5331" spans="7:14" ht="11.25" customHeight="1" x14ac:dyDescent="0.3">
      <c r="G5331" s="470"/>
      <c r="H5331" s="470">
        <v>5324</v>
      </c>
      <c r="I5331" s="455">
        <f t="shared" ca="1" si="185"/>
        <v>1023816203154766.1</v>
      </c>
      <c r="J5331" s="455">
        <f t="array" ref="J5331">IFERROR(INDEX('Retirement Calculator'!K:K,MATCH('Lorri 401b'!N5331,'Retirement Calculator'!A:A,0),0),0)</f>
        <v>0</v>
      </c>
      <c r="K5331" s="455">
        <f t="shared" ca="1" si="183"/>
        <v>4265900846478.1919</v>
      </c>
      <c r="L5331" s="455">
        <f t="shared" ca="1" si="184"/>
        <v>1028082104001244.4</v>
      </c>
      <c r="M5331" s="471">
        <f t="shared" si="186"/>
        <v>0.05</v>
      </c>
      <c r="N5331" s="475">
        <f t="shared" si="187"/>
        <v>213304</v>
      </c>
    </row>
    <row r="5332" spans="7:14" ht="11.25" customHeight="1" x14ac:dyDescent="0.3">
      <c r="G5332" s="470"/>
      <c r="H5332" s="470">
        <v>5325</v>
      </c>
      <c r="I5332" s="455">
        <f t="shared" ca="1" si="185"/>
        <v>1028082104001244.4</v>
      </c>
      <c r="J5332" s="455">
        <f t="array" ref="J5332">IFERROR(INDEX('Retirement Calculator'!K:K,MATCH('Lorri 401b'!N5332,'Retirement Calculator'!A:A,0),0),0)</f>
        <v>0</v>
      </c>
      <c r="K5332" s="455">
        <f t="shared" ca="1" si="183"/>
        <v>4283675433338.5181</v>
      </c>
      <c r="L5332" s="455">
        <f t="shared" ca="1" si="184"/>
        <v>1032365779434582.9</v>
      </c>
      <c r="M5332" s="471">
        <f t="shared" si="186"/>
        <v>0.05</v>
      </c>
      <c r="N5332" s="475">
        <f t="shared" si="187"/>
        <v>213335</v>
      </c>
    </row>
    <row r="5333" spans="7:14" ht="11.25" customHeight="1" x14ac:dyDescent="0.3">
      <c r="G5333" s="470"/>
      <c r="H5333" s="470">
        <v>5326</v>
      </c>
      <c r="I5333" s="455">
        <f t="shared" ca="1" si="185"/>
        <v>1032365779434582.9</v>
      </c>
      <c r="J5333" s="455">
        <f t="array" ref="J5333">IFERROR(INDEX('Retirement Calculator'!K:K,MATCH('Lorri 401b'!N5333,'Retirement Calculator'!A:A,0),0),0)</f>
        <v>0</v>
      </c>
      <c r="K5333" s="455">
        <f t="shared" ca="1" si="183"/>
        <v>4301524080977.4292</v>
      </c>
      <c r="L5333" s="455">
        <f t="shared" ca="1" si="184"/>
        <v>1036667303515560.3</v>
      </c>
      <c r="M5333" s="471">
        <f t="shared" si="186"/>
        <v>0.05</v>
      </c>
      <c r="N5333" s="475">
        <f t="shared" si="187"/>
        <v>213364</v>
      </c>
    </row>
    <row r="5334" spans="7:14" ht="11.25" customHeight="1" x14ac:dyDescent="0.3">
      <c r="G5334" s="470"/>
      <c r="H5334" s="470">
        <v>5327</v>
      </c>
      <c r="I5334" s="455">
        <f t="shared" ca="1" si="185"/>
        <v>1036667303515560.3</v>
      </c>
      <c r="J5334" s="455">
        <f t="array" ref="J5334">IFERROR(INDEX('Retirement Calculator'!K:K,MATCH('Lorri 401b'!N5334,'Retirement Calculator'!A:A,0),0),0)</f>
        <v>0</v>
      </c>
      <c r="K5334" s="455">
        <f t="shared" ca="1" si="183"/>
        <v>4319447097981.501</v>
      </c>
      <c r="L5334" s="455">
        <f t="shared" ca="1" si="184"/>
        <v>1040986750613541.8</v>
      </c>
      <c r="M5334" s="471">
        <f t="shared" si="186"/>
        <v>0.05</v>
      </c>
      <c r="N5334" s="475">
        <f t="shared" si="187"/>
        <v>213395</v>
      </c>
    </row>
    <row r="5335" spans="7:14" ht="11.25" customHeight="1" x14ac:dyDescent="0.3">
      <c r="G5335" s="470"/>
      <c r="H5335" s="470">
        <v>5328</v>
      </c>
      <c r="I5335" s="455">
        <f t="shared" ca="1" si="185"/>
        <v>1040986750613541.8</v>
      </c>
      <c r="J5335" s="455">
        <f t="array" ref="J5335">IFERROR(INDEX('Retirement Calculator'!K:K,MATCH('Lorri 401b'!N5335,'Retirement Calculator'!A:A,0),0),0)</f>
        <v>0</v>
      </c>
      <c r="K5335" s="455">
        <f t="shared" ca="1" si="183"/>
        <v>4337444794223.0903</v>
      </c>
      <c r="L5335" s="455">
        <f t="shared" ca="1" si="184"/>
        <v>1045324195407764.9</v>
      </c>
      <c r="M5335" s="471">
        <f t="shared" si="186"/>
        <v>0.05</v>
      </c>
      <c r="N5335" s="475">
        <f t="shared" si="187"/>
        <v>213425</v>
      </c>
    </row>
    <row r="5336" spans="7:14" ht="11.25" customHeight="1" x14ac:dyDescent="0.3">
      <c r="G5336" s="470"/>
      <c r="H5336" s="470">
        <v>5329</v>
      </c>
      <c r="I5336" s="455">
        <f t="shared" ca="1" si="185"/>
        <v>1045324195407764.9</v>
      </c>
      <c r="J5336" s="455">
        <f t="array" ref="J5336">IFERROR(INDEX('Retirement Calculator'!K:K,MATCH('Lorri 401b'!N5336,'Retirement Calculator'!A:A,0),0),0)</f>
        <v>0</v>
      </c>
      <c r="K5336" s="455">
        <f t="shared" ca="1" si="183"/>
        <v>4355517480865.687</v>
      </c>
      <c r="L5336" s="455">
        <f t="shared" ca="1" si="184"/>
        <v>1049679712888630.5</v>
      </c>
      <c r="M5336" s="471">
        <f t="shared" si="186"/>
        <v>0.05</v>
      </c>
      <c r="N5336" s="475">
        <f t="shared" si="187"/>
        <v>213456</v>
      </c>
    </row>
    <row r="5337" spans="7:14" ht="11.25" customHeight="1" x14ac:dyDescent="0.3">
      <c r="G5337" s="470"/>
      <c r="H5337" s="470">
        <v>5330</v>
      </c>
      <c r="I5337" s="455">
        <f t="shared" ca="1" si="185"/>
        <v>1049679712888630.5</v>
      </c>
      <c r="J5337" s="455">
        <f t="array" ref="J5337">IFERROR(INDEX('Retirement Calculator'!K:K,MATCH('Lorri 401b'!N5337,'Retirement Calculator'!A:A,0),0),0)</f>
        <v>0</v>
      </c>
      <c r="K5337" s="455">
        <f t="shared" ca="1" si="183"/>
        <v>4373665470369.293</v>
      </c>
      <c r="L5337" s="455">
        <f t="shared" ca="1" si="184"/>
        <v>1054053378358999.8</v>
      </c>
      <c r="M5337" s="471">
        <f t="shared" si="186"/>
        <v>0.05</v>
      </c>
      <c r="N5337" s="475">
        <f t="shared" si="187"/>
        <v>213486</v>
      </c>
    </row>
    <row r="5338" spans="7:14" ht="11.25" customHeight="1" x14ac:dyDescent="0.3">
      <c r="G5338" s="470"/>
      <c r="H5338" s="470">
        <v>5331</v>
      </c>
      <c r="I5338" s="455">
        <f t="shared" ca="1" si="185"/>
        <v>1054053378358999.8</v>
      </c>
      <c r="J5338" s="455">
        <f t="array" ref="J5338">IFERROR(INDEX('Retirement Calculator'!K:K,MATCH('Lorri 401b'!N5338,'Retirement Calculator'!A:A,0),0),0)</f>
        <v>0</v>
      </c>
      <c r="K5338" s="455">
        <f t="shared" ca="1" si="183"/>
        <v>4391889076495.8315</v>
      </c>
      <c r="L5338" s="455">
        <f t="shared" ca="1" si="184"/>
        <v>1058445267435495.6</v>
      </c>
      <c r="M5338" s="471">
        <f t="shared" si="186"/>
        <v>0.05</v>
      </c>
      <c r="N5338" s="475">
        <f t="shared" si="187"/>
        <v>213517</v>
      </c>
    </row>
    <row r="5339" spans="7:14" ht="11.25" customHeight="1" x14ac:dyDescent="0.3">
      <c r="G5339" s="470"/>
      <c r="H5339" s="470">
        <v>5332</v>
      </c>
      <c r="I5339" s="455">
        <f t="shared" ca="1" si="185"/>
        <v>1058445267435495.6</v>
      </c>
      <c r="J5339" s="455">
        <f t="array" ref="J5339">IFERROR(INDEX('Retirement Calculator'!K:K,MATCH('Lorri 401b'!N5339,'Retirement Calculator'!A:A,0),0),0)</f>
        <v>0</v>
      </c>
      <c r="K5339" s="455">
        <f t="shared" ca="1" si="183"/>
        <v>4410188614314.5654</v>
      </c>
      <c r="L5339" s="455">
        <f t="shared" ca="1" si="184"/>
        <v>1062855456049810.3</v>
      </c>
      <c r="M5339" s="471">
        <f t="shared" si="186"/>
        <v>0.05</v>
      </c>
      <c r="N5339" s="475">
        <f t="shared" si="187"/>
        <v>213548</v>
      </c>
    </row>
    <row r="5340" spans="7:14" ht="11.25" customHeight="1" x14ac:dyDescent="0.3">
      <c r="G5340" s="470"/>
      <c r="H5340" s="470">
        <v>5333</v>
      </c>
      <c r="I5340" s="455">
        <f t="shared" ca="1" si="185"/>
        <v>1062855456049810.3</v>
      </c>
      <c r="J5340" s="455">
        <f t="array" ref="J5340">IFERROR(INDEX('Retirement Calculator'!K:K,MATCH('Lorri 401b'!N5340,'Retirement Calculator'!A:A,0),0),0)</f>
        <v>0</v>
      </c>
      <c r="K5340" s="455">
        <f t="shared" ca="1" si="183"/>
        <v>4428564400207.542</v>
      </c>
      <c r="L5340" s="455">
        <f t="shared" ca="1" si="184"/>
        <v>1067284020450017.8</v>
      </c>
      <c r="M5340" s="471">
        <f t="shared" si="186"/>
        <v>0.05</v>
      </c>
      <c r="N5340" s="475">
        <f t="shared" si="187"/>
        <v>213578</v>
      </c>
    </row>
    <row r="5341" spans="7:14" ht="11.25" customHeight="1" x14ac:dyDescent="0.3">
      <c r="G5341" s="470"/>
      <c r="H5341" s="470">
        <v>5334</v>
      </c>
      <c r="I5341" s="455">
        <f t="shared" ca="1" si="185"/>
        <v>1067284020450017.8</v>
      </c>
      <c r="J5341" s="455">
        <f t="array" ref="J5341">IFERROR(INDEX('Retirement Calculator'!K:K,MATCH('Lorri 401b'!N5341,'Retirement Calculator'!A:A,0),0),0)</f>
        <v>0</v>
      </c>
      <c r="K5341" s="455">
        <f t="shared" ca="1" si="183"/>
        <v>4447016751875.0732</v>
      </c>
      <c r="L5341" s="455">
        <f t="shared" ca="1" si="184"/>
        <v>1071731037201892.9</v>
      </c>
      <c r="M5341" s="471">
        <f t="shared" si="186"/>
        <v>0.05</v>
      </c>
      <c r="N5341" s="475">
        <f t="shared" si="187"/>
        <v>213609</v>
      </c>
    </row>
    <row r="5342" spans="7:14" ht="11.25" customHeight="1" x14ac:dyDescent="0.3">
      <c r="G5342" s="470"/>
      <c r="H5342" s="470">
        <v>5335</v>
      </c>
      <c r="I5342" s="455">
        <f t="shared" ca="1" si="185"/>
        <v>1071731037201892.9</v>
      </c>
      <c r="J5342" s="455">
        <f t="array" ref="J5342">IFERROR(INDEX('Retirement Calculator'!K:K,MATCH('Lorri 401b'!N5342,'Retirement Calculator'!A:A,0),0),0)</f>
        <v>0</v>
      </c>
      <c r="K5342" s="455">
        <f t="shared" ca="1" si="183"/>
        <v>4465545988341.2207</v>
      </c>
      <c r="L5342" s="455">
        <f t="shared" ca="1" si="184"/>
        <v>1076196583190234.1</v>
      </c>
      <c r="M5342" s="471">
        <f t="shared" si="186"/>
        <v>0.05</v>
      </c>
      <c r="N5342" s="475">
        <f t="shared" si="187"/>
        <v>213639</v>
      </c>
    </row>
    <row r="5343" spans="7:14" ht="11.25" customHeight="1" x14ac:dyDescent="0.3">
      <c r="G5343" s="470"/>
      <c r="H5343" s="470">
        <v>5336</v>
      </c>
      <c r="I5343" s="455">
        <f t="shared" ca="1" si="185"/>
        <v>1076196583190234.1</v>
      </c>
      <c r="J5343" s="455">
        <f t="array" ref="J5343">IFERROR(INDEX('Retirement Calculator'!K:K,MATCH('Lorri 401b'!N5343,'Retirement Calculator'!A:A,0),0),0)</f>
        <v>0</v>
      </c>
      <c r="K5343" s="455">
        <f t="shared" ca="1" si="183"/>
        <v>4484152429959.3086</v>
      </c>
      <c r="L5343" s="455">
        <f t="shared" ca="1" si="184"/>
        <v>1080680735620193.4</v>
      </c>
      <c r="M5343" s="471">
        <f t="shared" si="186"/>
        <v>0.05</v>
      </c>
      <c r="N5343" s="475">
        <f t="shared" si="187"/>
        <v>213670</v>
      </c>
    </row>
    <row r="5344" spans="7:14" ht="11.25" customHeight="1" x14ac:dyDescent="0.3">
      <c r="G5344" s="470"/>
      <c r="H5344" s="470">
        <v>5337</v>
      </c>
      <c r="I5344" s="455">
        <f t="shared" ca="1" si="185"/>
        <v>1080680735620193.4</v>
      </c>
      <c r="J5344" s="455">
        <f t="array" ref="J5344">IFERROR(INDEX('Retirement Calculator'!K:K,MATCH('Lorri 401b'!N5344,'Retirement Calculator'!A:A,0),0),0)</f>
        <v>0</v>
      </c>
      <c r="K5344" s="455">
        <f t="shared" ca="1" si="183"/>
        <v>4502836398417.4727</v>
      </c>
      <c r="L5344" s="455">
        <f t="shared" ca="1" si="184"/>
        <v>1085183572018610.9</v>
      </c>
      <c r="M5344" s="471">
        <f t="shared" si="186"/>
        <v>0.05</v>
      </c>
      <c r="N5344" s="475">
        <f t="shared" si="187"/>
        <v>213701</v>
      </c>
    </row>
    <row r="5345" spans="7:14" ht="11.25" customHeight="1" x14ac:dyDescent="0.3">
      <c r="G5345" s="470"/>
      <c r="H5345" s="470">
        <v>5338</v>
      </c>
      <c r="I5345" s="455">
        <f t="shared" ca="1" si="185"/>
        <v>1085183572018610.9</v>
      </c>
      <c r="J5345" s="455">
        <f t="array" ref="J5345">IFERROR(INDEX('Retirement Calculator'!K:K,MATCH('Lorri 401b'!N5345,'Retirement Calculator'!A:A,0),0),0)</f>
        <v>0</v>
      </c>
      <c r="K5345" s="455">
        <f t="shared" ca="1" si="183"/>
        <v>4521598216744.2119</v>
      </c>
      <c r="L5345" s="455">
        <f t="shared" ca="1" si="184"/>
        <v>1089705170235355.1</v>
      </c>
      <c r="M5345" s="471">
        <f t="shared" si="186"/>
        <v>0.05</v>
      </c>
      <c r="N5345" s="475">
        <f t="shared" si="187"/>
        <v>213729</v>
      </c>
    </row>
    <row r="5346" spans="7:14" ht="11.25" customHeight="1" x14ac:dyDescent="0.3">
      <c r="G5346" s="470"/>
      <c r="H5346" s="470">
        <v>5339</v>
      </c>
      <c r="I5346" s="455">
        <f t="shared" ca="1" si="185"/>
        <v>1089705170235355.1</v>
      </c>
      <c r="J5346" s="455">
        <f t="array" ref="J5346">IFERROR(INDEX('Retirement Calculator'!K:K,MATCH('Lorri 401b'!N5346,'Retirement Calculator'!A:A,0),0),0)</f>
        <v>0</v>
      </c>
      <c r="K5346" s="455">
        <f t="shared" ca="1" si="183"/>
        <v>4540438209313.9795</v>
      </c>
      <c r="L5346" s="455">
        <f t="shared" ca="1" si="184"/>
        <v>1094245608444669.1</v>
      </c>
      <c r="M5346" s="471">
        <f t="shared" si="186"/>
        <v>0.05</v>
      </c>
      <c r="N5346" s="475">
        <f t="shared" si="187"/>
        <v>213760</v>
      </c>
    </row>
    <row r="5347" spans="7:14" ht="11.25" customHeight="1" x14ac:dyDescent="0.3">
      <c r="G5347" s="470"/>
      <c r="H5347" s="470">
        <v>5340</v>
      </c>
      <c r="I5347" s="455">
        <f t="shared" ca="1" si="185"/>
        <v>1094245608444669.1</v>
      </c>
      <c r="J5347" s="455">
        <f t="array" ref="J5347">IFERROR(INDEX('Retirement Calculator'!K:K,MATCH('Lorri 401b'!N5347,'Retirement Calculator'!A:A,0),0),0)</f>
        <v>0</v>
      </c>
      <c r="K5347" s="455">
        <f t="shared" ca="1" si="183"/>
        <v>4559356701852.7881</v>
      </c>
      <c r="L5347" s="455">
        <f t="shared" ca="1" si="184"/>
        <v>1098804965146521.9</v>
      </c>
      <c r="M5347" s="471">
        <f t="shared" si="186"/>
        <v>0.05</v>
      </c>
      <c r="N5347" s="475">
        <f t="shared" si="187"/>
        <v>213790</v>
      </c>
    </row>
    <row r="5348" spans="7:14" ht="11.25" customHeight="1" x14ac:dyDescent="0.3">
      <c r="G5348" s="470"/>
      <c r="H5348" s="470">
        <v>5341</v>
      </c>
      <c r="I5348" s="455">
        <f t="shared" ca="1" si="185"/>
        <v>1098804965146521.9</v>
      </c>
      <c r="J5348" s="455">
        <f t="array" ref="J5348">IFERROR(INDEX('Retirement Calculator'!K:K,MATCH('Lorri 401b'!N5348,'Retirement Calculator'!A:A,0),0),0)</f>
        <v>0</v>
      </c>
      <c r="K5348" s="455">
        <f t="shared" ca="1" si="183"/>
        <v>4578354021443.8408</v>
      </c>
      <c r="L5348" s="455">
        <f t="shared" ca="1" si="184"/>
        <v>1103383319167965.8</v>
      </c>
      <c r="M5348" s="471">
        <f t="shared" si="186"/>
        <v>0.05</v>
      </c>
      <c r="N5348" s="475">
        <f t="shared" si="187"/>
        <v>213821</v>
      </c>
    </row>
    <row r="5349" spans="7:14" ht="11.25" customHeight="1" x14ac:dyDescent="0.3">
      <c r="G5349" s="470"/>
      <c r="H5349" s="470">
        <v>5342</v>
      </c>
      <c r="I5349" s="455">
        <f t="shared" ca="1" si="185"/>
        <v>1103383319167965.8</v>
      </c>
      <c r="J5349" s="455">
        <f t="array" ref="J5349">IFERROR(INDEX('Retirement Calculator'!K:K,MATCH('Lorri 401b'!N5349,'Retirement Calculator'!A:A,0),0),0)</f>
        <v>0</v>
      </c>
      <c r="K5349" s="455">
        <f t="shared" ca="1" si="183"/>
        <v>4597430496533.1914</v>
      </c>
      <c r="L5349" s="455">
        <f t="shared" ca="1" si="184"/>
        <v>1107980749664499</v>
      </c>
      <c r="M5349" s="471">
        <f t="shared" si="186"/>
        <v>0.05</v>
      </c>
      <c r="N5349" s="475">
        <f t="shared" si="187"/>
        <v>213851</v>
      </c>
    </row>
    <row r="5350" spans="7:14" ht="11.25" customHeight="1" x14ac:dyDescent="0.3">
      <c r="G5350" s="470"/>
      <c r="H5350" s="470">
        <v>5343</v>
      </c>
      <c r="I5350" s="455">
        <f t="shared" ca="1" si="185"/>
        <v>1107980749664499</v>
      </c>
      <c r="J5350" s="455">
        <f t="array" ref="J5350">IFERROR(INDEX('Retirement Calculator'!K:K,MATCH('Lorri 401b'!N5350,'Retirement Calculator'!A:A,0),0),0)</f>
        <v>0</v>
      </c>
      <c r="K5350" s="455">
        <f t="shared" ca="1" si="183"/>
        <v>4616586456935.4121</v>
      </c>
      <c r="L5350" s="455">
        <f t="shared" ca="1" si="184"/>
        <v>1112597336121434.4</v>
      </c>
      <c r="M5350" s="471">
        <f t="shared" si="186"/>
        <v>0.05</v>
      </c>
      <c r="N5350" s="475">
        <f t="shared" si="187"/>
        <v>213882</v>
      </c>
    </row>
    <row r="5351" spans="7:14" ht="11.25" customHeight="1" x14ac:dyDescent="0.3">
      <c r="G5351" s="470"/>
      <c r="H5351" s="470">
        <v>5344</v>
      </c>
      <c r="I5351" s="455">
        <f t="shared" ca="1" si="185"/>
        <v>1112597336121434.4</v>
      </c>
      <c r="J5351" s="455">
        <f t="array" ref="J5351">IFERROR(INDEX('Retirement Calculator'!K:K,MATCH('Lorri 401b'!N5351,'Retirement Calculator'!A:A,0),0),0)</f>
        <v>0</v>
      </c>
      <c r="K5351" s="455">
        <f t="shared" ca="1" si="183"/>
        <v>4635822233839.3096</v>
      </c>
      <c r="L5351" s="455">
        <f t="shared" ca="1" si="184"/>
        <v>1117233158355273.6</v>
      </c>
      <c r="M5351" s="471">
        <f t="shared" si="186"/>
        <v>0.05</v>
      </c>
      <c r="N5351" s="475">
        <f t="shared" si="187"/>
        <v>213913</v>
      </c>
    </row>
    <row r="5352" spans="7:14" ht="11.25" customHeight="1" x14ac:dyDescent="0.3">
      <c r="G5352" s="470"/>
      <c r="H5352" s="470">
        <v>5345</v>
      </c>
      <c r="I5352" s="455">
        <f t="shared" ca="1" si="185"/>
        <v>1117233158355273.6</v>
      </c>
      <c r="J5352" s="455">
        <f t="array" ref="J5352">IFERROR(INDEX('Retirement Calculator'!K:K,MATCH('Lorri 401b'!N5352,'Retirement Calculator'!A:A,0),0),0)</f>
        <v>0</v>
      </c>
      <c r="K5352" s="455">
        <f t="shared" ca="1" si="183"/>
        <v>4655138159813.6396</v>
      </c>
      <c r="L5352" s="455">
        <f t="shared" ca="1" si="184"/>
        <v>1121888296515087.3</v>
      </c>
      <c r="M5352" s="471">
        <f t="shared" si="186"/>
        <v>0.05</v>
      </c>
      <c r="N5352" s="475">
        <f t="shared" si="187"/>
        <v>213943</v>
      </c>
    </row>
    <row r="5353" spans="7:14" ht="11.25" customHeight="1" x14ac:dyDescent="0.3">
      <c r="G5353" s="470"/>
      <c r="H5353" s="470">
        <v>5346</v>
      </c>
      <c r="I5353" s="455">
        <f t="shared" ca="1" si="185"/>
        <v>1121888296515087.3</v>
      </c>
      <c r="J5353" s="455">
        <f t="array" ref="J5353">IFERROR(INDEX('Retirement Calculator'!K:K,MATCH('Lorri 401b'!N5353,'Retirement Calculator'!A:A,0),0),0)</f>
        <v>0</v>
      </c>
      <c r="K5353" s="455">
        <f t="shared" ca="1" si="183"/>
        <v>4674534568812.8643</v>
      </c>
      <c r="L5353" s="455">
        <f t="shared" ca="1" si="184"/>
        <v>1126562831083900</v>
      </c>
      <c r="M5353" s="471">
        <f t="shared" si="186"/>
        <v>0.05</v>
      </c>
      <c r="N5353" s="475">
        <f t="shared" si="187"/>
        <v>213974</v>
      </c>
    </row>
    <row r="5354" spans="7:14" ht="11.25" customHeight="1" x14ac:dyDescent="0.3">
      <c r="G5354" s="470"/>
      <c r="H5354" s="470">
        <v>5347</v>
      </c>
      <c r="I5354" s="455">
        <f t="shared" ca="1" si="185"/>
        <v>1126562831083900</v>
      </c>
      <c r="J5354" s="455">
        <f t="array" ref="J5354">IFERROR(INDEX('Retirement Calculator'!K:K,MATCH('Lorri 401b'!N5354,'Retirement Calculator'!A:A,0),0),0)</f>
        <v>0</v>
      </c>
      <c r="K5354" s="455">
        <f t="shared" ca="1" si="183"/>
        <v>4694011796182.917</v>
      </c>
      <c r="L5354" s="455">
        <f t="shared" ca="1" si="184"/>
        <v>1131256842880083</v>
      </c>
      <c r="M5354" s="471">
        <f t="shared" si="186"/>
        <v>0.05</v>
      </c>
      <c r="N5354" s="475">
        <f t="shared" si="187"/>
        <v>214004</v>
      </c>
    </row>
    <row r="5355" spans="7:14" ht="11.25" customHeight="1" x14ac:dyDescent="0.3">
      <c r="G5355" s="470"/>
      <c r="H5355" s="470">
        <v>5348</v>
      </c>
      <c r="I5355" s="455">
        <f t="shared" ca="1" si="185"/>
        <v>1131256842880083</v>
      </c>
      <c r="J5355" s="455">
        <f t="array" ref="J5355">IFERROR(INDEX('Retirement Calculator'!K:K,MATCH('Lorri 401b'!N5355,'Retirement Calculator'!A:A,0),0),0)</f>
        <v>0</v>
      </c>
      <c r="K5355" s="455">
        <f t="shared" ca="1" si="183"/>
        <v>4713570178667.0127</v>
      </c>
      <c r="L5355" s="455">
        <f t="shared" ca="1" si="184"/>
        <v>1135970413058750</v>
      </c>
      <c r="M5355" s="471">
        <f t="shared" si="186"/>
        <v>0.05</v>
      </c>
      <c r="N5355" s="475">
        <f t="shared" si="187"/>
        <v>214035</v>
      </c>
    </row>
    <row r="5356" spans="7:14" ht="11.25" customHeight="1" x14ac:dyDescent="0.3">
      <c r="G5356" s="470"/>
      <c r="H5356" s="470">
        <v>5349</v>
      </c>
      <c r="I5356" s="455">
        <f t="shared" ca="1" si="185"/>
        <v>1135970413058750</v>
      </c>
      <c r="J5356" s="455">
        <f t="array" ref="J5356">IFERROR(INDEX('Retirement Calculator'!K:K,MATCH('Lorri 401b'!N5356,'Retirement Calculator'!A:A,0),0),0)</f>
        <v>0</v>
      </c>
      <c r="K5356" s="455">
        <f t="shared" ca="1" si="183"/>
        <v>4733210054411.458</v>
      </c>
      <c r="L5356" s="455">
        <f t="shared" ca="1" si="184"/>
        <v>1140703623113161.5</v>
      </c>
      <c r="M5356" s="471">
        <f t="shared" si="186"/>
        <v>0.05</v>
      </c>
      <c r="N5356" s="475">
        <f t="shared" si="187"/>
        <v>214066</v>
      </c>
    </row>
    <row r="5357" spans="7:14" ht="11.25" customHeight="1" x14ac:dyDescent="0.3">
      <c r="G5357" s="470"/>
      <c r="H5357" s="470">
        <v>5350</v>
      </c>
      <c r="I5357" s="455">
        <f t="shared" ca="1" si="185"/>
        <v>1140703623113161.5</v>
      </c>
      <c r="J5357" s="455">
        <f t="array" ref="J5357">IFERROR(INDEX('Retirement Calculator'!K:K,MATCH('Lorri 401b'!N5357,'Retirement Calculator'!A:A,0),0),0)</f>
        <v>0</v>
      </c>
      <c r="K5357" s="455">
        <f t="shared" ca="1" si="183"/>
        <v>4752931762971.5059</v>
      </c>
      <c r="L5357" s="455">
        <f t="shared" ca="1" si="184"/>
        <v>1145456554876133</v>
      </c>
      <c r="M5357" s="471">
        <f t="shared" si="186"/>
        <v>0.05</v>
      </c>
      <c r="N5357" s="475">
        <f t="shared" si="187"/>
        <v>214094</v>
      </c>
    </row>
    <row r="5358" spans="7:14" ht="11.25" customHeight="1" x14ac:dyDescent="0.3">
      <c r="G5358" s="470"/>
      <c r="H5358" s="470">
        <v>5351</v>
      </c>
      <c r="I5358" s="455">
        <f t="shared" ca="1" si="185"/>
        <v>1145456554876133</v>
      </c>
      <c r="J5358" s="455">
        <f t="array" ref="J5358">IFERROR(INDEX('Retirement Calculator'!K:K,MATCH('Lorri 401b'!N5358,'Retirement Calculator'!A:A,0),0),0)</f>
        <v>0</v>
      </c>
      <c r="K5358" s="455">
        <f t="shared" ca="1" si="183"/>
        <v>4772735645317.2207</v>
      </c>
      <c r="L5358" s="455">
        <f t="shared" ca="1" si="184"/>
        <v>1150229290521450.3</v>
      </c>
      <c r="M5358" s="471">
        <f t="shared" si="186"/>
        <v>0.05</v>
      </c>
      <c r="N5358" s="475">
        <f t="shared" si="187"/>
        <v>214125</v>
      </c>
    </row>
    <row r="5359" spans="7:14" ht="11.25" customHeight="1" x14ac:dyDescent="0.3">
      <c r="G5359" s="470"/>
      <c r="H5359" s="470">
        <v>5352</v>
      </c>
      <c r="I5359" s="455">
        <f t="shared" ca="1" si="185"/>
        <v>1150229290521450.3</v>
      </c>
      <c r="J5359" s="455">
        <f t="array" ref="J5359">IFERROR(INDEX('Retirement Calculator'!K:K,MATCH('Lorri 401b'!N5359,'Retirement Calculator'!A:A,0),0),0)</f>
        <v>0</v>
      </c>
      <c r="K5359" s="455">
        <f t="shared" ca="1" si="183"/>
        <v>4792622043839.376</v>
      </c>
      <c r="L5359" s="455">
        <f t="shared" ca="1" si="184"/>
        <v>1155021912565289.8</v>
      </c>
      <c r="M5359" s="471">
        <f t="shared" si="186"/>
        <v>0.05</v>
      </c>
      <c r="N5359" s="475">
        <f t="shared" si="187"/>
        <v>214155</v>
      </c>
    </row>
    <row r="5360" spans="7:14" ht="11.25" customHeight="1" x14ac:dyDescent="0.3">
      <c r="G5360" s="470"/>
      <c r="H5360" s="470">
        <v>5353</v>
      </c>
      <c r="I5360" s="455">
        <f t="shared" ca="1" si="185"/>
        <v>1155021912565289.8</v>
      </c>
      <c r="J5360" s="455">
        <f t="array" ref="J5360">IFERROR(INDEX('Retirement Calculator'!K:K,MATCH('Lorri 401b'!N5360,'Retirement Calculator'!A:A,0),0),0)</f>
        <v>0</v>
      </c>
      <c r="K5360" s="455">
        <f t="shared" ca="1" si="183"/>
        <v>4812591302355.374</v>
      </c>
      <c r="L5360" s="455">
        <f t="shared" ca="1" si="184"/>
        <v>1159834503867645</v>
      </c>
      <c r="M5360" s="471">
        <f t="shared" si="186"/>
        <v>0.05</v>
      </c>
      <c r="N5360" s="475">
        <f t="shared" si="187"/>
        <v>214186</v>
      </c>
    </row>
    <row r="5361" spans="7:14" ht="11.25" customHeight="1" x14ac:dyDescent="0.3">
      <c r="G5361" s="470"/>
      <c r="H5361" s="470">
        <v>5354</v>
      </c>
      <c r="I5361" s="455">
        <f t="shared" ca="1" si="185"/>
        <v>1159834503867645</v>
      </c>
      <c r="J5361" s="455">
        <f t="array" ref="J5361">IFERROR(INDEX('Retirement Calculator'!K:K,MATCH('Lorri 401b'!N5361,'Retirement Calculator'!A:A,0),0),0)</f>
        <v>0</v>
      </c>
      <c r="K5361" s="455">
        <f t="shared" ca="1" si="183"/>
        <v>4832643766115.1875</v>
      </c>
      <c r="L5361" s="455">
        <f t="shared" ca="1" si="184"/>
        <v>1164667147633760.3</v>
      </c>
      <c r="M5361" s="471">
        <f t="shared" si="186"/>
        <v>0.05</v>
      </c>
      <c r="N5361" s="475">
        <f t="shared" si="187"/>
        <v>214216</v>
      </c>
    </row>
    <row r="5362" spans="7:14" ht="11.25" customHeight="1" x14ac:dyDescent="0.3">
      <c r="G5362" s="470"/>
      <c r="H5362" s="470">
        <v>5355</v>
      </c>
      <c r="I5362" s="455">
        <f t="shared" ca="1" si="185"/>
        <v>1164667147633760.3</v>
      </c>
      <c r="J5362" s="455">
        <f t="array" ref="J5362">IFERROR(INDEX('Retirement Calculator'!K:K,MATCH('Lorri 401b'!N5362,'Retirement Calculator'!A:A,0),0),0)</f>
        <v>0</v>
      </c>
      <c r="K5362" s="455">
        <f t="shared" ca="1" si="183"/>
        <v>4852779781807.334</v>
      </c>
      <c r="L5362" s="455">
        <f t="shared" ca="1" si="184"/>
        <v>1169519927415567.5</v>
      </c>
      <c r="M5362" s="471">
        <f t="shared" si="186"/>
        <v>0.05</v>
      </c>
      <c r="N5362" s="475">
        <f t="shared" si="187"/>
        <v>214247</v>
      </c>
    </row>
    <row r="5363" spans="7:14" ht="11.25" customHeight="1" x14ac:dyDescent="0.3">
      <c r="G5363" s="470"/>
      <c r="H5363" s="470">
        <v>5356</v>
      </c>
      <c r="I5363" s="455">
        <f t="shared" ca="1" si="185"/>
        <v>1169519927415567.5</v>
      </c>
      <c r="J5363" s="455">
        <f t="array" ref="J5363">IFERROR(INDEX('Retirement Calculator'!K:K,MATCH('Lorri 401b'!N5363,'Retirement Calculator'!A:A,0),0),0)</f>
        <v>0</v>
      </c>
      <c r="K5363" s="455">
        <f t="shared" ref="K5363:K5617" ca="1" si="188">IPMT(M5363/12,1,12,-I5363+J5363,,0)</f>
        <v>4872999697564.8643</v>
      </c>
      <c r="L5363" s="455">
        <f t="shared" ref="L5363:L5617" ca="1" si="189">I5363-J5363+K5363</f>
        <v>1174392927113132.3</v>
      </c>
      <c r="M5363" s="471">
        <f t="shared" si="186"/>
        <v>0.05</v>
      </c>
      <c r="N5363" s="475">
        <f t="shared" si="187"/>
        <v>214278</v>
      </c>
    </row>
    <row r="5364" spans="7:14" ht="11.25" customHeight="1" x14ac:dyDescent="0.3">
      <c r="G5364" s="470"/>
      <c r="H5364" s="470">
        <v>5357</v>
      </c>
      <c r="I5364" s="455">
        <f t="shared" ref="I5364:I5618" ca="1" si="190">L5363</f>
        <v>1174392927113132.3</v>
      </c>
      <c r="J5364" s="455">
        <f t="array" ref="J5364">IFERROR(INDEX('Retirement Calculator'!K:K,MATCH('Lorri 401b'!N5364,'Retirement Calculator'!A:A,0),0),0)</f>
        <v>0</v>
      </c>
      <c r="K5364" s="455">
        <f t="shared" ca="1" si="188"/>
        <v>4893303862971.3848</v>
      </c>
      <c r="L5364" s="455">
        <f t="shared" ca="1" si="189"/>
        <v>1179286230976103.8</v>
      </c>
      <c r="M5364" s="471">
        <f t="shared" ref="M5364:M5618" si="191">M5363</f>
        <v>0.05</v>
      </c>
      <c r="N5364" s="475">
        <f t="shared" ref="N5364:N5618" si="192">EDATE(N5363,1)</f>
        <v>214308</v>
      </c>
    </row>
    <row r="5365" spans="7:14" ht="11.25" customHeight="1" x14ac:dyDescent="0.3">
      <c r="G5365" s="470"/>
      <c r="H5365" s="470">
        <v>5358</v>
      </c>
      <c r="I5365" s="455">
        <f t="shared" ca="1" si="190"/>
        <v>1179286230976103.8</v>
      </c>
      <c r="J5365" s="455">
        <f t="array" ref="J5365">IFERROR(INDEX('Retirement Calculator'!K:K,MATCH('Lorri 401b'!N5365,'Retirement Calculator'!A:A,0),0),0)</f>
        <v>0</v>
      </c>
      <c r="K5365" s="455">
        <f t="shared" ca="1" si="188"/>
        <v>4913692629067.0986</v>
      </c>
      <c r="L5365" s="455">
        <f t="shared" ca="1" si="189"/>
        <v>1184199923605170.8</v>
      </c>
      <c r="M5365" s="471">
        <f t="shared" si="191"/>
        <v>0.05</v>
      </c>
      <c r="N5365" s="475">
        <f t="shared" si="192"/>
        <v>214339</v>
      </c>
    </row>
    <row r="5366" spans="7:14" ht="11.25" customHeight="1" x14ac:dyDescent="0.3">
      <c r="G5366" s="470"/>
      <c r="H5366" s="470">
        <v>5359</v>
      </c>
      <c r="I5366" s="455">
        <f t="shared" ca="1" si="190"/>
        <v>1184199923605170.8</v>
      </c>
      <c r="J5366" s="455">
        <f t="array" ref="J5366">IFERROR(INDEX('Retirement Calculator'!K:K,MATCH('Lorri 401b'!N5366,'Retirement Calculator'!A:A,0),0),0)</f>
        <v>0</v>
      </c>
      <c r="K5366" s="455">
        <f t="shared" ca="1" si="188"/>
        <v>4934166348354.8779</v>
      </c>
      <c r="L5366" s="455">
        <f t="shared" ca="1" si="189"/>
        <v>1189134089953525.8</v>
      </c>
      <c r="M5366" s="471">
        <f t="shared" si="191"/>
        <v>0.05</v>
      </c>
      <c r="N5366" s="475">
        <f t="shared" si="192"/>
        <v>214369</v>
      </c>
    </row>
    <row r="5367" spans="7:14" ht="11.25" customHeight="1" x14ac:dyDescent="0.3">
      <c r="G5367" s="470"/>
      <c r="H5367" s="470">
        <v>5360</v>
      </c>
      <c r="I5367" s="455">
        <f t="shared" ca="1" si="190"/>
        <v>1189134089953525.8</v>
      </c>
      <c r="J5367" s="455">
        <f t="array" ref="J5367">IFERROR(INDEX('Retirement Calculator'!K:K,MATCH('Lorri 401b'!N5367,'Retirement Calculator'!A:A,0),0),0)</f>
        <v>0</v>
      </c>
      <c r="K5367" s="455">
        <f t="shared" ca="1" si="188"/>
        <v>4954725374806.3574</v>
      </c>
      <c r="L5367" s="455">
        <f t="shared" ca="1" si="189"/>
        <v>1194088815328332</v>
      </c>
      <c r="M5367" s="471">
        <f t="shared" si="191"/>
        <v>0.05</v>
      </c>
      <c r="N5367" s="475">
        <f t="shared" si="192"/>
        <v>214400</v>
      </c>
    </row>
    <row r="5368" spans="7:14" ht="11.25" customHeight="1" x14ac:dyDescent="0.3">
      <c r="G5368" s="470"/>
      <c r="H5368" s="470">
        <v>5361</v>
      </c>
      <c r="I5368" s="455">
        <f t="shared" ca="1" si="190"/>
        <v>1194088815328332</v>
      </c>
      <c r="J5368" s="455">
        <f t="array" ref="J5368">IFERROR(INDEX('Retirement Calculator'!K:K,MATCH('Lorri 401b'!N5368,'Retirement Calculator'!A:A,0),0),0)</f>
        <v>0</v>
      </c>
      <c r="K5368" s="455">
        <f t="shared" ca="1" si="188"/>
        <v>4975370063868.0498</v>
      </c>
      <c r="L5368" s="455">
        <f t="shared" ca="1" si="189"/>
        <v>1199064185392200</v>
      </c>
      <c r="M5368" s="471">
        <f t="shared" si="191"/>
        <v>0.05</v>
      </c>
      <c r="N5368" s="475">
        <f t="shared" si="192"/>
        <v>214431</v>
      </c>
    </row>
    <row r="5369" spans="7:14" ht="11.25" customHeight="1" x14ac:dyDescent="0.3">
      <c r="G5369" s="470"/>
      <c r="H5369" s="470">
        <v>5362</v>
      </c>
      <c r="I5369" s="455">
        <f t="shared" ca="1" si="190"/>
        <v>1199064185392200</v>
      </c>
      <c r="J5369" s="455">
        <f t="array" ref="J5369">IFERROR(INDEX('Retirement Calculator'!K:K,MATCH('Lorri 401b'!N5369,'Retirement Calculator'!A:A,0),0),0)</f>
        <v>0</v>
      </c>
      <c r="K5369" s="455">
        <f t="shared" ca="1" si="188"/>
        <v>4996100772467.5</v>
      </c>
      <c r="L5369" s="455">
        <f t="shared" ca="1" si="189"/>
        <v>1204060286164667.5</v>
      </c>
      <c r="M5369" s="471">
        <f t="shared" si="191"/>
        <v>0.05</v>
      </c>
      <c r="N5369" s="475">
        <f t="shared" si="192"/>
        <v>214459</v>
      </c>
    </row>
    <row r="5370" spans="7:14" ht="11.25" customHeight="1" x14ac:dyDescent="0.3">
      <c r="G5370" s="470"/>
      <c r="H5370" s="470">
        <v>5363</v>
      </c>
      <c r="I5370" s="455">
        <f t="shared" ca="1" si="190"/>
        <v>1204060286164667.5</v>
      </c>
      <c r="J5370" s="455">
        <f t="array" ref="J5370">IFERROR(INDEX('Retirement Calculator'!K:K,MATCH('Lorri 401b'!N5370,'Retirement Calculator'!A:A,0),0),0)</f>
        <v>0</v>
      </c>
      <c r="K5370" s="455">
        <f t="shared" ca="1" si="188"/>
        <v>5016917859019.4482</v>
      </c>
      <c r="L5370" s="455">
        <f t="shared" ca="1" si="189"/>
        <v>1209077204023687</v>
      </c>
      <c r="M5370" s="471">
        <f t="shared" si="191"/>
        <v>0.05</v>
      </c>
      <c r="N5370" s="475">
        <f t="shared" si="192"/>
        <v>214490</v>
      </c>
    </row>
    <row r="5371" spans="7:14" ht="11.25" customHeight="1" x14ac:dyDescent="0.3">
      <c r="G5371" s="470"/>
      <c r="H5371" s="470">
        <v>5364</v>
      </c>
      <c r="I5371" s="455">
        <f t="shared" ca="1" si="190"/>
        <v>1209077204023687</v>
      </c>
      <c r="J5371" s="455">
        <f t="array" ref="J5371">IFERROR(INDEX('Retirement Calculator'!K:K,MATCH('Lorri 401b'!N5371,'Retirement Calculator'!A:A,0),0),0)</f>
        <v>0</v>
      </c>
      <c r="K5371" s="455">
        <f t="shared" ca="1" si="188"/>
        <v>5037821683432.0293</v>
      </c>
      <c r="L5371" s="455">
        <f t="shared" ca="1" si="189"/>
        <v>1214115025707119</v>
      </c>
      <c r="M5371" s="471">
        <f t="shared" si="191"/>
        <v>0.05</v>
      </c>
      <c r="N5371" s="475">
        <f t="shared" si="192"/>
        <v>214520</v>
      </c>
    </row>
    <row r="5372" spans="7:14" ht="11.25" customHeight="1" x14ac:dyDescent="0.3">
      <c r="G5372" s="470"/>
      <c r="H5372" s="470">
        <v>5365</v>
      </c>
      <c r="I5372" s="455">
        <f t="shared" ca="1" si="190"/>
        <v>1214115025707119</v>
      </c>
      <c r="J5372" s="455">
        <f t="array" ref="J5372">IFERROR(INDEX('Retirement Calculator'!K:K,MATCH('Lorri 401b'!N5372,'Retirement Calculator'!A:A,0),0),0)</f>
        <v>0</v>
      </c>
      <c r="K5372" s="455">
        <f t="shared" ca="1" si="188"/>
        <v>5058812607112.9961</v>
      </c>
      <c r="L5372" s="455">
        <f t="shared" ca="1" si="189"/>
        <v>1219173838314232</v>
      </c>
      <c r="M5372" s="471">
        <f t="shared" si="191"/>
        <v>0.05</v>
      </c>
      <c r="N5372" s="475">
        <f t="shared" si="192"/>
        <v>214551</v>
      </c>
    </row>
    <row r="5373" spans="7:14" ht="11.25" customHeight="1" x14ac:dyDescent="0.3">
      <c r="G5373" s="470"/>
      <c r="H5373" s="470">
        <v>5366</v>
      </c>
      <c r="I5373" s="455">
        <f t="shared" ca="1" si="190"/>
        <v>1219173838314232</v>
      </c>
      <c r="J5373" s="455">
        <f t="array" ref="J5373">IFERROR(INDEX('Retirement Calculator'!K:K,MATCH('Lorri 401b'!N5373,'Retirement Calculator'!A:A,0),0),0)</f>
        <v>0</v>
      </c>
      <c r="K5373" s="455">
        <f t="shared" ca="1" si="188"/>
        <v>5079890992975.9668</v>
      </c>
      <c r="L5373" s="455">
        <f t="shared" ca="1" si="189"/>
        <v>1224253729307208</v>
      </c>
      <c r="M5373" s="471">
        <f t="shared" si="191"/>
        <v>0.05</v>
      </c>
      <c r="N5373" s="475">
        <f t="shared" si="192"/>
        <v>214581</v>
      </c>
    </row>
    <row r="5374" spans="7:14" ht="11.25" customHeight="1" x14ac:dyDescent="0.3">
      <c r="G5374" s="470"/>
      <c r="H5374" s="470">
        <v>5367</v>
      </c>
      <c r="I5374" s="455">
        <f t="shared" ca="1" si="190"/>
        <v>1224253729307208</v>
      </c>
      <c r="J5374" s="455">
        <f t="array" ref="J5374">IFERROR(INDEX('Retirement Calculator'!K:K,MATCH('Lorri 401b'!N5374,'Retirement Calculator'!A:A,0),0),0)</f>
        <v>0</v>
      </c>
      <c r="K5374" s="455">
        <f t="shared" ca="1" si="188"/>
        <v>5101057205446.7002</v>
      </c>
      <c r="L5374" s="455">
        <f t="shared" ca="1" si="189"/>
        <v>1229354786512654.8</v>
      </c>
      <c r="M5374" s="471">
        <f t="shared" si="191"/>
        <v>0.05</v>
      </c>
      <c r="N5374" s="475">
        <f t="shared" si="192"/>
        <v>214612</v>
      </c>
    </row>
    <row r="5375" spans="7:14" ht="11.25" customHeight="1" x14ac:dyDescent="0.3">
      <c r="G5375" s="470"/>
      <c r="H5375" s="470">
        <v>5368</v>
      </c>
      <c r="I5375" s="455">
        <f t="shared" ca="1" si="190"/>
        <v>1229354786512654.8</v>
      </c>
      <c r="J5375" s="455">
        <f t="array" ref="J5375">IFERROR(INDEX('Retirement Calculator'!K:K,MATCH('Lorri 401b'!N5375,'Retirement Calculator'!A:A,0),0),0)</f>
        <v>0</v>
      </c>
      <c r="K5375" s="455">
        <f t="shared" ca="1" si="188"/>
        <v>5122311610469.3945</v>
      </c>
      <c r="L5375" s="455">
        <f t="shared" ca="1" si="189"/>
        <v>1234477098123124.3</v>
      </c>
      <c r="M5375" s="471">
        <f t="shared" si="191"/>
        <v>0.05</v>
      </c>
      <c r="N5375" s="475">
        <f t="shared" si="192"/>
        <v>214643</v>
      </c>
    </row>
    <row r="5376" spans="7:14" ht="11.25" customHeight="1" x14ac:dyDescent="0.3">
      <c r="G5376" s="470"/>
      <c r="H5376" s="470">
        <v>5369</v>
      </c>
      <c r="I5376" s="455">
        <f t="shared" ca="1" si="190"/>
        <v>1234477098123124.3</v>
      </c>
      <c r="J5376" s="455">
        <f t="array" ref="J5376">IFERROR(INDEX('Retirement Calculator'!K:K,MATCH('Lorri 401b'!N5376,'Retirement Calculator'!A:A,0),0),0)</f>
        <v>0</v>
      </c>
      <c r="K5376" s="455">
        <f t="shared" ca="1" si="188"/>
        <v>5143654575513.0176</v>
      </c>
      <c r="L5376" s="455">
        <f t="shared" ca="1" si="189"/>
        <v>1239620752698637.3</v>
      </c>
      <c r="M5376" s="471">
        <f t="shared" si="191"/>
        <v>0.05</v>
      </c>
      <c r="N5376" s="475">
        <f t="shared" si="192"/>
        <v>214673</v>
      </c>
    </row>
    <row r="5377" spans="7:14" ht="11.25" customHeight="1" x14ac:dyDescent="0.3">
      <c r="G5377" s="470"/>
      <c r="H5377" s="470">
        <v>5370</v>
      </c>
      <c r="I5377" s="455">
        <f t="shared" ca="1" si="190"/>
        <v>1239620752698637.3</v>
      </c>
      <c r="J5377" s="455">
        <f t="array" ref="J5377">IFERROR(INDEX('Retirement Calculator'!K:K,MATCH('Lorri 401b'!N5377,'Retirement Calculator'!A:A,0),0),0)</f>
        <v>0</v>
      </c>
      <c r="K5377" s="455">
        <f t="shared" ca="1" si="188"/>
        <v>5165086469577.6553</v>
      </c>
      <c r="L5377" s="455">
        <f t="shared" ca="1" si="189"/>
        <v>1244785839168215</v>
      </c>
      <c r="M5377" s="471">
        <f t="shared" si="191"/>
        <v>0.05</v>
      </c>
      <c r="N5377" s="475">
        <f t="shared" si="192"/>
        <v>214704</v>
      </c>
    </row>
    <row r="5378" spans="7:14" ht="11.25" customHeight="1" x14ac:dyDescent="0.3">
      <c r="G5378" s="470"/>
      <c r="H5378" s="470">
        <v>5371</v>
      </c>
      <c r="I5378" s="455">
        <f t="shared" ca="1" si="190"/>
        <v>1244785839168215</v>
      </c>
      <c r="J5378" s="455">
        <f t="array" ref="J5378">IFERROR(INDEX('Retirement Calculator'!K:K,MATCH('Lorri 401b'!N5378,'Retirement Calculator'!A:A,0),0),0)</f>
        <v>0</v>
      </c>
      <c r="K5378" s="455">
        <f t="shared" ca="1" si="188"/>
        <v>5186607663200.8955</v>
      </c>
      <c r="L5378" s="455">
        <f t="shared" ca="1" si="189"/>
        <v>1249972446831416</v>
      </c>
      <c r="M5378" s="471">
        <f t="shared" si="191"/>
        <v>0.05</v>
      </c>
      <c r="N5378" s="475">
        <f t="shared" si="192"/>
        <v>214734</v>
      </c>
    </row>
    <row r="5379" spans="7:14" ht="11.25" customHeight="1" x14ac:dyDescent="0.3">
      <c r="G5379" s="470"/>
      <c r="H5379" s="470">
        <v>5372</v>
      </c>
      <c r="I5379" s="455">
        <f t="shared" ca="1" si="190"/>
        <v>1249972446831416</v>
      </c>
      <c r="J5379" s="455">
        <f t="array" ref="J5379">IFERROR(INDEX('Retirement Calculator'!K:K,MATCH('Lorri 401b'!N5379,'Retirement Calculator'!A:A,0),0),0)</f>
        <v>0</v>
      </c>
      <c r="K5379" s="455">
        <f t="shared" ca="1" si="188"/>
        <v>5208218528464.2334</v>
      </c>
      <c r="L5379" s="455">
        <f t="shared" ca="1" si="189"/>
        <v>1255180665359880.3</v>
      </c>
      <c r="M5379" s="471">
        <f t="shared" si="191"/>
        <v>0.05</v>
      </c>
      <c r="N5379" s="475">
        <f t="shared" si="192"/>
        <v>214765</v>
      </c>
    </row>
    <row r="5380" spans="7:14" ht="11.25" customHeight="1" x14ac:dyDescent="0.3">
      <c r="G5380" s="470"/>
      <c r="H5380" s="470">
        <v>5373</v>
      </c>
      <c r="I5380" s="455">
        <f t="shared" ca="1" si="190"/>
        <v>1255180665359880.3</v>
      </c>
      <c r="J5380" s="455">
        <f t="array" ref="J5380">IFERROR(INDEX('Retirement Calculator'!K:K,MATCH('Lorri 401b'!N5380,'Retirement Calculator'!A:A,0),0),0)</f>
        <v>0</v>
      </c>
      <c r="K5380" s="455">
        <f t="shared" ca="1" si="188"/>
        <v>5229919438999.501</v>
      </c>
      <c r="L5380" s="455">
        <f t="shared" ca="1" si="189"/>
        <v>1260410584798879.8</v>
      </c>
      <c r="M5380" s="471">
        <f t="shared" si="191"/>
        <v>0.05</v>
      </c>
      <c r="N5380" s="475">
        <f t="shared" si="192"/>
        <v>214796</v>
      </c>
    </row>
    <row r="5381" spans="7:14" ht="11.25" customHeight="1" x14ac:dyDescent="0.3">
      <c r="G5381" s="470"/>
      <c r="H5381" s="470">
        <v>5374</v>
      </c>
      <c r="I5381" s="455">
        <f t="shared" ca="1" si="190"/>
        <v>1260410584798879.8</v>
      </c>
      <c r="J5381" s="455">
        <f t="array" ref="J5381">IFERROR(INDEX('Retirement Calculator'!K:K,MATCH('Lorri 401b'!N5381,'Retirement Calculator'!A:A,0),0),0)</f>
        <v>0</v>
      </c>
      <c r="K5381" s="455">
        <f t="shared" ca="1" si="188"/>
        <v>5251710769995.332</v>
      </c>
      <c r="L5381" s="455">
        <f t="shared" ca="1" si="189"/>
        <v>1265662295568875</v>
      </c>
      <c r="M5381" s="471">
        <f t="shared" si="191"/>
        <v>0.05</v>
      </c>
      <c r="N5381" s="475">
        <f t="shared" si="192"/>
        <v>214825</v>
      </c>
    </row>
    <row r="5382" spans="7:14" ht="11.25" customHeight="1" x14ac:dyDescent="0.3">
      <c r="G5382" s="470"/>
      <c r="H5382" s="470">
        <v>5375</v>
      </c>
      <c r="I5382" s="455">
        <f t="shared" ca="1" si="190"/>
        <v>1265662295568875</v>
      </c>
      <c r="J5382" s="455">
        <f t="array" ref="J5382">IFERROR(INDEX('Retirement Calculator'!K:K,MATCH('Lorri 401b'!N5382,'Retirement Calculator'!A:A,0),0),0)</f>
        <v>0</v>
      </c>
      <c r="K5382" s="455">
        <f t="shared" ca="1" si="188"/>
        <v>5273592898203.6455</v>
      </c>
      <c r="L5382" s="455">
        <f t="shared" ca="1" si="189"/>
        <v>1270935888467078.8</v>
      </c>
      <c r="M5382" s="471">
        <f t="shared" si="191"/>
        <v>0.05</v>
      </c>
      <c r="N5382" s="475">
        <f t="shared" si="192"/>
        <v>214856</v>
      </c>
    </row>
    <row r="5383" spans="7:14" ht="11.25" customHeight="1" x14ac:dyDescent="0.3">
      <c r="G5383" s="470"/>
      <c r="H5383" s="470">
        <v>5376</v>
      </c>
      <c r="I5383" s="455">
        <f t="shared" ca="1" si="190"/>
        <v>1270935888467078.8</v>
      </c>
      <c r="J5383" s="455">
        <f t="array" ref="J5383">IFERROR(INDEX('Retirement Calculator'!K:K,MATCH('Lorri 401b'!N5383,'Retirement Calculator'!A:A,0),0),0)</f>
        <v>0</v>
      </c>
      <c r="K5383" s="455">
        <f t="shared" ca="1" si="188"/>
        <v>5295566201946.1611</v>
      </c>
      <c r="L5383" s="455">
        <f t="shared" ca="1" si="189"/>
        <v>1276231454669025</v>
      </c>
      <c r="M5383" s="471">
        <f t="shared" si="191"/>
        <v>0.05</v>
      </c>
      <c r="N5383" s="475">
        <f t="shared" si="192"/>
        <v>214886</v>
      </c>
    </row>
    <row r="5384" spans="7:14" ht="11.25" customHeight="1" x14ac:dyDescent="0.3">
      <c r="G5384" s="470"/>
      <c r="H5384" s="470">
        <v>5377</v>
      </c>
      <c r="I5384" s="455">
        <f t="shared" ca="1" si="190"/>
        <v>1276231454669025</v>
      </c>
      <c r="J5384" s="455">
        <f t="array" ref="J5384">IFERROR(INDEX('Retirement Calculator'!K:K,MATCH('Lorri 401b'!N5384,'Retirement Calculator'!A:A,0),0),0)</f>
        <v>0</v>
      </c>
      <c r="K5384" s="455">
        <f t="shared" ca="1" si="188"/>
        <v>5317631061120.9375</v>
      </c>
      <c r="L5384" s="455">
        <f t="shared" ca="1" si="189"/>
        <v>1281549085730146</v>
      </c>
      <c r="M5384" s="471">
        <f t="shared" si="191"/>
        <v>0.05</v>
      </c>
      <c r="N5384" s="475">
        <f t="shared" si="192"/>
        <v>214917</v>
      </c>
    </row>
    <row r="5385" spans="7:14" ht="11.25" customHeight="1" x14ac:dyDescent="0.3">
      <c r="G5385" s="470"/>
      <c r="H5385" s="470">
        <v>5378</v>
      </c>
      <c r="I5385" s="455">
        <f t="shared" ca="1" si="190"/>
        <v>1281549085730146</v>
      </c>
      <c r="J5385" s="455">
        <f t="array" ref="J5385">IFERROR(INDEX('Retirement Calculator'!K:K,MATCH('Lorri 401b'!N5385,'Retirement Calculator'!A:A,0),0),0)</f>
        <v>0</v>
      </c>
      <c r="K5385" s="455">
        <f t="shared" ca="1" si="188"/>
        <v>5339787857208.9414</v>
      </c>
      <c r="L5385" s="455">
        <f t="shared" ca="1" si="189"/>
        <v>1286888873587355</v>
      </c>
      <c r="M5385" s="471">
        <f t="shared" si="191"/>
        <v>0.05</v>
      </c>
      <c r="N5385" s="475">
        <f t="shared" si="192"/>
        <v>214947</v>
      </c>
    </row>
    <row r="5386" spans="7:14" ht="11.25" customHeight="1" x14ac:dyDescent="0.3">
      <c r="G5386" s="470"/>
      <c r="H5386" s="470">
        <v>5379</v>
      </c>
      <c r="I5386" s="455">
        <f t="shared" ca="1" si="190"/>
        <v>1286888873587355</v>
      </c>
      <c r="J5386" s="455">
        <f t="array" ref="J5386">IFERROR(INDEX('Retirement Calculator'!K:K,MATCH('Lorri 401b'!N5386,'Retirement Calculator'!A:A,0),0),0)</f>
        <v>0</v>
      </c>
      <c r="K5386" s="455">
        <f t="shared" ca="1" si="188"/>
        <v>5362036973280.6455</v>
      </c>
      <c r="L5386" s="455">
        <f t="shared" ca="1" si="189"/>
        <v>1292250910560635.8</v>
      </c>
      <c r="M5386" s="471">
        <f t="shared" si="191"/>
        <v>0.05</v>
      </c>
      <c r="N5386" s="475">
        <f t="shared" si="192"/>
        <v>214978</v>
      </c>
    </row>
    <row r="5387" spans="7:14" ht="11.25" customHeight="1" x14ac:dyDescent="0.3">
      <c r="G5387" s="470"/>
      <c r="H5387" s="470">
        <v>5380</v>
      </c>
      <c r="I5387" s="455">
        <f t="shared" ca="1" si="190"/>
        <v>1292250910560635.8</v>
      </c>
      <c r="J5387" s="455">
        <f t="array" ref="J5387">IFERROR(INDEX('Retirement Calculator'!K:K,MATCH('Lorri 401b'!N5387,'Retirement Calculator'!A:A,0),0),0)</f>
        <v>0</v>
      </c>
      <c r="K5387" s="455">
        <f t="shared" ca="1" si="188"/>
        <v>5384378794002.6484</v>
      </c>
      <c r="L5387" s="455">
        <f t="shared" ca="1" si="189"/>
        <v>1297635289354638.5</v>
      </c>
      <c r="M5387" s="471">
        <f t="shared" si="191"/>
        <v>0.05</v>
      </c>
      <c r="N5387" s="475">
        <f t="shared" si="192"/>
        <v>215009</v>
      </c>
    </row>
    <row r="5388" spans="7:14" ht="11.25" customHeight="1" x14ac:dyDescent="0.3">
      <c r="G5388" s="470"/>
      <c r="H5388" s="470">
        <v>5381</v>
      </c>
      <c r="I5388" s="455">
        <f t="shared" ca="1" si="190"/>
        <v>1297635289354638.5</v>
      </c>
      <c r="J5388" s="455">
        <f t="array" ref="J5388">IFERROR(INDEX('Retirement Calculator'!K:K,MATCH('Lorri 401b'!N5388,'Retirement Calculator'!A:A,0),0),0)</f>
        <v>0</v>
      </c>
      <c r="K5388" s="455">
        <f t="shared" ca="1" si="188"/>
        <v>5406813705644.3271</v>
      </c>
      <c r="L5388" s="455">
        <f t="shared" ca="1" si="189"/>
        <v>1303042103060282.8</v>
      </c>
      <c r="M5388" s="471">
        <f t="shared" si="191"/>
        <v>0.05</v>
      </c>
      <c r="N5388" s="475">
        <f t="shared" si="192"/>
        <v>215039</v>
      </c>
    </row>
    <row r="5389" spans="7:14" ht="11.25" customHeight="1" x14ac:dyDescent="0.3">
      <c r="G5389" s="470"/>
      <c r="H5389" s="470">
        <v>5382</v>
      </c>
      <c r="I5389" s="455">
        <f t="shared" ca="1" si="190"/>
        <v>1303042103060282.8</v>
      </c>
      <c r="J5389" s="455">
        <f t="array" ref="J5389">IFERROR(INDEX('Retirement Calculator'!K:K,MATCH('Lorri 401b'!N5389,'Retirement Calculator'!A:A,0),0),0)</f>
        <v>0</v>
      </c>
      <c r="K5389" s="455">
        <f t="shared" ca="1" si="188"/>
        <v>5429342096084.5117</v>
      </c>
      <c r="L5389" s="455">
        <f t="shared" ca="1" si="189"/>
        <v>1308471445156367.3</v>
      </c>
      <c r="M5389" s="471">
        <f t="shared" si="191"/>
        <v>0.05</v>
      </c>
      <c r="N5389" s="475">
        <f t="shared" si="192"/>
        <v>215070</v>
      </c>
    </row>
    <row r="5390" spans="7:14" ht="11.25" customHeight="1" x14ac:dyDescent="0.3">
      <c r="G5390" s="470"/>
      <c r="H5390" s="470">
        <v>5383</v>
      </c>
      <c r="I5390" s="455">
        <f t="shared" ca="1" si="190"/>
        <v>1308471445156367.3</v>
      </c>
      <c r="J5390" s="455">
        <f t="array" ref="J5390">IFERROR(INDEX('Retirement Calculator'!K:K,MATCH('Lorri 401b'!N5390,'Retirement Calculator'!A:A,0),0),0)</f>
        <v>0</v>
      </c>
      <c r="K5390" s="455">
        <f t="shared" ca="1" si="188"/>
        <v>5451964354818.1973</v>
      </c>
      <c r="L5390" s="455">
        <f t="shared" ca="1" si="189"/>
        <v>1313923409511185.5</v>
      </c>
      <c r="M5390" s="471">
        <f t="shared" si="191"/>
        <v>0.05</v>
      </c>
      <c r="N5390" s="475">
        <f t="shared" si="192"/>
        <v>215100</v>
      </c>
    </row>
    <row r="5391" spans="7:14" ht="11.25" customHeight="1" x14ac:dyDescent="0.3">
      <c r="G5391" s="470"/>
      <c r="H5391" s="470">
        <v>5384</v>
      </c>
      <c r="I5391" s="455">
        <f t="shared" ca="1" si="190"/>
        <v>1313923409511185.5</v>
      </c>
      <c r="J5391" s="455">
        <f t="array" ref="J5391">IFERROR(INDEX('Retirement Calculator'!K:K,MATCH('Lorri 401b'!N5391,'Retirement Calculator'!A:A,0),0),0)</f>
        <v>0</v>
      </c>
      <c r="K5391" s="455">
        <f t="shared" ca="1" si="188"/>
        <v>5474680872963.2725</v>
      </c>
      <c r="L5391" s="455">
        <f t="shared" ca="1" si="189"/>
        <v>1319398090384148.8</v>
      </c>
      <c r="M5391" s="471">
        <f t="shared" si="191"/>
        <v>0.05</v>
      </c>
      <c r="N5391" s="475">
        <f t="shared" si="192"/>
        <v>215131</v>
      </c>
    </row>
    <row r="5392" spans="7:14" ht="11.25" customHeight="1" x14ac:dyDescent="0.3">
      <c r="G5392" s="470"/>
      <c r="H5392" s="470">
        <v>5385</v>
      </c>
      <c r="I5392" s="455">
        <f t="shared" ca="1" si="190"/>
        <v>1319398090384148.8</v>
      </c>
      <c r="J5392" s="455">
        <f t="array" ref="J5392">IFERROR(INDEX('Retirement Calculator'!K:K,MATCH('Lorri 401b'!N5392,'Retirement Calculator'!A:A,0),0),0)</f>
        <v>0</v>
      </c>
      <c r="K5392" s="455">
        <f t="shared" ca="1" si="188"/>
        <v>5497492043267.2861</v>
      </c>
      <c r="L5392" s="455">
        <f t="shared" ca="1" si="189"/>
        <v>1324895582427416</v>
      </c>
      <c r="M5392" s="471">
        <f t="shared" si="191"/>
        <v>0.05</v>
      </c>
      <c r="N5392" s="475">
        <f t="shared" si="192"/>
        <v>215162</v>
      </c>
    </row>
    <row r="5393" spans="7:14" ht="11.25" customHeight="1" x14ac:dyDescent="0.3">
      <c r="G5393" s="470"/>
      <c r="H5393" s="470">
        <v>5386</v>
      </c>
      <c r="I5393" s="455">
        <f t="shared" ca="1" si="190"/>
        <v>1324895582427416</v>
      </c>
      <c r="J5393" s="455">
        <f t="array" ref="J5393">IFERROR(INDEX('Retirement Calculator'!K:K,MATCH('Lorri 401b'!N5393,'Retirement Calculator'!A:A,0),0),0)</f>
        <v>0</v>
      </c>
      <c r="K5393" s="455">
        <f t="shared" ca="1" si="188"/>
        <v>5520398260114.2334</v>
      </c>
      <c r="L5393" s="455">
        <f t="shared" ca="1" si="189"/>
        <v>1330415980687530.3</v>
      </c>
      <c r="M5393" s="471">
        <f t="shared" si="191"/>
        <v>0.05</v>
      </c>
      <c r="N5393" s="475">
        <f t="shared" si="192"/>
        <v>215190</v>
      </c>
    </row>
    <row r="5394" spans="7:14" ht="11.25" customHeight="1" x14ac:dyDescent="0.3">
      <c r="G5394" s="470"/>
      <c r="H5394" s="470">
        <v>5387</v>
      </c>
      <c r="I5394" s="455">
        <f t="shared" ca="1" si="190"/>
        <v>1330415980687530.3</v>
      </c>
      <c r="J5394" s="455">
        <f t="array" ref="J5394">IFERROR(INDEX('Retirement Calculator'!K:K,MATCH('Lorri 401b'!N5394,'Retirement Calculator'!A:A,0),0),0)</f>
        <v>0</v>
      </c>
      <c r="K5394" s="455">
        <f t="shared" ca="1" si="188"/>
        <v>5543399919531.376</v>
      </c>
      <c r="L5394" s="455">
        <f t="shared" ca="1" si="189"/>
        <v>1335959380607061.8</v>
      </c>
      <c r="M5394" s="471">
        <f t="shared" si="191"/>
        <v>0.05</v>
      </c>
      <c r="N5394" s="475">
        <f t="shared" si="192"/>
        <v>215221</v>
      </c>
    </row>
    <row r="5395" spans="7:14" ht="11.25" customHeight="1" x14ac:dyDescent="0.3">
      <c r="G5395" s="470"/>
      <c r="H5395" s="470">
        <v>5388</v>
      </c>
      <c r="I5395" s="455">
        <f t="shared" ca="1" si="190"/>
        <v>1335959380607061.8</v>
      </c>
      <c r="J5395" s="455">
        <f t="array" ref="J5395">IFERROR(INDEX('Retirement Calculator'!K:K,MATCH('Lorri 401b'!N5395,'Retirement Calculator'!A:A,0),0),0)</f>
        <v>0</v>
      </c>
      <c r="K5395" s="455">
        <f t="shared" ca="1" si="188"/>
        <v>5566497419196.0908</v>
      </c>
      <c r="L5395" s="455">
        <f t="shared" ca="1" si="189"/>
        <v>1341525878026257.8</v>
      </c>
      <c r="M5395" s="471">
        <f t="shared" si="191"/>
        <v>0.05</v>
      </c>
      <c r="N5395" s="475">
        <f t="shared" si="192"/>
        <v>215251</v>
      </c>
    </row>
    <row r="5396" spans="7:14" ht="11.25" customHeight="1" x14ac:dyDescent="0.3">
      <c r="G5396" s="470"/>
      <c r="H5396" s="470">
        <v>5389</v>
      </c>
      <c r="I5396" s="455">
        <f t="shared" ca="1" si="190"/>
        <v>1341525878026257.8</v>
      </c>
      <c r="J5396" s="455">
        <f t="array" ref="J5396">IFERROR(INDEX('Retirement Calculator'!K:K,MATCH('Lorri 401b'!N5396,'Retirement Calculator'!A:A,0),0),0)</f>
        <v>0</v>
      </c>
      <c r="K5396" s="455">
        <f t="shared" ca="1" si="188"/>
        <v>5589691158442.7402</v>
      </c>
      <c r="L5396" s="455">
        <f t="shared" ca="1" si="189"/>
        <v>1347115569184700.5</v>
      </c>
      <c r="M5396" s="471">
        <f t="shared" si="191"/>
        <v>0.05</v>
      </c>
      <c r="N5396" s="475">
        <f t="shared" si="192"/>
        <v>215282</v>
      </c>
    </row>
    <row r="5397" spans="7:14" ht="11.25" customHeight="1" x14ac:dyDescent="0.3">
      <c r="G5397" s="470"/>
      <c r="H5397" s="470">
        <v>5390</v>
      </c>
      <c r="I5397" s="455">
        <f t="shared" ca="1" si="190"/>
        <v>1347115569184700.5</v>
      </c>
      <c r="J5397" s="455">
        <f t="array" ref="J5397">IFERROR(INDEX('Retirement Calculator'!K:K,MATCH('Lorri 401b'!N5397,'Retirement Calculator'!A:A,0),0),0)</f>
        <v>0</v>
      </c>
      <c r="K5397" s="455">
        <f t="shared" ca="1" si="188"/>
        <v>5612981538269.585</v>
      </c>
      <c r="L5397" s="455">
        <f t="shared" ca="1" si="189"/>
        <v>1352728550722970</v>
      </c>
      <c r="M5397" s="471">
        <f t="shared" si="191"/>
        <v>0.05</v>
      </c>
      <c r="N5397" s="475">
        <f t="shared" si="192"/>
        <v>215312</v>
      </c>
    </row>
    <row r="5398" spans="7:14" ht="11.25" customHeight="1" x14ac:dyDescent="0.3">
      <c r="G5398" s="470"/>
      <c r="H5398" s="470">
        <v>5391</v>
      </c>
      <c r="I5398" s="455">
        <f t="shared" ca="1" si="190"/>
        <v>1352728550722970</v>
      </c>
      <c r="J5398" s="455">
        <f t="array" ref="J5398">IFERROR(INDEX('Retirement Calculator'!K:K,MATCH('Lorri 401b'!N5398,'Retirement Calculator'!A:A,0),0),0)</f>
        <v>0</v>
      </c>
      <c r="K5398" s="455">
        <f t="shared" ca="1" si="188"/>
        <v>5636368961345.708</v>
      </c>
      <c r="L5398" s="455">
        <f t="shared" ca="1" si="189"/>
        <v>1358364919684315.8</v>
      </c>
      <c r="M5398" s="471">
        <f t="shared" si="191"/>
        <v>0.05</v>
      </c>
      <c r="N5398" s="475">
        <f t="shared" si="192"/>
        <v>215343</v>
      </c>
    </row>
    <row r="5399" spans="7:14" ht="11.25" customHeight="1" x14ac:dyDescent="0.3">
      <c r="G5399" s="470"/>
      <c r="H5399" s="470">
        <v>5392</v>
      </c>
      <c r="I5399" s="455">
        <f t="shared" ca="1" si="190"/>
        <v>1358364919684315.8</v>
      </c>
      <c r="J5399" s="455">
        <f t="array" ref="J5399">IFERROR(INDEX('Retirement Calculator'!K:K,MATCH('Lorri 401b'!N5399,'Retirement Calculator'!A:A,0),0),0)</f>
        <v>0</v>
      </c>
      <c r="K5399" s="455">
        <f t="shared" ca="1" si="188"/>
        <v>5659853832017.9824</v>
      </c>
      <c r="L5399" s="455">
        <f t="shared" ca="1" si="189"/>
        <v>1364024773516333.8</v>
      </c>
      <c r="M5399" s="471">
        <f t="shared" si="191"/>
        <v>0.05</v>
      </c>
      <c r="N5399" s="475">
        <f t="shared" si="192"/>
        <v>215374</v>
      </c>
    </row>
    <row r="5400" spans="7:14" ht="11.25" customHeight="1" x14ac:dyDescent="0.3">
      <c r="G5400" s="470"/>
      <c r="H5400" s="470">
        <v>5393</v>
      </c>
      <c r="I5400" s="455">
        <f t="shared" ca="1" si="190"/>
        <v>1364024773516333.8</v>
      </c>
      <c r="J5400" s="455">
        <f t="array" ref="J5400">IFERROR(INDEX('Retirement Calculator'!K:K,MATCH('Lorri 401b'!N5400,'Retirement Calculator'!A:A,0),0),0)</f>
        <v>0</v>
      </c>
      <c r="K5400" s="455">
        <f t="shared" ca="1" si="188"/>
        <v>5683436556318.0576</v>
      </c>
      <c r="L5400" s="455">
        <f t="shared" ca="1" si="189"/>
        <v>1369708210072651.8</v>
      </c>
      <c r="M5400" s="471">
        <f t="shared" si="191"/>
        <v>0.05</v>
      </c>
      <c r="N5400" s="475">
        <f t="shared" si="192"/>
        <v>215404</v>
      </c>
    </row>
    <row r="5401" spans="7:14" ht="11.25" customHeight="1" x14ac:dyDescent="0.3">
      <c r="G5401" s="470"/>
      <c r="H5401" s="470">
        <v>5394</v>
      </c>
      <c r="I5401" s="455">
        <f t="shared" ca="1" si="190"/>
        <v>1369708210072651.8</v>
      </c>
      <c r="J5401" s="455">
        <f t="array" ref="J5401">IFERROR(INDEX('Retirement Calculator'!K:K,MATCH('Lorri 401b'!N5401,'Retirement Calculator'!A:A,0),0),0)</f>
        <v>0</v>
      </c>
      <c r="K5401" s="455">
        <f t="shared" ca="1" si="188"/>
        <v>5707117541969.3818</v>
      </c>
      <c r="L5401" s="455">
        <f t="shared" ca="1" si="189"/>
        <v>1375415327614621.3</v>
      </c>
      <c r="M5401" s="471">
        <f t="shared" si="191"/>
        <v>0.05</v>
      </c>
      <c r="N5401" s="475">
        <f t="shared" si="192"/>
        <v>215435</v>
      </c>
    </row>
    <row r="5402" spans="7:14" ht="11.25" customHeight="1" x14ac:dyDescent="0.3">
      <c r="G5402" s="470"/>
      <c r="H5402" s="470">
        <v>5395</v>
      </c>
      <c r="I5402" s="455">
        <f t="shared" ca="1" si="190"/>
        <v>1375415327614621.3</v>
      </c>
      <c r="J5402" s="455">
        <f t="array" ref="J5402">IFERROR(INDEX('Retirement Calculator'!K:K,MATCH('Lorri 401b'!N5402,'Retirement Calculator'!A:A,0),0),0)</f>
        <v>0</v>
      </c>
      <c r="K5402" s="455">
        <f t="shared" ca="1" si="188"/>
        <v>5730897198394.2549</v>
      </c>
      <c r="L5402" s="455">
        <f t="shared" ca="1" si="189"/>
        <v>1381146224813015.5</v>
      </c>
      <c r="M5402" s="471">
        <f t="shared" si="191"/>
        <v>0.05</v>
      </c>
      <c r="N5402" s="475">
        <f t="shared" si="192"/>
        <v>215465</v>
      </c>
    </row>
    <row r="5403" spans="7:14" ht="11.25" customHeight="1" x14ac:dyDescent="0.3">
      <c r="G5403" s="470"/>
      <c r="H5403" s="470">
        <v>5396</v>
      </c>
      <c r="I5403" s="455">
        <f t="shared" ca="1" si="190"/>
        <v>1381146224813015.5</v>
      </c>
      <c r="J5403" s="455">
        <f t="array" ref="J5403">IFERROR(INDEX('Retirement Calculator'!K:K,MATCH('Lorri 401b'!N5403,'Retirement Calculator'!A:A,0),0),0)</f>
        <v>0</v>
      </c>
      <c r="K5403" s="455">
        <f t="shared" ca="1" si="188"/>
        <v>5754775936720.8975</v>
      </c>
      <c r="L5403" s="455">
        <f t="shared" ca="1" si="189"/>
        <v>1386901000749736.5</v>
      </c>
      <c r="M5403" s="471">
        <f t="shared" si="191"/>
        <v>0.05</v>
      </c>
      <c r="N5403" s="475">
        <f t="shared" si="192"/>
        <v>215496</v>
      </c>
    </row>
    <row r="5404" spans="7:14" ht="11.25" customHeight="1" x14ac:dyDescent="0.3">
      <c r="G5404" s="470"/>
      <c r="H5404" s="470">
        <v>5397</v>
      </c>
      <c r="I5404" s="455">
        <f t="shared" ca="1" si="190"/>
        <v>1386901000749736.5</v>
      </c>
      <c r="J5404" s="455">
        <f t="array" ref="J5404">IFERROR(INDEX('Retirement Calculator'!K:K,MATCH('Lorri 401b'!N5404,'Retirement Calculator'!A:A,0),0),0)</f>
        <v>0</v>
      </c>
      <c r="K5404" s="455">
        <f t="shared" ca="1" si="188"/>
        <v>5778754169790.5684</v>
      </c>
      <c r="L5404" s="455">
        <f t="shared" ca="1" si="189"/>
        <v>1392679754919527</v>
      </c>
      <c r="M5404" s="471">
        <f t="shared" si="191"/>
        <v>0.05</v>
      </c>
      <c r="N5404" s="475">
        <f t="shared" si="192"/>
        <v>215527</v>
      </c>
    </row>
    <row r="5405" spans="7:14" ht="11.25" customHeight="1" x14ac:dyDescent="0.3">
      <c r="G5405" s="470"/>
      <c r="H5405" s="470">
        <v>5398</v>
      </c>
      <c r="I5405" s="455">
        <f t="shared" ca="1" si="190"/>
        <v>1392679754919527</v>
      </c>
      <c r="J5405" s="455">
        <f t="array" ref="J5405">IFERROR(INDEX('Retirement Calculator'!K:K,MATCH('Lorri 401b'!N5405,'Retirement Calculator'!A:A,0),0),0)</f>
        <v>0</v>
      </c>
      <c r="K5405" s="455">
        <f t="shared" ca="1" si="188"/>
        <v>5802832312164.6953</v>
      </c>
      <c r="L5405" s="455">
        <f t="shared" ca="1" si="189"/>
        <v>1398482587231691.8</v>
      </c>
      <c r="M5405" s="471">
        <f t="shared" si="191"/>
        <v>0.05</v>
      </c>
      <c r="N5405" s="475">
        <f t="shared" si="192"/>
        <v>215555</v>
      </c>
    </row>
    <row r="5406" spans="7:14" ht="11.25" customHeight="1" x14ac:dyDescent="0.3">
      <c r="G5406" s="470"/>
      <c r="H5406" s="470">
        <v>5399</v>
      </c>
      <c r="I5406" s="455">
        <f t="shared" ca="1" si="190"/>
        <v>1398482587231691.8</v>
      </c>
      <c r="J5406" s="455">
        <f t="array" ref="J5406">IFERROR(INDEX('Retirement Calculator'!K:K,MATCH('Lorri 401b'!N5406,'Retirement Calculator'!A:A,0),0),0)</f>
        <v>0</v>
      </c>
      <c r="K5406" s="455">
        <f t="shared" ca="1" si="188"/>
        <v>5827010780132.0488</v>
      </c>
      <c r="L5406" s="455">
        <f t="shared" ca="1" si="189"/>
        <v>1404309598011823.8</v>
      </c>
      <c r="M5406" s="471">
        <f t="shared" si="191"/>
        <v>0.05</v>
      </c>
      <c r="N5406" s="475">
        <f t="shared" si="192"/>
        <v>215586</v>
      </c>
    </row>
    <row r="5407" spans="7:14" ht="11.25" customHeight="1" x14ac:dyDescent="0.3">
      <c r="G5407" s="470"/>
      <c r="H5407" s="470">
        <v>5400</v>
      </c>
      <c r="I5407" s="455">
        <f t="shared" ca="1" si="190"/>
        <v>1404309598011823.8</v>
      </c>
      <c r="J5407" s="455">
        <f t="array" ref="J5407">IFERROR(INDEX('Retirement Calculator'!K:K,MATCH('Lorri 401b'!N5407,'Retirement Calculator'!A:A,0),0),0)</f>
        <v>0</v>
      </c>
      <c r="K5407" s="455">
        <f t="shared" ca="1" si="188"/>
        <v>5851289991715.9326</v>
      </c>
      <c r="L5407" s="455">
        <f t="shared" ca="1" si="189"/>
        <v>1410160888003539.8</v>
      </c>
      <c r="M5407" s="471">
        <f t="shared" si="191"/>
        <v>0.05</v>
      </c>
      <c r="N5407" s="475">
        <f t="shared" si="192"/>
        <v>215616</v>
      </c>
    </row>
    <row r="5408" spans="7:14" ht="11.25" customHeight="1" x14ac:dyDescent="0.3">
      <c r="G5408" s="470"/>
      <c r="H5408" s="470">
        <v>5401</v>
      </c>
      <c r="I5408" s="455">
        <f t="shared" ca="1" si="190"/>
        <v>1410160888003539.8</v>
      </c>
      <c r="J5408" s="455">
        <f t="array" ref="J5408">IFERROR(INDEX('Retirement Calculator'!K:K,MATCH('Lorri 401b'!N5408,'Retirement Calculator'!A:A,0),0),0)</f>
        <v>0</v>
      </c>
      <c r="K5408" s="455">
        <f t="shared" ca="1" si="188"/>
        <v>5875670366681.416</v>
      </c>
      <c r="L5408" s="455">
        <f t="shared" ca="1" si="189"/>
        <v>1416036558370221.3</v>
      </c>
      <c r="M5408" s="471">
        <f t="shared" si="191"/>
        <v>0.05</v>
      </c>
      <c r="N5408" s="475">
        <f t="shared" si="192"/>
        <v>215647</v>
      </c>
    </row>
    <row r="5409" spans="7:14" ht="11.25" customHeight="1" x14ac:dyDescent="0.3">
      <c r="G5409" s="470"/>
      <c r="H5409" s="470">
        <v>5402</v>
      </c>
      <c r="I5409" s="455">
        <f t="shared" ca="1" si="190"/>
        <v>1416036558370221.3</v>
      </c>
      <c r="J5409" s="455">
        <f t="array" ref="J5409">IFERROR(INDEX('Retirement Calculator'!K:K,MATCH('Lorri 401b'!N5409,'Retirement Calculator'!A:A,0),0),0)</f>
        <v>0</v>
      </c>
      <c r="K5409" s="455">
        <f t="shared" ca="1" si="188"/>
        <v>5900152326542.5889</v>
      </c>
      <c r="L5409" s="455">
        <f t="shared" ca="1" si="189"/>
        <v>1421936710696763.8</v>
      </c>
      <c r="M5409" s="471">
        <f t="shared" si="191"/>
        <v>0.05</v>
      </c>
      <c r="N5409" s="475">
        <f t="shared" si="192"/>
        <v>215677</v>
      </c>
    </row>
    <row r="5410" spans="7:14" ht="11.25" customHeight="1" x14ac:dyDescent="0.3">
      <c r="G5410" s="470"/>
      <c r="H5410" s="470">
        <v>5403</v>
      </c>
      <c r="I5410" s="455">
        <f t="shared" ca="1" si="190"/>
        <v>1421936710696763.8</v>
      </c>
      <c r="J5410" s="455">
        <f t="array" ref="J5410">IFERROR(INDEX('Retirement Calculator'!K:K,MATCH('Lorri 401b'!N5410,'Retirement Calculator'!A:A,0),0),0)</f>
        <v>0</v>
      </c>
      <c r="K5410" s="455">
        <f t="shared" ca="1" si="188"/>
        <v>5924736294569.8486</v>
      </c>
      <c r="L5410" s="455">
        <f t="shared" ca="1" si="189"/>
        <v>1427861446991333.5</v>
      </c>
      <c r="M5410" s="471">
        <f t="shared" si="191"/>
        <v>0.05</v>
      </c>
      <c r="N5410" s="475">
        <f t="shared" si="192"/>
        <v>215708</v>
      </c>
    </row>
    <row r="5411" spans="7:14" ht="11.25" customHeight="1" x14ac:dyDescent="0.3">
      <c r="G5411" s="470"/>
      <c r="H5411" s="470">
        <v>5404</v>
      </c>
      <c r="I5411" s="455">
        <f t="shared" ca="1" si="190"/>
        <v>1427861446991333.5</v>
      </c>
      <c r="J5411" s="455">
        <f t="array" ref="J5411">IFERROR(INDEX('Retirement Calculator'!K:K,MATCH('Lorri 401b'!N5411,'Retirement Calculator'!A:A,0),0),0)</f>
        <v>0</v>
      </c>
      <c r="K5411" s="455">
        <f t="shared" ca="1" si="188"/>
        <v>5949422695797.2227</v>
      </c>
      <c r="L5411" s="455">
        <f t="shared" ca="1" si="189"/>
        <v>1433810869687130.8</v>
      </c>
      <c r="M5411" s="471">
        <f t="shared" si="191"/>
        <v>0.05</v>
      </c>
      <c r="N5411" s="475">
        <f t="shared" si="192"/>
        <v>215739</v>
      </c>
    </row>
    <row r="5412" spans="7:14" ht="11.25" customHeight="1" x14ac:dyDescent="0.3">
      <c r="G5412" s="470"/>
      <c r="H5412" s="470">
        <v>5405</v>
      </c>
      <c r="I5412" s="455">
        <f t="shared" ca="1" si="190"/>
        <v>1433810869687130.8</v>
      </c>
      <c r="J5412" s="455">
        <f t="array" ref="J5412">IFERROR(INDEX('Retirement Calculator'!K:K,MATCH('Lorri 401b'!N5412,'Retirement Calculator'!A:A,0),0),0)</f>
        <v>0</v>
      </c>
      <c r="K5412" s="455">
        <f t="shared" ca="1" si="188"/>
        <v>5974211957029.7109</v>
      </c>
      <c r="L5412" s="455">
        <f t="shared" ca="1" si="189"/>
        <v>1439785081644160.5</v>
      </c>
      <c r="M5412" s="471">
        <f t="shared" si="191"/>
        <v>0.05</v>
      </c>
      <c r="N5412" s="475">
        <f t="shared" si="192"/>
        <v>215769</v>
      </c>
    </row>
    <row r="5413" spans="7:14" ht="11.25" customHeight="1" x14ac:dyDescent="0.3">
      <c r="G5413" s="470"/>
      <c r="H5413" s="470">
        <v>5406</v>
      </c>
      <c r="I5413" s="455">
        <f t="shared" ca="1" si="190"/>
        <v>1439785081644160.5</v>
      </c>
      <c r="J5413" s="455">
        <f t="array" ref="J5413">IFERROR(INDEX('Retirement Calculator'!K:K,MATCH('Lorri 401b'!N5413,'Retirement Calculator'!A:A,0),0),0)</f>
        <v>0</v>
      </c>
      <c r="K5413" s="455">
        <f t="shared" ca="1" si="188"/>
        <v>5999104506850.6689</v>
      </c>
      <c r="L5413" s="455">
        <f t="shared" ca="1" si="189"/>
        <v>1445784186151011.3</v>
      </c>
      <c r="M5413" s="471">
        <f t="shared" si="191"/>
        <v>0.05</v>
      </c>
      <c r="N5413" s="475">
        <f t="shared" si="192"/>
        <v>215800</v>
      </c>
    </row>
    <row r="5414" spans="7:14" ht="11.25" customHeight="1" x14ac:dyDescent="0.3">
      <c r="G5414" s="470"/>
      <c r="H5414" s="470">
        <v>5407</v>
      </c>
      <c r="I5414" s="455">
        <f t="shared" ca="1" si="190"/>
        <v>1445784186151011.3</v>
      </c>
      <c r="J5414" s="455">
        <f t="array" ref="J5414">IFERROR(INDEX('Retirement Calculator'!K:K,MATCH('Lorri 401b'!N5414,'Retirement Calculator'!A:A,0),0),0)</f>
        <v>0</v>
      </c>
      <c r="K5414" s="455">
        <f t="shared" ca="1" si="188"/>
        <v>6024100775629.2139</v>
      </c>
      <c r="L5414" s="455">
        <f t="shared" ca="1" si="189"/>
        <v>1451808286926640.5</v>
      </c>
      <c r="M5414" s="471">
        <f t="shared" si="191"/>
        <v>0.05</v>
      </c>
      <c r="N5414" s="475">
        <f t="shared" si="192"/>
        <v>215830</v>
      </c>
    </row>
    <row r="5415" spans="7:14" ht="11.25" customHeight="1" x14ac:dyDescent="0.3">
      <c r="G5415" s="470"/>
      <c r="H5415" s="470">
        <v>5408</v>
      </c>
      <c r="I5415" s="455">
        <f t="shared" ca="1" si="190"/>
        <v>1451808286926640.5</v>
      </c>
      <c r="J5415" s="455">
        <f t="array" ref="J5415">IFERROR(INDEX('Retirement Calculator'!K:K,MATCH('Lorri 401b'!N5415,'Retirement Calculator'!A:A,0),0),0)</f>
        <v>0</v>
      </c>
      <c r="K5415" s="455">
        <f t="shared" ca="1" si="188"/>
        <v>6049201195527.6689</v>
      </c>
      <c r="L5415" s="455">
        <f t="shared" ca="1" si="189"/>
        <v>1457857488122168.3</v>
      </c>
      <c r="M5415" s="471">
        <f t="shared" si="191"/>
        <v>0.05</v>
      </c>
      <c r="N5415" s="475">
        <f t="shared" si="192"/>
        <v>215861</v>
      </c>
    </row>
    <row r="5416" spans="7:14" ht="11.25" customHeight="1" x14ac:dyDescent="0.3">
      <c r="G5416" s="470"/>
      <c r="H5416" s="470">
        <v>5409</v>
      </c>
      <c r="I5416" s="455">
        <f t="shared" ca="1" si="190"/>
        <v>1457857488122168.3</v>
      </c>
      <c r="J5416" s="455">
        <f t="array" ref="J5416">IFERROR(INDEX('Retirement Calculator'!K:K,MATCH('Lorri 401b'!N5416,'Retirement Calculator'!A:A,0),0),0)</f>
        <v>0</v>
      </c>
      <c r="K5416" s="455">
        <f t="shared" ca="1" si="188"/>
        <v>6074406200509.0342</v>
      </c>
      <c r="L5416" s="455">
        <f t="shared" ca="1" si="189"/>
        <v>1463931894322677.3</v>
      </c>
      <c r="M5416" s="471">
        <f t="shared" si="191"/>
        <v>0.05</v>
      </c>
      <c r="N5416" s="475">
        <f t="shared" si="192"/>
        <v>215892</v>
      </c>
    </row>
    <row r="5417" spans="7:14" ht="11.25" customHeight="1" x14ac:dyDescent="0.3">
      <c r="G5417" s="470"/>
      <c r="H5417" s="470">
        <v>5410</v>
      </c>
      <c r="I5417" s="455">
        <f t="shared" ca="1" si="190"/>
        <v>1463931894322677.3</v>
      </c>
      <c r="J5417" s="455">
        <f t="array" ref="J5417">IFERROR(INDEX('Retirement Calculator'!K:K,MATCH('Lorri 401b'!N5417,'Retirement Calculator'!A:A,0),0),0)</f>
        <v>0</v>
      </c>
      <c r="K5417" s="455">
        <f t="shared" ca="1" si="188"/>
        <v>6099716226344.4883</v>
      </c>
      <c r="L5417" s="455">
        <f t="shared" ca="1" si="189"/>
        <v>1470031610549021.8</v>
      </c>
      <c r="M5417" s="471">
        <f t="shared" si="191"/>
        <v>0.05</v>
      </c>
      <c r="N5417" s="475">
        <f t="shared" si="192"/>
        <v>215920</v>
      </c>
    </row>
    <row r="5418" spans="7:14" ht="11.25" customHeight="1" x14ac:dyDescent="0.3">
      <c r="G5418" s="470"/>
      <c r="H5418" s="470">
        <v>5411</v>
      </c>
      <c r="I5418" s="455">
        <f t="shared" ca="1" si="190"/>
        <v>1470031610549021.8</v>
      </c>
      <c r="J5418" s="455">
        <f t="array" ref="J5418">IFERROR(INDEX('Retirement Calculator'!K:K,MATCH('Lorri 401b'!N5418,'Retirement Calculator'!A:A,0),0),0)</f>
        <v>0</v>
      </c>
      <c r="K5418" s="455">
        <f t="shared" ca="1" si="188"/>
        <v>6125131710620.9238</v>
      </c>
      <c r="L5418" s="455">
        <f t="shared" ca="1" si="189"/>
        <v>1476156742259642.8</v>
      </c>
      <c r="M5418" s="471">
        <f t="shared" si="191"/>
        <v>0.05</v>
      </c>
      <c r="N5418" s="475">
        <f t="shared" si="192"/>
        <v>215951</v>
      </c>
    </row>
    <row r="5419" spans="7:14" ht="11.25" customHeight="1" x14ac:dyDescent="0.3">
      <c r="G5419" s="470"/>
      <c r="H5419" s="470">
        <v>5412</v>
      </c>
      <c r="I5419" s="455">
        <f t="shared" ca="1" si="190"/>
        <v>1476156742259642.8</v>
      </c>
      <c r="J5419" s="455">
        <f t="array" ref="J5419">IFERROR(INDEX('Retirement Calculator'!K:K,MATCH('Lorri 401b'!N5419,'Retirement Calculator'!A:A,0),0),0)</f>
        <v>0</v>
      </c>
      <c r="K5419" s="455">
        <f t="shared" ca="1" si="188"/>
        <v>6150653092748.5117</v>
      </c>
      <c r="L5419" s="455">
        <f t="shared" ca="1" si="189"/>
        <v>1482307395352391.3</v>
      </c>
      <c r="M5419" s="471">
        <f t="shared" si="191"/>
        <v>0.05</v>
      </c>
      <c r="N5419" s="475">
        <f t="shared" si="192"/>
        <v>215981</v>
      </c>
    </row>
    <row r="5420" spans="7:14" ht="11.25" customHeight="1" x14ac:dyDescent="0.3">
      <c r="G5420" s="470"/>
      <c r="H5420" s="470">
        <v>5413</v>
      </c>
      <c r="I5420" s="455">
        <f t="shared" ca="1" si="190"/>
        <v>1482307395352391.3</v>
      </c>
      <c r="J5420" s="455">
        <f t="array" ref="J5420">IFERROR(INDEX('Retirement Calculator'!K:K,MATCH('Lorri 401b'!N5420,'Retirement Calculator'!A:A,0),0),0)</f>
        <v>0</v>
      </c>
      <c r="K5420" s="455">
        <f t="shared" ca="1" si="188"/>
        <v>6176280813968.2969</v>
      </c>
      <c r="L5420" s="455">
        <f t="shared" ca="1" si="189"/>
        <v>1488483676166359.5</v>
      </c>
      <c r="M5420" s="471">
        <f t="shared" si="191"/>
        <v>0.05</v>
      </c>
      <c r="N5420" s="475">
        <f t="shared" si="192"/>
        <v>216012</v>
      </c>
    </row>
    <row r="5421" spans="7:14" ht="11.25" customHeight="1" x14ac:dyDescent="0.3">
      <c r="G5421" s="470"/>
      <c r="H5421" s="470">
        <v>5414</v>
      </c>
      <c r="I5421" s="455">
        <f t="shared" ca="1" si="190"/>
        <v>1488483676166359.5</v>
      </c>
      <c r="J5421" s="455">
        <f t="array" ref="J5421">IFERROR(INDEX('Retirement Calculator'!K:K,MATCH('Lorri 401b'!N5421,'Retirement Calculator'!A:A,0),0),0)</f>
        <v>0</v>
      </c>
      <c r="K5421" s="455">
        <f t="shared" ca="1" si="188"/>
        <v>6202015317359.8311</v>
      </c>
      <c r="L5421" s="455">
        <f t="shared" ca="1" si="189"/>
        <v>1494685691483719.3</v>
      </c>
      <c r="M5421" s="471">
        <f t="shared" si="191"/>
        <v>0.05</v>
      </c>
      <c r="N5421" s="475">
        <f t="shared" si="192"/>
        <v>216042</v>
      </c>
    </row>
    <row r="5422" spans="7:14" ht="11.25" customHeight="1" x14ac:dyDescent="0.3">
      <c r="G5422" s="470"/>
      <c r="H5422" s="470">
        <v>5415</v>
      </c>
      <c r="I5422" s="455">
        <f t="shared" ca="1" si="190"/>
        <v>1494685691483719.3</v>
      </c>
      <c r="J5422" s="455">
        <f t="array" ref="J5422">IFERROR(INDEX('Retirement Calculator'!K:K,MATCH('Lorri 401b'!N5422,'Retirement Calculator'!A:A,0),0),0)</f>
        <v>0</v>
      </c>
      <c r="K5422" s="455">
        <f t="shared" ca="1" si="188"/>
        <v>6227857047848.8301</v>
      </c>
      <c r="L5422" s="455">
        <f t="shared" ca="1" si="189"/>
        <v>1500913548531568</v>
      </c>
      <c r="M5422" s="471">
        <f t="shared" si="191"/>
        <v>0.05</v>
      </c>
      <c r="N5422" s="475">
        <f t="shared" si="192"/>
        <v>216073</v>
      </c>
    </row>
    <row r="5423" spans="7:14" ht="11.25" customHeight="1" x14ac:dyDescent="0.3">
      <c r="G5423" s="470"/>
      <c r="H5423" s="470">
        <v>5416</v>
      </c>
      <c r="I5423" s="455">
        <f t="shared" ca="1" si="190"/>
        <v>1500913548531568</v>
      </c>
      <c r="J5423" s="455">
        <f t="array" ref="J5423">IFERROR(INDEX('Retirement Calculator'!K:K,MATCH('Lorri 401b'!N5423,'Retirement Calculator'!A:A,0),0),0)</f>
        <v>0</v>
      </c>
      <c r="K5423" s="455">
        <f t="shared" ca="1" si="188"/>
        <v>6253806452214.8662</v>
      </c>
      <c r="L5423" s="455">
        <f t="shared" ca="1" si="189"/>
        <v>1507167354983782.8</v>
      </c>
      <c r="M5423" s="471">
        <f t="shared" si="191"/>
        <v>0.05</v>
      </c>
      <c r="N5423" s="475">
        <f t="shared" si="192"/>
        <v>216104</v>
      </c>
    </row>
    <row r="5424" spans="7:14" ht="11.25" customHeight="1" x14ac:dyDescent="0.3">
      <c r="G5424" s="470"/>
      <c r="H5424" s="470">
        <v>5417</v>
      </c>
      <c r="I5424" s="455">
        <f t="shared" ca="1" si="190"/>
        <v>1507167354983782.8</v>
      </c>
      <c r="J5424" s="455">
        <f t="array" ref="J5424">IFERROR(INDEX('Retirement Calculator'!K:K,MATCH('Lorri 401b'!N5424,'Retirement Calculator'!A:A,0),0),0)</f>
        <v>0</v>
      </c>
      <c r="K5424" s="455">
        <f t="shared" ca="1" si="188"/>
        <v>6279863979099.0947</v>
      </c>
      <c r="L5424" s="455">
        <f t="shared" ca="1" si="189"/>
        <v>1513447218962881.8</v>
      </c>
      <c r="M5424" s="471">
        <f t="shared" si="191"/>
        <v>0.05</v>
      </c>
      <c r="N5424" s="475">
        <f t="shared" si="192"/>
        <v>216134</v>
      </c>
    </row>
    <row r="5425" spans="7:14" ht="11.25" customHeight="1" x14ac:dyDescent="0.3">
      <c r="G5425" s="470"/>
      <c r="H5425" s="470">
        <v>5418</v>
      </c>
      <c r="I5425" s="455">
        <f t="shared" ca="1" si="190"/>
        <v>1513447218962881.8</v>
      </c>
      <c r="J5425" s="455">
        <f t="array" ref="J5425">IFERROR(INDEX('Retirement Calculator'!K:K,MATCH('Lorri 401b'!N5425,'Retirement Calculator'!A:A,0),0),0)</f>
        <v>0</v>
      </c>
      <c r="K5425" s="455">
        <f t="shared" ca="1" si="188"/>
        <v>6306030079012.0068</v>
      </c>
      <c r="L5425" s="455">
        <f t="shared" ca="1" si="189"/>
        <v>1519753249041893.8</v>
      </c>
      <c r="M5425" s="471">
        <f t="shared" si="191"/>
        <v>0.05</v>
      </c>
      <c r="N5425" s="475">
        <f t="shared" si="192"/>
        <v>216165</v>
      </c>
    </row>
    <row r="5426" spans="7:14" ht="11.25" customHeight="1" x14ac:dyDescent="0.3">
      <c r="G5426" s="470"/>
      <c r="H5426" s="470">
        <v>5419</v>
      </c>
      <c r="I5426" s="455">
        <f t="shared" ca="1" si="190"/>
        <v>1519753249041893.8</v>
      </c>
      <c r="J5426" s="455">
        <f t="array" ref="J5426">IFERROR(INDEX('Retirement Calculator'!K:K,MATCH('Lorri 401b'!N5426,'Retirement Calculator'!A:A,0),0),0)</f>
        <v>0</v>
      </c>
      <c r="K5426" s="455">
        <f t="shared" ca="1" si="188"/>
        <v>6332305204341.2236</v>
      </c>
      <c r="L5426" s="455">
        <f t="shared" ca="1" si="189"/>
        <v>1526085554246235</v>
      </c>
      <c r="M5426" s="471">
        <f t="shared" si="191"/>
        <v>0.05</v>
      </c>
      <c r="N5426" s="475">
        <f t="shared" si="192"/>
        <v>216195</v>
      </c>
    </row>
    <row r="5427" spans="7:14" ht="11.25" customHeight="1" x14ac:dyDescent="0.3">
      <c r="G5427" s="470"/>
      <c r="H5427" s="470">
        <v>5420</v>
      </c>
      <c r="I5427" s="455">
        <f t="shared" ca="1" si="190"/>
        <v>1526085554246235</v>
      </c>
      <c r="J5427" s="455">
        <f t="array" ref="J5427">IFERROR(INDEX('Retirement Calculator'!K:K,MATCH('Lorri 401b'!N5427,'Retirement Calculator'!A:A,0),0),0)</f>
        <v>0</v>
      </c>
      <c r="K5427" s="455">
        <f t="shared" ca="1" si="188"/>
        <v>6358689809359.3125</v>
      </c>
      <c r="L5427" s="455">
        <f t="shared" ca="1" si="189"/>
        <v>1532444244055594.3</v>
      </c>
      <c r="M5427" s="471">
        <f t="shared" si="191"/>
        <v>0.05</v>
      </c>
      <c r="N5427" s="475">
        <f t="shared" si="192"/>
        <v>216226</v>
      </c>
    </row>
    <row r="5428" spans="7:14" ht="11.25" customHeight="1" x14ac:dyDescent="0.3">
      <c r="G5428" s="470"/>
      <c r="H5428" s="470">
        <v>5421</v>
      </c>
      <c r="I5428" s="455">
        <f t="shared" ca="1" si="190"/>
        <v>1532444244055594.3</v>
      </c>
      <c r="J5428" s="455">
        <f t="array" ref="J5428">IFERROR(INDEX('Retirement Calculator'!K:K,MATCH('Lorri 401b'!N5428,'Retirement Calculator'!A:A,0),0),0)</f>
        <v>0</v>
      </c>
      <c r="K5428" s="455">
        <f t="shared" ca="1" si="188"/>
        <v>6385184350231.6426</v>
      </c>
      <c r="L5428" s="455">
        <f t="shared" ca="1" si="189"/>
        <v>1538829428405826</v>
      </c>
      <c r="M5428" s="471">
        <f t="shared" si="191"/>
        <v>0.05</v>
      </c>
      <c r="N5428" s="475">
        <f t="shared" si="192"/>
        <v>216257</v>
      </c>
    </row>
    <row r="5429" spans="7:14" ht="11.25" customHeight="1" x14ac:dyDescent="0.3">
      <c r="G5429" s="470"/>
      <c r="H5429" s="470">
        <v>5422</v>
      </c>
      <c r="I5429" s="455">
        <f t="shared" ca="1" si="190"/>
        <v>1538829428405826</v>
      </c>
      <c r="J5429" s="455">
        <f t="array" ref="J5429">IFERROR(INDEX('Retirement Calculator'!K:K,MATCH('Lorri 401b'!N5429,'Retirement Calculator'!A:A,0),0),0)</f>
        <v>0</v>
      </c>
      <c r="K5429" s="455">
        <f t="shared" ca="1" si="188"/>
        <v>6411789285024.2754</v>
      </c>
      <c r="L5429" s="455">
        <f t="shared" ca="1" si="189"/>
        <v>1545241217690850.3</v>
      </c>
      <c r="M5429" s="471">
        <f t="shared" si="191"/>
        <v>0.05</v>
      </c>
      <c r="N5429" s="475">
        <f t="shared" si="192"/>
        <v>216286</v>
      </c>
    </row>
    <row r="5430" spans="7:14" ht="11.25" customHeight="1" x14ac:dyDescent="0.3">
      <c r="G5430" s="470"/>
      <c r="H5430" s="470">
        <v>5423</v>
      </c>
      <c r="I5430" s="455">
        <f t="shared" ca="1" si="190"/>
        <v>1545241217690850.3</v>
      </c>
      <c r="J5430" s="455">
        <f t="array" ref="J5430">IFERROR(INDEX('Retirement Calculator'!K:K,MATCH('Lorri 401b'!N5430,'Retirement Calculator'!A:A,0),0),0)</f>
        <v>0</v>
      </c>
      <c r="K5430" s="455">
        <f t="shared" ca="1" si="188"/>
        <v>6438505073711.876</v>
      </c>
      <c r="L5430" s="455">
        <f t="shared" ca="1" si="189"/>
        <v>1551679722764562.3</v>
      </c>
      <c r="M5430" s="471">
        <f t="shared" si="191"/>
        <v>0.05</v>
      </c>
      <c r="N5430" s="475">
        <f t="shared" si="192"/>
        <v>216317</v>
      </c>
    </row>
    <row r="5431" spans="7:14" ht="11.25" customHeight="1" x14ac:dyDescent="0.3">
      <c r="G5431" s="470"/>
      <c r="H5431" s="470">
        <v>5424</v>
      </c>
      <c r="I5431" s="455">
        <f t="shared" ca="1" si="190"/>
        <v>1551679722764562.3</v>
      </c>
      <c r="J5431" s="455">
        <f t="array" ref="J5431">IFERROR(INDEX('Retirement Calculator'!K:K,MATCH('Lorri 401b'!N5431,'Retirement Calculator'!A:A,0),0),0)</f>
        <v>0</v>
      </c>
      <c r="K5431" s="455">
        <f t="shared" ca="1" si="188"/>
        <v>6465332178185.6758</v>
      </c>
      <c r="L5431" s="455">
        <f t="shared" ca="1" si="189"/>
        <v>1558145054942748</v>
      </c>
      <c r="M5431" s="471">
        <f t="shared" si="191"/>
        <v>0.05</v>
      </c>
      <c r="N5431" s="475">
        <f t="shared" si="192"/>
        <v>216347</v>
      </c>
    </row>
    <row r="5432" spans="7:14" ht="11.25" customHeight="1" x14ac:dyDescent="0.3">
      <c r="G5432" s="470"/>
      <c r="H5432" s="470">
        <v>5425</v>
      </c>
      <c r="I5432" s="455">
        <f t="shared" ca="1" si="190"/>
        <v>1558145054942748</v>
      </c>
      <c r="J5432" s="455">
        <f t="array" ref="J5432">IFERROR(INDEX('Retirement Calculator'!K:K,MATCH('Lorri 401b'!N5432,'Retirement Calculator'!A:A,0),0),0)</f>
        <v>0</v>
      </c>
      <c r="K5432" s="455">
        <f t="shared" ca="1" si="188"/>
        <v>6492271062261.4502</v>
      </c>
      <c r="L5432" s="455">
        <f t="shared" ca="1" si="189"/>
        <v>1564637326005009.5</v>
      </c>
      <c r="M5432" s="471">
        <f t="shared" si="191"/>
        <v>0.05</v>
      </c>
      <c r="N5432" s="475">
        <f t="shared" si="192"/>
        <v>216378</v>
      </c>
    </row>
    <row r="5433" spans="7:14" ht="11.25" customHeight="1" x14ac:dyDescent="0.3">
      <c r="G5433" s="470"/>
      <c r="H5433" s="470">
        <v>5426</v>
      </c>
      <c r="I5433" s="455">
        <f t="shared" ca="1" si="190"/>
        <v>1564637326005009.5</v>
      </c>
      <c r="J5433" s="455">
        <f t="array" ref="J5433">IFERROR(INDEX('Retirement Calculator'!K:K,MATCH('Lorri 401b'!N5433,'Retirement Calculator'!A:A,0),0),0)</f>
        <v>0</v>
      </c>
      <c r="K5433" s="455">
        <f t="shared" ca="1" si="188"/>
        <v>6519322191687.5391</v>
      </c>
      <c r="L5433" s="455">
        <f t="shared" ca="1" si="189"/>
        <v>1571156648196697</v>
      </c>
      <c r="M5433" s="471">
        <f t="shared" si="191"/>
        <v>0.05</v>
      </c>
      <c r="N5433" s="475">
        <f t="shared" si="192"/>
        <v>216408</v>
      </c>
    </row>
    <row r="5434" spans="7:14" ht="11.25" customHeight="1" x14ac:dyDescent="0.3">
      <c r="G5434" s="470"/>
      <c r="H5434" s="470">
        <v>5427</v>
      </c>
      <c r="I5434" s="455">
        <f t="shared" ca="1" si="190"/>
        <v>1571156648196697</v>
      </c>
      <c r="J5434" s="455">
        <f t="array" ref="J5434">IFERROR(INDEX('Retirement Calculator'!K:K,MATCH('Lorri 401b'!N5434,'Retirement Calculator'!A:A,0),0),0)</f>
        <v>0</v>
      </c>
      <c r="K5434" s="455">
        <f t="shared" ca="1" si="188"/>
        <v>6546486034152.9043</v>
      </c>
      <c r="L5434" s="455">
        <f t="shared" ca="1" si="189"/>
        <v>1577703134230850</v>
      </c>
      <c r="M5434" s="471">
        <f t="shared" si="191"/>
        <v>0.05</v>
      </c>
      <c r="N5434" s="475">
        <f t="shared" si="192"/>
        <v>216439</v>
      </c>
    </row>
    <row r="5435" spans="7:14" ht="11.25" customHeight="1" x14ac:dyDescent="0.3">
      <c r="G5435" s="470"/>
      <c r="H5435" s="470">
        <v>5428</v>
      </c>
      <c r="I5435" s="455">
        <f t="shared" ca="1" si="190"/>
        <v>1577703134230850</v>
      </c>
      <c r="J5435" s="455">
        <f t="array" ref="J5435">IFERROR(INDEX('Retirement Calculator'!K:K,MATCH('Lorri 401b'!N5435,'Retirement Calculator'!A:A,0),0),0)</f>
        <v>0</v>
      </c>
      <c r="K5435" s="455">
        <f t="shared" ca="1" si="188"/>
        <v>6573763059295.208</v>
      </c>
      <c r="L5435" s="455">
        <f t="shared" ca="1" si="189"/>
        <v>1584276897290145.3</v>
      </c>
      <c r="M5435" s="471">
        <f t="shared" si="191"/>
        <v>0.05</v>
      </c>
      <c r="N5435" s="475">
        <f t="shared" si="192"/>
        <v>216470</v>
      </c>
    </row>
    <row r="5436" spans="7:14" ht="11.25" customHeight="1" x14ac:dyDescent="0.3">
      <c r="G5436" s="470"/>
      <c r="H5436" s="470">
        <v>5429</v>
      </c>
      <c r="I5436" s="455">
        <f t="shared" ca="1" si="190"/>
        <v>1584276897290145.3</v>
      </c>
      <c r="J5436" s="455">
        <f t="array" ref="J5436">IFERROR(INDEX('Retirement Calculator'!K:K,MATCH('Lorri 401b'!N5436,'Retirement Calculator'!A:A,0),0),0)</f>
        <v>0</v>
      </c>
      <c r="K5436" s="455">
        <f t="shared" ca="1" si="188"/>
        <v>6601153738708.9385</v>
      </c>
      <c r="L5436" s="455">
        <f t="shared" ca="1" si="189"/>
        <v>1590878051028854.3</v>
      </c>
      <c r="M5436" s="471">
        <f t="shared" si="191"/>
        <v>0.05</v>
      </c>
      <c r="N5436" s="475">
        <f t="shared" si="192"/>
        <v>216500</v>
      </c>
    </row>
    <row r="5437" spans="7:14" ht="11.25" customHeight="1" x14ac:dyDescent="0.3">
      <c r="G5437" s="470"/>
      <c r="H5437" s="470">
        <v>5430</v>
      </c>
      <c r="I5437" s="455">
        <f t="shared" ca="1" si="190"/>
        <v>1590878051028854.3</v>
      </c>
      <c r="J5437" s="455">
        <f t="array" ref="J5437">IFERROR(INDEX('Retirement Calculator'!K:K,MATCH('Lorri 401b'!N5437,'Retirement Calculator'!A:A,0),0),0)</f>
        <v>0</v>
      </c>
      <c r="K5437" s="455">
        <f t="shared" ca="1" si="188"/>
        <v>6628658545953.5596</v>
      </c>
      <c r="L5437" s="455">
        <f t="shared" ca="1" si="189"/>
        <v>1597506709574807.8</v>
      </c>
      <c r="M5437" s="471">
        <f t="shared" si="191"/>
        <v>0.05</v>
      </c>
      <c r="N5437" s="475">
        <f t="shared" si="192"/>
        <v>216531</v>
      </c>
    </row>
    <row r="5438" spans="7:14" ht="11.25" customHeight="1" x14ac:dyDescent="0.3">
      <c r="G5438" s="470"/>
      <c r="H5438" s="470">
        <v>5431</v>
      </c>
      <c r="I5438" s="455">
        <f t="shared" ca="1" si="190"/>
        <v>1597506709574807.8</v>
      </c>
      <c r="J5438" s="455">
        <f t="array" ref="J5438">IFERROR(INDEX('Retirement Calculator'!K:K,MATCH('Lorri 401b'!N5438,'Retirement Calculator'!A:A,0),0),0)</f>
        <v>0</v>
      </c>
      <c r="K5438" s="455">
        <f t="shared" ca="1" si="188"/>
        <v>6656277956561.6992</v>
      </c>
      <c r="L5438" s="455">
        <f t="shared" ca="1" si="189"/>
        <v>1604162987531369.5</v>
      </c>
      <c r="M5438" s="471">
        <f t="shared" si="191"/>
        <v>0.05</v>
      </c>
      <c r="N5438" s="475">
        <f t="shared" si="192"/>
        <v>216561</v>
      </c>
    </row>
    <row r="5439" spans="7:14" ht="11.25" customHeight="1" x14ac:dyDescent="0.3">
      <c r="G5439" s="470"/>
      <c r="H5439" s="470">
        <v>5432</v>
      </c>
      <c r="I5439" s="455">
        <f t="shared" ca="1" si="190"/>
        <v>1604162987531369.5</v>
      </c>
      <c r="J5439" s="455">
        <f t="array" ref="J5439">IFERROR(INDEX('Retirement Calculator'!K:K,MATCH('Lorri 401b'!N5439,'Retirement Calculator'!A:A,0),0),0)</f>
        <v>0</v>
      </c>
      <c r="K5439" s="455">
        <f t="shared" ca="1" si="188"/>
        <v>6684012448047.373</v>
      </c>
      <c r="L5439" s="455">
        <f t="shared" ca="1" si="189"/>
        <v>1610846999979416.8</v>
      </c>
      <c r="M5439" s="471">
        <f t="shared" si="191"/>
        <v>0.05</v>
      </c>
      <c r="N5439" s="475">
        <f t="shared" si="192"/>
        <v>216592</v>
      </c>
    </row>
    <row r="5440" spans="7:14" ht="11.25" customHeight="1" x14ac:dyDescent="0.3">
      <c r="G5440" s="470"/>
      <c r="H5440" s="470">
        <v>5433</v>
      </c>
      <c r="I5440" s="455">
        <f t="shared" ca="1" si="190"/>
        <v>1610846999979416.8</v>
      </c>
      <c r="J5440" s="455">
        <f t="array" ref="J5440">IFERROR(INDEX('Retirement Calculator'!K:K,MATCH('Lorri 401b'!N5440,'Retirement Calculator'!A:A,0),0),0)</f>
        <v>0</v>
      </c>
      <c r="K5440" s="455">
        <f t="shared" ca="1" si="188"/>
        <v>6711862499914.2363</v>
      </c>
      <c r="L5440" s="455">
        <f t="shared" ca="1" si="189"/>
        <v>1617558862479331</v>
      </c>
      <c r="M5440" s="471">
        <f t="shared" si="191"/>
        <v>0.05</v>
      </c>
      <c r="N5440" s="475">
        <f t="shared" si="192"/>
        <v>216623</v>
      </c>
    </row>
    <row r="5441" spans="7:14" ht="11.25" customHeight="1" x14ac:dyDescent="0.3">
      <c r="G5441" s="470"/>
      <c r="H5441" s="470">
        <v>5434</v>
      </c>
      <c r="I5441" s="455">
        <f t="shared" ca="1" si="190"/>
        <v>1617558862479331</v>
      </c>
      <c r="J5441" s="455">
        <f t="array" ref="J5441">IFERROR(INDEX('Retirement Calculator'!K:K,MATCH('Lorri 401b'!N5441,'Retirement Calculator'!A:A,0),0),0)</f>
        <v>0</v>
      </c>
      <c r="K5441" s="455">
        <f t="shared" ca="1" si="188"/>
        <v>6739828593663.8789</v>
      </c>
      <c r="L5441" s="455">
        <f t="shared" ca="1" si="189"/>
        <v>1624298691072995</v>
      </c>
      <c r="M5441" s="471">
        <f t="shared" si="191"/>
        <v>0.05</v>
      </c>
      <c r="N5441" s="475">
        <f t="shared" si="192"/>
        <v>216651</v>
      </c>
    </row>
    <row r="5442" spans="7:14" ht="11.25" customHeight="1" x14ac:dyDescent="0.3">
      <c r="G5442" s="470"/>
      <c r="H5442" s="470">
        <v>5435</v>
      </c>
      <c r="I5442" s="455">
        <f t="shared" ca="1" si="190"/>
        <v>1624298691072995</v>
      </c>
      <c r="J5442" s="455">
        <f t="array" ref="J5442">IFERROR(INDEX('Retirement Calculator'!K:K,MATCH('Lorri 401b'!N5442,'Retirement Calculator'!A:A,0),0),0)</f>
        <v>0</v>
      </c>
      <c r="K5442" s="455">
        <f t="shared" ca="1" si="188"/>
        <v>6767911212804.1455</v>
      </c>
      <c r="L5442" s="455">
        <f t="shared" ca="1" si="189"/>
        <v>1631066602285799.3</v>
      </c>
      <c r="M5442" s="471">
        <f t="shared" si="191"/>
        <v>0.05</v>
      </c>
      <c r="N5442" s="475">
        <f t="shared" si="192"/>
        <v>216682</v>
      </c>
    </row>
    <row r="5443" spans="7:14" ht="11.25" customHeight="1" x14ac:dyDescent="0.3">
      <c r="G5443" s="470"/>
      <c r="H5443" s="470">
        <v>5436</v>
      </c>
      <c r="I5443" s="455">
        <f t="shared" ca="1" si="190"/>
        <v>1631066602285799.3</v>
      </c>
      <c r="J5443" s="455">
        <f t="array" ref="J5443">IFERROR(INDEX('Retirement Calculator'!K:K,MATCH('Lorri 401b'!N5443,'Retirement Calculator'!A:A,0),0),0)</f>
        <v>0</v>
      </c>
      <c r="K5443" s="455">
        <f t="shared" ca="1" si="188"/>
        <v>6796110842857.4971</v>
      </c>
      <c r="L5443" s="455">
        <f t="shared" ca="1" si="189"/>
        <v>1637862713128656.8</v>
      </c>
      <c r="M5443" s="471">
        <f t="shared" si="191"/>
        <v>0.05</v>
      </c>
      <c r="N5443" s="475">
        <f t="shared" si="192"/>
        <v>216712</v>
      </c>
    </row>
    <row r="5444" spans="7:14" ht="11.25" customHeight="1" x14ac:dyDescent="0.3">
      <c r="G5444" s="470"/>
      <c r="H5444" s="470">
        <v>5437</v>
      </c>
      <c r="I5444" s="455">
        <f t="shared" ca="1" si="190"/>
        <v>1637862713128656.8</v>
      </c>
      <c r="J5444" s="455">
        <f t="array" ref="J5444">IFERROR(INDEX('Retirement Calculator'!K:K,MATCH('Lorri 401b'!N5444,'Retirement Calculator'!A:A,0),0),0)</f>
        <v>0</v>
      </c>
      <c r="K5444" s="455">
        <f t="shared" ca="1" si="188"/>
        <v>6824427971369.4033</v>
      </c>
      <c r="L5444" s="455">
        <f t="shared" ca="1" si="189"/>
        <v>1644687141100026.3</v>
      </c>
      <c r="M5444" s="471">
        <f t="shared" si="191"/>
        <v>0.05</v>
      </c>
      <c r="N5444" s="475">
        <f t="shared" si="192"/>
        <v>216743</v>
      </c>
    </row>
    <row r="5445" spans="7:14" ht="11.25" customHeight="1" x14ac:dyDescent="0.3">
      <c r="G5445" s="470"/>
      <c r="H5445" s="470">
        <v>5438</v>
      </c>
      <c r="I5445" s="455">
        <f t="shared" ca="1" si="190"/>
        <v>1644687141100026.3</v>
      </c>
      <c r="J5445" s="455">
        <f t="array" ref="J5445">IFERROR(INDEX('Retirement Calculator'!K:K,MATCH('Lorri 401b'!N5445,'Retirement Calculator'!A:A,0),0),0)</f>
        <v>0</v>
      </c>
      <c r="K5445" s="455">
        <f t="shared" ca="1" si="188"/>
        <v>6852863087916.7764</v>
      </c>
      <c r="L5445" s="455">
        <f t="shared" ca="1" si="189"/>
        <v>1651540004187943</v>
      </c>
      <c r="M5445" s="471">
        <f t="shared" si="191"/>
        <v>0.05</v>
      </c>
      <c r="N5445" s="475">
        <f t="shared" si="192"/>
        <v>216773</v>
      </c>
    </row>
    <row r="5446" spans="7:14" ht="11.25" customHeight="1" x14ac:dyDescent="0.3">
      <c r="G5446" s="470"/>
      <c r="H5446" s="470">
        <v>5439</v>
      </c>
      <c r="I5446" s="455">
        <f t="shared" ca="1" si="190"/>
        <v>1651540004187943</v>
      </c>
      <c r="J5446" s="455">
        <f t="array" ref="J5446">IFERROR(INDEX('Retirement Calculator'!K:K,MATCH('Lorri 401b'!N5446,'Retirement Calculator'!A:A,0),0),0)</f>
        <v>0</v>
      </c>
      <c r="K5446" s="455">
        <f t="shared" ca="1" si="188"/>
        <v>6881416684116.4287</v>
      </c>
      <c r="L5446" s="455">
        <f t="shared" ca="1" si="189"/>
        <v>1658421420872059.5</v>
      </c>
      <c r="M5446" s="471">
        <f t="shared" si="191"/>
        <v>0.05</v>
      </c>
      <c r="N5446" s="475">
        <f t="shared" si="192"/>
        <v>216804</v>
      </c>
    </row>
    <row r="5447" spans="7:14" ht="11.25" customHeight="1" x14ac:dyDescent="0.3">
      <c r="G5447" s="470"/>
      <c r="H5447" s="470">
        <v>5440</v>
      </c>
      <c r="I5447" s="455">
        <f t="shared" ca="1" si="190"/>
        <v>1658421420872059.5</v>
      </c>
      <c r="J5447" s="455">
        <f t="array" ref="J5447">IFERROR(INDEX('Retirement Calculator'!K:K,MATCH('Lorri 401b'!N5447,'Retirement Calculator'!A:A,0),0),0)</f>
        <v>0</v>
      </c>
      <c r="K5447" s="455">
        <f t="shared" ca="1" si="188"/>
        <v>6910089253633.5811</v>
      </c>
      <c r="L5447" s="455">
        <f t="shared" ca="1" si="189"/>
        <v>1665331510125693</v>
      </c>
      <c r="M5447" s="471">
        <f t="shared" si="191"/>
        <v>0.05</v>
      </c>
      <c r="N5447" s="475">
        <f t="shared" si="192"/>
        <v>216835</v>
      </c>
    </row>
    <row r="5448" spans="7:14" ht="11.25" customHeight="1" x14ac:dyDescent="0.3">
      <c r="G5448" s="470"/>
      <c r="H5448" s="470">
        <v>5441</v>
      </c>
      <c r="I5448" s="455">
        <f t="shared" ca="1" si="190"/>
        <v>1665331510125693</v>
      </c>
      <c r="J5448" s="455">
        <f t="array" ref="J5448">IFERROR(INDEX('Retirement Calculator'!K:K,MATCH('Lorri 401b'!N5448,'Retirement Calculator'!A:A,0),0),0)</f>
        <v>0</v>
      </c>
      <c r="K5448" s="455">
        <f t="shared" ca="1" si="188"/>
        <v>6938881292190.3877</v>
      </c>
      <c r="L5448" s="455">
        <f t="shared" ca="1" si="189"/>
        <v>1672270391417883.5</v>
      </c>
      <c r="M5448" s="471">
        <f t="shared" si="191"/>
        <v>0.05</v>
      </c>
      <c r="N5448" s="475">
        <f t="shared" si="192"/>
        <v>216865</v>
      </c>
    </row>
    <row r="5449" spans="7:14" ht="11.25" customHeight="1" x14ac:dyDescent="0.3">
      <c r="G5449" s="470"/>
      <c r="H5449" s="470">
        <v>5442</v>
      </c>
      <c r="I5449" s="455">
        <f t="shared" ca="1" si="190"/>
        <v>1672270391417883.5</v>
      </c>
      <c r="J5449" s="455">
        <f t="array" ref="J5449">IFERROR(INDEX('Retirement Calculator'!K:K,MATCH('Lorri 401b'!N5449,'Retirement Calculator'!A:A,0),0),0)</f>
        <v>0</v>
      </c>
      <c r="K5449" s="455">
        <f t="shared" ca="1" si="188"/>
        <v>6967793297574.5146</v>
      </c>
      <c r="L5449" s="455">
        <f t="shared" ca="1" si="189"/>
        <v>1679238184715458</v>
      </c>
      <c r="M5449" s="471">
        <f t="shared" si="191"/>
        <v>0.05</v>
      </c>
      <c r="N5449" s="475">
        <f t="shared" si="192"/>
        <v>216896</v>
      </c>
    </row>
    <row r="5450" spans="7:14" ht="11.25" customHeight="1" x14ac:dyDescent="0.3">
      <c r="G5450" s="470"/>
      <c r="H5450" s="470">
        <v>5443</v>
      </c>
      <c r="I5450" s="455">
        <f t="shared" ca="1" si="190"/>
        <v>1679238184715458</v>
      </c>
      <c r="J5450" s="455">
        <f t="array" ref="J5450">IFERROR(INDEX('Retirement Calculator'!K:K,MATCH('Lorri 401b'!N5450,'Retirement Calculator'!A:A,0),0),0)</f>
        <v>0</v>
      </c>
      <c r="K5450" s="455">
        <f t="shared" ca="1" si="188"/>
        <v>6996825769647.7412</v>
      </c>
      <c r="L5450" s="455">
        <f t="shared" ca="1" si="189"/>
        <v>1686235010485105.8</v>
      </c>
      <c r="M5450" s="471">
        <f t="shared" si="191"/>
        <v>0.05</v>
      </c>
      <c r="N5450" s="475">
        <f t="shared" si="192"/>
        <v>216926</v>
      </c>
    </row>
    <row r="5451" spans="7:14" ht="11.25" customHeight="1" x14ac:dyDescent="0.3">
      <c r="G5451" s="470"/>
      <c r="H5451" s="470">
        <v>5444</v>
      </c>
      <c r="I5451" s="455">
        <f t="shared" ca="1" si="190"/>
        <v>1686235010485105.8</v>
      </c>
      <c r="J5451" s="455">
        <f t="array" ref="J5451">IFERROR(INDEX('Retirement Calculator'!K:K,MATCH('Lorri 401b'!N5451,'Retirement Calculator'!A:A,0),0),0)</f>
        <v>0</v>
      </c>
      <c r="K5451" s="455">
        <f t="shared" ca="1" si="188"/>
        <v>7025979210354.6074</v>
      </c>
      <c r="L5451" s="455">
        <f t="shared" ca="1" si="189"/>
        <v>1693260989695460.3</v>
      </c>
      <c r="M5451" s="471">
        <f t="shared" si="191"/>
        <v>0.05</v>
      </c>
      <c r="N5451" s="475">
        <f t="shared" si="192"/>
        <v>216957</v>
      </c>
    </row>
    <row r="5452" spans="7:14" ht="11.25" customHeight="1" x14ac:dyDescent="0.3">
      <c r="G5452" s="470"/>
      <c r="H5452" s="470">
        <v>5445</v>
      </c>
      <c r="I5452" s="455">
        <f t="shared" ca="1" si="190"/>
        <v>1693260989695460.3</v>
      </c>
      <c r="J5452" s="455">
        <f t="array" ref="J5452">IFERROR(INDEX('Retirement Calculator'!K:K,MATCH('Lorri 401b'!N5452,'Retirement Calculator'!A:A,0),0),0)</f>
        <v>0</v>
      </c>
      <c r="K5452" s="455">
        <f t="shared" ca="1" si="188"/>
        <v>7055254123731.084</v>
      </c>
      <c r="L5452" s="455">
        <f t="shared" ca="1" si="189"/>
        <v>1700316243819191.3</v>
      </c>
      <c r="M5452" s="471">
        <f t="shared" si="191"/>
        <v>0.05</v>
      </c>
      <c r="N5452" s="475">
        <f t="shared" si="192"/>
        <v>216988</v>
      </c>
    </row>
    <row r="5453" spans="7:14" ht="11.25" customHeight="1" x14ac:dyDescent="0.3">
      <c r="G5453" s="470"/>
      <c r="H5453" s="470">
        <v>5446</v>
      </c>
      <c r="I5453" s="455">
        <f t="shared" ca="1" si="190"/>
        <v>1700316243819191.3</v>
      </c>
      <c r="J5453" s="455">
        <f t="array" ref="J5453">IFERROR(INDEX('Retirement Calculator'!K:K,MATCH('Lorri 401b'!N5453,'Retirement Calculator'!A:A,0),0),0)</f>
        <v>0</v>
      </c>
      <c r="K5453" s="455">
        <f t="shared" ca="1" si="188"/>
        <v>7084651015913.2969</v>
      </c>
      <c r="L5453" s="455">
        <f t="shared" ca="1" si="189"/>
        <v>1707400894835104.5</v>
      </c>
      <c r="M5453" s="471">
        <f t="shared" si="191"/>
        <v>0.05</v>
      </c>
      <c r="N5453" s="475">
        <f t="shared" si="192"/>
        <v>217016</v>
      </c>
    </row>
    <row r="5454" spans="7:14" ht="11.25" customHeight="1" x14ac:dyDescent="0.3">
      <c r="G5454" s="470"/>
      <c r="H5454" s="470">
        <v>5447</v>
      </c>
      <c r="I5454" s="455">
        <f t="shared" ca="1" si="190"/>
        <v>1707400894835104.5</v>
      </c>
      <c r="J5454" s="455">
        <f t="array" ref="J5454">IFERROR(INDEX('Retirement Calculator'!K:K,MATCH('Lorri 401b'!N5454,'Retirement Calculator'!A:A,0),0),0)</f>
        <v>0</v>
      </c>
      <c r="K5454" s="455">
        <f t="shared" ca="1" si="188"/>
        <v>7114170395146.2686</v>
      </c>
      <c r="L5454" s="455">
        <f t="shared" ca="1" si="189"/>
        <v>1714515065230250.8</v>
      </c>
      <c r="M5454" s="471">
        <f t="shared" si="191"/>
        <v>0.05</v>
      </c>
      <c r="N5454" s="475">
        <f t="shared" si="192"/>
        <v>217047</v>
      </c>
    </row>
    <row r="5455" spans="7:14" ht="11.25" customHeight="1" x14ac:dyDescent="0.3">
      <c r="G5455" s="470"/>
      <c r="H5455" s="470">
        <v>5448</v>
      </c>
      <c r="I5455" s="455">
        <f t="shared" ca="1" si="190"/>
        <v>1714515065230250.8</v>
      </c>
      <c r="J5455" s="455">
        <f t="array" ref="J5455">IFERROR(INDEX('Retirement Calculator'!K:K,MATCH('Lorri 401b'!N5455,'Retirement Calculator'!A:A,0),0),0)</f>
        <v>0</v>
      </c>
      <c r="K5455" s="455">
        <f t="shared" ca="1" si="188"/>
        <v>7143812771792.7109</v>
      </c>
      <c r="L5455" s="455">
        <f t="shared" ca="1" si="189"/>
        <v>1721658878002043.5</v>
      </c>
      <c r="M5455" s="471">
        <f t="shared" si="191"/>
        <v>0.05</v>
      </c>
      <c r="N5455" s="475">
        <f t="shared" si="192"/>
        <v>217077</v>
      </c>
    </row>
    <row r="5456" spans="7:14" ht="11.25" customHeight="1" x14ac:dyDescent="0.3">
      <c r="G5456" s="470"/>
      <c r="H5456" s="470">
        <v>5449</v>
      </c>
      <c r="I5456" s="455">
        <f t="shared" ca="1" si="190"/>
        <v>1721658878002043.5</v>
      </c>
      <c r="J5456" s="455">
        <f t="array" ref="J5456">IFERROR(INDEX('Retirement Calculator'!K:K,MATCH('Lorri 401b'!N5456,'Retirement Calculator'!A:A,0),0),0)</f>
        <v>0</v>
      </c>
      <c r="K5456" s="455">
        <f t="shared" ca="1" si="188"/>
        <v>7173578658341.8477</v>
      </c>
      <c r="L5456" s="455">
        <f t="shared" ca="1" si="189"/>
        <v>1728832456660385.3</v>
      </c>
      <c r="M5456" s="471">
        <f t="shared" si="191"/>
        <v>0.05</v>
      </c>
      <c r="N5456" s="475">
        <f t="shared" si="192"/>
        <v>217108</v>
      </c>
    </row>
    <row r="5457" spans="7:14" ht="11.25" customHeight="1" x14ac:dyDescent="0.3">
      <c r="G5457" s="470"/>
      <c r="H5457" s="470">
        <v>5450</v>
      </c>
      <c r="I5457" s="455">
        <f t="shared" ca="1" si="190"/>
        <v>1728832456660385.3</v>
      </c>
      <c r="J5457" s="455">
        <f t="array" ref="J5457">IFERROR(INDEX('Retirement Calculator'!K:K,MATCH('Lorri 401b'!N5457,'Retirement Calculator'!A:A,0),0),0)</f>
        <v>0</v>
      </c>
      <c r="K5457" s="455">
        <f t="shared" ca="1" si="188"/>
        <v>7203468569418.2715</v>
      </c>
      <c r="L5457" s="455">
        <f t="shared" ca="1" si="189"/>
        <v>1736035925229803.5</v>
      </c>
      <c r="M5457" s="471">
        <f t="shared" si="191"/>
        <v>0.05</v>
      </c>
      <c r="N5457" s="475">
        <f t="shared" si="192"/>
        <v>217138</v>
      </c>
    </row>
    <row r="5458" spans="7:14" ht="11.25" customHeight="1" x14ac:dyDescent="0.3">
      <c r="G5458" s="470"/>
      <c r="H5458" s="470">
        <v>5451</v>
      </c>
      <c r="I5458" s="455">
        <f t="shared" ca="1" si="190"/>
        <v>1736035925229803.5</v>
      </c>
      <c r="J5458" s="455">
        <f t="array" ref="J5458">IFERROR(INDEX('Retirement Calculator'!K:K,MATCH('Lorri 401b'!N5458,'Retirement Calculator'!A:A,0),0),0)</f>
        <v>0</v>
      </c>
      <c r="K5458" s="455">
        <f t="shared" ca="1" si="188"/>
        <v>7233483021790.8477</v>
      </c>
      <c r="L5458" s="455">
        <f t="shared" ca="1" si="189"/>
        <v>1743269408251594.3</v>
      </c>
      <c r="M5458" s="471">
        <f t="shared" si="191"/>
        <v>0.05</v>
      </c>
      <c r="N5458" s="475">
        <f t="shared" si="192"/>
        <v>217169</v>
      </c>
    </row>
    <row r="5459" spans="7:14" ht="11.25" customHeight="1" x14ac:dyDescent="0.3">
      <c r="G5459" s="470"/>
      <c r="H5459" s="470">
        <v>5452</v>
      </c>
      <c r="I5459" s="455">
        <f t="shared" ca="1" si="190"/>
        <v>1743269408251594.3</v>
      </c>
      <c r="J5459" s="455">
        <f t="array" ref="J5459">IFERROR(INDEX('Retirement Calculator'!K:K,MATCH('Lorri 401b'!N5459,'Retirement Calculator'!A:A,0),0),0)</f>
        <v>0</v>
      </c>
      <c r="K5459" s="455">
        <f t="shared" ca="1" si="188"/>
        <v>7263622534381.6426</v>
      </c>
      <c r="L5459" s="455">
        <f t="shared" ca="1" si="189"/>
        <v>1750533030785976</v>
      </c>
      <c r="M5459" s="471">
        <f t="shared" si="191"/>
        <v>0.05</v>
      </c>
      <c r="N5459" s="475">
        <f t="shared" si="192"/>
        <v>217200</v>
      </c>
    </row>
    <row r="5460" spans="7:14" ht="11.25" customHeight="1" x14ac:dyDescent="0.3">
      <c r="G5460" s="470"/>
      <c r="H5460" s="470">
        <v>5453</v>
      </c>
      <c r="I5460" s="455">
        <f t="shared" ca="1" si="190"/>
        <v>1750533030785976</v>
      </c>
      <c r="J5460" s="455">
        <f t="array" ref="J5460">IFERROR(INDEX('Retirement Calculator'!K:K,MATCH('Lorri 401b'!N5460,'Retirement Calculator'!A:A,0),0),0)</f>
        <v>0</v>
      </c>
      <c r="K5460" s="455">
        <f t="shared" ca="1" si="188"/>
        <v>7293887628274.8994</v>
      </c>
      <c r="L5460" s="455">
        <f t="shared" ca="1" si="189"/>
        <v>1757826918414251</v>
      </c>
      <c r="M5460" s="471">
        <f t="shared" si="191"/>
        <v>0.05</v>
      </c>
      <c r="N5460" s="475">
        <f t="shared" si="192"/>
        <v>217230</v>
      </c>
    </row>
    <row r="5461" spans="7:14" ht="11.25" customHeight="1" x14ac:dyDescent="0.3">
      <c r="G5461" s="470"/>
      <c r="H5461" s="470">
        <v>5454</v>
      </c>
      <c r="I5461" s="455">
        <f t="shared" ca="1" si="190"/>
        <v>1757826918414251</v>
      </c>
      <c r="J5461" s="455">
        <f t="array" ref="J5461">IFERROR(INDEX('Retirement Calculator'!K:K,MATCH('Lorri 401b'!N5461,'Retirement Calculator'!A:A,0),0),0)</f>
        <v>0</v>
      </c>
      <c r="K5461" s="455">
        <f t="shared" ca="1" si="188"/>
        <v>7324278826726.0469</v>
      </c>
      <c r="L5461" s="455">
        <f t="shared" ca="1" si="189"/>
        <v>1765151197240977</v>
      </c>
      <c r="M5461" s="471">
        <f t="shared" si="191"/>
        <v>0.05</v>
      </c>
      <c r="N5461" s="475">
        <f t="shared" si="192"/>
        <v>217261</v>
      </c>
    </row>
    <row r="5462" spans="7:14" ht="11.25" customHeight="1" x14ac:dyDescent="0.3">
      <c r="G5462" s="470"/>
      <c r="H5462" s="470">
        <v>5455</v>
      </c>
      <c r="I5462" s="455">
        <f t="shared" ca="1" si="190"/>
        <v>1765151197240977</v>
      </c>
      <c r="J5462" s="455">
        <f t="array" ref="J5462">IFERROR(INDEX('Retirement Calculator'!K:K,MATCH('Lorri 401b'!N5462,'Retirement Calculator'!A:A,0),0),0)</f>
        <v>0</v>
      </c>
      <c r="K5462" s="455">
        <f t="shared" ca="1" si="188"/>
        <v>7354796655170.7383</v>
      </c>
      <c r="L5462" s="455">
        <f t="shared" ca="1" si="189"/>
        <v>1772505993896147.8</v>
      </c>
      <c r="M5462" s="471">
        <f t="shared" si="191"/>
        <v>0.05</v>
      </c>
      <c r="N5462" s="475">
        <f t="shared" si="192"/>
        <v>217291</v>
      </c>
    </row>
    <row r="5463" spans="7:14" ht="11.25" customHeight="1" x14ac:dyDescent="0.3">
      <c r="G5463" s="470"/>
      <c r="H5463" s="470">
        <v>5456</v>
      </c>
      <c r="I5463" s="455">
        <f t="shared" ca="1" si="190"/>
        <v>1772505993896147.8</v>
      </c>
      <c r="J5463" s="455">
        <f t="array" ref="J5463">IFERROR(INDEX('Retirement Calculator'!K:K,MATCH('Lorri 401b'!N5463,'Retirement Calculator'!A:A,0),0),0)</f>
        <v>0</v>
      </c>
      <c r="K5463" s="455">
        <f t="shared" ca="1" si="188"/>
        <v>7385441641233.9492</v>
      </c>
      <c r="L5463" s="455">
        <f t="shared" ca="1" si="189"/>
        <v>1779891435537381.8</v>
      </c>
      <c r="M5463" s="471">
        <f t="shared" si="191"/>
        <v>0.05</v>
      </c>
      <c r="N5463" s="475">
        <f t="shared" si="192"/>
        <v>217322</v>
      </c>
    </row>
    <row r="5464" spans="7:14" ht="11.25" customHeight="1" x14ac:dyDescent="0.3">
      <c r="G5464" s="470"/>
      <c r="H5464" s="470">
        <v>5457</v>
      </c>
      <c r="I5464" s="455">
        <f t="shared" ca="1" si="190"/>
        <v>1779891435537381.8</v>
      </c>
      <c r="J5464" s="455">
        <f t="array" ref="J5464">IFERROR(INDEX('Retirement Calculator'!K:K,MATCH('Lorri 401b'!N5464,'Retirement Calculator'!A:A,0),0),0)</f>
        <v>0</v>
      </c>
      <c r="K5464" s="455">
        <f t="shared" ca="1" si="188"/>
        <v>7416214314739.0908</v>
      </c>
      <c r="L5464" s="455">
        <f t="shared" ca="1" si="189"/>
        <v>1787307649852120.8</v>
      </c>
      <c r="M5464" s="471">
        <f t="shared" si="191"/>
        <v>0.05</v>
      </c>
      <c r="N5464" s="475">
        <f t="shared" si="192"/>
        <v>217353</v>
      </c>
    </row>
    <row r="5465" spans="7:14" ht="11.25" customHeight="1" x14ac:dyDescent="0.3">
      <c r="G5465" s="470"/>
      <c r="H5465" s="470">
        <v>5458</v>
      </c>
      <c r="I5465" s="455">
        <f t="shared" ca="1" si="190"/>
        <v>1787307649852120.8</v>
      </c>
      <c r="J5465" s="455">
        <f t="array" ref="J5465">IFERROR(INDEX('Retirement Calculator'!K:K,MATCH('Lorri 401b'!N5465,'Retirement Calculator'!A:A,0),0),0)</f>
        <v>0</v>
      </c>
      <c r="K5465" s="455">
        <f t="shared" ca="1" si="188"/>
        <v>7447115207717.1689</v>
      </c>
      <c r="L5465" s="455">
        <f t="shared" ca="1" si="189"/>
        <v>1794754765059838</v>
      </c>
      <c r="M5465" s="471">
        <f t="shared" si="191"/>
        <v>0.05</v>
      </c>
      <c r="N5465" s="475">
        <f t="shared" si="192"/>
        <v>217381</v>
      </c>
    </row>
    <row r="5466" spans="7:14" ht="11.25" customHeight="1" x14ac:dyDescent="0.3">
      <c r="G5466" s="470"/>
      <c r="H5466" s="470">
        <v>5459</v>
      </c>
      <c r="I5466" s="455">
        <f t="shared" ca="1" si="190"/>
        <v>1794754765059838</v>
      </c>
      <c r="J5466" s="455">
        <f t="array" ref="J5466">IFERROR(INDEX('Retirement Calculator'!K:K,MATCH('Lorri 401b'!N5466,'Retirement Calculator'!A:A,0),0),0)</f>
        <v>0</v>
      </c>
      <c r="K5466" s="455">
        <f t="shared" ca="1" si="188"/>
        <v>7478144854415.9902</v>
      </c>
      <c r="L5466" s="455">
        <f t="shared" ca="1" si="189"/>
        <v>1802232909914254</v>
      </c>
      <c r="M5466" s="471">
        <f t="shared" si="191"/>
        <v>0.05</v>
      </c>
      <c r="N5466" s="475">
        <f t="shared" si="192"/>
        <v>217412</v>
      </c>
    </row>
    <row r="5467" spans="7:14" ht="11.25" customHeight="1" x14ac:dyDescent="0.3">
      <c r="G5467" s="470"/>
      <c r="H5467" s="470">
        <v>5460</v>
      </c>
      <c r="I5467" s="455">
        <f t="shared" ca="1" si="190"/>
        <v>1802232909914254</v>
      </c>
      <c r="J5467" s="455">
        <f t="array" ref="J5467">IFERROR(INDEX('Retirement Calculator'!K:K,MATCH('Lorri 401b'!N5467,'Retirement Calculator'!A:A,0),0),0)</f>
        <v>0</v>
      </c>
      <c r="K5467" s="455">
        <f t="shared" ca="1" si="188"/>
        <v>7509303791309.3926</v>
      </c>
      <c r="L5467" s="455">
        <f t="shared" ca="1" si="189"/>
        <v>1809742213705563.5</v>
      </c>
      <c r="M5467" s="471">
        <f t="shared" si="191"/>
        <v>0.05</v>
      </c>
      <c r="N5467" s="475">
        <f t="shared" si="192"/>
        <v>217442</v>
      </c>
    </row>
    <row r="5468" spans="7:14" ht="11.25" customHeight="1" x14ac:dyDescent="0.3">
      <c r="G5468" s="470"/>
      <c r="H5468" s="470">
        <v>5461</v>
      </c>
      <c r="I5468" s="455">
        <f t="shared" ca="1" si="190"/>
        <v>1809742213705563.5</v>
      </c>
      <c r="J5468" s="455">
        <f t="array" ref="J5468">IFERROR(INDEX('Retirement Calculator'!K:K,MATCH('Lorri 401b'!N5468,'Retirement Calculator'!A:A,0),0),0)</f>
        <v>0</v>
      </c>
      <c r="K5468" s="455">
        <f t="shared" ca="1" si="188"/>
        <v>7540592557106.5137</v>
      </c>
      <c r="L5468" s="455">
        <f t="shared" ca="1" si="189"/>
        <v>1817282806262670</v>
      </c>
      <c r="M5468" s="471">
        <f t="shared" si="191"/>
        <v>0.05</v>
      </c>
      <c r="N5468" s="475">
        <f t="shared" si="192"/>
        <v>217473</v>
      </c>
    </row>
    <row r="5469" spans="7:14" ht="11.25" customHeight="1" x14ac:dyDescent="0.3">
      <c r="G5469" s="470"/>
      <c r="H5469" s="470">
        <v>5462</v>
      </c>
      <c r="I5469" s="455">
        <f t="shared" ca="1" si="190"/>
        <v>1817282806262670</v>
      </c>
      <c r="J5469" s="455">
        <f t="array" ref="J5469">IFERROR(INDEX('Retirement Calculator'!K:K,MATCH('Lorri 401b'!N5469,'Retirement Calculator'!A:A,0),0),0)</f>
        <v>0</v>
      </c>
      <c r="K5469" s="455">
        <f t="shared" ca="1" si="188"/>
        <v>7572011692761.125</v>
      </c>
      <c r="L5469" s="455">
        <f t="shared" ca="1" si="189"/>
        <v>1824854817955431</v>
      </c>
      <c r="M5469" s="471">
        <f t="shared" si="191"/>
        <v>0.05</v>
      </c>
      <c r="N5469" s="475">
        <f t="shared" si="192"/>
        <v>217503</v>
      </c>
    </row>
    <row r="5470" spans="7:14" ht="11.25" customHeight="1" x14ac:dyDescent="0.3">
      <c r="G5470" s="470"/>
      <c r="H5470" s="470">
        <v>5463</v>
      </c>
      <c r="I5470" s="455">
        <f t="shared" ca="1" si="190"/>
        <v>1824854817955431</v>
      </c>
      <c r="J5470" s="455">
        <f t="array" ref="J5470">IFERROR(INDEX('Retirement Calculator'!K:K,MATCH('Lorri 401b'!N5470,'Retirement Calculator'!A:A,0),0),0)</f>
        <v>0</v>
      </c>
      <c r="K5470" s="455">
        <f t="shared" ca="1" si="188"/>
        <v>7603561741480.9619</v>
      </c>
      <c r="L5470" s="455">
        <f t="shared" ca="1" si="189"/>
        <v>1832458379696912</v>
      </c>
      <c r="M5470" s="471">
        <f t="shared" si="191"/>
        <v>0.05</v>
      </c>
      <c r="N5470" s="475">
        <f t="shared" si="192"/>
        <v>217534</v>
      </c>
    </row>
    <row r="5471" spans="7:14" ht="11.25" customHeight="1" x14ac:dyDescent="0.3">
      <c r="G5471" s="470"/>
      <c r="H5471" s="470">
        <v>5464</v>
      </c>
      <c r="I5471" s="455">
        <f t="shared" ca="1" si="190"/>
        <v>1832458379696912</v>
      </c>
      <c r="J5471" s="455">
        <f t="array" ref="J5471">IFERROR(INDEX('Retirement Calculator'!K:K,MATCH('Lorri 401b'!N5471,'Retirement Calculator'!A:A,0),0),0)</f>
        <v>0</v>
      </c>
      <c r="K5471" s="455">
        <f t="shared" ca="1" si="188"/>
        <v>7635243248737.1318</v>
      </c>
      <c r="L5471" s="455">
        <f t="shared" ca="1" si="189"/>
        <v>1840093622945649.3</v>
      </c>
      <c r="M5471" s="471">
        <f t="shared" si="191"/>
        <v>0.05</v>
      </c>
      <c r="N5471" s="475">
        <f t="shared" si="192"/>
        <v>217565</v>
      </c>
    </row>
    <row r="5472" spans="7:14" ht="11.25" customHeight="1" x14ac:dyDescent="0.3">
      <c r="G5472" s="470"/>
      <c r="H5472" s="470">
        <v>5465</v>
      </c>
      <c r="I5472" s="455">
        <f t="shared" ca="1" si="190"/>
        <v>1840093622945649.3</v>
      </c>
      <c r="J5472" s="455">
        <f t="array" ref="J5472">IFERROR(INDEX('Retirement Calculator'!K:K,MATCH('Lorri 401b'!N5472,'Retirement Calculator'!A:A,0),0),0)</f>
        <v>0</v>
      </c>
      <c r="K5472" s="455">
        <f t="shared" ca="1" si="188"/>
        <v>7667056762273.5381</v>
      </c>
      <c r="L5472" s="455">
        <f t="shared" ca="1" si="189"/>
        <v>1847760679707922.8</v>
      </c>
      <c r="M5472" s="471">
        <f t="shared" si="191"/>
        <v>0.05</v>
      </c>
      <c r="N5472" s="475">
        <f t="shared" si="192"/>
        <v>217595</v>
      </c>
    </row>
    <row r="5473" spans="7:14" ht="11.25" customHeight="1" x14ac:dyDescent="0.3">
      <c r="G5473" s="470"/>
      <c r="H5473" s="470">
        <v>5466</v>
      </c>
      <c r="I5473" s="455">
        <f t="shared" ca="1" si="190"/>
        <v>1847760679707922.8</v>
      </c>
      <c r="J5473" s="455">
        <f t="array" ref="J5473">IFERROR(INDEX('Retirement Calculator'!K:K,MATCH('Lorri 401b'!N5473,'Retirement Calculator'!A:A,0),0),0)</f>
        <v>0</v>
      </c>
      <c r="K5473" s="455">
        <f t="shared" ca="1" si="188"/>
        <v>7699002832116.3447</v>
      </c>
      <c r="L5473" s="455">
        <f t="shared" ca="1" si="189"/>
        <v>1855459682540039</v>
      </c>
      <c r="M5473" s="471">
        <f t="shared" si="191"/>
        <v>0.05</v>
      </c>
      <c r="N5473" s="475">
        <f t="shared" si="192"/>
        <v>217626</v>
      </c>
    </row>
    <row r="5474" spans="7:14" ht="11.25" customHeight="1" x14ac:dyDescent="0.3">
      <c r="G5474" s="470"/>
      <c r="H5474" s="470">
        <v>5467</v>
      </c>
      <c r="I5474" s="455">
        <f t="shared" ca="1" si="190"/>
        <v>1855459682540039</v>
      </c>
      <c r="J5474" s="455">
        <f t="array" ref="J5474">IFERROR(INDEX('Retirement Calculator'!K:K,MATCH('Lorri 401b'!N5474,'Retirement Calculator'!A:A,0),0),0)</f>
        <v>0</v>
      </c>
      <c r="K5474" s="455">
        <f t="shared" ca="1" si="188"/>
        <v>7731082010583.4961</v>
      </c>
      <c r="L5474" s="455">
        <f t="shared" ca="1" si="189"/>
        <v>1863190764550622.5</v>
      </c>
      <c r="M5474" s="471">
        <f t="shared" si="191"/>
        <v>0.05</v>
      </c>
      <c r="N5474" s="475">
        <f t="shared" si="192"/>
        <v>217656</v>
      </c>
    </row>
    <row r="5475" spans="7:14" ht="11.25" customHeight="1" x14ac:dyDescent="0.3">
      <c r="G5475" s="470"/>
      <c r="H5475" s="470">
        <v>5468</v>
      </c>
      <c r="I5475" s="455">
        <f t="shared" ca="1" si="190"/>
        <v>1863190764550622.5</v>
      </c>
      <c r="J5475" s="455">
        <f t="array" ref="J5475">IFERROR(INDEX('Retirement Calculator'!K:K,MATCH('Lorri 401b'!N5475,'Retirement Calculator'!A:A,0),0),0)</f>
        <v>0</v>
      </c>
      <c r="K5475" s="455">
        <f t="shared" ca="1" si="188"/>
        <v>7763294852294.2607</v>
      </c>
      <c r="L5475" s="455">
        <f t="shared" ca="1" si="189"/>
        <v>1870954059402916.8</v>
      </c>
      <c r="M5475" s="471">
        <f t="shared" si="191"/>
        <v>0.05</v>
      </c>
      <c r="N5475" s="475">
        <f t="shared" si="192"/>
        <v>217687</v>
      </c>
    </row>
    <row r="5476" spans="7:14" ht="11.25" customHeight="1" x14ac:dyDescent="0.3">
      <c r="G5476" s="470"/>
      <c r="H5476" s="470">
        <v>5469</v>
      </c>
      <c r="I5476" s="455">
        <f t="shared" ca="1" si="190"/>
        <v>1870954059402916.8</v>
      </c>
      <c r="J5476" s="455">
        <f t="array" ref="J5476">IFERROR(INDEX('Retirement Calculator'!K:K,MATCH('Lorri 401b'!N5476,'Retirement Calculator'!A:A,0),0),0)</f>
        <v>0</v>
      </c>
      <c r="K5476" s="455">
        <f t="shared" ca="1" si="188"/>
        <v>7795641914178.8193</v>
      </c>
      <c r="L5476" s="455">
        <f t="shared" ca="1" si="189"/>
        <v>1878749701317095.5</v>
      </c>
      <c r="M5476" s="471">
        <f t="shared" si="191"/>
        <v>0.05</v>
      </c>
      <c r="N5476" s="475">
        <f t="shared" si="192"/>
        <v>217718</v>
      </c>
    </row>
    <row r="5477" spans="7:14" ht="11.25" customHeight="1" x14ac:dyDescent="0.3">
      <c r="G5477" s="470"/>
      <c r="H5477" s="470">
        <v>5470</v>
      </c>
      <c r="I5477" s="455">
        <f t="shared" ca="1" si="190"/>
        <v>1878749701317095.5</v>
      </c>
      <c r="J5477" s="455">
        <f t="array" ref="J5477">IFERROR(INDEX('Retirement Calculator'!K:K,MATCH('Lorri 401b'!N5477,'Retirement Calculator'!A:A,0),0),0)</f>
        <v>0</v>
      </c>
      <c r="K5477" s="455">
        <f t="shared" ca="1" si="188"/>
        <v>7828123755487.8965</v>
      </c>
      <c r="L5477" s="455">
        <f t="shared" ca="1" si="189"/>
        <v>1886577825072583.5</v>
      </c>
      <c r="M5477" s="471">
        <f t="shared" si="191"/>
        <v>0.05</v>
      </c>
      <c r="N5477" s="475">
        <f t="shared" si="192"/>
        <v>217747</v>
      </c>
    </row>
    <row r="5478" spans="7:14" ht="11.25" customHeight="1" x14ac:dyDescent="0.3">
      <c r="G5478" s="470"/>
      <c r="H5478" s="470">
        <v>5471</v>
      </c>
      <c r="I5478" s="455">
        <f t="shared" ca="1" si="190"/>
        <v>1886577825072583.5</v>
      </c>
      <c r="J5478" s="455">
        <f t="array" ref="J5478">IFERROR(INDEX('Retirement Calculator'!K:K,MATCH('Lorri 401b'!N5478,'Retirement Calculator'!A:A,0),0),0)</f>
        <v>0</v>
      </c>
      <c r="K5478" s="455">
        <f t="shared" ca="1" si="188"/>
        <v>7860740937802.4326</v>
      </c>
      <c r="L5478" s="455">
        <f t="shared" ca="1" si="189"/>
        <v>1894438566010386</v>
      </c>
      <c r="M5478" s="471">
        <f t="shared" si="191"/>
        <v>0.05</v>
      </c>
      <c r="N5478" s="475">
        <f t="shared" si="192"/>
        <v>217778</v>
      </c>
    </row>
    <row r="5479" spans="7:14" ht="11.25" customHeight="1" x14ac:dyDescent="0.3">
      <c r="G5479" s="470"/>
      <c r="H5479" s="470">
        <v>5472</v>
      </c>
      <c r="I5479" s="455">
        <f t="shared" ca="1" si="190"/>
        <v>1894438566010386</v>
      </c>
      <c r="J5479" s="455">
        <f t="array" ref="J5479">IFERROR(INDEX('Retirement Calculator'!K:K,MATCH('Lorri 401b'!N5479,'Retirement Calculator'!A:A,0),0),0)</f>
        <v>0</v>
      </c>
      <c r="K5479" s="455">
        <f t="shared" ca="1" si="188"/>
        <v>7893494025043.2744</v>
      </c>
      <c r="L5479" s="455">
        <f t="shared" ca="1" si="189"/>
        <v>1902332060035429.3</v>
      </c>
      <c r="M5479" s="471">
        <f t="shared" si="191"/>
        <v>0.05</v>
      </c>
      <c r="N5479" s="475">
        <f t="shared" si="192"/>
        <v>217808</v>
      </c>
    </row>
    <row r="5480" spans="7:14" ht="11.25" customHeight="1" x14ac:dyDescent="0.3">
      <c r="G5480" s="470"/>
      <c r="H5480" s="470">
        <v>5473</v>
      </c>
      <c r="I5480" s="455">
        <f t="shared" ca="1" si="190"/>
        <v>1902332060035429.3</v>
      </c>
      <c r="J5480" s="455">
        <f t="array" ref="J5480">IFERROR(INDEX('Retirement Calculator'!K:K,MATCH('Lorri 401b'!N5480,'Retirement Calculator'!A:A,0),0),0)</f>
        <v>0</v>
      </c>
      <c r="K5480" s="455">
        <f t="shared" ca="1" si="188"/>
        <v>7926383583480.9551</v>
      </c>
      <c r="L5480" s="455">
        <f t="shared" ca="1" si="189"/>
        <v>1910258443618910.3</v>
      </c>
      <c r="M5480" s="471">
        <f t="shared" si="191"/>
        <v>0.05</v>
      </c>
      <c r="N5480" s="475">
        <f t="shared" si="192"/>
        <v>217839</v>
      </c>
    </row>
    <row r="5481" spans="7:14" ht="11.25" customHeight="1" x14ac:dyDescent="0.3">
      <c r="G5481" s="470"/>
      <c r="H5481" s="470">
        <v>5474</v>
      </c>
      <c r="I5481" s="455">
        <f t="shared" ca="1" si="190"/>
        <v>1910258443618910.3</v>
      </c>
      <c r="J5481" s="455">
        <f t="array" ref="J5481">IFERROR(INDEX('Retirement Calculator'!K:K,MATCH('Lorri 401b'!N5481,'Retirement Calculator'!A:A,0),0),0)</f>
        <v>0</v>
      </c>
      <c r="K5481" s="455">
        <f t="shared" ca="1" si="188"/>
        <v>7959410181745.46</v>
      </c>
      <c r="L5481" s="455">
        <f t="shared" ca="1" si="189"/>
        <v>1918217853800655.8</v>
      </c>
      <c r="M5481" s="471">
        <f t="shared" si="191"/>
        <v>0.05</v>
      </c>
      <c r="N5481" s="475">
        <f t="shared" si="192"/>
        <v>217869</v>
      </c>
    </row>
    <row r="5482" spans="7:14" ht="11.25" customHeight="1" x14ac:dyDescent="0.3">
      <c r="G5482" s="470"/>
      <c r="H5482" s="470">
        <v>5475</v>
      </c>
      <c r="I5482" s="455">
        <f t="shared" ca="1" si="190"/>
        <v>1918217853800655.8</v>
      </c>
      <c r="J5482" s="455">
        <f t="array" ref="J5482">IFERROR(INDEX('Retirement Calculator'!K:K,MATCH('Lorri 401b'!N5482,'Retirement Calculator'!A:A,0),0),0)</f>
        <v>0</v>
      </c>
      <c r="K5482" s="455">
        <f t="shared" ca="1" si="188"/>
        <v>7992574390836.0654</v>
      </c>
      <c r="L5482" s="455">
        <f t="shared" ca="1" si="189"/>
        <v>1926210428191491.8</v>
      </c>
      <c r="M5482" s="471">
        <f t="shared" si="191"/>
        <v>0.05</v>
      </c>
      <c r="N5482" s="475">
        <f t="shared" si="192"/>
        <v>217900</v>
      </c>
    </row>
    <row r="5483" spans="7:14" ht="11.25" customHeight="1" x14ac:dyDescent="0.3">
      <c r="G5483" s="470"/>
      <c r="H5483" s="470">
        <v>5476</v>
      </c>
      <c r="I5483" s="455">
        <f t="shared" ca="1" si="190"/>
        <v>1926210428191491.8</v>
      </c>
      <c r="J5483" s="455">
        <f t="array" ref="J5483">IFERROR(INDEX('Retirement Calculator'!K:K,MATCH('Lorri 401b'!N5483,'Retirement Calculator'!A:A,0),0),0)</f>
        <v>0</v>
      </c>
      <c r="K5483" s="455">
        <f t="shared" ca="1" si="188"/>
        <v>8025876784131.2158</v>
      </c>
      <c r="L5483" s="455">
        <f t="shared" ca="1" si="189"/>
        <v>1934236304975623</v>
      </c>
      <c r="M5483" s="471">
        <f t="shared" si="191"/>
        <v>0.05</v>
      </c>
      <c r="N5483" s="475">
        <f t="shared" si="192"/>
        <v>217931</v>
      </c>
    </row>
    <row r="5484" spans="7:14" ht="11.25" customHeight="1" x14ac:dyDescent="0.3">
      <c r="G5484" s="470"/>
      <c r="H5484" s="470">
        <v>5477</v>
      </c>
      <c r="I5484" s="455">
        <f t="shared" ca="1" si="190"/>
        <v>1934236304975623</v>
      </c>
      <c r="J5484" s="455">
        <f t="array" ref="J5484">IFERROR(INDEX('Retirement Calculator'!K:K,MATCH('Lorri 401b'!N5484,'Retirement Calculator'!A:A,0),0),0)</f>
        <v>0</v>
      </c>
      <c r="K5484" s="455">
        <f t="shared" ca="1" si="188"/>
        <v>8059317937398.4287</v>
      </c>
      <c r="L5484" s="455">
        <f t="shared" ca="1" si="189"/>
        <v>1942295622913021.5</v>
      </c>
      <c r="M5484" s="471">
        <f t="shared" si="191"/>
        <v>0.05</v>
      </c>
      <c r="N5484" s="475">
        <f t="shared" si="192"/>
        <v>217961</v>
      </c>
    </row>
    <row r="5485" spans="7:14" ht="11.25" customHeight="1" x14ac:dyDescent="0.3">
      <c r="G5485" s="470"/>
      <c r="H5485" s="470">
        <v>5478</v>
      </c>
      <c r="I5485" s="455">
        <f t="shared" ca="1" si="190"/>
        <v>1942295622913021.5</v>
      </c>
      <c r="J5485" s="455">
        <f t="array" ref="J5485">IFERROR(INDEX('Retirement Calculator'!K:K,MATCH('Lorri 401b'!N5485,'Retirement Calculator'!A:A,0),0),0)</f>
        <v>0</v>
      </c>
      <c r="K5485" s="455">
        <f t="shared" ca="1" si="188"/>
        <v>8092898428804.2559</v>
      </c>
      <c r="L5485" s="455">
        <f t="shared" ca="1" si="189"/>
        <v>1950388521341825.8</v>
      </c>
      <c r="M5485" s="471">
        <f t="shared" si="191"/>
        <v>0.05</v>
      </c>
      <c r="N5485" s="475">
        <f t="shared" si="192"/>
        <v>217992</v>
      </c>
    </row>
    <row r="5486" spans="7:14" ht="11.25" customHeight="1" x14ac:dyDescent="0.3">
      <c r="G5486" s="470"/>
      <c r="H5486" s="470">
        <v>5479</v>
      </c>
      <c r="I5486" s="455">
        <f t="shared" ca="1" si="190"/>
        <v>1950388521341825.8</v>
      </c>
      <c r="J5486" s="455">
        <f t="array" ref="J5486">IFERROR(INDEX('Retirement Calculator'!K:K,MATCH('Lorri 401b'!N5486,'Retirement Calculator'!A:A,0),0),0)</f>
        <v>0</v>
      </c>
      <c r="K5486" s="455">
        <f t="shared" ca="1" si="188"/>
        <v>8126618838924.2725</v>
      </c>
      <c r="L5486" s="455">
        <f t="shared" ca="1" si="189"/>
        <v>1958515140180750</v>
      </c>
      <c r="M5486" s="471">
        <f t="shared" si="191"/>
        <v>0.05</v>
      </c>
      <c r="N5486" s="475">
        <f t="shared" si="192"/>
        <v>218022</v>
      </c>
    </row>
    <row r="5487" spans="7:14" ht="11.25" customHeight="1" x14ac:dyDescent="0.3">
      <c r="G5487" s="470"/>
      <c r="H5487" s="470">
        <v>5480</v>
      </c>
      <c r="I5487" s="455">
        <f t="shared" ca="1" si="190"/>
        <v>1958515140180750</v>
      </c>
      <c r="J5487" s="455">
        <f t="array" ref="J5487">IFERROR(INDEX('Retirement Calculator'!K:K,MATCH('Lorri 401b'!N5487,'Retirement Calculator'!A:A,0),0),0)</f>
        <v>0</v>
      </c>
      <c r="K5487" s="455">
        <f t="shared" ca="1" si="188"/>
        <v>8160479750753.125</v>
      </c>
      <c r="L5487" s="455">
        <f t="shared" ca="1" si="189"/>
        <v>1966675619931503</v>
      </c>
      <c r="M5487" s="471">
        <f t="shared" si="191"/>
        <v>0.05</v>
      </c>
      <c r="N5487" s="475">
        <f t="shared" si="192"/>
        <v>218053</v>
      </c>
    </row>
    <row r="5488" spans="7:14" ht="11.25" customHeight="1" x14ac:dyDescent="0.3">
      <c r="G5488" s="470"/>
      <c r="H5488" s="470">
        <v>5481</v>
      </c>
      <c r="I5488" s="455">
        <f t="shared" ca="1" si="190"/>
        <v>1966675619931503</v>
      </c>
      <c r="J5488" s="455">
        <f t="array" ref="J5488">IFERROR(INDEX('Retirement Calculator'!K:K,MATCH('Lorri 401b'!N5488,'Retirement Calculator'!A:A,0),0),0)</f>
        <v>0</v>
      </c>
      <c r="K5488" s="455">
        <f t="shared" ca="1" si="188"/>
        <v>8194481749714.5947</v>
      </c>
      <c r="L5488" s="455">
        <f t="shared" ca="1" si="189"/>
        <v>1974870101681217.5</v>
      </c>
      <c r="M5488" s="471">
        <f t="shared" si="191"/>
        <v>0.05</v>
      </c>
      <c r="N5488" s="475">
        <f t="shared" si="192"/>
        <v>218084</v>
      </c>
    </row>
    <row r="5489" spans="7:14" ht="11.25" customHeight="1" x14ac:dyDescent="0.3">
      <c r="G5489" s="470"/>
      <c r="H5489" s="470">
        <v>5482</v>
      </c>
      <c r="I5489" s="455">
        <f t="shared" ca="1" si="190"/>
        <v>1974870101681217.5</v>
      </c>
      <c r="J5489" s="455">
        <f t="array" ref="J5489">IFERROR(INDEX('Retirement Calculator'!K:K,MATCH('Lorri 401b'!N5489,'Retirement Calculator'!A:A,0),0),0)</f>
        <v>0</v>
      </c>
      <c r="K5489" s="455">
        <f t="shared" ca="1" si="188"/>
        <v>8228625423671.7402</v>
      </c>
      <c r="L5489" s="455">
        <f t="shared" ca="1" si="189"/>
        <v>1983098727104889.3</v>
      </c>
      <c r="M5489" s="471">
        <f t="shared" si="191"/>
        <v>0.05</v>
      </c>
      <c r="N5489" s="475">
        <f t="shared" si="192"/>
        <v>218112</v>
      </c>
    </row>
    <row r="5490" spans="7:14" ht="11.25" customHeight="1" x14ac:dyDescent="0.3">
      <c r="G5490" s="470"/>
      <c r="H5490" s="470">
        <v>5483</v>
      </c>
      <c r="I5490" s="455">
        <f t="shared" ca="1" si="190"/>
        <v>1983098727104889.3</v>
      </c>
      <c r="J5490" s="455">
        <f t="array" ref="J5490">IFERROR(INDEX('Retirement Calculator'!K:K,MATCH('Lorri 401b'!N5490,'Retirement Calculator'!A:A,0),0),0)</f>
        <v>0</v>
      </c>
      <c r="K5490" s="455">
        <f t="shared" ca="1" si="188"/>
        <v>8262911362937.0391</v>
      </c>
      <c r="L5490" s="455">
        <f t="shared" ca="1" si="189"/>
        <v>1991361638467826.3</v>
      </c>
      <c r="M5490" s="471">
        <f t="shared" si="191"/>
        <v>0.05</v>
      </c>
      <c r="N5490" s="475">
        <f t="shared" si="192"/>
        <v>218143</v>
      </c>
    </row>
    <row r="5491" spans="7:14" ht="11.25" customHeight="1" x14ac:dyDescent="0.3">
      <c r="G5491" s="470"/>
      <c r="H5491" s="470">
        <v>5484</v>
      </c>
      <c r="I5491" s="455">
        <f t="shared" ca="1" si="190"/>
        <v>1991361638467826.3</v>
      </c>
      <c r="J5491" s="455">
        <f t="array" ref="J5491">IFERROR(INDEX('Retirement Calculator'!K:K,MATCH('Lorri 401b'!N5491,'Retirement Calculator'!A:A,0),0),0)</f>
        <v>0</v>
      </c>
      <c r="K5491" s="455">
        <f t="shared" ca="1" si="188"/>
        <v>8297340160282.6094</v>
      </c>
      <c r="L5491" s="455">
        <f t="shared" ca="1" si="189"/>
        <v>1999658978628108.8</v>
      </c>
      <c r="M5491" s="471">
        <f t="shared" si="191"/>
        <v>0.05</v>
      </c>
      <c r="N5491" s="475">
        <f t="shared" si="192"/>
        <v>218173</v>
      </c>
    </row>
    <row r="5492" spans="7:14" ht="11.25" customHeight="1" x14ac:dyDescent="0.3">
      <c r="G5492" s="470"/>
      <c r="H5492" s="470">
        <v>5485</v>
      </c>
      <c r="I5492" s="455">
        <f t="shared" ca="1" si="190"/>
        <v>1999658978628108.8</v>
      </c>
      <c r="J5492" s="455">
        <f t="array" ref="J5492">IFERROR(INDEX('Retirement Calculator'!K:K,MATCH('Lorri 401b'!N5492,'Retirement Calculator'!A:A,0),0),0)</f>
        <v>0</v>
      </c>
      <c r="K5492" s="455">
        <f t="shared" ca="1" si="188"/>
        <v>8331912410950.4531</v>
      </c>
      <c r="L5492" s="455">
        <f t="shared" ca="1" si="189"/>
        <v>2007990891039059.3</v>
      </c>
      <c r="M5492" s="471">
        <f t="shared" si="191"/>
        <v>0.05</v>
      </c>
      <c r="N5492" s="475">
        <f t="shared" si="192"/>
        <v>218204</v>
      </c>
    </row>
    <row r="5493" spans="7:14" ht="11.25" customHeight="1" x14ac:dyDescent="0.3">
      <c r="G5493" s="470"/>
      <c r="H5493" s="470">
        <v>5486</v>
      </c>
      <c r="I5493" s="455">
        <f t="shared" ca="1" si="190"/>
        <v>2007990891039059.3</v>
      </c>
      <c r="J5493" s="455">
        <f t="array" ref="J5493">IFERROR(INDEX('Retirement Calculator'!K:K,MATCH('Lorri 401b'!N5493,'Retirement Calculator'!A:A,0),0),0)</f>
        <v>0</v>
      </c>
      <c r="K5493" s="455">
        <f t="shared" ca="1" si="188"/>
        <v>8366628712662.7461</v>
      </c>
      <c r="L5493" s="455">
        <f t="shared" ca="1" si="189"/>
        <v>2016357519751722</v>
      </c>
      <c r="M5493" s="471">
        <f t="shared" si="191"/>
        <v>0.05</v>
      </c>
      <c r="N5493" s="475">
        <f t="shared" si="192"/>
        <v>218234</v>
      </c>
    </row>
    <row r="5494" spans="7:14" ht="11.25" customHeight="1" x14ac:dyDescent="0.3">
      <c r="G5494" s="470"/>
      <c r="H5494" s="470">
        <v>5487</v>
      </c>
      <c r="I5494" s="455">
        <f t="shared" ca="1" si="190"/>
        <v>2016357519751722</v>
      </c>
      <c r="J5494" s="455">
        <f t="array" ref="J5494">IFERROR(INDEX('Retirement Calculator'!K:K,MATCH('Lorri 401b'!N5494,'Retirement Calculator'!A:A,0),0),0)</f>
        <v>0</v>
      </c>
      <c r="K5494" s="455">
        <f t="shared" ca="1" si="188"/>
        <v>8401489665632.1748</v>
      </c>
      <c r="L5494" s="455">
        <f t="shared" ca="1" si="189"/>
        <v>2024759009417354.3</v>
      </c>
      <c r="M5494" s="471">
        <f t="shared" si="191"/>
        <v>0.05</v>
      </c>
      <c r="N5494" s="475">
        <f t="shared" si="192"/>
        <v>218265</v>
      </c>
    </row>
    <row r="5495" spans="7:14" ht="11.25" customHeight="1" x14ac:dyDescent="0.3">
      <c r="G5495" s="470"/>
      <c r="H5495" s="470">
        <v>5488</v>
      </c>
      <c r="I5495" s="455">
        <f t="shared" ca="1" si="190"/>
        <v>2024759009417354.3</v>
      </c>
      <c r="J5495" s="455">
        <f t="array" ref="J5495">IFERROR(INDEX('Retirement Calculator'!K:K,MATCH('Lorri 401b'!N5495,'Retirement Calculator'!A:A,0),0),0)</f>
        <v>0</v>
      </c>
      <c r="K5495" s="455">
        <f t="shared" ca="1" si="188"/>
        <v>8436495872572.3096</v>
      </c>
      <c r="L5495" s="455">
        <f t="shared" ca="1" si="189"/>
        <v>2033195505289926.5</v>
      </c>
      <c r="M5495" s="471">
        <f t="shared" si="191"/>
        <v>0.05</v>
      </c>
      <c r="N5495" s="475">
        <f t="shared" si="192"/>
        <v>218296</v>
      </c>
    </row>
    <row r="5496" spans="7:14" ht="11.25" customHeight="1" x14ac:dyDescent="0.3">
      <c r="G5496" s="470"/>
      <c r="H5496" s="470">
        <v>5489</v>
      </c>
      <c r="I5496" s="455">
        <f t="shared" ca="1" si="190"/>
        <v>2033195505289926.5</v>
      </c>
      <c r="J5496" s="455">
        <f t="array" ref="J5496">IFERROR(INDEX('Retirement Calculator'!K:K,MATCH('Lorri 401b'!N5496,'Retirement Calculator'!A:A,0),0),0)</f>
        <v>0</v>
      </c>
      <c r="K5496" s="455">
        <f t="shared" ca="1" si="188"/>
        <v>8471647938708.0273</v>
      </c>
      <c r="L5496" s="455">
        <f t="shared" ca="1" si="189"/>
        <v>2041667153228634.5</v>
      </c>
      <c r="M5496" s="471">
        <f t="shared" si="191"/>
        <v>0.05</v>
      </c>
      <c r="N5496" s="475">
        <f t="shared" si="192"/>
        <v>218326</v>
      </c>
    </row>
    <row r="5497" spans="7:14" ht="11.25" customHeight="1" x14ac:dyDescent="0.3">
      <c r="G5497" s="470"/>
      <c r="H5497" s="470">
        <v>5490</v>
      </c>
      <c r="I5497" s="455">
        <f t="shared" ca="1" si="190"/>
        <v>2041667153228634.5</v>
      </c>
      <c r="J5497" s="455">
        <f t="array" ref="J5497">IFERROR(INDEX('Retirement Calculator'!K:K,MATCH('Lorri 401b'!N5497,'Retirement Calculator'!A:A,0),0),0)</f>
        <v>0</v>
      </c>
      <c r="K5497" s="455">
        <f t="shared" ca="1" si="188"/>
        <v>8506946471785.9766</v>
      </c>
      <c r="L5497" s="455">
        <f t="shared" ca="1" si="189"/>
        <v>2050174099700420.5</v>
      </c>
      <c r="M5497" s="471">
        <f t="shared" si="191"/>
        <v>0.05</v>
      </c>
      <c r="N5497" s="475">
        <f t="shared" si="192"/>
        <v>218357</v>
      </c>
    </row>
    <row r="5498" spans="7:14" ht="11.25" customHeight="1" x14ac:dyDescent="0.3">
      <c r="G5498" s="470"/>
      <c r="H5498" s="470">
        <v>5491</v>
      </c>
      <c r="I5498" s="455">
        <f t="shared" ca="1" si="190"/>
        <v>2050174099700420.5</v>
      </c>
      <c r="J5498" s="455">
        <f t="array" ref="J5498">IFERROR(INDEX('Retirement Calculator'!K:K,MATCH('Lorri 401b'!N5498,'Retirement Calculator'!A:A,0),0),0)</f>
        <v>0</v>
      </c>
      <c r="K5498" s="455">
        <f t="shared" ca="1" si="188"/>
        <v>8542392082085.085</v>
      </c>
      <c r="L5498" s="455">
        <f t="shared" ca="1" si="189"/>
        <v>2058716491782505.5</v>
      </c>
      <c r="M5498" s="471">
        <f t="shared" si="191"/>
        <v>0.05</v>
      </c>
      <c r="N5498" s="475">
        <f t="shared" si="192"/>
        <v>218387</v>
      </c>
    </row>
    <row r="5499" spans="7:14" ht="11.25" customHeight="1" x14ac:dyDescent="0.3">
      <c r="G5499" s="470"/>
      <c r="H5499" s="470">
        <v>5492</v>
      </c>
      <c r="I5499" s="455">
        <f t="shared" ca="1" si="190"/>
        <v>2058716491782505.5</v>
      </c>
      <c r="J5499" s="455">
        <f t="array" ref="J5499">IFERROR(INDEX('Retirement Calculator'!K:K,MATCH('Lorri 401b'!N5499,'Retirement Calculator'!A:A,0),0),0)</f>
        <v>0</v>
      </c>
      <c r="K5499" s="455">
        <f t="shared" ca="1" si="188"/>
        <v>8577985382427.1055</v>
      </c>
      <c r="L5499" s="455">
        <f t="shared" ca="1" si="189"/>
        <v>2067294477164932.5</v>
      </c>
      <c r="M5499" s="471">
        <f t="shared" si="191"/>
        <v>0.05</v>
      </c>
      <c r="N5499" s="475">
        <f t="shared" si="192"/>
        <v>218418</v>
      </c>
    </row>
    <row r="5500" spans="7:14" ht="11.25" customHeight="1" x14ac:dyDescent="0.3">
      <c r="G5500" s="470"/>
      <c r="H5500" s="470">
        <v>5493</v>
      </c>
      <c r="I5500" s="455">
        <f t="shared" ca="1" si="190"/>
        <v>2067294477164932.5</v>
      </c>
      <c r="J5500" s="455">
        <f t="array" ref="J5500">IFERROR(INDEX('Retirement Calculator'!K:K,MATCH('Lorri 401b'!N5500,'Retirement Calculator'!A:A,0),0),0)</f>
        <v>0</v>
      </c>
      <c r="K5500" s="455">
        <f t="shared" ca="1" si="188"/>
        <v>8613726988187.2188</v>
      </c>
      <c r="L5500" s="455">
        <f t="shared" ca="1" si="189"/>
        <v>2075908204153119.8</v>
      </c>
      <c r="M5500" s="471">
        <f t="shared" si="191"/>
        <v>0.05</v>
      </c>
      <c r="N5500" s="475">
        <f t="shared" si="192"/>
        <v>218449</v>
      </c>
    </row>
    <row r="5501" spans="7:14" ht="11.25" customHeight="1" x14ac:dyDescent="0.3">
      <c r="G5501" s="470"/>
      <c r="H5501" s="470">
        <v>5494</v>
      </c>
      <c r="I5501" s="455">
        <f t="shared" ca="1" si="190"/>
        <v>2075908204153119.8</v>
      </c>
      <c r="J5501" s="455">
        <f t="array" ref="J5501">IFERROR(INDEX('Retirement Calculator'!K:K,MATCH('Lorri 401b'!N5501,'Retirement Calculator'!A:A,0),0),0)</f>
        <v>0</v>
      </c>
      <c r="K5501" s="455">
        <f t="shared" ca="1" si="188"/>
        <v>8649617517304.665</v>
      </c>
      <c r="L5501" s="455">
        <f t="shared" ca="1" si="189"/>
        <v>2084557821670424.5</v>
      </c>
      <c r="M5501" s="471">
        <f t="shared" si="191"/>
        <v>0.05</v>
      </c>
      <c r="N5501" s="475">
        <f t="shared" si="192"/>
        <v>218477</v>
      </c>
    </row>
    <row r="5502" spans="7:14" ht="11.25" customHeight="1" x14ac:dyDescent="0.3">
      <c r="G5502" s="470"/>
      <c r="H5502" s="470">
        <v>5495</v>
      </c>
      <c r="I5502" s="455">
        <f t="shared" ca="1" si="190"/>
        <v>2084557821670424.5</v>
      </c>
      <c r="J5502" s="455">
        <f t="array" ref="J5502">IFERROR(INDEX('Retirement Calculator'!K:K,MATCH('Lorri 401b'!N5502,'Retirement Calculator'!A:A,0),0),0)</f>
        <v>0</v>
      </c>
      <c r="K5502" s="455">
        <f t="shared" ca="1" si="188"/>
        <v>8685657590293.4355</v>
      </c>
      <c r="L5502" s="455">
        <f t="shared" ca="1" si="189"/>
        <v>2093243479260718</v>
      </c>
      <c r="M5502" s="471">
        <f t="shared" si="191"/>
        <v>0.05</v>
      </c>
      <c r="N5502" s="475">
        <f t="shared" si="192"/>
        <v>218508</v>
      </c>
    </row>
    <row r="5503" spans="7:14" ht="11.25" customHeight="1" x14ac:dyDescent="0.3">
      <c r="G5503" s="470"/>
      <c r="H5503" s="470">
        <v>5496</v>
      </c>
      <c r="I5503" s="455">
        <f t="shared" ca="1" si="190"/>
        <v>2093243479260718</v>
      </c>
      <c r="J5503" s="455">
        <f t="array" ref="J5503">IFERROR(INDEX('Retirement Calculator'!K:K,MATCH('Lorri 401b'!N5503,'Retirement Calculator'!A:A,0),0),0)</f>
        <v>0</v>
      </c>
      <c r="K5503" s="455">
        <f t="shared" ca="1" si="188"/>
        <v>8721847830252.9922</v>
      </c>
      <c r="L5503" s="455">
        <f t="shared" ca="1" si="189"/>
        <v>2101965327090971</v>
      </c>
      <c r="M5503" s="471">
        <f t="shared" si="191"/>
        <v>0.05</v>
      </c>
      <c r="N5503" s="475">
        <f t="shared" si="192"/>
        <v>218538</v>
      </c>
    </row>
    <row r="5504" spans="7:14" ht="11.25" customHeight="1" x14ac:dyDescent="0.3">
      <c r="G5504" s="470"/>
      <c r="H5504" s="470">
        <v>5497</v>
      </c>
      <c r="I5504" s="455">
        <f t="shared" ca="1" si="190"/>
        <v>2101965327090971</v>
      </c>
      <c r="J5504" s="455">
        <f t="array" ref="J5504">IFERROR(INDEX('Retirement Calculator'!K:K,MATCH('Lorri 401b'!N5504,'Retirement Calculator'!A:A,0),0),0)</f>
        <v>0</v>
      </c>
      <c r="K5504" s="455">
        <f t="shared" ca="1" si="188"/>
        <v>8758188862879.0469</v>
      </c>
      <c r="L5504" s="455">
        <f t="shared" ca="1" si="189"/>
        <v>2110723515953850</v>
      </c>
      <c r="M5504" s="471">
        <f t="shared" si="191"/>
        <v>0.05</v>
      </c>
      <c r="N5504" s="475">
        <f t="shared" si="192"/>
        <v>218569</v>
      </c>
    </row>
    <row r="5505" spans="7:14" ht="11.25" customHeight="1" x14ac:dyDescent="0.3">
      <c r="G5505" s="470"/>
      <c r="H5505" s="470">
        <v>5498</v>
      </c>
      <c r="I5505" s="455">
        <f t="shared" ca="1" si="190"/>
        <v>2110723515953850</v>
      </c>
      <c r="J5505" s="455">
        <f t="array" ref="J5505">IFERROR(INDEX('Retirement Calculator'!K:K,MATCH('Lorri 401b'!N5505,'Retirement Calculator'!A:A,0),0),0)</f>
        <v>0</v>
      </c>
      <c r="K5505" s="455">
        <f t="shared" ca="1" si="188"/>
        <v>8794681316474.376</v>
      </c>
      <c r="L5505" s="455">
        <f t="shared" ca="1" si="189"/>
        <v>2119518197270324.5</v>
      </c>
      <c r="M5505" s="471">
        <f t="shared" si="191"/>
        <v>0.05</v>
      </c>
      <c r="N5505" s="475">
        <f t="shared" si="192"/>
        <v>218599</v>
      </c>
    </row>
    <row r="5506" spans="7:14" ht="11.25" customHeight="1" x14ac:dyDescent="0.3">
      <c r="G5506" s="470"/>
      <c r="H5506" s="470">
        <v>5499</v>
      </c>
      <c r="I5506" s="455">
        <f t="shared" ca="1" si="190"/>
        <v>2119518197270324.5</v>
      </c>
      <c r="J5506" s="455">
        <f t="array" ref="J5506">IFERROR(INDEX('Retirement Calculator'!K:K,MATCH('Lorri 401b'!N5506,'Retirement Calculator'!A:A,0),0),0)</f>
        <v>0</v>
      </c>
      <c r="K5506" s="455">
        <f t="shared" ca="1" si="188"/>
        <v>8831325821959.6855</v>
      </c>
      <c r="L5506" s="455">
        <f t="shared" ca="1" si="189"/>
        <v>2128349523092284.3</v>
      </c>
      <c r="M5506" s="471">
        <f t="shared" si="191"/>
        <v>0.05</v>
      </c>
      <c r="N5506" s="475">
        <f t="shared" si="192"/>
        <v>218630</v>
      </c>
    </row>
    <row r="5507" spans="7:14" ht="11.25" customHeight="1" x14ac:dyDescent="0.3">
      <c r="G5507" s="470"/>
      <c r="H5507" s="470">
        <v>5500</v>
      </c>
      <c r="I5507" s="455">
        <f t="shared" ca="1" si="190"/>
        <v>2128349523092284.3</v>
      </c>
      <c r="J5507" s="455">
        <f t="array" ref="J5507">IFERROR(INDEX('Retirement Calculator'!K:K,MATCH('Lorri 401b'!N5507,'Retirement Calculator'!A:A,0),0),0)</f>
        <v>0</v>
      </c>
      <c r="K5507" s="455">
        <f t="shared" ca="1" si="188"/>
        <v>8868123012884.5176</v>
      </c>
      <c r="L5507" s="455">
        <f t="shared" ca="1" si="189"/>
        <v>2137217646105168.8</v>
      </c>
      <c r="M5507" s="471">
        <f t="shared" si="191"/>
        <v>0.05</v>
      </c>
      <c r="N5507" s="475">
        <f t="shared" si="192"/>
        <v>218661</v>
      </c>
    </row>
    <row r="5508" spans="7:14" ht="11.25" customHeight="1" x14ac:dyDescent="0.3">
      <c r="G5508" s="470"/>
      <c r="H5508" s="470">
        <v>5501</v>
      </c>
      <c r="I5508" s="455">
        <f t="shared" ca="1" si="190"/>
        <v>2137217646105168.8</v>
      </c>
      <c r="J5508" s="455">
        <f t="array" ref="J5508">IFERROR(INDEX('Retirement Calculator'!K:K,MATCH('Lorri 401b'!N5508,'Retirement Calculator'!A:A,0),0),0)</f>
        <v>0</v>
      </c>
      <c r="K5508" s="455">
        <f t="shared" ca="1" si="188"/>
        <v>8905073525438.2031</v>
      </c>
      <c r="L5508" s="455">
        <f t="shared" ca="1" si="189"/>
        <v>2146122719630607</v>
      </c>
      <c r="M5508" s="471">
        <f t="shared" si="191"/>
        <v>0.05</v>
      </c>
      <c r="N5508" s="475">
        <f t="shared" si="192"/>
        <v>218691</v>
      </c>
    </row>
    <row r="5509" spans="7:14" ht="11.25" customHeight="1" x14ac:dyDescent="0.3">
      <c r="G5509" s="470"/>
      <c r="H5509" s="470">
        <v>5502</v>
      </c>
      <c r="I5509" s="455">
        <f t="shared" ca="1" si="190"/>
        <v>2146122719630607</v>
      </c>
      <c r="J5509" s="455">
        <f t="array" ref="J5509">IFERROR(INDEX('Retirement Calculator'!K:K,MATCH('Lorri 401b'!N5509,'Retirement Calculator'!A:A,0),0),0)</f>
        <v>0</v>
      </c>
      <c r="K5509" s="455">
        <f t="shared" ca="1" si="188"/>
        <v>8942177998460.8633</v>
      </c>
      <c r="L5509" s="455">
        <f t="shared" ca="1" si="189"/>
        <v>2155064897629067.8</v>
      </c>
      <c r="M5509" s="471">
        <f t="shared" si="191"/>
        <v>0.05</v>
      </c>
      <c r="N5509" s="475">
        <f t="shared" si="192"/>
        <v>218722</v>
      </c>
    </row>
    <row r="5510" spans="7:14" ht="11.25" customHeight="1" x14ac:dyDescent="0.3">
      <c r="G5510" s="470"/>
      <c r="H5510" s="470">
        <v>5503</v>
      </c>
      <c r="I5510" s="455">
        <f t="shared" ca="1" si="190"/>
        <v>2155064897629067.8</v>
      </c>
      <c r="J5510" s="455">
        <f t="array" ref="J5510">IFERROR(INDEX('Retirement Calculator'!K:K,MATCH('Lorri 401b'!N5510,'Retirement Calculator'!A:A,0),0),0)</f>
        <v>0</v>
      </c>
      <c r="K5510" s="455">
        <f t="shared" ca="1" si="188"/>
        <v>8979437073454.4492</v>
      </c>
      <c r="L5510" s="455">
        <f t="shared" ca="1" si="189"/>
        <v>2164044334702522.3</v>
      </c>
      <c r="M5510" s="471">
        <f t="shared" si="191"/>
        <v>0.05</v>
      </c>
      <c r="N5510" s="475">
        <f t="shared" si="192"/>
        <v>218752</v>
      </c>
    </row>
    <row r="5511" spans="7:14" ht="11.25" customHeight="1" x14ac:dyDescent="0.3">
      <c r="G5511" s="470"/>
      <c r="H5511" s="470">
        <v>5504</v>
      </c>
      <c r="I5511" s="455">
        <f t="shared" ca="1" si="190"/>
        <v>2164044334702522.3</v>
      </c>
      <c r="J5511" s="455">
        <f t="array" ref="J5511">IFERROR(INDEX('Retirement Calculator'!K:K,MATCH('Lorri 401b'!N5511,'Retirement Calculator'!A:A,0),0),0)</f>
        <v>0</v>
      </c>
      <c r="K5511" s="455">
        <f t="shared" ca="1" si="188"/>
        <v>9016851394593.8418</v>
      </c>
      <c r="L5511" s="455">
        <f t="shared" ca="1" si="189"/>
        <v>2173061186097116</v>
      </c>
      <c r="M5511" s="471">
        <f t="shared" si="191"/>
        <v>0.05</v>
      </c>
      <c r="N5511" s="475">
        <f t="shared" si="192"/>
        <v>218783</v>
      </c>
    </row>
    <row r="5512" spans="7:14" ht="11.25" customHeight="1" x14ac:dyDescent="0.3">
      <c r="G5512" s="470"/>
      <c r="H5512" s="470">
        <v>5505</v>
      </c>
      <c r="I5512" s="455">
        <f t="shared" ca="1" si="190"/>
        <v>2173061186097116</v>
      </c>
      <c r="J5512" s="455">
        <f t="array" ref="J5512">IFERROR(INDEX('Retirement Calculator'!K:K,MATCH('Lorri 401b'!N5512,'Retirement Calculator'!A:A,0),0),0)</f>
        <v>0</v>
      </c>
      <c r="K5512" s="455">
        <f t="shared" ca="1" si="188"/>
        <v>9054421608737.9824</v>
      </c>
      <c r="L5512" s="455">
        <f t="shared" ca="1" si="189"/>
        <v>2182115607705854</v>
      </c>
      <c r="M5512" s="471">
        <f t="shared" si="191"/>
        <v>0.05</v>
      </c>
      <c r="N5512" s="475">
        <f t="shared" si="192"/>
        <v>218814</v>
      </c>
    </row>
    <row r="5513" spans="7:14" ht="11.25" customHeight="1" x14ac:dyDescent="0.3">
      <c r="G5513" s="470"/>
      <c r="H5513" s="470">
        <v>5506</v>
      </c>
      <c r="I5513" s="455">
        <f t="shared" ca="1" si="190"/>
        <v>2182115607705854</v>
      </c>
      <c r="J5513" s="455">
        <f t="array" ref="J5513">IFERROR(INDEX('Retirement Calculator'!K:K,MATCH('Lorri 401b'!N5513,'Retirement Calculator'!A:A,0),0),0)</f>
        <v>0</v>
      </c>
      <c r="K5513" s="455">
        <f t="shared" ca="1" si="188"/>
        <v>9092148365441.0566</v>
      </c>
      <c r="L5513" s="455">
        <f t="shared" ca="1" si="189"/>
        <v>2191207756071295</v>
      </c>
      <c r="M5513" s="471">
        <f t="shared" si="191"/>
        <v>0.05</v>
      </c>
      <c r="N5513" s="475">
        <f t="shared" si="192"/>
        <v>218842</v>
      </c>
    </row>
    <row r="5514" spans="7:14" ht="11.25" customHeight="1" x14ac:dyDescent="0.3">
      <c r="G5514" s="470"/>
      <c r="H5514" s="470">
        <v>5507</v>
      </c>
      <c r="I5514" s="455">
        <f t="shared" ca="1" si="190"/>
        <v>2191207756071295</v>
      </c>
      <c r="J5514" s="455">
        <f t="array" ref="J5514">IFERROR(INDEX('Retirement Calculator'!K:K,MATCH('Lorri 401b'!N5514,'Retirement Calculator'!A:A,0),0),0)</f>
        <v>0</v>
      </c>
      <c r="K5514" s="455">
        <f t="shared" ca="1" si="188"/>
        <v>9130032316963.7285</v>
      </c>
      <c r="L5514" s="455">
        <f t="shared" ca="1" si="189"/>
        <v>2200337788388258.8</v>
      </c>
      <c r="M5514" s="471">
        <f t="shared" si="191"/>
        <v>0.05</v>
      </c>
      <c r="N5514" s="475">
        <f t="shared" si="192"/>
        <v>218873</v>
      </c>
    </row>
    <row r="5515" spans="7:14" ht="11.25" customHeight="1" x14ac:dyDescent="0.3">
      <c r="G5515" s="470"/>
      <c r="H5515" s="470">
        <v>5508</v>
      </c>
      <c r="I5515" s="455">
        <f t="shared" ca="1" si="190"/>
        <v>2200337788388258.8</v>
      </c>
      <c r="J5515" s="455">
        <f t="array" ref="J5515">IFERROR(INDEX('Retirement Calculator'!K:K,MATCH('Lorri 401b'!N5515,'Retirement Calculator'!A:A,0),0),0)</f>
        <v>0</v>
      </c>
      <c r="K5515" s="455">
        <f t="shared" ca="1" si="188"/>
        <v>9168074118284.4121</v>
      </c>
      <c r="L5515" s="455">
        <f t="shared" ca="1" si="189"/>
        <v>2209505862506543.3</v>
      </c>
      <c r="M5515" s="471">
        <f t="shared" si="191"/>
        <v>0.05</v>
      </c>
      <c r="N5515" s="475">
        <f t="shared" si="192"/>
        <v>218903</v>
      </c>
    </row>
    <row r="5516" spans="7:14" ht="11.25" customHeight="1" x14ac:dyDescent="0.3">
      <c r="G5516" s="470"/>
      <c r="H5516" s="470">
        <v>5509</v>
      </c>
      <c r="I5516" s="455">
        <f t="shared" ca="1" si="190"/>
        <v>2209505862506543.3</v>
      </c>
      <c r="J5516" s="455">
        <f t="array" ref="J5516">IFERROR(INDEX('Retirement Calculator'!K:K,MATCH('Lorri 401b'!N5516,'Retirement Calculator'!A:A,0),0),0)</f>
        <v>0</v>
      </c>
      <c r="K5516" s="455">
        <f t="shared" ca="1" si="188"/>
        <v>9206274427110.5977</v>
      </c>
      <c r="L5516" s="455">
        <f t="shared" ca="1" si="189"/>
        <v>2218712136933653.8</v>
      </c>
      <c r="M5516" s="471">
        <f t="shared" si="191"/>
        <v>0.05</v>
      </c>
      <c r="N5516" s="475">
        <f t="shared" si="192"/>
        <v>218934</v>
      </c>
    </row>
    <row r="5517" spans="7:14" ht="11.25" customHeight="1" x14ac:dyDescent="0.3">
      <c r="G5517" s="470"/>
      <c r="H5517" s="470">
        <v>5510</v>
      </c>
      <c r="I5517" s="455">
        <f t="shared" ca="1" si="190"/>
        <v>2218712136933653.8</v>
      </c>
      <c r="J5517" s="455">
        <f t="array" ref="J5517">IFERROR(INDEX('Retirement Calculator'!K:K,MATCH('Lorri 401b'!N5517,'Retirement Calculator'!A:A,0),0),0)</f>
        <v>0</v>
      </c>
      <c r="K5517" s="455">
        <f t="shared" ca="1" si="188"/>
        <v>9244633903890.2246</v>
      </c>
      <c r="L5517" s="455">
        <f t="shared" ca="1" si="189"/>
        <v>2227956770837544</v>
      </c>
      <c r="M5517" s="471">
        <f t="shared" si="191"/>
        <v>0.05</v>
      </c>
      <c r="N5517" s="475">
        <f t="shared" si="192"/>
        <v>218964</v>
      </c>
    </row>
    <row r="5518" spans="7:14" ht="11.25" customHeight="1" x14ac:dyDescent="0.3">
      <c r="G5518" s="470"/>
      <c r="H5518" s="470">
        <v>5511</v>
      </c>
      <c r="I5518" s="455">
        <f t="shared" ca="1" si="190"/>
        <v>2227956770837544</v>
      </c>
      <c r="J5518" s="455">
        <f t="array" ref="J5518">IFERROR(INDEX('Retirement Calculator'!K:K,MATCH('Lorri 401b'!N5518,'Retirement Calculator'!A:A,0),0),0)</f>
        <v>0</v>
      </c>
      <c r="K5518" s="455">
        <f t="shared" ca="1" si="188"/>
        <v>9283153211823.0996</v>
      </c>
      <c r="L5518" s="455">
        <f t="shared" ca="1" si="189"/>
        <v>2237239924049367</v>
      </c>
      <c r="M5518" s="471">
        <f t="shared" si="191"/>
        <v>0.05</v>
      </c>
      <c r="N5518" s="475">
        <f t="shared" si="192"/>
        <v>218995</v>
      </c>
    </row>
    <row r="5519" spans="7:14" ht="11.25" customHeight="1" x14ac:dyDescent="0.3">
      <c r="G5519" s="470"/>
      <c r="H5519" s="470">
        <v>5512</v>
      </c>
      <c r="I5519" s="455">
        <f t="shared" ca="1" si="190"/>
        <v>2237239924049367</v>
      </c>
      <c r="J5519" s="455">
        <f t="array" ref="J5519">IFERROR(INDEX('Retirement Calculator'!K:K,MATCH('Lorri 401b'!N5519,'Retirement Calculator'!A:A,0),0),0)</f>
        <v>0</v>
      </c>
      <c r="K5519" s="455">
        <f t="shared" ca="1" si="188"/>
        <v>9321833016872.3633</v>
      </c>
      <c r="L5519" s="455">
        <f t="shared" ca="1" si="189"/>
        <v>2246561757066239.3</v>
      </c>
      <c r="M5519" s="471">
        <f t="shared" si="191"/>
        <v>0.05</v>
      </c>
      <c r="N5519" s="475">
        <f t="shared" si="192"/>
        <v>219026</v>
      </c>
    </row>
    <row r="5520" spans="7:14" ht="11.25" customHeight="1" x14ac:dyDescent="0.3">
      <c r="G5520" s="470"/>
      <c r="H5520" s="470">
        <v>5513</v>
      </c>
      <c r="I5520" s="455">
        <f t="shared" ca="1" si="190"/>
        <v>2246561757066239.3</v>
      </c>
      <c r="J5520" s="455">
        <f t="array" ref="J5520">IFERROR(INDEX('Retirement Calculator'!K:K,MATCH('Lorri 401b'!N5520,'Retirement Calculator'!A:A,0),0),0)</f>
        <v>0</v>
      </c>
      <c r="K5520" s="455">
        <f t="shared" ca="1" si="188"/>
        <v>9360673987775.9961</v>
      </c>
      <c r="L5520" s="455">
        <f t="shared" ca="1" si="189"/>
        <v>2255922431054015</v>
      </c>
      <c r="M5520" s="471">
        <f t="shared" si="191"/>
        <v>0.05</v>
      </c>
      <c r="N5520" s="475">
        <f t="shared" si="192"/>
        <v>219056</v>
      </c>
    </row>
    <row r="5521" spans="7:14" ht="11.25" customHeight="1" x14ac:dyDescent="0.3">
      <c r="G5521" s="470"/>
      <c r="H5521" s="470">
        <v>5514</v>
      </c>
      <c r="I5521" s="455">
        <f t="shared" ca="1" si="190"/>
        <v>2255922431054015</v>
      </c>
      <c r="J5521" s="455">
        <f t="array" ref="J5521">IFERROR(INDEX('Retirement Calculator'!K:K,MATCH('Lorri 401b'!N5521,'Retirement Calculator'!A:A,0),0),0)</f>
        <v>0</v>
      </c>
      <c r="K5521" s="455">
        <f t="shared" ca="1" si="188"/>
        <v>9399676796058.3965</v>
      </c>
      <c r="L5521" s="455">
        <f t="shared" ca="1" si="189"/>
        <v>2265322107850073.5</v>
      </c>
      <c r="M5521" s="471">
        <f t="shared" si="191"/>
        <v>0.05</v>
      </c>
      <c r="N5521" s="475">
        <f t="shared" si="192"/>
        <v>219087</v>
      </c>
    </row>
    <row r="5522" spans="7:14" ht="11.25" customHeight="1" x14ac:dyDescent="0.3">
      <c r="G5522" s="470"/>
      <c r="H5522" s="470">
        <v>5515</v>
      </c>
      <c r="I5522" s="455">
        <f t="shared" ca="1" si="190"/>
        <v>2265322107850073.5</v>
      </c>
      <c r="J5522" s="455">
        <f t="array" ref="J5522">IFERROR(INDEX('Retirement Calculator'!K:K,MATCH('Lorri 401b'!N5522,'Retirement Calculator'!A:A,0),0),0)</f>
        <v>0</v>
      </c>
      <c r="K5522" s="455">
        <f t="shared" ca="1" si="188"/>
        <v>9438842116041.9727</v>
      </c>
      <c r="L5522" s="455">
        <f t="shared" ca="1" si="189"/>
        <v>2274760949966115.5</v>
      </c>
      <c r="M5522" s="471">
        <f t="shared" si="191"/>
        <v>0.05</v>
      </c>
      <c r="N5522" s="475">
        <f t="shared" si="192"/>
        <v>219117</v>
      </c>
    </row>
    <row r="5523" spans="7:14" ht="11.25" customHeight="1" x14ac:dyDescent="0.3">
      <c r="G5523" s="470"/>
      <c r="H5523" s="470">
        <v>5516</v>
      </c>
      <c r="I5523" s="455">
        <f t="shared" ca="1" si="190"/>
        <v>2274760949966115.5</v>
      </c>
      <c r="J5523" s="455">
        <f t="array" ref="J5523">IFERROR(INDEX('Retirement Calculator'!K:K,MATCH('Lorri 401b'!N5523,'Retirement Calculator'!A:A,0),0),0)</f>
        <v>0</v>
      </c>
      <c r="K5523" s="455">
        <f t="shared" ca="1" si="188"/>
        <v>9478170624858.8145</v>
      </c>
      <c r="L5523" s="455">
        <f t="shared" ca="1" si="189"/>
        <v>2284239120590974.5</v>
      </c>
      <c r="M5523" s="471">
        <f t="shared" si="191"/>
        <v>0.05</v>
      </c>
      <c r="N5523" s="475">
        <f t="shared" si="192"/>
        <v>219148</v>
      </c>
    </row>
    <row r="5524" spans="7:14" ht="11.25" customHeight="1" x14ac:dyDescent="0.3">
      <c r="G5524" s="470"/>
      <c r="H5524" s="470">
        <v>5517</v>
      </c>
      <c r="I5524" s="455">
        <f t="shared" ca="1" si="190"/>
        <v>2284239120590974.5</v>
      </c>
      <c r="J5524" s="455">
        <f t="array" ref="J5524">IFERROR(INDEX('Retirement Calculator'!K:K,MATCH('Lorri 401b'!N5524,'Retirement Calculator'!A:A,0),0),0)</f>
        <v>0</v>
      </c>
      <c r="K5524" s="455">
        <f t="shared" ca="1" si="188"/>
        <v>9517663002462.3945</v>
      </c>
      <c r="L5524" s="455">
        <f t="shared" ca="1" si="189"/>
        <v>2293756783593437</v>
      </c>
      <c r="M5524" s="471">
        <f t="shared" si="191"/>
        <v>0.05</v>
      </c>
      <c r="N5524" s="475">
        <f t="shared" si="192"/>
        <v>219179</v>
      </c>
    </row>
    <row r="5525" spans="7:14" ht="11.25" customHeight="1" x14ac:dyDescent="0.3">
      <c r="G5525" s="470"/>
      <c r="H5525" s="470">
        <v>5518</v>
      </c>
      <c r="I5525" s="455">
        <f t="shared" ca="1" si="190"/>
        <v>2293756783593437</v>
      </c>
      <c r="J5525" s="455">
        <f t="array" ref="J5525">IFERROR(INDEX('Retirement Calculator'!K:K,MATCH('Lorri 401b'!N5525,'Retirement Calculator'!A:A,0),0),0)</f>
        <v>0</v>
      </c>
      <c r="K5525" s="455">
        <f t="shared" ca="1" si="188"/>
        <v>9557319931639.3203</v>
      </c>
      <c r="L5525" s="455">
        <f t="shared" ca="1" si="189"/>
        <v>2303314103525076.5</v>
      </c>
      <c r="M5525" s="471">
        <f t="shared" si="191"/>
        <v>0.05</v>
      </c>
      <c r="N5525" s="475">
        <f t="shared" si="192"/>
        <v>219207</v>
      </c>
    </row>
    <row r="5526" spans="7:14" ht="11.25" customHeight="1" x14ac:dyDescent="0.3">
      <c r="G5526" s="470"/>
      <c r="H5526" s="470">
        <v>5519</v>
      </c>
      <c r="I5526" s="455">
        <f t="shared" ca="1" si="190"/>
        <v>2303314103525076.5</v>
      </c>
      <c r="J5526" s="455">
        <f t="array" ref="J5526">IFERROR(INDEX('Retirement Calculator'!K:K,MATCH('Lorri 401b'!N5526,'Retirement Calculator'!A:A,0),0),0)</f>
        <v>0</v>
      </c>
      <c r="K5526" s="455">
        <f t="shared" ca="1" si="188"/>
        <v>9597142098021.1523</v>
      </c>
      <c r="L5526" s="455">
        <f t="shared" ca="1" si="189"/>
        <v>2312911245623097.5</v>
      </c>
      <c r="M5526" s="471">
        <f t="shared" si="191"/>
        <v>0.05</v>
      </c>
      <c r="N5526" s="475">
        <f t="shared" si="192"/>
        <v>219238</v>
      </c>
    </row>
    <row r="5527" spans="7:14" ht="11.25" customHeight="1" x14ac:dyDescent="0.3">
      <c r="G5527" s="470"/>
      <c r="H5527" s="470">
        <v>5520</v>
      </c>
      <c r="I5527" s="455">
        <f t="shared" ca="1" si="190"/>
        <v>2312911245623097.5</v>
      </c>
      <c r="J5527" s="455">
        <f t="array" ref="J5527">IFERROR(INDEX('Retirement Calculator'!K:K,MATCH('Lorri 401b'!N5527,'Retirement Calculator'!A:A,0),0),0)</f>
        <v>0</v>
      </c>
      <c r="K5527" s="455">
        <f t="shared" ca="1" si="188"/>
        <v>9637130190096.2402</v>
      </c>
      <c r="L5527" s="455">
        <f t="shared" ca="1" si="189"/>
        <v>2322548375813193.5</v>
      </c>
      <c r="M5527" s="471">
        <f t="shared" si="191"/>
        <v>0.05</v>
      </c>
      <c r="N5527" s="475">
        <f t="shared" si="192"/>
        <v>219268</v>
      </c>
    </row>
    <row r="5528" spans="7:14" ht="11.25" customHeight="1" x14ac:dyDescent="0.3">
      <c r="G5528" s="470"/>
      <c r="H5528" s="470">
        <v>5521</v>
      </c>
      <c r="I5528" s="455">
        <f t="shared" ca="1" si="190"/>
        <v>2322548375813193.5</v>
      </c>
      <c r="J5528" s="455">
        <f t="array" ref="J5528">IFERROR(INDEX('Retirement Calculator'!K:K,MATCH('Lorri 401b'!N5528,'Retirement Calculator'!A:A,0),0),0)</f>
        <v>0</v>
      </c>
      <c r="K5528" s="455">
        <f t="shared" ca="1" si="188"/>
        <v>9677284899221.6387</v>
      </c>
      <c r="L5528" s="455">
        <f t="shared" ca="1" si="189"/>
        <v>2332225660712415</v>
      </c>
      <c r="M5528" s="471">
        <f t="shared" si="191"/>
        <v>0.05</v>
      </c>
      <c r="N5528" s="475">
        <f t="shared" si="192"/>
        <v>219299</v>
      </c>
    </row>
    <row r="5529" spans="7:14" ht="11.25" customHeight="1" x14ac:dyDescent="0.3">
      <c r="G5529" s="470"/>
      <c r="H5529" s="470">
        <v>5522</v>
      </c>
      <c r="I5529" s="455">
        <f t="shared" ca="1" si="190"/>
        <v>2332225660712415</v>
      </c>
      <c r="J5529" s="455">
        <f t="array" ref="J5529">IFERROR(INDEX('Retirement Calculator'!K:K,MATCH('Lorri 401b'!N5529,'Retirement Calculator'!A:A,0),0),0)</f>
        <v>0</v>
      </c>
      <c r="K5529" s="455">
        <f t="shared" ca="1" si="188"/>
        <v>9717606919635.0625</v>
      </c>
      <c r="L5529" s="455">
        <f t="shared" ca="1" si="189"/>
        <v>2341943267632050</v>
      </c>
      <c r="M5529" s="471">
        <f t="shared" si="191"/>
        <v>0.05</v>
      </c>
      <c r="N5529" s="475">
        <f t="shared" si="192"/>
        <v>219329</v>
      </c>
    </row>
    <row r="5530" spans="7:14" ht="11.25" customHeight="1" x14ac:dyDescent="0.3">
      <c r="G5530" s="470"/>
      <c r="H5530" s="470">
        <v>5523</v>
      </c>
      <c r="I5530" s="455">
        <f t="shared" ca="1" si="190"/>
        <v>2341943267632050</v>
      </c>
      <c r="J5530" s="455">
        <f t="array" ref="J5530">IFERROR(INDEX('Retirement Calculator'!K:K,MATCH('Lorri 401b'!N5530,'Retirement Calculator'!A:A,0),0),0)</f>
        <v>0</v>
      </c>
      <c r="K5530" s="455">
        <f t="shared" ca="1" si="188"/>
        <v>9758096948466.875</v>
      </c>
      <c r="L5530" s="455">
        <f t="shared" ca="1" si="189"/>
        <v>2351701364580517</v>
      </c>
      <c r="M5530" s="471">
        <f t="shared" si="191"/>
        <v>0.05</v>
      </c>
      <c r="N5530" s="475">
        <f t="shared" si="192"/>
        <v>219360</v>
      </c>
    </row>
    <row r="5531" spans="7:14" ht="11.25" customHeight="1" x14ac:dyDescent="0.3">
      <c r="G5531" s="470"/>
      <c r="H5531" s="470">
        <v>5524</v>
      </c>
      <c r="I5531" s="455">
        <f t="shared" ca="1" si="190"/>
        <v>2351701364580517</v>
      </c>
      <c r="J5531" s="455">
        <f t="array" ref="J5531">IFERROR(INDEX('Retirement Calculator'!K:K,MATCH('Lorri 401b'!N5531,'Retirement Calculator'!A:A,0),0),0)</f>
        <v>0</v>
      </c>
      <c r="K5531" s="455">
        <f t="shared" ca="1" si="188"/>
        <v>9798755685752.1543</v>
      </c>
      <c r="L5531" s="455">
        <f t="shared" ca="1" si="189"/>
        <v>2361500120266269</v>
      </c>
      <c r="M5531" s="471">
        <f t="shared" si="191"/>
        <v>0.05</v>
      </c>
      <c r="N5531" s="475">
        <f t="shared" si="192"/>
        <v>219391</v>
      </c>
    </row>
    <row r="5532" spans="7:14" ht="11.25" customHeight="1" x14ac:dyDescent="0.3">
      <c r="G5532" s="470"/>
      <c r="H5532" s="470">
        <v>5525</v>
      </c>
      <c r="I5532" s="455">
        <f t="shared" ca="1" si="190"/>
        <v>2361500120266269</v>
      </c>
      <c r="J5532" s="455">
        <f t="array" ref="J5532">IFERROR(INDEX('Retirement Calculator'!K:K,MATCH('Lorri 401b'!N5532,'Retirement Calculator'!A:A,0),0),0)</f>
        <v>0</v>
      </c>
      <c r="K5532" s="455">
        <f t="shared" ca="1" si="188"/>
        <v>9839583834442.7871</v>
      </c>
      <c r="L5532" s="455">
        <f t="shared" ca="1" si="189"/>
        <v>2371339704100712</v>
      </c>
      <c r="M5532" s="471">
        <f t="shared" si="191"/>
        <v>0.05</v>
      </c>
      <c r="N5532" s="475">
        <f t="shared" si="192"/>
        <v>219421</v>
      </c>
    </row>
    <row r="5533" spans="7:14" ht="11.25" customHeight="1" x14ac:dyDescent="0.3">
      <c r="G5533" s="470"/>
      <c r="H5533" s="470">
        <v>5526</v>
      </c>
      <c r="I5533" s="455">
        <f t="shared" ca="1" si="190"/>
        <v>2371339704100712</v>
      </c>
      <c r="J5533" s="455">
        <f t="array" ref="J5533">IFERROR(INDEX('Retirement Calculator'!K:K,MATCH('Lorri 401b'!N5533,'Retirement Calculator'!A:A,0),0),0)</f>
        <v>0</v>
      </c>
      <c r="K5533" s="455">
        <f t="shared" ca="1" si="188"/>
        <v>9880582100419.6328</v>
      </c>
      <c r="L5533" s="455">
        <f t="shared" ca="1" si="189"/>
        <v>2381220286201131.5</v>
      </c>
      <c r="M5533" s="471">
        <f t="shared" si="191"/>
        <v>0.05</v>
      </c>
      <c r="N5533" s="475">
        <f t="shared" si="192"/>
        <v>219452</v>
      </c>
    </row>
    <row r="5534" spans="7:14" ht="11.25" customHeight="1" x14ac:dyDescent="0.3">
      <c r="G5534" s="470"/>
      <c r="H5534" s="470">
        <v>5527</v>
      </c>
      <c r="I5534" s="455">
        <f t="shared" ca="1" si="190"/>
        <v>2381220286201131.5</v>
      </c>
      <c r="J5534" s="455">
        <f t="array" ref="J5534">IFERROR(INDEX('Retirement Calculator'!K:K,MATCH('Lorri 401b'!N5534,'Retirement Calculator'!A:A,0),0),0)</f>
        <v>0</v>
      </c>
      <c r="K5534" s="455">
        <f t="shared" ca="1" si="188"/>
        <v>9921751192504.7148</v>
      </c>
      <c r="L5534" s="455">
        <f t="shared" ca="1" si="189"/>
        <v>2391142037393636</v>
      </c>
      <c r="M5534" s="471">
        <f t="shared" si="191"/>
        <v>0.05</v>
      </c>
      <c r="N5534" s="475">
        <f t="shared" si="192"/>
        <v>219482</v>
      </c>
    </row>
    <row r="5535" spans="7:14" ht="11.25" customHeight="1" x14ac:dyDescent="0.3">
      <c r="G5535" s="470"/>
      <c r="H5535" s="470">
        <v>5528</v>
      </c>
      <c r="I5535" s="455">
        <f t="shared" ca="1" si="190"/>
        <v>2391142037393636</v>
      </c>
      <c r="J5535" s="455">
        <f t="array" ref="J5535">IFERROR(INDEX('Retirement Calculator'!K:K,MATCH('Lorri 401b'!N5535,'Retirement Calculator'!A:A,0),0),0)</f>
        <v>0</v>
      </c>
      <c r="K5535" s="455">
        <f t="shared" ca="1" si="188"/>
        <v>9963091822473.4824</v>
      </c>
      <c r="L5535" s="455">
        <f t="shared" ca="1" si="189"/>
        <v>2401105129216109.5</v>
      </c>
      <c r="M5535" s="471">
        <f t="shared" si="191"/>
        <v>0.05</v>
      </c>
      <c r="N5535" s="475">
        <f t="shared" si="192"/>
        <v>219513</v>
      </c>
    </row>
    <row r="5536" spans="7:14" ht="11.25" customHeight="1" x14ac:dyDescent="0.3">
      <c r="G5536" s="470"/>
      <c r="H5536" s="470">
        <v>5529</v>
      </c>
      <c r="I5536" s="455">
        <f t="shared" ca="1" si="190"/>
        <v>2401105129216109.5</v>
      </c>
      <c r="J5536" s="455">
        <f t="array" ref="J5536">IFERROR(INDEX('Retirement Calculator'!K:K,MATCH('Lorri 401b'!N5536,'Retirement Calculator'!A:A,0),0),0)</f>
        <v>0</v>
      </c>
      <c r="K5536" s="455">
        <f t="shared" ca="1" si="188"/>
        <v>10004604705067.123</v>
      </c>
      <c r="L5536" s="455">
        <f t="shared" ca="1" si="189"/>
        <v>2411109733921176.5</v>
      </c>
      <c r="M5536" s="471">
        <f t="shared" si="191"/>
        <v>0.05</v>
      </c>
      <c r="N5536" s="475">
        <f t="shared" si="192"/>
        <v>219544</v>
      </c>
    </row>
    <row r="5537" spans="7:14" ht="11.25" customHeight="1" x14ac:dyDescent="0.3">
      <c r="G5537" s="470"/>
      <c r="H5537" s="470">
        <v>5530</v>
      </c>
      <c r="I5537" s="455">
        <f t="shared" ca="1" si="190"/>
        <v>2411109733921176.5</v>
      </c>
      <c r="J5537" s="455">
        <f t="array" ref="J5537">IFERROR(INDEX('Retirement Calculator'!K:K,MATCH('Lorri 401b'!N5537,'Retirement Calculator'!A:A,0),0),0)</f>
        <v>0</v>
      </c>
      <c r="K5537" s="455">
        <f t="shared" ca="1" si="188"/>
        <v>10046290558004.902</v>
      </c>
      <c r="L5537" s="455">
        <f t="shared" ca="1" si="189"/>
        <v>2421156024479181.5</v>
      </c>
      <c r="M5537" s="471">
        <f t="shared" si="191"/>
        <v>0.05</v>
      </c>
      <c r="N5537" s="475">
        <f t="shared" si="192"/>
        <v>219572</v>
      </c>
    </row>
    <row r="5538" spans="7:14" ht="11.25" customHeight="1" x14ac:dyDescent="0.3">
      <c r="G5538" s="470"/>
      <c r="H5538" s="470">
        <v>5531</v>
      </c>
      <c r="I5538" s="455">
        <f t="shared" ca="1" si="190"/>
        <v>2421156024479181.5</v>
      </c>
      <c r="J5538" s="455">
        <f t="array" ref="J5538">IFERROR(INDEX('Retirement Calculator'!K:K,MATCH('Lorri 401b'!N5538,'Retirement Calculator'!A:A,0),0),0)</f>
        <v>0</v>
      </c>
      <c r="K5538" s="455">
        <f t="shared" ca="1" si="188"/>
        <v>10088150101996.59</v>
      </c>
      <c r="L5538" s="455">
        <f t="shared" ca="1" si="189"/>
        <v>2431244174581178</v>
      </c>
      <c r="M5538" s="471">
        <f t="shared" si="191"/>
        <v>0.05</v>
      </c>
      <c r="N5538" s="475">
        <f t="shared" si="192"/>
        <v>219603</v>
      </c>
    </row>
    <row r="5539" spans="7:14" ht="11.25" customHeight="1" x14ac:dyDescent="0.3">
      <c r="G5539" s="470"/>
      <c r="H5539" s="470">
        <v>5532</v>
      </c>
      <c r="I5539" s="455">
        <f t="shared" ca="1" si="190"/>
        <v>2431244174581178</v>
      </c>
      <c r="J5539" s="455">
        <f t="array" ref="J5539">IFERROR(INDEX('Retirement Calculator'!K:K,MATCH('Lorri 401b'!N5539,'Retirement Calculator'!A:A,0),0),0)</f>
        <v>0</v>
      </c>
      <c r="K5539" s="455">
        <f t="shared" ca="1" si="188"/>
        <v>10130184060754.908</v>
      </c>
      <c r="L5539" s="455">
        <f t="shared" ca="1" si="189"/>
        <v>2441374358641933</v>
      </c>
      <c r="M5539" s="471">
        <f t="shared" si="191"/>
        <v>0.05</v>
      </c>
      <c r="N5539" s="475">
        <f t="shared" si="192"/>
        <v>219633</v>
      </c>
    </row>
    <row r="5540" spans="7:14" ht="11.25" customHeight="1" x14ac:dyDescent="0.3">
      <c r="G5540" s="470"/>
      <c r="H5540" s="470">
        <v>5533</v>
      </c>
      <c r="I5540" s="455">
        <f t="shared" ca="1" si="190"/>
        <v>2441374358641933</v>
      </c>
      <c r="J5540" s="455">
        <f t="array" ref="J5540">IFERROR(INDEX('Retirement Calculator'!K:K,MATCH('Lorri 401b'!N5540,'Retirement Calculator'!A:A,0),0),0)</f>
        <v>0</v>
      </c>
      <c r="K5540" s="455">
        <f t="shared" ca="1" si="188"/>
        <v>10172393161008.055</v>
      </c>
      <c r="L5540" s="455">
        <f t="shared" ca="1" si="189"/>
        <v>2451546751802941</v>
      </c>
      <c r="M5540" s="471">
        <f t="shared" si="191"/>
        <v>0.05</v>
      </c>
      <c r="N5540" s="475">
        <f t="shared" si="192"/>
        <v>219664</v>
      </c>
    </row>
    <row r="5541" spans="7:14" ht="11.25" customHeight="1" x14ac:dyDescent="0.3">
      <c r="G5541" s="470"/>
      <c r="H5541" s="470">
        <v>5534</v>
      </c>
      <c r="I5541" s="455">
        <f t="shared" ca="1" si="190"/>
        <v>2451546751802941</v>
      </c>
      <c r="J5541" s="455">
        <f t="array" ref="J5541">IFERROR(INDEX('Retirement Calculator'!K:K,MATCH('Lorri 401b'!N5541,'Retirement Calculator'!A:A,0),0),0)</f>
        <v>0</v>
      </c>
      <c r="K5541" s="455">
        <f t="shared" ca="1" si="188"/>
        <v>10214778132512.254</v>
      </c>
      <c r="L5541" s="455">
        <f t="shared" ca="1" si="189"/>
        <v>2461761529935453.5</v>
      </c>
      <c r="M5541" s="471">
        <f t="shared" si="191"/>
        <v>0.05</v>
      </c>
      <c r="N5541" s="475">
        <f t="shared" si="192"/>
        <v>219694</v>
      </c>
    </row>
    <row r="5542" spans="7:14" ht="11.25" customHeight="1" x14ac:dyDescent="0.3">
      <c r="G5542" s="470"/>
      <c r="H5542" s="470">
        <v>5535</v>
      </c>
      <c r="I5542" s="455">
        <f t="shared" ca="1" si="190"/>
        <v>2461761529935453.5</v>
      </c>
      <c r="J5542" s="455">
        <f t="array" ref="J5542">IFERROR(INDEX('Retirement Calculator'!K:K,MATCH('Lorri 401b'!N5542,'Retirement Calculator'!A:A,0),0),0)</f>
        <v>0</v>
      </c>
      <c r="K5542" s="455">
        <f t="shared" ca="1" si="188"/>
        <v>10257339708064.389</v>
      </c>
      <c r="L5542" s="455">
        <f t="shared" ca="1" si="189"/>
        <v>2472018869643518</v>
      </c>
      <c r="M5542" s="471">
        <f t="shared" si="191"/>
        <v>0.05</v>
      </c>
      <c r="N5542" s="475">
        <f t="shared" si="192"/>
        <v>219725</v>
      </c>
    </row>
    <row r="5543" spans="7:14" ht="11.25" customHeight="1" x14ac:dyDescent="0.3">
      <c r="G5543" s="470"/>
      <c r="H5543" s="470">
        <v>5536</v>
      </c>
      <c r="I5543" s="455">
        <f t="shared" ca="1" si="190"/>
        <v>2472018869643518</v>
      </c>
      <c r="J5543" s="455">
        <f t="array" ref="J5543">IFERROR(INDEX('Retirement Calculator'!K:K,MATCH('Lorri 401b'!N5543,'Retirement Calculator'!A:A,0),0),0)</f>
        <v>0</v>
      </c>
      <c r="K5543" s="455">
        <f t="shared" ca="1" si="188"/>
        <v>10300078623514.658</v>
      </c>
      <c r="L5543" s="455">
        <f t="shared" ca="1" si="189"/>
        <v>2482318948267032.5</v>
      </c>
      <c r="M5543" s="471">
        <f t="shared" si="191"/>
        <v>0.05</v>
      </c>
      <c r="N5543" s="475">
        <f t="shared" si="192"/>
        <v>219756</v>
      </c>
    </row>
    <row r="5544" spans="7:14" ht="11.25" customHeight="1" x14ac:dyDescent="0.3">
      <c r="G5544" s="470"/>
      <c r="H5544" s="470">
        <v>5537</v>
      </c>
      <c r="I5544" s="455">
        <f t="shared" ca="1" si="190"/>
        <v>2482318948267032.5</v>
      </c>
      <c r="J5544" s="455">
        <f t="array" ref="J5544">IFERROR(INDEX('Retirement Calculator'!K:K,MATCH('Lorri 401b'!N5544,'Retirement Calculator'!A:A,0),0),0)</f>
        <v>0</v>
      </c>
      <c r="K5544" s="455">
        <f t="shared" ca="1" si="188"/>
        <v>10342995617779.303</v>
      </c>
      <c r="L5544" s="455">
        <f t="shared" ca="1" si="189"/>
        <v>2492661943884812</v>
      </c>
      <c r="M5544" s="471">
        <f t="shared" si="191"/>
        <v>0.05</v>
      </c>
      <c r="N5544" s="475">
        <f t="shared" si="192"/>
        <v>219786</v>
      </c>
    </row>
    <row r="5545" spans="7:14" ht="11.25" customHeight="1" x14ac:dyDescent="0.3">
      <c r="G5545" s="470"/>
      <c r="H5545" s="470">
        <v>5538</v>
      </c>
      <c r="I5545" s="455">
        <f t="shared" ca="1" si="190"/>
        <v>2492661943884812</v>
      </c>
      <c r="J5545" s="455">
        <f t="array" ref="J5545">IFERROR(INDEX('Retirement Calculator'!K:K,MATCH('Lorri 401b'!N5545,'Retirement Calculator'!A:A,0),0),0)</f>
        <v>0</v>
      </c>
      <c r="K5545" s="455">
        <f t="shared" ca="1" si="188"/>
        <v>10386091432853.383</v>
      </c>
      <c r="L5545" s="455">
        <f t="shared" ca="1" si="189"/>
        <v>2503048035317665.5</v>
      </c>
      <c r="M5545" s="471">
        <f t="shared" si="191"/>
        <v>0.05</v>
      </c>
      <c r="N5545" s="475">
        <f t="shared" si="192"/>
        <v>219817</v>
      </c>
    </row>
    <row r="5546" spans="7:14" ht="11.25" customHeight="1" x14ac:dyDescent="0.3">
      <c r="G5546" s="470"/>
      <c r="H5546" s="470">
        <v>5539</v>
      </c>
      <c r="I5546" s="455">
        <f t="shared" ca="1" si="190"/>
        <v>2503048035317665.5</v>
      </c>
      <c r="J5546" s="455">
        <f t="array" ref="J5546">IFERROR(INDEX('Retirement Calculator'!K:K,MATCH('Lorri 401b'!N5546,'Retirement Calculator'!A:A,0),0),0)</f>
        <v>0</v>
      </c>
      <c r="K5546" s="455">
        <f t="shared" ca="1" si="188"/>
        <v>10429366813823.605</v>
      </c>
      <c r="L5546" s="455">
        <f t="shared" ca="1" si="189"/>
        <v>2513477402131489</v>
      </c>
      <c r="M5546" s="471">
        <f t="shared" si="191"/>
        <v>0.05</v>
      </c>
      <c r="N5546" s="475">
        <f t="shared" si="192"/>
        <v>219847</v>
      </c>
    </row>
    <row r="5547" spans="7:14" ht="11.25" customHeight="1" x14ac:dyDescent="0.3">
      <c r="G5547" s="470"/>
      <c r="H5547" s="470">
        <v>5540</v>
      </c>
      <c r="I5547" s="455">
        <f t="shared" ca="1" si="190"/>
        <v>2513477402131489</v>
      </c>
      <c r="J5547" s="455">
        <f t="array" ref="J5547">IFERROR(INDEX('Retirement Calculator'!K:K,MATCH('Lorri 401b'!N5547,'Retirement Calculator'!A:A,0),0),0)</f>
        <v>0</v>
      </c>
      <c r="K5547" s="455">
        <f t="shared" ca="1" si="188"/>
        <v>10472822508881.203</v>
      </c>
      <c r="L5547" s="455">
        <f t="shared" ca="1" si="189"/>
        <v>2523950224640370</v>
      </c>
      <c r="M5547" s="471">
        <f t="shared" si="191"/>
        <v>0.05</v>
      </c>
      <c r="N5547" s="475">
        <f t="shared" si="192"/>
        <v>219878</v>
      </c>
    </row>
    <row r="5548" spans="7:14" ht="11.25" customHeight="1" x14ac:dyDescent="0.3">
      <c r="G5548" s="470"/>
      <c r="H5548" s="470">
        <v>5541</v>
      </c>
      <c r="I5548" s="455">
        <f t="shared" ca="1" si="190"/>
        <v>2523950224640370</v>
      </c>
      <c r="J5548" s="455">
        <f t="array" ref="J5548">IFERROR(INDEX('Retirement Calculator'!K:K,MATCH('Lorri 401b'!N5548,'Retirement Calculator'!A:A,0),0),0)</f>
        <v>0</v>
      </c>
      <c r="K5548" s="455">
        <f t="shared" ca="1" si="188"/>
        <v>10516459269334.875</v>
      </c>
      <c r="L5548" s="455">
        <f t="shared" ca="1" si="189"/>
        <v>2534466683909705</v>
      </c>
      <c r="M5548" s="471">
        <f t="shared" si="191"/>
        <v>0.05</v>
      </c>
      <c r="N5548" s="475">
        <f t="shared" si="192"/>
        <v>219909</v>
      </c>
    </row>
    <row r="5549" spans="7:14" ht="11.25" customHeight="1" x14ac:dyDescent="0.3">
      <c r="G5549" s="470"/>
      <c r="H5549" s="470">
        <v>5542</v>
      </c>
      <c r="I5549" s="455">
        <f t="shared" ca="1" si="190"/>
        <v>2534466683909705</v>
      </c>
      <c r="J5549" s="455">
        <f t="array" ref="J5549">IFERROR(INDEX('Retirement Calculator'!K:K,MATCH('Lorri 401b'!N5549,'Retirement Calculator'!A:A,0),0),0)</f>
        <v>0</v>
      </c>
      <c r="K5549" s="455">
        <f t="shared" ca="1" si="188"/>
        <v>10560277849623.771</v>
      </c>
      <c r="L5549" s="455">
        <f t="shared" ca="1" si="189"/>
        <v>2545026961759329</v>
      </c>
      <c r="M5549" s="471">
        <f t="shared" si="191"/>
        <v>0.05</v>
      </c>
      <c r="N5549" s="475">
        <f t="shared" si="192"/>
        <v>219937</v>
      </c>
    </row>
    <row r="5550" spans="7:14" ht="11.25" customHeight="1" x14ac:dyDescent="0.3">
      <c r="G5550" s="470"/>
      <c r="H5550" s="470">
        <v>5543</v>
      </c>
      <c r="I5550" s="455">
        <f t="shared" ca="1" si="190"/>
        <v>2545026961759329</v>
      </c>
      <c r="J5550" s="455">
        <f t="array" ref="J5550">IFERROR(INDEX('Retirement Calculator'!K:K,MATCH('Lorri 401b'!N5550,'Retirement Calculator'!A:A,0),0),0)</f>
        <v>0</v>
      </c>
      <c r="K5550" s="455">
        <f t="shared" ca="1" si="188"/>
        <v>10604279007330.537</v>
      </c>
      <c r="L5550" s="455">
        <f t="shared" ca="1" si="189"/>
        <v>2555631240766659.5</v>
      </c>
      <c r="M5550" s="471">
        <f t="shared" si="191"/>
        <v>0.05</v>
      </c>
      <c r="N5550" s="475">
        <f t="shared" si="192"/>
        <v>219968</v>
      </c>
    </row>
    <row r="5551" spans="7:14" ht="11.25" customHeight="1" x14ac:dyDescent="0.3">
      <c r="G5551" s="470"/>
      <c r="H5551" s="470">
        <v>5544</v>
      </c>
      <c r="I5551" s="455">
        <f t="shared" ca="1" si="190"/>
        <v>2555631240766659.5</v>
      </c>
      <c r="J5551" s="455">
        <f t="array" ref="J5551">IFERROR(INDEX('Retirement Calculator'!K:K,MATCH('Lorri 401b'!N5551,'Retirement Calculator'!A:A,0),0),0)</f>
        <v>0</v>
      </c>
      <c r="K5551" s="455">
        <f t="shared" ca="1" si="188"/>
        <v>10648463503194.414</v>
      </c>
      <c r="L5551" s="455">
        <f t="shared" ca="1" si="189"/>
        <v>2566279704269854</v>
      </c>
      <c r="M5551" s="471">
        <f t="shared" si="191"/>
        <v>0.05</v>
      </c>
      <c r="N5551" s="475">
        <f t="shared" si="192"/>
        <v>219998</v>
      </c>
    </row>
    <row r="5552" spans="7:14" ht="11.25" customHeight="1" x14ac:dyDescent="0.3">
      <c r="G5552" s="470"/>
      <c r="H5552" s="470">
        <v>5545</v>
      </c>
      <c r="I5552" s="455">
        <f t="shared" ca="1" si="190"/>
        <v>2566279704269854</v>
      </c>
      <c r="J5552" s="455">
        <f t="array" ref="J5552">IFERROR(INDEX('Retirement Calculator'!K:K,MATCH('Lorri 401b'!N5552,'Retirement Calculator'!A:A,0),0),0)</f>
        <v>0</v>
      </c>
      <c r="K5552" s="455">
        <f t="shared" ca="1" si="188"/>
        <v>10692832101124.391</v>
      </c>
      <c r="L5552" s="455">
        <f t="shared" ca="1" si="189"/>
        <v>2576972536370978.5</v>
      </c>
      <c r="M5552" s="471">
        <f t="shared" si="191"/>
        <v>0.05</v>
      </c>
      <c r="N5552" s="475">
        <f t="shared" si="192"/>
        <v>220029</v>
      </c>
    </row>
    <row r="5553" spans="7:14" ht="11.25" customHeight="1" x14ac:dyDescent="0.3">
      <c r="G5553" s="470"/>
      <c r="H5553" s="470">
        <v>5546</v>
      </c>
      <c r="I5553" s="455">
        <f t="shared" ca="1" si="190"/>
        <v>2576972536370978.5</v>
      </c>
      <c r="J5553" s="455">
        <f t="array" ref="J5553">IFERROR(INDEX('Retirement Calculator'!K:K,MATCH('Lorri 401b'!N5553,'Retirement Calculator'!A:A,0),0),0)</f>
        <v>0</v>
      </c>
      <c r="K5553" s="455">
        <f t="shared" ca="1" si="188"/>
        <v>10737385568212.41</v>
      </c>
      <c r="L5553" s="455">
        <f t="shared" ca="1" si="189"/>
        <v>2587709921939191</v>
      </c>
      <c r="M5553" s="471">
        <f t="shared" si="191"/>
        <v>0.05</v>
      </c>
      <c r="N5553" s="475">
        <f t="shared" si="192"/>
        <v>220059</v>
      </c>
    </row>
    <row r="5554" spans="7:14" ht="11.25" customHeight="1" x14ac:dyDescent="0.3">
      <c r="G5554" s="470"/>
      <c r="H5554" s="470">
        <v>5547</v>
      </c>
      <c r="I5554" s="455">
        <f t="shared" ca="1" si="190"/>
        <v>2587709921939191</v>
      </c>
      <c r="J5554" s="455">
        <f t="array" ref="J5554">IFERROR(INDEX('Retirement Calculator'!K:K,MATCH('Lorri 401b'!N5554,'Retirement Calculator'!A:A,0),0),0)</f>
        <v>0</v>
      </c>
      <c r="K5554" s="455">
        <f t="shared" ca="1" si="188"/>
        <v>10782124674746.629</v>
      </c>
      <c r="L5554" s="455">
        <f t="shared" ca="1" si="189"/>
        <v>2598492046613937.5</v>
      </c>
      <c r="M5554" s="471">
        <f t="shared" si="191"/>
        <v>0.05</v>
      </c>
      <c r="N5554" s="475">
        <f t="shared" si="192"/>
        <v>220090</v>
      </c>
    </row>
    <row r="5555" spans="7:14" ht="11.25" customHeight="1" x14ac:dyDescent="0.3">
      <c r="G5555" s="470"/>
      <c r="H5555" s="470">
        <v>5548</v>
      </c>
      <c r="I5555" s="455">
        <f t="shared" ca="1" si="190"/>
        <v>2598492046613937.5</v>
      </c>
      <c r="J5555" s="455">
        <f t="array" ref="J5555">IFERROR(INDEX('Retirement Calculator'!K:K,MATCH('Lorri 401b'!N5555,'Retirement Calculator'!A:A,0),0),0)</f>
        <v>0</v>
      </c>
      <c r="K5555" s="455">
        <f t="shared" ca="1" si="188"/>
        <v>10827050194224.74</v>
      </c>
      <c r="L5555" s="455">
        <f t="shared" ca="1" si="189"/>
        <v>2609319096808162</v>
      </c>
      <c r="M5555" s="471">
        <f t="shared" si="191"/>
        <v>0.05</v>
      </c>
      <c r="N5555" s="475">
        <f t="shared" si="192"/>
        <v>220121</v>
      </c>
    </row>
    <row r="5556" spans="7:14" ht="11.25" customHeight="1" x14ac:dyDescent="0.3">
      <c r="G5556" s="470"/>
      <c r="H5556" s="470">
        <v>5549</v>
      </c>
      <c r="I5556" s="455">
        <f t="shared" ca="1" si="190"/>
        <v>2609319096808162</v>
      </c>
      <c r="J5556" s="455">
        <f t="array" ref="J5556">IFERROR(INDEX('Retirement Calculator'!K:K,MATCH('Lorri 401b'!N5556,'Retirement Calculator'!A:A,0),0),0)</f>
        <v>0</v>
      </c>
      <c r="K5556" s="455">
        <f t="shared" ca="1" si="188"/>
        <v>10872162903367.342</v>
      </c>
      <c r="L5556" s="455">
        <f t="shared" ca="1" si="189"/>
        <v>2620191259711529.5</v>
      </c>
      <c r="M5556" s="471">
        <f t="shared" si="191"/>
        <v>0.05</v>
      </c>
      <c r="N5556" s="475">
        <f t="shared" si="192"/>
        <v>220151</v>
      </c>
    </row>
    <row r="5557" spans="7:14" ht="11.25" customHeight="1" x14ac:dyDescent="0.3">
      <c r="G5557" s="470"/>
      <c r="H5557" s="470">
        <v>5550</v>
      </c>
      <c r="I5557" s="455">
        <f t="shared" ca="1" si="190"/>
        <v>2620191259711529.5</v>
      </c>
      <c r="J5557" s="455">
        <f t="array" ref="J5557">IFERROR(INDEX('Retirement Calculator'!K:K,MATCH('Lorri 401b'!N5557,'Retirement Calculator'!A:A,0),0),0)</f>
        <v>0</v>
      </c>
      <c r="K5557" s="455">
        <f t="shared" ca="1" si="188"/>
        <v>10917463582131.373</v>
      </c>
      <c r="L5557" s="455">
        <f t="shared" ca="1" si="189"/>
        <v>2631108723293661</v>
      </c>
      <c r="M5557" s="471">
        <f t="shared" si="191"/>
        <v>0.05</v>
      </c>
      <c r="N5557" s="475">
        <f t="shared" si="192"/>
        <v>220182</v>
      </c>
    </row>
    <row r="5558" spans="7:14" ht="11.25" customHeight="1" x14ac:dyDescent="0.3">
      <c r="G5558" s="470"/>
      <c r="H5558" s="470">
        <v>5551</v>
      </c>
      <c r="I5558" s="455">
        <f t="shared" ca="1" si="190"/>
        <v>2631108723293661</v>
      </c>
      <c r="J5558" s="455">
        <f t="array" ref="J5558">IFERROR(INDEX('Retirement Calculator'!K:K,MATCH('Lorri 401b'!N5558,'Retirement Calculator'!A:A,0),0),0)</f>
        <v>0</v>
      </c>
      <c r="K5558" s="455">
        <f t="shared" ca="1" si="188"/>
        <v>10962953013723.588</v>
      </c>
      <c r="L5558" s="455">
        <f t="shared" ca="1" si="189"/>
        <v>2642071676307384.5</v>
      </c>
      <c r="M5558" s="471">
        <f t="shared" si="191"/>
        <v>0.05</v>
      </c>
      <c r="N5558" s="475">
        <f t="shared" si="192"/>
        <v>220212</v>
      </c>
    </row>
    <row r="5559" spans="7:14" ht="11.25" customHeight="1" x14ac:dyDescent="0.3">
      <c r="G5559" s="470"/>
      <c r="H5559" s="470">
        <v>5552</v>
      </c>
      <c r="I5559" s="455">
        <f t="shared" ca="1" si="190"/>
        <v>2642071676307384.5</v>
      </c>
      <c r="J5559" s="455">
        <f t="array" ref="J5559">IFERROR(INDEX('Retirement Calculator'!K:K,MATCH('Lorri 401b'!N5559,'Retirement Calculator'!A:A,0),0),0)</f>
        <v>0</v>
      </c>
      <c r="K5559" s="455">
        <f t="shared" ca="1" si="188"/>
        <v>11008631984614.102</v>
      </c>
      <c r="L5559" s="455">
        <f t="shared" ca="1" si="189"/>
        <v>2653080308291998.5</v>
      </c>
      <c r="M5559" s="471">
        <f t="shared" si="191"/>
        <v>0.05</v>
      </c>
      <c r="N5559" s="475">
        <f t="shared" si="192"/>
        <v>220243</v>
      </c>
    </row>
    <row r="5560" spans="7:14" ht="11.25" customHeight="1" x14ac:dyDescent="0.3">
      <c r="G5560" s="470"/>
      <c r="H5560" s="470">
        <v>5553</v>
      </c>
      <c r="I5560" s="455">
        <f t="shared" ca="1" si="190"/>
        <v>2653080308291998.5</v>
      </c>
      <c r="J5560" s="455">
        <f t="array" ref="J5560">IFERROR(INDEX('Retirement Calculator'!K:K,MATCH('Lorri 401b'!N5560,'Retirement Calculator'!A:A,0),0),0)</f>
        <v>0</v>
      </c>
      <c r="K5560" s="455">
        <f t="shared" ca="1" si="188"/>
        <v>11054501284549.994</v>
      </c>
      <c r="L5560" s="455">
        <f t="shared" ca="1" si="189"/>
        <v>2664134809576548.5</v>
      </c>
      <c r="M5560" s="471">
        <f t="shared" si="191"/>
        <v>0.05</v>
      </c>
      <c r="N5560" s="475">
        <f t="shared" si="192"/>
        <v>220274</v>
      </c>
    </row>
    <row r="5561" spans="7:14" ht="11.25" customHeight="1" x14ac:dyDescent="0.3">
      <c r="G5561" s="470"/>
      <c r="H5561" s="470">
        <v>5554</v>
      </c>
      <c r="I5561" s="455">
        <f t="shared" ca="1" si="190"/>
        <v>2664134809576548.5</v>
      </c>
      <c r="J5561" s="455">
        <f t="array" ref="J5561">IFERROR(INDEX('Retirement Calculator'!K:K,MATCH('Lorri 401b'!N5561,'Retirement Calculator'!A:A,0),0),0)</f>
        <v>0</v>
      </c>
      <c r="K5561" s="455">
        <f t="shared" ca="1" si="188"/>
        <v>11100561706568.951</v>
      </c>
      <c r="L5561" s="455">
        <f t="shared" ca="1" si="189"/>
        <v>2675235371283117.5</v>
      </c>
      <c r="M5561" s="471">
        <f t="shared" si="191"/>
        <v>0.05</v>
      </c>
      <c r="N5561" s="475">
        <f t="shared" si="192"/>
        <v>220302</v>
      </c>
    </row>
    <row r="5562" spans="7:14" ht="11.25" customHeight="1" x14ac:dyDescent="0.3">
      <c r="G5562" s="470"/>
      <c r="H5562" s="470">
        <v>5555</v>
      </c>
      <c r="I5562" s="455">
        <f t="shared" ca="1" si="190"/>
        <v>2675235371283117.5</v>
      </c>
      <c r="J5562" s="455">
        <f t="array" ref="J5562">IFERROR(INDEX('Retirement Calculator'!K:K,MATCH('Lorri 401b'!N5562,'Retirement Calculator'!A:A,0),0),0)</f>
        <v>0</v>
      </c>
      <c r="K5562" s="455">
        <f t="shared" ca="1" si="188"/>
        <v>11146814047012.99</v>
      </c>
      <c r="L5562" s="455">
        <f t="shared" ca="1" si="189"/>
        <v>2686382185330130.5</v>
      </c>
      <c r="M5562" s="471">
        <f t="shared" si="191"/>
        <v>0.05</v>
      </c>
      <c r="N5562" s="475">
        <f t="shared" si="192"/>
        <v>220333</v>
      </c>
    </row>
    <row r="5563" spans="7:14" ht="11.25" customHeight="1" x14ac:dyDescent="0.3">
      <c r="G5563" s="470"/>
      <c r="H5563" s="470">
        <v>5556</v>
      </c>
      <c r="I5563" s="455">
        <f t="shared" ca="1" si="190"/>
        <v>2686382185330130.5</v>
      </c>
      <c r="J5563" s="455">
        <f t="array" ref="J5563">IFERROR(INDEX('Retirement Calculator'!K:K,MATCH('Lorri 401b'!N5563,'Retirement Calculator'!A:A,0),0),0)</f>
        <v>0</v>
      </c>
      <c r="K5563" s="455">
        <f t="shared" ca="1" si="188"/>
        <v>11193259105542.211</v>
      </c>
      <c r="L5563" s="455">
        <f t="shared" ca="1" si="189"/>
        <v>2697575444435672.5</v>
      </c>
      <c r="M5563" s="471">
        <f t="shared" si="191"/>
        <v>0.05</v>
      </c>
      <c r="N5563" s="475">
        <f t="shared" si="192"/>
        <v>220363</v>
      </c>
    </row>
    <row r="5564" spans="7:14" ht="11.25" customHeight="1" x14ac:dyDescent="0.3">
      <c r="G5564" s="470"/>
      <c r="H5564" s="470">
        <v>5557</v>
      </c>
      <c r="I5564" s="455">
        <f t="shared" ca="1" si="190"/>
        <v>2697575444435672.5</v>
      </c>
      <c r="J5564" s="455">
        <f t="array" ref="J5564">IFERROR(INDEX('Retirement Calculator'!K:K,MATCH('Lorri 401b'!N5564,'Retirement Calculator'!A:A,0),0),0)</f>
        <v>0</v>
      </c>
      <c r="K5564" s="455">
        <f t="shared" ca="1" si="188"/>
        <v>11239897685148.635</v>
      </c>
      <c r="L5564" s="455">
        <f t="shared" ca="1" si="189"/>
        <v>2708815342120821</v>
      </c>
      <c r="M5564" s="471">
        <f t="shared" si="191"/>
        <v>0.05</v>
      </c>
      <c r="N5564" s="475">
        <f t="shared" si="192"/>
        <v>220394</v>
      </c>
    </row>
    <row r="5565" spans="7:14" ht="11.25" customHeight="1" x14ac:dyDescent="0.3">
      <c r="G5565" s="470"/>
      <c r="H5565" s="470">
        <v>5558</v>
      </c>
      <c r="I5565" s="455">
        <f t="shared" ca="1" si="190"/>
        <v>2708815342120821</v>
      </c>
      <c r="J5565" s="455">
        <f t="array" ref="J5565">IFERROR(INDEX('Retirement Calculator'!K:K,MATCH('Lorri 401b'!N5565,'Retirement Calculator'!A:A,0),0),0)</f>
        <v>0</v>
      </c>
      <c r="K5565" s="455">
        <f t="shared" ca="1" si="188"/>
        <v>11286730592170.088</v>
      </c>
      <c r="L5565" s="455">
        <f t="shared" ca="1" si="189"/>
        <v>2720102072712991</v>
      </c>
      <c r="M5565" s="471">
        <f t="shared" si="191"/>
        <v>0.05</v>
      </c>
      <c r="N5565" s="475">
        <f t="shared" si="192"/>
        <v>220424</v>
      </c>
    </row>
    <row r="5566" spans="7:14" ht="11.25" customHeight="1" x14ac:dyDescent="0.3">
      <c r="G5566" s="470"/>
      <c r="H5566" s="470">
        <v>5559</v>
      </c>
      <c r="I5566" s="455">
        <f t="shared" ca="1" si="190"/>
        <v>2720102072712991</v>
      </c>
      <c r="J5566" s="455">
        <f t="array" ref="J5566">IFERROR(INDEX('Retirement Calculator'!K:K,MATCH('Lorri 401b'!N5566,'Retirement Calculator'!A:A,0),0),0)</f>
        <v>0</v>
      </c>
      <c r="K5566" s="455">
        <f t="shared" ca="1" si="188"/>
        <v>11333758636304.129</v>
      </c>
      <c r="L5566" s="455">
        <f t="shared" ca="1" si="189"/>
        <v>2731435831349295</v>
      </c>
      <c r="M5566" s="471">
        <f t="shared" si="191"/>
        <v>0.05</v>
      </c>
      <c r="N5566" s="475">
        <f t="shared" si="192"/>
        <v>220455</v>
      </c>
    </row>
    <row r="5567" spans="7:14" ht="11.25" customHeight="1" x14ac:dyDescent="0.3">
      <c r="G5567" s="470"/>
      <c r="H5567" s="470">
        <v>5560</v>
      </c>
      <c r="I5567" s="455">
        <f t="shared" ca="1" si="190"/>
        <v>2731435831349295</v>
      </c>
      <c r="J5567" s="455">
        <f t="array" ref="J5567">IFERROR(INDEX('Retirement Calculator'!K:K,MATCH('Lorri 401b'!N5567,'Retirement Calculator'!A:A,0),0),0)</f>
        <v>0</v>
      </c>
      <c r="K5567" s="455">
        <f t="shared" ca="1" si="188"/>
        <v>11380982630622.063</v>
      </c>
      <c r="L5567" s="455">
        <f t="shared" ca="1" si="189"/>
        <v>2742816813979917</v>
      </c>
      <c r="M5567" s="471">
        <f t="shared" si="191"/>
        <v>0.05</v>
      </c>
      <c r="N5567" s="475">
        <f t="shared" si="192"/>
        <v>220486</v>
      </c>
    </row>
    <row r="5568" spans="7:14" ht="11.25" customHeight="1" x14ac:dyDescent="0.3">
      <c r="G5568" s="470"/>
      <c r="H5568" s="470">
        <v>5561</v>
      </c>
      <c r="I5568" s="455">
        <f t="shared" ca="1" si="190"/>
        <v>2742816813979917</v>
      </c>
      <c r="J5568" s="455">
        <f t="array" ref="J5568">IFERROR(INDEX('Retirement Calculator'!K:K,MATCH('Lorri 401b'!N5568,'Retirement Calculator'!A:A,0),0),0)</f>
        <v>0</v>
      </c>
      <c r="K5568" s="455">
        <f t="shared" ca="1" si="188"/>
        <v>11428403391582.988</v>
      </c>
      <c r="L5568" s="455">
        <f t="shared" ca="1" si="189"/>
        <v>2754245217371500</v>
      </c>
      <c r="M5568" s="471">
        <f t="shared" si="191"/>
        <v>0.05</v>
      </c>
      <c r="N5568" s="475">
        <f t="shared" si="192"/>
        <v>220516</v>
      </c>
    </row>
    <row r="5569" spans="7:14" ht="11.25" customHeight="1" x14ac:dyDescent="0.3">
      <c r="G5569" s="470"/>
      <c r="H5569" s="470">
        <v>5562</v>
      </c>
      <c r="I5569" s="455">
        <f t="shared" ca="1" si="190"/>
        <v>2754245217371500</v>
      </c>
      <c r="J5569" s="455">
        <f t="array" ref="J5569">IFERROR(INDEX('Retirement Calculator'!K:K,MATCH('Lorri 401b'!N5569,'Retirement Calculator'!A:A,0),0),0)</f>
        <v>0</v>
      </c>
      <c r="K5569" s="455">
        <f t="shared" ca="1" si="188"/>
        <v>11476021739047.916</v>
      </c>
      <c r="L5569" s="455">
        <f t="shared" ca="1" si="189"/>
        <v>2765721239110548</v>
      </c>
      <c r="M5569" s="471">
        <f t="shared" si="191"/>
        <v>0.05</v>
      </c>
      <c r="N5569" s="475">
        <f t="shared" si="192"/>
        <v>220547</v>
      </c>
    </row>
    <row r="5570" spans="7:14" ht="11.25" customHeight="1" x14ac:dyDescent="0.3">
      <c r="G5570" s="470"/>
      <c r="H5570" s="470">
        <v>5563</v>
      </c>
      <c r="I5570" s="455">
        <f t="shared" ca="1" si="190"/>
        <v>2765721239110548</v>
      </c>
      <c r="J5570" s="455">
        <f t="array" ref="J5570">IFERROR(INDEX('Retirement Calculator'!K:K,MATCH('Lorri 401b'!N5570,'Retirement Calculator'!A:A,0),0),0)</f>
        <v>0</v>
      </c>
      <c r="K5570" s="455">
        <f t="shared" ca="1" si="188"/>
        <v>11523838496293.949</v>
      </c>
      <c r="L5570" s="455">
        <f t="shared" ca="1" si="189"/>
        <v>2777245077606842</v>
      </c>
      <c r="M5570" s="471">
        <f t="shared" si="191"/>
        <v>0.05</v>
      </c>
      <c r="N5570" s="475">
        <f t="shared" si="192"/>
        <v>220577</v>
      </c>
    </row>
    <row r="5571" spans="7:14" ht="11.25" customHeight="1" x14ac:dyDescent="0.3">
      <c r="G5571" s="470"/>
      <c r="H5571" s="470">
        <v>5564</v>
      </c>
      <c r="I5571" s="455">
        <f t="shared" ca="1" si="190"/>
        <v>2777245077606842</v>
      </c>
      <c r="J5571" s="455">
        <f t="array" ref="J5571">IFERROR(INDEX('Retirement Calculator'!K:K,MATCH('Lorri 401b'!N5571,'Retirement Calculator'!A:A,0),0),0)</f>
        <v>0</v>
      </c>
      <c r="K5571" s="455">
        <f t="shared" ca="1" si="188"/>
        <v>11571854490028.508</v>
      </c>
      <c r="L5571" s="455">
        <f t="shared" ca="1" si="189"/>
        <v>2788816932096870.5</v>
      </c>
      <c r="M5571" s="471">
        <f t="shared" si="191"/>
        <v>0.05</v>
      </c>
      <c r="N5571" s="475">
        <f t="shared" si="192"/>
        <v>220608</v>
      </c>
    </row>
    <row r="5572" spans="7:14" ht="11.25" customHeight="1" x14ac:dyDescent="0.3">
      <c r="G5572" s="470"/>
      <c r="H5572" s="470">
        <v>5565</v>
      </c>
      <c r="I5572" s="455">
        <f t="shared" ca="1" si="190"/>
        <v>2788816932096870.5</v>
      </c>
      <c r="J5572" s="455">
        <f t="array" ref="J5572">IFERROR(INDEX('Retirement Calculator'!K:K,MATCH('Lorri 401b'!N5572,'Retirement Calculator'!A:A,0),0),0)</f>
        <v>0</v>
      </c>
      <c r="K5572" s="455">
        <f t="shared" ca="1" si="188"/>
        <v>11620070550403.627</v>
      </c>
      <c r="L5572" s="455">
        <f t="shared" ca="1" si="189"/>
        <v>2800437002647274</v>
      </c>
      <c r="M5572" s="471">
        <f t="shared" si="191"/>
        <v>0.05</v>
      </c>
      <c r="N5572" s="475">
        <f t="shared" si="192"/>
        <v>220639</v>
      </c>
    </row>
    <row r="5573" spans="7:14" ht="11.25" customHeight="1" x14ac:dyDescent="0.3">
      <c r="G5573" s="470"/>
      <c r="H5573" s="470">
        <v>5566</v>
      </c>
      <c r="I5573" s="455">
        <f t="shared" ca="1" si="190"/>
        <v>2800437002647274</v>
      </c>
      <c r="J5573" s="455">
        <f t="array" ref="J5573">IFERROR(INDEX('Retirement Calculator'!K:K,MATCH('Lorri 401b'!N5573,'Retirement Calculator'!A:A,0),0),0)</f>
        <v>0</v>
      </c>
      <c r="K5573" s="455">
        <f t="shared" ca="1" si="188"/>
        <v>11668487511030.309</v>
      </c>
      <c r="L5573" s="455">
        <f t="shared" ca="1" si="189"/>
        <v>2812105490158304.5</v>
      </c>
      <c r="M5573" s="471">
        <f t="shared" si="191"/>
        <v>0.05</v>
      </c>
      <c r="N5573" s="475">
        <f t="shared" si="192"/>
        <v>220668</v>
      </c>
    </row>
    <row r="5574" spans="7:14" ht="11.25" customHeight="1" x14ac:dyDescent="0.3">
      <c r="G5574" s="470"/>
      <c r="H5574" s="470">
        <v>5567</v>
      </c>
      <c r="I5574" s="455">
        <f t="shared" ca="1" si="190"/>
        <v>2812105490158304.5</v>
      </c>
      <c r="J5574" s="455">
        <f t="array" ref="J5574">IFERROR(INDEX('Retirement Calculator'!K:K,MATCH('Lorri 401b'!N5574,'Retirement Calculator'!A:A,0),0),0)</f>
        <v>0</v>
      </c>
      <c r="K5574" s="455">
        <f t="shared" ca="1" si="188"/>
        <v>11717106208992.936</v>
      </c>
      <c r="L5574" s="455">
        <f t="shared" ca="1" si="189"/>
        <v>2823822596367297.5</v>
      </c>
      <c r="M5574" s="471">
        <f t="shared" si="191"/>
        <v>0.05</v>
      </c>
      <c r="N5574" s="475">
        <f t="shared" si="192"/>
        <v>220699</v>
      </c>
    </row>
    <row r="5575" spans="7:14" ht="11.25" customHeight="1" x14ac:dyDescent="0.3">
      <c r="G5575" s="470"/>
      <c r="H5575" s="470">
        <v>5568</v>
      </c>
      <c r="I5575" s="455">
        <f t="shared" ca="1" si="190"/>
        <v>2823822596367297.5</v>
      </c>
      <c r="J5575" s="455">
        <f t="array" ref="J5575">IFERROR(INDEX('Retirement Calculator'!K:K,MATCH('Lorri 401b'!N5575,'Retirement Calculator'!A:A,0),0),0)</f>
        <v>0</v>
      </c>
      <c r="K5575" s="455">
        <f t="shared" ca="1" si="188"/>
        <v>11765927484863.74</v>
      </c>
      <c r="L5575" s="455">
        <f t="shared" ca="1" si="189"/>
        <v>2835588523852161</v>
      </c>
      <c r="M5575" s="471">
        <f t="shared" si="191"/>
        <v>0.05</v>
      </c>
      <c r="N5575" s="475">
        <f t="shared" si="192"/>
        <v>220729</v>
      </c>
    </row>
    <row r="5576" spans="7:14" ht="11.25" customHeight="1" x14ac:dyDescent="0.3">
      <c r="G5576" s="470"/>
      <c r="H5576" s="470">
        <v>5569</v>
      </c>
      <c r="I5576" s="455">
        <f t="shared" ca="1" si="190"/>
        <v>2835588523852161</v>
      </c>
      <c r="J5576" s="455">
        <f t="array" ref="J5576">IFERROR(INDEX('Retirement Calculator'!K:K,MATCH('Lorri 401b'!N5576,'Retirement Calculator'!A:A,0),0),0)</f>
        <v>0</v>
      </c>
      <c r="K5576" s="455">
        <f t="shared" ca="1" si="188"/>
        <v>11814952182717.338</v>
      </c>
      <c r="L5576" s="455">
        <f t="shared" ca="1" si="189"/>
        <v>2847403476034878.5</v>
      </c>
      <c r="M5576" s="471">
        <f t="shared" si="191"/>
        <v>0.05</v>
      </c>
      <c r="N5576" s="475">
        <f t="shared" si="192"/>
        <v>220760</v>
      </c>
    </row>
    <row r="5577" spans="7:14" ht="11.25" customHeight="1" x14ac:dyDescent="0.3">
      <c r="G5577" s="470"/>
      <c r="H5577" s="470">
        <v>5570</v>
      </c>
      <c r="I5577" s="455">
        <f t="shared" ca="1" si="190"/>
        <v>2847403476034878.5</v>
      </c>
      <c r="J5577" s="455">
        <f t="array" ref="J5577">IFERROR(INDEX('Retirement Calculator'!K:K,MATCH('Lorri 401b'!N5577,'Retirement Calculator'!A:A,0),0),0)</f>
        <v>0</v>
      </c>
      <c r="K5577" s="455">
        <f t="shared" ca="1" si="188"/>
        <v>11864181150145.326</v>
      </c>
      <c r="L5577" s="455">
        <f t="shared" ca="1" si="189"/>
        <v>2859267657185024</v>
      </c>
      <c r="M5577" s="471">
        <f t="shared" si="191"/>
        <v>0.05</v>
      </c>
      <c r="N5577" s="475">
        <f t="shared" si="192"/>
        <v>220790</v>
      </c>
    </row>
    <row r="5578" spans="7:14" ht="11.25" customHeight="1" x14ac:dyDescent="0.3">
      <c r="G5578" s="470"/>
      <c r="H5578" s="470">
        <v>5571</v>
      </c>
      <c r="I5578" s="455">
        <f t="shared" ca="1" si="190"/>
        <v>2859267657185024</v>
      </c>
      <c r="J5578" s="455">
        <f t="array" ref="J5578">IFERROR(INDEX('Retirement Calculator'!K:K,MATCH('Lorri 401b'!N5578,'Retirement Calculator'!A:A,0),0),0)</f>
        <v>0</v>
      </c>
      <c r="K5578" s="455">
        <f t="shared" ca="1" si="188"/>
        <v>11913615238270.934</v>
      </c>
      <c r="L5578" s="455">
        <f t="shared" ca="1" si="189"/>
        <v>2871181272423295</v>
      </c>
      <c r="M5578" s="471">
        <f t="shared" si="191"/>
        <v>0.05</v>
      </c>
      <c r="N5578" s="475">
        <f t="shared" si="192"/>
        <v>220821</v>
      </c>
    </row>
    <row r="5579" spans="7:14" ht="11.25" customHeight="1" x14ac:dyDescent="0.3">
      <c r="G5579" s="470"/>
      <c r="H5579" s="470">
        <v>5572</v>
      </c>
      <c r="I5579" s="455">
        <f t="shared" ca="1" si="190"/>
        <v>2871181272423295</v>
      </c>
      <c r="J5579" s="455">
        <f t="array" ref="J5579">IFERROR(INDEX('Retirement Calculator'!K:K,MATCH('Lorri 401b'!N5579,'Retirement Calculator'!A:A,0),0),0)</f>
        <v>0</v>
      </c>
      <c r="K5579" s="455">
        <f t="shared" ca="1" si="188"/>
        <v>11963255301763.729</v>
      </c>
      <c r="L5579" s="455">
        <f t="shared" ca="1" si="189"/>
        <v>2883144527725058.5</v>
      </c>
      <c r="M5579" s="471">
        <f t="shared" si="191"/>
        <v>0.05</v>
      </c>
      <c r="N5579" s="475">
        <f t="shared" si="192"/>
        <v>220852</v>
      </c>
    </row>
    <row r="5580" spans="7:14" ht="11.25" customHeight="1" x14ac:dyDescent="0.3">
      <c r="G5580" s="470"/>
      <c r="H5580" s="470">
        <v>5573</v>
      </c>
      <c r="I5580" s="455">
        <f t="shared" ca="1" si="190"/>
        <v>2883144527725058.5</v>
      </c>
      <c r="J5580" s="455">
        <f t="array" ref="J5580">IFERROR(INDEX('Retirement Calculator'!K:K,MATCH('Lorri 401b'!N5580,'Retirement Calculator'!A:A,0),0),0)</f>
        <v>0</v>
      </c>
      <c r="K5580" s="455">
        <f t="shared" ca="1" si="188"/>
        <v>12013102198854.41</v>
      </c>
      <c r="L5580" s="455">
        <f t="shared" ca="1" si="189"/>
        <v>2895157629923913</v>
      </c>
      <c r="M5580" s="471">
        <f t="shared" si="191"/>
        <v>0.05</v>
      </c>
      <c r="N5580" s="475">
        <f t="shared" si="192"/>
        <v>220882</v>
      </c>
    </row>
    <row r="5581" spans="7:14" ht="11.25" customHeight="1" x14ac:dyDescent="0.3">
      <c r="G5581" s="470"/>
      <c r="H5581" s="470">
        <v>5574</v>
      </c>
      <c r="I5581" s="455">
        <f t="shared" ca="1" si="190"/>
        <v>2895157629923913</v>
      </c>
      <c r="J5581" s="455">
        <f t="array" ref="J5581">IFERROR(INDEX('Retirement Calculator'!K:K,MATCH('Lorri 401b'!N5581,'Retirement Calculator'!A:A,0),0),0)</f>
        <v>0</v>
      </c>
      <c r="K5581" s="455">
        <f t="shared" ca="1" si="188"/>
        <v>12063156791349.637</v>
      </c>
      <c r="L5581" s="455">
        <f t="shared" ca="1" si="189"/>
        <v>2907220786715262.5</v>
      </c>
      <c r="M5581" s="471">
        <f t="shared" si="191"/>
        <v>0.05</v>
      </c>
      <c r="N5581" s="475">
        <f t="shared" si="192"/>
        <v>220913</v>
      </c>
    </row>
    <row r="5582" spans="7:14" ht="11.25" customHeight="1" x14ac:dyDescent="0.3">
      <c r="G5582" s="470"/>
      <c r="H5582" s="470">
        <v>5575</v>
      </c>
      <c r="I5582" s="455">
        <f t="shared" ca="1" si="190"/>
        <v>2907220786715262.5</v>
      </c>
      <c r="J5582" s="455">
        <f t="array" ref="J5582">IFERROR(INDEX('Retirement Calculator'!K:K,MATCH('Lorri 401b'!N5582,'Retirement Calculator'!A:A,0),0),0)</f>
        <v>0</v>
      </c>
      <c r="K5582" s="455">
        <f t="shared" ca="1" si="188"/>
        <v>12113419944646.928</v>
      </c>
      <c r="L5582" s="455">
        <f t="shared" ca="1" si="189"/>
        <v>2919334206659909.5</v>
      </c>
      <c r="M5582" s="471">
        <f t="shared" si="191"/>
        <v>0.05</v>
      </c>
      <c r="N5582" s="475">
        <f t="shared" si="192"/>
        <v>220943</v>
      </c>
    </row>
    <row r="5583" spans="7:14" ht="11.25" customHeight="1" x14ac:dyDescent="0.3">
      <c r="G5583" s="470"/>
      <c r="H5583" s="470">
        <v>5576</v>
      </c>
      <c r="I5583" s="455">
        <f t="shared" ca="1" si="190"/>
        <v>2919334206659909.5</v>
      </c>
      <c r="J5583" s="455">
        <f t="array" ref="J5583">IFERROR(INDEX('Retirement Calculator'!K:K,MATCH('Lorri 401b'!N5583,'Retirement Calculator'!A:A,0),0),0)</f>
        <v>0</v>
      </c>
      <c r="K5583" s="455">
        <f t="shared" ca="1" si="188"/>
        <v>12163892527749.623</v>
      </c>
      <c r="L5583" s="455">
        <f t="shared" ca="1" si="189"/>
        <v>2931498099187659</v>
      </c>
      <c r="M5583" s="471">
        <f t="shared" si="191"/>
        <v>0.05</v>
      </c>
      <c r="N5583" s="475">
        <f t="shared" si="192"/>
        <v>220974</v>
      </c>
    </row>
    <row r="5584" spans="7:14" ht="11.25" customHeight="1" x14ac:dyDescent="0.3">
      <c r="G5584" s="470"/>
      <c r="H5584" s="470">
        <v>5577</v>
      </c>
      <c r="I5584" s="455">
        <f t="shared" ca="1" si="190"/>
        <v>2931498099187659</v>
      </c>
      <c r="J5584" s="455">
        <f t="array" ref="J5584">IFERROR(INDEX('Retirement Calculator'!K:K,MATCH('Lorri 401b'!N5584,'Retirement Calculator'!A:A,0),0),0)</f>
        <v>0</v>
      </c>
      <c r="K5584" s="455">
        <f t="shared" ca="1" si="188"/>
        <v>12214575413281.912</v>
      </c>
      <c r="L5584" s="455">
        <f t="shared" ca="1" si="189"/>
        <v>2943712674600941</v>
      </c>
      <c r="M5584" s="471">
        <f t="shared" si="191"/>
        <v>0.05</v>
      </c>
      <c r="N5584" s="475">
        <f t="shared" si="192"/>
        <v>221005</v>
      </c>
    </row>
    <row r="5585" spans="7:14" ht="11.25" customHeight="1" x14ac:dyDescent="0.3">
      <c r="G5585" s="470"/>
      <c r="H5585" s="470">
        <v>5578</v>
      </c>
      <c r="I5585" s="455">
        <f t="shared" ca="1" si="190"/>
        <v>2943712674600941</v>
      </c>
      <c r="J5585" s="455">
        <f t="array" ref="J5585">IFERROR(INDEX('Retirement Calculator'!K:K,MATCH('Lorri 401b'!N5585,'Retirement Calculator'!A:A,0),0),0)</f>
        <v>0</v>
      </c>
      <c r="K5585" s="455">
        <f t="shared" ca="1" si="188"/>
        <v>12265469477503.92</v>
      </c>
      <c r="L5585" s="455">
        <f t="shared" ca="1" si="189"/>
        <v>2955978144078445</v>
      </c>
      <c r="M5585" s="471">
        <f t="shared" si="191"/>
        <v>0.05</v>
      </c>
      <c r="N5585" s="475">
        <f t="shared" si="192"/>
        <v>221033</v>
      </c>
    </row>
    <row r="5586" spans="7:14" ht="11.25" customHeight="1" x14ac:dyDescent="0.3">
      <c r="G5586" s="470"/>
      <c r="H5586" s="470">
        <v>5579</v>
      </c>
      <c r="I5586" s="455">
        <f t="shared" ca="1" si="190"/>
        <v>2955978144078445</v>
      </c>
      <c r="J5586" s="455">
        <f t="array" ref="J5586">IFERROR(INDEX('Retirement Calculator'!K:K,MATCH('Lorri 401b'!N5586,'Retirement Calculator'!A:A,0),0),0)</f>
        <v>0</v>
      </c>
      <c r="K5586" s="455">
        <f t="shared" ca="1" si="188"/>
        <v>12316575600326.854</v>
      </c>
      <c r="L5586" s="455">
        <f t="shared" ca="1" si="189"/>
        <v>2968294719678772</v>
      </c>
      <c r="M5586" s="471">
        <f t="shared" si="191"/>
        <v>0.05</v>
      </c>
      <c r="N5586" s="475">
        <f t="shared" si="192"/>
        <v>221064</v>
      </c>
    </row>
    <row r="5587" spans="7:14" ht="11.25" customHeight="1" x14ac:dyDescent="0.3">
      <c r="G5587" s="470"/>
      <c r="H5587" s="470">
        <v>5580</v>
      </c>
      <c r="I5587" s="455">
        <f t="shared" ca="1" si="190"/>
        <v>2968294719678772</v>
      </c>
      <c r="J5587" s="455">
        <f t="array" ref="J5587">IFERROR(INDEX('Retirement Calculator'!K:K,MATCH('Lorri 401b'!N5587,'Retirement Calculator'!A:A,0),0),0)</f>
        <v>0</v>
      </c>
      <c r="K5587" s="455">
        <f t="shared" ca="1" si="188"/>
        <v>12367894665328.217</v>
      </c>
      <c r="L5587" s="455">
        <f t="shared" ca="1" si="189"/>
        <v>2980662614344100</v>
      </c>
      <c r="M5587" s="471">
        <f t="shared" si="191"/>
        <v>0.05</v>
      </c>
      <c r="N5587" s="475">
        <f t="shared" si="192"/>
        <v>221094</v>
      </c>
    </row>
    <row r="5588" spans="7:14" ht="11.25" customHeight="1" x14ac:dyDescent="0.3">
      <c r="G5588" s="470"/>
      <c r="H5588" s="470">
        <v>5581</v>
      </c>
      <c r="I5588" s="455">
        <f t="shared" ca="1" si="190"/>
        <v>2980662614344100</v>
      </c>
      <c r="J5588" s="455">
        <f t="array" ref="J5588">IFERROR(INDEX('Retirement Calculator'!K:K,MATCH('Lorri 401b'!N5588,'Retirement Calculator'!A:A,0),0),0)</f>
        <v>0</v>
      </c>
      <c r="K5588" s="455">
        <f t="shared" ca="1" si="188"/>
        <v>12419427559767.084</v>
      </c>
      <c r="L5588" s="455">
        <f t="shared" ca="1" si="189"/>
        <v>2993082041903867</v>
      </c>
      <c r="M5588" s="471">
        <f t="shared" si="191"/>
        <v>0.05</v>
      </c>
      <c r="N5588" s="475">
        <f t="shared" si="192"/>
        <v>221125</v>
      </c>
    </row>
    <row r="5589" spans="7:14" ht="11.25" customHeight="1" x14ac:dyDescent="0.3">
      <c r="G5589" s="470"/>
      <c r="H5589" s="470">
        <v>5582</v>
      </c>
      <c r="I5589" s="455">
        <f t="shared" ca="1" si="190"/>
        <v>2993082041903867</v>
      </c>
      <c r="J5589" s="455">
        <f t="array" ref="J5589">IFERROR(INDEX('Retirement Calculator'!K:K,MATCH('Lorri 401b'!N5589,'Retirement Calculator'!A:A,0),0),0)</f>
        <v>0</v>
      </c>
      <c r="K5589" s="455">
        <f t="shared" ca="1" si="188"/>
        <v>12471175174599.445</v>
      </c>
      <c r="L5589" s="455">
        <f t="shared" ca="1" si="189"/>
        <v>3005553217078466.5</v>
      </c>
      <c r="M5589" s="471">
        <f t="shared" si="191"/>
        <v>0.05</v>
      </c>
      <c r="N5589" s="475">
        <f t="shared" si="192"/>
        <v>221155</v>
      </c>
    </row>
    <row r="5590" spans="7:14" ht="11.25" customHeight="1" x14ac:dyDescent="0.3">
      <c r="G5590" s="470"/>
      <c r="H5590" s="470">
        <v>5583</v>
      </c>
      <c r="I5590" s="455">
        <f t="shared" ca="1" si="190"/>
        <v>3005553217078466.5</v>
      </c>
      <c r="J5590" s="455">
        <f t="array" ref="J5590">IFERROR(INDEX('Retirement Calculator'!K:K,MATCH('Lorri 401b'!N5590,'Retirement Calculator'!A:A,0),0),0)</f>
        <v>0</v>
      </c>
      <c r="K5590" s="455">
        <f t="shared" ca="1" si="188"/>
        <v>12523138404493.609</v>
      </c>
      <c r="L5590" s="455">
        <f t="shared" ca="1" si="189"/>
        <v>3018076355482960</v>
      </c>
      <c r="M5590" s="471">
        <f t="shared" si="191"/>
        <v>0.05</v>
      </c>
      <c r="N5590" s="475">
        <f t="shared" si="192"/>
        <v>221186</v>
      </c>
    </row>
    <row r="5591" spans="7:14" ht="11.25" customHeight="1" x14ac:dyDescent="0.3">
      <c r="G5591" s="470"/>
      <c r="H5591" s="470">
        <v>5584</v>
      </c>
      <c r="I5591" s="455">
        <f t="shared" ca="1" si="190"/>
        <v>3018076355482960</v>
      </c>
      <c r="J5591" s="455">
        <f t="array" ref="J5591">IFERROR(INDEX('Retirement Calculator'!K:K,MATCH('Lorri 401b'!N5591,'Retirement Calculator'!A:A,0),0),0)</f>
        <v>0</v>
      </c>
      <c r="K5591" s="455">
        <f t="shared" ca="1" si="188"/>
        <v>12575318147845.666</v>
      </c>
      <c r="L5591" s="455">
        <f t="shared" ca="1" si="189"/>
        <v>3030651673630805.5</v>
      </c>
      <c r="M5591" s="471">
        <f t="shared" si="191"/>
        <v>0.05</v>
      </c>
      <c r="N5591" s="475">
        <f t="shared" si="192"/>
        <v>221217</v>
      </c>
    </row>
    <row r="5592" spans="7:14" ht="11.25" customHeight="1" x14ac:dyDescent="0.3">
      <c r="G5592" s="470"/>
      <c r="H5592" s="470">
        <v>5585</v>
      </c>
      <c r="I5592" s="455">
        <f t="shared" ca="1" si="190"/>
        <v>3030651673630805.5</v>
      </c>
      <c r="J5592" s="455">
        <f t="array" ref="J5592">IFERROR(INDEX('Retirement Calculator'!K:K,MATCH('Lorri 401b'!N5592,'Retirement Calculator'!A:A,0),0),0)</f>
        <v>0</v>
      </c>
      <c r="K5592" s="455">
        <f t="shared" ca="1" si="188"/>
        <v>12627715306795.023</v>
      </c>
      <c r="L5592" s="455">
        <f t="shared" ca="1" si="189"/>
        <v>3043279388937600.5</v>
      </c>
      <c r="M5592" s="471">
        <f t="shared" si="191"/>
        <v>0.05</v>
      </c>
      <c r="N5592" s="475">
        <f t="shared" si="192"/>
        <v>221247</v>
      </c>
    </row>
    <row r="5593" spans="7:14" ht="11.25" customHeight="1" x14ac:dyDescent="0.3">
      <c r="G5593" s="470"/>
      <c r="H5593" s="470">
        <v>5586</v>
      </c>
      <c r="I5593" s="455">
        <f t="shared" ca="1" si="190"/>
        <v>3043279388937600.5</v>
      </c>
      <c r="J5593" s="455">
        <f t="array" ref="J5593">IFERROR(INDEX('Retirement Calculator'!K:K,MATCH('Lorri 401b'!N5593,'Retirement Calculator'!A:A,0),0),0)</f>
        <v>0</v>
      </c>
      <c r="K5593" s="455">
        <f t="shared" ca="1" si="188"/>
        <v>12680330787240.002</v>
      </c>
      <c r="L5593" s="455">
        <f t="shared" ca="1" si="189"/>
        <v>3055959719724840.5</v>
      </c>
      <c r="M5593" s="471">
        <f t="shared" si="191"/>
        <v>0.05</v>
      </c>
      <c r="N5593" s="475">
        <f t="shared" si="192"/>
        <v>221278</v>
      </c>
    </row>
    <row r="5594" spans="7:14" ht="11.25" customHeight="1" x14ac:dyDescent="0.3">
      <c r="G5594" s="470"/>
      <c r="H5594" s="470">
        <v>5587</v>
      </c>
      <c r="I5594" s="455">
        <f t="shared" ca="1" si="190"/>
        <v>3055959719724840.5</v>
      </c>
      <c r="J5594" s="455">
        <f t="array" ref="J5594">IFERROR(INDEX('Retirement Calculator'!K:K,MATCH('Lorri 401b'!N5594,'Retirement Calculator'!A:A,0),0),0)</f>
        <v>0</v>
      </c>
      <c r="K5594" s="455">
        <f t="shared" ca="1" si="188"/>
        <v>12733165498853.502</v>
      </c>
      <c r="L5594" s="455">
        <f t="shared" ca="1" si="189"/>
        <v>3068692885223694</v>
      </c>
      <c r="M5594" s="471">
        <f t="shared" si="191"/>
        <v>0.05</v>
      </c>
      <c r="N5594" s="475">
        <f t="shared" si="192"/>
        <v>221308</v>
      </c>
    </row>
    <row r="5595" spans="7:14" ht="11.25" customHeight="1" x14ac:dyDescent="0.3">
      <c r="G5595" s="470"/>
      <c r="H5595" s="470">
        <v>5588</v>
      </c>
      <c r="I5595" s="455">
        <f t="shared" ca="1" si="190"/>
        <v>3068692885223694</v>
      </c>
      <c r="J5595" s="455">
        <f t="array" ref="J5595">IFERROR(INDEX('Retirement Calculator'!K:K,MATCH('Lorri 401b'!N5595,'Retirement Calculator'!A:A,0),0),0)</f>
        <v>0</v>
      </c>
      <c r="K5595" s="455">
        <f t="shared" ca="1" si="188"/>
        <v>12786220355098.725</v>
      </c>
      <c r="L5595" s="455">
        <f t="shared" ca="1" si="189"/>
        <v>3081479105578792.5</v>
      </c>
      <c r="M5595" s="471">
        <f t="shared" si="191"/>
        <v>0.05</v>
      </c>
      <c r="N5595" s="475">
        <f t="shared" si="192"/>
        <v>221339</v>
      </c>
    </row>
    <row r="5596" spans="7:14" ht="11.25" customHeight="1" x14ac:dyDescent="0.3">
      <c r="G5596" s="470"/>
      <c r="H5596" s="470">
        <v>5589</v>
      </c>
      <c r="I5596" s="455">
        <f t="shared" ca="1" si="190"/>
        <v>3081479105578792.5</v>
      </c>
      <c r="J5596" s="455">
        <f t="array" ref="J5596">IFERROR(INDEX('Retirement Calculator'!K:K,MATCH('Lorri 401b'!N5596,'Retirement Calculator'!A:A,0),0),0)</f>
        <v>0</v>
      </c>
      <c r="K5596" s="455">
        <f t="shared" ca="1" si="188"/>
        <v>12839496273244.969</v>
      </c>
      <c r="L5596" s="455">
        <f t="shared" ca="1" si="189"/>
        <v>3094318601852037.5</v>
      </c>
      <c r="M5596" s="471">
        <f t="shared" si="191"/>
        <v>0.05</v>
      </c>
      <c r="N5596" s="475">
        <f t="shared" si="192"/>
        <v>221370</v>
      </c>
    </row>
    <row r="5597" spans="7:14" ht="11.25" customHeight="1" x14ac:dyDescent="0.3">
      <c r="G5597" s="470"/>
      <c r="H5597" s="470">
        <v>5590</v>
      </c>
      <c r="I5597" s="455">
        <f t="shared" ca="1" si="190"/>
        <v>3094318601852037.5</v>
      </c>
      <c r="J5597" s="455">
        <f t="array" ref="J5597">IFERROR(INDEX('Retirement Calculator'!K:K,MATCH('Lorri 401b'!N5597,'Retirement Calculator'!A:A,0),0),0)</f>
        <v>0</v>
      </c>
      <c r="K5597" s="455">
        <f t="shared" ca="1" si="188"/>
        <v>12892994174383.49</v>
      </c>
      <c r="L5597" s="455">
        <f t="shared" ca="1" si="189"/>
        <v>3107211596026421</v>
      </c>
      <c r="M5597" s="471">
        <f t="shared" si="191"/>
        <v>0.05</v>
      </c>
      <c r="N5597" s="475">
        <f t="shared" si="192"/>
        <v>221398</v>
      </c>
    </row>
    <row r="5598" spans="7:14" ht="11.25" customHeight="1" x14ac:dyDescent="0.3">
      <c r="G5598" s="470"/>
      <c r="H5598" s="470">
        <v>5591</v>
      </c>
      <c r="I5598" s="455">
        <f t="shared" ca="1" si="190"/>
        <v>3107211596026421</v>
      </c>
      <c r="J5598" s="455">
        <f t="array" ref="J5598">IFERROR(INDEX('Retirement Calculator'!K:K,MATCH('Lorri 401b'!N5598,'Retirement Calculator'!A:A,0),0),0)</f>
        <v>0</v>
      </c>
      <c r="K5598" s="455">
        <f t="shared" ca="1" si="188"/>
        <v>12946714983443.42</v>
      </c>
      <c r="L5598" s="455">
        <f t="shared" ca="1" si="189"/>
        <v>3120158311009864.5</v>
      </c>
      <c r="M5598" s="471">
        <f t="shared" si="191"/>
        <v>0.05</v>
      </c>
      <c r="N5598" s="475">
        <f t="shared" si="192"/>
        <v>221429</v>
      </c>
    </row>
    <row r="5599" spans="7:14" ht="11.25" customHeight="1" x14ac:dyDescent="0.3">
      <c r="G5599" s="470"/>
      <c r="H5599" s="470">
        <v>5592</v>
      </c>
      <c r="I5599" s="455">
        <f t="shared" ca="1" si="190"/>
        <v>3120158311009864.5</v>
      </c>
      <c r="J5599" s="455">
        <f t="array" ref="J5599">IFERROR(INDEX('Retirement Calculator'!K:K,MATCH('Lorri 401b'!N5599,'Retirement Calculator'!A:A,0),0),0)</f>
        <v>0</v>
      </c>
      <c r="K5599" s="455">
        <f t="shared" ca="1" si="188"/>
        <v>13000659629207.77</v>
      </c>
      <c r="L5599" s="455">
        <f t="shared" ca="1" si="189"/>
        <v>3133158970639072.5</v>
      </c>
      <c r="M5599" s="471">
        <f t="shared" si="191"/>
        <v>0.05</v>
      </c>
      <c r="N5599" s="475">
        <f t="shared" si="192"/>
        <v>221459</v>
      </c>
    </row>
    <row r="5600" spans="7:14" ht="11.25" customHeight="1" x14ac:dyDescent="0.3">
      <c r="G5600" s="470"/>
      <c r="H5600" s="470">
        <v>5593</v>
      </c>
      <c r="I5600" s="455">
        <f t="shared" ca="1" si="190"/>
        <v>3133158970639072.5</v>
      </c>
      <c r="J5600" s="455">
        <f t="array" ref="J5600">IFERROR(INDEX('Retirement Calculator'!K:K,MATCH('Lorri 401b'!N5600,'Retirement Calculator'!A:A,0),0),0)</f>
        <v>0</v>
      </c>
      <c r="K5600" s="455">
        <f t="shared" ca="1" si="188"/>
        <v>13054829044329.469</v>
      </c>
      <c r="L5600" s="455">
        <f t="shared" ca="1" si="189"/>
        <v>3146213799683402</v>
      </c>
      <c r="M5600" s="471">
        <f t="shared" si="191"/>
        <v>0.05</v>
      </c>
      <c r="N5600" s="475">
        <f t="shared" si="192"/>
        <v>221490</v>
      </c>
    </row>
    <row r="5601" spans="7:14" ht="11.25" customHeight="1" x14ac:dyDescent="0.3">
      <c r="G5601" s="470"/>
      <c r="H5601" s="470">
        <v>5594</v>
      </c>
      <c r="I5601" s="455">
        <f t="shared" ca="1" si="190"/>
        <v>3146213799683402</v>
      </c>
      <c r="J5601" s="455">
        <f t="array" ref="J5601">IFERROR(INDEX('Retirement Calculator'!K:K,MATCH('Lorri 401b'!N5601,'Retirement Calculator'!A:A,0),0),0)</f>
        <v>0</v>
      </c>
      <c r="K5601" s="455">
        <f t="shared" ca="1" si="188"/>
        <v>13109224165347.508</v>
      </c>
      <c r="L5601" s="455">
        <f t="shared" ca="1" si="189"/>
        <v>3159323023848749.5</v>
      </c>
      <c r="M5601" s="471">
        <f t="shared" si="191"/>
        <v>0.05</v>
      </c>
      <c r="N5601" s="475">
        <f t="shared" si="192"/>
        <v>221520</v>
      </c>
    </row>
    <row r="5602" spans="7:14" ht="11.25" customHeight="1" x14ac:dyDescent="0.3">
      <c r="G5602" s="470"/>
      <c r="H5602" s="470">
        <v>5595</v>
      </c>
      <c r="I5602" s="455">
        <f t="shared" ca="1" si="190"/>
        <v>3159323023848749.5</v>
      </c>
      <c r="J5602" s="455">
        <f t="array" ref="J5602">IFERROR(INDEX('Retirement Calculator'!K:K,MATCH('Lorri 401b'!N5602,'Retirement Calculator'!A:A,0),0),0)</f>
        <v>0</v>
      </c>
      <c r="K5602" s="455">
        <f t="shared" ca="1" si="188"/>
        <v>13163845932703.123</v>
      </c>
      <c r="L5602" s="455">
        <f t="shared" ca="1" si="189"/>
        <v>3172486869781452.5</v>
      </c>
      <c r="M5602" s="471">
        <f t="shared" si="191"/>
        <v>0.05</v>
      </c>
      <c r="N5602" s="475">
        <f t="shared" si="192"/>
        <v>221551</v>
      </c>
    </row>
    <row r="5603" spans="7:14" ht="11.25" customHeight="1" x14ac:dyDescent="0.3">
      <c r="G5603" s="470"/>
      <c r="H5603" s="470">
        <v>5596</v>
      </c>
      <c r="I5603" s="455">
        <f t="shared" ca="1" si="190"/>
        <v>3172486869781452.5</v>
      </c>
      <c r="J5603" s="455">
        <f t="array" ref="J5603">IFERROR(INDEX('Retirement Calculator'!K:K,MATCH('Lorri 401b'!N5603,'Retirement Calculator'!A:A,0),0),0)</f>
        <v>0</v>
      </c>
      <c r="K5603" s="455">
        <f t="shared" ca="1" si="188"/>
        <v>13218695290756.053</v>
      </c>
      <c r="L5603" s="455">
        <f t="shared" ca="1" si="189"/>
        <v>3185705565072208.5</v>
      </c>
      <c r="M5603" s="471">
        <f t="shared" si="191"/>
        <v>0.05</v>
      </c>
      <c r="N5603" s="475">
        <f t="shared" si="192"/>
        <v>221582</v>
      </c>
    </row>
    <row r="5604" spans="7:14" ht="11.25" customHeight="1" x14ac:dyDescent="0.3">
      <c r="G5604" s="470"/>
      <c r="H5604" s="470">
        <v>5597</v>
      </c>
      <c r="I5604" s="455">
        <f t="shared" ca="1" si="190"/>
        <v>3185705565072208.5</v>
      </c>
      <c r="J5604" s="455">
        <f t="array" ref="J5604">IFERROR(INDEX('Retirement Calculator'!K:K,MATCH('Lorri 401b'!N5604,'Retirement Calculator'!A:A,0),0),0)</f>
        <v>0</v>
      </c>
      <c r="K5604" s="455">
        <f t="shared" ca="1" si="188"/>
        <v>13273773187800.869</v>
      </c>
      <c r="L5604" s="455">
        <f t="shared" ca="1" si="189"/>
        <v>3198979338260009.5</v>
      </c>
      <c r="M5604" s="471">
        <f t="shared" si="191"/>
        <v>0.05</v>
      </c>
      <c r="N5604" s="475">
        <f t="shared" si="192"/>
        <v>221612</v>
      </c>
    </row>
    <row r="5605" spans="7:14" ht="11.25" customHeight="1" x14ac:dyDescent="0.3">
      <c r="G5605" s="470"/>
      <c r="H5605" s="470">
        <v>5598</v>
      </c>
      <c r="I5605" s="455">
        <f t="shared" ca="1" si="190"/>
        <v>3198979338260009.5</v>
      </c>
      <c r="J5605" s="455">
        <f t="array" ref="J5605">IFERROR(INDEX('Retirement Calculator'!K:K,MATCH('Lorri 401b'!N5605,'Retirement Calculator'!A:A,0),0),0)</f>
        <v>0</v>
      </c>
      <c r="K5605" s="455">
        <f t="shared" ca="1" si="188"/>
        <v>13329080576083.373</v>
      </c>
      <c r="L5605" s="455">
        <f t="shared" ca="1" si="189"/>
        <v>3212308418836093</v>
      </c>
      <c r="M5605" s="471">
        <f t="shared" si="191"/>
        <v>0.05</v>
      </c>
      <c r="N5605" s="475">
        <f t="shared" si="192"/>
        <v>221643</v>
      </c>
    </row>
    <row r="5606" spans="7:14" ht="11.25" customHeight="1" x14ac:dyDescent="0.3">
      <c r="G5606" s="470"/>
      <c r="H5606" s="470">
        <v>5599</v>
      </c>
      <c r="I5606" s="455">
        <f t="shared" ca="1" si="190"/>
        <v>3212308418836093</v>
      </c>
      <c r="J5606" s="455">
        <f t="array" ref="J5606">IFERROR(INDEX('Retirement Calculator'!K:K,MATCH('Lorri 401b'!N5606,'Retirement Calculator'!A:A,0),0),0)</f>
        <v>0</v>
      </c>
      <c r="K5606" s="455">
        <f t="shared" ca="1" si="188"/>
        <v>13384618411817.055</v>
      </c>
      <c r="L5606" s="455">
        <f t="shared" ca="1" si="189"/>
        <v>3225693037247910</v>
      </c>
      <c r="M5606" s="471">
        <f t="shared" si="191"/>
        <v>0.05</v>
      </c>
      <c r="N5606" s="475">
        <f t="shared" si="192"/>
        <v>221673</v>
      </c>
    </row>
    <row r="5607" spans="7:14" ht="11.25" customHeight="1" x14ac:dyDescent="0.3">
      <c r="G5607" s="470"/>
      <c r="H5607" s="470">
        <v>5600</v>
      </c>
      <c r="I5607" s="455">
        <f t="shared" ca="1" si="190"/>
        <v>3225693037247910</v>
      </c>
      <c r="J5607" s="455">
        <f t="array" ref="J5607">IFERROR(INDEX('Retirement Calculator'!K:K,MATCH('Lorri 401b'!N5607,'Retirement Calculator'!A:A,0),0),0)</f>
        <v>0</v>
      </c>
      <c r="K5607" s="455">
        <f t="shared" ca="1" si="188"/>
        <v>13440387655199.625</v>
      </c>
      <c r="L5607" s="455">
        <f t="shared" ca="1" si="189"/>
        <v>3239133424903109.5</v>
      </c>
      <c r="M5607" s="471">
        <f t="shared" si="191"/>
        <v>0.05</v>
      </c>
      <c r="N5607" s="475">
        <f t="shared" si="192"/>
        <v>221704</v>
      </c>
    </row>
    <row r="5608" spans="7:14" ht="11.25" customHeight="1" x14ac:dyDescent="0.3">
      <c r="G5608" s="470"/>
      <c r="H5608" s="470">
        <v>5601</v>
      </c>
      <c r="I5608" s="455">
        <f t="shared" ca="1" si="190"/>
        <v>3239133424903109.5</v>
      </c>
      <c r="J5608" s="455">
        <f t="array" ref="J5608">IFERROR(INDEX('Retirement Calculator'!K:K,MATCH('Lorri 401b'!N5608,'Retirement Calculator'!A:A,0),0),0)</f>
        <v>0</v>
      </c>
      <c r="K5608" s="455">
        <f t="shared" ca="1" si="188"/>
        <v>13496389270429.623</v>
      </c>
      <c r="L5608" s="455">
        <f t="shared" ca="1" si="189"/>
        <v>3252629814173539</v>
      </c>
      <c r="M5608" s="471">
        <f t="shared" si="191"/>
        <v>0.05</v>
      </c>
      <c r="N5608" s="475">
        <f t="shared" si="192"/>
        <v>221735</v>
      </c>
    </row>
    <row r="5609" spans="7:14" ht="11.25" customHeight="1" x14ac:dyDescent="0.3">
      <c r="G5609" s="470"/>
      <c r="H5609" s="470">
        <v>5602</v>
      </c>
      <c r="I5609" s="455">
        <f t="shared" ca="1" si="190"/>
        <v>3252629814173539</v>
      </c>
      <c r="J5609" s="455">
        <f t="array" ref="J5609">IFERROR(INDEX('Retirement Calculator'!K:K,MATCH('Lorri 401b'!N5609,'Retirement Calculator'!A:A,0),0),0)</f>
        <v>0</v>
      </c>
      <c r="K5609" s="455">
        <f t="shared" ca="1" si="188"/>
        <v>13552624225723.078</v>
      </c>
      <c r="L5609" s="455">
        <f t="shared" ca="1" si="189"/>
        <v>3266182438399262</v>
      </c>
      <c r="M5609" s="471">
        <f t="shared" si="191"/>
        <v>0.05</v>
      </c>
      <c r="N5609" s="475">
        <f t="shared" si="192"/>
        <v>221763</v>
      </c>
    </row>
    <row r="5610" spans="7:14" ht="11.25" customHeight="1" x14ac:dyDescent="0.3">
      <c r="G5610" s="470"/>
      <c r="H5610" s="470">
        <v>5603</v>
      </c>
      <c r="I5610" s="455">
        <f t="shared" ca="1" si="190"/>
        <v>3266182438399262</v>
      </c>
      <c r="J5610" s="455">
        <f t="array" ref="J5610">IFERROR(INDEX('Retirement Calculator'!K:K,MATCH('Lorri 401b'!N5610,'Retirement Calculator'!A:A,0),0),0)</f>
        <v>0</v>
      </c>
      <c r="K5610" s="455">
        <f t="shared" ca="1" si="188"/>
        <v>13609093493330.258</v>
      </c>
      <c r="L5610" s="455">
        <f t="shared" ca="1" si="189"/>
        <v>3279791531892592.5</v>
      </c>
      <c r="M5610" s="471">
        <f t="shared" si="191"/>
        <v>0.05</v>
      </c>
      <c r="N5610" s="475">
        <f t="shared" si="192"/>
        <v>221794</v>
      </c>
    </row>
    <row r="5611" spans="7:14" ht="11.25" customHeight="1" x14ac:dyDescent="0.3">
      <c r="G5611" s="470"/>
      <c r="H5611" s="470">
        <v>5604</v>
      </c>
      <c r="I5611" s="455">
        <f t="shared" ca="1" si="190"/>
        <v>3279791531892592.5</v>
      </c>
      <c r="J5611" s="455">
        <f t="array" ref="J5611">IFERROR(INDEX('Retirement Calculator'!K:K,MATCH('Lorri 401b'!N5611,'Retirement Calculator'!A:A,0),0),0)</f>
        <v>0</v>
      </c>
      <c r="K5611" s="455">
        <f t="shared" ca="1" si="188"/>
        <v>13665798049552.469</v>
      </c>
      <c r="L5611" s="455">
        <f t="shared" ca="1" si="189"/>
        <v>3293457329942145</v>
      </c>
      <c r="M5611" s="471">
        <f t="shared" si="191"/>
        <v>0.05</v>
      </c>
      <c r="N5611" s="475">
        <f t="shared" si="192"/>
        <v>221824</v>
      </c>
    </row>
    <row r="5612" spans="7:14" ht="11.25" customHeight="1" x14ac:dyDescent="0.3">
      <c r="G5612" s="470"/>
      <c r="H5612" s="470">
        <v>5605</v>
      </c>
      <c r="I5612" s="455">
        <f t="shared" ca="1" si="190"/>
        <v>3293457329942145</v>
      </c>
      <c r="J5612" s="455">
        <f t="array" ref="J5612">IFERROR(INDEX('Retirement Calculator'!K:K,MATCH('Lorri 401b'!N5612,'Retirement Calculator'!A:A,0),0),0)</f>
        <v>0</v>
      </c>
      <c r="K5612" s="455">
        <f t="shared" ca="1" si="188"/>
        <v>13722738874758.938</v>
      </c>
      <c r="L5612" s="455">
        <f t="shared" ca="1" si="189"/>
        <v>3307180068816904</v>
      </c>
      <c r="M5612" s="471">
        <f t="shared" si="191"/>
        <v>0.05</v>
      </c>
      <c r="N5612" s="475">
        <f t="shared" si="192"/>
        <v>221855</v>
      </c>
    </row>
    <row r="5613" spans="7:14" ht="11.25" customHeight="1" x14ac:dyDescent="0.3">
      <c r="G5613" s="470"/>
      <c r="H5613" s="470">
        <v>5606</v>
      </c>
      <c r="I5613" s="455">
        <f t="shared" ca="1" si="190"/>
        <v>3307180068816904</v>
      </c>
      <c r="J5613" s="455">
        <f t="array" ref="J5613">IFERROR(INDEX('Retirement Calculator'!K:K,MATCH('Lorri 401b'!N5613,'Retirement Calculator'!A:A,0),0),0)</f>
        <v>0</v>
      </c>
      <c r="K5613" s="455">
        <f t="shared" ca="1" si="188"/>
        <v>13779916953403.766</v>
      </c>
      <c r="L5613" s="455">
        <f t="shared" ca="1" si="189"/>
        <v>3320959985770308</v>
      </c>
      <c r="M5613" s="471">
        <f t="shared" si="191"/>
        <v>0.05</v>
      </c>
      <c r="N5613" s="475">
        <f t="shared" si="192"/>
        <v>221885</v>
      </c>
    </row>
    <row r="5614" spans="7:14" ht="11.25" customHeight="1" x14ac:dyDescent="0.3">
      <c r="G5614" s="470"/>
      <c r="H5614" s="470">
        <v>5607</v>
      </c>
      <c r="I5614" s="455">
        <f t="shared" ca="1" si="190"/>
        <v>3320959985770308</v>
      </c>
      <c r="J5614" s="455">
        <f t="array" ref="J5614">IFERROR(INDEX('Retirement Calculator'!K:K,MATCH('Lorri 401b'!N5614,'Retirement Calculator'!A:A,0),0),0)</f>
        <v>0</v>
      </c>
      <c r="K5614" s="455">
        <f t="shared" ca="1" si="188"/>
        <v>13837333274042.949</v>
      </c>
      <c r="L5614" s="455">
        <f t="shared" ca="1" si="189"/>
        <v>3334797319044351</v>
      </c>
      <c r="M5614" s="471">
        <f t="shared" si="191"/>
        <v>0.05</v>
      </c>
      <c r="N5614" s="475">
        <f t="shared" si="192"/>
        <v>221916</v>
      </c>
    </row>
    <row r="5615" spans="7:14" ht="11.25" customHeight="1" x14ac:dyDescent="0.3">
      <c r="G5615" s="470"/>
      <c r="H5615" s="470">
        <v>5608</v>
      </c>
      <c r="I5615" s="455">
        <f t="shared" ca="1" si="190"/>
        <v>3334797319044351</v>
      </c>
      <c r="J5615" s="455">
        <f t="array" ref="J5615">IFERROR(INDEX('Retirement Calculator'!K:K,MATCH('Lorri 401b'!N5615,'Retirement Calculator'!A:A,0),0),0)</f>
        <v>0</v>
      </c>
      <c r="K5615" s="455">
        <f t="shared" ca="1" si="188"/>
        <v>13894988829351.463</v>
      </c>
      <c r="L5615" s="455">
        <f t="shared" ca="1" si="189"/>
        <v>3348692307873702.5</v>
      </c>
      <c r="M5615" s="471">
        <f t="shared" si="191"/>
        <v>0.05</v>
      </c>
      <c r="N5615" s="475">
        <f t="shared" si="192"/>
        <v>221947</v>
      </c>
    </row>
    <row r="5616" spans="7:14" ht="11.25" customHeight="1" x14ac:dyDescent="0.3">
      <c r="G5616" s="470"/>
      <c r="H5616" s="470">
        <v>5609</v>
      </c>
      <c r="I5616" s="455">
        <f t="shared" ca="1" si="190"/>
        <v>3348692307873702.5</v>
      </c>
      <c r="J5616" s="455">
        <f t="array" ref="J5616">IFERROR(INDEX('Retirement Calculator'!K:K,MATCH('Lorri 401b'!N5616,'Retirement Calculator'!A:A,0),0),0)</f>
        <v>0</v>
      </c>
      <c r="K5616" s="455">
        <f t="shared" ca="1" si="188"/>
        <v>13952884616140.428</v>
      </c>
      <c r="L5616" s="455">
        <f t="shared" ca="1" si="189"/>
        <v>3362645192489843</v>
      </c>
      <c r="M5616" s="471">
        <f t="shared" si="191"/>
        <v>0.05</v>
      </c>
      <c r="N5616" s="475">
        <f t="shared" si="192"/>
        <v>221977</v>
      </c>
    </row>
    <row r="5617" spans="7:14" ht="11.25" customHeight="1" x14ac:dyDescent="0.3">
      <c r="G5617" s="470"/>
      <c r="H5617" s="470">
        <v>5610</v>
      </c>
      <c r="I5617" s="455">
        <f t="shared" ca="1" si="190"/>
        <v>3362645192489843</v>
      </c>
      <c r="J5617" s="455">
        <f t="array" ref="J5617">IFERROR(INDEX('Retirement Calculator'!K:K,MATCH('Lorri 401b'!N5617,'Retirement Calculator'!A:A,0),0),0)</f>
        <v>0</v>
      </c>
      <c r="K5617" s="455">
        <f t="shared" ca="1" si="188"/>
        <v>14011021635374.346</v>
      </c>
      <c r="L5617" s="455">
        <f t="shared" ca="1" si="189"/>
        <v>3376656214125217.5</v>
      </c>
      <c r="M5617" s="471">
        <f t="shared" si="191"/>
        <v>0.05</v>
      </c>
      <c r="N5617" s="475">
        <f t="shared" si="192"/>
        <v>222008</v>
      </c>
    </row>
    <row r="5618" spans="7:14" ht="11.25" customHeight="1" x14ac:dyDescent="0.3">
      <c r="G5618" s="470"/>
      <c r="H5618" s="470">
        <v>5611</v>
      </c>
      <c r="I5618" s="455">
        <f t="shared" ca="1" si="190"/>
        <v>3376656214125217.5</v>
      </c>
      <c r="J5618" s="455">
        <f t="array" ref="J5618">IFERROR(INDEX('Retirement Calculator'!K:K,MATCH('Lorri 401b'!N5618,'Retirement Calculator'!A:A,0),0),0)</f>
        <v>0</v>
      </c>
      <c r="K5618" s="455">
        <f t="shared" ref="K5618:K5872" ca="1" si="193">IPMT(M5618/12,1,12,-I5618+J5618,,0)</f>
        <v>14069400892188.406</v>
      </c>
      <c r="L5618" s="455">
        <f t="shared" ref="L5618:L5872" ca="1" si="194">I5618-J5618+K5618</f>
        <v>3390725615017406</v>
      </c>
      <c r="M5618" s="471">
        <f t="shared" si="191"/>
        <v>0.05</v>
      </c>
      <c r="N5618" s="475">
        <f t="shared" si="192"/>
        <v>222038</v>
      </c>
    </row>
    <row r="5619" spans="7:14" ht="11.25" customHeight="1" x14ac:dyDescent="0.3">
      <c r="G5619" s="470"/>
      <c r="H5619" s="470">
        <v>5612</v>
      </c>
      <c r="I5619" s="455">
        <f t="shared" ref="I5619:I5873" ca="1" si="195">L5618</f>
        <v>3390725615017406</v>
      </c>
      <c r="J5619" s="455">
        <f t="array" ref="J5619">IFERROR(INDEX('Retirement Calculator'!K:K,MATCH('Lorri 401b'!N5619,'Retirement Calculator'!A:A,0),0),0)</f>
        <v>0</v>
      </c>
      <c r="K5619" s="455">
        <f t="shared" ca="1" si="193"/>
        <v>14128023395905.857</v>
      </c>
      <c r="L5619" s="455">
        <f t="shared" ca="1" si="194"/>
        <v>3404853638413312</v>
      </c>
      <c r="M5619" s="471">
        <f t="shared" ref="M5619:M5873" si="196">M5618</f>
        <v>0.05</v>
      </c>
      <c r="N5619" s="475">
        <f t="shared" ref="N5619:N5873" si="197">EDATE(N5618,1)</f>
        <v>222069</v>
      </c>
    </row>
    <row r="5620" spans="7:14" ht="11.25" customHeight="1" x14ac:dyDescent="0.3">
      <c r="G5620" s="470"/>
      <c r="H5620" s="470">
        <v>5613</v>
      </c>
      <c r="I5620" s="455">
        <f t="shared" ca="1" si="195"/>
        <v>3404853638413312</v>
      </c>
      <c r="J5620" s="455">
        <f t="array" ref="J5620">IFERROR(INDEX('Retirement Calculator'!K:K,MATCH('Lorri 401b'!N5620,'Retirement Calculator'!A:A,0),0),0)</f>
        <v>0</v>
      </c>
      <c r="K5620" s="455">
        <f t="shared" ca="1" si="193"/>
        <v>14186890160055.467</v>
      </c>
      <c r="L5620" s="455">
        <f t="shared" ca="1" si="194"/>
        <v>3419040528573367.5</v>
      </c>
      <c r="M5620" s="471">
        <f t="shared" si="196"/>
        <v>0.05</v>
      </c>
      <c r="N5620" s="475">
        <f t="shared" si="197"/>
        <v>222100</v>
      </c>
    </row>
    <row r="5621" spans="7:14" ht="11.25" customHeight="1" x14ac:dyDescent="0.3">
      <c r="G5621" s="470"/>
      <c r="H5621" s="470">
        <v>5614</v>
      </c>
      <c r="I5621" s="455">
        <f t="shared" ca="1" si="195"/>
        <v>3419040528573367.5</v>
      </c>
      <c r="J5621" s="455">
        <f t="array" ref="J5621">IFERROR(INDEX('Retirement Calculator'!K:K,MATCH('Lorri 401b'!N5621,'Retirement Calculator'!A:A,0),0),0)</f>
        <v>0</v>
      </c>
      <c r="K5621" s="455">
        <f t="shared" ca="1" si="193"/>
        <v>14246002202389.031</v>
      </c>
      <c r="L5621" s="455">
        <f t="shared" ca="1" si="194"/>
        <v>3433286530775756.5</v>
      </c>
      <c r="M5621" s="471">
        <f t="shared" si="196"/>
        <v>0.05</v>
      </c>
      <c r="N5621" s="475">
        <f t="shared" si="197"/>
        <v>222129</v>
      </c>
    </row>
    <row r="5622" spans="7:14" ht="11.25" customHeight="1" x14ac:dyDescent="0.3">
      <c r="G5622" s="470"/>
      <c r="H5622" s="470">
        <v>5615</v>
      </c>
      <c r="I5622" s="455">
        <f t="shared" ca="1" si="195"/>
        <v>3433286530775756.5</v>
      </c>
      <c r="J5622" s="455">
        <f t="array" ref="J5622">IFERROR(INDEX('Retirement Calculator'!K:K,MATCH('Lorri 401b'!N5622,'Retirement Calculator'!A:A,0),0),0)</f>
        <v>0</v>
      </c>
      <c r="K5622" s="455">
        <f t="shared" ca="1" si="193"/>
        <v>14305360544898.984</v>
      </c>
      <c r="L5622" s="455">
        <f t="shared" ca="1" si="194"/>
        <v>3447591891320655.5</v>
      </c>
      <c r="M5622" s="471">
        <f t="shared" si="196"/>
        <v>0.05</v>
      </c>
      <c r="N5622" s="475">
        <f t="shared" si="197"/>
        <v>222160</v>
      </c>
    </row>
    <row r="5623" spans="7:14" ht="11.25" customHeight="1" x14ac:dyDescent="0.3">
      <c r="G5623" s="470"/>
      <c r="H5623" s="470">
        <v>5616</v>
      </c>
      <c r="I5623" s="455">
        <f t="shared" ca="1" si="195"/>
        <v>3447591891320655.5</v>
      </c>
      <c r="J5623" s="455">
        <f t="array" ref="J5623">IFERROR(INDEX('Retirement Calculator'!K:K,MATCH('Lorri 401b'!N5623,'Retirement Calculator'!A:A,0),0),0)</f>
        <v>0</v>
      </c>
      <c r="K5623" s="455">
        <f t="shared" ca="1" si="193"/>
        <v>14364966213836.064</v>
      </c>
      <c r="L5623" s="455">
        <f t="shared" ca="1" si="194"/>
        <v>3461956857534491.5</v>
      </c>
      <c r="M5623" s="471">
        <f t="shared" si="196"/>
        <v>0.05</v>
      </c>
      <c r="N5623" s="475">
        <f t="shared" si="197"/>
        <v>222190</v>
      </c>
    </row>
    <row r="5624" spans="7:14" ht="11.25" customHeight="1" x14ac:dyDescent="0.3">
      <c r="G5624" s="470"/>
      <c r="H5624" s="470">
        <v>5617</v>
      </c>
      <c r="I5624" s="455">
        <f t="shared" ca="1" si="195"/>
        <v>3461956857534491.5</v>
      </c>
      <c r="J5624" s="455">
        <f t="array" ref="J5624">IFERROR(INDEX('Retirement Calculator'!K:K,MATCH('Lorri 401b'!N5624,'Retirement Calculator'!A:A,0),0),0)</f>
        <v>0</v>
      </c>
      <c r="K5624" s="455">
        <f t="shared" ca="1" si="193"/>
        <v>14424820239727.047</v>
      </c>
      <c r="L5624" s="455">
        <f t="shared" ca="1" si="194"/>
        <v>3476381677774218.5</v>
      </c>
      <c r="M5624" s="471">
        <f t="shared" si="196"/>
        <v>0.05</v>
      </c>
      <c r="N5624" s="475">
        <f t="shared" si="197"/>
        <v>222221</v>
      </c>
    </row>
    <row r="5625" spans="7:14" ht="11.25" customHeight="1" x14ac:dyDescent="0.3">
      <c r="G5625" s="470"/>
      <c r="H5625" s="470">
        <v>5618</v>
      </c>
      <c r="I5625" s="455">
        <f t="shared" ca="1" si="195"/>
        <v>3476381677774218.5</v>
      </c>
      <c r="J5625" s="455">
        <f t="array" ref="J5625">IFERROR(INDEX('Retirement Calculator'!K:K,MATCH('Lorri 401b'!N5625,'Retirement Calculator'!A:A,0),0),0)</f>
        <v>0</v>
      </c>
      <c r="K5625" s="455">
        <f t="shared" ca="1" si="193"/>
        <v>14484923657392.576</v>
      </c>
      <c r="L5625" s="455">
        <f t="shared" ca="1" si="194"/>
        <v>3490866601431611</v>
      </c>
      <c r="M5625" s="471">
        <f t="shared" si="196"/>
        <v>0.05</v>
      </c>
      <c r="N5625" s="475">
        <f t="shared" si="197"/>
        <v>222251</v>
      </c>
    </row>
    <row r="5626" spans="7:14" ht="11.25" customHeight="1" x14ac:dyDescent="0.3">
      <c r="G5626" s="470"/>
      <c r="H5626" s="470">
        <v>5619</v>
      </c>
      <c r="I5626" s="455">
        <f t="shared" ca="1" si="195"/>
        <v>3490866601431611</v>
      </c>
      <c r="J5626" s="455">
        <f t="array" ref="J5626">IFERROR(INDEX('Retirement Calculator'!K:K,MATCH('Lorri 401b'!N5626,'Retirement Calculator'!A:A,0),0),0)</f>
        <v>0</v>
      </c>
      <c r="K5626" s="455">
        <f t="shared" ca="1" si="193"/>
        <v>14545277505965.045</v>
      </c>
      <c r="L5626" s="455">
        <f t="shared" ca="1" si="194"/>
        <v>3505411878937576</v>
      </c>
      <c r="M5626" s="471">
        <f t="shared" si="196"/>
        <v>0.05</v>
      </c>
      <c r="N5626" s="475">
        <f t="shared" si="197"/>
        <v>222282</v>
      </c>
    </row>
    <row r="5627" spans="7:14" ht="11.25" customHeight="1" x14ac:dyDescent="0.3">
      <c r="G5627" s="470"/>
      <c r="H5627" s="470">
        <v>5620</v>
      </c>
      <c r="I5627" s="455">
        <f t="shared" ca="1" si="195"/>
        <v>3505411878937576</v>
      </c>
      <c r="J5627" s="455">
        <f t="array" ref="J5627">IFERROR(INDEX('Retirement Calculator'!K:K,MATCH('Lorri 401b'!N5627,'Retirement Calculator'!A:A,0),0),0)</f>
        <v>0</v>
      </c>
      <c r="K5627" s="455">
        <f t="shared" ca="1" si="193"/>
        <v>14605882828906.566</v>
      </c>
      <c r="L5627" s="455">
        <f t="shared" ca="1" si="194"/>
        <v>3520017761766482.5</v>
      </c>
      <c r="M5627" s="471">
        <f t="shared" si="196"/>
        <v>0.05</v>
      </c>
      <c r="N5627" s="475">
        <f t="shared" si="197"/>
        <v>222313</v>
      </c>
    </row>
    <row r="5628" spans="7:14" ht="11.25" customHeight="1" x14ac:dyDescent="0.3">
      <c r="G5628" s="470"/>
      <c r="H5628" s="470">
        <v>5621</v>
      </c>
      <c r="I5628" s="455">
        <f t="shared" ca="1" si="195"/>
        <v>3520017761766482.5</v>
      </c>
      <c r="J5628" s="455">
        <f t="array" ref="J5628">IFERROR(INDEX('Retirement Calculator'!K:K,MATCH('Lorri 401b'!N5628,'Retirement Calculator'!A:A,0),0),0)</f>
        <v>0</v>
      </c>
      <c r="K5628" s="455">
        <f t="shared" ca="1" si="193"/>
        <v>14666740674027.012</v>
      </c>
      <c r="L5628" s="455">
        <f t="shared" ca="1" si="194"/>
        <v>3534684502440509.5</v>
      </c>
      <c r="M5628" s="471">
        <f t="shared" si="196"/>
        <v>0.05</v>
      </c>
      <c r="N5628" s="475">
        <f t="shared" si="197"/>
        <v>222343</v>
      </c>
    </row>
    <row r="5629" spans="7:14" ht="11.25" customHeight="1" x14ac:dyDescent="0.3">
      <c r="G5629" s="470"/>
      <c r="H5629" s="470">
        <v>5622</v>
      </c>
      <c r="I5629" s="455">
        <f t="shared" ca="1" si="195"/>
        <v>3534684502440509.5</v>
      </c>
      <c r="J5629" s="455">
        <f t="array" ref="J5629">IFERROR(INDEX('Retirement Calculator'!K:K,MATCH('Lorri 401b'!N5629,'Retirement Calculator'!A:A,0),0),0)</f>
        <v>0</v>
      </c>
      <c r="K5629" s="455">
        <f t="shared" ca="1" si="193"/>
        <v>14727852093502.123</v>
      </c>
      <c r="L5629" s="455">
        <f t="shared" ca="1" si="194"/>
        <v>3549412354534011.5</v>
      </c>
      <c r="M5629" s="471">
        <f t="shared" si="196"/>
        <v>0.05</v>
      </c>
      <c r="N5629" s="475">
        <f t="shared" si="197"/>
        <v>222374</v>
      </c>
    </row>
    <row r="5630" spans="7:14" ht="11.25" customHeight="1" x14ac:dyDescent="0.3">
      <c r="G5630" s="470"/>
      <c r="H5630" s="470">
        <v>5623</v>
      </c>
      <c r="I5630" s="455">
        <f t="shared" ca="1" si="195"/>
        <v>3549412354534011.5</v>
      </c>
      <c r="J5630" s="455">
        <f t="array" ref="J5630">IFERROR(INDEX('Retirement Calculator'!K:K,MATCH('Lorri 401b'!N5630,'Retirement Calculator'!A:A,0),0),0)</f>
        <v>0</v>
      </c>
      <c r="K5630" s="455">
        <f t="shared" ca="1" si="193"/>
        <v>14789218143891.713</v>
      </c>
      <c r="L5630" s="455">
        <f t="shared" ca="1" si="194"/>
        <v>3564201572677903</v>
      </c>
      <c r="M5630" s="471">
        <f t="shared" si="196"/>
        <v>0.05</v>
      </c>
      <c r="N5630" s="475">
        <f t="shared" si="197"/>
        <v>222404</v>
      </c>
    </row>
    <row r="5631" spans="7:14" ht="11.25" customHeight="1" x14ac:dyDescent="0.3">
      <c r="G5631" s="470"/>
      <c r="H5631" s="470">
        <v>5624</v>
      </c>
      <c r="I5631" s="455">
        <f t="shared" ca="1" si="195"/>
        <v>3564201572677903</v>
      </c>
      <c r="J5631" s="455">
        <f t="array" ref="J5631">IFERROR(INDEX('Retirement Calculator'!K:K,MATCH('Lorri 401b'!N5631,'Retirement Calculator'!A:A,0),0),0)</f>
        <v>0</v>
      </c>
      <c r="K5631" s="455">
        <f t="shared" ca="1" si="193"/>
        <v>14850839886157.93</v>
      </c>
      <c r="L5631" s="455">
        <f t="shared" ca="1" si="194"/>
        <v>3579052412564061</v>
      </c>
      <c r="M5631" s="471">
        <f t="shared" si="196"/>
        <v>0.05</v>
      </c>
      <c r="N5631" s="475">
        <f t="shared" si="197"/>
        <v>222435</v>
      </c>
    </row>
    <row r="5632" spans="7:14" ht="11.25" customHeight="1" x14ac:dyDescent="0.3">
      <c r="G5632" s="470"/>
      <c r="H5632" s="470">
        <v>5625</v>
      </c>
      <c r="I5632" s="455">
        <f t="shared" ca="1" si="195"/>
        <v>3579052412564061</v>
      </c>
      <c r="J5632" s="455">
        <f t="array" ref="J5632">IFERROR(INDEX('Retirement Calculator'!K:K,MATCH('Lorri 401b'!N5632,'Retirement Calculator'!A:A,0),0),0)</f>
        <v>0</v>
      </c>
      <c r="K5632" s="455">
        <f t="shared" ca="1" si="193"/>
        <v>14912718385683.588</v>
      </c>
      <c r="L5632" s="455">
        <f t="shared" ca="1" si="194"/>
        <v>3593965130949744.5</v>
      </c>
      <c r="M5632" s="471">
        <f t="shared" si="196"/>
        <v>0.05</v>
      </c>
      <c r="N5632" s="475">
        <f t="shared" si="197"/>
        <v>222466</v>
      </c>
    </row>
    <row r="5633" spans="7:14" ht="11.25" customHeight="1" x14ac:dyDescent="0.3">
      <c r="G5633" s="470"/>
      <c r="H5633" s="470">
        <v>5626</v>
      </c>
      <c r="I5633" s="455">
        <f t="shared" ca="1" si="195"/>
        <v>3593965130949744.5</v>
      </c>
      <c r="J5633" s="455">
        <f t="array" ref="J5633">IFERROR(INDEX('Retirement Calculator'!K:K,MATCH('Lorri 401b'!N5633,'Retirement Calculator'!A:A,0),0),0)</f>
        <v>0</v>
      </c>
      <c r="K5633" s="455">
        <f t="shared" ca="1" si="193"/>
        <v>14974854712290.602</v>
      </c>
      <c r="L5633" s="455">
        <f t="shared" ca="1" si="194"/>
        <v>3608939985662035</v>
      </c>
      <c r="M5633" s="471">
        <f t="shared" si="196"/>
        <v>0.05</v>
      </c>
      <c r="N5633" s="475">
        <f t="shared" si="197"/>
        <v>222494</v>
      </c>
    </row>
    <row r="5634" spans="7:14" ht="11.25" customHeight="1" x14ac:dyDescent="0.3">
      <c r="G5634" s="470"/>
      <c r="H5634" s="470">
        <v>5627</v>
      </c>
      <c r="I5634" s="455">
        <f t="shared" ca="1" si="195"/>
        <v>3608939985662035</v>
      </c>
      <c r="J5634" s="455">
        <f t="array" ref="J5634">IFERROR(INDEX('Retirement Calculator'!K:K,MATCH('Lorri 401b'!N5634,'Retirement Calculator'!A:A,0),0),0)</f>
        <v>0</v>
      </c>
      <c r="K5634" s="455">
        <f t="shared" ca="1" si="193"/>
        <v>15037249940258.479</v>
      </c>
      <c r="L5634" s="455">
        <f t="shared" ca="1" si="194"/>
        <v>3623977235602293.5</v>
      </c>
      <c r="M5634" s="471">
        <f t="shared" si="196"/>
        <v>0.05</v>
      </c>
      <c r="N5634" s="475">
        <f t="shared" si="197"/>
        <v>222525</v>
      </c>
    </row>
    <row r="5635" spans="7:14" ht="11.25" customHeight="1" x14ac:dyDescent="0.3">
      <c r="G5635" s="470"/>
      <c r="H5635" s="470">
        <v>5628</v>
      </c>
      <c r="I5635" s="455">
        <f t="shared" ca="1" si="195"/>
        <v>3623977235602293.5</v>
      </c>
      <c r="J5635" s="455">
        <f t="array" ref="J5635">IFERROR(INDEX('Retirement Calculator'!K:K,MATCH('Lorri 401b'!N5635,'Retirement Calculator'!A:A,0),0),0)</f>
        <v>0</v>
      </c>
      <c r="K5635" s="455">
        <f t="shared" ca="1" si="193"/>
        <v>15099905148342.889</v>
      </c>
      <c r="L5635" s="455">
        <f t="shared" ca="1" si="194"/>
        <v>3639077140750636.5</v>
      </c>
      <c r="M5635" s="471">
        <f t="shared" si="196"/>
        <v>0.05</v>
      </c>
      <c r="N5635" s="475">
        <f t="shared" si="197"/>
        <v>222555</v>
      </c>
    </row>
    <row r="5636" spans="7:14" ht="11.25" customHeight="1" x14ac:dyDescent="0.3">
      <c r="G5636" s="470"/>
      <c r="H5636" s="470">
        <v>5629</v>
      </c>
      <c r="I5636" s="455">
        <f t="shared" ca="1" si="195"/>
        <v>3639077140750636.5</v>
      </c>
      <c r="J5636" s="455">
        <f t="array" ref="J5636">IFERROR(INDEX('Retirement Calculator'!K:K,MATCH('Lorri 401b'!N5636,'Retirement Calculator'!A:A,0),0),0)</f>
        <v>0</v>
      </c>
      <c r="K5636" s="455">
        <f t="shared" ca="1" si="193"/>
        <v>15162821419794.318</v>
      </c>
      <c r="L5636" s="455">
        <f t="shared" ca="1" si="194"/>
        <v>3654239962170431</v>
      </c>
      <c r="M5636" s="471">
        <f t="shared" si="196"/>
        <v>0.05</v>
      </c>
      <c r="N5636" s="475">
        <f t="shared" si="197"/>
        <v>222586</v>
      </c>
    </row>
    <row r="5637" spans="7:14" ht="11.25" customHeight="1" x14ac:dyDescent="0.3">
      <c r="G5637" s="470"/>
      <c r="H5637" s="470">
        <v>5630</v>
      </c>
      <c r="I5637" s="455">
        <f t="shared" ca="1" si="195"/>
        <v>3654239962170431</v>
      </c>
      <c r="J5637" s="455">
        <f t="array" ref="J5637">IFERROR(INDEX('Retirement Calculator'!K:K,MATCH('Lorri 401b'!N5637,'Retirement Calculator'!A:A,0),0),0)</f>
        <v>0</v>
      </c>
      <c r="K5637" s="455">
        <f t="shared" ca="1" si="193"/>
        <v>15225999842376.795</v>
      </c>
      <c r="L5637" s="455">
        <f t="shared" ca="1" si="194"/>
        <v>3669465962012808</v>
      </c>
      <c r="M5637" s="471">
        <f t="shared" si="196"/>
        <v>0.05</v>
      </c>
      <c r="N5637" s="475">
        <f t="shared" si="197"/>
        <v>222616</v>
      </c>
    </row>
    <row r="5638" spans="7:14" ht="11.25" customHeight="1" x14ac:dyDescent="0.3">
      <c r="G5638" s="470"/>
      <c r="H5638" s="470">
        <v>5631</v>
      </c>
      <c r="I5638" s="455">
        <f t="shared" ca="1" si="195"/>
        <v>3669465962012808</v>
      </c>
      <c r="J5638" s="455">
        <f t="array" ref="J5638">IFERROR(INDEX('Retirement Calculator'!K:K,MATCH('Lorri 401b'!N5638,'Retirement Calculator'!A:A,0),0),0)</f>
        <v>0</v>
      </c>
      <c r="K5638" s="455">
        <f t="shared" ca="1" si="193"/>
        <v>15289441508386.699</v>
      </c>
      <c r="L5638" s="455">
        <f t="shared" ca="1" si="194"/>
        <v>3684755403521194.5</v>
      </c>
      <c r="M5638" s="471">
        <f t="shared" si="196"/>
        <v>0.05</v>
      </c>
      <c r="N5638" s="475">
        <f t="shared" si="197"/>
        <v>222647</v>
      </c>
    </row>
    <row r="5639" spans="7:14" ht="11.25" customHeight="1" x14ac:dyDescent="0.3">
      <c r="G5639" s="470"/>
      <c r="H5639" s="470">
        <v>5632</v>
      </c>
      <c r="I5639" s="455">
        <f t="shared" ca="1" si="195"/>
        <v>3684755403521194.5</v>
      </c>
      <c r="J5639" s="455">
        <f t="array" ref="J5639">IFERROR(INDEX('Retirement Calculator'!K:K,MATCH('Lorri 401b'!N5639,'Retirement Calculator'!A:A,0),0),0)</f>
        <v>0</v>
      </c>
      <c r="K5639" s="455">
        <f t="shared" ca="1" si="193"/>
        <v>15353147514671.646</v>
      </c>
      <c r="L5639" s="455">
        <f t="shared" ca="1" si="194"/>
        <v>3700108551035866</v>
      </c>
      <c r="M5639" s="471">
        <f t="shared" si="196"/>
        <v>0.05</v>
      </c>
      <c r="N5639" s="475">
        <f t="shared" si="197"/>
        <v>222678</v>
      </c>
    </row>
    <row r="5640" spans="7:14" ht="11.25" customHeight="1" x14ac:dyDescent="0.3">
      <c r="G5640" s="470"/>
      <c r="H5640" s="470">
        <v>5633</v>
      </c>
      <c r="I5640" s="455">
        <f t="shared" ca="1" si="195"/>
        <v>3700108551035866</v>
      </c>
      <c r="J5640" s="455">
        <f t="array" ref="J5640">IFERROR(INDEX('Retirement Calculator'!K:K,MATCH('Lorri 401b'!N5640,'Retirement Calculator'!A:A,0),0),0)</f>
        <v>0</v>
      </c>
      <c r="K5640" s="455">
        <f t="shared" ca="1" si="193"/>
        <v>15417118962649.441</v>
      </c>
      <c r="L5640" s="455">
        <f t="shared" ca="1" si="194"/>
        <v>3715525669998515.5</v>
      </c>
      <c r="M5640" s="471">
        <f t="shared" si="196"/>
        <v>0.05</v>
      </c>
      <c r="N5640" s="475">
        <f t="shared" si="197"/>
        <v>222708</v>
      </c>
    </row>
    <row r="5641" spans="7:14" ht="11.25" customHeight="1" x14ac:dyDescent="0.3">
      <c r="G5641" s="470"/>
      <c r="H5641" s="470">
        <v>5634</v>
      </c>
      <c r="I5641" s="455">
        <f t="shared" ca="1" si="195"/>
        <v>3715525669998515.5</v>
      </c>
      <c r="J5641" s="455">
        <f t="array" ref="J5641">IFERROR(INDEX('Retirement Calculator'!K:K,MATCH('Lorri 401b'!N5641,'Retirement Calculator'!A:A,0),0),0)</f>
        <v>0</v>
      </c>
      <c r="K5641" s="455">
        <f t="shared" ca="1" si="193"/>
        <v>15481356958327.15</v>
      </c>
      <c r="L5641" s="455">
        <f t="shared" ca="1" si="194"/>
        <v>3731007026956842.5</v>
      </c>
      <c r="M5641" s="471">
        <f t="shared" si="196"/>
        <v>0.05</v>
      </c>
      <c r="N5641" s="475">
        <f t="shared" si="197"/>
        <v>222739</v>
      </c>
    </row>
    <row r="5642" spans="7:14" ht="11.25" customHeight="1" x14ac:dyDescent="0.3">
      <c r="G5642" s="470"/>
      <c r="H5642" s="470">
        <v>5635</v>
      </c>
      <c r="I5642" s="455">
        <f t="shared" ca="1" si="195"/>
        <v>3731007026956842.5</v>
      </c>
      <c r="J5642" s="455">
        <f t="array" ref="J5642">IFERROR(INDEX('Retirement Calculator'!K:K,MATCH('Lorri 401b'!N5642,'Retirement Calculator'!A:A,0),0),0)</f>
        <v>0</v>
      </c>
      <c r="K5642" s="455">
        <f t="shared" ca="1" si="193"/>
        <v>15545862612320.178</v>
      </c>
      <c r="L5642" s="455">
        <f t="shared" ca="1" si="194"/>
        <v>3746552889569162.5</v>
      </c>
      <c r="M5642" s="471">
        <f t="shared" si="196"/>
        <v>0.05</v>
      </c>
      <c r="N5642" s="475">
        <f t="shared" si="197"/>
        <v>222769</v>
      </c>
    </row>
    <row r="5643" spans="7:14" ht="11.25" customHeight="1" x14ac:dyDescent="0.3">
      <c r="G5643" s="470"/>
      <c r="H5643" s="470">
        <v>5636</v>
      </c>
      <c r="I5643" s="455">
        <f t="shared" ca="1" si="195"/>
        <v>3746552889569162.5</v>
      </c>
      <c r="J5643" s="455">
        <f t="array" ref="J5643">IFERROR(INDEX('Retirement Calculator'!K:K,MATCH('Lorri 401b'!N5643,'Retirement Calculator'!A:A,0),0),0)</f>
        <v>0</v>
      </c>
      <c r="K5643" s="455">
        <f t="shared" ca="1" si="193"/>
        <v>15610637039871.51</v>
      </c>
      <c r="L5643" s="455">
        <f t="shared" ca="1" si="194"/>
        <v>3762163526609034</v>
      </c>
      <c r="M5643" s="471">
        <f t="shared" si="196"/>
        <v>0.05</v>
      </c>
      <c r="N5643" s="475">
        <f t="shared" si="197"/>
        <v>222800</v>
      </c>
    </row>
    <row r="5644" spans="7:14" ht="11.25" customHeight="1" x14ac:dyDescent="0.3">
      <c r="G5644" s="470"/>
      <c r="H5644" s="470">
        <v>5637</v>
      </c>
      <c r="I5644" s="455">
        <f t="shared" ca="1" si="195"/>
        <v>3762163526609034</v>
      </c>
      <c r="J5644" s="455">
        <f t="array" ref="J5644">IFERROR(INDEX('Retirement Calculator'!K:K,MATCH('Lorri 401b'!N5644,'Retirement Calculator'!A:A,0),0),0)</f>
        <v>0</v>
      </c>
      <c r="K5644" s="455">
        <f t="shared" ca="1" si="193"/>
        <v>15675681360870.975</v>
      </c>
      <c r="L5644" s="455">
        <f t="shared" ca="1" si="194"/>
        <v>3777839207969905</v>
      </c>
      <c r="M5644" s="471">
        <f t="shared" si="196"/>
        <v>0.05</v>
      </c>
      <c r="N5644" s="475">
        <f t="shared" si="197"/>
        <v>222831</v>
      </c>
    </row>
    <row r="5645" spans="7:14" ht="11.25" customHeight="1" x14ac:dyDescent="0.3">
      <c r="G5645" s="470"/>
      <c r="H5645" s="470">
        <v>5638</v>
      </c>
      <c r="I5645" s="455">
        <f t="shared" ca="1" si="195"/>
        <v>3777839207969905</v>
      </c>
      <c r="J5645" s="455">
        <f t="array" ref="J5645">IFERROR(INDEX('Retirement Calculator'!K:K,MATCH('Lorri 401b'!N5645,'Retirement Calculator'!A:A,0),0),0)</f>
        <v>0</v>
      </c>
      <c r="K5645" s="455">
        <f t="shared" ca="1" si="193"/>
        <v>15740996699874.604</v>
      </c>
      <c r="L5645" s="455">
        <f t="shared" ca="1" si="194"/>
        <v>3793580204669779.5</v>
      </c>
      <c r="M5645" s="471">
        <f t="shared" si="196"/>
        <v>0.05</v>
      </c>
      <c r="N5645" s="475">
        <f t="shared" si="197"/>
        <v>222859</v>
      </c>
    </row>
    <row r="5646" spans="7:14" ht="11.25" customHeight="1" x14ac:dyDescent="0.3">
      <c r="G5646" s="470"/>
      <c r="H5646" s="470">
        <v>5639</v>
      </c>
      <c r="I5646" s="455">
        <f t="shared" ca="1" si="195"/>
        <v>3793580204669779.5</v>
      </c>
      <c r="J5646" s="455">
        <f t="array" ref="J5646">IFERROR(INDEX('Retirement Calculator'!K:K,MATCH('Lorri 401b'!N5646,'Retirement Calculator'!A:A,0),0),0)</f>
        <v>0</v>
      </c>
      <c r="K5646" s="455">
        <f t="shared" ca="1" si="193"/>
        <v>15806584186124.08</v>
      </c>
      <c r="L5646" s="455">
        <f t="shared" ca="1" si="194"/>
        <v>3809386788855903.5</v>
      </c>
      <c r="M5646" s="471">
        <f t="shared" si="196"/>
        <v>0.05</v>
      </c>
      <c r="N5646" s="475">
        <f t="shared" si="197"/>
        <v>222890</v>
      </c>
    </row>
    <row r="5647" spans="7:14" ht="11.25" customHeight="1" x14ac:dyDescent="0.3">
      <c r="G5647" s="470"/>
      <c r="H5647" s="470">
        <v>5640</v>
      </c>
      <c r="I5647" s="455">
        <f t="shared" ca="1" si="195"/>
        <v>3809386788855903.5</v>
      </c>
      <c r="J5647" s="455">
        <f t="array" ref="J5647">IFERROR(INDEX('Retirement Calculator'!K:K,MATCH('Lorri 401b'!N5647,'Retirement Calculator'!A:A,0),0),0)</f>
        <v>0</v>
      </c>
      <c r="K5647" s="455">
        <f t="shared" ca="1" si="193"/>
        <v>15872444953566.266</v>
      </c>
      <c r="L5647" s="455">
        <f t="shared" ca="1" si="194"/>
        <v>3825259233809470</v>
      </c>
      <c r="M5647" s="471">
        <f t="shared" si="196"/>
        <v>0.05</v>
      </c>
      <c r="N5647" s="475">
        <f t="shared" si="197"/>
        <v>222920</v>
      </c>
    </row>
    <row r="5648" spans="7:14" ht="11.25" customHeight="1" x14ac:dyDescent="0.3">
      <c r="G5648" s="470"/>
      <c r="H5648" s="470">
        <v>5641</v>
      </c>
      <c r="I5648" s="455">
        <f t="shared" ca="1" si="195"/>
        <v>3825259233809470</v>
      </c>
      <c r="J5648" s="455">
        <f t="array" ref="J5648">IFERROR(INDEX('Retirement Calculator'!K:K,MATCH('Lorri 401b'!N5648,'Retirement Calculator'!A:A,0),0),0)</f>
        <v>0</v>
      </c>
      <c r="K5648" s="455">
        <f t="shared" ca="1" si="193"/>
        <v>15938580140872.791</v>
      </c>
      <c r="L5648" s="455">
        <f t="shared" ca="1" si="194"/>
        <v>3841197813950343</v>
      </c>
      <c r="M5648" s="471">
        <f t="shared" si="196"/>
        <v>0.05</v>
      </c>
      <c r="N5648" s="475">
        <f t="shared" si="197"/>
        <v>222951</v>
      </c>
    </row>
    <row r="5649" spans="7:14" ht="11.25" customHeight="1" x14ac:dyDescent="0.3">
      <c r="G5649" s="470"/>
      <c r="H5649" s="470">
        <v>5642</v>
      </c>
      <c r="I5649" s="455">
        <f t="shared" ca="1" si="195"/>
        <v>3841197813950343</v>
      </c>
      <c r="J5649" s="455">
        <f t="array" ref="J5649">IFERROR(INDEX('Retirement Calculator'!K:K,MATCH('Lorri 401b'!N5649,'Retirement Calculator'!A:A,0),0),0)</f>
        <v>0</v>
      </c>
      <c r="K5649" s="455">
        <f t="shared" ca="1" si="193"/>
        <v>16004990891459.762</v>
      </c>
      <c r="L5649" s="455">
        <f t="shared" ca="1" si="194"/>
        <v>3857202804841803</v>
      </c>
      <c r="M5649" s="471">
        <f t="shared" si="196"/>
        <v>0.05</v>
      </c>
      <c r="N5649" s="475">
        <f t="shared" si="197"/>
        <v>222981</v>
      </c>
    </row>
    <row r="5650" spans="7:14" ht="11.25" customHeight="1" x14ac:dyDescent="0.3">
      <c r="G5650" s="470"/>
      <c r="H5650" s="470">
        <v>5643</v>
      </c>
      <c r="I5650" s="455">
        <f t="shared" ca="1" si="195"/>
        <v>3857202804841803</v>
      </c>
      <c r="J5650" s="455">
        <f t="array" ref="J5650">IFERROR(INDEX('Retirement Calculator'!K:K,MATCH('Lorri 401b'!N5650,'Retirement Calculator'!A:A,0),0),0)</f>
        <v>0</v>
      </c>
      <c r="K5650" s="455">
        <f t="shared" ca="1" si="193"/>
        <v>16071678353507.512</v>
      </c>
      <c r="L5650" s="455">
        <f t="shared" ca="1" si="194"/>
        <v>3873274483195310.5</v>
      </c>
      <c r="M5650" s="471">
        <f t="shared" si="196"/>
        <v>0.05</v>
      </c>
      <c r="N5650" s="475">
        <f t="shared" si="197"/>
        <v>223012</v>
      </c>
    </row>
    <row r="5651" spans="7:14" ht="11.25" customHeight="1" x14ac:dyDescent="0.3">
      <c r="G5651" s="470"/>
      <c r="H5651" s="470">
        <v>5644</v>
      </c>
      <c r="I5651" s="455">
        <f t="shared" ca="1" si="195"/>
        <v>3873274483195310.5</v>
      </c>
      <c r="J5651" s="455">
        <f t="array" ref="J5651">IFERROR(INDEX('Retirement Calculator'!K:K,MATCH('Lorri 401b'!N5651,'Retirement Calculator'!A:A,0),0),0)</f>
        <v>0</v>
      </c>
      <c r="K5651" s="455">
        <f t="shared" ca="1" si="193"/>
        <v>16138643679980.463</v>
      </c>
      <c r="L5651" s="455">
        <f t="shared" ca="1" si="194"/>
        <v>3889413126875291</v>
      </c>
      <c r="M5651" s="471">
        <f t="shared" si="196"/>
        <v>0.05</v>
      </c>
      <c r="N5651" s="475">
        <f t="shared" si="197"/>
        <v>223043</v>
      </c>
    </row>
    <row r="5652" spans="7:14" ht="11.25" customHeight="1" x14ac:dyDescent="0.3">
      <c r="G5652" s="470"/>
      <c r="H5652" s="470">
        <v>5645</v>
      </c>
      <c r="I5652" s="455">
        <f t="shared" ca="1" si="195"/>
        <v>3889413126875291</v>
      </c>
      <c r="J5652" s="455">
        <f t="array" ref="J5652">IFERROR(INDEX('Retirement Calculator'!K:K,MATCH('Lorri 401b'!N5652,'Retirement Calculator'!A:A,0),0),0)</f>
        <v>0</v>
      </c>
      <c r="K5652" s="455">
        <f t="shared" ca="1" si="193"/>
        <v>16205888028647.045</v>
      </c>
      <c r="L5652" s="455">
        <f t="shared" ca="1" si="194"/>
        <v>3905619014903938</v>
      </c>
      <c r="M5652" s="471">
        <f t="shared" si="196"/>
        <v>0.05</v>
      </c>
      <c r="N5652" s="475">
        <f t="shared" si="197"/>
        <v>223073</v>
      </c>
    </row>
    <row r="5653" spans="7:14" ht="11.25" customHeight="1" x14ac:dyDescent="0.3">
      <c r="G5653" s="470"/>
      <c r="H5653" s="470">
        <v>5646</v>
      </c>
      <c r="I5653" s="455">
        <f t="shared" ca="1" si="195"/>
        <v>3905619014903938</v>
      </c>
      <c r="J5653" s="455">
        <f t="array" ref="J5653">IFERROR(INDEX('Retirement Calculator'!K:K,MATCH('Lorri 401b'!N5653,'Retirement Calculator'!A:A,0),0),0)</f>
        <v>0</v>
      </c>
      <c r="K5653" s="455">
        <f t="shared" ca="1" si="193"/>
        <v>16273412562099.742</v>
      </c>
      <c r="L5653" s="455">
        <f t="shared" ca="1" si="194"/>
        <v>3921892427466037.5</v>
      </c>
      <c r="M5653" s="471">
        <f t="shared" si="196"/>
        <v>0.05</v>
      </c>
      <c r="N5653" s="475">
        <f t="shared" si="197"/>
        <v>223104</v>
      </c>
    </row>
    <row r="5654" spans="7:14" ht="11.25" customHeight="1" x14ac:dyDescent="0.3">
      <c r="G5654" s="470"/>
      <c r="H5654" s="470">
        <v>5647</v>
      </c>
      <c r="I5654" s="455">
        <f t="shared" ca="1" si="195"/>
        <v>3921892427466037.5</v>
      </c>
      <c r="J5654" s="455">
        <f t="array" ref="J5654">IFERROR(INDEX('Retirement Calculator'!K:K,MATCH('Lorri 401b'!N5654,'Retirement Calculator'!A:A,0),0),0)</f>
        <v>0</v>
      </c>
      <c r="K5654" s="455">
        <f t="shared" ca="1" si="193"/>
        <v>16341218447775.156</v>
      </c>
      <c r="L5654" s="455">
        <f t="shared" ca="1" si="194"/>
        <v>3938233645913812.5</v>
      </c>
      <c r="M5654" s="471">
        <f t="shared" si="196"/>
        <v>0.05</v>
      </c>
      <c r="N5654" s="475">
        <f t="shared" si="197"/>
        <v>223134</v>
      </c>
    </row>
    <row r="5655" spans="7:14" ht="11.25" customHeight="1" x14ac:dyDescent="0.3">
      <c r="G5655" s="470"/>
      <c r="H5655" s="470">
        <v>5648</v>
      </c>
      <c r="I5655" s="455">
        <f t="shared" ca="1" si="195"/>
        <v>3938233645913812.5</v>
      </c>
      <c r="J5655" s="455">
        <f t="array" ref="J5655">IFERROR(INDEX('Retirement Calculator'!K:K,MATCH('Lorri 401b'!N5655,'Retirement Calculator'!A:A,0),0),0)</f>
        <v>0</v>
      </c>
      <c r="K5655" s="455">
        <f t="shared" ca="1" si="193"/>
        <v>16409306857974.219</v>
      </c>
      <c r="L5655" s="455">
        <f t="shared" ca="1" si="194"/>
        <v>3954642952771786.5</v>
      </c>
      <c r="M5655" s="471">
        <f t="shared" si="196"/>
        <v>0.05</v>
      </c>
      <c r="N5655" s="475">
        <f t="shared" si="197"/>
        <v>223165</v>
      </c>
    </row>
    <row r="5656" spans="7:14" ht="11.25" customHeight="1" x14ac:dyDescent="0.3">
      <c r="G5656" s="470"/>
      <c r="H5656" s="470">
        <v>5649</v>
      </c>
      <c r="I5656" s="455">
        <f t="shared" ca="1" si="195"/>
        <v>3954642952771786.5</v>
      </c>
      <c r="J5656" s="455">
        <f t="array" ref="J5656">IFERROR(INDEX('Retirement Calculator'!K:K,MATCH('Lorri 401b'!N5656,'Retirement Calculator'!A:A,0),0),0)</f>
        <v>0</v>
      </c>
      <c r="K5656" s="455">
        <f t="shared" ca="1" si="193"/>
        <v>16477678969882.443</v>
      </c>
      <c r="L5656" s="455">
        <f t="shared" ca="1" si="194"/>
        <v>3971120631741669</v>
      </c>
      <c r="M5656" s="471">
        <f t="shared" si="196"/>
        <v>0.05</v>
      </c>
      <c r="N5656" s="475">
        <f t="shared" si="197"/>
        <v>223196</v>
      </c>
    </row>
    <row r="5657" spans="7:14" ht="11.25" customHeight="1" x14ac:dyDescent="0.3">
      <c r="G5657" s="470"/>
      <c r="H5657" s="470">
        <v>5650</v>
      </c>
      <c r="I5657" s="455">
        <f t="shared" ca="1" si="195"/>
        <v>3971120631741669</v>
      </c>
      <c r="J5657" s="455">
        <f t="array" ref="J5657">IFERROR(INDEX('Retirement Calculator'!K:K,MATCH('Lorri 401b'!N5657,'Retirement Calculator'!A:A,0),0),0)</f>
        <v>0</v>
      </c>
      <c r="K5657" s="455">
        <f t="shared" ca="1" si="193"/>
        <v>16546335965590.287</v>
      </c>
      <c r="L5657" s="455">
        <f t="shared" ca="1" si="194"/>
        <v>3987666967707259.5</v>
      </c>
      <c r="M5657" s="471">
        <f t="shared" si="196"/>
        <v>0.05</v>
      </c>
      <c r="N5657" s="475">
        <f t="shared" si="197"/>
        <v>223224</v>
      </c>
    </row>
    <row r="5658" spans="7:14" ht="11.25" customHeight="1" x14ac:dyDescent="0.3">
      <c r="G5658" s="470"/>
      <c r="H5658" s="470">
        <v>5651</v>
      </c>
      <c r="I5658" s="455">
        <f t="shared" ca="1" si="195"/>
        <v>3987666967707259.5</v>
      </c>
      <c r="J5658" s="455">
        <f t="array" ref="J5658">IFERROR(INDEX('Retirement Calculator'!K:K,MATCH('Lorri 401b'!N5658,'Retirement Calculator'!A:A,0),0),0)</f>
        <v>0</v>
      </c>
      <c r="K5658" s="455">
        <f t="shared" ca="1" si="193"/>
        <v>16615279032113.578</v>
      </c>
      <c r="L5658" s="455">
        <f t="shared" ca="1" si="194"/>
        <v>4004282246739373</v>
      </c>
      <c r="M5658" s="471">
        <f t="shared" si="196"/>
        <v>0.05</v>
      </c>
      <c r="N5658" s="475">
        <f t="shared" si="197"/>
        <v>223255</v>
      </c>
    </row>
    <row r="5659" spans="7:14" ht="11.25" customHeight="1" x14ac:dyDescent="0.3">
      <c r="G5659" s="470"/>
      <c r="H5659" s="470">
        <v>5652</v>
      </c>
      <c r="I5659" s="455">
        <f t="shared" ca="1" si="195"/>
        <v>4004282246739373</v>
      </c>
      <c r="J5659" s="455">
        <f t="array" ref="J5659">IFERROR(INDEX('Retirement Calculator'!K:K,MATCH('Lorri 401b'!N5659,'Retirement Calculator'!A:A,0),0),0)</f>
        <v>0</v>
      </c>
      <c r="K5659" s="455">
        <f t="shared" ca="1" si="193"/>
        <v>16684509361414.055</v>
      </c>
      <c r="L5659" s="455">
        <f t="shared" ca="1" si="194"/>
        <v>4020966756100787</v>
      </c>
      <c r="M5659" s="471">
        <f t="shared" si="196"/>
        <v>0.05</v>
      </c>
      <c r="N5659" s="475">
        <f t="shared" si="197"/>
        <v>223285</v>
      </c>
    </row>
    <row r="5660" spans="7:14" ht="11.25" customHeight="1" x14ac:dyDescent="0.3">
      <c r="G5660" s="470"/>
      <c r="H5660" s="470">
        <v>5653</v>
      </c>
      <c r="I5660" s="455">
        <f t="shared" ca="1" si="195"/>
        <v>4020966756100787</v>
      </c>
      <c r="J5660" s="455">
        <f t="array" ref="J5660">IFERROR(INDEX('Retirement Calculator'!K:K,MATCH('Lorri 401b'!N5660,'Retirement Calculator'!A:A,0),0),0)</f>
        <v>0</v>
      </c>
      <c r="K5660" s="455">
        <f t="shared" ca="1" si="193"/>
        <v>16754028150419.945</v>
      </c>
      <c r="L5660" s="455">
        <f t="shared" ca="1" si="194"/>
        <v>4037720784251207</v>
      </c>
      <c r="M5660" s="471">
        <f t="shared" si="196"/>
        <v>0.05</v>
      </c>
      <c r="N5660" s="475">
        <f t="shared" si="197"/>
        <v>223316</v>
      </c>
    </row>
    <row r="5661" spans="7:14" ht="11.25" customHeight="1" x14ac:dyDescent="0.3">
      <c r="G5661" s="470"/>
      <c r="H5661" s="470">
        <v>5654</v>
      </c>
      <c r="I5661" s="455">
        <f t="shared" ca="1" si="195"/>
        <v>4037720784251207</v>
      </c>
      <c r="J5661" s="455">
        <f t="array" ref="J5661">IFERROR(INDEX('Retirement Calculator'!K:K,MATCH('Lorri 401b'!N5661,'Retirement Calculator'!A:A,0),0),0)</f>
        <v>0</v>
      </c>
      <c r="K5661" s="455">
        <f t="shared" ca="1" si="193"/>
        <v>16823836601046.695</v>
      </c>
      <c r="L5661" s="455">
        <f t="shared" ca="1" si="194"/>
        <v>4054544620852253.5</v>
      </c>
      <c r="M5661" s="471">
        <f t="shared" si="196"/>
        <v>0.05</v>
      </c>
      <c r="N5661" s="475">
        <f t="shared" si="197"/>
        <v>223346</v>
      </c>
    </row>
    <row r="5662" spans="7:14" ht="11.25" customHeight="1" x14ac:dyDescent="0.3">
      <c r="G5662" s="470"/>
      <c r="H5662" s="470">
        <v>5655</v>
      </c>
      <c r="I5662" s="455">
        <f t="shared" ca="1" si="195"/>
        <v>4054544620852253.5</v>
      </c>
      <c r="J5662" s="455">
        <f t="array" ref="J5662">IFERROR(INDEX('Retirement Calculator'!K:K,MATCH('Lorri 401b'!N5662,'Retirement Calculator'!A:A,0),0),0)</f>
        <v>0</v>
      </c>
      <c r="K5662" s="455">
        <f t="shared" ca="1" si="193"/>
        <v>16893935920217.723</v>
      </c>
      <c r="L5662" s="455">
        <f t="shared" ca="1" si="194"/>
        <v>4071438556772471</v>
      </c>
      <c r="M5662" s="471">
        <f t="shared" si="196"/>
        <v>0.05</v>
      </c>
      <c r="N5662" s="475">
        <f t="shared" si="197"/>
        <v>223377</v>
      </c>
    </row>
    <row r="5663" spans="7:14" ht="11.25" customHeight="1" x14ac:dyDescent="0.3">
      <c r="G5663" s="470"/>
      <c r="H5663" s="470">
        <v>5656</v>
      </c>
      <c r="I5663" s="455">
        <f t="shared" ca="1" si="195"/>
        <v>4071438556772471</v>
      </c>
      <c r="J5663" s="455">
        <f t="array" ref="J5663">IFERROR(INDEX('Retirement Calculator'!K:K,MATCH('Lorri 401b'!N5663,'Retirement Calculator'!A:A,0),0),0)</f>
        <v>0</v>
      </c>
      <c r="K5663" s="455">
        <f t="shared" ca="1" si="193"/>
        <v>16964327319885.295</v>
      </c>
      <c r="L5663" s="455">
        <f t="shared" ca="1" si="194"/>
        <v>4088402884092356.5</v>
      </c>
      <c r="M5663" s="471">
        <f t="shared" si="196"/>
        <v>0.05</v>
      </c>
      <c r="N5663" s="475">
        <f t="shared" si="197"/>
        <v>223408</v>
      </c>
    </row>
    <row r="5664" spans="7:14" ht="11.25" customHeight="1" x14ac:dyDescent="0.3">
      <c r="G5664" s="470"/>
      <c r="H5664" s="470">
        <v>5657</v>
      </c>
      <c r="I5664" s="455">
        <f t="shared" ca="1" si="195"/>
        <v>4088402884092356.5</v>
      </c>
      <c r="J5664" s="455">
        <f t="array" ref="J5664">IFERROR(INDEX('Retirement Calculator'!K:K,MATCH('Lorri 401b'!N5664,'Retirement Calculator'!A:A,0),0),0)</f>
        <v>0</v>
      </c>
      <c r="K5664" s="455">
        <f t="shared" ca="1" si="193"/>
        <v>17035012017051.482</v>
      </c>
      <c r="L5664" s="455">
        <f t="shared" ca="1" si="194"/>
        <v>4105437896109408</v>
      </c>
      <c r="M5664" s="471">
        <f t="shared" si="196"/>
        <v>0.05</v>
      </c>
      <c r="N5664" s="475">
        <f t="shared" si="197"/>
        <v>223438</v>
      </c>
    </row>
    <row r="5665" spans="7:14" ht="11.25" customHeight="1" x14ac:dyDescent="0.3">
      <c r="G5665" s="470"/>
      <c r="H5665" s="470">
        <v>5658</v>
      </c>
      <c r="I5665" s="455">
        <f t="shared" ca="1" si="195"/>
        <v>4105437896109408</v>
      </c>
      <c r="J5665" s="455">
        <f t="array" ref="J5665">IFERROR(INDEX('Retirement Calculator'!K:K,MATCH('Lorri 401b'!N5665,'Retirement Calculator'!A:A,0),0),0)</f>
        <v>0</v>
      </c>
      <c r="K5665" s="455">
        <f t="shared" ca="1" si="193"/>
        <v>17105991233789.199</v>
      </c>
      <c r="L5665" s="455">
        <f t="shared" ca="1" si="194"/>
        <v>4122543887343197</v>
      </c>
      <c r="M5665" s="471">
        <f t="shared" si="196"/>
        <v>0.05</v>
      </c>
      <c r="N5665" s="475">
        <f t="shared" si="197"/>
        <v>223469</v>
      </c>
    </row>
    <row r="5666" spans="7:14" ht="11.25" customHeight="1" x14ac:dyDescent="0.3">
      <c r="G5666" s="470"/>
      <c r="H5666" s="470">
        <v>5659</v>
      </c>
      <c r="I5666" s="455">
        <f t="shared" ca="1" si="195"/>
        <v>4122543887343197</v>
      </c>
      <c r="J5666" s="455">
        <f t="array" ref="J5666">IFERROR(INDEX('Retirement Calculator'!K:K,MATCH('Lorri 401b'!N5666,'Retirement Calculator'!A:A,0),0),0)</f>
        <v>0</v>
      </c>
      <c r="K5666" s="455">
        <f t="shared" ca="1" si="193"/>
        <v>17177266197263.318</v>
      </c>
      <c r="L5666" s="455">
        <f t="shared" ca="1" si="194"/>
        <v>4139721153540460.5</v>
      </c>
      <c r="M5666" s="471">
        <f t="shared" si="196"/>
        <v>0.05</v>
      </c>
      <c r="N5666" s="475">
        <f t="shared" si="197"/>
        <v>223499</v>
      </c>
    </row>
    <row r="5667" spans="7:14" ht="11.25" customHeight="1" x14ac:dyDescent="0.3">
      <c r="G5667" s="470"/>
      <c r="H5667" s="470">
        <v>5660</v>
      </c>
      <c r="I5667" s="455">
        <f t="shared" ca="1" si="195"/>
        <v>4139721153540460.5</v>
      </c>
      <c r="J5667" s="455">
        <f t="array" ref="J5667">IFERROR(INDEX('Retirement Calculator'!K:K,MATCH('Lorri 401b'!N5667,'Retirement Calculator'!A:A,0),0),0)</f>
        <v>0</v>
      </c>
      <c r="K5667" s="455">
        <f t="shared" ca="1" si="193"/>
        <v>17248838139751.92</v>
      </c>
      <c r="L5667" s="455">
        <f t="shared" ca="1" si="194"/>
        <v>4156969991680212.5</v>
      </c>
      <c r="M5667" s="471">
        <f t="shared" si="196"/>
        <v>0.05</v>
      </c>
      <c r="N5667" s="475">
        <f t="shared" si="197"/>
        <v>223530</v>
      </c>
    </row>
    <row r="5668" spans="7:14" ht="11.25" customHeight="1" x14ac:dyDescent="0.3">
      <c r="G5668" s="470"/>
      <c r="H5668" s="470">
        <v>5661</v>
      </c>
      <c r="I5668" s="455">
        <f t="shared" ca="1" si="195"/>
        <v>4156969991680212.5</v>
      </c>
      <c r="J5668" s="455">
        <f t="array" ref="J5668">IFERROR(INDEX('Retirement Calculator'!K:K,MATCH('Lorri 401b'!N5668,'Retirement Calculator'!A:A,0),0),0)</f>
        <v>0</v>
      </c>
      <c r="K5668" s="455">
        <f t="shared" ca="1" si="193"/>
        <v>17320708298667.553</v>
      </c>
      <c r="L5668" s="455">
        <f t="shared" ca="1" si="194"/>
        <v>4174290699978880</v>
      </c>
      <c r="M5668" s="471">
        <f t="shared" si="196"/>
        <v>0.05</v>
      </c>
      <c r="N5668" s="475">
        <f t="shared" si="197"/>
        <v>223561</v>
      </c>
    </row>
    <row r="5669" spans="7:14" ht="11.25" customHeight="1" x14ac:dyDescent="0.3">
      <c r="G5669" s="470"/>
      <c r="H5669" s="470">
        <v>5662</v>
      </c>
      <c r="I5669" s="455">
        <f t="shared" ca="1" si="195"/>
        <v>4174290699978880</v>
      </c>
      <c r="J5669" s="455">
        <f t="array" ref="J5669">IFERROR(INDEX('Retirement Calculator'!K:K,MATCH('Lorri 401b'!N5669,'Retirement Calculator'!A:A,0),0),0)</f>
        <v>0</v>
      </c>
      <c r="K5669" s="455">
        <f t="shared" ca="1" si="193"/>
        <v>17392877916578.666</v>
      </c>
      <c r="L5669" s="455">
        <f t="shared" ca="1" si="194"/>
        <v>4191683577895458.5</v>
      </c>
      <c r="M5669" s="471">
        <f t="shared" si="196"/>
        <v>0.05</v>
      </c>
      <c r="N5669" s="475">
        <f t="shared" si="197"/>
        <v>223590</v>
      </c>
    </row>
    <row r="5670" spans="7:14" ht="11.25" customHeight="1" x14ac:dyDescent="0.3">
      <c r="G5670" s="470"/>
      <c r="H5670" s="470">
        <v>5663</v>
      </c>
      <c r="I5670" s="455">
        <f t="shared" ca="1" si="195"/>
        <v>4191683577895458.5</v>
      </c>
      <c r="J5670" s="455">
        <f t="array" ref="J5670">IFERROR(INDEX('Retirement Calculator'!K:K,MATCH('Lorri 401b'!N5670,'Retirement Calculator'!A:A,0),0),0)</f>
        <v>0</v>
      </c>
      <c r="K5670" s="455">
        <f t="shared" ca="1" si="193"/>
        <v>17465348241231.076</v>
      </c>
      <c r="L5670" s="455">
        <f t="shared" ca="1" si="194"/>
        <v>4209148926136689.5</v>
      </c>
      <c r="M5670" s="471">
        <f t="shared" si="196"/>
        <v>0.05</v>
      </c>
      <c r="N5670" s="475">
        <f t="shared" si="197"/>
        <v>223621</v>
      </c>
    </row>
    <row r="5671" spans="7:14" ht="11.25" customHeight="1" x14ac:dyDescent="0.3">
      <c r="G5671" s="470"/>
      <c r="H5671" s="470">
        <v>5664</v>
      </c>
      <c r="I5671" s="455">
        <f t="shared" ca="1" si="195"/>
        <v>4209148926136689.5</v>
      </c>
      <c r="J5671" s="455">
        <f t="array" ref="J5671">IFERROR(INDEX('Retirement Calculator'!K:K,MATCH('Lorri 401b'!N5671,'Retirement Calculator'!A:A,0),0),0)</f>
        <v>0</v>
      </c>
      <c r="K5671" s="455">
        <f t="shared" ca="1" si="193"/>
        <v>17538120525569.539</v>
      </c>
      <c r="L5671" s="455">
        <f t="shared" ca="1" si="194"/>
        <v>4226687046662259</v>
      </c>
      <c r="M5671" s="471">
        <f t="shared" si="196"/>
        <v>0.05</v>
      </c>
      <c r="N5671" s="475">
        <f t="shared" si="197"/>
        <v>223651</v>
      </c>
    </row>
    <row r="5672" spans="7:14" ht="11.25" customHeight="1" x14ac:dyDescent="0.3">
      <c r="G5672" s="470"/>
      <c r="H5672" s="470">
        <v>5665</v>
      </c>
      <c r="I5672" s="455">
        <f t="shared" ca="1" si="195"/>
        <v>4226687046662259</v>
      </c>
      <c r="J5672" s="455">
        <f t="array" ref="J5672">IFERROR(INDEX('Retirement Calculator'!K:K,MATCH('Lorri 401b'!N5672,'Retirement Calculator'!A:A,0),0),0)</f>
        <v>0</v>
      </c>
      <c r="K5672" s="455">
        <f t="shared" ca="1" si="193"/>
        <v>17611196027759.414</v>
      </c>
      <c r="L5672" s="455">
        <f t="shared" ca="1" si="194"/>
        <v>4244298242690018.5</v>
      </c>
      <c r="M5672" s="471">
        <f t="shared" si="196"/>
        <v>0.05</v>
      </c>
      <c r="N5672" s="475">
        <f t="shared" si="197"/>
        <v>223682</v>
      </c>
    </row>
    <row r="5673" spans="7:14" ht="11.25" customHeight="1" x14ac:dyDescent="0.3">
      <c r="G5673" s="470"/>
      <c r="H5673" s="470">
        <v>5666</v>
      </c>
      <c r="I5673" s="455">
        <f t="shared" ca="1" si="195"/>
        <v>4244298242690018.5</v>
      </c>
      <c r="J5673" s="455">
        <f t="array" ref="J5673">IFERROR(INDEX('Retirement Calculator'!K:K,MATCH('Lorri 401b'!N5673,'Retirement Calculator'!A:A,0),0),0)</f>
        <v>0</v>
      </c>
      <c r="K5673" s="455">
        <f t="shared" ca="1" si="193"/>
        <v>17684576011208.41</v>
      </c>
      <c r="L5673" s="455">
        <f t="shared" ca="1" si="194"/>
        <v>4261982818701227</v>
      </c>
      <c r="M5673" s="471">
        <f t="shared" si="196"/>
        <v>0.05</v>
      </c>
      <c r="N5673" s="475">
        <f t="shared" si="197"/>
        <v>223712</v>
      </c>
    </row>
    <row r="5674" spans="7:14" ht="11.25" customHeight="1" x14ac:dyDescent="0.3">
      <c r="G5674" s="470"/>
      <c r="H5674" s="470">
        <v>5667</v>
      </c>
      <c r="I5674" s="455">
        <f t="shared" ca="1" si="195"/>
        <v>4261982818701227</v>
      </c>
      <c r="J5674" s="455">
        <f t="array" ref="J5674">IFERROR(INDEX('Retirement Calculator'!K:K,MATCH('Lorri 401b'!N5674,'Retirement Calculator'!A:A,0),0),0)</f>
        <v>0</v>
      </c>
      <c r="K5674" s="455">
        <f t="shared" ca="1" si="193"/>
        <v>17758261744588.445</v>
      </c>
      <c r="L5674" s="455">
        <f t="shared" ca="1" si="194"/>
        <v>4279741080445815.5</v>
      </c>
      <c r="M5674" s="471">
        <f t="shared" si="196"/>
        <v>0.05</v>
      </c>
      <c r="N5674" s="475">
        <f t="shared" si="197"/>
        <v>223743</v>
      </c>
    </row>
    <row r="5675" spans="7:14" ht="11.25" customHeight="1" x14ac:dyDescent="0.3">
      <c r="G5675" s="470"/>
      <c r="H5675" s="470">
        <v>5668</v>
      </c>
      <c r="I5675" s="455">
        <f t="shared" ca="1" si="195"/>
        <v>4279741080445815.5</v>
      </c>
      <c r="J5675" s="455">
        <f t="array" ref="J5675">IFERROR(INDEX('Retirement Calculator'!K:K,MATCH('Lorri 401b'!N5675,'Retirement Calculator'!A:A,0),0),0)</f>
        <v>0</v>
      </c>
      <c r="K5675" s="455">
        <f t="shared" ca="1" si="193"/>
        <v>17832254501857.563</v>
      </c>
      <c r="L5675" s="455">
        <f t="shared" ca="1" si="194"/>
        <v>4297573334947673</v>
      </c>
      <c r="M5675" s="471">
        <f t="shared" si="196"/>
        <v>0.05</v>
      </c>
      <c r="N5675" s="475">
        <f t="shared" si="197"/>
        <v>223774</v>
      </c>
    </row>
    <row r="5676" spans="7:14" ht="11.25" customHeight="1" x14ac:dyDescent="0.3">
      <c r="G5676" s="470"/>
      <c r="H5676" s="470">
        <v>5669</v>
      </c>
      <c r="I5676" s="455">
        <f t="shared" ca="1" si="195"/>
        <v>4297573334947673</v>
      </c>
      <c r="J5676" s="455">
        <f t="array" ref="J5676">IFERROR(INDEX('Retirement Calculator'!K:K,MATCH('Lorri 401b'!N5676,'Retirement Calculator'!A:A,0),0),0)</f>
        <v>0</v>
      </c>
      <c r="K5676" s="455">
        <f t="shared" ca="1" si="193"/>
        <v>17906555562281.969</v>
      </c>
      <c r="L5676" s="455">
        <f t="shared" ca="1" si="194"/>
        <v>4315479890509955</v>
      </c>
      <c r="M5676" s="471">
        <f t="shared" si="196"/>
        <v>0.05</v>
      </c>
      <c r="N5676" s="475">
        <f t="shared" si="197"/>
        <v>223804</v>
      </c>
    </row>
    <row r="5677" spans="7:14" ht="11.25" customHeight="1" x14ac:dyDescent="0.3">
      <c r="G5677" s="470"/>
      <c r="H5677" s="470">
        <v>5670</v>
      </c>
      <c r="I5677" s="455">
        <f t="shared" ca="1" si="195"/>
        <v>4315479890509955</v>
      </c>
      <c r="J5677" s="455">
        <f t="array" ref="J5677">IFERROR(INDEX('Retirement Calculator'!K:K,MATCH('Lorri 401b'!N5677,'Retirement Calculator'!A:A,0),0),0)</f>
        <v>0</v>
      </c>
      <c r="K5677" s="455">
        <f t="shared" ca="1" si="193"/>
        <v>17981166210458.145</v>
      </c>
      <c r="L5677" s="455">
        <f t="shared" ca="1" si="194"/>
        <v>4333461056720413</v>
      </c>
      <c r="M5677" s="471">
        <f t="shared" si="196"/>
        <v>0.05</v>
      </c>
      <c r="N5677" s="475">
        <f t="shared" si="197"/>
        <v>223835</v>
      </c>
    </row>
    <row r="5678" spans="7:14" ht="11.25" customHeight="1" x14ac:dyDescent="0.3">
      <c r="G5678" s="470"/>
      <c r="H5678" s="470">
        <v>5671</v>
      </c>
      <c r="I5678" s="455">
        <f t="shared" ca="1" si="195"/>
        <v>4333461056720413</v>
      </c>
      <c r="J5678" s="455">
        <f t="array" ref="J5678">IFERROR(INDEX('Retirement Calculator'!K:K,MATCH('Lorri 401b'!N5678,'Retirement Calculator'!A:A,0),0),0)</f>
        <v>0</v>
      </c>
      <c r="K5678" s="455">
        <f t="shared" ca="1" si="193"/>
        <v>18056087736335.055</v>
      </c>
      <c r="L5678" s="455">
        <f t="shared" ca="1" si="194"/>
        <v>4351517144456748</v>
      </c>
      <c r="M5678" s="471">
        <f t="shared" si="196"/>
        <v>0.05</v>
      </c>
      <c r="N5678" s="475">
        <f t="shared" si="197"/>
        <v>223865</v>
      </c>
    </row>
    <row r="5679" spans="7:14" ht="11.25" customHeight="1" x14ac:dyDescent="0.3">
      <c r="G5679" s="470"/>
      <c r="H5679" s="470">
        <v>5672</v>
      </c>
      <c r="I5679" s="455">
        <f t="shared" ca="1" si="195"/>
        <v>4351517144456748</v>
      </c>
      <c r="J5679" s="455">
        <f t="array" ref="J5679">IFERROR(INDEX('Retirement Calculator'!K:K,MATCH('Lorri 401b'!N5679,'Retirement Calculator'!A:A,0),0),0)</f>
        <v>0</v>
      </c>
      <c r="K5679" s="455">
        <f t="shared" ca="1" si="193"/>
        <v>18131321435236.449</v>
      </c>
      <c r="L5679" s="455">
        <f t="shared" ca="1" si="194"/>
        <v>4369648465891984.5</v>
      </c>
      <c r="M5679" s="471">
        <f t="shared" si="196"/>
        <v>0.05</v>
      </c>
      <c r="N5679" s="475">
        <f t="shared" si="197"/>
        <v>223896</v>
      </c>
    </row>
    <row r="5680" spans="7:14" ht="11.25" customHeight="1" x14ac:dyDescent="0.3">
      <c r="G5680" s="470"/>
      <c r="H5680" s="470">
        <v>5673</v>
      </c>
      <c r="I5680" s="455">
        <f t="shared" ca="1" si="195"/>
        <v>4369648465891984.5</v>
      </c>
      <c r="J5680" s="455">
        <f t="array" ref="J5680">IFERROR(INDEX('Retirement Calculator'!K:K,MATCH('Lorri 401b'!N5680,'Retirement Calculator'!A:A,0),0),0)</f>
        <v>0</v>
      </c>
      <c r="K5680" s="455">
        <f t="shared" ca="1" si="193"/>
        <v>18206868607883.27</v>
      </c>
      <c r="L5680" s="455">
        <f t="shared" ca="1" si="194"/>
        <v>4387855334499868</v>
      </c>
      <c r="M5680" s="471">
        <f t="shared" si="196"/>
        <v>0.05</v>
      </c>
      <c r="N5680" s="475">
        <f t="shared" si="197"/>
        <v>223927</v>
      </c>
    </row>
    <row r="5681" spans="7:14" ht="11.25" customHeight="1" x14ac:dyDescent="0.3">
      <c r="G5681" s="470"/>
      <c r="H5681" s="470">
        <v>5674</v>
      </c>
      <c r="I5681" s="455">
        <f t="shared" ca="1" si="195"/>
        <v>4387855334499868</v>
      </c>
      <c r="J5681" s="455">
        <f t="array" ref="J5681">IFERROR(INDEX('Retirement Calculator'!K:K,MATCH('Lorri 401b'!N5681,'Retirement Calculator'!A:A,0),0),0)</f>
        <v>0</v>
      </c>
      <c r="K5681" s="455">
        <f t="shared" ca="1" si="193"/>
        <v>18282730560416.117</v>
      </c>
      <c r="L5681" s="455">
        <f t="shared" ca="1" si="194"/>
        <v>4406138065060284</v>
      </c>
      <c r="M5681" s="471">
        <f t="shared" si="196"/>
        <v>0.05</v>
      </c>
      <c r="N5681" s="475">
        <f t="shared" si="197"/>
        <v>223955</v>
      </c>
    </row>
    <row r="5682" spans="7:14" ht="11.25" customHeight="1" x14ac:dyDescent="0.3">
      <c r="G5682" s="470"/>
      <c r="H5682" s="470">
        <v>5675</v>
      </c>
      <c r="I5682" s="455">
        <f t="shared" ca="1" si="195"/>
        <v>4406138065060284</v>
      </c>
      <c r="J5682" s="455">
        <f t="array" ref="J5682">IFERROR(INDEX('Retirement Calculator'!K:K,MATCH('Lorri 401b'!N5682,'Retirement Calculator'!A:A,0),0),0)</f>
        <v>0</v>
      </c>
      <c r="K5682" s="455">
        <f t="shared" ca="1" si="193"/>
        <v>18358908604417.852</v>
      </c>
      <c r="L5682" s="455">
        <f t="shared" ca="1" si="194"/>
        <v>4424496973664702</v>
      </c>
      <c r="M5682" s="471">
        <f t="shared" si="196"/>
        <v>0.05</v>
      </c>
      <c r="N5682" s="475">
        <f t="shared" si="197"/>
        <v>223986</v>
      </c>
    </row>
    <row r="5683" spans="7:14" ht="11.25" customHeight="1" x14ac:dyDescent="0.3">
      <c r="G5683" s="470"/>
      <c r="H5683" s="470">
        <v>5676</v>
      </c>
      <c r="I5683" s="455">
        <f t="shared" ca="1" si="195"/>
        <v>4424496973664702</v>
      </c>
      <c r="J5683" s="455">
        <f t="array" ref="J5683">IFERROR(INDEX('Retirement Calculator'!K:K,MATCH('Lorri 401b'!N5683,'Retirement Calculator'!A:A,0),0),0)</f>
        <v>0</v>
      </c>
      <c r="K5683" s="455">
        <f t="shared" ca="1" si="193"/>
        <v>18435404056936.262</v>
      </c>
      <c r="L5683" s="455">
        <f t="shared" ca="1" si="194"/>
        <v>4442932377721638.5</v>
      </c>
      <c r="M5683" s="471">
        <f t="shared" si="196"/>
        <v>0.05</v>
      </c>
      <c r="N5683" s="475">
        <f t="shared" si="197"/>
        <v>224016</v>
      </c>
    </row>
    <row r="5684" spans="7:14" ht="11.25" customHeight="1" x14ac:dyDescent="0.3">
      <c r="G5684" s="470"/>
      <c r="H5684" s="470">
        <v>5677</v>
      </c>
      <c r="I5684" s="455">
        <f t="shared" ca="1" si="195"/>
        <v>4442932377721638.5</v>
      </c>
      <c r="J5684" s="455">
        <f t="array" ref="J5684">IFERROR(INDEX('Retirement Calculator'!K:K,MATCH('Lorri 401b'!N5684,'Retirement Calculator'!A:A,0),0),0)</f>
        <v>0</v>
      </c>
      <c r="K5684" s="455">
        <f t="shared" ca="1" si="193"/>
        <v>18512218240506.828</v>
      </c>
      <c r="L5684" s="455">
        <f t="shared" ca="1" si="194"/>
        <v>4461444595962145.5</v>
      </c>
      <c r="M5684" s="471">
        <f t="shared" si="196"/>
        <v>0.05</v>
      </c>
      <c r="N5684" s="475">
        <f t="shared" si="197"/>
        <v>224047</v>
      </c>
    </row>
    <row r="5685" spans="7:14" ht="11.25" customHeight="1" x14ac:dyDescent="0.3">
      <c r="G5685" s="470"/>
      <c r="H5685" s="470">
        <v>5678</v>
      </c>
      <c r="I5685" s="455">
        <f t="shared" ca="1" si="195"/>
        <v>4461444595962145.5</v>
      </c>
      <c r="J5685" s="455">
        <f t="array" ref="J5685">IFERROR(INDEX('Retirement Calculator'!K:K,MATCH('Lorri 401b'!N5685,'Retirement Calculator'!A:A,0),0),0)</f>
        <v>0</v>
      </c>
      <c r="K5685" s="455">
        <f t="shared" ca="1" si="193"/>
        <v>18589352483175.605</v>
      </c>
      <c r="L5685" s="455">
        <f t="shared" ca="1" si="194"/>
        <v>4480033948445321</v>
      </c>
      <c r="M5685" s="471">
        <f t="shared" si="196"/>
        <v>0.05</v>
      </c>
      <c r="N5685" s="475">
        <f t="shared" si="197"/>
        <v>224077</v>
      </c>
    </row>
    <row r="5686" spans="7:14" ht="11.25" customHeight="1" x14ac:dyDescent="0.3">
      <c r="G5686" s="470"/>
      <c r="H5686" s="470">
        <v>5679</v>
      </c>
      <c r="I5686" s="455">
        <f t="shared" ca="1" si="195"/>
        <v>4480033948445321</v>
      </c>
      <c r="J5686" s="455">
        <f t="array" ref="J5686">IFERROR(INDEX('Retirement Calculator'!K:K,MATCH('Lorri 401b'!N5686,'Retirement Calculator'!A:A,0),0),0)</f>
        <v>0</v>
      </c>
      <c r="K5686" s="455">
        <f t="shared" ca="1" si="193"/>
        <v>18666808118522.172</v>
      </c>
      <c r="L5686" s="455">
        <f t="shared" ca="1" si="194"/>
        <v>4498700756563843</v>
      </c>
      <c r="M5686" s="471">
        <f t="shared" si="196"/>
        <v>0.05</v>
      </c>
      <c r="N5686" s="475">
        <f t="shared" si="197"/>
        <v>224108</v>
      </c>
    </row>
    <row r="5687" spans="7:14" ht="11.25" customHeight="1" x14ac:dyDescent="0.3">
      <c r="G5687" s="470"/>
      <c r="H5687" s="470">
        <v>5680</v>
      </c>
      <c r="I5687" s="455">
        <f t="shared" ca="1" si="195"/>
        <v>4498700756563843</v>
      </c>
      <c r="J5687" s="455">
        <f t="array" ref="J5687">IFERROR(INDEX('Retirement Calculator'!K:K,MATCH('Lorri 401b'!N5687,'Retirement Calculator'!A:A,0),0),0)</f>
        <v>0</v>
      </c>
      <c r="K5687" s="455">
        <f t="shared" ca="1" si="193"/>
        <v>18744586485682.68</v>
      </c>
      <c r="L5687" s="455">
        <f t="shared" ca="1" si="194"/>
        <v>4517445343049526</v>
      </c>
      <c r="M5687" s="471">
        <f t="shared" si="196"/>
        <v>0.05</v>
      </c>
      <c r="N5687" s="475">
        <f t="shared" si="197"/>
        <v>224139</v>
      </c>
    </row>
    <row r="5688" spans="7:14" ht="11.25" customHeight="1" x14ac:dyDescent="0.3">
      <c r="G5688" s="470"/>
      <c r="H5688" s="470">
        <v>5681</v>
      </c>
      <c r="I5688" s="455">
        <f t="shared" ca="1" si="195"/>
        <v>4517445343049526</v>
      </c>
      <c r="J5688" s="455">
        <f t="array" ref="J5688">IFERROR(INDEX('Retirement Calculator'!K:K,MATCH('Lorri 401b'!N5688,'Retirement Calculator'!A:A,0),0),0)</f>
        <v>0</v>
      </c>
      <c r="K5688" s="455">
        <f t="shared" ca="1" si="193"/>
        <v>18822688929373.023</v>
      </c>
      <c r="L5688" s="455">
        <f t="shared" ca="1" si="194"/>
        <v>4536268031978899</v>
      </c>
      <c r="M5688" s="471">
        <f t="shared" si="196"/>
        <v>0.05</v>
      </c>
      <c r="N5688" s="475">
        <f t="shared" si="197"/>
        <v>224169</v>
      </c>
    </row>
    <row r="5689" spans="7:14" ht="11.25" customHeight="1" x14ac:dyDescent="0.3">
      <c r="G5689" s="470"/>
      <c r="H5689" s="470">
        <v>5682</v>
      </c>
      <c r="I5689" s="455">
        <f t="shared" ca="1" si="195"/>
        <v>4536268031978899</v>
      </c>
      <c r="J5689" s="455">
        <f t="array" ref="J5689">IFERROR(INDEX('Retirement Calculator'!K:K,MATCH('Lorri 401b'!N5689,'Retirement Calculator'!A:A,0),0),0)</f>
        <v>0</v>
      </c>
      <c r="K5689" s="455">
        <f t="shared" ca="1" si="193"/>
        <v>18901116799912.078</v>
      </c>
      <c r="L5689" s="455">
        <f t="shared" ca="1" si="194"/>
        <v>4555169148778811</v>
      </c>
      <c r="M5689" s="471">
        <f t="shared" si="196"/>
        <v>0.05</v>
      </c>
      <c r="N5689" s="475">
        <f t="shared" si="197"/>
        <v>224200</v>
      </c>
    </row>
    <row r="5690" spans="7:14" ht="11.25" customHeight="1" x14ac:dyDescent="0.3">
      <c r="G5690" s="470"/>
      <c r="H5690" s="470">
        <v>5683</v>
      </c>
      <c r="I5690" s="455">
        <f t="shared" ca="1" si="195"/>
        <v>4555169148778811</v>
      </c>
      <c r="J5690" s="455">
        <f t="array" ref="J5690">IFERROR(INDEX('Retirement Calculator'!K:K,MATCH('Lorri 401b'!N5690,'Retirement Calculator'!A:A,0),0),0)</f>
        <v>0</v>
      </c>
      <c r="K5690" s="455">
        <f t="shared" ca="1" si="193"/>
        <v>18979871453245.047</v>
      </c>
      <c r="L5690" s="455">
        <f t="shared" ca="1" si="194"/>
        <v>4574149020232056</v>
      </c>
      <c r="M5690" s="471">
        <f t="shared" si="196"/>
        <v>0.05</v>
      </c>
      <c r="N5690" s="475">
        <f t="shared" si="197"/>
        <v>224230</v>
      </c>
    </row>
    <row r="5691" spans="7:14" ht="11.25" customHeight="1" x14ac:dyDescent="0.3">
      <c r="G5691" s="470"/>
      <c r="H5691" s="470">
        <v>5684</v>
      </c>
      <c r="I5691" s="455">
        <f t="shared" ca="1" si="195"/>
        <v>4574149020232056</v>
      </c>
      <c r="J5691" s="455">
        <f t="array" ref="J5691">IFERROR(INDEX('Retirement Calculator'!K:K,MATCH('Lorri 401b'!N5691,'Retirement Calculator'!A:A,0),0),0)</f>
        <v>0</v>
      </c>
      <c r="K5691" s="455">
        <f t="shared" ca="1" si="193"/>
        <v>19058954250966.898</v>
      </c>
      <c r="L5691" s="455">
        <f t="shared" ca="1" si="194"/>
        <v>4593207974483023</v>
      </c>
      <c r="M5691" s="471">
        <f t="shared" si="196"/>
        <v>0.05</v>
      </c>
      <c r="N5691" s="475">
        <f t="shared" si="197"/>
        <v>224261</v>
      </c>
    </row>
    <row r="5692" spans="7:14" ht="11.25" customHeight="1" x14ac:dyDescent="0.3">
      <c r="G5692" s="470"/>
      <c r="H5692" s="470">
        <v>5685</v>
      </c>
      <c r="I5692" s="455">
        <f t="shared" ca="1" si="195"/>
        <v>4593207974483023</v>
      </c>
      <c r="J5692" s="455">
        <f t="array" ref="J5692">IFERROR(INDEX('Retirement Calculator'!K:K,MATCH('Lorri 401b'!N5692,'Retirement Calculator'!A:A,0),0),0)</f>
        <v>0</v>
      </c>
      <c r="K5692" s="455">
        <f t="shared" ca="1" si="193"/>
        <v>19138366560345.93</v>
      </c>
      <c r="L5692" s="455">
        <f t="shared" ca="1" si="194"/>
        <v>4612346341043369</v>
      </c>
      <c r="M5692" s="471">
        <f t="shared" si="196"/>
        <v>0.05</v>
      </c>
      <c r="N5692" s="475">
        <f t="shared" si="197"/>
        <v>224292</v>
      </c>
    </row>
    <row r="5693" spans="7:14" ht="11.25" customHeight="1" x14ac:dyDescent="0.3">
      <c r="G5693" s="470"/>
      <c r="H5693" s="470">
        <v>5686</v>
      </c>
      <c r="I5693" s="455">
        <f t="shared" ca="1" si="195"/>
        <v>4612346341043369</v>
      </c>
      <c r="J5693" s="455">
        <f t="array" ref="J5693">IFERROR(INDEX('Retirement Calculator'!K:K,MATCH('Lorri 401b'!N5693,'Retirement Calculator'!A:A,0),0),0)</f>
        <v>0</v>
      </c>
      <c r="K5693" s="455">
        <f t="shared" ca="1" si="193"/>
        <v>19218109754347.371</v>
      </c>
      <c r="L5693" s="455">
        <f t="shared" ca="1" si="194"/>
        <v>4631564450797716</v>
      </c>
      <c r="M5693" s="471">
        <f t="shared" si="196"/>
        <v>0.05</v>
      </c>
      <c r="N5693" s="475">
        <f t="shared" si="197"/>
        <v>224320</v>
      </c>
    </row>
    <row r="5694" spans="7:14" ht="11.25" customHeight="1" x14ac:dyDescent="0.3">
      <c r="G5694" s="470"/>
      <c r="H5694" s="470">
        <v>5687</v>
      </c>
      <c r="I5694" s="455">
        <f t="shared" ca="1" si="195"/>
        <v>4631564450797716</v>
      </c>
      <c r="J5694" s="455">
        <f t="array" ref="J5694">IFERROR(INDEX('Retirement Calculator'!K:K,MATCH('Lorri 401b'!N5694,'Retirement Calculator'!A:A,0),0),0)</f>
        <v>0</v>
      </c>
      <c r="K5694" s="455">
        <f t="shared" ca="1" si="193"/>
        <v>19298185211657.148</v>
      </c>
      <c r="L5694" s="455">
        <f t="shared" ca="1" si="194"/>
        <v>4650862636009373</v>
      </c>
      <c r="M5694" s="471">
        <f t="shared" si="196"/>
        <v>0.05</v>
      </c>
      <c r="N5694" s="475">
        <f t="shared" si="197"/>
        <v>224351</v>
      </c>
    </row>
    <row r="5695" spans="7:14" ht="11.25" customHeight="1" x14ac:dyDescent="0.3">
      <c r="G5695" s="470"/>
      <c r="H5695" s="470">
        <v>5688</v>
      </c>
      <c r="I5695" s="455">
        <f t="shared" ca="1" si="195"/>
        <v>4650862636009373</v>
      </c>
      <c r="J5695" s="455">
        <f t="array" ref="J5695">IFERROR(INDEX('Retirement Calculator'!K:K,MATCH('Lorri 401b'!N5695,'Retirement Calculator'!A:A,0),0),0)</f>
        <v>0</v>
      </c>
      <c r="K5695" s="455">
        <f t="shared" ca="1" si="193"/>
        <v>19378594316705.719</v>
      </c>
      <c r="L5695" s="455">
        <f t="shared" ca="1" si="194"/>
        <v>4670241230326079</v>
      </c>
      <c r="M5695" s="471">
        <f t="shared" si="196"/>
        <v>0.05</v>
      </c>
      <c r="N5695" s="475">
        <f t="shared" si="197"/>
        <v>224381</v>
      </c>
    </row>
    <row r="5696" spans="7:14" ht="11.25" customHeight="1" x14ac:dyDescent="0.3">
      <c r="G5696" s="470"/>
      <c r="H5696" s="470">
        <v>5689</v>
      </c>
      <c r="I5696" s="455">
        <f t="shared" ca="1" si="195"/>
        <v>4670241230326079</v>
      </c>
      <c r="J5696" s="455">
        <f t="array" ref="J5696">IFERROR(INDEX('Retirement Calculator'!K:K,MATCH('Lorri 401b'!N5696,'Retirement Calculator'!A:A,0),0),0)</f>
        <v>0</v>
      </c>
      <c r="K5696" s="455">
        <f t="shared" ca="1" si="193"/>
        <v>19459338459691.996</v>
      </c>
      <c r="L5696" s="455">
        <f t="shared" ca="1" si="194"/>
        <v>4689700568785771</v>
      </c>
      <c r="M5696" s="471">
        <f t="shared" si="196"/>
        <v>0.05</v>
      </c>
      <c r="N5696" s="475">
        <f t="shared" si="197"/>
        <v>224412</v>
      </c>
    </row>
    <row r="5697" spans="7:14" ht="11.25" customHeight="1" x14ac:dyDescent="0.3">
      <c r="G5697" s="470"/>
      <c r="H5697" s="470">
        <v>5690</v>
      </c>
      <c r="I5697" s="455">
        <f t="shared" ca="1" si="195"/>
        <v>4689700568785771</v>
      </c>
      <c r="J5697" s="455">
        <f t="array" ref="J5697">IFERROR(INDEX('Retirement Calculator'!K:K,MATCH('Lorri 401b'!N5697,'Retirement Calculator'!A:A,0),0),0)</f>
        <v>0</v>
      </c>
      <c r="K5697" s="455">
        <f t="shared" ca="1" si="193"/>
        <v>19540419036607.379</v>
      </c>
      <c r="L5697" s="455">
        <f t="shared" ca="1" si="194"/>
        <v>4709240987822378</v>
      </c>
      <c r="M5697" s="471">
        <f t="shared" si="196"/>
        <v>0.05</v>
      </c>
      <c r="N5697" s="475">
        <f t="shared" si="197"/>
        <v>224442</v>
      </c>
    </row>
    <row r="5698" spans="7:14" ht="11.25" customHeight="1" x14ac:dyDescent="0.3">
      <c r="G5698" s="470"/>
      <c r="H5698" s="470">
        <v>5691</v>
      </c>
      <c r="I5698" s="455">
        <f t="shared" ca="1" si="195"/>
        <v>4709240987822378</v>
      </c>
      <c r="J5698" s="455">
        <f t="array" ref="J5698">IFERROR(INDEX('Retirement Calculator'!K:K,MATCH('Lorri 401b'!N5698,'Retirement Calculator'!A:A,0),0),0)</f>
        <v>0</v>
      </c>
      <c r="K5698" s="455">
        <f t="shared" ca="1" si="193"/>
        <v>19621837449259.906</v>
      </c>
      <c r="L5698" s="455">
        <f t="shared" ca="1" si="194"/>
        <v>4728862825271638</v>
      </c>
      <c r="M5698" s="471">
        <f t="shared" si="196"/>
        <v>0.05</v>
      </c>
      <c r="N5698" s="475">
        <f t="shared" si="197"/>
        <v>224473</v>
      </c>
    </row>
    <row r="5699" spans="7:14" ht="11.25" customHeight="1" x14ac:dyDescent="0.3">
      <c r="G5699" s="470"/>
      <c r="H5699" s="470">
        <v>5692</v>
      </c>
      <c r="I5699" s="455">
        <f t="shared" ca="1" si="195"/>
        <v>4728862825271638</v>
      </c>
      <c r="J5699" s="455">
        <f t="array" ref="J5699">IFERROR(INDEX('Retirement Calculator'!K:K,MATCH('Lorri 401b'!N5699,'Retirement Calculator'!A:A,0),0),0)</f>
        <v>0</v>
      </c>
      <c r="K5699" s="455">
        <f t="shared" ca="1" si="193"/>
        <v>19703595105298.492</v>
      </c>
      <c r="L5699" s="455">
        <f t="shared" ca="1" si="194"/>
        <v>4748566420376936</v>
      </c>
      <c r="M5699" s="471">
        <f t="shared" si="196"/>
        <v>0.05</v>
      </c>
      <c r="N5699" s="475">
        <f t="shared" si="197"/>
        <v>224504</v>
      </c>
    </row>
    <row r="5700" spans="7:14" ht="11.25" customHeight="1" x14ac:dyDescent="0.3">
      <c r="G5700" s="470"/>
      <c r="H5700" s="470">
        <v>5693</v>
      </c>
      <c r="I5700" s="455">
        <f t="shared" ca="1" si="195"/>
        <v>4748566420376936</v>
      </c>
      <c r="J5700" s="455">
        <f t="array" ref="J5700">IFERROR(INDEX('Retirement Calculator'!K:K,MATCH('Lorri 401b'!N5700,'Retirement Calculator'!A:A,0),0),0)</f>
        <v>0</v>
      </c>
      <c r="K5700" s="455">
        <f t="shared" ca="1" si="193"/>
        <v>19785693418237.234</v>
      </c>
      <c r="L5700" s="455">
        <f t="shared" ca="1" si="194"/>
        <v>4768352113795173</v>
      </c>
      <c r="M5700" s="471">
        <f t="shared" si="196"/>
        <v>0.05</v>
      </c>
      <c r="N5700" s="475">
        <f t="shared" si="197"/>
        <v>224534</v>
      </c>
    </row>
    <row r="5701" spans="7:14" ht="11.25" customHeight="1" x14ac:dyDescent="0.3">
      <c r="G5701" s="470"/>
      <c r="H5701" s="470">
        <v>5694</v>
      </c>
      <c r="I5701" s="455">
        <f t="shared" ca="1" si="195"/>
        <v>4768352113795173</v>
      </c>
      <c r="J5701" s="455">
        <f t="array" ref="J5701">IFERROR(INDEX('Retirement Calculator'!K:K,MATCH('Lorri 401b'!N5701,'Retirement Calculator'!A:A,0),0),0)</f>
        <v>0</v>
      </c>
      <c r="K5701" s="455">
        <f t="shared" ca="1" si="193"/>
        <v>19868133807479.887</v>
      </c>
      <c r="L5701" s="455">
        <f t="shared" ca="1" si="194"/>
        <v>4788220247602653</v>
      </c>
      <c r="M5701" s="471">
        <f t="shared" si="196"/>
        <v>0.05</v>
      </c>
      <c r="N5701" s="475">
        <f t="shared" si="197"/>
        <v>224565</v>
      </c>
    </row>
    <row r="5702" spans="7:14" ht="11.25" customHeight="1" x14ac:dyDescent="0.3">
      <c r="G5702" s="470"/>
      <c r="H5702" s="470">
        <v>5695</v>
      </c>
      <c r="I5702" s="455">
        <f t="shared" ca="1" si="195"/>
        <v>4788220247602653</v>
      </c>
      <c r="J5702" s="455">
        <f t="array" ref="J5702">IFERROR(INDEX('Retirement Calculator'!K:K,MATCH('Lorri 401b'!N5702,'Retirement Calculator'!A:A,0),0),0)</f>
        <v>0</v>
      </c>
      <c r="K5702" s="455">
        <f t="shared" ca="1" si="193"/>
        <v>19950917698344.387</v>
      </c>
      <c r="L5702" s="455">
        <f t="shared" ca="1" si="194"/>
        <v>4808171165300997</v>
      </c>
      <c r="M5702" s="471">
        <f t="shared" si="196"/>
        <v>0.05</v>
      </c>
      <c r="N5702" s="475">
        <f t="shared" si="197"/>
        <v>224595</v>
      </c>
    </row>
    <row r="5703" spans="7:14" ht="11.25" customHeight="1" x14ac:dyDescent="0.3">
      <c r="G5703" s="470"/>
      <c r="H5703" s="470">
        <v>5696</v>
      </c>
      <c r="I5703" s="455">
        <f t="shared" ca="1" si="195"/>
        <v>4808171165300997</v>
      </c>
      <c r="J5703" s="455">
        <f t="array" ref="J5703">IFERROR(INDEX('Retirement Calculator'!K:K,MATCH('Lorri 401b'!N5703,'Retirement Calculator'!A:A,0),0),0)</f>
        <v>0</v>
      </c>
      <c r="K5703" s="455">
        <f t="shared" ca="1" si="193"/>
        <v>20034046522087.488</v>
      </c>
      <c r="L5703" s="455">
        <f t="shared" ca="1" si="194"/>
        <v>4828205211823084</v>
      </c>
      <c r="M5703" s="471">
        <f t="shared" si="196"/>
        <v>0.05</v>
      </c>
      <c r="N5703" s="475">
        <f t="shared" si="197"/>
        <v>224626</v>
      </c>
    </row>
    <row r="5704" spans="7:14" ht="11.25" customHeight="1" x14ac:dyDescent="0.3">
      <c r="G5704" s="470"/>
      <c r="H5704" s="470">
        <v>5697</v>
      </c>
      <c r="I5704" s="455">
        <f t="shared" ca="1" si="195"/>
        <v>4828205211823084</v>
      </c>
      <c r="J5704" s="455">
        <f t="array" ref="J5704">IFERROR(INDEX('Retirement Calculator'!K:K,MATCH('Lorri 401b'!N5704,'Retirement Calculator'!A:A,0),0),0)</f>
        <v>0</v>
      </c>
      <c r="K5704" s="455">
        <f t="shared" ca="1" si="193"/>
        <v>20117521715929.516</v>
      </c>
      <c r="L5704" s="455">
        <f t="shared" ca="1" si="194"/>
        <v>4848322733539014</v>
      </c>
      <c r="M5704" s="471">
        <f t="shared" si="196"/>
        <v>0.05</v>
      </c>
      <c r="N5704" s="475">
        <f t="shared" si="197"/>
        <v>224657</v>
      </c>
    </row>
    <row r="5705" spans="7:14" ht="11.25" customHeight="1" x14ac:dyDescent="0.3">
      <c r="G5705" s="470"/>
      <c r="H5705" s="470">
        <v>5698</v>
      </c>
      <c r="I5705" s="455">
        <f t="shared" ca="1" si="195"/>
        <v>4848322733539014</v>
      </c>
      <c r="J5705" s="455">
        <f t="array" ref="J5705">IFERROR(INDEX('Retirement Calculator'!K:K,MATCH('Lorri 401b'!N5705,'Retirement Calculator'!A:A,0),0),0)</f>
        <v>0</v>
      </c>
      <c r="K5705" s="455">
        <f t="shared" ca="1" si="193"/>
        <v>20201344723079.227</v>
      </c>
      <c r="L5705" s="455">
        <f t="shared" ca="1" si="194"/>
        <v>4868524078262093</v>
      </c>
      <c r="M5705" s="471">
        <f t="shared" si="196"/>
        <v>0.05</v>
      </c>
      <c r="N5705" s="475">
        <f t="shared" si="197"/>
        <v>224685</v>
      </c>
    </row>
    <row r="5706" spans="7:14" ht="11.25" customHeight="1" x14ac:dyDescent="0.3">
      <c r="G5706" s="470"/>
      <c r="H5706" s="470">
        <v>5699</v>
      </c>
      <c r="I5706" s="455">
        <f t="shared" ca="1" si="195"/>
        <v>4868524078262093</v>
      </c>
      <c r="J5706" s="455">
        <f t="array" ref="J5706">IFERROR(INDEX('Retirement Calculator'!K:K,MATCH('Lorri 401b'!N5706,'Retirement Calculator'!A:A,0),0),0)</f>
        <v>0</v>
      </c>
      <c r="K5706" s="455">
        <f t="shared" ca="1" si="193"/>
        <v>20285516992758.719</v>
      </c>
      <c r="L5706" s="455">
        <f t="shared" ca="1" si="194"/>
        <v>4888809595254852</v>
      </c>
      <c r="M5706" s="471">
        <f t="shared" si="196"/>
        <v>0.05</v>
      </c>
      <c r="N5706" s="475">
        <f t="shared" si="197"/>
        <v>224716</v>
      </c>
    </row>
    <row r="5707" spans="7:14" ht="11.25" customHeight="1" x14ac:dyDescent="0.3">
      <c r="G5707" s="470"/>
      <c r="H5707" s="470">
        <v>5700</v>
      </c>
      <c r="I5707" s="455">
        <f t="shared" ca="1" si="195"/>
        <v>4888809595254852</v>
      </c>
      <c r="J5707" s="455">
        <f t="array" ref="J5707">IFERROR(INDEX('Retirement Calculator'!K:K,MATCH('Lorri 401b'!N5707,'Retirement Calculator'!A:A,0),0),0)</f>
        <v>0</v>
      </c>
      <c r="K5707" s="455">
        <f t="shared" ca="1" si="193"/>
        <v>20370039980228.551</v>
      </c>
      <c r="L5707" s="455">
        <f t="shared" ca="1" si="194"/>
        <v>4909179635235081</v>
      </c>
      <c r="M5707" s="471">
        <f t="shared" si="196"/>
        <v>0.05</v>
      </c>
      <c r="N5707" s="475">
        <f t="shared" si="197"/>
        <v>224746</v>
      </c>
    </row>
    <row r="5708" spans="7:14" ht="11.25" customHeight="1" x14ac:dyDescent="0.3">
      <c r="G5708" s="470"/>
      <c r="H5708" s="470">
        <v>5701</v>
      </c>
      <c r="I5708" s="455">
        <f t="shared" ca="1" si="195"/>
        <v>4909179635235081</v>
      </c>
      <c r="J5708" s="455">
        <f t="array" ref="J5708">IFERROR(INDEX('Retirement Calculator'!K:K,MATCH('Lorri 401b'!N5708,'Retirement Calculator'!A:A,0),0),0)</f>
        <v>0</v>
      </c>
      <c r="K5708" s="455">
        <f t="shared" ca="1" si="193"/>
        <v>20454915146812.836</v>
      </c>
      <c r="L5708" s="455">
        <f t="shared" ca="1" si="194"/>
        <v>4929634550381894</v>
      </c>
      <c r="M5708" s="471">
        <f t="shared" si="196"/>
        <v>0.05</v>
      </c>
      <c r="N5708" s="475">
        <f t="shared" si="197"/>
        <v>224777</v>
      </c>
    </row>
    <row r="5709" spans="7:14" ht="11.25" customHeight="1" x14ac:dyDescent="0.3">
      <c r="G5709" s="470"/>
      <c r="H5709" s="470">
        <v>5702</v>
      </c>
      <c r="I5709" s="455">
        <f t="shared" ca="1" si="195"/>
        <v>4929634550381894</v>
      </c>
      <c r="J5709" s="455">
        <f t="array" ref="J5709">IFERROR(INDEX('Retirement Calculator'!K:K,MATCH('Lorri 401b'!N5709,'Retirement Calculator'!A:A,0),0),0)</f>
        <v>0</v>
      </c>
      <c r="K5709" s="455">
        <f t="shared" ca="1" si="193"/>
        <v>20540143959924.559</v>
      </c>
      <c r="L5709" s="455">
        <f t="shared" ca="1" si="194"/>
        <v>4950174694341819</v>
      </c>
      <c r="M5709" s="471">
        <f t="shared" si="196"/>
        <v>0.05</v>
      </c>
      <c r="N5709" s="475">
        <f t="shared" si="197"/>
        <v>224807</v>
      </c>
    </row>
    <row r="5710" spans="7:14" ht="11.25" customHeight="1" x14ac:dyDescent="0.3">
      <c r="G5710" s="470"/>
      <c r="H5710" s="470">
        <v>5703</v>
      </c>
      <c r="I5710" s="455">
        <f t="shared" ca="1" si="195"/>
        <v>4950174694341819</v>
      </c>
      <c r="J5710" s="455">
        <f t="array" ref="J5710">IFERROR(INDEX('Retirement Calculator'!K:K,MATCH('Lorri 401b'!N5710,'Retirement Calculator'!A:A,0),0),0)</f>
        <v>0</v>
      </c>
      <c r="K5710" s="455">
        <f t="shared" ca="1" si="193"/>
        <v>20625727893090.914</v>
      </c>
      <c r="L5710" s="455">
        <f t="shared" ca="1" si="194"/>
        <v>4970800422234910</v>
      </c>
      <c r="M5710" s="471">
        <f t="shared" si="196"/>
        <v>0.05</v>
      </c>
      <c r="N5710" s="475">
        <f t="shared" si="197"/>
        <v>224838</v>
      </c>
    </row>
    <row r="5711" spans="7:14" ht="11.25" customHeight="1" x14ac:dyDescent="0.3">
      <c r="G5711" s="470"/>
      <c r="H5711" s="470">
        <v>5704</v>
      </c>
      <c r="I5711" s="455">
        <f t="shared" ca="1" si="195"/>
        <v>4970800422234910</v>
      </c>
      <c r="J5711" s="455">
        <f t="array" ref="J5711">IFERROR(INDEX('Retirement Calculator'!K:K,MATCH('Lorri 401b'!N5711,'Retirement Calculator'!A:A,0),0),0)</f>
        <v>0</v>
      </c>
      <c r="K5711" s="455">
        <f t="shared" ca="1" si="193"/>
        <v>20711668425978.793</v>
      </c>
      <c r="L5711" s="455">
        <f t="shared" ca="1" si="194"/>
        <v>4991512090660889</v>
      </c>
      <c r="M5711" s="471">
        <f t="shared" si="196"/>
        <v>0.05</v>
      </c>
      <c r="N5711" s="475">
        <f t="shared" si="197"/>
        <v>224869</v>
      </c>
    </row>
    <row r="5712" spans="7:14" ht="11.25" customHeight="1" x14ac:dyDescent="0.3">
      <c r="G5712" s="470"/>
      <c r="H5712" s="470">
        <v>5705</v>
      </c>
      <c r="I5712" s="455">
        <f t="shared" ca="1" si="195"/>
        <v>4991512090660889</v>
      </c>
      <c r="J5712" s="455">
        <f t="array" ref="J5712">IFERROR(INDEX('Retirement Calculator'!K:K,MATCH('Lorri 401b'!N5712,'Retirement Calculator'!A:A,0),0),0)</f>
        <v>0</v>
      </c>
      <c r="K5712" s="455">
        <f t="shared" ca="1" si="193"/>
        <v>20797967044420.371</v>
      </c>
      <c r="L5712" s="455">
        <f t="shared" ca="1" si="194"/>
        <v>5012310057705309</v>
      </c>
      <c r="M5712" s="471">
        <f t="shared" si="196"/>
        <v>0.05</v>
      </c>
      <c r="N5712" s="475">
        <f t="shared" si="197"/>
        <v>224899</v>
      </c>
    </row>
    <row r="5713" spans="7:14" ht="11.25" customHeight="1" x14ac:dyDescent="0.3">
      <c r="G5713" s="470"/>
      <c r="H5713" s="470">
        <v>5706</v>
      </c>
      <c r="I5713" s="455">
        <f t="shared" ca="1" si="195"/>
        <v>5012310057705309</v>
      </c>
      <c r="J5713" s="455">
        <f t="array" ref="J5713">IFERROR(INDEX('Retirement Calculator'!K:K,MATCH('Lorri 401b'!N5713,'Retirement Calculator'!A:A,0),0),0)</f>
        <v>0</v>
      </c>
      <c r="K5713" s="455">
        <f t="shared" ca="1" si="193"/>
        <v>20884625240438.789</v>
      </c>
      <c r="L5713" s="455">
        <f t="shared" ca="1" si="194"/>
        <v>5033194682945748</v>
      </c>
      <c r="M5713" s="471">
        <f t="shared" si="196"/>
        <v>0.05</v>
      </c>
      <c r="N5713" s="475">
        <f t="shared" si="197"/>
        <v>224930</v>
      </c>
    </row>
    <row r="5714" spans="7:14" ht="11.25" customHeight="1" x14ac:dyDescent="0.3">
      <c r="G5714" s="470"/>
      <c r="H5714" s="470">
        <v>5707</v>
      </c>
      <c r="I5714" s="455">
        <f t="shared" ca="1" si="195"/>
        <v>5033194682945748</v>
      </c>
      <c r="J5714" s="455">
        <f t="array" ref="J5714">IFERROR(INDEX('Retirement Calculator'!K:K,MATCH('Lorri 401b'!N5714,'Retirement Calculator'!A:A,0),0),0)</f>
        <v>0</v>
      </c>
      <c r="K5714" s="455">
        <f t="shared" ca="1" si="193"/>
        <v>20971644512273.949</v>
      </c>
      <c r="L5714" s="455">
        <f t="shared" ca="1" si="194"/>
        <v>5054166327458022</v>
      </c>
      <c r="M5714" s="471">
        <f t="shared" si="196"/>
        <v>0.05</v>
      </c>
      <c r="N5714" s="475">
        <f t="shared" si="197"/>
        <v>224960</v>
      </c>
    </row>
    <row r="5715" spans="7:14" ht="11.25" customHeight="1" x14ac:dyDescent="0.3">
      <c r="G5715" s="470"/>
      <c r="H5715" s="470">
        <v>5708</v>
      </c>
      <c r="I5715" s="455">
        <f t="shared" ca="1" si="195"/>
        <v>5054166327458022</v>
      </c>
      <c r="J5715" s="455">
        <f t="array" ref="J5715">IFERROR(INDEX('Retirement Calculator'!K:K,MATCH('Lorri 401b'!N5715,'Retirement Calculator'!A:A,0),0),0)</f>
        <v>0</v>
      </c>
      <c r="K5715" s="455">
        <f t="shared" ca="1" si="193"/>
        <v>21059026364408.426</v>
      </c>
      <c r="L5715" s="455">
        <f t="shared" ca="1" si="194"/>
        <v>5075225353822430</v>
      </c>
      <c r="M5715" s="471">
        <f t="shared" si="196"/>
        <v>0.05</v>
      </c>
      <c r="N5715" s="475">
        <f t="shared" si="197"/>
        <v>224991</v>
      </c>
    </row>
    <row r="5716" spans="7:14" ht="11.25" customHeight="1" x14ac:dyDescent="0.3">
      <c r="G5716" s="470"/>
      <c r="H5716" s="470">
        <v>5709</v>
      </c>
      <c r="I5716" s="455">
        <f t="shared" ca="1" si="195"/>
        <v>5075225353822430</v>
      </c>
      <c r="J5716" s="455">
        <f t="array" ref="J5716">IFERROR(INDEX('Retirement Calculator'!K:K,MATCH('Lorri 401b'!N5716,'Retirement Calculator'!A:A,0),0),0)</f>
        <v>0</v>
      </c>
      <c r="K5716" s="455">
        <f t="shared" ca="1" si="193"/>
        <v>21146772307593.457</v>
      </c>
      <c r="L5716" s="455">
        <f t="shared" ca="1" si="194"/>
        <v>5096372126130023</v>
      </c>
      <c r="M5716" s="471">
        <f t="shared" si="196"/>
        <v>0.05</v>
      </c>
      <c r="N5716" s="475">
        <f t="shared" si="197"/>
        <v>225022</v>
      </c>
    </row>
    <row r="5717" spans="7:14" ht="11.25" customHeight="1" x14ac:dyDescent="0.3">
      <c r="G5717" s="470"/>
      <c r="H5717" s="470">
        <v>5710</v>
      </c>
      <c r="I5717" s="455">
        <f t="shared" ca="1" si="195"/>
        <v>5096372126130023</v>
      </c>
      <c r="J5717" s="455">
        <f t="array" ref="J5717">IFERROR(INDEX('Retirement Calculator'!K:K,MATCH('Lorri 401b'!N5717,'Retirement Calculator'!A:A,0),0),0)</f>
        <v>0</v>
      </c>
      <c r="K5717" s="455">
        <f t="shared" ca="1" si="193"/>
        <v>21234883858875.094</v>
      </c>
      <c r="L5717" s="455">
        <f t="shared" ca="1" si="194"/>
        <v>5117607009988898</v>
      </c>
      <c r="M5717" s="471">
        <f t="shared" si="196"/>
        <v>0.05</v>
      </c>
      <c r="N5717" s="475">
        <f t="shared" si="197"/>
        <v>225051</v>
      </c>
    </row>
    <row r="5718" spans="7:14" ht="11.25" customHeight="1" x14ac:dyDescent="0.3">
      <c r="G5718" s="470"/>
      <c r="H5718" s="470">
        <v>5711</v>
      </c>
      <c r="I5718" s="455">
        <f t="shared" ca="1" si="195"/>
        <v>5117607009988898</v>
      </c>
      <c r="J5718" s="455">
        <f t="array" ref="J5718">IFERROR(INDEX('Retirement Calculator'!K:K,MATCH('Lorri 401b'!N5718,'Retirement Calculator'!A:A,0),0),0)</f>
        <v>0</v>
      </c>
      <c r="K5718" s="455">
        <f t="shared" ca="1" si="193"/>
        <v>21323362541620.406</v>
      </c>
      <c r="L5718" s="455">
        <f t="shared" ca="1" si="194"/>
        <v>5138930372530518</v>
      </c>
      <c r="M5718" s="471">
        <f t="shared" si="196"/>
        <v>0.05</v>
      </c>
      <c r="N5718" s="475">
        <f t="shared" si="197"/>
        <v>225082</v>
      </c>
    </row>
    <row r="5719" spans="7:14" ht="11.25" customHeight="1" x14ac:dyDescent="0.3">
      <c r="G5719" s="470"/>
      <c r="H5719" s="470">
        <v>5712</v>
      </c>
      <c r="I5719" s="455">
        <f t="shared" ca="1" si="195"/>
        <v>5138930372530518</v>
      </c>
      <c r="J5719" s="455">
        <f t="array" ref="J5719">IFERROR(INDEX('Retirement Calculator'!K:K,MATCH('Lorri 401b'!N5719,'Retirement Calculator'!A:A,0),0),0)</f>
        <v>0</v>
      </c>
      <c r="K5719" s="455">
        <f t="shared" ca="1" si="193"/>
        <v>21412209885543.824</v>
      </c>
      <c r="L5719" s="455">
        <f t="shared" ca="1" si="194"/>
        <v>5160342582416062</v>
      </c>
      <c r="M5719" s="471">
        <f t="shared" si="196"/>
        <v>0.05</v>
      </c>
      <c r="N5719" s="475">
        <f t="shared" si="197"/>
        <v>225112</v>
      </c>
    </row>
    <row r="5720" spans="7:14" ht="11.25" customHeight="1" x14ac:dyDescent="0.3">
      <c r="G5720" s="470"/>
      <c r="H5720" s="470">
        <v>5713</v>
      </c>
      <c r="I5720" s="455">
        <f t="shared" ca="1" si="195"/>
        <v>5160342582416062</v>
      </c>
      <c r="J5720" s="455">
        <f t="array" ref="J5720">IFERROR(INDEX('Retirement Calculator'!K:K,MATCH('Lorri 401b'!N5720,'Retirement Calculator'!A:A,0),0),0)</f>
        <v>0</v>
      </c>
      <c r="K5720" s="455">
        <f t="shared" ca="1" si="193"/>
        <v>21501427426733.59</v>
      </c>
      <c r="L5720" s="455">
        <f t="shared" ca="1" si="194"/>
        <v>5181844009842796</v>
      </c>
      <c r="M5720" s="471">
        <f t="shared" si="196"/>
        <v>0.05</v>
      </c>
      <c r="N5720" s="475">
        <f t="shared" si="197"/>
        <v>225143</v>
      </c>
    </row>
    <row r="5721" spans="7:14" ht="11.25" customHeight="1" x14ac:dyDescent="0.3">
      <c r="G5721" s="470"/>
      <c r="H5721" s="470">
        <v>5714</v>
      </c>
      <c r="I5721" s="455">
        <f t="shared" ca="1" si="195"/>
        <v>5181844009842796</v>
      </c>
      <c r="J5721" s="455">
        <f t="array" ref="J5721">IFERROR(INDEX('Retirement Calculator'!K:K,MATCH('Lorri 401b'!N5721,'Retirement Calculator'!A:A,0),0),0)</f>
        <v>0</v>
      </c>
      <c r="K5721" s="455">
        <f t="shared" ca="1" si="193"/>
        <v>21591016707678.316</v>
      </c>
      <c r="L5721" s="455">
        <f t="shared" ca="1" si="194"/>
        <v>5203435026550474</v>
      </c>
      <c r="M5721" s="471">
        <f t="shared" si="196"/>
        <v>0.05</v>
      </c>
      <c r="N5721" s="475">
        <f t="shared" si="197"/>
        <v>225173</v>
      </c>
    </row>
    <row r="5722" spans="7:14" ht="11.25" customHeight="1" x14ac:dyDescent="0.3">
      <c r="G5722" s="470"/>
      <c r="H5722" s="470">
        <v>5715</v>
      </c>
      <c r="I5722" s="455">
        <f t="shared" ca="1" si="195"/>
        <v>5203435026550474</v>
      </c>
      <c r="J5722" s="455">
        <f t="array" ref="J5722">IFERROR(INDEX('Retirement Calculator'!K:K,MATCH('Lorri 401b'!N5722,'Retirement Calculator'!A:A,0),0),0)</f>
        <v>0</v>
      </c>
      <c r="K5722" s="455">
        <f t="shared" ca="1" si="193"/>
        <v>21680979277293.641</v>
      </c>
      <c r="L5722" s="455">
        <f t="shared" ca="1" si="194"/>
        <v>5225116005827768</v>
      </c>
      <c r="M5722" s="471">
        <f t="shared" si="196"/>
        <v>0.05</v>
      </c>
      <c r="N5722" s="475">
        <f t="shared" si="197"/>
        <v>225204</v>
      </c>
    </row>
    <row r="5723" spans="7:14" ht="11.25" customHeight="1" x14ac:dyDescent="0.3">
      <c r="G5723" s="470"/>
      <c r="H5723" s="470">
        <v>5716</v>
      </c>
      <c r="I5723" s="455">
        <f t="shared" ca="1" si="195"/>
        <v>5225116005827768</v>
      </c>
      <c r="J5723" s="455">
        <f t="array" ref="J5723">IFERROR(INDEX('Retirement Calculator'!K:K,MATCH('Lorri 401b'!N5723,'Retirement Calculator'!A:A,0),0),0)</f>
        <v>0</v>
      </c>
      <c r="K5723" s="455">
        <f t="shared" ca="1" si="193"/>
        <v>21771316690949.031</v>
      </c>
      <c r="L5723" s="455">
        <f t="shared" ca="1" si="194"/>
        <v>5246887322518717</v>
      </c>
      <c r="M5723" s="471">
        <f t="shared" si="196"/>
        <v>0.05</v>
      </c>
      <c r="N5723" s="475">
        <f t="shared" si="197"/>
        <v>225235</v>
      </c>
    </row>
    <row r="5724" spans="7:14" ht="11.25" customHeight="1" x14ac:dyDescent="0.3">
      <c r="G5724" s="470"/>
      <c r="H5724" s="470">
        <v>5717</v>
      </c>
      <c r="I5724" s="455">
        <f t="shared" ca="1" si="195"/>
        <v>5246887322518717</v>
      </c>
      <c r="J5724" s="455">
        <f t="array" ref="J5724">IFERROR(INDEX('Retirement Calculator'!K:K,MATCH('Lorri 401b'!N5724,'Retirement Calculator'!A:A,0),0),0)</f>
        <v>0</v>
      </c>
      <c r="K5724" s="455">
        <f t="shared" ca="1" si="193"/>
        <v>21862030510494.652</v>
      </c>
      <c r="L5724" s="455">
        <f t="shared" ca="1" si="194"/>
        <v>5268749353029212</v>
      </c>
      <c r="M5724" s="471">
        <f t="shared" si="196"/>
        <v>0.05</v>
      </c>
      <c r="N5724" s="475">
        <f t="shared" si="197"/>
        <v>225265</v>
      </c>
    </row>
    <row r="5725" spans="7:14" ht="11.25" customHeight="1" x14ac:dyDescent="0.3">
      <c r="G5725" s="470"/>
      <c r="H5725" s="470">
        <v>5718</v>
      </c>
      <c r="I5725" s="455">
        <f t="shared" ca="1" si="195"/>
        <v>5268749353029212</v>
      </c>
      <c r="J5725" s="455">
        <f t="array" ref="J5725">IFERROR(INDEX('Retirement Calculator'!K:K,MATCH('Lorri 401b'!N5725,'Retirement Calculator'!A:A,0),0),0)</f>
        <v>0</v>
      </c>
      <c r="K5725" s="455">
        <f t="shared" ca="1" si="193"/>
        <v>21953122304288.383</v>
      </c>
      <c r="L5725" s="455">
        <f t="shared" ca="1" si="194"/>
        <v>5290702475333500</v>
      </c>
      <c r="M5725" s="471">
        <f t="shared" si="196"/>
        <v>0.05</v>
      </c>
      <c r="N5725" s="475">
        <f t="shared" si="197"/>
        <v>225296</v>
      </c>
    </row>
    <row r="5726" spans="7:14" ht="11.25" customHeight="1" x14ac:dyDescent="0.3">
      <c r="G5726" s="470"/>
      <c r="H5726" s="470">
        <v>5719</v>
      </c>
      <c r="I5726" s="455">
        <f t="shared" ca="1" si="195"/>
        <v>5290702475333500</v>
      </c>
      <c r="J5726" s="455">
        <f t="array" ref="J5726">IFERROR(INDEX('Retirement Calculator'!K:K,MATCH('Lorri 401b'!N5726,'Retirement Calculator'!A:A,0),0),0)</f>
        <v>0</v>
      </c>
      <c r="K5726" s="455">
        <f t="shared" ca="1" si="193"/>
        <v>22044593647222.918</v>
      </c>
      <c r="L5726" s="455">
        <f t="shared" ca="1" si="194"/>
        <v>5312747068980723</v>
      </c>
      <c r="M5726" s="471">
        <f t="shared" si="196"/>
        <v>0.05</v>
      </c>
      <c r="N5726" s="475">
        <f t="shared" si="197"/>
        <v>225326</v>
      </c>
    </row>
    <row r="5727" spans="7:14" ht="11.25" customHeight="1" x14ac:dyDescent="0.3">
      <c r="G5727" s="470"/>
      <c r="H5727" s="470">
        <v>5720</v>
      </c>
      <c r="I5727" s="455">
        <f t="shared" ca="1" si="195"/>
        <v>5312747068980723</v>
      </c>
      <c r="J5727" s="455">
        <f t="array" ref="J5727">IFERROR(INDEX('Retirement Calculator'!K:K,MATCH('Lorri 401b'!N5727,'Retirement Calculator'!A:A,0),0),0)</f>
        <v>0</v>
      </c>
      <c r="K5727" s="455">
        <f t="shared" ca="1" si="193"/>
        <v>22136446120753.012</v>
      </c>
      <c r="L5727" s="455">
        <f t="shared" ca="1" si="194"/>
        <v>5334883515101476</v>
      </c>
      <c r="M5727" s="471">
        <f t="shared" si="196"/>
        <v>0.05</v>
      </c>
      <c r="N5727" s="475">
        <f t="shared" si="197"/>
        <v>225357</v>
      </c>
    </row>
    <row r="5728" spans="7:14" ht="11.25" customHeight="1" x14ac:dyDescent="0.3">
      <c r="G5728" s="470"/>
      <c r="H5728" s="470">
        <v>5721</v>
      </c>
      <c r="I5728" s="455">
        <f t="shared" ca="1" si="195"/>
        <v>5334883515101476</v>
      </c>
      <c r="J5728" s="455">
        <f t="array" ref="J5728">IFERROR(INDEX('Retirement Calculator'!K:K,MATCH('Lorri 401b'!N5728,'Retirement Calculator'!A:A,0),0),0)</f>
        <v>0</v>
      </c>
      <c r="K5728" s="455">
        <f t="shared" ca="1" si="193"/>
        <v>22228681312922.816</v>
      </c>
      <c r="L5728" s="455">
        <f t="shared" ca="1" si="194"/>
        <v>5357112196414399</v>
      </c>
      <c r="M5728" s="471">
        <f t="shared" si="196"/>
        <v>0.05</v>
      </c>
      <c r="N5728" s="475">
        <f t="shared" si="197"/>
        <v>225388</v>
      </c>
    </row>
    <row r="5729" spans="7:14" ht="11.25" customHeight="1" x14ac:dyDescent="0.3">
      <c r="G5729" s="470"/>
      <c r="H5729" s="470">
        <v>5722</v>
      </c>
      <c r="I5729" s="455">
        <f t="shared" ca="1" si="195"/>
        <v>5357112196414399</v>
      </c>
      <c r="J5729" s="455">
        <f t="array" ref="J5729">IFERROR(INDEX('Retirement Calculator'!K:K,MATCH('Lorri 401b'!N5729,'Retirement Calculator'!A:A,0),0),0)</f>
        <v>0</v>
      </c>
      <c r="K5729" s="455">
        <f t="shared" ca="1" si="193"/>
        <v>22321300818393.328</v>
      </c>
      <c r="L5729" s="455">
        <f t="shared" ca="1" si="194"/>
        <v>5379433497232792</v>
      </c>
      <c r="M5729" s="471">
        <f t="shared" si="196"/>
        <v>0.05</v>
      </c>
      <c r="N5729" s="475">
        <f t="shared" si="197"/>
        <v>225416</v>
      </c>
    </row>
    <row r="5730" spans="7:14" ht="11.25" customHeight="1" x14ac:dyDescent="0.3">
      <c r="G5730" s="470"/>
      <c r="H5730" s="470">
        <v>5723</v>
      </c>
      <c r="I5730" s="455">
        <f t="shared" ca="1" si="195"/>
        <v>5379433497232792</v>
      </c>
      <c r="J5730" s="455">
        <f t="array" ref="J5730">IFERROR(INDEX('Retirement Calculator'!K:K,MATCH('Lorri 401b'!N5730,'Retirement Calculator'!A:A,0),0),0)</f>
        <v>0</v>
      </c>
      <c r="K5730" s="455">
        <f t="shared" ca="1" si="193"/>
        <v>22414306238469.965</v>
      </c>
      <c r="L5730" s="455">
        <f t="shared" ca="1" si="194"/>
        <v>5401847803471262</v>
      </c>
      <c r="M5730" s="471">
        <f t="shared" si="196"/>
        <v>0.05</v>
      </c>
      <c r="N5730" s="475">
        <f t="shared" si="197"/>
        <v>225447</v>
      </c>
    </row>
    <row r="5731" spans="7:14" ht="11.25" customHeight="1" x14ac:dyDescent="0.3">
      <c r="G5731" s="470"/>
      <c r="H5731" s="470">
        <v>5724</v>
      </c>
      <c r="I5731" s="455">
        <f t="shared" ca="1" si="195"/>
        <v>5401847803471262</v>
      </c>
      <c r="J5731" s="455">
        <f t="array" ref="J5731">IFERROR(INDEX('Retirement Calculator'!K:K,MATCH('Lorri 401b'!N5731,'Retirement Calculator'!A:A,0),0),0)</f>
        <v>0</v>
      </c>
      <c r="K5731" s="455">
        <f t="shared" ca="1" si="193"/>
        <v>22507699181130.258</v>
      </c>
      <c r="L5731" s="455">
        <f t="shared" ca="1" si="194"/>
        <v>5424355502652392</v>
      </c>
      <c r="M5731" s="471">
        <f t="shared" si="196"/>
        <v>0.05</v>
      </c>
      <c r="N5731" s="475">
        <f t="shared" si="197"/>
        <v>225477</v>
      </c>
    </row>
    <row r="5732" spans="7:14" ht="11.25" customHeight="1" x14ac:dyDescent="0.3">
      <c r="G5732" s="470"/>
      <c r="H5732" s="470">
        <v>5725</v>
      </c>
      <c r="I5732" s="455">
        <f t="shared" ca="1" si="195"/>
        <v>5424355502652392</v>
      </c>
      <c r="J5732" s="455">
        <f t="array" ref="J5732">IFERROR(INDEX('Retirement Calculator'!K:K,MATCH('Lorri 401b'!N5732,'Retirement Calculator'!A:A,0),0),0)</f>
        <v>0</v>
      </c>
      <c r="K5732" s="455">
        <f t="shared" ca="1" si="193"/>
        <v>22601481261051.633</v>
      </c>
      <c r="L5732" s="455">
        <f t="shared" ca="1" si="194"/>
        <v>5446956983913444</v>
      </c>
      <c r="M5732" s="471">
        <f t="shared" si="196"/>
        <v>0.05</v>
      </c>
      <c r="N5732" s="475">
        <f t="shared" si="197"/>
        <v>225508</v>
      </c>
    </row>
    <row r="5733" spans="7:14" ht="11.25" customHeight="1" x14ac:dyDescent="0.3">
      <c r="G5733" s="470"/>
      <c r="H5733" s="470">
        <v>5726</v>
      </c>
      <c r="I5733" s="455">
        <f t="shared" ca="1" si="195"/>
        <v>5446956983913444</v>
      </c>
      <c r="J5733" s="455">
        <f t="array" ref="J5733">IFERROR(INDEX('Retirement Calculator'!K:K,MATCH('Lorri 401b'!N5733,'Retirement Calculator'!A:A,0),0),0)</f>
        <v>0</v>
      </c>
      <c r="K5733" s="455">
        <f t="shared" ca="1" si="193"/>
        <v>22695654099639.352</v>
      </c>
      <c r="L5733" s="455">
        <f t="shared" ca="1" si="194"/>
        <v>5469652638013083</v>
      </c>
      <c r="M5733" s="471">
        <f t="shared" si="196"/>
        <v>0.05</v>
      </c>
      <c r="N5733" s="475">
        <f t="shared" si="197"/>
        <v>225538</v>
      </c>
    </row>
    <row r="5734" spans="7:14" ht="11.25" customHeight="1" x14ac:dyDescent="0.3">
      <c r="G5734" s="470"/>
      <c r="H5734" s="470">
        <v>5727</v>
      </c>
      <c r="I5734" s="455">
        <f t="shared" ca="1" si="195"/>
        <v>5469652638013083</v>
      </c>
      <c r="J5734" s="455">
        <f t="array" ref="J5734">IFERROR(INDEX('Retirement Calculator'!K:K,MATCH('Lorri 401b'!N5734,'Retirement Calculator'!A:A,0),0),0)</f>
        <v>0</v>
      </c>
      <c r="K5734" s="455">
        <f t="shared" ca="1" si="193"/>
        <v>22790219325054.512</v>
      </c>
      <c r="L5734" s="455">
        <f t="shared" ca="1" si="194"/>
        <v>5492442857338138</v>
      </c>
      <c r="M5734" s="471">
        <f t="shared" si="196"/>
        <v>0.05</v>
      </c>
      <c r="N5734" s="475">
        <f t="shared" si="197"/>
        <v>225569</v>
      </c>
    </row>
    <row r="5735" spans="7:14" ht="11.25" customHeight="1" x14ac:dyDescent="0.3">
      <c r="G5735" s="470"/>
      <c r="H5735" s="470">
        <v>5728</v>
      </c>
      <c r="I5735" s="455">
        <f t="shared" ca="1" si="195"/>
        <v>5492442857338138</v>
      </c>
      <c r="J5735" s="455">
        <f t="array" ref="J5735">IFERROR(INDEX('Retirement Calculator'!K:K,MATCH('Lorri 401b'!N5735,'Retirement Calculator'!A:A,0),0),0)</f>
        <v>0</v>
      </c>
      <c r="K5735" s="455">
        <f t="shared" ca="1" si="193"/>
        <v>22885178572242.242</v>
      </c>
      <c r="L5735" s="455">
        <f t="shared" ca="1" si="194"/>
        <v>5515328035910380</v>
      </c>
      <c r="M5735" s="471">
        <f t="shared" si="196"/>
        <v>0.05</v>
      </c>
      <c r="N5735" s="475">
        <f t="shared" si="197"/>
        <v>225600</v>
      </c>
    </row>
    <row r="5736" spans="7:14" ht="11.25" customHeight="1" x14ac:dyDescent="0.3">
      <c r="G5736" s="470"/>
      <c r="H5736" s="470">
        <v>5729</v>
      </c>
      <c r="I5736" s="455">
        <f t="shared" ca="1" si="195"/>
        <v>5515328035910380</v>
      </c>
      <c r="J5736" s="455">
        <f t="array" ref="J5736">IFERROR(INDEX('Retirement Calculator'!K:K,MATCH('Lorri 401b'!N5736,'Retirement Calculator'!A:A,0),0),0)</f>
        <v>0</v>
      </c>
      <c r="K5736" s="455">
        <f t="shared" ca="1" si="193"/>
        <v>22980533482959.918</v>
      </c>
      <c r="L5736" s="455">
        <f t="shared" ca="1" si="194"/>
        <v>5538308569393340</v>
      </c>
      <c r="M5736" s="471">
        <f t="shared" si="196"/>
        <v>0.05</v>
      </c>
      <c r="N5736" s="475">
        <f t="shared" si="197"/>
        <v>225630</v>
      </c>
    </row>
    <row r="5737" spans="7:14" ht="11.25" customHeight="1" x14ac:dyDescent="0.3">
      <c r="G5737" s="470"/>
      <c r="H5737" s="470">
        <v>5730</v>
      </c>
      <c r="I5737" s="455">
        <f t="shared" ca="1" si="195"/>
        <v>5538308569393340</v>
      </c>
      <c r="J5737" s="455">
        <f t="array" ref="J5737">IFERROR(INDEX('Retirement Calculator'!K:K,MATCH('Lorri 401b'!N5737,'Retirement Calculator'!A:A,0),0),0)</f>
        <v>0</v>
      </c>
      <c r="K5737" s="455">
        <f t="shared" ca="1" si="193"/>
        <v>23076285705805.582</v>
      </c>
      <c r="L5737" s="455">
        <f t="shared" ca="1" si="194"/>
        <v>5561384855099146</v>
      </c>
      <c r="M5737" s="471">
        <f t="shared" si="196"/>
        <v>0.05</v>
      </c>
      <c r="N5737" s="475">
        <f t="shared" si="197"/>
        <v>225661</v>
      </c>
    </row>
    <row r="5738" spans="7:14" ht="11.25" customHeight="1" x14ac:dyDescent="0.3">
      <c r="G5738" s="470"/>
      <c r="H5738" s="470">
        <v>5731</v>
      </c>
      <c r="I5738" s="455">
        <f t="shared" ca="1" si="195"/>
        <v>5561384855099146</v>
      </c>
      <c r="J5738" s="455">
        <f t="array" ref="J5738">IFERROR(INDEX('Retirement Calculator'!K:K,MATCH('Lorri 401b'!N5738,'Retirement Calculator'!A:A,0),0),0)</f>
        <v>0</v>
      </c>
      <c r="K5738" s="455">
        <f t="shared" ca="1" si="193"/>
        <v>23172436896246.441</v>
      </c>
      <c r="L5738" s="455">
        <f t="shared" ca="1" si="194"/>
        <v>5584557291995392</v>
      </c>
      <c r="M5738" s="471">
        <f t="shared" si="196"/>
        <v>0.05</v>
      </c>
      <c r="N5738" s="475">
        <f t="shared" si="197"/>
        <v>225691</v>
      </c>
    </row>
    <row r="5739" spans="7:14" ht="11.25" customHeight="1" x14ac:dyDescent="0.3">
      <c r="G5739" s="470"/>
      <c r="H5739" s="470">
        <v>5732</v>
      </c>
      <c r="I5739" s="455">
        <f t="shared" ca="1" si="195"/>
        <v>5584557291995392</v>
      </c>
      <c r="J5739" s="455">
        <f t="array" ref="J5739">IFERROR(INDEX('Retirement Calculator'!K:K,MATCH('Lorri 401b'!N5739,'Retirement Calculator'!A:A,0),0),0)</f>
        <v>0</v>
      </c>
      <c r="K5739" s="455">
        <f t="shared" ca="1" si="193"/>
        <v>23268988716647.465</v>
      </c>
      <c r="L5739" s="455">
        <f t="shared" ca="1" si="194"/>
        <v>5607826280712039</v>
      </c>
      <c r="M5739" s="471">
        <f t="shared" si="196"/>
        <v>0.05</v>
      </c>
      <c r="N5739" s="475">
        <f t="shared" si="197"/>
        <v>225722</v>
      </c>
    </row>
    <row r="5740" spans="7:14" ht="11.25" customHeight="1" x14ac:dyDescent="0.3">
      <c r="G5740" s="470"/>
      <c r="H5740" s="470">
        <v>5733</v>
      </c>
      <c r="I5740" s="455">
        <f t="shared" ca="1" si="195"/>
        <v>5607826280712039</v>
      </c>
      <c r="J5740" s="455">
        <f t="array" ref="J5740">IFERROR(INDEX('Retirement Calculator'!K:K,MATCH('Lorri 401b'!N5740,'Retirement Calculator'!A:A,0),0),0)</f>
        <v>0</v>
      </c>
      <c r="K5740" s="455">
        <f t="shared" ca="1" si="193"/>
        <v>23365942836300.164</v>
      </c>
      <c r="L5740" s="455">
        <f t="shared" ca="1" si="194"/>
        <v>5631192223548339</v>
      </c>
      <c r="M5740" s="471">
        <f t="shared" si="196"/>
        <v>0.05</v>
      </c>
      <c r="N5740" s="475">
        <f t="shared" si="197"/>
        <v>225753</v>
      </c>
    </row>
    <row r="5741" spans="7:14" ht="11.25" customHeight="1" x14ac:dyDescent="0.3">
      <c r="G5741" s="470"/>
      <c r="H5741" s="470">
        <v>5734</v>
      </c>
      <c r="I5741" s="455">
        <f t="shared" ca="1" si="195"/>
        <v>5631192223548339</v>
      </c>
      <c r="J5741" s="455">
        <f t="array" ref="J5741">IFERROR(INDEX('Retirement Calculator'!K:K,MATCH('Lorri 401b'!N5741,'Retirement Calculator'!A:A,0),0),0)</f>
        <v>0</v>
      </c>
      <c r="K5741" s="455">
        <f t="shared" ca="1" si="193"/>
        <v>23463300931451.414</v>
      </c>
      <c r="L5741" s="455">
        <f t="shared" ca="1" si="194"/>
        <v>5654655524479790</v>
      </c>
      <c r="M5741" s="471">
        <f t="shared" si="196"/>
        <v>0.05</v>
      </c>
      <c r="N5741" s="475">
        <f t="shared" si="197"/>
        <v>225781</v>
      </c>
    </row>
    <row r="5742" spans="7:14" ht="11.25" customHeight="1" x14ac:dyDescent="0.3">
      <c r="G5742" s="470"/>
      <c r="H5742" s="470">
        <v>5735</v>
      </c>
      <c r="I5742" s="455">
        <f t="shared" ca="1" si="195"/>
        <v>5654655524479790</v>
      </c>
      <c r="J5742" s="455">
        <f t="array" ref="J5742">IFERROR(INDEX('Retirement Calculator'!K:K,MATCH('Lorri 401b'!N5742,'Retirement Calculator'!A:A,0),0),0)</f>
        <v>0</v>
      </c>
      <c r="K5742" s="455">
        <f t="shared" ca="1" si="193"/>
        <v>23561064685332.457</v>
      </c>
      <c r="L5742" s="455">
        <f t="shared" ca="1" si="194"/>
        <v>5678216589165122</v>
      </c>
      <c r="M5742" s="471">
        <f t="shared" si="196"/>
        <v>0.05</v>
      </c>
      <c r="N5742" s="475">
        <f t="shared" si="197"/>
        <v>225812</v>
      </c>
    </row>
    <row r="5743" spans="7:14" ht="11.25" customHeight="1" x14ac:dyDescent="0.3">
      <c r="G5743" s="470"/>
      <c r="H5743" s="470">
        <v>5736</v>
      </c>
      <c r="I5743" s="455">
        <f t="shared" ca="1" si="195"/>
        <v>5678216589165122</v>
      </c>
      <c r="J5743" s="455">
        <f t="array" ref="J5743">IFERROR(INDEX('Retirement Calculator'!K:K,MATCH('Lorri 401b'!N5743,'Retirement Calculator'!A:A,0),0),0)</f>
        <v>0</v>
      </c>
      <c r="K5743" s="455">
        <f t="shared" ca="1" si="193"/>
        <v>23659235788188.008</v>
      </c>
      <c r="L5743" s="455">
        <f t="shared" ca="1" si="194"/>
        <v>5701875824953310</v>
      </c>
      <c r="M5743" s="471">
        <f t="shared" si="196"/>
        <v>0.05</v>
      </c>
      <c r="N5743" s="475">
        <f t="shared" si="197"/>
        <v>225842</v>
      </c>
    </row>
    <row r="5744" spans="7:14" ht="11.25" customHeight="1" x14ac:dyDescent="0.3">
      <c r="G5744" s="470"/>
      <c r="H5744" s="470">
        <v>5737</v>
      </c>
      <c r="I5744" s="455">
        <f t="shared" ca="1" si="195"/>
        <v>5701875824953310</v>
      </c>
      <c r="J5744" s="455">
        <f t="array" ref="J5744">IFERROR(INDEX('Retirement Calculator'!K:K,MATCH('Lorri 401b'!N5744,'Retirement Calculator'!A:A,0),0),0)</f>
        <v>0</v>
      </c>
      <c r="K5744" s="455">
        <f t="shared" ca="1" si="193"/>
        <v>23757815937305.457</v>
      </c>
      <c r="L5744" s="455">
        <f t="shared" ca="1" si="194"/>
        <v>5725633640890615</v>
      </c>
      <c r="M5744" s="471">
        <f t="shared" si="196"/>
        <v>0.05</v>
      </c>
      <c r="N5744" s="475">
        <f t="shared" si="197"/>
        <v>225873</v>
      </c>
    </row>
    <row r="5745" spans="7:14" ht="11.25" customHeight="1" x14ac:dyDescent="0.3">
      <c r="G5745" s="470"/>
      <c r="H5745" s="470">
        <v>5738</v>
      </c>
      <c r="I5745" s="455">
        <f t="shared" ca="1" si="195"/>
        <v>5725633640890615</v>
      </c>
      <c r="J5745" s="455">
        <f t="array" ref="J5745">IFERROR(INDEX('Retirement Calculator'!K:K,MATCH('Lorri 401b'!N5745,'Retirement Calculator'!A:A,0),0),0)</f>
        <v>0</v>
      </c>
      <c r="K5745" s="455">
        <f t="shared" ca="1" si="193"/>
        <v>23856806837044.23</v>
      </c>
      <c r="L5745" s="455">
        <f t="shared" ca="1" si="194"/>
        <v>5749490447727659</v>
      </c>
      <c r="M5745" s="471">
        <f t="shared" si="196"/>
        <v>0.05</v>
      </c>
      <c r="N5745" s="475">
        <f t="shared" si="197"/>
        <v>225903</v>
      </c>
    </row>
    <row r="5746" spans="7:14" ht="11.25" customHeight="1" x14ac:dyDescent="0.3">
      <c r="G5746" s="470"/>
      <c r="H5746" s="470">
        <v>5739</v>
      </c>
      <c r="I5746" s="455">
        <f t="shared" ca="1" si="195"/>
        <v>5749490447727659</v>
      </c>
      <c r="J5746" s="455">
        <f t="array" ref="J5746">IFERROR(INDEX('Retirement Calculator'!K:K,MATCH('Lorri 401b'!N5746,'Retirement Calculator'!A:A,0),0),0)</f>
        <v>0</v>
      </c>
      <c r="K5746" s="455">
        <f t="shared" ca="1" si="193"/>
        <v>23956210198865.246</v>
      </c>
      <c r="L5746" s="455">
        <f t="shared" ca="1" si="194"/>
        <v>5773446657926524</v>
      </c>
      <c r="M5746" s="471">
        <f t="shared" si="196"/>
        <v>0.05</v>
      </c>
      <c r="N5746" s="475">
        <f t="shared" si="197"/>
        <v>225934</v>
      </c>
    </row>
    <row r="5747" spans="7:14" ht="11.25" customHeight="1" x14ac:dyDescent="0.3">
      <c r="G5747" s="470"/>
      <c r="H5747" s="470">
        <v>5740</v>
      </c>
      <c r="I5747" s="455">
        <f t="shared" ca="1" si="195"/>
        <v>5773446657926524</v>
      </c>
      <c r="J5747" s="455">
        <f t="array" ref="J5747">IFERROR(INDEX('Retirement Calculator'!K:K,MATCH('Lorri 401b'!N5747,'Retirement Calculator'!A:A,0),0),0)</f>
        <v>0</v>
      </c>
      <c r="K5747" s="455">
        <f t="shared" ca="1" si="193"/>
        <v>24056027741360.516</v>
      </c>
      <c r="L5747" s="455">
        <f t="shared" ca="1" si="194"/>
        <v>5797502685667885</v>
      </c>
      <c r="M5747" s="471">
        <f t="shared" si="196"/>
        <v>0.05</v>
      </c>
      <c r="N5747" s="475">
        <f t="shared" si="197"/>
        <v>225965</v>
      </c>
    </row>
    <row r="5748" spans="7:14" ht="11.25" customHeight="1" x14ac:dyDescent="0.3">
      <c r="G5748" s="470"/>
      <c r="H5748" s="470">
        <v>5741</v>
      </c>
      <c r="I5748" s="455">
        <f t="shared" ca="1" si="195"/>
        <v>5797502685667885</v>
      </c>
      <c r="J5748" s="455">
        <f t="array" ref="J5748">IFERROR(INDEX('Retirement Calculator'!K:K,MATCH('Lorri 401b'!N5748,'Retirement Calculator'!A:A,0),0),0)</f>
        <v>0</v>
      </c>
      <c r="K5748" s="455">
        <f t="shared" ca="1" si="193"/>
        <v>24156261190282.855</v>
      </c>
      <c r="L5748" s="455">
        <f t="shared" ca="1" si="194"/>
        <v>5821658946858168</v>
      </c>
      <c r="M5748" s="471">
        <f t="shared" si="196"/>
        <v>0.05</v>
      </c>
      <c r="N5748" s="475">
        <f t="shared" si="197"/>
        <v>225995</v>
      </c>
    </row>
    <row r="5749" spans="7:14" ht="11.25" customHeight="1" x14ac:dyDescent="0.3">
      <c r="G5749" s="470"/>
      <c r="H5749" s="470">
        <v>5742</v>
      </c>
      <c r="I5749" s="455">
        <f t="shared" ca="1" si="195"/>
        <v>5821658946858168</v>
      </c>
      <c r="J5749" s="455">
        <f t="array" ref="J5749">IFERROR(INDEX('Retirement Calculator'!K:K,MATCH('Lorri 401b'!N5749,'Retirement Calculator'!A:A,0),0),0)</f>
        <v>0</v>
      </c>
      <c r="K5749" s="455">
        <f t="shared" ca="1" si="193"/>
        <v>24256912278575.699</v>
      </c>
      <c r="L5749" s="455">
        <f t="shared" ca="1" si="194"/>
        <v>5845915859136744</v>
      </c>
      <c r="M5749" s="471">
        <f t="shared" si="196"/>
        <v>0.05</v>
      </c>
      <c r="N5749" s="475">
        <f t="shared" si="197"/>
        <v>226026</v>
      </c>
    </row>
    <row r="5750" spans="7:14" ht="11.25" customHeight="1" x14ac:dyDescent="0.3">
      <c r="G5750" s="470"/>
      <c r="H5750" s="470">
        <v>5743</v>
      </c>
      <c r="I5750" s="455">
        <f t="shared" ca="1" si="195"/>
        <v>5845915859136744</v>
      </c>
      <c r="J5750" s="455">
        <f t="array" ref="J5750">IFERROR(INDEX('Retirement Calculator'!K:K,MATCH('Lorri 401b'!N5750,'Retirement Calculator'!A:A,0),0),0)</f>
        <v>0</v>
      </c>
      <c r="K5750" s="455">
        <f t="shared" ca="1" si="193"/>
        <v>24357982746403.102</v>
      </c>
      <c r="L5750" s="455">
        <f t="shared" ca="1" si="194"/>
        <v>5870273841883147</v>
      </c>
      <c r="M5750" s="471">
        <f t="shared" si="196"/>
        <v>0.05</v>
      </c>
      <c r="N5750" s="475">
        <f t="shared" si="197"/>
        <v>226056</v>
      </c>
    </row>
    <row r="5751" spans="7:14" ht="11.25" customHeight="1" x14ac:dyDescent="0.3">
      <c r="G5751" s="470"/>
      <c r="H5751" s="470">
        <v>5744</v>
      </c>
      <c r="I5751" s="455">
        <f t="shared" ca="1" si="195"/>
        <v>5870273841883147</v>
      </c>
      <c r="J5751" s="455">
        <f t="array" ref="J5751">IFERROR(INDEX('Retirement Calculator'!K:K,MATCH('Lorri 401b'!N5751,'Retirement Calculator'!A:A,0),0),0)</f>
        <v>0</v>
      </c>
      <c r="K5751" s="455">
        <f t="shared" ca="1" si="193"/>
        <v>24459474341179.777</v>
      </c>
      <c r="L5751" s="455">
        <f t="shared" ca="1" si="194"/>
        <v>5894733316224327</v>
      </c>
      <c r="M5751" s="471">
        <f t="shared" si="196"/>
        <v>0.05</v>
      </c>
      <c r="N5751" s="475">
        <f t="shared" si="197"/>
        <v>226087</v>
      </c>
    </row>
    <row r="5752" spans="7:14" ht="11.25" customHeight="1" x14ac:dyDescent="0.3">
      <c r="G5752" s="470"/>
      <c r="H5752" s="470">
        <v>5745</v>
      </c>
      <c r="I5752" s="455">
        <f t="shared" ca="1" si="195"/>
        <v>5894733316224327</v>
      </c>
      <c r="J5752" s="455">
        <f t="array" ref="J5752">IFERROR(INDEX('Retirement Calculator'!K:K,MATCH('Lorri 401b'!N5752,'Retirement Calculator'!A:A,0),0),0)</f>
        <v>0</v>
      </c>
      <c r="K5752" s="455">
        <f t="shared" ca="1" si="193"/>
        <v>24561388817601.363</v>
      </c>
      <c r="L5752" s="455">
        <f t="shared" ca="1" si="194"/>
        <v>5919294705041928</v>
      </c>
      <c r="M5752" s="471">
        <f t="shared" si="196"/>
        <v>0.05</v>
      </c>
      <c r="N5752" s="475">
        <f t="shared" si="197"/>
        <v>226118</v>
      </c>
    </row>
    <row r="5753" spans="7:14" ht="11.25" customHeight="1" x14ac:dyDescent="0.3">
      <c r="G5753" s="470"/>
      <c r="H5753" s="470">
        <v>5746</v>
      </c>
      <c r="I5753" s="455">
        <f t="shared" ca="1" si="195"/>
        <v>5919294705041928</v>
      </c>
      <c r="J5753" s="455">
        <f t="array" ref="J5753">IFERROR(INDEX('Retirement Calculator'!K:K,MATCH('Lorri 401b'!N5753,'Retirement Calculator'!A:A,0),0),0)</f>
        <v>0</v>
      </c>
      <c r="K5753" s="455">
        <f t="shared" ca="1" si="193"/>
        <v>24663727937674.699</v>
      </c>
      <c r="L5753" s="455">
        <f t="shared" ca="1" si="194"/>
        <v>5943958432979603</v>
      </c>
      <c r="M5753" s="471">
        <f t="shared" si="196"/>
        <v>0.05</v>
      </c>
      <c r="N5753" s="475">
        <f t="shared" si="197"/>
        <v>226146</v>
      </c>
    </row>
    <row r="5754" spans="7:14" ht="11.25" customHeight="1" x14ac:dyDescent="0.3">
      <c r="G5754" s="470"/>
      <c r="H5754" s="470">
        <v>5747</v>
      </c>
      <c r="I5754" s="455">
        <f t="shared" ca="1" si="195"/>
        <v>5943958432979603</v>
      </c>
      <c r="J5754" s="455">
        <f t="array" ref="J5754">IFERROR(INDEX('Retirement Calculator'!K:K,MATCH('Lorri 401b'!N5754,'Retirement Calculator'!A:A,0),0),0)</f>
        <v>0</v>
      </c>
      <c r="K5754" s="455">
        <f t="shared" ca="1" si="193"/>
        <v>24766493470748.344</v>
      </c>
      <c r="L5754" s="455">
        <f t="shared" ca="1" si="194"/>
        <v>5968724926450351</v>
      </c>
      <c r="M5754" s="471">
        <f t="shared" si="196"/>
        <v>0.05</v>
      </c>
      <c r="N5754" s="475">
        <f t="shared" si="197"/>
        <v>226177</v>
      </c>
    </row>
    <row r="5755" spans="7:14" ht="11.25" customHeight="1" x14ac:dyDescent="0.3">
      <c r="G5755" s="470"/>
      <c r="H5755" s="470">
        <v>5748</v>
      </c>
      <c r="I5755" s="455">
        <f t="shared" ca="1" si="195"/>
        <v>5968724926450351</v>
      </c>
      <c r="J5755" s="455">
        <f t="array" ref="J5755">IFERROR(INDEX('Retirement Calculator'!K:K,MATCH('Lorri 401b'!N5755,'Retirement Calculator'!A:A,0),0),0)</f>
        <v>0</v>
      </c>
      <c r="K5755" s="455">
        <f t="shared" ca="1" si="193"/>
        <v>24869687193543.129</v>
      </c>
      <c r="L5755" s="455">
        <f t="shared" ca="1" si="194"/>
        <v>5993594613643894</v>
      </c>
      <c r="M5755" s="471">
        <f t="shared" si="196"/>
        <v>0.05</v>
      </c>
      <c r="N5755" s="475">
        <f t="shared" si="197"/>
        <v>226207</v>
      </c>
    </row>
    <row r="5756" spans="7:14" ht="11.25" customHeight="1" x14ac:dyDescent="0.3">
      <c r="G5756" s="470"/>
      <c r="H5756" s="470">
        <v>5749</v>
      </c>
      <c r="I5756" s="455">
        <f t="shared" ca="1" si="195"/>
        <v>5993594613643894</v>
      </c>
      <c r="J5756" s="455">
        <f t="array" ref="J5756">IFERROR(INDEX('Retirement Calculator'!K:K,MATCH('Lorri 401b'!N5756,'Retirement Calculator'!A:A,0),0),0)</f>
        <v>0</v>
      </c>
      <c r="K5756" s="455">
        <f t="shared" ca="1" si="193"/>
        <v>24973310890182.891</v>
      </c>
      <c r="L5756" s="455">
        <f t="shared" ca="1" si="194"/>
        <v>6018567924534077</v>
      </c>
      <c r="M5756" s="471">
        <f t="shared" si="196"/>
        <v>0.05</v>
      </c>
      <c r="N5756" s="475">
        <f t="shared" si="197"/>
        <v>226238</v>
      </c>
    </row>
    <row r="5757" spans="7:14" ht="11.25" customHeight="1" x14ac:dyDescent="0.3">
      <c r="G5757" s="470"/>
      <c r="H5757" s="470">
        <v>5750</v>
      </c>
      <c r="I5757" s="455">
        <f t="shared" ca="1" si="195"/>
        <v>6018567924534077</v>
      </c>
      <c r="J5757" s="455">
        <f t="array" ref="J5757">IFERROR(INDEX('Retirement Calculator'!K:K,MATCH('Lorri 401b'!N5757,'Retirement Calculator'!A:A,0),0),0)</f>
        <v>0</v>
      </c>
      <c r="K5757" s="455">
        <f t="shared" ca="1" si="193"/>
        <v>25077366352225.32</v>
      </c>
      <c r="L5757" s="455">
        <f t="shared" ca="1" si="194"/>
        <v>6043645290886302</v>
      </c>
      <c r="M5757" s="471">
        <f t="shared" si="196"/>
        <v>0.05</v>
      </c>
      <c r="N5757" s="475">
        <f t="shared" si="197"/>
        <v>226268</v>
      </c>
    </row>
    <row r="5758" spans="7:14" ht="11.25" customHeight="1" x14ac:dyDescent="0.3">
      <c r="G5758" s="470"/>
      <c r="H5758" s="470">
        <v>5751</v>
      </c>
      <c r="I5758" s="455">
        <f t="shared" ca="1" si="195"/>
        <v>6043645290886302</v>
      </c>
      <c r="J5758" s="455">
        <f t="array" ref="J5758">IFERROR(INDEX('Retirement Calculator'!K:K,MATCH('Lorri 401b'!N5758,'Retirement Calculator'!A:A,0),0),0)</f>
        <v>0</v>
      </c>
      <c r="K5758" s="455">
        <f t="shared" ca="1" si="193"/>
        <v>25181855378692.926</v>
      </c>
      <c r="L5758" s="455">
        <f t="shared" ca="1" si="194"/>
        <v>6068827146264995</v>
      </c>
      <c r="M5758" s="471">
        <f t="shared" si="196"/>
        <v>0.05</v>
      </c>
      <c r="N5758" s="475">
        <f t="shared" si="197"/>
        <v>226299</v>
      </c>
    </row>
    <row r="5759" spans="7:14" ht="11.25" customHeight="1" x14ac:dyDescent="0.3">
      <c r="G5759" s="470"/>
      <c r="H5759" s="470">
        <v>5752</v>
      </c>
      <c r="I5759" s="455">
        <f t="shared" ca="1" si="195"/>
        <v>6068827146264995</v>
      </c>
      <c r="J5759" s="455">
        <f t="array" ref="J5759">IFERROR(INDEX('Retirement Calculator'!K:K,MATCH('Lorri 401b'!N5759,'Retirement Calculator'!A:A,0),0),0)</f>
        <v>0</v>
      </c>
      <c r="K5759" s="455">
        <f t="shared" ca="1" si="193"/>
        <v>25286779776104.145</v>
      </c>
      <c r="L5759" s="455">
        <f t="shared" ca="1" si="194"/>
        <v>6094113926041099</v>
      </c>
      <c r="M5759" s="471">
        <f t="shared" si="196"/>
        <v>0.05</v>
      </c>
      <c r="N5759" s="475">
        <f t="shared" si="197"/>
        <v>226330</v>
      </c>
    </row>
    <row r="5760" spans="7:14" ht="11.25" customHeight="1" x14ac:dyDescent="0.3">
      <c r="G5760" s="470"/>
      <c r="H5760" s="470">
        <v>5753</v>
      </c>
      <c r="I5760" s="455">
        <f t="shared" ca="1" si="195"/>
        <v>6094113926041099</v>
      </c>
      <c r="J5760" s="455">
        <f t="array" ref="J5760">IFERROR(INDEX('Retirement Calculator'!K:K,MATCH('Lorri 401b'!N5760,'Retirement Calculator'!A:A,0),0),0)</f>
        <v>0</v>
      </c>
      <c r="K5760" s="455">
        <f t="shared" ca="1" si="193"/>
        <v>25392141358504.578</v>
      </c>
      <c r="L5760" s="455">
        <f t="shared" ca="1" si="194"/>
        <v>6119506067399604</v>
      </c>
      <c r="M5760" s="471">
        <f t="shared" si="196"/>
        <v>0.05</v>
      </c>
      <c r="N5760" s="475">
        <f t="shared" si="197"/>
        <v>226360</v>
      </c>
    </row>
    <row r="5761" spans="7:14" ht="11.25" customHeight="1" x14ac:dyDescent="0.3">
      <c r="G5761" s="470"/>
      <c r="H5761" s="470">
        <v>5754</v>
      </c>
      <c r="I5761" s="455">
        <f t="shared" ca="1" si="195"/>
        <v>6119506067399604</v>
      </c>
      <c r="J5761" s="455">
        <f t="array" ref="J5761">IFERROR(INDEX('Retirement Calculator'!K:K,MATCH('Lorri 401b'!N5761,'Retirement Calculator'!A:A,0),0),0)</f>
        <v>0</v>
      </c>
      <c r="K5761" s="455">
        <f t="shared" ca="1" si="193"/>
        <v>25497941947498.352</v>
      </c>
      <c r="L5761" s="455">
        <f t="shared" ca="1" si="194"/>
        <v>6145004009347102</v>
      </c>
      <c r="M5761" s="471">
        <f t="shared" si="196"/>
        <v>0.05</v>
      </c>
      <c r="N5761" s="475">
        <f t="shared" si="197"/>
        <v>226391</v>
      </c>
    </row>
    <row r="5762" spans="7:14" ht="11.25" customHeight="1" x14ac:dyDescent="0.3">
      <c r="G5762" s="470"/>
      <c r="H5762" s="470">
        <v>5755</v>
      </c>
      <c r="I5762" s="455">
        <f t="shared" ca="1" si="195"/>
        <v>6145004009347102</v>
      </c>
      <c r="J5762" s="455">
        <f t="array" ref="J5762">IFERROR(INDEX('Retirement Calculator'!K:K,MATCH('Lorri 401b'!N5762,'Retirement Calculator'!A:A,0),0),0)</f>
        <v>0</v>
      </c>
      <c r="K5762" s="455">
        <f t="shared" ca="1" si="193"/>
        <v>25604183372279.59</v>
      </c>
      <c r="L5762" s="455">
        <f t="shared" ca="1" si="194"/>
        <v>6170608192719382</v>
      </c>
      <c r="M5762" s="471">
        <f t="shared" si="196"/>
        <v>0.05</v>
      </c>
      <c r="N5762" s="475">
        <f t="shared" si="197"/>
        <v>226421</v>
      </c>
    </row>
    <row r="5763" spans="7:14" ht="11.25" customHeight="1" x14ac:dyDescent="0.3">
      <c r="G5763" s="470"/>
      <c r="H5763" s="470">
        <v>5756</v>
      </c>
      <c r="I5763" s="455">
        <f t="shared" ca="1" si="195"/>
        <v>6170608192719382</v>
      </c>
      <c r="J5763" s="455">
        <f t="array" ref="J5763">IFERROR(INDEX('Retirement Calculator'!K:K,MATCH('Lorri 401b'!N5763,'Retirement Calculator'!A:A,0),0),0)</f>
        <v>0</v>
      </c>
      <c r="K5763" s="455">
        <f t="shared" ca="1" si="193"/>
        <v>25710867469664.09</v>
      </c>
      <c r="L5763" s="455">
        <f t="shared" ca="1" si="194"/>
        <v>6196319060189046</v>
      </c>
      <c r="M5763" s="471">
        <f t="shared" si="196"/>
        <v>0.05</v>
      </c>
      <c r="N5763" s="475">
        <f t="shared" si="197"/>
        <v>226452</v>
      </c>
    </row>
    <row r="5764" spans="7:14" ht="11.25" customHeight="1" x14ac:dyDescent="0.3">
      <c r="G5764" s="470"/>
      <c r="H5764" s="470">
        <v>5757</v>
      </c>
      <c r="I5764" s="455">
        <f t="shared" ca="1" si="195"/>
        <v>6196319060189046</v>
      </c>
      <c r="J5764" s="455">
        <f t="array" ref="J5764">IFERROR(INDEX('Retirement Calculator'!K:K,MATCH('Lorri 401b'!N5764,'Retirement Calculator'!A:A,0),0),0)</f>
        <v>0</v>
      </c>
      <c r="K5764" s="455">
        <f t="shared" ca="1" si="193"/>
        <v>25817996084121.023</v>
      </c>
      <c r="L5764" s="455">
        <f t="shared" ca="1" si="194"/>
        <v>6222137056273167</v>
      </c>
      <c r="M5764" s="471">
        <f t="shared" si="196"/>
        <v>0.05</v>
      </c>
      <c r="N5764" s="475">
        <f t="shared" si="197"/>
        <v>226483</v>
      </c>
    </row>
    <row r="5765" spans="7:14" ht="11.25" customHeight="1" x14ac:dyDescent="0.3">
      <c r="G5765" s="470"/>
      <c r="H5765" s="470">
        <v>5758</v>
      </c>
      <c r="I5765" s="455">
        <f t="shared" ca="1" si="195"/>
        <v>6222137056273167</v>
      </c>
      <c r="J5765" s="455">
        <f t="array" ref="J5765">IFERROR(INDEX('Retirement Calculator'!K:K,MATCH('Lorri 401b'!N5765,'Retirement Calculator'!A:A,0),0),0)</f>
        <v>0</v>
      </c>
      <c r="K5765" s="455">
        <f t="shared" ca="1" si="193"/>
        <v>25925571067804.863</v>
      </c>
      <c r="L5765" s="455">
        <f t="shared" ca="1" si="194"/>
        <v>6248062627340972</v>
      </c>
      <c r="M5765" s="471">
        <f t="shared" si="196"/>
        <v>0.05</v>
      </c>
      <c r="N5765" s="475">
        <f t="shared" si="197"/>
        <v>226512</v>
      </c>
    </row>
    <row r="5766" spans="7:14" ht="11.25" customHeight="1" x14ac:dyDescent="0.3">
      <c r="G5766" s="470"/>
      <c r="H5766" s="470">
        <v>5759</v>
      </c>
      <c r="I5766" s="455">
        <f t="shared" ca="1" si="195"/>
        <v>6248062627340972</v>
      </c>
      <c r="J5766" s="455">
        <f t="array" ref="J5766">IFERROR(INDEX('Retirement Calculator'!K:K,MATCH('Lorri 401b'!N5766,'Retirement Calculator'!A:A,0),0),0)</f>
        <v>0</v>
      </c>
      <c r="K5766" s="455">
        <f t="shared" ca="1" si="193"/>
        <v>26033594280587.383</v>
      </c>
      <c r="L5766" s="455">
        <f t="shared" ca="1" si="194"/>
        <v>6274096221621559</v>
      </c>
      <c r="M5766" s="471">
        <f t="shared" si="196"/>
        <v>0.05</v>
      </c>
      <c r="N5766" s="475">
        <f t="shared" si="197"/>
        <v>226543</v>
      </c>
    </row>
    <row r="5767" spans="7:14" ht="11.25" customHeight="1" x14ac:dyDescent="0.3">
      <c r="G5767" s="470"/>
      <c r="H5767" s="470">
        <v>5760</v>
      </c>
      <c r="I5767" s="455">
        <f t="shared" ca="1" si="195"/>
        <v>6274096221621559</v>
      </c>
      <c r="J5767" s="455">
        <f t="array" ref="J5767">IFERROR(INDEX('Retirement Calculator'!K:K,MATCH('Lorri 401b'!N5767,'Retirement Calculator'!A:A,0),0),0)</f>
        <v>0</v>
      </c>
      <c r="K5767" s="455">
        <f t="shared" ca="1" si="193"/>
        <v>26142067590089.828</v>
      </c>
      <c r="L5767" s="455">
        <f t="shared" ca="1" si="194"/>
        <v>6300238289211649</v>
      </c>
      <c r="M5767" s="471">
        <f t="shared" si="196"/>
        <v>0.05</v>
      </c>
      <c r="N5767" s="475">
        <f t="shared" si="197"/>
        <v>226573</v>
      </c>
    </row>
    <row r="5768" spans="7:14" ht="11.25" customHeight="1" x14ac:dyDescent="0.3">
      <c r="G5768" s="470"/>
      <c r="H5768" s="470">
        <v>5761</v>
      </c>
      <c r="I5768" s="455">
        <f t="shared" ca="1" si="195"/>
        <v>6300238289211649</v>
      </c>
      <c r="J5768" s="455">
        <f t="array" ref="J5768">IFERROR(INDEX('Retirement Calculator'!K:K,MATCH('Lorri 401b'!N5768,'Retirement Calculator'!A:A,0),0),0)</f>
        <v>0</v>
      </c>
      <c r="K5768" s="455">
        <f t="shared" ca="1" si="193"/>
        <v>26250992871715.203</v>
      </c>
      <c r="L5768" s="455">
        <f t="shared" ca="1" si="194"/>
        <v>6326489282083364</v>
      </c>
      <c r="M5768" s="471">
        <f t="shared" si="196"/>
        <v>0.05</v>
      </c>
      <c r="N5768" s="475">
        <f t="shared" si="197"/>
        <v>226604</v>
      </c>
    </row>
    <row r="5769" spans="7:14" ht="11.25" customHeight="1" x14ac:dyDescent="0.3">
      <c r="G5769" s="470"/>
      <c r="H5769" s="470">
        <v>5762</v>
      </c>
      <c r="I5769" s="455">
        <f t="shared" ca="1" si="195"/>
        <v>6326489282083364</v>
      </c>
      <c r="J5769" s="455">
        <f t="array" ref="J5769">IFERROR(INDEX('Retirement Calculator'!K:K,MATCH('Lorri 401b'!N5769,'Retirement Calculator'!A:A,0),0),0)</f>
        <v>0</v>
      </c>
      <c r="K5769" s="455">
        <f t="shared" ca="1" si="193"/>
        <v>26360372008680.684</v>
      </c>
      <c r="L5769" s="455">
        <f t="shared" ca="1" si="194"/>
        <v>6352849654092045</v>
      </c>
      <c r="M5769" s="471">
        <f t="shared" si="196"/>
        <v>0.05</v>
      </c>
      <c r="N5769" s="475">
        <f t="shared" si="197"/>
        <v>226634</v>
      </c>
    </row>
    <row r="5770" spans="7:14" ht="11.25" customHeight="1" x14ac:dyDescent="0.3">
      <c r="G5770" s="470"/>
      <c r="H5770" s="470">
        <v>5763</v>
      </c>
      <c r="I5770" s="455">
        <f t="shared" ca="1" si="195"/>
        <v>6352849654092045</v>
      </c>
      <c r="J5770" s="455">
        <f t="array" ref="J5770">IFERROR(INDEX('Retirement Calculator'!K:K,MATCH('Lorri 401b'!N5770,'Retirement Calculator'!A:A,0),0),0)</f>
        <v>0</v>
      </c>
      <c r="K5770" s="455">
        <f t="shared" ca="1" si="193"/>
        <v>26470206892050.188</v>
      </c>
      <c r="L5770" s="455">
        <f t="shared" ca="1" si="194"/>
        <v>6379319860984095</v>
      </c>
      <c r="M5770" s="471">
        <f t="shared" si="196"/>
        <v>0.05</v>
      </c>
      <c r="N5770" s="475">
        <f t="shared" si="197"/>
        <v>226665</v>
      </c>
    </row>
    <row r="5771" spans="7:14" ht="11.25" customHeight="1" x14ac:dyDescent="0.3">
      <c r="G5771" s="470"/>
      <c r="H5771" s="470">
        <v>5764</v>
      </c>
      <c r="I5771" s="455">
        <f t="shared" ca="1" si="195"/>
        <v>6379319860984095</v>
      </c>
      <c r="J5771" s="455">
        <f t="array" ref="J5771">IFERROR(INDEX('Retirement Calculator'!K:K,MATCH('Lorri 401b'!N5771,'Retirement Calculator'!A:A,0),0),0)</f>
        <v>0</v>
      </c>
      <c r="K5771" s="455">
        <f t="shared" ca="1" si="193"/>
        <v>26580499420767.063</v>
      </c>
      <c r="L5771" s="455">
        <f t="shared" ca="1" si="194"/>
        <v>6405900360404862</v>
      </c>
      <c r="M5771" s="471">
        <f t="shared" si="196"/>
        <v>0.05</v>
      </c>
      <c r="N5771" s="475">
        <f t="shared" si="197"/>
        <v>226696</v>
      </c>
    </row>
    <row r="5772" spans="7:14" ht="11.25" customHeight="1" x14ac:dyDescent="0.3">
      <c r="G5772" s="470"/>
      <c r="H5772" s="470">
        <v>5765</v>
      </c>
      <c r="I5772" s="455">
        <f t="shared" ca="1" si="195"/>
        <v>6405900360404862</v>
      </c>
      <c r="J5772" s="455">
        <f t="array" ref="J5772">IFERROR(INDEX('Retirement Calculator'!K:K,MATCH('Lorri 401b'!N5772,'Retirement Calculator'!A:A,0),0),0)</f>
        <v>0</v>
      </c>
      <c r="K5772" s="455">
        <f t="shared" ca="1" si="193"/>
        <v>26691251501686.926</v>
      </c>
      <c r="L5772" s="455">
        <f t="shared" ca="1" si="194"/>
        <v>6432591611906549</v>
      </c>
      <c r="M5772" s="471">
        <f t="shared" si="196"/>
        <v>0.05</v>
      </c>
      <c r="N5772" s="475">
        <f t="shared" si="197"/>
        <v>226726</v>
      </c>
    </row>
    <row r="5773" spans="7:14" ht="11.25" customHeight="1" x14ac:dyDescent="0.3">
      <c r="G5773" s="470"/>
      <c r="H5773" s="470">
        <v>5766</v>
      </c>
      <c r="I5773" s="455">
        <f t="shared" ca="1" si="195"/>
        <v>6432591611906549</v>
      </c>
      <c r="J5773" s="455">
        <f t="array" ref="J5773">IFERROR(INDEX('Retirement Calculator'!K:K,MATCH('Lorri 401b'!N5773,'Retirement Calculator'!A:A,0),0),0)</f>
        <v>0</v>
      </c>
      <c r="K5773" s="455">
        <f t="shared" ca="1" si="193"/>
        <v>26802465049610.621</v>
      </c>
      <c r="L5773" s="455">
        <f t="shared" ca="1" si="194"/>
        <v>6459394076956160</v>
      </c>
      <c r="M5773" s="471">
        <f t="shared" si="196"/>
        <v>0.05</v>
      </c>
      <c r="N5773" s="475">
        <f t="shared" si="197"/>
        <v>226757</v>
      </c>
    </row>
    <row r="5774" spans="7:14" ht="11.25" customHeight="1" x14ac:dyDescent="0.3">
      <c r="G5774" s="470"/>
      <c r="H5774" s="470">
        <v>5767</v>
      </c>
      <c r="I5774" s="455">
        <f t="shared" ca="1" si="195"/>
        <v>6459394076956160</v>
      </c>
      <c r="J5774" s="455">
        <f t="array" ref="J5774">IFERROR(INDEX('Retirement Calculator'!K:K,MATCH('Lorri 401b'!N5774,'Retirement Calculator'!A:A,0),0),0)</f>
        <v>0</v>
      </c>
      <c r="K5774" s="455">
        <f t="shared" ca="1" si="193"/>
        <v>26914141987317.332</v>
      </c>
      <c r="L5774" s="455">
        <f t="shared" ca="1" si="194"/>
        <v>6486308218943477</v>
      </c>
      <c r="M5774" s="471">
        <f t="shared" si="196"/>
        <v>0.05</v>
      </c>
      <c r="N5774" s="475">
        <f t="shared" si="197"/>
        <v>226787</v>
      </c>
    </row>
    <row r="5775" spans="7:14" ht="11.25" customHeight="1" x14ac:dyDescent="0.3">
      <c r="G5775" s="470"/>
      <c r="H5775" s="470">
        <v>5768</v>
      </c>
      <c r="I5775" s="455">
        <f t="shared" ca="1" si="195"/>
        <v>6486308218943477</v>
      </c>
      <c r="J5775" s="455">
        <f t="array" ref="J5775">IFERROR(INDEX('Retirement Calculator'!K:K,MATCH('Lorri 401b'!N5775,'Retirement Calculator'!A:A,0),0),0)</f>
        <v>0</v>
      </c>
      <c r="K5775" s="455">
        <f t="shared" ca="1" si="193"/>
        <v>27026284245597.82</v>
      </c>
      <c r="L5775" s="455">
        <f t="shared" ca="1" si="194"/>
        <v>6513334503189075</v>
      </c>
      <c r="M5775" s="471">
        <f t="shared" si="196"/>
        <v>0.05</v>
      </c>
      <c r="N5775" s="475">
        <f t="shared" si="197"/>
        <v>226818</v>
      </c>
    </row>
    <row r="5776" spans="7:14" ht="11.25" customHeight="1" x14ac:dyDescent="0.3">
      <c r="G5776" s="470"/>
      <c r="H5776" s="470">
        <v>5769</v>
      </c>
      <c r="I5776" s="455">
        <f t="shared" ca="1" si="195"/>
        <v>6513334503189075</v>
      </c>
      <c r="J5776" s="455">
        <f t="array" ref="J5776">IFERROR(INDEX('Retirement Calculator'!K:K,MATCH('Lorri 401b'!N5776,'Retirement Calculator'!A:A,0),0),0)</f>
        <v>0</v>
      </c>
      <c r="K5776" s="455">
        <f t="shared" ca="1" si="193"/>
        <v>27138893763287.813</v>
      </c>
      <c r="L5776" s="455">
        <f t="shared" ca="1" si="194"/>
        <v>6540473396952363</v>
      </c>
      <c r="M5776" s="471">
        <f t="shared" si="196"/>
        <v>0.05</v>
      </c>
      <c r="N5776" s="475">
        <f t="shared" si="197"/>
        <v>226849</v>
      </c>
    </row>
    <row r="5777" spans="7:14" ht="11.25" customHeight="1" x14ac:dyDescent="0.3">
      <c r="G5777" s="470"/>
      <c r="H5777" s="470">
        <v>5770</v>
      </c>
      <c r="I5777" s="455">
        <f t="shared" ca="1" si="195"/>
        <v>6540473396952363</v>
      </c>
      <c r="J5777" s="455">
        <f t="array" ref="J5777">IFERROR(INDEX('Retirement Calculator'!K:K,MATCH('Lorri 401b'!N5777,'Retirement Calculator'!A:A,0),0),0)</f>
        <v>0</v>
      </c>
      <c r="K5777" s="455">
        <f t="shared" ca="1" si="193"/>
        <v>27251972487301.512</v>
      </c>
      <c r="L5777" s="455">
        <f t="shared" ca="1" si="194"/>
        <v>6567725369439665</v>
      </c>
      <c r="M5777" s="471">
        <f t="shared" si="196"/>
        <v>0.05</v>
      </c>
      <c r="N5777" s="475">
        <f t="shared" si="197"/>
        <v>226877</v>
      </c>
    </row>
    <row r="5778" spans="7:14" ht="11.25" customHeight="1" x14ac:dyDescent="0.3">
      <c r="G5778" s="470"/>
      <c r="H5778" s="470">
        <v>5771</v>
      </c>
      <c r="I5778" s="455">
        <f t="shared" ca="1" si="195"/>
        <v>6567725369439665</v>
      </c>
      <c r="J5778" s="455">
        <f t="array" ref="J5778">IFERROR(INDEX('Retirement Calculator'!K:K,MATCH('Lorri 401b'!N5778,'Retirement Calculator'!A:A,0),0),0)</f>
        <v>0</v>
      </c>
      <c r="K5778" s="455">
        <f t="shared" ca="1" si="193"/>
        <v>27365522372665.27</v>
      </c>
      <c r="L5778" s="455">
        <f t="shared" ca="1" si="194"/>
        <v>6595090891812330</v>
      </c>
      <c r="M5778" s="471">
        <f t="shared" si="196"/>
        <v>0.05</v>
      </c>
      <c r="N5778" s="475">
        <f t="shared" si="197"/>
        <v>226908</v>
      </c>
    </row>
    <row r="5779" spans="7:14" ht="11.25" customHeight="1" x14ac:dyDescent="0.3">
      <c r="G5779" s="470"/>
      <c r="H5779" s="470">
        <v>5772</v>
      </c>
      <c r="I5779" s="455">
        <f t="shared" ca="1" si="195"/>
        <v>6595090891812330</v>
      </c>
      <c r="J5779" s="455">
        <f t="array" ref="J5779">IFERROR(INDEX('Retirement Calculator'!K:K,MATCH('Lorri 401b'!N5779,'Retirement Calculator'!A:A,0),0),0)</f>
        <v>0</v>
      </c>
      <c r="K5779" s="455">
        <f t="shared" ca="1" si="193"/>
        <v>27479545382551.375</v>
      </c>
      <c r="L5779" s="455">
        <f t="shared" ca="1" si="194"/>
        <v>6622570437194881</v>
      </c>
      <c r="M5779" s="471">
        <f t="shared" si="196"/>
        <v>0.05</v>
      </c>
      <c r="N5779" s="475">
        <f t="shared" si="197"/>
        <v>226938</v>
      </c>
    </row>
    <row r="5780" spans="7:14" ht="11.25" customHeight="1" x14ac:dyDescent="0.3">
      <c r="G5780" s="470"/>
      <c r="H5780" s="470">
        <v>5773</v>
      </c>
      <c r="I5780" s="455">
        <f t="shared" ca="1" si="195"/>
        <v>6622570437194881</v>
      </c>
      <c r="J5780" s="455">
        <f t="array" ref="J5780">IFERROR(INDEX('Retirement Calculator'!K:K,MATCH('Lorri 401b'!N5780,'Retirement Calculator'!A:A,0),0),0)</f>
        <v>0</v>
      </c>
      <c r="K5780" s="455">
        <f t="shared" ca="1" si="193"/>
        <v>27594043488312.004</v>
      </c>
      <c r="L5780" s="455">
        <f t="shared" ca="1" si="194"/>
        <v>6650164480683193</v>
      </c>
      <c r="M5780" s="471">
        <f t="shared" si="196"/>
        <v>0.05</v>
      </c>
      <c r="N5780" s="475">
        <f t="shared" si="197"/>
        <v>226969</v>
      </c>
    </row>
    <row r="5781" spans="7:14" ht="11.25" customHeight="1" x14ac:dyDescent="0.3">
      <c r="G5781" s="470"/>
      <c r="H5781" s="470">
        <v>5774</v>
      </c>
      <c r="I5781" s="455">
        <f t="shared" ca="1" si="195"/>
        <v>6650164480683193</v>
      </c>
      <c r="J5781" s="455">
        <f t="array" ref="J5781">IFERROR(INDEX('Retirement Calculator'!K:K,MATCH('Lorri 401b'!N5781,'Retirement Calculator'!A:A,0),0),0)</f>
        <v>0</v>
      </c>
      <c r="K5781" s="455">
        <f t="shared" ca="1" si="193"/>
        <v>27709018669513.305</v>
      </c>
      <c r="L5781" s="455">
        <f t="shared" ca="1" si="194"/>
        <v>6677873499352706</v>
      </c>
      <c r="M5781" s="471">
        <f t="shared" si="196"/>
        <v>0.05</v>
      </c>
      <c r="N5781" s="475">
        <f t="shared" si="197"/>
        <v>226999</v>
      </c>
    </row>
    <row r="5782" spans="7:14" ht="11.25" customHeight="1" x14ac:dyDescent="0.3">
      <c r="G5782" s="470"/>
      <c r="H5782" s="470">
        <v>5775</v>
      </c>
      <c r="I5782" s="455">
        <f t="shared" ca="1" si="195"/>
        <v>6677873499352706</v>
      </c>
      <c r="J5782" s="455">
        <f t="array" ref="J5782">IFERROR(INDEX('Retirement Calculator'!K:K,MATCH('Lorri 401b'!N5782,'Retirement Calculator'!A:A,0),0),0)</f>
        <v>0</v>
      </c>
      <c r="K5782" s="455">
        <f t="shared" ca="1" si="193"/>
        <v>27824472913969.609</v>
      </c>
      <c r="L5782" s="455">
        <f t="shared" ca="1" si="194"/>
        <v>6705697972266676</v>
      </c>
      <c r="M5782" s="471">
        <f t="shared" si="196"/>
        <v>0.05</v>
      </c>
      <c r="N5782" s="475">
        <f t="shared" si="197"/>
        <v>227030</v>
      </c>
    </row>
    <row r="5783" spans="7:14" ht="11.25" customHeight="1" x14ac:dyDescent="0.3">
      <c r="G5783" s="470"/>
      <c r="H5783" s="470">
        <v>5776</v>
      </c>
      <c r="I5783" s="455">
        <f t="shared" ca="1" si="195"/>
        <v>6705697972266676</v>
      </c>
      <c r="J5783" s="455">
        <f t="array" ref="J5783">IFERROR(INDEX('Retirement Calculator'!K:K,MATCH('Lorri 401b'!N5783,'Retirement Calculator'!A:A,0),0),0)</f>
        <v>0</v>
      </c>
      <c r="K5783" s="455">
        <f t="shared" ca="1" si="193"/>
        <v>27940408217777.816</v>
      </c>
      <c r="L5783" s="455">
        <f t="shared" ca="1" si="194"/>
        <v>6733638380484454</v>
      </c>
      <c r="M5783" s="471">
        <f t="shared" si="196"/>
        <v>0.05</v>
      </c>
      <c r="N5783" s="475">
        <f t="shared" si="197"/>
        <v>227061</v>
      </c>
    </row>
    <row r="5784" spans="7:14" ht="11.25" customHeight="1" x14ac:dyDescent="0.3">
      <c r="G5784" s="470"/>
      <c r="H5784" s="470">
        <v>5777</v>
      </c>
      <c r="I5784" s="455">
        <f t="shared" ca="1" si="195"/>
        <v>6733638380484454</v>
      </c>
      <c r="J5784" s="455">
        <f t="array" ref="J5784">IFERROR(INDEX('Retirement Calculator'!K:K,MATCH('Lorri 401b'!N5784,'Retirement Calculator'!A:A,0),0),0)</f>
        <v>0</v>
      </c>
      <c r="K5784" s="455">
        <f t="shared" ca="1" si="193"/>
        <v>28056826585351.891</v>
      </c>
      <c r="L5784" s="455">
        <f t="shared" ca="1" si="194"/>
        <v>6761695207069806</v>
      </c>
      <c r="M5784" s="471">
        <f t="shared" si="196"/>
        <v>0.05</v>
      </c>
      <c r="N5784" s="475">
        <f t="shared" si="197"/>
        <v>227091</v>
      </c>
    </row>
    <row r="5785" spans="7:14" ht="11.25" customHeight="1" x14ac:dyDescent="0.3">
      <c r="G5785" s="470"/>
      <c r="H5785" s="470">
        <v>5778</v>
      </c>
      <c r="I5785" s="455">
        <f t="shared" ca="1" si="195"/>
        <v>6761695207069806</v>
      </c>
      <c r="J5785" s="455">
        <f t="array" ref="J5785">IFERROR(INDEX('Retirement Calculator'!K:K,MATCH('Lorri 401b'!N5785,'Retirement Calculator'!A:A,0),0),0)</f>
        <v>0</v>
      </c>
      <c r="K5785" s="455">
        <f t="shared" ca="1" si="193"/>
        <v>28173730029457.523</v>
      </c>
      <c r="L5785" s="455">
        <f t="shared" ca="1" si="194"/>
        <v>6789868937099264</v>
      </c>
      <c r="M5785" s="471">
        <f t="shared" si="196"/>
        <v>0.05</v>
      </c>
      <c r="N5785" s="475">
        <f t="shared" si="197"/>
        <v>227122</v>
      </c>
    </row>
    <row r="5786" spans="7:14" ht="11.25" customHeight="1" x14ac:dyDescent="0.3">
      <c r="G5786" s="470"/>
      <c r="H5786" s="470">
        <v>5779</v>
      </c>
      <c r="I5786" s="455">
        <f t="shared" ca="1" si="195"/>
        <v>6789868937099264</v>
      </c>
      <c r="J5786" s="455">
        <f t="array" ref="J5786">IFERROR(INDEX('Retirement Calculator'!K:K,MATCH('Lorri 401b'!N5786,'Retirement Calculator'!A:A,0),0),0)</f>
        <v>0</v>
      </c>
      <c r="K5786" s="455">
        <f t="shared" ca="1" si="193"/>
        <v>28291120571246.934</v>
      </c>
      <c r="L5786" s="455">
        <f t="shared" ca="1" si="194"/>
        <v>6818160057670511</v>
      </c>
      <c r="M5786" s="471">
        <f t="shared" si="196"/>
        <v>0.05</v>
      </c>
      <c r="N5786" s="475">
        <f t="shared" si="197"/>
        <v>227152</v>
      </c>
    </row>
    <row r="5787" spans="7:14" ht="11.25" customHeight="1" x14ac:dyDescent="0.3">
      <c r="G5787" s="470"/>
      <c r="H5787" s="470">
        <v>5780</v>
      </c>
      <c r="I5787" s="455">
        <f t="shared" ca="1" si="195"/>
        <v>6818160057670511</v>
      </c>
      <c r="J5787" s="455">
        <f t="array" ref="J5787">IFERROR(INDEX('Retirement Calculator'!K:K,MATCH('Lorri 401b'!N5787,'Retirement Calculator'!A:A,0),0),0)</f>
        <v>0</v>
      </c>
      <c r="K5787" s="455">
        <f t="shared" ca="1" si="193"/>
        <v>28409000240293.797</v>
      </c>
      <c r="L5787" s="455">
        <f t="shared" ca="1" si="194"/>
        <v>6846569057910805</v>
      </c>
      <c r="M5787" s="471">
        <f t="shared" si="196"/>
        <v>0.05</v>
      </c>
      <c r="N5787" s="475">
        <f t="shared" si="197"/>
        <v>227183</v>
      </c>
    </row>
    <row r="5788" spans="7:14" ht="11.25" customHeight="1" x14ac:dyDescent="0.3">
      <c r="G5788" s="470"/>
      <c r="H5788" s="470">
        <v>5781</v>
      </c>
      <c r="I5788" s="455">
        <f t="shared" ca="1" si="195"/>
        <v>6846569057910805</v>
      </c>
      <c r="J5788" s="455">
        <f t="array" ref="J5788">IFERROR(INDEX('Retirement Calculator'!K:K,MATCH('Lorri 401b'!N5788,'Retirement Calculator'!A:A,0),0),0)</f>
        <v>0</v>
      </c>
      <c r="K5788" s="455">
        <f t="shared" ca="1" si="193"/>
        <v>28527371074628.355</v>
      </c>
      <c r="L5788" s="455">
        <f t="shared" ca="1" si="194"/>
        <v>6875096428985433</v>
      </c>
      <c r="M5788" s="471">
        <f t="shared" si="196"/>
        <v>0.05</v>
      </c>
      <c r="N5788" s="475">
        <f t="shared" si="197"/>
        <v>227214</v>
      </c>
    </row>
    <row r="5789" spans="7:14" ht="11.25" customHeight="1" x14ac:dyDescent="0.3">
      <c r="G5789" s="470"/>
      <c r="H5789" s="470">
        <v>5782</v>
      </c>
      <c r="I5789" s="455">
        <f t="shared" ca="1" si="195"/>
        <v>6875096428985433</v>
      </c>
      <c r="J5789" s="455">
        <f t="array" ref="J5789">IFERROR(INDEX('Retirement Calculator'!K:K,MATCH('Lorri 401b'!N5789,'Retirement Calculator'!A:A,0),0),0)</f>
        <v>0</v>
      </c>
      <c r="K5789" s="455">
        <f t="shared" ca="1" si="193"/>
        <v>28646235120772.637</v>
      </c>
      <c r="L5789" s="455">
        <f t="shared" ca="1" si="194"/>
        <v>6903742664106206</v>
      </c>
      <c r="M5789" s="471">
        <f t="shared" si="196"/>
        <v>0.05</v>
      </c>
      <c r="N5789" s="475">
        <f t="shared" si="197"/>
        <v>227242</v>
      </c>
    </row>
    <row r="5790" spans="7:14" ht="11.25" customHeight="1" x14ac:dyDescent="0.3">
      <c r="G5790" s="470"/>
      <c r="H5790" s="470">
        <v>5783</v>
      </c>
      <c r="I5790" s="455">
        <f t="shared" ca="1" si="195"/>
        <v>6903742664106206</v>
      </c>
      <c r="J5790" s="455">
        <f t="array" ref="J5790">IFERROR(INDEX('Retirement Calculator'!K:K,MATCH('Lorri 401b'!N5790,'Retirement Calculator'!A:A,0),0),0)</f>
        <v>0</v>
      </c>
      <c r="K5790" s="455">
        <f t="shared" ca="1" si="193"/>
        <v>28765594433775.859</v>
      </c>
      <c r="L5790" s="455">
        <f t="shared" ca="1" si="194"/>
        <v>6932508258539982</v>
      </c>
      <c r="M5790" s="471">
        <f t="shared" si="196"/>
        <v>0.05</v>
      </c>
      <c r="N5790" s="475">
        <f t="shared" si="197"/>
        <v>227273</v>
      </c>
    </row>
    <row r="5791" spans="7:14" ht="11.25" customHeight="1" x14ac:dyDescent="0.3">
      <c r="G5791" s="470"/>
      <c r="H5791" s="470">
        <v>5784</v>
      </c>
      <c r="I5791" s="455">
        <f t="shared" ca="1" si="195"/>
        <v>6932508258539982</v>
      </c>
      <c r="J5791" s="455">
        <f t="array" ref="J5791">IFERROR(INDEX('Retirement Calculator'!K:K,MATCH('Lorri 401b'!N5791,'Retirement Calculator'!A:A,0),0),0)</f>
        <v>0</v>
      </c>
      <c r="K5791" s="455">
        <f t="shared" ca="1" si="193"/>
        <v>28885451077249.926</v>
      </c>
      <c r="L5791" s="455">
        <f t="shared" ca="1" si="194"/>
        <v>6961393709617232</v>
      </c>
      <c r="M5791" s="471">
        <f t="shared" si="196"/>
        <v>0.05</v>
      </c>
      <c r="N5791" s="475">
        <f t="shared" si="197"/>
        <v>227303</v>
      </c>
    </row>
    <row r="5792" spans="7:14" ht="11.25" customHeight="1" x14ac:dyDescent="0.3">
      <c r="G5792" s="470"/>
      <c r="H5792" s="470">
        <v>5785</v>
      </c>
      <c r="I5792" s="455">
        <f t="shared" ca="1" si="195"/>
        <v>6961393709617232</v>
      </c>
      <c r="J5792" s="455">
        <f t="array" ref="J5792">IFERROR(INDEX('Retirement Calculator'!K:K,MATCH('Lorri 401b'!N5792,'Retirement Calculator'!A:A,0),0),0)</f>
        <v>0</v>
      </c>
      <c r="K5792" s="455">
        <f t="shared" ca="1" si="193"/>
        <v>29005807123405.133</v>
      </c>
      <c r="L5792" s="455">
        <f t="shared" ca="1" si="194"/>
        <v>6990399516740637</v>
      </c>
      <c r="M5792" s="471">
        <f t="shared" si="196"/>
        <v>0.05</v>
      </c>
      <c r="N5792" s="475">
        <f t="shared" si="197"/>
        <v>227334</v>
      </c>
    </row>
    <row r="5793" spans="7:14" ht="11.25" customHeight="1" x14ac:dyDescent="0.3">
      <c r="G5793" s="470"/>
      <c r="H5793" s="470">
        <v>5786</v>
      </c>
      <c r="I5793" s="455">
        <f t="shared" ca="1" si="195"/>
        <v>6990399516740637</v>
      </c>
      <c r="J5793" s="455">
        <f t="array" ref="J5793">IFERROR(INDEX('Retirement Calculator'!K:K,MATCH('Lorri 401b'!N5793,'Retirement Calculator'!A:A,0),0),0)</f>
        <v>0</v>
      </c>
      <c r="K5793" s="455">
        <f t="shared" ca="1" si="193"/>
        <v>29126664653085.988</v>
      </c>
      <c r="L5793" s="455">
        <f t="shared" ca="1" si="194"/>
        <v>7019526181393723</v>
      </c>
      <c r="M5793" s="471">
        <f t="shared" si="196"/>
        <v>0.05</v>
      </c>
      <c r="N5793" s="475">
        <f t="shared" si="197"/>
        <v>227364</v>
      </c>
    </row>
    <row r="5794" spans="7:14" ht="11.25" customHeight="1" x14ac:dyDescent="0.3">
      <c r="G5794" s="470"/>
      <c r="H5794" s="470">
        <v>5787</v>
      </c>
      <c r="I5794" s="455">
        <f t="shared" ca="1" si="195"/>
        <v>7019526181393723</v>
      </c>
      <c r="J5794" s="455">
        <f t="array" ref="J5794">IFERROR(INDEX('Retirement Calculator'!K:K,MATCH('Lorri 401b'!N5794,'Retirement Calculator'!A:A,0),0),0)</f>
        <v>0</v>
      </c>
      <c r="K5794" s="455">
        <f t="shared" ca="1" si="193"/>
        <v>29248025755807.18</v>
      </c>
      <c r="L5794" s="455">
        <f t="shared" ca="1" si="194"/>
        <v>7048774207149530</v>
      </c>
      <c r="M5794" s="471">
        <f t="shared" si="196"/>
        <v>0.05</v>
      </c>
      <c r="N5794" s="475">
        <f t="shared" si="197"/>
        <v>227395</v>
      </c>
    </row>
    <row r="5795" spans="7:14" ht="11.25" customHeight="1" x14ac:dyDescent="0.3">
      <c r="G5795" s="470"/>
      <c r="H5795" s="470">
        <v>5788</v>
      </c>
      <c r="I5795" s="455">
        <f t="shared" ca="1" si="195"/>
        <v>7048774207149530</v>
      </c>
      <c r="J5795" s="455">
        <f t="array" ref="J5795">IFERROR(INDEX('Retirement Calculator'!K:K,MATCH('Lorri 401b'!N5795,'Retirement Calculator'!A:A,0),0),0)</f>
        <v>0</v>
      </c>
      <c r="K5795" s="455">
        <f t="shared" ca="1" si="193"/>
        <v>29369892529789.711</v>
      </c>
      <c r="L5795" s="455">
        <f t="shared" ca="1" si="194"/>
        <v>7078144099679320</v>
      </c>
      <c r="M5795" s="471">
        <f t="shared" si="196"/>
        <v>0.05</v>
      </c>
      <c r="N5795" s="475">
        <f t="shared" si="197"/>
        <v>227426</v>
      </c>
    </row>
    <row r="5796" spans="7:14" ht="11.25" customHeight="1" x14ac:dyDescent="0.3">
      <c r="G5796" s="470"/>
      <c r="H5796" s="470">
        <v>5789</v>
      </c>
      <c r="I5796" s="455">
        <f t="shared" ca="1" si="195"/>
        <v>7078144099679320</v>
      </c>
      <c r="J5796" s="455">
        <f t="array" ref="J5796">IFERROR(INDEX('Retirement Calculator'!K:K,MATCH('Lorri 401b'!N5796,'Retirement Calculator'!A:A,0),0),0)</f>
        <v>0</v>
      </c>
      <c r="K5796" s="455">
        <f t="shared" ca="1" si="193"/>
        <v>29492267081997.168</v>
      </c>
      <c r="L5796" s="455">
        <f t="shared" ca="1" si="194"/>
        <v>7107636366761317</v>
      </c>
      <c r="M5796" s="471">
        <f t="shared" si="196"/>
        <v>0.05</v>
      </c>
      <c r="N5796" s="475">
        <f t="shared" si="197"/>
        <v>227456</v>
      </c>
    </row>
    <row r="5797" spans="7:14" ht="11.25" customHeight="1" x14ac:dyDescent="0.3">
      <c r="G5797" s="470"/>
      <c r="H5797" s="470">
        <v>5790</v>
      </c>
      <c r="I5797" s="455">
        <f t="shared" ca="1" si="195"/>
        <v>7107636366761317</v>
      </c>
      <c r="J5797" s="455">
        <f t="array" ref="J5797">IFERROR(INDEX('Retirement Calculator'!K:K,MATCH('Lorri 401b'!N5797,'Retirement Calculator'!A:A,0),0),0)</f>
        <v>0</v>
      </c>
      <c r="K5797" s="455">
        <f t="shared" ca="1" si="193"/>
        <v>29615151528172.152</v>
      </c>
      <c r="L5797" s="455">
        <f t="shared" ca="1" si="194"/>
        <v>7137251518289489</v>
      </c>
      <c r="M5797" s="471">
        <f t="shared" si="196"/>
        <v>0.05</v>
      </c>
      <c r="N5797" s="475">
        <f t="shared" si="197"/>
        <v>227487</v>
      </c>
    </row>
    <row r="5798" spans="7:14" ht="11.25" customHeight="1" x14ac:dyDescent="0.3">
      <c r="G5798" s="470"/>
      <c r="H5798" s="470">
        <v>5791</v>
      </c>
      <c r="I5798" s="455">
        <f t="shared" ca="1" si="195"/>
        <v>7137251518289489</v>
      </c>
      <c r="J5798" s="455">
        <f t="array" ref="J5798">IFERROR(INDEX('Retirement Calculator'!K:K,MATCH('Lorri 401b'!N5798,'Retirement Calculator'!A:A,0),0),0)</f>
        <v>0</v>
      </c>
      <c r="K5798" s="455">
        <f t="shared" ca="1" si="193"/>
        <v>29738547992872.871</v>
      </c>
      <c r="L5798" s="455">
        <f t="shared" ca="1" si="194"/>
        <v>7166990066282362</v>
      </c>
      <c r="M5798" s="471">
        <f t="shared" si="196"/>
        <v>0.05</v>
      </c>
      <c r="N5798" s="475">
        <f t="shared" si="197"/>
        <v>227517</v>
      </c>
    </row>
    <row r="5799" spans="7:14" ht="11.25" customHeight="1" x14ac:dyDescent="0.3">
      <c r="G5799" s="470"/>
      <c r="H5799" s="470">
        <v>5792</v>
      </c>
      <c r="I5799" s="455">
        <f t="shared" ca="1" si="195"/>
        <v>7166990066282362</v>
      </c>
      <c r="J5799" s="455">
        <f t="array" ref="J5799">IFERROR(INDEX('Retirement Calculator'!K:K,MATCH('Lorri 401b'!N5799,'Retirement Calculator'!A:A,0),0),0)</f>
        <v>0</v>
      </c>
      <c r="K5799" s="455">
        <f t="shared" ca="1" si="193"/>
        <v>29862458609509.84</v>
      </c>
      <c r="L5799" s="455">
        <f t="shared" ca="1" si="194"/>
        <v>7196852524891872</v>
      </c>
      <c r="M5799" s="471">
        <f t="shared" si="196"/>
        <v>0.05</v>
      </c>
      <c r="N5799" s="475">
        <f t="shared" si="197"/>
        <v>227548</v>
      </c>
    </row>
    <row r="5800" spans="7:14" ht="11.25" customHeight="1" x14ac:dyDescent="0.3">
      <c r="G5800" s="470"/>
      <c r="H5800" s="470">
        <v>5793</v>
      </c>
      <c r="I5800" s="455">
        <f t="shared" ca="1" si="195"/>
        <v>7196852524891872</v>
      </c>
      <c r="J5800" s="455">
        <f t="array" ref="J5800">IFERROR(INDEX('Retirement Calculator'!K:K,MATCH('Lorri 401b'!N5800,'Retirement Calculator'!A:A,0),0),0)</f>
        <v>0</v>
      </c>
      <c r="K5800" s="455">
        <f t="shared" ca="1" si="193"/>
        <v>29986885520382.805</v>
      </c>
      <c r="L5800" s="455">
        <f t="shared" ca="1" si="194"/>
        <v>7226839410412255</v>
      </c>
      <c r="M5800" s="471">
        <f t="shared" si="196"/>
        <v>0.05</v>
      </c>
      <c r="N5800" s="475">
        <f t="shared" si="197"/>
        <v>227579</v>
      </c>
    </row>
    <row r="5801" spans="7:14" ht="11.25" customHeight="1" x14ac:dyDescent="0.3">
      <c r="G5801" s="470"/>
      <c r="H5801" s="470">
        <v>5794</v>
      </c>
      <c r="I5801" s="455">
        <f t="shared" ca="1" si="195"/>
        <v>7226839410412255</v>
      </c>
      <c r="J5801" s="455">
        <f t="array" ref="J5801">IFERROR(INDEX('Retirement Calculator'!K:K,MATCH('Lorri 401b'!N5801,'Retirement Calculator'!A:A,0),0),0)</f>
        <v>0</v>
      </c>
      <c r="K5801" s="455">
        <f t="shared" ca="1" si="193"/>
        <v>30111830876717.723</v>
      </c>
      <c r="L5801" s="455">
        <f t="shared" ca="1" si="194"/>
        <v>7256951241288973</v>
      </c>
      <c r="M5801" s="471">
        <f t="shared" si="196"/>
        <v>0.05</v>
      </c>
      <c r="N5801" s="475">
        <f t="shared" si="197"/>
        <v>227607</v>
      </c>
    </row>
    <row r="5802" spans="7:14" ht="11.25" customHeight="1" x14ac:dyDescent="0.3">
      <c r="G5802" s="470"/>
      <c r="H5802" s="470">
        <v>5795</v>
      </c>
      <c r="I5802" s="455">
        <f t="shared" ca="1" si="195"/>
        <v>7256951241288973</v>
      </c>
      <c r="J5802" s="455">
        <f t="array" ref="J5802">IFERROR(INDEX('Retirement Calculator'!K:K,MATCH('Lorri 401b'!N5802,'Retirement Calculator'!A:A,0),0),0)</f>
        <v>0</v>
      </c>
      <c r="K5802" s="455">
        <f t="shared" ca="1" si="193"/>
        <v>30237296838704.059</v>
      </c>
      <c r="L5802" s="455">
        <f t="shared" ca="1" si="194"/>
        <v>7287188538127677</v>
      </c>
      <c r="M5802" s="471">
        <f t="shared" si="196"/>
        <v>0.05</v>
      </c>
      <c r="N5802" s="475">
        <f t="shared" si="197"/>
        <v>227638</v>
      </c>
    </row>
    <row r="5803" spans="7:14" ht="11.25" customHeight="1" x14ac:dyDescent="0.3">
      <c r="G5803" s="470"/>
      <c r="H5803" s="470">
        <v>5796</v>
      </c>
      <c r="I5803" s="455">
        <f t="shared" ca="1" si="195"/>
        <v>7287188538127677</v>
      </c>
      <c r="J5803" s="455">
        <f t="array" ref="J5803">IFERROR(INDEX('Retirement Calculator'!K:K,MATCH('Lorri 401b'!N5803,'Retirement Calculator'!A:A,0),0),0)</f>
        <v>0</v>
      </c>
      <c r="K5803" s="455">
        <f t="shared" ca="1" si="193"/>
        <v>30363285575531.984</v>
      </c>
      <c r="L5803" s="455">
        <f t="shared" ca="1" si="194"/>
        <v>7317551823703209</v>
      </c>
      <c r="M5803" s="471">
        <f t="shared" si="196"/>
        <v>0.05</v>
      </c>
      <c r="N5803" s="475">
        <f t="shared" si="197"/>
        <v>227668</v>
      </c>
    </row>
    <row r="5804" spans="7:14" ht="11.25" customHeight="1" x14ac:dyDescent="0.3">
      <c r="G5804" s="470"/>
      <c r="H5804" s="470">
        <v>5797</v>
      </c>
      <c r="I5804" s="455">
        <f t="shared" ca="1" si="195"/>
        <v>7317551823703209</v>
      </c>
      <c r="J5804" s="455">
        <f t="array" ref="J5804">IFERROR(INDEX('Retirement Calculator'!K:K,MATCH('Lorri 401b'!N5804,'Retirement Calculator'!A:A,0),0),0)</f>
        <v>0</v>
      </c>
      <c r="K5804" s="455">
        <f t="shared" ca="1" si="193"/>
        <v>30489799265430.035</v>
      </c>
      <c r="L5804" s="455">
        <f t="shared" ca="1" si="194"/>
        <v>7348041622968639</v>
      </c>
      <c r="M5804" s="471">
        <f t="shared" si="196"/>
        <v>0.05</v>
      </c>
      <c r="N5804" s="475">
        <f t="shared" si="197"/>
        <v>227699</v>
      </c>
    </row>
    <row r="5805" spans="7:14" ht="11.25" customHeight="1" x14ac:dyDescent="0.3">
      <c r="G5805" s="470"/>
      <c r="H5805" s="470">
        <v>5798</v>
      </c>
      <c r="I5805" s="455">
        <f t="shared" ca="1" si="195"/>
        <v>7348041622968639</v>
      </c>
      <c r="J5805" s="455">
        <f t="array" ref="J5805">IFERROR(INDEX('Retirement Calculator'!K:K,MATCH('Lorri 401b'!N5805,'Retirement Calculator'!A:A,0),0),0)</f>
        <v>0</v>
      </c>
      <c r="K5805" s="455">
        <f t="shared" ca="1" si="193"/>
        <v>30616840095702.668</v>
      </c>
      <c r="L5805" s="455">
        <f t="shared" ca="1" si="194"/>
        <v>7378658463064342</v>
      </c>
      <c r="M5805" s="471">
        <f t="shared" si="196"/>
        <v>0.05</v>
      </c>
      <c r="N5805" s="475">
        <f t="shared" si="197"/>
        <v>227729</v>
      </c>
    </row>
    <row r="5806" spans="7:14" ht="11.25" customHeight="1" x14ac:dyDescent="0.3">
      <c r="G5806" s="470"/>
      <c r="H5806" s="470">
        <v>5799</v>
      </c>
      <c r="I5806" s="455">
        <f t="shared" ca="1" si="195"/>
        <v>7378658463064342</v>
      </c>
      <c r="J5806" s="455">
        <f t="array" ref="J5806">IFERROR(INDEX('Retirement Calculator'!K:K,MATCH('Lorri 401b'!N5806,'Retirement Calculator'!A:A,0),0),0)</f>
        <v>0</v>
      </c>
      <c r="K5806" s="455">
        <f t="shared" ca="1" si="193"/>
        <v>30744410262768.086</v>
      </c>
      <c r="L5806" s="455">
        <f t="shared" ca="1" si="194"/>
        <v>7409402873327110</v>
      </c>
      <c r="M5806" s="471">
        <f t="shared" si="196"/>
        <v>0.05</v>
      </c>
      <c r="N5806" s="475">
        <f t="shared" si="197"/>
        <v>227760</v>
      </c>
    </row>
    <row r="5807" spans="7:14" ht="11.25" customHeight="1" x14ac:dyDescent="0.3">
      <c r="G5807" s="470"/>
      <c r="H5807" s="470">
        <v>5800</v>
      </c>
      <c r="I5807" s="455">
        <f t="shared" ca="1" si="195"/>
        <v>7409402873327110</v>
      </c>
      <c r="J5807" s="455">
        <f t="array" ref="J5807">IFERROR(INDEX('Retirement Calculator'!K:K,MATCH('Lorri 401b'!N5807,'Retirement Calculator'!A:A,0),0),0)</f>
        <v>0</v>
      </c>
      <c r="K5807" s="455">
        <f t="shared" ca="1" si="193"/>
        <v>30872511972196.285</v>
      </c>
      <c r="L5807" s="455">
        <f t="shared" ca="1" si="194"/>
        <v>7440275385299306</v>
      </c>
      <c r="M5807" s="471">
        <f t="shared" si="196"/>
        <v>0.05</v>
      </c>
      <c r="N5807" s="475">
        <f t="shared" si="197"/>
        <v>227791</v>
      </c>
    </row>
    <row r="5808" spans="7:14" ht="11.25" customHeight="1" x14ac:dyDescent="0.3">
      <c r="G5808" s="470"/>
      <c r="H5808" s="470">
        <v>5801</v>
      </c>
      <c r="I5808" s="455">
        <f t="shared" ca="1" si="195"/>
        <v>7440275385299306</v>
      </c>
      <c r="J5808" s="455">
        <f t="array" ref="J5808">IFERROR(INDEX('Retirement Calculator'!K:K,MATCH('Lorri 401b'!N5808,'Retirement Calculator'!A:A,0),0),0)</f>
        <v>0</v>
      </c>
      <c r="K5808" s="455">
        <f t="shared" ca="1" si="193"/>
        <v>31001147438747.105</v>
      </c>
      <c r="L5808" s="455">
        <f t="shared" ca="1" si="194"/>
        <v>7471276532738053</v>
      </c>
      <c r="M5808" s="471">
        <f t="shared" si="196"/>
        <v>0.05</v>
      </c>
      <c r="N5808" s="475">
        <f t="shared" si="197"/>
        <v>227821</v>
      </c>
    </row>
    <row r="5809" spans="7:14" ht="11.25" customHeight="1" x14ac:dyDescent="0.3">
      <c r="G5809" s="470"/>
      <c r="H5809" s="470">
        <v>5802</v>
      </c>
      <c r="I5809" s="455">
        <f t="shared" ca="1" si="195"/>
        <v>7471276532738053</v>
      </c>
      <c r="J5809" s="455">
        <f t="array" ref="J5809">IFERROR(INDEX('Retirement Calculator'!K:K,MATCH('Lorri 401b'!N5809,'Retirement Calculator'!A:A,0),0),0)</f>
        <v>0</v>
      </c>
      <c r="K5809" s="455">
        <f t="shared" ca="1" si="193"/>
        <v>31130318886408.551</v>
      </c>
      <c r="L5809" s="455">
        <f t="shared" ca="1" si="194"/>
        <v>7502406851624462</v>
      </c>
      <c r="M5809" s="471">
        <f t="shared" si="196"/>
        <v>0.05</v>
      </c>
      <c r="N5809" s="475">
        <f t="shared" si="197"/>
        <v>227852</v>
      </c>
    </row>
    <row r="5810" spans="7:14" ht="11.25" customHeight="1" x14ac:dyDescent="0.3">
      <c r="G5810" s="470"/>
      <c r="H5810" s="470">
        <v>5803</v>
      </c>
      <c r="I5810" s="455">
        <f t="shared" ca="1" si="195"/>
        <v>7502406851624462</v>
      </c>
      <c r="J5810" s="455">
        <f t="array" ref="J5810">IFERROR(INDEX('Retirement Calculator'!K:K,MATCH('Lorri 401b'!N5810,'Retirement Calculator'!A:A,0),0),0)</f>
        <v>0</v>
      </c>
      <c r="K5810" s="455">
        <f t="shared" ca="1" si="193"/>
        <v>31260028548435.258</v>
      </c>
      <c r="L5810" s="455">
        <f t="shared" ca="1" si="194"/>
        <v>7533666880172897</v>
      </c>
      <c r="M5810" s="471">
        <f t="shared" si="196"/>
        <v>0.05</v>
      </c>
      <c r="N5810" s="475">
        <f t="shared" si="197"/>
        <v>227882</v>
      </c>
    </row>
    <row r="5811" spans="7:14" ht="11.25" customHeight="1" x14ac:dyDescent="0.3">
      <c r="G5811" s="470"/>
      <c r="H5811" s="470">
        <v>5804</v>
      </c>
      <c r="I5811" s="455">
        <f t="shared" ca="1" si="195"/>
        <v>7533666880172897</v>
      </c>
      <c r="J5811" s="455">
        <f t="array" ref="J5811">IFERROR(INDEX('Retirement Calculator'!K:K,MATCH('Lorri 401b'!N5811,'Retirement Calculator'!A:A,0),0),0)</f>
        <v>0</v>
      </c>
      <c r="K5811" s="455">
        <f t="shared" ca="1" si="193"/>
        <v>31390278667387.066</v>
      </c>
      <c r="L5811" s="455">
        <f t="shared" ca="1" si="194"/>
        <v>7565057158840284</v>
      </c>
      <c r="M5811" s="471">
        <f t="shared" si="196"/>
        <v>0.05</v>
      </c>
      <c r="N5811" s="475">
        <f t="shared" si="197"/>
        <v>227913</v>
      </c>
    </row>
    <row r="5812" spans="7:14" ht="11.25" customHeight="1" x14ac:dyDescent="0.3">
      <c r="G5812" s="470"/>
      <c r="H5812" s="470">
        <v>5805</v>
      </c>
      <c r="I5812" s="455">
        <f t="shared" ca="1" si="195"/>
        <v>7565057158840284</v>
      </c>
      <c r="J5812" s="455">
        <f t="array" ref="J5812">IFERROR(INDEX('Retirement Calculator'!K:K,MATCH('Lorri 401b'!N5812,'Retirement Calculator'!A:A,0),0),0)</f>
        <v>0</v>
      </c>
      <c r="K5812" s="455">
        <f t="shared" ca="1" si="193"/>
        <v>31521071495167.848</v>
      </c>
      <c r="L5812" s="455">
        <f t="shared" ca="1" si="194"/>
        <v>7596578230335452</v>
      </c>
      <c r="M5812" s="471">
        <f t="shared" si="196"/>
        <v>0.05</v>
      </c>
      <c r="N5812" s="475">
        <f t="shared" si="197"/>
        <v>227944</v>
      </c>
    </row>
    <row r="5813" spans="7:14" ht="11.25" customHeight="1" x14ac:dyDescent="0.3">
      <c r="G5813" s="470"/>
      <c r="H5813" s="470">
        <v>5806</v>
      </c>
      <c r="I5813" s="455">
        <f t="shared" ca="1" si="195"/>
        <v>7596578230335452</v>
      </c>
      <c r="J5813" s="455">
        <f t="array" ref="J5813">IFERROR(INDEX('Retirement Calculator'!K:K,MATCH('Lorri 401b'!N5813,'Retirement Calculator'!A:A,0),0),0)</f>
        <v>0</v>
      </c>
      <c r="K5813" s="455">
        <f t="shared" ca="1" si="193"/>
        <v>31652409293064.379</v>
      </c>
      <c r="L5813" s="455">
        <f t="shared" ca="1" si="194"/>
        <v>7628230639628516</v>
      </c>
      <c r="M5813" s="471">
        <f t="shared" si="196"/>
        <v>0.05</v>
      </c>
      <c r="N5813" s="475">
        <f t="shared" si="197"/>
        <v>227973</v>
      </c>
    </row>
    <row r="5814" spans="7:14" ht="11.25" customHeight="1" x14ac:dyDescent="0.3">
      <c r="G5814" s="470"/>
      <c r="H5814" s="470">
        <v>5807</v>
      </c>
      <c r="I5814" s="455">
        <f t="shared" ca="1" si="195"/>
        <v>7628230639628516</v>
      </c>
      <c r="J5814" s="455">
        <f t="array" ref="J5814">IFERROR(INDEX('Retirement Calculator'!K:K,MATCH('Lorri 401b'!N5814,'Retirement Calculator'!A:A,0),0),0)</f>
        <v>0</v>
      </c>
      <c r="K5814" s="455">
        <f t="shared" ca="1" si="193"/>
        <v>31784294331785.488</v>
      </c>
      <c r="L5814" s="455">
        <f t="shared" ca="1" si="194"/>
        <v>7660014933960301</v>
      </c>
      <c r="M5814" s="471">
        <f t="shared" si="196"/>
        <v>0.05</v>
      </c>
      <c r="N5814" s="475">
        <f t="shared" si="197"/>
        <v>228004</v>
      </c>
    </row>
    <row r="5815" spans="7:14" ht="11.25" customHeight="1" x14ac:dyDescent="0.3">
      <c r="G5815" s="470"/>
      <c r="H5815" s="470">
        <v>5808</v>
      </c>
      <c r="I5815" s="455">
        <f t="shared" ca="1" si="195"/>
        <v>7660014933960301</v>
      </c>
      <c r="J5815" s="455">
        <f t="array" ref="J5815">IFERROR(INDEX('Retirement Calculator'!K:K,MATCH('Lorri 401b'!N5815,'Retirement Calculator'!A:A,0),0),0)</f>
        <v>0</v>
      </c>
      <c r="K5815" s="455">
        <f t="shared" ca="1" si="193"/>
        <v>31916728891501.254</v>
      </c>
      <c r="L5815" s="455">
        <f t="shared" ca="1" si="194"/>
        <v>7691931662851802</v>
      </c>
      <c r="M5815" s="471">
        <f t="shared" si="196"/>
        <v>0.05</v>
      </c>
      <c r="N5815" s="475">
        <f t="shared" si="197"/>
        <v>228034</v>
      </c>
    </row>
    <row r="5816" spans="7:14" ht="11.25" customHeight="1" x14ac:dyDescent="0.3">
      <c r="G5816" s="470"/>
      <c r="H5816" s="470">
        <v>5809</v>
      </c>
      <c r="I5816" s="455">
        <f t="shared" ca="1" si="195"/>
        <v>7691931662851802</v>
      </c>
      <c r="J5816" s="455">
        <f t="array" ref="J5816">IFERROR(INDEX('Retirement Calculator'!K:K,MATCH('Lorri 401b'!N5816,'Retirement Calculator'!A:A,0),0),0)</f>
        <v>0</v>
      </c>
      <c r="K5816" s="455">
        <f t="shared" ca="1" si="193"/>
        <v>32049715261882.508</v>
      </c>
      <c r="L5816" s="455">
        <f t="shared" ca="1" si="194"/>
        <v>7723981378113685</v>
      </c>
      <c r="M5816" s="471">
        <f t="shared" si="196"/>
        <v>0.05</v>
      </c>
      <c r="N5816" s="475">
        <f t="shared" si="197"/>
        <v>228065</v>
      </c>
    </row>
    <row r="5817" spans="7:14" ht="11.25" customHeight="1" x14ac:dyDescent="0.3">
      <c r="G5817" s="470"/>
      <c r="H5817" s="470">
        <v>5810</v>
      </c>
      <c r="I5817" s="455">
        <f t="shared" ca="1" si="195"/>
        <v>7723981378113685</v>
      </c>
      <c r="J5817" s="455">
        <f t="array" ref="J5817">IFERROR(INDEX('Retirement Calculator'!K:K,MATCH('Lorri 401b'!N5817,'Retirement Calculator'!A:A,0),0),0)</f>
        <v>0</v>
      </c>
      <c r="K5817" s="455">
        <f t="shared" ca="1" si="193"/>
        <v>32183255742140.355</v>
      </c>
      <c r="L5817" s="455">
        <f t="shared" ca="1" si="194"/>
        <v>7756164633855825</v>
      </c>
      <c r="M5817" s="471">
        <f t="shared" si="196"/>
        <v>0.05</v>
      </c>
      <c r="N5817" s="475">
        <f t="shared" si="197"/>
        <v>228095</v>
      </c>
    </row>
    <row r="5818" spans="7:14" ht="11.25" customHeight="1" x14ac:dyDescent="0.3">
      <c r="G5818" s="470"/>
      <c r="H5818" s="470">
        <v>5811</v>
      </c>
      <c r="I5818" s="455">
        <f t="shared" ca="1" si="195"/>
        <v>7756164633855825</v>
      </c>
      <c r="J5818" s="455">
        <f t="array" ref="J5818">IFERROR(INDEX('Retirement Calculator'!K:K,MATCH('Lorri 401b'!N5818,'Retirement Calculator'!A:A,0),0),0)</f>
        <v>0</v>
      </c>
      <c r="K5818" s="455">
        <f t="shared" ca="1" si="193"/>
        <v>32317352641065.938</v>
      </c>
      <c r="L5818" s="455">
        <f t="shared" ca="1" si="194"/>
        <v>7788481986496891</v>
      </c>
      <c r="M5818" s="471">
        <f t="shared" si="196"/>
        <v>0.05</v>
      </c>
      <c r="N5818" s="475">
        <f t="shared" si="197"/>
        <v>228126</v>
      </c>
    </row>
    <row r="5819" spans="7:14" ht="11.25" customHeight="1" x14ac:dyDescent="0.3">
      <c r="G5819" s="470"/>
      <c r="H5819" s="470">
        <v>5812</v>
      </c>
      <c r="I5819" s="455">
        <f t="shared" ca="1" si="195"/>
        <v>7788481986496891</v>
      </c>
      <c r="J5819" s="455">
        <f t="array" ref="J5819">IFERROR(INDEX('Retirement Calculator'!K:K,MATCH('Lorri 401b'!N5819,'Retirement Calculator'!A:A,0),0),0)</f>
        <v>0</v>
      </c>
      <c r="K5819" s="455">
        <f t="shared" ca="1" si="193"/>
        <v>32452008277070.383</v>
      </c>
      <c r="L5819" s="455">
        <f t="shared" ca="1" si="194"/>
        <v>7820933994773961</v>
      </c>
      <c r="M5819" s="471">
        <f t="shared" si="196"/>
        <v>0.05</v>
      </c>
      <c r="N5819" s="475">
        <f t="shared" si="197"/>
        <v>228157</v>
      </c>
    </row>
    <row r="5820" spans="7:14" ht="11.25" customHeight="1" x14ac:dyDescent="0.3">
      <c r="G5820" s="470"/>
      <c r="H5820" s="470">
        <v>5813</v>
      </c>
      <c r="I5820" s="455">
        <f t="shared" ca="1" si="195"/>
        <v>7820933994773961</v>
      </c>
      <c r="J5820" s="455">
        <f t="array" ref="J5820">IFERROR(INDEX('Retirement Calculator'!K:K,MATCH('Lorri 401b'!N5820,'Retirement Calculator'!A:A,0),0),0)</f>
        <v>0</v>
      </c>
      <c r="K5820" s="455">
        <f t="shared" ca="1" si="193"/>
        <v>32587224978224.836</v>
      </c>
      <c r="L5820" s="455">
        <f t="shared" ca="1" si="194"/>
        <v>7853521219752186</v>
      </c>
      <c r="M5820" s="471">
        <f t="shared" si="196"/>
        <v>0.05</v>
      </c>
      <c r="N5820" s="475">
        <f t="shared" si="197"/>
        <v>228187</v>
      </c>
    </row>
    <row r="5821" spans="7:14" ht="11.25" customHeight="1" x14ac:dyDescent="0.3">
      <c r="G5821" s="470"/>
      <c r="H5821" s="470">
        <v>5814</v>
      </c>
      <c r="I5821" s="455">
        <f t="shared" ca="1" si="195"/>
        <v>7853521219752186</v>
      </c>
      <c r="J5821" s="455">
        <f t="array" ref="J5821">IFERROR(INDEX('Retirement Calculator'!K:K,MATCH('Lorri 401b'!N5821,'Retirement Calculator'!A:A,0),0),0)</f>
        <v>0</v>
      </c>
      <c r="K5821" s="455">
        <f t="shared" ca="1" si="193"/>
        <v>32723005082300.777</v>
      </c>
      <c r="L5821" s="455">
        <f t="shared" ca="1" si="194"/>
        <v>7886244224834487</v>
      </c>
      <c r="M5821" s="471">
        <f t="shared" si="196"/>
        <v>0.05</v>
      </c>
      <c r="N5821" s="475">
        <f t="shared" si="197"/>
        <v>228218</v>
      </c>
    </row>
    <row r="5822" spans="7:14" ht="11.25" customHeight="1" x14ac:dyDescent="0.3">
      <c r="G5822" s="470"/>
      <c r="H5822" s="470">
        <v>5815</v>
      </c>
      <c r="I5822" s="455">
        <f t="shared" ca="1" si="195"/>
        <v>7886244224834487</v>
      </c>
      <c r="J5822" s="455">
        <f t="array" ref="J5822">IFERROR(INDEX('Retirement Calculator'!K:K,MATCH('Lorri 401b'!N5822,'Retirement Calculator'!A:A,0),0),0)</f>
        <v>0</v>
      </c>
      <c r="K5822" s="455">
        <f t="shared" ca="1" si="193"/>
        <v>32859350936810.363</v>
      </c>
      <c r="L5822" s="455">
        <f t="shared" ca="1" si="194"/>
        <v>7919103575771297</v>
      </c>
      <c r="M5822" s="471">
        <f t="shared" si="196"/>
        <v>0.05</v>
      </c>
      <c r="N5822" s="475">
        <f t="shared" si="197"/>
        <v>228248</v>
      </c>
    </row>
    <row r="5823" spans="7:14" ht="11.25" customHeight="1" x14ac:dyDescent="0.3">
      <c r="G5823" s="470"/>
      <c r="H5823" s="470">
        <v>5816</v>
      </c>
      <c r="I5823" s="455">
        <f t="shared" ca="1" si="195"/>
        <v>7919103575771297</v>
      </c>
      <c r="J5823" s="455">
        <f t="array" ref="J5823">IFERROR(INDEX('Retirement Calculator'!K:K,MATCH('Lorri 401b'!N5823,'Retirement Calculator'!A:A,0),0),0)</f>
        <v>0</v>
      </c>
      <c r="K5823" s="455">
        <f t="shared" ca="1" si="193"/>
        <v>32996264899047.07</v>
      </c>
      <c r="L5823" s="455">
        <f t="shared" ca="1" si="194"/>
        <v>7952099840670344</v>
      </c>
      <c r="M5823" s="471">
        <f t="shared" si="196"/>
        <v>0.05</v>
      </c>
      <c r="N5823" s="475">
        <f t="shared" si="197"/>
        <v>228279</v>
      </c>
    </row>
    <row r="5824" spans="7:14" ht="11.25" customHeight="1" x14ac:dyDescent="0.3">
      <c r="G5824" s="470"/>
      <c r="H5824" s="470">
        <v>5817</v>
      </c>
      <c r="I5824" s="455">
        <f t="shared" ca="1" si="195"/>
        <v>7952099840670344</v>
      </c>
      <c r="J5824" s="455">
        <f t="array" ref="J5824">IFERROR(INDEX('Retirement Calculator'!K:K,MATCH('Lorri 401b'!N5824,'Retirement Calculator'!A:A,0),0),0)</f>
        <v>0</v>
      </c>
      <c r="K5824" s="455">
        <f t="shared" ca="1" si="193"/>
        <v>33133749336126.434</v>
      </c>
      <c r="L5824" s="455">
        <f t="shared" ca="1" si="194"/>
        <v>7985233590006470</v>
      </c>
      <c r="M5824" s="471">
        <f t="shared" si="196"/>
        <v>0.05</v>
      </c>
      <c r="N5824" s="475">
        <f t="shared" si="197"/>
        <v>228310</v>
      </c>
    </row>
    <row r="5825" spans="7:14" ht="11.25" customHeight="1" x14ac:dyDescent="0.3">
      <c r="G5825" s="470"/>
      <c r="H5825" s="470">
        <v>5818</v>
      </c>
      <c r="I5825" s="455">
        <f t="shared" ca="1" si="195"/>
        <v>7985233590006470</v>
      </c>
      <c r="J5825" s="455">
        <f t="array" ref="J5825">IFERROR(INDEX('Retirement Calculator'!K:K,MATCH('Lorri 401b'!N5825,'Retirement Calculator'!A:A,0),0),0)</f>
        <v>0</v>
      </c>
      <c r="K5825" s="455">
        <f t="shared" ca="1" si="193"/>
        <v>33271806625026.961</v>
      </c>
      <c r="L5825" s="455">
        <f t="shared" ca="1" si="194"/>
        <v>8018505396631497</v>
      </c>
      <c r="M5825" s="471">
        <f t="shared" si="196"/>
        <v>0.05</v>
      </c>
      <c r="N5825" s="475">
        <f t="shared" si="197"/>
        <v>228338</v>
      </c>
    </row>
    <row r="5826" spans="7:14" ht="11.25" customHeight="1" x14ac:dyDescent="0.3">
      <c r="G5826" s="470"/>
      <c r="H5826" s="470">
        <v>5819</v>
      </c>
      <c r="I5826" s="455">
        <f t="shared" ca="1" si="195"/>
        <v>8018505396631497</v>
      </c>
      <c r="J5826" s="455">
        <f t="array" ref="J5826">IFERROR(INDEX('Retirement Calculator'!K:K,MATCH('Lorri 401b'!N5826,'Retirement Calculator'!A:A,0),0),0)</f>
        <v>0</v>
      </c>
      <c r="K5826" s="455">
        <f t="shared" ca="1" si="193"/>
        <v>33410439152631.238</v>
      </c>
      <c r="L5826" s="455">
        <f t="shared" ca="1" si="194"/>
        <v>8051915835784128</v>
      </c>
      <c r="M5826" s="471">
        <f t="shared" si="196"/>
        <v>0.05</v>
      </c>
      <c r="N5826" s="475">
        <f t="shared" si="197"/>
        <v>228369</v>
      </c>
    </row>
    <row r="5827" spans="7:14" ht="11.25" customHeight="1" x14ac:dyDescent="0.3">
      <c r="G5827" s="470"/>
      <c r="H5827" s="470">
        <v>5820</v>
      </c>
      <c r="I5827" s="455">
        <f t="shared" ca="1" si="195"/>
        <v>8051915835784128</v>
      </c>
      <c r="J5827" s="455">
        <f t="array" ref="J5827">IFERROR(INDEX('Retirement Calculator'!K:K,MATCH('Lorri 401b'!N5827,'Retirement Calculator'!A:A,0),0),0)</f>
        <v>0</v>
      </c>
      <c r="K5827" s="455">
        <f t="shared" ca="1" si="193"/>
        <v>33549649315767.203</v>
      </c>
      <c r="L5827" s="455">
        <f t="shared" ca="1" si="194"/>
        <v>8085465485099895</v>
      </c>
      <c r="M5827" s="471">
        <f t="shared" si="196"/>
        <v>0.05</v>
      </c>
      <c r="N5827" s="475">
        <f t="shared" si="197"/>
        <v>228399</v>
      </c>
    </row>
    <row r="5828" spans="7:14" ht="11.25" customHeight="1" x14ac:dyDescent="0.3">
      <c r="G5828" s="470"/>
      <c r="H5828" s="470">
        <v>5821</v>
      </c>
      <c r="I5828" s="455">
        <f t="shared" ca="1" si="195"/>
        <v>8085465485099895</v>
      </c>
      <c r="J5828" s="455">
        <f t="array" ref="J5828">IFERROR(INDEX('Retirement Calculator'!K:K,MATCH('Lorri 401b'!N5828,'Retirement Calculator'!A:A,0),0),0)</f>
        <v>0</v>
      </c>
      <c r="K5828" s="455">
        <f t="shared" ca="1" si="193"/>
        <v>33689439521249.563</v>
      </c>
      <c r="L5828" s="455">
        <f t="shared" ca="1" si="194"/>
        <v>8119154924621145</v>
      </c>
      <c r="M5828" s="471">
        <f t="shared" si="196"/>
        <v>0.05</v>
      </c>
      <c r="N5828" s="475">
        <f t="shared" si="197"/>
        <v>228430</v>
      </c>
    </row>
    <row r="5829" spans="7:14" ht="11.25" customHeight="1" x14ac:dyDescent="0.3">
      <c r="G5829" s="470"/>
      <c r="H5829" s="470">
        <v>5822</v>
      </c>
      <c r="I5829" s="455">
        <f t="shared" ca="1" si="195"/>
        <v>8119154924621145</v>
      </c>
      <c r="J5829" s="455">
        <f t="array" ref="J5829">IFERROR(INDEX('Retirement Calculator'!K:K,MATCH('Lorri 401b'!N5829,'Retirement Calculator'!A:A,0),0),0)</f>
        <v>0</v>
      </c>
      <c r="K5829" s="455">
        <f t="shared" ca="1" si="193"/>
        <v>33829812185921.438</v>
      </c>
      <c r="L5829" s="455">
        <f t="shared" ca="1" si="194"/>
        <v>8152984736807066</v>
      </c>
      <c r="M5829" s="471">
        <f t="shared" si="196"/>
        <v>0.05</v>
      </c>
      <c r="N5829" s="475">
        <f t="shared" si="197"/>
        <v>228460</v>
      </c>
    </row>
    <row r="5830" spans="7:14" ht="11.25" customHeight="1" x14ac:dyDescent="0.3">
      <c r="G5830" s="470"/>
      <c r="H5830" s="470">
        <v>5823</v>
      </c>
      <c r="I5830" s="455">
        <f t="shared" ca="1" si="195"/>
        <v>8152984736807066</v>
      </c>
      <c r="J5830" s="455">
        <f t="array" ref="J5830">IFERROR(INDEX('Retirement Calculator'!K:K,MATCH('Lorri 401b'!N5830,'Retirement Calculator'!A:A,0),0),0)</f>
        <v>0</v>
      </c>
      <c r="K5830" s="455">
        <f t="shared" ca="1" si="193"/>
        <v>33970769736696.109</v>
      </c>
      <c r="L5830" s="455">
        <f t="shared" ca="1" si="194"/>
        <v>8186955506543762</v>
      </c>
      <c r="M5830" s="471">
        <f t="shared" si="196"/>
        <v>0.05</v>
      </c>
      <c r="N5830" s="475">
        <f t="shared" si="197"/>
        <v>228491</v>
      </c>
    </row>
    <row r="5831" spans="7:14" ht="11.25" customHeight="1" x14ac:dyDescent="0.3">
      <c r="G5831" s="470"/>
      <c r="H5831" s="470">
        <v>5824</v>
      </c>
      <c r="I5831" s="455">
        <f t="shared" ca="1" si="195"/>
        <v>8186955506543762</v>
      </c>
      <c r="J5831" s="455">
        <f t="array" ref="J5831">IFERROR(INDEX('Retirement Calculator'!K:K,MATCH('Lorri 401b'!N5831,'Retirement Calculator'!A:A,0),0),0)</f>
        <v>0</v>
      </c>
      <c r="K5831" s="455">
        <f t="shared" ca="1" si="193"/>
        <v>34112314610599.004</v>
      </c>
      <c r="L5831" s="455">
        <f t="shared" ca="1" si="194"/>
        <v>8221067821154361</v>
      </c>
      <c r="M5831" s="471">
        <f t="shared" si="196"/>
        <v>0.05</v>
      </c>
      <c r="N5831" s="475">
        <f t="shared" si="197"/>
        <v>228522</v>
      </c>
    </row>
    <row r="5832" spans="7:14" ht="11.25" customHeight="1" x14ac:dyDescent="0.3">
      <c r="G5832" s="470"/>
      <c r="H5832" s="470">
        <v>5825</v>
      </c>
      <c r="I5832" s="455">
        <f t="shared" ca="1" si="195"/>
        <v>8221067821154361</v>
      </c>
      <c r="J5832" s="455">
        <f t="array" ref="J5832">IFERROR(INDEX('Retirement Calculator'!K:K,MATCH('Lorri 401b'!N5832,'Retirement Calculator'!A:A,0),0),0)</f>
        <v>0</v>
      </c>
      <c r="K5832" s="455">
        <f t="shared" ca="1" si="193"/>
        <v>34254449254809.836</v>
      </c>
      <c r="L5832" s="455">
        <f t="shared" ca="1" si="194"/>
        <v>8255322270409171</v>
      </c>
      <c r="M5832" s="471">
        <f t="shared" si="196"/>
        <v>0.05</v>
      </c>
      <c r="N5832" s="475">
        <f t="shared" si="197"/>
        <v>228552</v>
      </c>
    </row>
    <row r="5833" spans="7:14" ht="11.25" customHeight="1" x14ac:dyDescent="0.3">
      <c r="G5833" s="470"/>
      <c r="H5833" s="470">
        <v>5826</v>
      </c>
      <c r="I5833" s="455">
        <f t="shared" ca="1" si="195"/>
        <v>8255322270409171</v>
      </c>
      <c r="J5833" s="455">
        <f t="array" ref="J5833">IFERROR(INDEX('Retirement Calculator'!K:K,MATCH('Lorri 401b'!N5833,'Retirement Calculator'!A:A,0),0),0)</f>
        <v>0</v>
      </c>
      <c r="K5833" s="455">
        <f t="shared" ca="1" si="193"/>
        <v>34397176126704.883</v>
      </c>
      <c r="L5833" s="455">
        <f t="shared" ca="1" si="194"/>
        <v>8289719446535876</v>
      </c>
      <c r="M5833" s="471">
        <f t="shared" si="196"/>
        <v>0.05</v>
      </c>
      <c r="N5833" s="475">
        <f t="shared" si="197"/>
        <v>228583</v>
      </c>
    </row>
    <row r="5834" spans="7:14" ht="11.25" customHeight="1" x14ac:dyDescent="0.3">
      <c r="G5834" s="470"/>
      <c r="H5834" s="470">
        <v>5827</v>
      </c>
      <c r="I5834" s="455">
        <f t="shared" ca="1" si="195"/>
        <v>8289719446535876</v>
      </c>
      <c r="J5834" s="455">
        <f t="array" ref="J5834">IFERROR(INDEX('Retirement Calculator'!K:K,MATCH('Lorri 401b'!N5834,'Retirement Calculator'!A:A,0),0),0)</f>
        <v>0</v>
      </c>
      <c r="K5834" s="455">
        <f t="shared" ca="1" si="193"/>
        <v>34540497693899.488</v>
      </c>
      <c r="L5834" s="455">
        <f t="shared" ca="1" si="194"/>
        <v>8324259944229775</v>
      </c>
      <c r="M5834" s="471">
        <f t="shared" si="196"/>
        <v>0.05</v>
      </c>
      <c r="N5834" s="475">
        <f t="shared" si="197"/>
        <v>228613</v>
      </c>
    </row>
    <row r="5835" spans="7:14" ht="11.25" customHeight="1" x14ac:dyDescent="0.3">
      <c r="G5835" s="470"/>
      <c r="H5835" s="470">
        <v>5828</v>
      </c>
      <c r="I5835" s="455">
        <f t="shared" ca="1" si="195"/>
        <v>8324259944229775</v>
      </c>
      <c r="J5835" s="455">
        <f t="array" ref="J5835">IFERROR(INDEX('Retirement Calculator'!K:K,MATCH('Lorri 401b'!N5835,'Retirement Calculator'!A:A,0),0),0)</f>
        <v>0</v>
      </c>
      <c r="K5835" s="455">
        <f t="shared" ca="1" si="193"/>
        <v>34684416434290.723</v>
      </c>
      <c r="L5835" s="455">
        <f t="shared" ca="1" si="194"/>
        <v>8358944360664066</v>
      </c>
      <c r="M5835" s="471">
        <f t="shared" si="196"/>
        <v>0.05</v>
      </c>
      <c r="N5835" s="475">
        <f t="shared" si="197"/>
        <v>228644</v>
      </c>
    </row>
    <row r="5836" spans="7:14" ht="11.25" customHeight="1" x14ac:dyDescent="0.3">
      <c r="G5836" s="470"/>
      <c r="H5836" s="470">
        <v>5829</v>
      </c>
      <c r="I5836" s="455">
        <f t="shared" ca="1" si="195"/>
        <v>8358944360664066</v>
      </c>
      <c r="J5836" s="455">
        <f t="array" ref="J5836">IFERROR(INDEX('Retirement Calculator'!K:K,MATCH('Lorri 401b'!N5836,'Retirement Calculator'!A:A,0),0),0)</f>
        <v>0</v>
      </c>
      <c r="K5836" s="455">
        <f t="shared" ca="1" si="193"/>
        <v>34828934836100.273</v>
      </c>
      <c r="L5836" s="455">
        <f t="shared" ca="1" si="194"/>
        <v>8393773295500166</v>
      </c>
      <c r="M5836" s="471">
        <f t="shared" si="196"/>
        <v>0.05</v>
      </c>
      <c r="N5836" s="475">
        <f t="shared" si="197"/>
        <v>228675</v>
      </c>
    </row>
    <row r="5837" spans="7:14" ht="11.25" customHeight="1" x14ac:dyDescent="0.3">
      <c r="G5837" s="470"/>
      <c r="H5837" s="470">
        <v>5830</v>
      </c>
      <c r="I5837" s="455">
        <f t="shared" ca="1" si="195"/>
        <v>8393773295500166</v>
      </c>
      <c r="J5837" s="455">
        <f t="array" ref="J5837">IFERROR(INDEX('Retirement Calculator'!K:K,MATCH('Lorri 401b'!N5837,'Retirement Calculator'!A:A,0),0),0)</f>
        <v>0</v>
      </c>
      <c r="K5837" s="455">
        <f t="shared" ca="1" si="193"/>
        <v>34974055397917.355</v>
      </c>
      <c r="L5837" s="455">
        <f t="shared" ca="1" si="194"/>
        <v>8428747350898083</v>
      </c>
      <c r="M5837" s="471">
        <f t="shared" si="196"/>
        <v>0.05</v>
      </c>
      <c r="N5837" s="475">
        <f t="shared" si="197"/>
        <v>228703</v>
      </c>
    </row>
    <row r="5838" spans="7:14" ht="11.25" customHeight="1" x14ac:dyDescent="0.3">
      <c r="G5838" s="470"/>
      <c r="H5838" s="470">
        <v>5831</v>
      </c>
      <c r="I5838" s="455">
        <f t="shared" ca="1" si="195"/>
        <v>8428747350898083</v>
      </c>
      <c r="J5838" s="455">
        <f t="array" ref="J5838">IFERROR(INDEX('Retirement Calculator'!K:K,MATCH('Lorri 401b'!N5838,'Retirement Calculator'!A:A,0),0),0)</f>
        <v>0</v>
      </c>
      <c r="K5838" s="455">
        <f t="shared" ca="1" si="193"/>
        <v>35119780628742.016</v>
      </c>
      <c r="L5838" s="455">
        <f t="shared" ca="1" si="194"/>
        <v>8463867131526825</v>
      </c>
      <c r="M5838" s="471">
        <f t="shared" si="196"/>
        <v>0.05</v>
      </c>
      <c r="N5838" s="475">
        <f t="shared" si="197"/>
        <v>228734</v>
      </c>
    </row>
    <row r="5839" spans="7:14" ht="11.25" customHeight="1" x14ac:dyDescent="0.3">
      <c r="G5839" s="470"/>
      <c r="H5839" s="470">
        <v>5832</v>
      </c>
      <c r="I5839" s="455">
        <f t="shared" ca="1" si="195"/>
        <v>8463867131526825</v>
      </c>
      <c r="J5839" s="455">
        <f t="array" ref="J5839">IFERROR(INDEX('Retirement Calculator'!K:K,MATCH('Lorri 401b'!N5839,'Retirement Calculator'!A:A,0),0),0)</f>
        <v>0</v>
      </c>
      <c r="K5839" s="455">
        <f t="shared" ca="1" si="193"/>
        <v>35266113048028.43</v>
      </c>
      <c r="L5839" s="455">
        <f t="shared" ca="1" si="194"/>
        <v>8499133244574853</v>
      </c>
      <c r="M5839" s="471">
        <f t="shared" si="196"/>
        <v>0.05</v>
      </c>
      <c r="N5839" s="475">
        <f t="shared" si="197"/>
        <v>228764</v>
      </c>
    </row>
    <row r="5840" spans="7:14" ht="11.25" customHeight="1" x14ac:dyDescent="0.3">
      <c r="G5840" s="470"/>
      <c r="H5840" s="470">
        <v>5833</v>
      </c>
      <c r="I5840" s="455">
        <f t="shared" ca="1" si="195"/>
        <v>8499133244574853</v>
      </c>
      <c r="J5840" s="455">
        <f t="array" ref="J5840">IFERROR(INDEX('Retirement Calculator'!K:K,MATCH('Lorri 401b'!N5840,'Retirement Calculator'!A:A,0),0),0)</f>
        <v>0</v>
      </c>
      <c r="K5840" s="455">
        <f t="shared" ca="1" si="193"/>
        <v>35413055185728.555</v>
      </c>
      <c r="L5840" s="455">
        <f t="shared" ca="1" si="194"/>
        <v>8534546299760582</v>
      </c>
      <c r="M5840" s="471">
        <f t="shared" si="196"/>
        <v>0.05</v>
      </c>
      <c r="N5840" s="475">
        <f t="shared" si="197"/>
        <v>228795</v>
      </c>
    </row>
    <row r="5841" spans="7:14" ht="11.25" customHeight="1" x14ac:dyDescent="0.3">
      <c r="G5841" s="470"/>
      <c r="H5841" s="470">
        <v>5834</v>
      </c>
      <c r="I5841" s="455">
        <f t="shared" ca="1" si="195"/>
        <v>8534546299760582</v>
      </c>
      <c r="J5841" s="455">
        <f t="array" ref="J5841">IFERROR(INDEX('Retirement Calculator'!K:K,MATCH('Lorri 401b'!N5841,'Retirement Calculator'!A:A,0),0),0)</f>
        <v>0</v>
      </c>
      <c r="K5841" s="455">
        <f t="shared" ca="1" si="193"/>
        <v>35560609582335.766</v>
      </c>
      <c r="L5841" s="455">
        <f t="shared" ca="1" si="194"/>
        <v>8570106909342918</v>
      </c>
      <c r="M5841" s="471">
        <f t="shared" si="196"/>
        <v>0.05</v>
      </c>
      <c r="N5841" s="475">
        <f t="shared" si="197"/>
        <v>228825</v>
      </c>
    </row>
    <row r="5842" spans="7:14" ht="11.25" customHeight="1" x14ac:dyDescent="0.3">
      <c r="G5842" s="470"/>
      <c r="H5842" s="470">
        <v>5835</v>
      </c>
      <c r="I5842" s="455">
        <f t="shared" ca="1" si="195"/>
        <v>8570106909342918</v>
      </c>
      <c r="J5842" s="455">
        <f t="array" ref="J5842">IFERROR(INDEX('Retirement Calculator'!K:K,MATCH('Lorri 401b'!N5842,'Retirement Calculator'!A:A,0),0),0)</f>
        <v>0</v>
      </c>
      <c r="K5842" s="455">
        <f t="shared" ca="1" si="193"/>
        <v>35708778788928.828</v>
      </c>
      <c r="L5842" s="455">
        <f t="shared" ca="1" si="194"/>
        <v>8605815688131847</v>
      </c>
      <c r="M5842" s="471">
        <f t="shared" si="196"/>
        <v>0.05</v>
      </c>
      <c r="N5842" s="475">
        <f t="shared" si="197"/>
        <v>228856</v>
      </c>
    </row>
    <row r="5843" spans="7:14" ht="11.25" customHeight="1" x14ac:dyDescent="0.3">
      <c r="G5843" s="470"/>
      <c r="H5843" s="470">
        <v>5836</v>
      </c>
      <c r="I5843" s="455">
        <f t="shared" ca="1" si="195"/>
        <v>8605815688131847</v>
      </c>
      <c r="J5843" s="455">
        <f t="array" ref="J5843">IFERROR(INDEX('Retirement Calculator'!K:K,MATCH('Lorri 401b'!N5843,'Retirement Calculator'!A:A,0),0),0)</f>
        <v>0</v>
      </c>
      <c r="K5843" s="455">
        <f t="shared" ca="1" si="193"/>
        <v>35857565367216.031</v>
      </c>
      <c r="L5843" s="455">
        <f t="shared" ca="1" si="194"/>
        <v>8641673253499063</v>
      </c>
      <c r="M5843" s="471">
        <f t="shared" si="196"/>
        <v>0.05</v>
      </c>
      <c r="N5843" s="475">
        <f t="shared" si="197"/>
        <v>228887</v>
      </c>
    </row>
    <row r="5844" spans="7:14" ht="11.25" customHeight="1" x14ac:dyDescent="0.3">
      <c r="G5844" s="470"/>
      <c r="H5844" s="470">
        <v>5837</v>
      </c>
      <c r="I5844" s="455">
        <f t="shared" ca="1" si="195"/>
        <v>8641673253499063</v>
      </c>
      <c r="J5844" s="455">
        <f t="array" ref="J5844">IFERROR(INDEX('Retirement Calculator'!K:K,MATCH('Lorri 401b'!N5844,'Retirement Calculator'!A:A,0),0),0)</f>
        <v>0</v>
      </c>
      <c r="K5844" s="455">
        <f t="shared" ca="1" si="193"/>
        <v>36006971889579.43</v>
      </c>
      <c r="L5844" s="455">
        <f t="shared" ca="1" si="194"/>
        <v>8677680225388642</v>
      </c>
      <c r="M5844" s="471">
        <f t="shared" si="196"/>
        <v>0.05</v>
      </c>
      <c r="N5844" s="475">
        <f t="shared" si="197"/>
        <v>228917</v>
      </c>
    </row>
    <row r="5845" spans="7:14" ht="11.25" customHeight="1" x14ac:dyDescent="0.3">
      <c r="G5845" s="470"/>
      <c r="H5845" s="470">
        <v>5838</v>
      </c>
      <c r="I5845" s="455">
        <f t="shared" ca="1" si="195"/>
        <v>8677680225388642</v>
      </c>
      <c r="J5845" s="455">
        <f t="array" ref="J5845">IFERROR(INDEX('Retirement Calculator'!K:K,MATCH('Lorri 401b'!N5845,'Retirement Calculator'!A:A,0),0),0)</f>
        <v>0</v>
      </c>
      <c r="K5845" s="455">
        <f t="shared" ca="1" si="193"/>
        <v>36157000939119.344</v>
      </c>
      <c r="L5845" s="455">
        <f t="shared" ca="1" si="194"/>
        <v>8713837226327761</v>
      </c>
      <c r="M5845" s="471">
        <f t="shared" si="196"/>
        <v>0.05</v>
      </c>
      <c r="N5845" s="475">
        <f t="shared" si="197"/>
        <v>228948</v>
      </c>
    </row>
    <row r="5846" spans="7:14" ht="11.25" customHeight="1" x14ac:dyDescent="0.3">
      <c r="G5846" s="470"/>
      <c r="H5846" s="470">
        <v>5839</v>
      </c>
      <c r="I5846" s="455">
        <f t="shared" ca="1" si="195"/>
        <v>8713837226327761</v>
      </c>
      <c r="J5846" s="455">
        <f t="array" ref="J5846">IFERROR(INDEX('Retirement Calculator'!K:K,MATCH('Lorri 401b'!N5846,'Retirement Calculator'!A:A,0),0),0)</f>
        <v>0</v>
      </c>
      <c r="K5846" s="455">
        <f t="shared" ca="1" si="193"/>
        <v>36307655109699</v>
      </c>
      <c r="L5846" s="455">
        <f t="shared" ca="1" si="194"/>
        <v>8750144881437460</v>
      </c>
      <c r="M5846" s="471">
        <f t="shared" si="196"/>
        <v>0.05</v>
      </c>
      <c r="N5846" s="475">
        <f t="shared" si="197"/>
        <v>228978</v>
      </c>
    </row>
    <row r="5847" spans="7:14" ht="11.25" customHeight="1" x14ac:dyDescent="0.3">
      <c r="G5847" s="470"/>
      <c r="H5847" s="470">
        <v>5840</v>
      </c>
      <c r="I5847" s="455">
        <f t="shared" ca="1" si="195"/>
        <v>8750144881437460</v>
      </c>
      <c r="J5847" s="455">
        <f t="array" ref="J5847">IFERROR(INDEX('Retirement Calculator'!K:K,MATCH('Lorri 401b'!N5847,'Retirement Calculator'!A:A,0),0),0)</f>
        <v>0</v>
      </c>
      <c r="K5847" s="455">
        <f t="shared" ca="1" si="193"/>
        <v>36458937005989.414</v>
      </c>
      <c r="L5847" s="455">
        <f t="shared" ca="1" si="194"/>
        <v>8786603818443449</v>
      </c>
      <c r="M5847" s="471">
        <f t="shared" si="196"/>
        <v>0.05</v>
      </c>
      <c r="N5847" s="475">
        <f t="shared" si="197"/>
        <v>229009</v>
      </c>
    </row>
    <row r="5848" spans="7:14" ht="11.25" customHeight="1" x14ac:dyDescent="0.3">
      <c r="G5848" s="470"/>
      <c r="H5848" s="470">
        <v>5841</v>
      </c>
      <c r="I5848" s="455">
        <f t="shared" ca="1" si="195"/>
        <v>8786603818443449</v>
      </c>
      <c r="J5848" s="455">
        <f t="array" ref="J5848">IFERROR(INDEX('Retirement Calculator'!K:K,MATCH('Lorri 401b'!N5848,'Retirement Calculator'!A:A,0),0),0)</f>
        <v>0</v>
      </c>
      <c r="K5848" s="455">
        <f t="shared" ca="1" si="193"/>
        <v>36610849243514.367</v>
      </c>
      <c r="L5848" s="455">
        <f t="shared" ca="1" si="194"/>
        <v>8823214667686963</v>
      </c>
      <c r="M5848" s="471">
        <f t="shared" si="196"/>
        <v>0.05</v>
      </c>
      <c r="N5848" s="475">
        <f t="shared" si="197"/>
        <v>229040</v>
      </c>
    </row>
    <row r="5849" spans="7:14" ht="11.25" customHeight="1" x14ac:dyDescent="0.3">
      <c r="G5849" s="470"/>
      <c r="H5849" s="470">
        <v>5842</v>
      </c>
      <c r="I5849" s="455">
        <f t="shared" ca="1" si="195"/>
        <v>8823214667686963</v>
      </c>
      <c r="J5849" s="455">
        <f t="array" ref="J5849">IFERROR(INDEX('Retirement Calculator'!K:K,MATCH('Lorri 401b'!N5849,'Retirement Calculator'!A:A,0),0),0)</f>
        <v>0</v>
      </c>
      <c r="K5849" s="455">
        <f t="shared" ca="1" si="193"/>
        <v>36763394448695.68</v>
      </c>
      <c r="L5849" s="455">
        <f t="shared" ca="1" si="194"/>
        <v>8859978062135659</v>
      </c>
      <c r="M5849" s="471">
        <f t="shared" si="196"/>
        <v>0.05</v>
      </c>
      <c r="N5849" s="475">
        <f t="shared" si="197"/>
        <v>229068</v>
      </c>
    </row>
    <row r="5850" spans="7:14" ht="11.25" customHeight="1" x14ac:dyDescent="0.3">
      <c r="G5850" s="470"/>
      <c r="H5850" s="470">
        <v>5843</v>
      </c>
      <c r="I5850" s="455">
        <f t="shared" ca="1" si="195"/>
        <v>8859978062135659</v>
      </c>
      <c r="J5850" s="455">
        <f t="array" ref="J5850">IFERROR(INDEX('Retirement Calculator'!K:K,MATCH('Lorri 401b'!N5850,'Retirement Calculator'!A:A,0),0),0)</f>
        <v>0</v>
      </c>
      <c r="K5850" s="455">
        <f t="shared" ca="1" si="193"/>
        <v>36916575258898.578</v>
      </c>
      <c r="L5850" s="455">
        <f t="shared" ca="1" si="194"/>
        <v>8896894637394558</v>
      </c>
      <c r="M5850" s="471">
        <f t="shared" si="196"/>
        <v>0.05</v>
      </c>
      <c r="N5850" s="475">
        <f t="shared" si="197"/>
        <v>229099</v>
      </c>
    </row>
    <row r="5851" spans="7:14" ht="11.25" customHeight="1" x14ac:dyDescent="0.3">
      <c r="G5851" s="470"/>
      <c r="H5851" s="470">
        <v>5844</v>
      </c>
      <c r="I5851" s="455">
        <f t="shared" ca="1" si="195"/>
        <v>8896894637394558</v>
      </c>
      <c r="J5851" s="455">
        <f t="array" ref="J5851">IFERROR(INDEX('Retirement Calculator'!K:K,MATCH('Lorri 401b'!N5851,'Retirement Calculator'!A:A,0),0),0)</f>
        <v>0</v>
      </c>
      <c r="K5851" s="455">
        <f t="shared" ca="1" si="193"/>
        <v>37070394322477.328</v>
      </c>
      <c r="L5851" s="455">
        <f t="shared" ca="1" si="194"/>
        <v>8933965031717035</v>
      </c>
      <c r="M5851" s="471">
        <f t="shared" si="196"/>
        <v>0.05</v>
      </c>
      <c r="N5851" s="475">
        <f t="shared" si="197"/>
        <v>229129</v>
      </c>
    </row>
    <row r="5852" spans="7:14" ht="11.25" customHeight="1" x14ac:dyDescent="0.3">
      <c r="G5852" s="470"/>
      <c r="H5852" s="470">
        <v>5845</v>
      </c>
      <c r="I5852" s="455">
        <f t="shared" ca="1" si="195"/>
        <v>8933965031717035</v>
      </c>
      <c r="J5852" s="455">
        <f t="array" ref="J5852">IFERROR(INDEX('Retirement Calculator'!K:K,MATCH('Lorri 401b'!N5852,'Retirement Calculator'!A:A,0),0),0)</f>
        <v>0</v>
      </c>
      <c r="K5852" s="455">
        <f t="shared" ca="1" si="193"/>
        <v>37224854298820.977</v>
      </c>
      <c r="L5852" s="455">
        <f t="shared" ca="1" si="194"/>
        <v>8971189886015856</v>
      </c>
      <c r="M5852" s="471">
        <f t="shared" si="196"/>
        <v>0.05</v>
      </c>
      <c r="N5852" s="475">
        <f t="shared" si="197"/>
        <v>229160</v>
      </c>
    </row>
    <row r="5853" spans="7:14" ht="11.25" customHeight="1" x14ac:dyDescent="0.3">
      <c r="G5853" s="470"/>
      <c r="H5853" s="470">
        <v>5846</v>
      </c>
      <c r="I5853" s="455">
        <f t="shared" ca="1" si="195"/>
        <v>8971189886015856</v>
      </c>
      <c r="J5853" s="455">
        <f t="array" ref="J5853">IFERROR(INDEX('Retirement Calculator'!K:K,MATCH('Lorri 401b'!N5853,'Retirement Calculator'!A:A,0),0),0)</f>
        <v>0</v>
      </c>
      <c r="K5853" s="455">
        <f t="shared" ca="1" si="193"/>
        <v>37379957858399.398</v>
      </c>
      <c r="L5853" s="455">
        <f t="shared" ca="1" si="194"/>
        <v>9008569843874256</v>
      </c>
      <c r="M5853" s="471">
        <f t="shared" si="196"/>
        <v>0.05</v>
      </c>
      <c r="N5853" s="475">
        <f t="shared" si="197"/>
        <v>229190</v>
      </c>
    </row>
    <row r="5854" spans="7:14" ht="11.25" customHeight="1" x14ac:dyDescent="0.3">
      <c r="G5854" s="470"/>
      <c r="H5854" s="470">
        <v>5847</v>
      </c>
      <c r="I5854" s="455">
        <f t="shared" ca="1" si="195"/>
        <v>9008569843874256</v>
      </c>
      <c r="J5854" s="455">
        <f t="array" ref="J5854">IFERROR(INDEX('Retirement Calculator'!K:K,MATCH('Lorri 401b'!N5854,'Retirement Calculator'!A:A,0),0),0)</f>
        <v>0</v>
      </c>
      <c r="K5854" s="455">
        <f t="shared" ca="1" si="193"/>
        <v>37535707682809.398</v>
      </c>
      <c r="L5854" s="455">
        <f t="shared" ca="1" si="194"/>
        <v>9046105551557066</v>
      </c>
      <c r="M5854" s="471">
        <f t="shared" si="196"/>
        <v>0.05</v>
      </c>
      <c r="N5854" s="475">
        <f t="shared" si="197"/>
        <v>229221</v>
      </c>
    </row>
    <row r="5855" spans="7:14" ht="11.25" customHeight="1" x14ac:dyDescent="0.3">
      <c r="G5855" s="470"/>
      <c r="H5855" s="470">
        <v>5848</v>
      </c>
      <c r="I5855" s="455">
        <f t="shared" ca="1" si="195"/>
        <v>9046105551557066</v>
      </c>
      <c r="J5855" s="455">
        <f t="array" ref="J5855">IFERROR(INDEX('Retirement Calculator'!K:K,MATCH('Lorri 401b'!N5855,'Retirement Calculator'!A:A,0),0),0)</f>
        <v>0</v>
      </c>
      <c r="K5855" s="455">
        <f t="shared" ca="1" si="193"/>
        <v>37692106464821.109</v>
      </c>
      <c r="L5855" s="455">
        <f t="shared" ca="1" si="194"/>
        <v>9083797658021888</v>
      </c>
      <c r="M5855" s="471">
        <f t="shared" si="196"/>
        <v>0.05</v>
      </c>
      <c r="N5855" s="475">
        <f t="shared" si="197"/>
        <v>229252</v>
      </c>
    </row>
    <row r="5856" spans="7:14" ht="11.25" customHeight="1" x14ac:dyDescent="0.3">
      <c r="G5856" s="470"/>
      <c r="H5856" s="470">
        <v>5849</v>
      </c>
      <c r="I5856" s="455">
        <f t="shared" ca="1" si="195"/>
        <v>9083797658021888</v>
      </c>
      <c r="J5856" s="455">
        <f t="array" ref="J5856">IFERROR(INDEX('Retirement Calculator'!K:K,MATCH('Lorri 401b'!N5856,'Retirement Calculator'!A:A,0),0),0)</f>
        <v>0</v>
      </c>
      <c r="K5856" s="455">
        <f t="shared" ca="1" si="193"/>
        <v>37849156908424.531</v>
      </c>
      <c r="L5856" s="455">
        <f t="shared" ca="1" si="194"/>
        <v>9121646814930312</v>
      </c>
      <c r="M5856" s="471">
        <f t="shared" si="196"/>
        <v>0.05</v>
      </c>
      <c r="N5856" s="475">
        <f t="shared" si="197"/>
        <v>229282</v>
      </c>
    </row>
    <row r="5857" spans="7:14" ht="11.25" customHeight="1" x14ac:dyDescent="0.3">
      <c r="G5857" s="470"/>
      <c r="H5857" s="470">
        <v>5850</v>
      </c>
      <c r="I5857" s="455">
        <f t="shared" ca="1" si="195"/>
        <v>9121646814930312</v>
      </c>
      <c r="J5857" s="455">
        <f t="array" ref="J5857">IFERROR(INDEX('Retirement Calculator'!K:K,MATCH('Lorri 401b'!N5857,'Retirement Calculator'!A:A,0),0),0)</f>
        <v>0</v>
      </c>
      <c r="K5857" s="455">
        <f t="shared" ca="1" si="193"/>
        <v>38006861728876.297</v>
      </c>
      <c r="L5857" s="455">
        <f t="shared" ca="1" si="194"/>
        <v>9159653676659188</v>
      </c>
      <c r="M5857" s="471">
        <f t="shared" si="196"/>
        <v>0.05</v>
      </c>
      <c r="N5857" s="475">
        <f t="shared" si="197"/>
        <v>229313</v>
      </c>
    </row>
    <row r="5858" spans="7:14" ht="11.25" customHeight="1" x14ac:dyDescent="0.3">
      <c r="G5858" s="470"/>
      <c r="H5858" s="470">
        <v>5851</v>
      </c>
      <c r="I5858" s="455">
        <f t="shared" ca="1" si="195"/>
        <v>9159653676659188</v>
      </c>
      <c r="J5858" s="455">
        <f t="array" ref="J5858">IFERROR(INDEX('Retirement Calculator'!K:K,MATCH('Lorri 401b'!N5858,'Retirement Calculator'!A:A,0),0),0)</f>
        <v>0</v>
      </c>
      <c r="K5858" s="455">
        <f t="shared" ca="1" si="193"/>
        <v>38165223652746.617</v>
      </c>
      <c r="L5858" s="455">
        <f t="shared" ca="1" si="194"/>
        <v>9197818900311934</v>
      </c>
      <c r="M5858" s="471">
        <f t="shared" si="196"/>
        <v>0.05</v>
      </c>
      <c r="N5858" s="475">
        <f t="shared" si="197"/>
        <v>229343</v>
      </c>
    </row>
    <row r="5859" spans="7:14" ht="11.25" customHeight="1" x14ac:dyDescent="0.3">
      <c r="G5859" s="470"/>
      <c r="H5859" s="470">
        <v>5852</v>
      </c>
      <c r="I5859" s="455">
        <f t="shared" ca="1" si="195"/>
        <v>9197818900311934</v>
      </c>
      <c r="J5859" s="455">
        <f t="array" ref="J5859">IFERROR(INDEX('Retirement Calculator'!K:K,MATCH('Lorri 401b'!N5859,'Retirement Calculator'!A:A,0),0),0)</f>
        <v>0</v>
      </c>
      <c r="K5859" s="455">
        <f t="shared" ca="1" si="193"/>
        <v>38324245417966.391</v>
      </c>
      <c r="L5859" s="455">
        <f t="shared" ca="1" si="194"/>
        <v>9236143145729900</v>
      </c>
      <c r="M5859" s="471">
        <f t="shared" si="196"/>
        <v>0.05</v>
      </c>
      <c r="N5859" s="475">
        <f t="shared" si="197"/>
        <v>229374</v>
      </c>
    </row>
    <row r="5860" spans="7:14" ht="11.25" customHeight="1" x14ac:dyDescent="0.3">
      <c r="G5860" s="470"/>
      <c r="H5860" s="470">
        <v>5853</v>
      </c>
      <c r="I5860" s="455">
        <f t="shared" ca="1" si="195"/>
        <v>9236143145729900</v>
      </c>
      <c r="J5860" s="455">
        <f t="array" ref="J5860">IFERROR(INDEX('Retirement Calculator'!K:K,MATCH('Lorri 401b'!N5860,'Retirement Calculator'!A:A,0),0),0)</f>
        <v>0</v>
      </c>
      <c r="K5860" s="455">
        <f t="shared" ca="1" si="193"/>
        <v>38483929773874.586</v>
      </c>
      <c r="L5860" s="455">
        <f t="shared" ca="1" si="194"/>
        <v>9274627075503774</v>
      </c>
      <c r="M5860" s="471">
        <f t="shared" si="196"/>
        <v>0.05</v>
      </c>
      <c r="N5860" s="475">
        <f t="shared" si="197"/>
        <v>229405</v>
      </c>
    </row>
    <row r="5861" spans="7:14" ht="11.25" customHeight="1" x14ac:dyDescent="0.3">
      <c r="G5861" s="470"/>
      <c r="H5861" s="470">
        <v>5854</v>
      </c>
      <c r="I5861" s="455">
        <f t="shared" ca="1" si="195"/>
        <v>9274627075503774</v>
      </c>
      <c r="J5861" s="455">
        <f t="array" ref="J5861">IFERROR(INDEX('Retirement Calculator'!K:K,MATCH('Lorri 401b'!N5861,'Retirement Calculator'!A:A,0),0),0)</f>
        <v>0</v>
      </c>
      <c r="K5861" s="455">
        <f t="shared" ca="1" si="193"/>
        <v>38644279481265.727</v>
      </c>
      <c r="L5861" s="455">
        <f t="shared" ca="1" si="194"/>
        <v>9313271354985040</v>
      </c>
      <c r="M5861" s="471">
        <f t="shared" si="196"/>
        <v>0.05</v>
      </c>
      <c r="N5861" s="475">
        <f t="shared" si="197"/>
        <v>229434</v>
      </c>
    </row>
    <row r="5862" spans="7:14" ht="11.25" customHeight="1" x14ac:dyDescent="0.3">
      <c r="G5862" s="470"/>
      <c r="H5862" s="470">
        <v>5855</v>
      </c>
      <c r="I5862" s="455">
        <f t="shared" ca="1" si="195"/>
        <v>9313271354985040</v>
      </c>
      <c r="J5862" s="455">
        <f t="array" ref="J5862">IFERROR(INDEX('Retirement Calculator'!K:K,MATCH('Lorri 401b'!N5862,'Retirement Calculator'!A:A,0),0),0)</f>
        <v>0</v>
      </c>
      <c r="K5862" s="455">
        <f t="shared" ca="1" si="193"/>
        <v>38805297312437.664</v>
      </c>
      <c r="L5862" s="455">
        <f t="shared" ca="1" si="194"/>
        <v>9352076652297478</v>
      </c>
      <c r="M5862" s="471">
        <f t="shared" si="196"/>
        <v>0.05</v>
      </c>
      <c r="N5862" s="475">
        <f t="shared" si="197"/>
        <v>229465</v>
      </c>
    </row>
    <row r="5863" spans="7:14" ht="11.25" customHeight="1" x14ac:dyDescent="0.3">
      <c r="G5863" s="470"/>
      <c r="H5863" s="470">
        <v>5856</v>
      </c>
      <c r="I5863" s="455">
        <f t="shared" ca="1" si="195"/>
        <v>9352076652297478</v>
      </c>
      <c r="J5863" s="455">
        <f t="array" ref="J5863">IFERROR(INDEX('Retirement Calculator'!K:K,MATCH('Lorri 401b'!N5863,'Retirement Calculator'!A:A,0),0),0)</f>
        <v>0</v>
      </c>
      <c r="K5863" s="455">
        <f t="shared" ca="1" si="193"/>
        <v>38966986051239.492</v>
      </c>
      <c r="L5863" s="455">
        <f t="shared" ca="1" si="194"/>
        <v>9391043638348718</v>
      </c>
      <c r="M5863" s="471">
        <f t="shared" si="196"/>
        <v>0.05</v>
      </c>
      <c r="N5863" s="475">
        <f t="shared" si="197"/>
        <v>229495</v>
      </c>
    </row>
    <row r="5864" spans="7:14" ht="11.25" customHeight="1" x14ac:dyDescent="0.3">
      <c r="G5864" s="470"/>
      <c r="H5864" s="470">
        <v>5857</v>
      </c>
      <c r="I5864" s="455">
        <f t="shared" ca="1" si="195"/>
        <v>9391043638348718</v>
      </c>
      <c r="J5864" s="455">
        <f t="array" ref="J5864">IFERROR(INDEX('Retirement Calculator'!K:K,MATCH('Lorri 401b'!N5864,'Retirement Calculator'!A:A,0),0),0)</f>
        <v>0</v>
      </c>
      <c r="K5864" s="455">
        <f t="shared" ca="1" si="193"/>
        <v>39129348493119.656</v>
      </c>
      <c r="L5864" s="455">
        <f t="shared" ca="1" si="194"/>
        <v>9430172986841838</v>
      </c>
      <c r="M5864" s="471">
        <f t="shared" si="196"/>
        <v>0.05</v>
      </c>
      <c r="N5864" s="475">
        <f t="shared" si="197"/>
        <v>229526</v>
      </c>
    </row>
    <row r="5865" spans="7:14" ht="11.25" customHeight="1" x14ac:dyDescent="0.3">
      <c r="G5865" s="470"/>
      <c r="H5865" s="470">
        <v>5858</v>
      </c>
      <c r="I5865" s="455">
        <f t="shared" ca="1" si="195"/>
        <v>9430172986841838</v>
      </c>
      <c r="J5865" s="455">
        <f t="array" ref="J5865">IFERROR(INDEX('Retirement Calculator'!K:K,MATCH('Lorri 401b'!N5865,'Retirement Calculator'!A:A,0),0),0)</f>
        <v>0</v>
      </c>
      <c r="K5865" s="455">
        <f t="shared" ca="1" si="193"/>
        <v>39292387445174.328</v>
      </c>
      <c r="L5865" s="455">
        <f t="shared" ca="1" si="194"/>
        <v>9469465374287012</v>
      </c>
      <c r="M5865" s="471">
        <f t="shared" si="196"/>
        <v>0.05</v>
      </c>
      <c r="N5865" s="475">
        <f t="shared" si="197"/>
        <v>229556</v>
      </c>
    </row>
    <row r="5866" spans="7:14" ht="11.25" customHeight="1" x14ac:dyDescent="0.3">
      <c r="G5866" s="470"/>
      <c r="H5866" s="470">
        <v>5859</v>
      </c>
      <c r="I5866" s="455">
        <f t="shared" ca="1" si="195"/>
        <v>9469465374287012</v>
      </c>
      <c r="J5866" s="455">
        <f t="array" ref="J5866">IFERROR(INDEX('Retirement Calculator'!K:K,MATCH('Lorri 401b'!N5866,'Retirement Calculator'!A:A,0),0),0)</f>
        <v>0</v>
      </c>
      <c r="K5866" s="455">
        <f t="shared" ca="1" si="193"/>
        <v>39456105726195.883</v>
      </c>
      <c r="L5866" s="455">
        <f t="shared" ca="1" si="194"/>
        <v>9508921480013208</v>
      </c>
      <c r="M5866" s="471">
        <f t="shared" si="196"/>
        <v>0.05</v>
      </c>
      <c r="N5866" s="475">
        <f t="shared" si="197"/>
        <v>229587</v>
      </c>
    </row>
    <row r="5867" spans="7:14" ht="11.25" customHeight="1" x14ac:dyDescent="0.3">
      <c r="G5867" s="470"/>
      <c r="H5867" s="470">
        <v>5860</v>
      </c>
      <c r="I5867" s="455">
        <f t="shared" ca="1" si="195"/>
        <v>9508921480013208</v>
      </c>
      <c r="J5867" s="455">
        <f t="array" ref="J5867">IFERROR(INDEX('Retirement Calculator'!K:K,MATCH('Lorri 401b'!N5867,'Retirement Calculator'!A:A,0),0),0)</f>
        <v>0</v>
      </c>
      <c r="K5867" s="455">
        <f t="shared" ca="1" si="193"/>
        <v>39620506166721.703</v>
      </c>
      <c r="L5867" s="455">
        <f t="shared" ca="1" si="194"/>
        <v>9548541986179930</v>
      </c>
      <c r="M5867" s="471">
        <f t="shared" si="196"/>
        <v>0.05</v>
      </c>
      <c r="N5867" s="475">
        <f t="shared" si="197"/>
        <v>229618</v>
      </c>
    </row>
    <row r="5868" spans="7:14" ht="11.25" customHeight="1" x14ac:dyDescent="0.3">
      <c r="G5868" s="470"/>
      <c r="H5868" s="470">
        <v>5861</v>
      </c>
      <c r="I5868" s="455">
        <f t="shared" ca="1" si="195"/>
        <v>9548541986179930</v>
      </c>
      <c r="J5868" s="455">
        <f t="array" ref="J5868">IFERROR(INDEX('Retirement Calculator'!K:K,MATCH('Lorri 401b'!N5868,'Retirement Calculator'!A:A,0),0),0)</f>
        <v>0</v>
      </c>
      <c r="K5868" s="455">
        <f t="shared" ca="1" si="193"/>
        <v>39785591609083.039</v>
      </c>
      <c r="L5868" s="455">
        <f t="shared" ca="1" si="194"/>
        <v>9588327577789014</v>
      </c>
      <c r="M5868" s="471">
        <f t="shared" si="196"/>
        <v>0.05</v>
      </c>
      <c r="N5868" s="475">
        <f t="shared" si="197"/>
        <v>229648</v>
      </c>
    </row>
    <row r="5869" spans="7:14" ht="11.25" customHeight="1" x14ac:dyDescent="0.3">
      <c r="G5869" s="470"/>
      <c r="H5869" s="470">
        <v>5862</v>
      </c>
      <c r="I5869" s="455">
        <f t="shared" ca="1" si="195"/>
        <v>9588327577789014</v>
      </c>
      <c r="J5869" s="455">
        <f t="array" ref="J5869">IFERROR(INDEX('Retirement Calculator'!K:K,MATCH('Lorri 401b'!N5869,'Retirement Calculator'!A:A,0),0),0)</f>
        <v>0</v>
      </c>
      <c r="K5869" s="455">
        <f t="shared" ca="1" si="193"/>
        <v>39951364907454.227</v>
      </c>
      <c r="L5869" s="455">
        <f t="shared" ca="1" si="194"/>
        <v>9628278942696468</v>
      </c>
      <c r="M5869" s="471">
        <f t="shared" si="196"/>
        <v>0.05</v>
      </c>
      <c r="N5869" s="475">
        <f t="shared" si="197"/>
        <v>229679</v>
      </c>
    </row>
    <row r="5870" spans="7:14" ht="11.25" customHeight="1" x14ac:dyDescent="0.3">
      <c r="G5870" s="470"/>
      <c r="H5870" s="470">
        <v>5863</v>
      </c>
      <c r="I5870" s="455">
        <f t="shared" ca="1" si="195"/>
        <v>9628278942696468</v>
      </c>
      <c r="J5870" s="455">
        <f t="array" ref="J5870">IFERROR(INDEX('Retirement Calculator'!K:K,MATCH('Lorri 401b'!N5870,'Retirement Calculator'!A:A,0),0),0)</f>
        <v>0</v>
      </c>
      <c r="K5870" s="455">
        <f t="shared" ca="1" si="193"/>
        <v>40117828927901.953</v>
      </c>
      <c r="L5870" s="455">
        <f t="shared" ca="1" si="194"/>
        <v>9668396771624370</v>
      </c>
      <c r="M5870" s="471">
        <f t="shared" si="196"/>
        <v>0.05</v>
      </c>
      <c r="N5870" s="475">
        <f t="shared" si="197"/>
        <v>229709</v>
      </c>
    </row>
    <row r="5871" spans="7:14" ht="11.25" customHeight="1" x14ac:dyDescent="0.3">
      <c r="G5871" s="470"/>
      <c r="H5871" s="470">
        <v>5864</v>
      </c>
      <c r="I5871" s="455">
        <f t="shared" ca="1" si="195"/>
        <v>9668396771624370</v>
      </c>
      <c r="J5871" s="455">
        <f t="array" ref="J5871">IFERROR(INDEX('Retirement Calculator'!K:K,MATCH('Lorri 401b'!N5871,'Retirement Calculator'!A:A,0),0),0)</f>
        <v>0</v>
      </c>
      <c r="K5871" s="455">
        <f t="shared" ca="1" si="193"/>
        <v>40284986548434.875</v>
      </c>
      <c r="L5871" s="455">
        <f t="shared" ca="1" si="194"/>
        <v>9708681758172804</v>
      </c>
      <c r="M5871" s="471">
        <f t="shared" si="196"/>
        <v>0.05</v>
      </c>
      <c r="N5871" s="475">
        <f t="shared" si="197"/>
        <v>229740</v>
      </c>
    </row>
    <row r="5872" spans="7:14" ht="11.25" customHeight="1" x14ac:dyDescent="0.3">
      <c r="G5872" s="470"/>
      <c r="H5872" s="470">
        <v>5865</v>
      </c>
      <c r="I5872" s="455">
        <f t="shared" ca="1" si="195"/>
        <v>9708681758172804</v>
      </c>
      <c r="J5872" s="455">
        <f t="array" ref="J5872">IFERROR(INDEX('Retirement Calculator'!K:K,MATCH('Lorri 401b'!N5872,'Retirement Calculator'!A:A,0),0),0)</f>
        <v>0</v>
      </c>
      <c r="K5872" s="455">
        <f t="shared" ca="1" si="193"/>
        <v>40452840659053.352</v>
      </c>
      <c r="L5872" s="455">
        <f t="shared" ca="1" si="194"/>
        <v>9749134598831858</v>
      </c>
      <c r="M5872" s="471">
        <f t="shared" si="196"/>
        <v>0.05</v>
      </c>
      <c r="N5872" s="475">
        <f t="shared" si="197"/>
        <v>229771</v>
      </c>
    </row>
    <row r="5873" spans="7:14" ht="11.25" customHeight="1" x14ac:dyDescent="0.3">
      <c r="G5873" s="470"/>
      <c r="H5873" s="470">
        <v>5866</v>
      </c>
      <c r="I5873" s="455">
        <f t="shared" ca="1" si="195"/>
        <v>9749134598831858</v>
      </c>
      <c r="J5873" s="455">
        <f t="array" ref="J5873">IFERROR(INDEX('Retirement Calculator'!K:K,MATCH('Lorri 401b'!N5873,'Retirement Calculator'!A:A,0),0),0)</f>
        <v>0</v>
      </c>
      <c r="K5873" s="455">
        <f t="shared" ref="K5873:K6127" ca="1" si="198">IPMT(M5873/12,1,12,-I5873+J5873,,0)</f>
        <v>40621394161799.406</v>
      </c>
      <c r="L5873" s="455">
        <f t="shared" ref="L5873:L6127" ca="1" si="199">I5873-J5873+K5873</f>
        <v>9789755992993658</v>
      </c>
      <c r="M5873" s="471">
        <f t="shared" si="196"/>
        <v>0.05</v>
      </c>
      <c r="N5873" s="475">
        <f t="shared" si="197"/>
        <v>229799</v>
      </c>
    </row>
    <row r="5874" spans="7:14" ht="11.25" customHeight="1" x14ac:dyDescent="0.3">
      <c r="G5874" s="470"/>
      <c r="H5874" s="470">
        <v>5867</v>
      </c>
      <c r="I5874" s="455">
        <f t="shared" ref="I5874:I6128" ca="1" si="200">L5873</f>
        <v>9789755992993658</v>
      </c>
      <c r="J5874" s="455">
        <f t="array" ref="J5874">IFERROR(INDEX('Retirement Calculator'!K:K,MATCH('Lorri 401b'!N5874,'Retirement Calculator'!A:A,0),0),0)</f>
        <v>0</v>
      </c>
      <c r="K5874" s="455">
        <f t="shared" ca="1" si="198"/>
        <v>40790649970806.906</v>
      </c>
      <c r="L5874" s="455">
        <f t="shared" ca="1" si="199"/>
        <v>9830546642964464</v>
      </c>
      <c r="M5874" s="471">
        <f t="shared" ref="M5874:M6128" si="201">M5873</f>
        <v>0.05</v>
      </c>
      <c r="N5874" s="475">
        <f t="shared" ref="N5874:N6128" si="202">EDATE(N5873,1)</f>
        <v>229830</v>
      </c>
    </row>
    <row r="5875" spans="7:14" ht="11.25" customHeight="1" x14ac:dyDescent="0.3">
      <c r="G5875" s="470"/>
      <c r="H5875" s="470">
        <v>5868</v>
      </c>
      <c r="I5875" s="455">
        <f t="shared" ca="1" si="200"/>
        <v>9830546642964464</v>
      </c>
      <c r="J5875" s="455">
        <f t="array" ref="J5875">IFERROR(INDEX('Retirement Calculator'!K:K,MATCH('Lorri 401b'!N5875,'Retirement Calculator'!A:A,0),0),0)</f>
        <v>0</v>
      </c>
      <c r="K5875" s="455">
        <f t="shared" ca="1" si="198"/>
        <v>40960611012351.93</v>
      </c>
      <c r="L5875" s="455">
        <f t="shared" ca="1" si="199"/>
        <v>9871507253976816</v>
      </c>
      <c r="M5875" s="471">
        <f t="shared" si="201"/>
        <v>0.05</v>
      </c>
      <c r="N5875" s="475">
        <f t="shared" si="202"/>
        <v>229860</v>
      </c>
    </row>
    <row r="5876" spans="7:14" ht="11.25" customHeight="1" x14ac:dyDescent="0.3">
      <c r="G5876" s="470"/>
      <c r="H5876" s="470">
        <v>5869</v>
      </c>
      <c r="I5876" s="455">
        <f t="shared" ca="1" si="200"/>
        <v>9871507253976816</v>
      </c>
      <c r="J5876" s="455">
        <f t="array" ref="J5876">IFERROR(INDEX('Retirement Calculator'!K:K,MATCH('Lorri 401b'!N5876,'Retirement Calculator'!A:A,0),0),0)</f>
        <v>0</v>
      </c>
      <c r="K5876" s="455">
        <f t="shared" ca="1" si="198"/>
        <v>41131280224903.398</v>
      </c>
      <c r="L5876" s="455">
        <f t="shared" ca="1" si="199"/>
        <v>9912638534201720</v>
      </c>
      <c r="M5876" s="471">
        <f t="shared" si="201"/>
        <v>0.05</v>
      </c>
      <c r="N5876" s="475">
        <f t="shared" si="202"/>
        <v>229891</v>
      </c>
    </row>
    <row r="5877" spans="7:14" ht="11.25" customHeight="1" x14ac:dyDescent="0.3">
      <c r="G5877" s="470"/>
      <c r="H5877" s="470">
        <v>5870</v>
      </c>
      <c r="I5877" s="455">
        <f t="shared" ca="1" si="200"/>
        <v>9912638534201720</v>
      </c>
      <c r="J5877" s="455">
        <f t="array" ref="J5877">IFERROR(INDEX('Retirement Calculator'!K:K,MATCH('Lorri 401b'!N5877,'Retirement Calculator'!A:A,0),0),0)</f>
        <v>0</v>
      </c>
      <c r="K5877" s="455">
        <f t="shared" ca="1" si="198"/>
        <v>41302660559173.836</v>
      </c>
      <c r="L5877" s="455">
        <f t="shared" ca="1" si="199"/>
        <v>9953941194760894</v>
      </c>
      <c r="M5877" s="471">
        <f t="shared" si="201"/>
        <v>0.05</v>
      </c>
      <c r="N5877" s="475">
        <f t="shared" si="202"/>
        <v>229921</v>
      </c>
    </row>
    <row r="5878" spans="7:14" ht="11.25" customHeight="1" x14ac:dyDescent="0.3">
      <c r="G5878" s="470"/>
      <c r="H5878" s="470">
        <v>5871</v>
      </c>
      <c r="I5878" s="455">
        <f t="shared" ca="1" si="200"/>
        <v>9953941194760894</v>
      </c>
      <c r="J5878" s="455">
        <f t="array" ref="J5878">IFERROR(INDEX('Retirement Calculator'!K:K,MATCH('Lorri 401b'!N5878,'Retirement Calculator'!A:A,0),0),0)</f>
        <v>0</v>
      </c>
      <c r="K5878" s="455">
        <f t="shared" ca="1" si="198"/>
        <v>41474754978170.391</v>
      </c>
      <c r="L5878" s="455">
        <f t="shared" ca="1" si="199"/>
        <v>9995415949739064</v>
      </c>
      <c r="M5878" s="471">
        <f t="shared" si="201"/>
        <v>0.05</v>
      </c>
      <c r="N5878" s="475">
        <f t="shared" si="202"/>
        <v>229952</v>
      </c>
    </row>
    <row r="5879" spans="7:14" ht="11.25" customHeight="1" x14ac:dyDescent="0.3">
      <c r="G5879" s="470"/>
      <c r="H5879" s="470">
        <v>5872</v>
      </c>
      <c r="I5879" s="455">
        <f t="shared" ca="1" si="200"/>
        <v>9995415949739064</v>
      </c>
      <c r="J5879" s="455">
        <f t="array" ref="J5879">IFERROR(INDEX('Retirement Calculator'!K:K,MATCH('Lorri 401b'!N5879,'Retirement Calculator'!A:A,0),0),0)</f>
        <v>0</v>
      </c>
      <c r="K5879" s="455">
        <f t="shared" ca="1" si="198"/>
        <v>41647566457246.102</v>
      </c>
      <c r="L5879" s="455">
        <f t="shared" ca="1" si="199"/>
        <v>1.003706351619631E+16</v>
      </c>
      <c r="M5879" s="471">
        <f t="shared" si="201"/>
        <v>0.05</v>
      </c>
      <c r="N5879" s="475">
        <f t="shared" si="202"/>
        <v>229983</v>
      </c>
    </row>
    <row r="5880" spans="7:14" ht="11.25" customHeight="1" x14ac:dyDescent="0.3">
      <c r="G5880" s="470"/>
      <c r="H5880" s="470">
        <v>5873</v>
      </c>
      <c r="I5880" s="455">
        <f t="shared" ca="1" si="200"/>
        <v>1.003706351619631E+16</v>
      </c>
      <c r="J5880" s="455">
        <f t="array" ref="J5880">IFERROR(INDEX('Retirement Calculator'!K:K,MATCH('Lorri 401b'!N5880,'Retirement Calculator'!A:A,0),0),0)</f>
        <v>0</v>
      </c>
      <c r="K5880" s="455">
        <f t="shared" ca="1" si="198"/>
        <v>41821097984151.289</v>
      </c>
      <c r="L5880" s="455">
        <f t="shared" ca="1" si="199"/>
        <v>1.0078884614180462E+16</v>
      </c>
      <c r="M5880" s="471">
        <f t="shared" si="201"/>
        <v>0.05</v>
      </c>
      <c r="N5880" s="475">
        <f t="shared" si="202"/>
        <v>230013</v>
      </c>
    </row>
    <row r="5881" spans="7:14" ht="11.25" customHeight="1" x14ac:dyDescent="0.3">
      <c r="G5881" s="470"/>
      <c r="H5881" s="470">
        <v>5874</v>
      </c>
      <c r="I5881" s="455">
        <f t="shared" ca="1" si="200"/>
        <v>1.0078884614180462E+16</v>
      </c>
      <c r="J5881" s="455">
        <f t="array" ref="J5881">IFERROR(INDEX('Retirement Calculator'!K:K,MATCH('Lorri 401b'!N5881,'Retirement Calculator'!A:A,0),0),0)</f>
        <v>0</v>
      </c>
      <c r="K5881" s="455">
        <f t="shared" ca="1" si="198"/>
        <v>41995352559085.258</v>
      </c>
      <c r="L5881" s="455">
        <f t="shared" ca="1" si="199"/>
        <v>1.0120879966739548E+16</v>
      </c>
      <c r="M5881" s="471">
        <f t="shared" si="201"/>
        <v>0.05</v>
      </c>
      <c r="N5881" s="475">
        <f t="shared" si="202"/>
        <v>230044</v>
      </c>
    </row>
    <row r="5882" spans="7:14" ht="11.25" customHeight="1" x14ac:dyDescent="0.3">
      <c r="G5882" s="470"/>
      <c r="H5882" s="470">
        <v>5875</v>
      </c>
      <c r="I5882" s="455">
        <f t="shared" ca="1" si="200"/>
        <v>1.0120879966739548E+16</v>
      </c>
      <c r="J5882" s="455">
        <f t="array" ref="J5882">IFERROR(INDEX('Retirement Calculator'!K:K,MATCH('Lorri 401b'!N5882,'Retirement Calculator'!A:A,0),0),0)</f>
        <v>0</v>
      </c>
      <c r="K5882" s="455">
        <f t="shared" ca="1" si="198"/>
        <v>42170333194748.117</v>
      </c>
      <c r="L5882" s="455">
        <f t="shared" ca="1" si="199"/>
        <v>1.0163050299934296E+16</v>
      </c>
      <c r="M5882" s="471">
        <f t="shared" si="201"/>
        <v>0.05</v>
      </c>
      <c r="N5882" s="475">
        <f t="shared" si="202"/>
        <v>230074</v>
      </c>
    </row>
    <row r="5883" spans="7:14" ht="11.25" customHeight="1" x14ac:dyDescent="0.3">
      <c r="G5883" s="470"/>
      <c r="H5883" s="470">
        <v>5876</v>
      </c>
      <c r="I5883" s="455">
        <f t="shared" ca="1" si="200"/>
        <v>1.0163050299934296E+16</v>
      </c>
      <c r="J5883" s="455">
        <f t="array" ref="J5883">IFERROR(INDEX('Retirement Calculator'!K:K,MATCH('Lorri 401b'!N5883,'Retirement Calculator'!A:A,0),0),0)</f>
        <v>0</v>
      </c>
      <c r="K5883" s="455">
        <f t="shared" ca="1" si="198"/>
        <v>42346042916392.898</v>
      </c>
      <c r="L5883" s="455">
        <f t="shared" ca="1" si="199"/>
        <v>1.0205396342850688E+16</v>
      </c>
      <c r="M5883" s="471">
        <f t="shared" si="201"/>
        <v>0.05</v>
      </c>
      <c r="N5883" s="475">
        <f t="shared" si="202"/>
        <v>230105</v>
      </c>
    </row>
    <row r="5884" spans="7:14" ht="11.25" customHeight="1" x14ac:dyDescent="0.3">
      <c r="G5884" s="470"/>
      <c r="H5884" s="470">
        <v>5877</v>
      </c>
      <c r="I5884" s="455">
        <f t="shared" ca="1" si="200"/>
        <v>1.0205396342850688E+16</v>
      </c>
      <c r="J5884" s="455">
        <f t="array" ref="J5884">IFERROR(INDEX('Retirement Calculator'!K:K,MATCH('Lorri 401b'!N5884,'Retirement Calculator'!A:A,0),0),0)</f>
        <v>0</v>
      </c>
      <c r="K5884" s="455">
        <f t="shared" ca="1" si="198"/>
        <v>42522484761877.867</v>
      </c>
      <c r="L5884" s="455">
        <f t="shared" ca="1" si="199"/>
        <v>1.0247918827612566E+16</v>
      </c>
      <c r="M5884" s="471">
        <f t="shared" si="201"/>
        <v>0.05</v>
      </c>
      <c r="N5884" s="475">
        <f t="shared" si="202"/>
        <v>230136</v>
      </c>
    </row>
    <row r="5885" spans="7:14" ht="11.25" customHeight="1" x14ac:dyDescent="0.3">
      <c r="G5885" s="470"/>
      <c r="H5885" s="470">
        <v>5878</v>
      </c>
      <c r="I5885" s="455">
        <f t="shared" ca="1" si="200"/>
        <v>1.0247918827612566E+16</v>
      </c>
      <c r="J5885" s="455">
        <f t="array" ref="J5885">IFERROR(INDEX('Retirement Calculator'!K:K,MATCH('Lorri 401b'!N5885,'Retirement Calculator'!A:A,0),0),0)</f>
        <v>0</v>
      </c>
      <c r="K5885" s="455">
        <f t="shared" ca="1" si="198"/>
        <v>42699661781719.023</v>
      </c>
      <c r="L5885" s="455">
        <f t="shared" ca="1" si="199"/>
        <v>1.0290618489394286E+16</v>
      </c>
      <c r="M5885" s="471">
        <f t="shared" si="201"/>
        <v>0.05</v>
      </c>
      <c r="N5885" s="475">
        <f t="shared" si="202"/>
        <v>230164</v>
      </c>
    </row>
    <row r="5886" spans="7:14" ht="11.25" customHeight="1" x14ac:dyDescent="0.3">
      <c r="G5886" s="470"/>
      <c r="H5886" s="470">
        <v>5879</v>
      </c>
      <c r="I5886" s="455">
        <f t="shared" ca="1" si="200"/>
        <v>1.0290618489394286E+16</v>
      </c>
      <c r="J5886" s="455">
        <f t="array" ref="J5886">IFERROR(INDEX('Retirement Calculator'!K:K,MATCH('Lorri 401b'!N5886,'Retirement Calculator'!A:A,0),0),0)</f>
        <v>0</v>
      </c>
      <c r="K5886" s="455">
        <f t="shared" ca="1" si="198"/>
        <v>42877577039142.859</v>
      </c>
      <c r="L5886" s="455">
        <f t="shared" ca="1" si="199"/>
        <v>1.0333496066433428E+16</v>
      </c>
      <c r="M5886" s="471">
        <f t="shared" si="201"/>
        <v>0.05</v>
      </c>
      <c r="N5886" s="475">
        <f t="shared" si="202"/>
        <v>230195</v>
      </c>
    </row>
    <row r="5887" spans="7:14" ht="11.25" customHeight="1" x14ac:dyDescent="0.3">
      <c r="G5887" s="470"/>
      <c r="H5887" s="470">
        <v>5880</v>
      </c>
      <c r="I5887" s="455">
        <f t="shared" ca="1" si="200"/>
        <v>1.0333496066433428E+16</v>
      </c>
      <c r="J5887" s="455">
        <f t="array" ref="J5887">IFERROR(INDEX('Retirement Calculator'!K:K,MATCH('Lorri 401b'!N5887,'Retirement Calculator'!A:A,0),0),0)</f>
        <v>0</v>
      </c>
      <c r="K5887" s="455">
        <f t="shared" ca="1" si="198"/>
        <v>43056233610139.281</v>
      </c>
      <c r="L5887" s="455">
        <f t="shared" ca="1" si="199"/>
        <v>1.0376552300043568E+16</v>
      </c>
      <c r="M5887" s="471">
        <f t="shared" si="201"/>
        <v>0.05</v>
      </c>
      <c r="N5887" s="475">
        <f t="shared" si="202"/>
        <v>230225</v>
      </c>
    </row>
    <row r="5888" spans="7:14" ht="11.25" customHeight="1" x14ac:dyDescent="0.3">
      <c r="G5888" s="470"/>
      <c r="H5888" s="470">
        <v>5881</v>
      </c>
      <c r="I5888" s="455">
        <f t="shared" ca="1" si="200"/>
        <v>1.0376552300043568E+16</v>
      </c>
      <c r="J5888" s="455">
        <f t="array" ref="J5888">IFERROR(INDEX('Retirement Calculator'!K:K,MATCH('Lorri 401b'!N5888,'Retirement Calculator'!A:A,0),0),0)</f>
        <v>0</v>
      </c>
      <c r="K5888" s="455">
        <f t="shared" ca="1" si="198"/>
        <v>43235634583514.867</v>
      </c>
      <c r="L5888" s="455">
        <f t="shared" ca="1" si="199"/>
        <v>1.0419787934627082E+16</v>
      </c>
      <c r="M5888" s="471">
        <f t="shared" si="201"/>
        <v>0.05</v>
      </c>
      <c r="N5888" s="475">
        <f t="shared" si="202"/>
        <v>230256</v>
      </c>
    </row>
    <row r="5889" spans="7:14" ht="11.25" customHeight="1" x14ac:dyDescent="0.3">
      <c r="G5889" s="470"/>
      <c r="H5889" s="470">
        <v>5882</v>
      </c>
      <c r="I5889" s="455">
        <f t="shared" ca="1" si="200"/>
        <v>1.0419787934627082E+16</v>
      </c>
      <c r="J5889" s="455">
        <f t="array" ref="J5889">IFERROR(INDEX('Retirement Calculator'!K:K,MATCH('Lorri 401b'!N5889,'Retirement Calculator'!A:A,0),0),0)</f>
        <v>0</v>
      </c>
      <c r="K5889" s="455">
        <f t="shared" ca="1" si="198"/>
        <v>43415783060946.172</v>
      </c>
      <c r="L5889" s="455">
        <f t="shared" ca="1" si="199"/>
        <v>1.0463203717688028E+16</v>
      </c>
      <c r="M5889" s="471">
        <f t="shared" si="201"/>
        <v>0.05</v>
      </c>
      <c r="N5889" s="475">
        <f t="shared" si="202"/>
        <v>230286</v>
      </c>
    </row>
    <row r="5890" spans="7:14" ht="11.25" customHeight="1" x14ac:dyDescent="0.3">
      <c r="G5890" s="470"/>
      <c r="H5890" s="470">
        <v>5883</v>
      </c>
      <c r="I5890" s="455">
        <f t="shared" ca="1" si="200"/>
        <v>1.0463203717688028E+16</v>
      </c>
      <c r="J5890" s="455">
        <f t="array" ref="J5890">IFERROR(INDEX('Retirement Calculator'!K:K,MATCH('Lorri 401b'!N5890,'Retirement Calculator'!A:A,0),0),0)</f>
        <v>0</v>
      </c>
      <c r="K5890" s="455">
        <f t="shared" ca="1" si="198"/>
        <v>43596682157033.453</v>
      </c>
      <c r="L5890" s="455">
        <f t="shared" ca="1" si="199"/>
        <v>1.0506800399845062E+16</v>
      </c>
      <c r="M5890" s="471">
        <f t="shared" si="201"/>
        <v>0.05</v>
      </c>
      <c r="N5890" s="475">
        <f t="shared" si="202"/>
        <v>230317</v>
      </c>
    </row>
    <row r="5891" spans="7:14" ht="11.25" customHeight="1" x14ac:dyDescent="0.3">
      <c r="G5891" s="470"/>
      <c r="H5891" s="470">
        <v>5884</v>
      </c>
      <c r="I5891" s="455">
        <f t="shared" ca="1" si="200"/>
        <v>1.0506800399845062E+16</v>
      </c>
      <c r="J5891" s="455">
        <f t="array" ref="J5891">IFERROR(INDEX('Retirement Calculator'!K:K,MATCH('Lorri 401b'!N5891,'Retirement Calculator'!A:A,0),0),0)</f>
        <v>0</v>
      </c>
      <c r="K5891" s="455">
        <f t="shared" ca="1" si="198"/>
        <v>43778334999354.422</v>
      </c>
      <c r="L5891" s="455">
        <f t="shared" ca="1" si="199"/>
        <v>1.0550578734844416E+16</v>
      </c>
      <c r="M5891" s="471">
        <f t="shared" si="201"/>
        <v>0.05</v>
      </c>
      <c r="N5891" s="475">
        <f t="shared" si="202"/>
        <v>230348</v>
      </c>
    </row>
    <row r="5892" spans="7:14" ht="11.25" customHeight="1" x14ac:dyDescent="0.3">
      <c r="G5892" s="470"/>
      <c r="H5892" s="470">
        <v>5885</v>
      </c>
      <c r="I5892" s="455">
        <f t="shared" ca="1" si="200"/>
        <v>1.0550578734844416E+16</v>
      </c>
      <c r="J5892" s="455">
        <f t="array" ref="J5892">IFERROR(INDEX('Retirement Calculator'!K:K,MATCH('Lorri 401b'!N5892,'Retirement Calculator'!A:A,0),0),0)</f>
        <v>0</v>
      </c>
      <c r="K5892" s="455">
        <f t="shared" ca="1" si="198"/>
        <v>43960744728518.398</v>
      </c>
      <c r="L5892" s="455">
        <f t="shared" ca="1" si="199"/>
        <v>1.0594539479572934E+16</v>
      </c>
      <c r="M5892" s="471">
        <f t="shared" si="201"/>
        <v>0.05</v>
      </c>
      <c r="N5892" s="475">
        <f t="shared" si="202"/>
        <v>230378</v>
      </c>
    </row>
    <row r="5893" spans="7:14" ht="11.25" customHeight="1" x14ac:dyDescent="0.3">
      <c r="G5893" s="470"/>
      <c r="H5893" s="470">
        <v>5886</v>
      </c>
      <c r="I5893" s="455">
        <f t="shared" ca="1" si="200"/>
        <v>1.0594539479572934E+16</v>
      </c>
      <c r="J5893" s="455">
        <f t="array" ref="J5893">IFERROR(INDEX('Retirement Calculator'!K:K,MATCH('Lorri 401b'!N5893,'Retirement Calculator'!A:A,0),0),0)</f>
        <v>0</v>
      </c>
      <c r="K5893" s="455">
        <f t="shared" ca="1" si="198"/>
        <v>44143914498220.555</v>
      </c>
      <c r="L5893" s="455">
        <f t="shared" ca="1" si="199"/>
        <v>1.0638683394071154E+16</v>
      </c>
      <c r="M5893" s="471">
        <f t="shared" si="201"/>
        <v>0.05</v>
      </c>
      <c r="N5893" s="475">
        <f t="shared" si="202"/>
        <v>230409</v>
      </c>
    </row>
    <row r="5894" spans="7:14" ht="11.25" customHeight="1" x14ac:dyDescent="0.3">
      <c r="G5894" s="470"/>
      <c r="H5894" s="470">
        <v>5887</v>
      </c>
      <c r="I5894" s="455">
        <f t="shared" ca="1" si="200"/>
        <v>1.0638683394071154E+16</v>
      </c>
      <c r="J5894" s="455">
        <f t="array" ref="J5894">IFERROR(INDEX('Retirement Calculator'!K:K,MATCH('Lorri 401b'!N5894,'Retirement Calculator'!A:A,0),0),0)</f>
        <v>0</v>
      </c>
      <c r="K5894" s="455">
        <f t="shared" ca="1" si="198"/>
        <v>44327847475296.477</v>
      </c>
      <c r="L5894" s="455">
        <f t="shared" ca="1" si="199"/>
        <v>1.068301124154645E+16</v>
      </c>
      <c r="M5894" s="471">
        <f t="shared" si="201"/>
        <v>0.05</v>
      </c>
      <c r="N5894" s="475">
        <f t="shared" si="202"/>
        <v>230439</v>
      </c>
    </row>
    <row r="5895" spans="7:14" ht="11.25" customHeight="1" x14ac:dyDescent="0.3">
      <c r="G5895" s="470"/>
      <c r="H5895" s="470">
        <v>5888</v>
      </c>
      <c r="I5895" s="455">
        <f t="shared" ca="1" si="200"/>
        <v>1.068301124154645E+16</v>
      </c>
      <c r="J5895" s="455">
        <f t="array" ref="J5895">IFERROR(INDEX('Retirement Calculator'!K:K,MATCH('Lorri 401b'!N5895,'Retirement Calculator'!A:A,0),0),0)</f>
        <v>0</v>
      </c>
      <c r="K5895" s="455">
        <f t="shared" ca="1" si="198"/>
        <v>44512546839776.875</v>
      </c>
      <c r="L5895" s="455">
        <f t="shared" ca="1" si="199"/>
        <v>1.0727523788386226E+16</v>
      </c>
      <c r="M5895" s="471">
        <f t="shared" si="201"/>
        <v>0.05</v>
      </c>
      <c r="N5895" s="475">
        <f t="shared" si="202"/>
        <v>230470</v>
      </c>
    </row>
    <row r="5896" spans="7:14" ht="11.25" customHeight="1" x14ac:dyDescent="0.3">
      <c r="G5896" s="470"/>
      <c r="H5896" s="470">
        <v>5889</v>
      </c>
      <c r="I5896" s="455">
        <f t="shared" ca="1" si="200"/>
        <v>1.0727523788386226E+16</v>
      </c>
      <c r="J5896" s="455">
        <f t="array" ref="J5896">IFERROR(INDEX('Retirement Calculator'!K:K,MATCH('Lorri 401b'!N5896,'Retirement Calculator'!A:A,0),0),0)</f>
        <v>0</v>
      </c>
      <c r="K5896" s="455">
        <f t="shared" ca="1" si="198"/>
        <v>44698015784942.609</v>
      </c>
      <c r="L5896" s="455">
        <f t="shared" ca="1" si="199"/>
        <v>1.0772221804171168E+16</v>
      </c>
      <c r="M5896" s="471">
        <f t="shared" si="201"/>
        <v>0.05</v>
      </c>
      <c r="N5896" s="475">
        <f t="shared" si="202"/>
        <v>230501</v>
      </c>
    </row>
    <row r="5897" spans="7:14" ht="11.25" customHeight="1" x14ac:dyDescent="0.3">
      <c r="G5897" s="470"/>
      <c r="H5897" s="470">
        <v>5890</v>
      </c>
      <c r="I5897" s="455">
        <f t="shared" ca="1" si="200"/>
        <v>1.0772221804171168E+16</v>
      </c>
      <c r="J5897" s="455">
        <f t="array" ref="J5897">IFERROR(INDEX('Retirement Calculator'!K:K,MATCH('Lorri 401b'!N5897,'Retirement Calculator'!A:A,0),0),0)</f>
        <v>0</v>
      </c>
      <c r="K5897" s="455">
        <f t="shared" ca="1" si="198"/>
        <v>44884257517379.867</v>
      </c>
      <c r="L5897" s="455">
        <f t="shared" ca="1" si="199"/>
        <v>1.0817106061688548E+16</v>
      </c>
      <c r="M5897" s="471">
        <f t="shared" si="201"/>
        <v>0.05</v>
      </c>
      <c r="N5897" s="475">
        <f t="shared" si="202"/>
        <v>230529</v>
      </c>
    </row>
    <row r="5898" spans="7:14" ht="11.25" customHeight="1" x14ac:dyDescent="0.3">
      <c r="G5898" s="470"/>
      <c r="H5898" s="470">
        <v>5891</v>
      </c>
      <c r="I5898" s="455">
        <f t="shared" ca="1" si="200"/>
        <v>1.0817106061688548E+16</v>
      </c>
      <c r="J5898" s="455">
        <f t="array" ref="J5898">IFERROR(INDEX('Retirement Calculator'!K:K,MATCH('Lorri 401b'!N5898,'Retirement Calculator'!A:A,0),0),0)</f>
        <v>0</v>
      </c>
      <c r="K5898" s="455">
        <f t="shared" ca="1" si="198"/>
        <v>45071275257035.617</v>
      </c>
      <c r="L5898" s="455">
        <f t="shared" ca="1" si="199"/>
        <v>1.0862177336945584E+16</v>
      </c>
      <c r="M5898" s="471">
        <f t="shared" si="201"/>
        <v>0.05</v>
      </c>
      <c r="N5898" s="475">
        <f t="shared" si="202"/>
        <v>230560</v>
      </c>
    </row>
    <row r="5899" spans="7:14" ht="11.25" customHeight="1" x14ac:dyDescent="0.3">
      <c r="G5899" s="470"/>
      <c r="H5899" s="470">
        <v>5892</v>
      </c>
      <c r="I5899" s="455">
        <f t="shared" ca="1" si="200"/>
        <v>1.0862177336945584E+16</v>
      </c>
      <c r="J5899" s="455">
        <f t="array" ref="J5899">IFERROR(INDEX('Retirement Calculator'!K:K,MATCH('Lorri 401b'!N5899,'Retirement Calculator'!A:A,0),0),0)</f>
        <v>0</v>
      </c>
      <c r="K5899" s="455">
        <f t="shared" ca="1" si="198"/>
        <v>45259072237273.266</v>
      </c>
      <c r="L5899" s="455">
        <f t="shared" ca="1" si="199"/>
        <v>1.0907436409182858E+16</v>
      </c>
      <c r="M5899" s="471">
        <f t="shared" si="201"/>
        <v>0.05</v>
      </c>
      <c r="N5899" s="475">
        <f t="shared" si="202"/>
        <v>230590</v>
      </c>
    </row>
    <row r="5900" spans="7:14" ht="11.25" customHeight="1" x14ac:dyDescent="0.3">
      <c r="G5900" s="470"/>
      <c r="H5900" s="470">
        <v>5893</v>
      </c>
      <c r="I5900" s="455">
        <f t="shared" ca="1" si="200"/>
        <v>1.0907436409182858E+16</v>
      </c>
      <c r="J5900" s="455">
        <f t="array" ref="J5900">IFERROR(INDEX('Retirement Calculator'!K:K,MATCH('Lorri 401b'!N5900,'Retirement Calculator'!A:A,0),0),0)</f>
        <v>0</v>
      </c>
      <c r="K5900" s="455">
        <f t="shared" ca="1" si="198"/>
        <v>45447651704928.578</v>
      </c>
      <c r="L5900" s="455">
        <f t="shared" ca="1" si="199"/>
        <v>1.0952884060887786E+16</v>
      </c>
      <c r="M5900" s="471">
        <f t="shared" si="201"/>
        <v>0.05</v>
      </c>
      <c r="N5900" s="475">
        <f t="shared" si="202"/>
        <v>230621</v>
      </c>
    </row>
    <row r="5901" spans="7:14" ht="11.25" customHeight="1" x14ac:dyDescent="0.3">
      <c r="G5901" s="470"/>
      <c r="H5901" s="470">
        <v>5894</v>
      </c>
      <c r="I5901" s="455">
        <f t="shared" ca="1" si="200"/>
        <v>1.0952884060887786E+16</v>
      </c>
      <c r="J5901" s="455">
        <f t="array" ref="J5901">IFERROR(INDEX('Retirement Calculator'!K:K,MATCH('Lorri 401b'!N5901,'Retirement Calculator'!A:A,0),0),0)</f>
        <v>0</v>
      </c>
      <c r="K5901" s="455">
        <f t="shared" ca="1" si="198"/>
        <v>45637016920365.773</v>
      </c>
      <c r="L5901" s="455">
        <f t="shared" ca="1" si="199"/>
        <v>1.0998521077808152E+16</v>
      </c>
      <c r="M5901" s="471">
        <f t="shared" si="201"/>
        <v>0.05</v>
      </c>
      <c r="N5901" s="475">
        <f t="shared" si="202"/>
        <v>230651</v>
      </c>
    </row>
    <row r="5902" spans="7:14" ht="11.25" customHeight="1" x14ac:dyDescent="0.3">
      <c r="G5902" s="470"/>
      <c r="H5902" s="470">
        <v>5895</v>
      </c>
      <c r="I5902" s="455">
        <f t="shared" ca="1" si="200"/>
        <v>1.0998521077808152E+16</v>
      </c>
      <c r="J5902" s="455">
        <f t="array" ref="J5902">IFERROR(INDEX('Retirement Calculator'!K:K,MATCH('Lorri 401b'!N5902,'Retirement Calculator'!A:A,0),0),0)</f>
        <v>0</v>
      </c>
      <c r="K5902" s="455">
        <f t="shared" ca="1" si="198"/>
        <v>45827171157533.969</v>
      </c>
      <c r="L5902" s="455">
        <f t="shared" ca="1" si="199"/>
        <v>1.1044348248965686E+16</v>
      </c>
      <c r="M5902" s="471">
        <f t="shared" si="201"/>
        <v>0.05</v>
      </c>
      <c r="N5902" s="475">
        <f t="shared" si="202"/>
        <v>230682</v>
      </c>
    </row>
    <row r="5903" spans="7:14" ht="11.25" customHeight="1" x14ac:dyDescent="0.3">
      <c r="G5903" s="470"/>
      <c r="H5903" s="470">
        <v>5896</v>
      </c>
      <c r="I5903" s="455">
        <f t="shared" ca="1" si="200"/>
        <v>1.1044348248965686E+16</v>
      </c>
      <c r="J5903" s="455">
        <f t="array" ref="J5903">IFERROR(INDEX('Retirement Calculator'!K:K,MATCH('Lorri 401b'!N5903,'Retirement Calculator'!A:A,0),0),0)</f>
        <v>0</v>
      </c>
      <c r="K5903" s="455">
        <f t="shared" ca="1" si="198"/>
        <v>46018117704023.688</v>
      </c>
      <c r="L5903" s="455">
        <f t="shared" ca="1" si="199"/>
        <v>1.109036636666971E+16</v>
      </c>
      <c r="M5903" s="471">
        <f t="shared" si="201"/>
        <v>0.05</v>
      </c>
      <c r="N5903" s="475">
        <f t="shared" si="202"/>
        <v>230713</v>
      </c>
    </row>
    <row r="5904" spans="7:14" ht="11.25" customHeight="1" x14ac:dyDescent="0.3">
      <c r="G5904" s="470"/>
      <c r="H5904" s="470">
        <v>5897</v>
      </c>
      <c r="I5904" s="455">
        <f t="shared" ca="1" si="200"/>
        <v>1.109036636666971E+16</v>
      </c>
      <c r="J5904" s="455">
        <f t="array" ref="J5904">IFERROR(INDEX('Retirement Calculator'!K:K,MATCH('Lorri 401b'!N5904,'Retirement Calculator'!A:A,0),0),0)</f>
        <v>0</v>
      </c>
      <c r="K5904" s="455">
        <f t="shared" ca="1" si="198"/>
        <v>46209859861123.789</v>
      </c>
      <c r="L5904" s="455">
        <f t="shared" ca="1" si="199"/>
        <v>1.1136576226530834E+16</v>
      </c>
      <c r="M5904" s="471">
        <f t="shared" si="201"/>
        <v>0.05</v>
      </c>
      <c r="N5904" s="475">
        <f t="shared" si="202"/>
        <v>230743</v>
      </c>
    </row>
    <row r="5905" spans="7:14" ht="11.25" customHeight="1" x14ac:dyDescent="0.3">
      <c r="G5905" s="470"/>
      <c r="H5905" s="470">
        <v>5898</v>
      </c>
      <c r="I5905" s="455">
        <f t="shared" ca="1" si="200"/>
        <v>1.1136576226530834E+16</v>
      </c>
      <c r="J5905" s="455">
        <f t="array" ref="J5905">IFERROR(INDEX('Retirement Calculator'!K:K,MATCH('Lorri 401b'!N5905,'Retirement Calculator'!A:A,0),0),0)</f>
        <v>0</v>
      </c>
      <c r="K5905" s="455">
        <f t="shared" ca="1" si="198"/>
        <v>46402400943878.477</v>
      </c>
      <c r="L5905" s="455">
        <f t="shared" ca="1" si="199"/>
        <v>1.1182978627474712E+16</v>
      </c>
      <c r="M5905" s="471">
        <f t="shared" si="201"/>
        <v>0.05</v>
      </c>
      <c r="N5905" s="475">
        <f t="shared" si="202"/>
        <v>230774</v>
      </c>
    </row>
    <row r="5906" spans="7:14" ht="11.25" customHeight="1" x14ac:dyDescent="0.3">
      <c r="G5906" s="470"/>
      <c r="H5906" s="470">
        <v>5899</v>
      </c>
      <c r="I5906" s="455">
        <f t="shared" ca="1" si="200"/>
        <v>1.1182978627474712E+16</v>
      </c>
      <c r="J5906" s="455">
        <f t="array" ref="J5906">IFERROR(INDEX('Retirement Calculator'!K:K,MATCH('Lorri 401b'!N5906,'Retirement Calculator'!A:A,0),0),0)</f>
        <v>0</v>
      </c>
      <c r="K5906" s="455">
        <f t="shared" ca="1" si="198"/>
        <v>46595744281144.633</v>
      </c>
      <c r="L5906" s="455">
        <f t="shared" ca="1" si="199"/>
        <v>1.1229574371755856E+16</v>
      </c>
      <c r="M5906" s="471">
        <f t="shared" si="201"/>
        <v>0.05</v>
      </c>
      <c r="N5906" s="475">
        <f t="shared" si="202"/>
        <v>230804</v>
      </c>
    </row>
    <row r="5907" spans="7:14" ht="11.25" customHeight="1" x14ac:dyDescent="0.3">
      <c r="G5907" s="470"/>
      <c r="H5907" s="470">
        <v>5900</v>
      </c>
      <c r="I5907" s="455">
        <f t="shared" ca="1" si="200"/>
        <v>1.1229574371755856E+16</v>
      </c>
      <c r="J5907" s="455">
        <f t="array" ref="J5907">IFERROR(INDEX('Retirement Calculator'!K:K,MATCH('Lorri 401b'!N5907,'Retirement Calculator'!A:A,0),0),0)</f>
        <v>0</v>
      </c>
      <c r="K5907" s="455">
        <f t="shared" ca="1" si="198"/>
        <v>46789893215649.398</v>
      </c>
      <c r="L5907" s="455">
        <f t="shared" ca="1" si="199"/>
        <v>1.1276364264971506E+16</v>
      </c>
      <c r="M5907" s="471">
        <f t="shared" si="201"/>
        <v>0.05</v>
      </c>
      <c r="N5907" s="475">
        <f t="shared" si="202"/>
        <v>230835</v>
      </c>
    </row>
    <row r="5908" spans="7:14" ht="11.25" customHeight="1" x14ac:dyDescent="0.3">
      <c r="G5908" s="470"/>
      <c r="H5908" s="470">
        <v>5901</v>
      </c>
      <c r="I5908" s="455">
        <f t="shared" ca="1" si="200"/>
        <v>1.1276364264971506E+16</v>
      </c>
      <c r="J5908" s="455">
        <f t="array" ref="J5908">IFERROR(INDEX('Retirement Calculator'!K:K,MATCH('Lorri 401b'!N5908,'Retirement Calculator'!A:A,0),0),0)</f>
        <v>0</v>
      </c>
      <c r="K5908" s="455">
        <f t="shared" ca="1" si="198"/>
        <v>46984851104047.938</v>
      </c>
      <c r="L5908" s="455">
        <f t="shared" ca="1" si="199"/>
        <v>1.1323349116075554E+16</v>
      </c>
      <c r="M5908" s="471">
        <f t="shared" si="201"/>
        <v>0.05</v>
      </c>
      <c r="N5908" s="475">
        <f t="shared" si="202"/>
        <v>230866</v>
      </c>
    </row>
    <row r="5909" spans="7:14" ht="11.25" customHeight="1" x14ac:dyDescent="0.3">
      <c r="G5909" s="470"/>
      <c r="H5909" s="470">
        <v>5902</v>
      </c>
      <c r="I5909" s="455">
        <f t="shared" ca="1" si="200"/>
        <v>1.1323349116075554E+16</v>
      </c>
      <c r="J5909" s="455">
        <f t="array" ref="J5909">IFERROR(INDEX('Retirement Calculator'!K:K,MATCH('Lorri 401b'!N5909,'Retirement Calculator'!A:A,0),0),0)</f>
        <v>0</v>
      </c>
      <c r="K5909" s="455">
        <f t="shared" ca="1" si="198"/>
        <v>47180621316981.477</v>
      </c>
      <c r="L5909" s="455">
        <f t="shared" ca="1" si="199"/>
        <v>1.1370529737392536E+16</v>
      </c>
      <c r="M5909" s="471">
        <f t="shared" si="201"/>
        <v>0.05</v>
      </c>
      <c r="N5909" s="475">
        <f t="shared" si="202"/>
        <v>230895</v>
      </c>
    </row>
    <row r="5910" spans="7:14" ht="11.25" customHeight="1" x14ac:dyDescent="0.3">
      <c r="G5910" s="470"/>
      <c r="H5910" s="470">
        <v>5903</v>
      </c>
      <c r="I5910" s="455">
        <f t="shared" ca="1" si="200"/>
        <v>1.1370529737392536E+16</v>
      </c>
      <c r="J5910" s="455">
        <f t="array" ref="J5910">IFERROR(INDEX('Retirement Calculator'!K:K,MATCH('Lorri 401b'!N5910,'Retirement Calculator'!A:A,0),0),0)</f>
        <v>0</v>
      </c>
      <c r="K5910" s="455">
        <f t="shared" ca="1" si="198"/>
        <v>47377207239135.563</v>
      </c>
      <c r="L5910" s="455">
        <f t="shared" ca="1" si="199"/>
        <v>1.1417906944631672E+16</v>
      </c>
      <c r="M5910" s="471">
        <f t="shared" si="201"/>
        <v>0.05</v>
      </c>
      <c r="N5910" s="475">
        <f t="shared" si="202"/>
        <v>230926</v>
      </c>
    </row>
    <row r="5911" spans="7:14" ht="11.25" customHeight="1" x14ac:dyDescent="0.3">
      <c r="G5911" s="470"/>
      <c r="H5911" s="470">
        <v>5904</v>
      </c>
      <c r="I5911" s="455">
        <f t="shared" ca="1" si="200"/>
        <v>1.1417906944631672E+16</v>
      </c>
      <c r="J5911" s="455">
        <f t="array" ref="J5911">IFERROR(INDEX('Retirement Calculator'!K:K,MATCH('Lorri 401b'!N5911,'Retirement Calculator'!A:A,0),0),0)</f>
        <v>0</v>
      </c>
      <c r="K5911" s="455">
        <f t="shared" ca="1" si="198"/>
        <v>47574612269298.633</v>
      </c>
      <c r="L5911" s="455">
        <f t="shared" ca="1" si="199"/>
        <v>1.146548155690097E+16</v>
      </c>
      <c r="M5911" s="471">
        <f t="shared" si="201"/>
        <v>0.05</v>
      </c>
      <c r="N5911" s="475">
        <f t="shared" si="202"/>
        <v>230956</v>
      </c>
    </row>
    <row r="5912" spans="7:14" ht="11.25" customHeight="1" x14ac:dyDescent="0.3">
      <c r="G5912" s="470"/>
      <c r="H5912" s="470">
        <v>5905</v>
      </c>
      <c r="I5912" s="455">
        <f t="shared" ca="1" si="200"/>
        <v>1.146548155690097E+16</v>
      </c>
      <c r="J5912" s="455">
        <f t="array" ref="J5912">IFERROR(INDEX('Retirement Calculator'!K:K,MATCH('Lorri 401b'!N5912,'Retirement Calculator'!A:A,0),0),0)</f>
        <v>0</v>
      </c>
      <c r="K5912" s="455">
        <f t="shared" ca="1" si="198"/>
        <v>47772839820420.711</v>
      </c>
      <c r="L5912" s="455">
        <f t="shared" ca="1" si="199"/>
        <v>1.151325439672139E+16</v>
      </c>
      <c r="M5912" s="471">
        <f t="shared" si="201"/>
        <v>0.05</v>
      </c>
      <c r="N5912" s="475">
        <f t="shared" si="202"/>
        <v>230987</v>
      </c>
    </row>
    <row r="5913" spans="7:14" ht="11.25" customHeight="1" x14ac:dyDescent="0.3">
      <c r="G5913" s="470"/>
      <c r="H5913" s="470">
        <v>5906</v>
      </c>
      <c r="I5913" s="455">
        <f t="shared" ca="1" si="200"/>
        <v>1.151325439672139E+16</v>
      </c>
      <c r="J5913" s="455">
        <f t="array" ref="J5913">IFERROR(INDEX('Retirement Calculator'!K:K,MATCH('Lorri 401b'!N5913,'Retirement Calculator'!A:A,0),0),0)</f>
        <v>0</v>
      </c>
      <c r="K5913" s="455">
        <f t="shared" ca="1" si="198"/>
        <v>47971893319672.461</v>
      </c>
      <c r="L5913" s="455">
        <f t="shared" ca="1" si="199"/>
        <v>1.1561226290041062E+16</v>
      </c>
      <c r="M5913" s="471">
        <f t="shared" si="201"/>
        <v>0.05</v>
      </c>
      <c r="N5913" s="475">
        <f t="shared" si="202"/>
        <v>231017</v>
      </c>
    </row>
    <row r="5914" spans="7:14" ht="11.25" customHeight="1" x14ac:dyDescent="0.3">
      <c r="G5914" s="470"/>
      <c r="H5914" s="470">
        <v>5907</v>
      </c>
      <c r="I5914" s="455">
        <f t="shared" ca="1" si="200"/>
        <v>1.1561226290041062E+16</v>
      </c>
      <c r="J5914" s="455">
        <f t="array" ref="J5914">IFERROR(INDEX('Retirement Calculator'!K:K,MATCH('Lorri 401b'!N5914,'Retirement Calculator'!A:A,0),0),0)</f>
        <v>0</v>
      </c>
      <c r="K5914" s="455">
        <f t="shared" ca="1" si="198"/>
        <v>48171776208504.422</v>
      </c>
      <c r="L5914" s="455">
        <f t="shared" ca="1" si="199"/>
        <v>1.1609398066249566E+16</v>
      </c>
      <c r="M5914" s="471">
        <f t="shared" si="201"/>
        <v>0.05</v>
      </c>
      <c r="N5914" s="475">
        <f t="shared" si="202"/>
        <v>231048</v>
      </c>
    </row>
    <row r="5915" spans="7:14" ht="11.25" customHeight="1" x14ac:dyDescent="0.3">
      <c r="G5915" s="470"/>
      <c r="H5915" s="470">
        <v>5908</v>
      </c>
      <c r="I5915" s="455">
        <f t="shared" ca="1" si="200"/>
        <v>1.1609398066249566E+16</v>
      </c>
      <c r="J5915" s="455">
        <f t="array" ref="J5915">IFERROR(INDEX('Retirement Calculator'!K:K,MATCH('Lorri 401b'!N5915,'Retirement Calculator'!A:A,0),0),0)</f>
        <v>0</v>
      </c>
      <c r="K5915" s="455">
        <f t="shared" ca="1" si="198"/>
        <v>48372491942706.523</v>
      </c>
      <c r="L5915" s="455">
        <f t="shared" ca="1" si="199"/>
        <v>1.1657770558192272E+16</v>
      </c>
      <c r="M5915" s="471">
        <f t="shared" si="201"/>
        <v>0.05</v>
      </c>
      <c r="N5915" s="475">
        <f t="shared" si="202"/>
        <v>231079</v>
      </c>
    </row>
    <row r="5916" spans="7:14" ht="11.25" customHeight="1" x14ac:dyDescent="0.3">
      <c r="G5916" s="470"/>
      <c r="H5916" s="470">
        <v>5909</v>
      </c>
      <c r="I5916" s="455">
        <f t="shared" ca="1" si="200"/>
        <v>1.1657770558192272E+16</v>
      </c>
      <c r="J5916" s="455">
        <f t="array" ref="J5916">IFERROR(INDEX('Retirement Calculator'!K:K,MATCH('Lorri 401b'!N5916,'Retirement Calculator'!A:A,0),0),0)</f>
        <v>0</v>
      </c>
      <c r="K5916" s="455">
        <f t="shared" ca="1" si="198"/>
        <v>48574043992467.797</v>
      </c>
      <c r="L5916" s="455">
        <f t="shared" ca="1" si="199"/>
        <v>1.170634460218474E+16</v>
      </c>
      <c r="M5916" s="471">
        <f t="shared" si="201"/>
        <v>0.05</v>
      </c>
      <c r="N5916" s="475">
        <f t="shared" si="202"/>
        <v>231109</v>
      </c>
    </row>
    <row r="5917" spans="7:14" ht="11.25" customHeight="1" x14ac:dyDescent="0.3">
      <c r="G5917" s="470"/>
      <c r="H5917" s="470">
        <v>5910</v>
      </c>
      <c r="I5917" s="455">
        <f t="shared" ca="1" si="200"/>
        <v>1.170634460218474E+16</v>
      </c>
      <c r="J5917" s="455">
        <f t="array" ref="J5917">IFERROR(INDEX('Retirement Calculator'!K:K,MATCH('Lorri 401b'!N5917,'Retirement Calculator'!A:A,0),0),0)</f>
        <v>0</v>
      </c>
      <c r="K5917" s="455">
        <f t="shared" ca="1" si="198"/>
        <v>48776435842436.414</v>
      </c>
      <c r="L5917" s="455">
        <f t="shared" ca="1" si="199"/>
        <v>1.1755121038027176E+16</v>
      </c>
      <c r="M5917" s="471">
        <f t="shared" si="201"/>
        <v>0.05</v>
      </c>
      <c r="N5917" s="475">
        <f t="shared" si="202"/>
        <v>231140</v>
      </c>
    </row>
    <row r="5918" spans="7:14" ht="11.25" customHeight="1" x14ac:dyDescent="0.3">
      <c r="G5918" s="470"/>
      <c r="H5918" s="470">
        <v>5911</v>
      </c>
      <c r="I5918" s="455">
        <f t="shared" ca="1" si="200"/>
        <v>1.1755121038027176E+16</v>
      </c>
      <c r="J5918" s="455">
        <f t="array" ref="J5918">IFERROR(INDEX('Retirement Calculator'!K:K,MATCH('Lorri 401b'!N5918,'Retirement Calculator'!A:A,0),0),0)</f>
        <v>0</v>
      </c>
      <c r="K5918" s="455">
        <f t="shared" ca="1" si="198"/>
        <v>48979670991779.898</v>
      </c>
      <c r="L5918" s="455">
        <f t="shared" ca="1" si="199"/>
        <v>1.1804100709018956E+16</v>
      </c>
      <c r="M5918" s="471">
        <f t="shared" si="201"/>
        <v>0.05</v>
      </c>
      <c r="N5918" s="475">
        <f t="shared" si="202"/>
        <v>231170</v>
      </c>
    </row>
    <row r="5919" spans="7:14" ht="11.25" customHeight="1" x14ac:dyDescent="0.3">
      <c r="G5919" s="470"/>
      <c r="H5919" s="470">
        <v>5912</v>
      </c>
      <c r="I5919" s="455">
        <f t="shared" ca="1" si="200"/>
        <v>1.1804100709018956E+16</v>
      </c>
      <c r="J5919" s="455">
        <f t="array" ref="J5919">IFERROR(INDEX('Retirement Calculator'!K:K,MATCH('Lorri 401b'!N5919,'Retirement Calculator'!A:A,0),0),0)</f>
        <v>0</v>
      </c>
      <c r="K5919" s="455">
        <f t="shared" ca="1" si="198"/>
        <v>49183752954245.648</v>
      </c>
      <c r="L5919" s="455">
        <f t="shared" ca="1" si="199"/>
        <v>1.1853284461973202E+16</v>
      </c>
      <c r="M5919" s="471">
        <f t="shared" si="201"/>
        <v>0.05</v>
      </c>
      <c r="N5919" s="475">
        <f t="shared" si="202"/>
        <v>231201</v>
      </c>
    </row>
    <row r="5920" spans="7:14" ht="11.25" customHeight="1" x14ac:dyDescent="0.3">
      <c r="G5920" s="470"/>
      <c r="H5920" s="470">
        <v>5913</v>
      </c>
      <c r="I5920" s="455">
        <f t="shared" ca="1" si="200"/>
        <v>1.1853284461973202E+16</v>
      </c>
      <c r="J5920" s="455">
        <f t="array" ref="J5920">IFERROR(INDEX('Retirement Calculator'!K:K,MATCH('Lorri 401b'!N5920,'Retirement Calculator'!A:A,0),0),0)</f>
        <v>0</v>
      </c>
      <c r="K5920" s="455">
        <f t="shared" ca="1" si="198"/>
        <v>49388685258221.672</v>
      </c>
      <c r="L5920" s="455">
        <f t="shared" ca="1" si="199"/>
        <v>1.1902673147231424E+16</v>
      </c>
      <c r="M5920" s="471">
        <f t="shared" si="201"/>
        <v>0.05</v>
      </c>
      <c r="N5920" s="475">
        <f t="shared" si="202"/>
        <v>231232</v>
      </c>
    </row>
    <row r="5921" spans="7:14" ht="11.25" customHeight="1" x14ac:dyDescent="0.3">
      <c r="G5921" s="470"/>
      <c r="H5921" s="470">
        <v>5914</v>
      </c>
      <c r="I5921" s="455">
        <f t="shared" ca="1" si="200"/>
        <v>1.1902673147231424E+16</v>
      </c>
      <c r="J5921" s="455">
        <f t="array" ref="J5921">IFERROR(INDEX('Retirement Calculator'!K:K,MATCH('Lorri 401b'!N5921,'Retirement Calculator'!A:A,0),0),0)</f>
        <v>0</v>
      </c>
      <c r="K5921" s="455">
        <f t="shared" ca="1" si="198"/>
        <v>49594471446797.602</v>
      </c>
      <c r="L5921" s="455">
        <f t="shared" ca="1" si="199"/>
        <v>1.1952267618678222E+16</v>
      </c>
      <c r="M5921" s="471">
        <f t="shared" si="201"/>
        <v>0.05</v>
      </c>
      <c r="N5921" s="475">
        <f t="shared" si="202"/>
        <v>231260</v>
      </c>
    </row>
    <row r="5922" spans="7:14" ht="11.25" customHeight="1" x14ac:dyDescent="0.3">
      <c r="G5922" s="470"/>
      <c r="H5922" s="470">
        <v>5915</v>
      </c>
      <c r="I5922" s="455">
        <f t="shared" ca="1" si="200"/>
        <v>1.1952267618678222E+16</v>
      </c>
      <c r="J5922" s="455">
        <f t="array" ref="J5922">IFERROR(INDEX('Retirement Calculator'!K:K,MATCH('Lorri 401b'!N5922,'Retirement Calculator'!A:A,0),0),0)</f>
        <v>0</v>
      </c>
      <c r="K5922" s="455">
        <f t="shared" ca="1" si="198"/>
        <v>49801115077825.922</v>
      </c>
      <c r="L5922" s="455">
        <f t="shared" ca="1" si="199"/>
        <v>1.2002068733756048E+16</v>
      </c>
      <c r="M5922" s="471">
        <f t="shared" si="201"/>
        <v>0.05</v>
      </c>
      <c r="N5922" s="475">
        <f t="shared" si="202"/>
        <v>231291</v>
      </c>
    </row>
    <row r="5923" spans="7:14" ht="11.25" customHeight="1" x14ac:dyDescent="0.3">
      <c r="G5923" s="470"/>
      <c r="H5923" s="470">
        <v>5916</v>
      </c>
      <c r="I5923" s="455">
        <f t="shared" ca="1" si="200"/>
        <v>1.2002068733756048E+16</v>
      </c>
      <c r="J5923" s="455">
        <f t="array" ref="J5923">IFERROR(INDEX('Retirement Calculator'!K:K,MATCH('Lorri 401b'!N5923,'Retirement Calculator'!A:A,0),0),0)</f>
        <v>0</v>
      </c>
      <c r="K5923" s="455">
        <f t="shared" ca="1" si="198"/>
        <v>50008619723983.531</v>
      </c>
      <c r="L5923" s="455">
        <f t="shared" ca="1" si="199"/>
        <v>1.2052077353480032E+16</v>
      </c>
      <c r="M5923" s="471">
        <f t="shared" si="201"/>
        <v>0.05</v>
      </c>
      <c r="N5923" s="475">
        <f t="shared" si="202"/>
        <v>231321</v>
      </c>
    </row>
    <row r="5924" spans="7:14" ht="11.25" customHeight="1" x14ac:dyDescent="0.3">
      <c r="G5924" s="470"/>
      <c r="H5924" s="470">
        <v>5917</v>
      </c>
      <c r="I5924" s="455">
        <f t="shared" ca="1" si="200"/>
        <v>1.2052077353480032E+16</v>
      </c>
      <c r="J5924" s="455">
        <f t="array" ref="J5924">IFERROR(INDEX('Retirement Calculator'!K:K,MATCH('Lorri 401b'!N5924,'Retirement Calculator'!A:A,0),0),0)</f>
        <v>0</v>
      </c>
      <c r="K5924" s="455">
        <f t="shared" ca="1" si="198"/>
        <v>50216988972833.469</v>
      </c>
      <c r="L5924" s="455">
        <f t="shared" ca="1" si="199"/>
        <v>1.2102294342452866E+16</v>
      </c>
      <c r="M5924" s="471">
        <f t="shared" si="201"/>
        <v>0.05</v>
      </c>
      <c r="N5924" s="475">
        <f t="shared" si="202"/>
        <v>231352</v>
      </c>
    </row>
    <row r="5925" spans="7:14" ht="11.25" customHeight="1" x14ac:dyDescent="0.3">
      <c r="G5925" s="470"/>
      <c r="H5925" s="470">
        <v>5918</v>
      </c>
      <c r="I5925" s="455">
        <f t="shared" ca="1" si="200"/>
        <v>1.2102294342452866E+16</v>
      </c>
      <c r="J5925" s="455">
        <f t="array" ref="J5925">IFERROR(INDEX('Retirement Calculator'!K:K,MATCH('Lorri 401b'!N5925,'Retirement Calculator'!A:A,0),0),0)</f>
        <v>0</v>
      </c>
      <c r="K5925" s="455">
        <f t="shared" ca="1" si="198"/>
        <v>50426226426886.938</v>
      </c>
      <c r="L5925" s="455">
        <f t="shared" ca="1" si="199"/>
        <v>1.2152720568879752E+16</v>
      </c>
      <c r="M5925" s="471">
        <f t="shared" si="201"/>
        <v>0.05</v>
      </c>
      <c r="N5925" s="475">
        <f t="shared" si="202"/>
        <v>231382</v>
      </c>
    </row>
    <row r="5926" spans="7:14" ht="11.25" customHeight="1" x14ac:dyDescent="0.3">
      <c r="G5926" s="470"/>
      <c r="H5926" s="470">
        <v>5919</v>
      </c>
      <c r="I5926" s="455">
        <f t="shared" ca="1" si="200"/>
        <v>1.2152720568879752E+16</v>
      </c>
      <c r="J5926" s="455">
        <f t="array" ref="J5926">IFERROR(INDEX('Retirement Calculator'!K:K,MATCH('Lorri 401b'!N5926,'Retirement Calculator'!A:A,0),0),0)</f>
        <v>0</v>
      </c>
      <c r="K5926" s="455">
        <f t="shared" ca="1" si="198"/>
        <v>50636335703665.633</v>
      </c>
      <c r="L5926" s="455">
        <f t="shared" ca="1" si="199"/>
        <v>1.2203356904583418E+16</v>
      </c>
      <c r="M5926" s="471">
        <f t="shared" si="201"/>
        <v>0.05</v>
      </c>
      <c r="N5926" s="475">
        <f t="shared" si="202"/>
        <v>231413</v>
      </c>
    </row>
    <row r="5927" spans="7:14" ht="11.25" customHeight="1" x14ac:dyDescent="0.3">
      <c r="G5927" s="470"/>
      <c r="H5927" s="470">
        <v>5920</v>
      </c>
      <c r="I5927" s="455">
        <f t="shared" ca="1" si="200"/>
        <v>1.2203356904583418E+16</v>
      </c>
      <c r="J5927" s="455">
        <f t="array" ref="J5927">IFERROR(INDEX('Retirement Calculator'!K:K,MATCH('Lorri 401b'!N5927,'Retirement Calculator'!A:A,0),0),0)</f>
        <v>0</v>
      </c>
      <c r="K5927" s="455">
        <f t="shared" ca="1" si="198"/>
        <v>50847320435764.242</v>
      </c>
      <c r="L5927" s="455">
        <f t="shared" ca="1" si="199"/>
        <v>1.2254204225019182E+16</v>
      </c>
      <c r="M5927" s="471">
        <f t="shared" si="201"/>
        <v>0.05</v>
      </c>
      <c r="N5927" s="475">
        <f t="shared" si="202"/>
        <v>231444</v>
      </c>
    </row>
    <row r="5928" spans="7:14" ht="11.25" customHeight="1" x14ac:dyDescent="0.3">
      <c r="G5928" s="470"/>
      <c r="H5928" s="470">
        <v>5921</v>
      </c>
      <c r="I5928" s="455">
        <f t="shared" ca="1" si="200"/>
        <v>1.2254204225019182E+16</v>
      </c>
      <c r="J5928" s="455">
        <f t="array" ref="J5928">IFERROR(INDEX('Retirement Calculator'!K:K,MATCH('Lorri 401b'!N5928,'Retirement Calculator'!A:A,0),0),0)</f>
        <v>0</v>
      </c>
      <c r="K5928" s="455">
        <f t="shared" ca="1" si="198"/>
        <v>51059184270913.258</v>
      </c>
      <c r="L5928" s="455">
        <f t="shared" ca="1" si="199"/>
        <v>1.2305263409290096E+16</v>
      </c>
      <c r="M5928" s="471">
        <f t="shared" si="201"/>
        <v>0.05</v>
      </c>
      <c r="N5928" s="475">
        <f t="shared" si="202"/>
        <v>231474</v>
      </c>
    </row>
    <row r="5929" spans="7:14" ht="11.25" customHeight="1" x14ac:dyDescent="0.3">
      <c r="G5929" s="470"/>
      <c r="H5929" s="470">
        <v>5922</v>
      </c>
      <c r="I5929" s="455">
        <f t="shared" ca="1" si="200"/>
        <v>1.2305263409290096E+16</v>
      </c>
      <c r="J5929" s="455">
        <f t="array" ref="J5929">IFERROR(INDEX('Retirement Calculator'!K:K,MATCH('Lorri 401b'!N5929,'Retirement Calculator'!A:A,0),0),0)</f>
        <v>0</v>
      </c>
      <c r="K5929" s="455">
        <f t="shared" ca="1" si="198"/>
        <v>51271930872042.063</v>
      </c>
      <c r="L5929" s="455">
        <f t="shared" ca="1" si="199"/>
        <v>1.2356535340162138E+16</v>
      </c>
      <c r="M5929" s="471">
        <f t="shared" si="201"/>
        <v>0.05</v>
      </c>
      <c r="N5929" s="475">
        <f t="shared" si="202"/>
        <v>231505</v>
      </c>
    </row>
    <row r="5930" spans="7:14" ht="11.25" customHeight="1" x14ac:dyDescent="0.3">
      <c r="G5930" s="470"/>
      <c r="H5930" s="470">
        <v>5923</v>
      </c>
      <c r="I5930" s="455">
        <f t="shared" ca="1" si="200"/>
        <v>1.2356535340162138E+16</v>
      </c>
      <c r="J5930" s="455">
        <f t="array" ref="J5930">IFERROR(INDEX('Retirement Calculator'!K:K,MATCH('Lorri 401b'!N5930,'Retirement Calculator'!A:A,0),0),0)</f>
        <v>0</v>
      </c>
      <c r="K5930" s="455">
        <f t="shared" ca="1" si="198"/>
        <v>51485563917342.242</v>
      </c>
      <c r="L5930" s="455">
        <f t="shared" ca="1" si="199"/>
        <v>1.240802090407948E+16</v>
      </c>
      <c r="M5930" s="471">
        <f t="shared" si="201"/>
        <v>0.05</v>
      </c>
      <c r="N5930" s="475">
        <f t="shared" si="202"/>
        <v>231535</v>
      </c>
    </row>
    <row r="5931" spans="7:14" ht="11.25" customHeight="1" x14ac:dyDescent="0.3">
      <c r="G5931" s="470"/>
      <c r="H5931" s="470">
        <v>5924</v>
      </c>
      <c r="I5931" s="455">
        <f t="shared" ca="1" si="200"/>
        <v>1.240802090407948E+16</v>
      </c>
      <c r="J5931" s="455">
        <f t="array" ref="J5931">IFERROR(INDEX('Retirement Calculator'!K:K,MATCH('Lorri 401b'!N5931,'Retirement Calculator'!A:A,0),0),0)</f>
        <v>0</v>
      </c>
      <c r="K5931" s="455">
        <f t="shared" ca="1" si="198"/>
        <v>51700087100331.164</v>
      </c>
      <c r="L5931" s="455">
        <f t="shared" ca="1" si="199"/>
        <v>1.2459720991179812E+16</v>
      </c>
      <c r="M5931" s="471">
        <f t="shared" si="201"/>
        <v>0.05</v>
      </c>
      <c r="N5931" s="475">
        <f t="shared" si="202"/>
        <v>231566</v>
      </c>
    </row>
    <row r="5932" spans="7:14" ht="11.25" customHeight="1" x14ac:dyDescent="0.3">
      <c r="G5932" s="470"/>
      <c r="H5932" s="470">
        <v>5925</v>
      </c>
      <c r="I5932" s="455">
        <f t="shared" ca="1" si="200"/>
        <v>1.2459720991179812E+16</v>
      </c>
      <c r="J5932" s="455">
        <f t="array" ref="J5932">IFERROR(INDEX('Retirement Calculator'!K:K,MATCH('Lorri 401b'!N5932,'Retirement Calculator'!A:A,0),0),0)</f>
        <v>0</v>
      </c>
      <c r="K5932" s="455">
        <f t="shared" ca="1" si="198"/>
        <v>51915504129915.883</v>
      </c>
      <c r="L5932" s="455">
        <f t="shared" ca="1" si="199"/>
        <v>1.2511636495309728E+16</v>
      </c>
      <c r="M5932" s="471">
        <f t="shared" si="201"/>
        <v>0.05</v>
      </c>
      <c r="N5932" s="475">
        <f t="shared" si="202"/>
        <v>231597</v>
      </c>
    </row>
    <row r="5933" spans="7:14" ht="11.25" customHeight="1" x14ac:dyDescent="0.3">
      <c r="G5933" s="470"/>
      <c r="H5933" s="470">
        <v>5926</v>
      </c>
      <c r="I5933" s="455">
        <f t="shared" ca="1" si="200"/>
        <v>1.2511636495309728E+16</v>
      </c>
      <c r="J5933" s="455">
        <f t="array" ref="J5933">IFERROR(INDEX('Retirement Calculator'!K:K,MATCH('Lorri 401b'!N5933,'Retirement Calculator'!A:A,0),0),0)</f>
        <v>0</v>
      </c>
      <c r="K5933" s="455">
        <f t="shared" ca="1" si="198"/>
        <v>52131818730457.203</v>
      </c>
      <c r="L5933" s="455">
        <f t="shared" ca="1" si="199"/>
        <v>1.2563768314040186E+16</v>
      </c>
      <c r="M5933" s="471">
        <f t="shared" si="201"/>
        <v>0.05</v>
      </c>
      <c r="N5933" s="475">
        <f t="shared" si="202"/>
        <v>231625</v>
      </c>
    </row>
    <row r="5934" spans="7:14" ht="11.25" customHeight="1" x14ac:dyDescent="0.3">
      <c r="G5934" s="470"/>
      <c r="H5934" s="470">
        <v>5927</v>
      </c>
      <c r="I5934" s="455">
        <f t="shared" ca="1" si="200"/>
        <v>1.2563768314040186E+16</v>
      </c>
      <c r="J5934" s="455">
        <f t="array" ref="J5934">IFERROR(INDEX('Retirement Calculator'!K:K,MATCH('Lorri 401b'!N5934,'Retirement Calculator'!A:A,0),0),0)</f>
        <v>0</v>
      </c>
      <c r="K5934" s="455">
        <f t="shared" ca="1" si="198"/>
        <v>52349034641834.109</v>
      </c>
      <c r="L5934" s="455">
        <f t="shared" ca="1" si="199"/>
        <v>1.261611734868202E+16</v>
      </c>
      <c r="M5934" s="471">
        <f t="shared" si="201"/>
        <v>0.05</v>
      </c>
      <c r="N5934" s="475">
        <f t="shared" si="202"/>
        <v>231656</v>
      </c>
    </row>
    <row r="5935" spans="7:14" ht="11.25" customHeight="1" x14ac:dyDescent="0.3">
      <c r="G5935" s="470"/>
      <c r="H5935" s="470">
        <v>5928</v>
      </c>
      <c r="I5935" s="455">
        <f t="shared" ca="1" si="200"/>
        <v>1.261611734868202E+16</v>
      </c>
      <c r="J5935" s="455">
        <f t="array" ref="J5935">IFERROR(INDEX('Retirement Calculator'!K:K,MATCH('Lorri 401b'!N5935,'Retirement Calculator'!A:A,0),0),0)</f>
        <v>0</v>
      </c>
      <c r="K5935" s="455">
        <f t="shared" ca="1" si="198"/>
        <v>52567155619508.414</v>
      </c>
      <c r="L5935" s="455">
        <f t="shared" ca="1" si="199"/>
        <v>1.2668684504301528E+16</v>
      </c>
      <c r="M5935" s="471">
        <f t="shared" si="201"/>
        <v>0.05</v>
      </c>
      <c r="N5935" s="475">
        <f t="shared" si="202"/>
        <v>231686</v>
      </c>
    </row>
    <row r="5936" spans="7:14" ht="11.25" customHeight="1" x14ac:dyDescent="0.3">
      <c r="G5936" s="470"/>
      <c r="H5936" s="470">
        <v>5929</v>
      </c>
      <c r="I5936" s="455">
        <f t="shared" ca="1" si="200"/>
        <v>1.2668684504301528E+16</v>
      </c>
      <c r="J5936" s="455">
        <f t="array" ref="J5936">IFERROR(INDEX('Retirement Calculator'!K:K,MATCH('Lorri 401b'!N5936,'Retirement Calculator'!A:A,0),0),0)</f>
        <v>0</v>
      </c>
      <c r="K5936" s="455">
        <f t="shared" ca="1" si="198"/>
        <v>52786185434589.703</v>
      </c>
      <c r="L5936" s="455">
        <f t="shared" ca="1" si="199"/>
        <v>1.2721470689736118E+16</v>
      </c>
      <c r="M5936" s="471">
        <f t="shared" si="201"/>
        <v>0.05</v>
      </c>
      <c r="N5936" s="475">
        <f t="shared" si="202"/>
        <v>231717</v>
      </c>
    </row>
    <row r="5937" spans="7:14" ht="11.25" customHeight="1" x14ac:dyDescent="0.3">
      <c r="G5937" s="470"/>
      <c r="H5937" s="470">
        <v>5930</v>
      </c>
      <c r="I5937" s="455">
        <f t="shared" ca="1" si="200"/>
        <v>1.2721470689736118E+16</v>
      </c>
      <c r="J5937" s="455">
        <f t="array" ref="J5937">IFERROR(INDEX('Retirement Calculator'!K:K,MATCH('Lorri 401b'!N5937,'Retirement Calculator'!A:A,0),0),0)</f>
        <v>0</v>
      </c>
      <c r="K5937" s="455">
        <f t="shared" ca="1" si="198"/>
        <v>53006127873900.492</v>
      </c>
      <c r="L5937" s="455">
        <f t="shared" ca="1" si="199"/>
        <v>1.2774476817610018E+16</v>
      </c>
      <c r="M5937" s="471">
        <f t="shared" si="201"/>
        <v>0.05</v>
      </c>
      <c r="N5937" s="475">
        <f t="shared" si="202"/>
        <v>231747</v>
      </c>
    </row>
    <row r="5938" spans="7:14" ht="11.25" customHeight="1" x14ac:dyDescent="0.3">
      <c r="G5938" s="470"/>
      <c r="H5938" s="470">
        <v>5931</v>
      </c>
      <c r="I5938" s="455">
        <f t="shared" ca="1" si="200"/>
        <v>1.2774476817610018E+16</v>
      </c>
      <c r="J5938" s="455">
        <f t="array" ref="J5938">IFERROR(INDEX('Retirement Calculator'!K:K,MATCH('Lorri 401b'!N5938,'Retirement Calculator'!A:A,0),0),0)</f>
        <v>0</v>
      </c>
      <c r="K5938" s="455">
        <f t="shared" ca="1" si="198"/>
        <v>53226986740041.742</v>
      </c>
      <c r="L5938" s="455">
        <f t="shared" ca="1" si="199"/>
        <v>1.282770380435006E+16</v>
      </c>
      <c r="M5938" s="471">
        <f t="shared" si="201"/>
        <v>0.05</v>
      </c>
      <c r="N5938" s="475">
        <f t="shared" si="202"/>
        <v>231778</v>
      </c>
    </row>
    <row r="5939" spans="7:14" ht="11.25" customHeight="1" x14ac:dyDescent="0.3">
      <c r="G5939" s="470"/>
      <c r="H5939" s="470">
        <v>5932</v>
      </c>
      <c r="I5939" s="455">
        <f t="shared" ca="1" si="200"/>
        <v>1.282770380435006E+16</v>
      </c>
      <c r="J5939" s="455">
        <f t="array" ref="J5939">IFERROR(INDEX('Retirement Calculator'!K:K,MATCH('Lorri 401b'!N5939,'Retirement Calculator'!A:A,0),0),0)</f>
        <v>0</v>
      </c>
      <c r="K5939" s="455">
        <f t="shared" ca="1" si="198"/>
        <v>53448765851458.586</v>
      </c>
      <c r="L5939" s="455">
        <f t="shared" ca="1" si="199"/>
        <v>1.2881152570201518E+16</v>
      </c>
      <c r="M5939" s="471">
        <f t="shared" si="201"/>
        <v>0.05</v>
      </c>
      <c r="N5939" s="475">
        <f t="shared" si="202"/>
        <v>231809</v>
      </c>
    </row>
    <row r="5940" spans="7:14" ht="11.25" customHeight="1" x14ac:dyDescent="0.3">
      <c r="G5940" s="470"/>
      <c r="H5940" s="470">
        <v>5933</v>
      </c>
      <c r="I5940" s="455">
        <f t="shared" ca="1" si="200"/>
        <v>1.2881152570201518E+16</v>
      </c>
      <c r="J5940" s="455">
        <f t="array" ref="J5940">IFERROR(INDEX('Retirement Calculator'!K:K,MATCH('Lorri 401b'!N5940,'Retirement Calculator'!A:A,0),0),0)</f>
        <v>0</v>
      </c>
      <c r="K5940" s="455">
        <f t="shared" ca="1" si="198"/>
        <v>53671469042506.328</v>
      </c>
      <c r="L5940" s="455">
        <f t="shared" ca="1" si="199"/>
        <v>1.2934824039244024E+16</v>
      </c>
      <c r="M5940" s="471">
        <f t="shared" si="201"/>
        <v>0.05</v>
      </c>
      <c r="N5940" s="475">
        <f t="shared" si="202"/>
        <v>231839</v>
      </c>
    </row>
    <row r="5941" spans="7:14" ht="11.25" customHeight="1" x14ac:dyDescent="0.3">
      <c r="G5941" s="470"/>
      <c r="H5941" s="470">
        <v>5934</v>
      </c>
      <c r="I5941" s="455">
        <f t="shared" ca="1" si="200"/>
        <v>1.2934824039244024E+16</v>
      </c>
      <c r="J5941" s="455">
        <f t="array" ref="J5941">IFERROR(INDEX('Retirement Calculator'!K:K,MATCH('Lorri 401b'!N5941,'Retirement Calculator'!A:A,0),0),0)</f>
        <v>0</v>
      </c>
      <c r="K5941" s="455">
        <f t="shared" ca="1" si="198"/>
        <v>53895100163516.766</v>
      </c>
      <c r="L5941" s="455">
        <f t="shared" ca="1" si="199"/>
        <v>1.298871913940754E+16</v>
      </c>
      <c r="M5941" s="471">
        <f t="shared" si="201"/>
        <v>0.05</v>
      </c>
      <c r="N5941" s="475">
        <f t="shared" si="202"/>
        <v>231870</v>
      </c>
    </row>
    <row r="5942" spans="7:14" ht="11.25" customHeight="1" x14ac:dyDescent="0.3">
      <c r="G5942" s="470"/>
      <c r="H5942" s="470">
        <v>5935</v>
      </c>
      <c r="I5942" s="455">
        <f t="shared" ca="1" si="200"/>
        <v>1.298871913940754E+16</v>
      </c>
      <c r="J5942" s="455">
        <f t="array" ref="J5942">IFERROR(INDEX('Retirement Calculator'!K:K,MATCH('Lorri 401b'!N5942,'Retirement Calculator'!A:A,0),0),0)</f>
        <v>0</v>
      </c>
      <c r="K5942" s="455">
        <f t="shared" ca="1" si="198"/>
        <v>54119663080864.75</v>
      </c>
      <c r="L5942" s="455">
        <f t="shared" ca="1" si="199"/>
        <v>1.3042838802488404E+16</v>
      </c>
      <c r="M5942" s="471">
        <f t="shared" si="201"/>
        <v>0.05</v>
      </c>
      <c r="N5942" s="475">
        <f t="shared" si="202"/>
        <v>231900</v>
      </c>
    </row>
    <row r="5943" spans="7:14" ht="11.25" customHeight="1" x14ac:dyDescent="0.3">
      <c r="G5943" s="470"/>
      <c r="H5943" s="470">
        <v>5936</v>
      </c>
      <c r="I5943" s="455">
        <f t="shared" ca="1" si="200"/>
        <v>1.3042838802488404E+16</v>
      </c>
      <c r="J5943" s="455">
        <f t="array" ref="J5943">IFERROR(INDEX('Retirement Calculator'!K:K,MATCH('Lorri 401b'!N5943,'Retirement Calculator'!A:A,0),0),0)</f>
        <v>0</v>
      </c>
      <c r="K5943" s="455">
        <f t="shared" ca="1" si="198"/>
        <v>54345161677035.016</v>
      </c>
      <c r="L5943" s="455">
        <f t="shared" ca="1" si="199"/>
        <v>1.309718396416544E+16</v>
      </c>
      <c r="M5943" s="471">
        <f t="shared" si="201"/>
        <v>0.05</v>
      </c>
      <c r="N5943" s="475">
        <f t="shared" si="202"/>
        <v>231931</v>
      </c>
    </row>
    <row r="5944" spans="7:14" ht="11.25" customHeight="1" x14ac:dyDescent="0.3">
      <c r="G5944" s="470"/>
      <c r="H5944" s="470">
        <v>5937</v>
      </c>
      <c r="I5944" s="455">
        <f t="shared" ca="1" si="200"/>
        <v>1.309718396416544E+16</v>
      </c>
      <c r="J5944" s="455">
        <f t="array" ref="J5944">IFERROR(INDEX('Retirement Calculator'!K:K,MATCH('Lorri 401b'!N5944,'Retirement Calculator'!A:A,0),0),0)</f>
        <v>0</v>
      </c>
      <c r="K5944" s="455">
        <f t="shared" ca="1" si="198"/>
        <v>54571599850689.336</v>
      </c>
      <c r="L5944" s="455">
        <f t="shared" ca="1" si="199"/>
        <v>1.315175556401613E+16</v>
      </c>
      <c r="M5944" s="471">
        <f t="shared" si="201"/>
        <v>0.05</v>
      </c>
      <c r="N5944" s="475">
        <f t="shared" si="202"/>
        <v>231962</v>
      </c>
    </row>
    <row r="5945" spans="7:14" ht="11.25" customHeight="1" x14ac:dyDescent="0.3">
      <c r="G5945" s="470"/>
      <c r="H5945" s="470">
        <v>5938</v>
      </c>
      <c r="I5945" s="455">
        <f t="shared" ca="1" si="200"/>
        <v>1.315175556401613E+16</v>
      </c>
      <c r="J5945" s="455">
        <f t="array" ref="J5945">IFERROR(INDEX('Retirement Calculator'!K:K,MATCH('Lorri 401b'!N5945,'Retirement Calculator'!A:A,0),0),0)</f>
        <v>0</v>
      </c>
      <c r="K5945" s="455">
        <f t="shared" ca="1" si="198"/>
        <v>54798981516733.875</v>
      </c>
      <c r="L5945" s="455">
        <f t="shared" ca="1" si="199"/>
        <v>1.3206554545532864E+16</v>
      </c>
      <c r="M5945" s="471">
        <f t="shared" si="201"/>
        <v>0.05</v>
      </c>
      <c r="N5945" s="475">
        <f t="shared" si="202"/>
        <v>231990</v>
      </c>
    </row>
    <row r="5946" spans="7:14" ht="11.25" customHeight="1" x14ac:dyDescent="0.3">
      <c r="G5946" s="470"/>
      <c r="H5946" s="470">
        <v>5939</v>
      </c>
      <c r="I5946" s="455">
        <f t="shared" ca="1" si="200"/>
        <v>1.3206554545532864E+16</v>
      </c>
      <c r="J5946" s="455">
        <f t="array" ref="J5946">IFERROR(INDEX('Retirement Calculator'!K:K,MATCH('Lorri 401b'!N5946,'Retirement Calculator'!A:A,0),0),0)</f>
        <v>0</v>
      </c>
      <c r="K5946" s="455">
        <f t="shared" ca="1" si="198"/>
        <v>55027310606386.93</v>
      </c>
      <c r="L5946" s="455">
        <f t="shared" ca="1" si="199"/>
        <v>1.326158185613925E+16</v>
      </c>
      <c r="M5946" s="471">
        <f t="shared" si="201"/>
        <v>0.05</v>
      </c>
      <c r="N5946" s="475">
        <f t="shared" si="202"/>
        <v>232021</v>
      </c>
    </row>
    <row r="5947" spans="7:14" ht="11.25" customHeight="1" x14ac:dyDescent="0.3">
      <c r="G5947" s="470"/>
      <c r="H5947" s="470">
        <v>5940</v>
      </c>
      <c r="I5947" s="455">
        <f t="shared" ca="1" si="200"/>
        <v>1.326158185613925E+16</v>
      </c>
      <c r="J5947" s="455">
        <f t="array" ref="J5947">IFERROR(INDEX('Retirement Calculator'!K:K,MATCH('Lorri 401b'!N5947,'Retirement Calculator'!A:A,0),0),0)</f>
        <v>0</v>
      </c>
      <c r="K5947" s="455">
        <f t="shared" ca="1" si="198"/>
        <v>55256591067246.875</v>
      </c>
      <c r="L5947" s="455">
        <f t="shared" ca="1" si="199"/>
        <v>1.3316838447206496E+16</v>
      </c>
      <c r="M5947" s="471">
        <f t="shared" si="201"/>
        <v>0.05</v>
      </c>
      <c r="N5947" s="475">
        <f t="shared" si="202"/>
        <v>232051</v>
      </c>
    </row>
    <row r="5948" spans="7:14" ht="11.25" customHeight="1" x14ac:dyDescent="0.3">
      <c r="G5948" s="470"/>
      <c r="H5948" s="470">
        <v>5941</v>
      </c>
      <c r="I5948" s="455">
        <f t="shared" ca="1" si="200"/>
        <v>1.3316838447206496E+16</v>
      </c>
      <c r="J5948" s="455">
        <f t="array" ref="J5948">IFERROR(INDEX('Retirement Calculator'!K:K,MATCH('Lorri 401b'!N5948,'Retirement Calculator'!A:A,0),0),0)</f>
        <v>0</v>
      </c>
      <c r="K5948" s="455">
        <f t="shared" ca="1" si="198"/>
        <v>55486826863360.398</v>
      </c>
      <c r="L5948" s="455">
        <f t="shared" ca="1" si="199"/>
        <v>1.3372325274069856E+16</v>
      </c>
      <c r="M5948" s="471">
        <f t="shared" si="201"/>
        <v>0.05</v>
      </c>
      <c r="N5948" s="475">
        <f t="shared" si="202"/>
        <v>232082</v>
      </c>
    </row>
    <row r="5949" spans="7:14" ht="11.25" customHeight="1" x14ac:dyDescent="0.3">
      <c r="G5949" s="470"/>
      <c r="H5949" s="470">
        <v>5942</v>
      </c>
      <c r="I5949" s="455">
        <f t="shared" ca="1" si="200"/>
        <v>1.3372325274069856E+16</v>
      </c>
      <c r="J5949" s="455">
        <f t="array" ref="J5949">IFERROR(INDEX('Retirement Calculator'!K:K,MATCH('Lorri 401b'!N5949,'Retirement Calculator'!A:A,0),0),0)</f>
        <v>0</v>
      </c>
      <c r="K5949" s="455">
        <f t="shared" ca="1" si="198"/>
        <v>55718021975291.063</v>
      </c>
      <c r="L5949" s="455">
        <f t="shared" ca="1" si="199"/>
        <v>1.3428043296045148E+16</v>
      </c>
      <c r="M5949" s="471">
        <f t="shared" si="201"/>
        <v>0.05</v>
      </c>
      <c r="N5949" s="475">
        <f t="shared" si="202"/>
        <v>232112</v>
      </c>
    </row>
    <row r="5950" spans="7:14" ht="11.25" customHeight="1" x14ac:dyDescent="0.3">
      <c r="G5950" s="470"/>
      <c r="H5950" s="470">
        <v>5943</v>
      </c>
      <c r="I5950" s="455">
        <f t="shared" ca="1" si="200"/>
        <v>1.3428043296045148E+16</v>
      </c>
      <c r="J5950" s="455">
        <f t="array" ref="J5950">IFERROR(INDEX('Retirement Calculator'!K:K,MATCH('Lorri 401b'!N5950,'Retirement Calculator'!A:A,0),0),0)</f>
        <v>0</v>
      </c>
      <c r="K5950" s="455">
        <f t="shared" ca="1" si="198"/>
        <v>55950180400188.117</v>
      </c>
      <c r="L5950" s="455">
        <f t="shared" ca="1" si="199"/>
        <v>1.3483993476445336E+16</v>
      </c>
      <c r="M5950" s="471">
        <f t="shared" si="201"/>
        <v>0.05</v>
      </c>
      <c r="N5950" s="475">
        <f t="shared" si="202"/>
        <v>232143</v>
      </c>
    </row>
    <row r="5951" spans="7:14" ht="11.25" customHeight="1" x14ac:dyDescent="0.3">
      <c r="G5951" s="470"/>
      <c r="H5951" s="470">
        <v>5944</v>
      </c>
      <c r="I5951" s="455">
        <f t="shared" ca="1" si="200"/>
        <v>1.3483993476445336E+16</v>
      </c>
      <c r="J5951" s="455">
        <f t="array" ref="J5951">IFERROR(INDEX('Retirement Calculator'!K:K,MATCH('Lorri 401b'!N5951,'Retirement Calculator'!A:A,0),0),0)</f>
        <v>0</v>
      </c>
      <c r="K5951" s="455">
        <f t="shared" ca="1" si="198"/>
        <v>56183306151855.563</v>
      </c>
      <c r="L5951" s="455">
        <f t="shared" ca="1" si="199"/>
        <v>1.3540176782597192E+16</v>
      </c>
      <c r="M5951" s="471">
        <f t="shared" si="201"/>
        <v>0.05</v>
      </c>
      <c r="N5951" s="475">
        <f t="shared" si="202"/>
        <v>232174</v>
      </c>
    </row>
    <row r="5952" spans="7:14" ht="11.25" customHeight="1" x14ac:dyDescent="0.3">
      <c r="G5952" s="470"/>
      <c r="H5952" s="470">
        <v>5945</v>
      </c>
      <c r="I5952" s="455">
        <f t="shared" ca="1" si="200"/>
        <v>1.3540176782597192E+16</v>
      </c>
      <c r="J5952" s="455">
        <f t="array" ref="J5952">IFERROR(INDEX('Retirement Calculator'!K:K,MATCH('Lorri 401b'!N5952,'Retirement Calculator'!A:A,0),0),0)</f>
        <v>0</v>
      </c>
      <c r="K5952" s="455">
        <f t="shared" ca="1" si="198"/>
        <v>56417403260821.633</v>
      </c>
      <c r="L5952" s="455">
        <f t="shared" ca="1" si="199"/>
        <v>1.3596594185858014E+16</v>
      </c>
      <c r="M5952" s="471">
        <f t="shared" si="201"/>
        <v>0.05</v>
      </c>
      <c r="N5952" s="475">
        <f t="shared" si="202"/>
        <v>232204</v>
      </c>
    </row>
    <row r="5953" spans="7:14" ht="11.25" customHeight="1" x14ac:dyDescent="0.3">
      <c r="G5953" s="470"/>
      <c r="H5953" s="470">
        <v>5946</v>
      </c>
      <c r="I5953" s="455">
        <f t="shared" ca="1" si="200"/>
        <v>1.3596594185858014E+16</v>
      </c>
      <c r="J5953" s="455">
        <f t="array" ref="J5953">IFERROR(INDEX('Retirement Calculator'!K:K,MATCH('Lorri 401b'!N5953,'Retirement Calculator'!A:A,0),0),0)</f>
        <v>0</v>
      </c>
      <c r="K5953" s="455">
        <f t="shared" ca="1" si="198"/>
        <v>56652475774408.391</v>
      </c>
      <c r="L5953" s="455">
        <f t="shared" ca="1" si="199"/>
        <v>1.3653246661632422E+16</v>
      </c>
      <c r="M5953" s="471">
        <f t="shared" si="201"/>
        <v>0.05</v>
      </c>
      <c r="N5953" s="475">
        <f t="shared" si="202"/>
        <v>232235</v>
      </c>
    </row>
    <row r="5954" spans="7:14" ht="11.25" customHeight="1" x14ac:dyDescent="0.3">
      <c r="G5954" s="470"/>
      <c r="H5954" s="470">
        <v>5947</v>
      </c>
      <c r="I5954" s="455">
        <f t="shared" ca="1" si="200"/>
        <v>1.3653246661632422E+16</v>
      </c>
      <c r="J5954" s="455">
        <f t="array" ref="J5954">IFERROR(INDEX('Retirement Calculator'!K:K,MATCH('Lorri 401b'!N5954,'Retirement Calculator'!A:A,0),0),0)</f>
        <v>0</v>
      </c>
      <c r="K5954" s="455">
        <f t="shared" ca="1" si="198"/>
        <v>56888527756801.758</v>
      </c>
      <c r="L5954" s="455">
        <f t="shared" ca="1" si="199"/>
        <v>1.3710135189389224E+16</v>
      </c>
      <c r="M5954" s="471">
        <f t="shared" si="201"/>
        <v>0.05</v>
      </c>
      <c r="N5954" s="475">
        <f t="shared" si="202"/>
        <v>232265</v>
      </c>
    </row>
    <row r="5955" spans="7:14" ht="11.25" customHeight="1" x14ac:dyDescent="0.3">
      <c r="G5955" s="470"/>
      <c r="H5955" s="470">
        <v>5948</v>
      </c>
      <c r="I5955" s="455">
        <f t="shared" ca="1" si="200"/>
        <v>1.3710135189389224E+16</v>
      </c>
      <c r="J5955" s="455">
        <f t="array" ref="J5955">IFERROR(INDEX('Retirement Calculator'!K:K,MATCH('Lorri 401b'!N5955,'Retirement Calculator'!A:A,0),0),0)</f>
        <v>0</v>
      </c>
      <c r="K5955" s="455">
        <f t="shared" ca="1" si="198"/>
        <v>57125563289121.766</v>
      </c>
      <c r="L5955" s="455">
        <f t="shared" ca="1" si="199"/>
        <v>1.3767260752678346E+16</v>
      </c>
      <c r="M5955" s="471">
        <f t="shared" si="201"/>
        <v>0.05</v>
      </c>
      <c r="N5955" s="475">
        <f t="shared" si="202"/>
        <v>232296</v>
      </c>
    </row>
    <row r="5956" spans="7:14" ht="11.25" customHeight="1" x14ac:dyDescent="0.3">
      <c r="G5956" s="470"/>
      <c r="H5956" s="470">
        <v>5949</v>
      </c>
      <c r="I5956" s="455">
        <f t="shared" ca="1" si="200"/>
        <v>1.3767260752678346E+16</v>
      </c>
      <c r="J5956" s="455">
        <f t="array" ref="J5956">IFERROR(INDEX('Retirement Calculator'!K:K,MATCH('Lorri 401b'!N5956,'Retirement Calculator'!A:A,0),0),0)</f>
        <v>0</v>
      </c>
      <c r="K5956" s="455">
        <f t="shared" ca="1" si="198"/>
        <v>57363586469493.109</v>
      </c>
      <c r="L5956" s="455">
        <f t="shared" ca="1" si="199"/>
        <v>1.382462433914784E+16</v>
      </c>
      <c r="M5956" s="471">
        <f t="shared" si="201"/>
        <v>0.05</v>
      </c>
      <c r="N5956" s="475">
        <f t="shared" si="202"/>
        <v>232327</v>
      </c>
    </row>
    <row r="5957" spans="7:14" ht="11.25" customHeight="1" x14ac:dyDescent="0.3">
      <c r="G5957" s="470"/>
      <c r="H5957" s="470">
        <v>5950</v>
      </c>
      <c r="I5957" s="455">
        <f t="shared" ca="1" si="200"/>
        <v>1.382462433914784E+16</v>
      </c>
      <c r="J5957" s="455">
        <f t="array" ref="J5957">IFERROR(INDEX('Retirement Calculator'!K:K,MATCH('Lorri 401b'!N5957,'Retirement Calculator'!A:A,0),0),0)</f>
        <v>0</v>
      </c>
      <c r="K5957" s="455">
        <f t="shared" ca="1" si="198"/>
        <v>57602601413116</v>
      </c>
      <c r="L5957" s="455">
        <f t="shared" ca="1" si="199"/>
        <v>1.3882226940560956E+16</v>
      </c>
      <c r="M5957" s="471">
        <f t="shared" si="201"/>
        <v>0.05</v>
      </c>
      <c r="N5957" s="475">
        <f t="shared" si="202"/>
        <v>232356</v>
      </c>
    </row>
    <row r="5958" spans="7:14" ht="11.25" customHeight="1" x14ac:dyDescent="0.3">
      <c r="G5958" s="470"/>
      <c r="H5958" s="470">
        <v>5951</v>
      </c>
      <c r="I5958" s="455">
        <f t="shared" ca="1" si="200"/>
        <v>1.3882226940560956E+16</v>
      </c>
      <c r="J5958" s="455">
        <f t="array" ref="J5958">IFERROR(INDEX('Retirement Calculator'!K:K,MATCH('Lorri 401b'!N5958,'Retirement Calculator'!A:A,0),0),0)</f>
        <v>0</v>
      </c>
      <c r="K5958" s="455">
        <f t="shared" ca="1" si="198"/>
        <v>57842612252337.313</v>
      </c>
      <c r="L5958" s="455">
        <f t="shared" ca="1" si="199"/>
        <v>1.3940069552813294E+16</v>
      </c>
      <c r="M5958" s="471">
        <f t="shared" si="201"/>
        <v>0.05</v>
      </c>
      <c r="N5958" s="475">
        <f t="shared" si="202"/>
        <v>232387</v>
      </c>
    </row>
    <row r="5959" spans="7:14" ht="11.25" customHeight="1" x14ac:dyDescent="0.3">
      <c r="G5959" s="470"/>
      <c r="H5959" s="470">
        <v>5952</v>
      </c>
      <c r="I5959" s="455">
        <f t="shared" ca="1" si="200"/>
        <v>1.3940069552813294E+16</v>
      </c>
      <c r="J5959" s="455">
        <f t="array" ref="J5959">IFERROR(INDEX('Retirement Calculator'!K:K,MATCH('Lorri 401b'!N5959,'Retirement Calculator'!A:A,0),0),0)</f>
        <v>0</v>
      </c>
      <c r="K5959" s="455">
        <f t="shared" ca="1" si="198"/>
        <v>58083623136722.055</v>
      </c>
      <c r="L5959" s="455">
        <f t="shared" ca="1" si="199"/>
        <v>1.3998153175950016E+16</v>
      </c>
      <c r="M5959" s="471">
        <f t="shared" si="201"/>
        <v>0.05</v>
      </c>
      <c r="N5959" s="475">
        <f t="shared" si="202"/>
        <v>232417</v>
      </c>
    </row>
    <row r="5960" spans="7:14" ht="11.25" customHeight="1" x14ac:dyDescent="0.3">
      <c r="G5960" s="470"/>
      <c r="H5960" s="470">
        <v>5953</v>
      </c>
      <c r="I5960" s="455">
        <f t="shared" ca="1" si="200"/>
        <v>1.3998153175950016E+16</v>
      </c>
      <c r="J5960" s="455">
        <f t="array" ref="J5960">IFERROR(INDEX('Retirement Calculator'!K:K,MATCH('Lorri 401b'!N5960,'Retirement Calculator'!A:A,0),0),0)</f>
        <v>0</v>
      </c>
      <c r="K5960" s="455">
        <f t="shared" ca="1" si="198"/>
        <v>58325638233125.063</v>
      </c>
      <c r="L5960" s="455">
        <f t="shared" ca="1" si="199"/>
        <v>1.4056478814183142E+16</v>
      </c>
      <c r="M5960" s="471">
        <f t="shared" si="201"/>
        <v>0.05</v>
      </c>
      <c r="N5960" s="475">
        <f t="shared" si="202"/>
        <v>232448</v>
      </c>
    </row>
    <row r="5961" spans="7:14" ht="11.25" customHeight="1" x14ac:dyDescent="0.3">
      <c r="G5961" s="470"/>
      <c r="H5961" s="470">
        <v>5954</v>
      </c>
      <c r="I5961" s="455">
        <f t="shared" ca="1" si="200"/>
        <v>1.4056478814183142E+16</v>
      </c>
      <c r="J5961" s="455">
        <f t="array" ref="J5961">IFERROR(INDEX('Retirement Calculator'!K:K,MATCH('Lorri 401b'!N5961,'Retirement Calculator'!A:A,0),0),0)</f>
        <v>0</v>
      </c>
      <c r="K5961" s="455">
        <f t="shared" ca="1" si="198"/>
        <v>58568661725763.094</v>
      </c>
      <c r="L5961" s="455">
        <f t="shared" ca="1" si="199"/>
        <v>1.4115047475908906E+16</v>
      </c>
      <c r="M5961" s="471">
        <f t="shared" si="201"/>
        <v>0.05</v>
      </c>
      <c r="N5961" s="475">
        <f t="shared" si="202"/>
        <v>232478</v>
      </c>
    </row>
    <row r="5962" spans="7:14" ht="11.25" customHeight="1" x14ac:dyDescent="0.3">
      <c r="G5962" s="470"/>
      <c r="H5962" s="470">
        <v>5955</v>
      </c>
      <c r="I5962" s="455">
        <f t="shared" ca="1" si="200"/>
        <v>1.4115047475908906E+16</v>
      </c>
      <c r="J5962" s="455">
        <f t="array" ref="J5962">IFERROR(INDEX('Retirement Calculator'!K:K,MATCH('Lorri 401b'!N5962,'Retirement Calculator'!A:A,0),0),0)</f>
        <v>0</v>
      </c>
      <c r="K5962" s="455">
        <f t="shared" ca="1" si="198"/>
        <v>58812697816287.109</v>
      </c>
      <c r="L5962" s="455">
        <f t="shared" ca="1" si="199"/>
        <v>1.4173860173725194E+16</v>
      </c>
      <c r="M5962" s="471">
        <f t="shared" si="201"/>
        <v>0.05</v>
      </c>
      <c r="N5962" s="475">
        <f t="shared" si="202"/>
        <v>232509</v>
      </c>
    </row>
    <row r="5963" spans="7:14" ht="11.25" customHeight="1" x14ac:dyDescent="0.3">
      <c r="G5963" s="470"/>
      <c r="H5963" s="470">
        <v>5956</v>
      </c>
      <c r="I5963" s="455">
        <f t="shared" ca="1" si="200"/>
        <v>1.4173860173725194E+16</v>
      </c>
      <c r="J5963" s="455">
        <f t="array" ref="J5963">IFERROR(INDEX('Retirement Calculator'!K:K,MATCH('Lorri 401b'!N5963,'Retirement Calculator'!A:A,0),0),0)</f>
        <v>0</v>
      </c>
      <c r="K5963" s="455">
        <f t="shared" ca="1" si="198"/>
        <v>59057750723854.984</v>
      </c>
      <c r="L5963" s="455">
        <f t="shared" ca="1" si="199"/>
        <v>1.4232917924449048E+16</v>
      </c>
      <c r="M5963" s="471">
        <f t="shared" si="201"/>
        <v>0.05</v>
      </c>
      <c r="N5963" s="475">
        <f t="shared" si="202"/>
        <v>232540</v>
      </c>
    </row>
    <row r="5964" spans="7:14" ht="11.25" customHeight="1" x14ac:dyDescent="0.3">
      <c r="G5964" s="470"/>
      <c r="H5964" s="470">
        <v>5957</v>
      </c>
      <c r="I5964" s="455">
        <f t="shared" ca="1" si="200"/>
        <v>1.4232917924449048E+16</v>
      </c>
      <c r="J5964" s="455">
        <f t="array" ref="J5964">IFERROR(INDEX('Retirement Calculator'!K:K,MATCH('Lorri 401b'!N5964,'Retirement Calculator'!A:A,0),0),0)</f>
        <v>0</v>
      </c>
      <c r="K5964" s="455">
        <f t="shared" ca="1" si="198"/>
        <v>59303824685204.367</v>
      </c>
      <c r="L5964" s="455">
        <f t="shared" ca="1" si="199"/>
        <v>1.4292221749134252E+16</v>
      </c>
      <c r="M5964" s="471">
        <f t="shared" si="201"/>
        <v>0.05</v>
      </c>
      <c r="N5964" s="475">
        <f t="shared" si="202"/>
        <v>232570</v>
      </c>
    </row>
    <row r="5965" spans="7:14" ht="11.25" customHeight="1" x14ac:dyDescent="0.3">
      <c r="G5965" s="470"/>
      <c r="H5965" s="470">
        <v>5958</v>
      </c>
      <c r="I5965" s="455">
        <f t="shared" ca="1" si="200"/>
        <v>1.4292221749134252E+16</v>
      </c>
      <c r="J5965" s="455">
        <f t="array" ref="J5965">IFERROR(INDEX('Retirement Calculator'!K:K,MATCH('Lorri 401b'!N5965,'Retirement Calculator'!A:A,0),0),0)</f>
        <v>0</v>
      </c>
      <c r="K5965" s="455">
        <f t="shared" ca="1" si="198"/>
        <v>59550923954726.047</v>
      </c>
      <c r="L5965" s="455">
        <f t="shared" ca="1" si="199"/>
        <v>1.4351772673088978E+16</v>
      </c>
      <c r="M5965" s="471">
        <f t="shared" si="201"/>
        <v>0.05</v>
      </c>
      <c r="N5965" s="475">
        <f t="shared" si="202"/>
        <v>232601</v>
      </c>
    </row>
    <row r="5966" spans="7:14" ht="11.25" customHeight="1" x14ac:dyDescent="0.3">
      <c r="G5966" s="470"/>
      <c r="H5966" s="470">
        <v>5959</v>
      </c>
      <c r="I5966" s="455">
        <f t="shared" ca="1" si="200"/>
        <v>1.4351772673088978E+16</v>
      </c>
      <c r="J5966" s="455">
        <f t="array" ref="J5966">IFERROR(INDEX('Retirement Calculator'!K:K,MATCH('Lorri 401b'!N5966,'Retirement Calculator'!A:A,0),0),0)</f>
        <v>0</v>
      </c>
      <c r="K5966" s="455">
        <f t="shared" ca="1" si="198"/>
        <v>59799052804537.398</v>
      </c>
      <c r="L5966" s="455">
        <f t="shared" ca="1" si="199"/>
        <v>1.4411571725893516E+16</v>
      </c>
      <c r="M5966" s="471">
        <f t="shared" si="201"/>
        <v>0.05</v>
      </c>
      <c r="N5966" s="475">
        <f t="shared" si="202"/>
        <v>232631</v>
      </c>
    </row>
    <row r="5967" spans="7:14" ht="11.25" customHeight="1" x14ac:dyDescent="0.3">
      <c r="G5967" s="470"/>
      <c r="H5967" s="470">
        <v>5960</v>
      </c>
      <c r="I5967" s="455">
        <f t="shared" ca="1" si="200"/>
        <v>1.4411571725893516E+16</v>
      </c>
      <c r="J5967" s="455">
        <f t="array" ref="J5967">IFERROR(INDEX('Retirement Calculator'!K:K,MATCH('Lorri 401b'!N5967,'Retirement Calculator'!A:A,0),0),0)</f>
        <v>0</v>
      </c>
      <c r="K5967" s="455">
        <f t="shared" ca="1" si="198"/>
        <v>60048215524556.32</v>
      </c>
      <c r="L5967" s="455">
        <f t="shared" ca="1" si="199"/>
        <v>1.4471619941418072E+16</v>
      </c>
      <c r="M5967" s="471">
        <f t="shared" si="201"/>
        <v>0.05</v>
      </c>
      <c r="N5967" s="475">
        <f t="shared" si="202"/>
        <v>232662</v>
      </c>
    </row>
    <row r="5968" spans="7:14" ht="11.25" customHeight="1" x14ac:dyDescent="0.3">
      <c r="G5968" s="470"/>
      <c r="H5968" s="470">
        <v>5961</v>
      </c>
      <c r="I5968" s="455">
        <f t="shared" ca="1" si="200"/>
        <v>1.4471619941418072E+16</v>
      </c>
      <c r="J5968" s="455">
        <f t="array" ref="J5968">IFERROR(INDEX('Retirement Calculator'!K:K,MATCH('Lorri 401b'!N5968,'Retirement Calculator'!A:A,0),0),0)</f>
        <v>0</v>
      </c>
      <c r="K5968" s="455">
        <f t="shared" ca="1" si="198"/>
        <v>60298416422575.297</v>
      </c>
      <c r="L5968" s="455">
        <f t="shared" ca="1" si="199"/>
        <v>1.4531918357840648E+16</v>
      </c>
      <c r="M5968" s="471">
        <f t="shared" si="201"/>
        <v>0.05</v>
      </c>
      <c r="N5968" s="475">
        <f t="shared" si="202"/>
        <v>232693</v>
      </c>
    </row>
    <row r="5969" spans="7:14" ht="11.25" customHeight="1" x14ac:dyDescent="0.3">
      <c r="G5969" s="470"/>
      <c r="H5969" s="470">
        <v>5962</v>
      </c>
      <c r="I5969" s="455">
        <f t="shared" ca="1" si="200"/>
        <v>1.4531918357840648E+16</v>
      </c>
      <c r="J5969" s="455">
        <f t="array" ref="J5969">IFERROR(INDEX('Retirement Calculator'!K:K,MATCH('Lorri 401b'!N5969,'Retirement Calculator'!A:A,0),0),0)</f>
        <v>0</v>
      </c>
      <c r="K5969" s="455">
        <f t="shared" ca="1" si="198"/>
        <v>60549659824336.031</v>
      </c>
      <c r="L5969" s="455">
        <f t="shared" ca="1" si="199"/>
        <v>1.4592468017664984E+16</v>
      </c>
      <c r="M5969" s="471">
        <f t="shared" si="201"/>
        <v>0.05</v>
      </c>
      <c r="N5969" s="475">
        <f t="shared" si="202"/>
        <v>232721</v>
      </c>
    </row>
    <row r="5970" spans="7:14" ht="11.25" customHeight="1" x14ac:dyDescent="0.3">
      <c r="G5970" s="470"/>
      <c r="H5970" s="470">
        <v>5963</v>
      </c>
      <c r="I5970" s="455">
        <f t="shared" ca="1" si="200"/>
        <v>1.4592468017664984E+16</v>
      </c>
      <c r="J5970" s="455">
        <f t="array" ref="J5970">IFERROR(INDEX('Retirement Calculator'!K:K,MATCH('Lorri 401b'!N5970,'Retirement Calculator'!A:A,0),0),0)</f>
        <v>0</v>
      </c>
      <c r="K5970" s="455">
        <f t="shared" ca="1" si="198"/>
        <v>60801950073604.109</v>
      </c>
      <c r="L5970" s="455">
        <f t="shared" ca="1" si="199"/>
        <v>1.4653269967738588E+16</v>
      </c>
      <c r="M5970" s="471">
        <f t="shared" si="201"/>
        <v>0.05</v>
      </c>
      <c r="N5970" s="475">
        <f t="shared" si="202"/>
        <v>232752</v>
      </c>
    </row>
    <row r="5971" spans="7:14" ht="11.25" customHeight="1" x14ac:dyDescent="0.3">
      <c r="G5971" s="470"/>
      <c r="H5971" s="470">
        <v>5964</v>
      </c>
      <c r="I5971" s="455">
        <f t="shared" ca="1" si="200"/>
        <v>1.4653269967738588E+16</v>
      </c>
      <c r="J5971" s="455">
        <f t="array" ref="J5971">IFERROR(INDEX('Retirement Calculator'!K:K,MATCH('Lorri 401b'!N5971,'Retirement Calculator'!A:A,0),0),0)</f>
        <v>0</v>
      </c>
      <c r="K5971" s="455">
        <f t="shared" ca="1" si="198"/>
        <v>61055291532244.125</v>
      </c>
      <c r="L5971" s="455">
        <f t="shared" ca="1" si="199"/>
        <v>1.4714325259270832E+16</v>
      </c>
      <c r="M5971" s="471">
        <f t="shared" si="201"/>
        <v>0.05</v>
      </c>
      <c r="N5971" s="475">
        <f t="shared" si="202"/>
        <v>232782</v>
      </c>
    </row>
    <row r="5972" spans="7:14" ht="11.25" customHeight="1" x14ac:dyDescent="0.3">
      <c r="G5972" s="470"/>
      <c r="H5972" s="470">
        <v>5965</v>
      </c>
      <c r="I5972" s="455">
        <f t="shared" ca="1" si="200"/>
        <v>1.4714325259270832E+16</v>
      </c>
      <c r="J5972" s="455">
        <f t="array" ref="J5972">IFERROR(INDEX('Retirement Calculator'!K:K,MATCH('Lorri 401b'!N5972,'Retirement Calculator'!A:A,0),0),0)</f>
        <v>0</v>
      </c>
      <c r="K5972" s="455">
        <f t="shared" ca="1" si="198"/>
        <v>61309688580295.133</v>
      </c>
      <c r="L5972" s="455">
        <f t="shared" ca="1" si="199"/>
        <v>1.4775634947851128E+16</v>
      </c>
      <c r="M5972" s="471">
        <f t="shared" si="201"/>
        <v>0.05</v>
      </c>
      <c r="N5972" s="475">
        <f t="shared" si="202"/>
        <v>232813</v>
      </c>
    </row>
    <row r="5973" spans="7:14" ht="11.25" customHeight="1" x14ac:dyDescent="0.3">
      <c r="G5973" s="470"/>
      <c r="H5973" s="470">
        <v>5966</v>
      </c>
      <c r="I5973" s="455">
        <f t="shared" ca="1" si="200"/>
        <v>1.4775634947851128E+16</v>
      </c>
      <c r="J5973" s="455">
        <f t="array" ref="J5973">IFERROR(INDEX('Retirement Calculator'!K:K,MATCH('Lorri 401b'!N5973,'Retirement Calculator'!A:A,0),0),0)</f>
        <v>0</v>
      </c>
      <c r="K5973" s="455">
        <f t="shared" ca="1" si="198"/>
        <v>61565145616046.375</v>
      </c>
      <c r="L5973" s="455">
        <f t="shared" ca="1" si="199"/>
        <v>1.4837200093467174E+16</v>
      </c>
      <c r="M5973" s="471">
        <f t="shared" si="201"/>
        <v>0.05</v>
      </c>
      <c r="N5973" s="475">
        <f t="shared" si="202"/>
        <v>232843</v>
      </c>
    </row>
    <row r="5974" spans="7:14" ht="11.25" customHeight="1" x14ac:dyDescent="0.3">
      <c r="G5974" s="470"/>
      <c r="H5974" s="470">
        <v>5967</v>
      </c>
      <c r="I5974" s="455">
        <f t="shared" ca="1" si="200"/>
        <v>1.4837200093467174E+16</v>
      </c>
      <c r="J5974" s="455">
        <f t="array" ref="J5974">IFERROR(INDEX('Retirement Calculator'!K:K,MATCH('Lorri 401b'!N5974,'Retirement Calculator'!A:A,0),0),0)</f>
        <v>0</v>
      </c>
      <c r="K5974" s="455">
        <f t="shared" ca="1" si="198"/>
        <v>61821667056113.227</v>
      </c>
      <c r="L5974" s="455">
        <f t="shared" ca="1" si="199"/>
        <v>1.4899021760523288E+16</v>
      </c>
      <c r="M5974" s="471">
        <f t="shared" si="201"/>
        <v>0.05</v>
      </c>
      <c r="N5974" s="475">
        <f t="shared" si="202"/>
        <v>232874</v>
      </c>
    </row>
    <row r="5975" spans="7:14" ht="11.25" customHeight="1" x14ac:dyDescent="0.3">
      <c r="G5975" s="470"/>
      <c r="H5975" s="470">
        <v>5968</v>
      </c>
      <c r="I5975" s="455">
        <f t="shared" ca="1" si="200"/>
        <v>1.4899021760523288E+16</v>
      </c>
      <c r="J5975" s="455">
        <f t="array" ref="J5975">IFERROR(INDEX('Retirement Calculator'!K:K,MATCH('Lorri 401b'!N5975,'Retirement Calculator'!A:A,0),0),0)</f>
        <v>0</v>
      </c>
      <c r="K5975" s="455">
        <f t="shared" ca="1" si="198"/>
        <v>62079257335513.695</v>
      </c>
      <c r="L5975" s="455">
        <f t="shared" ca="1" si="199"/>
        <v>1.4961101017858802E+16</v>
      </c>
      <c r="M5975" s="471">
        <f t="shared" si="201"/>
        <v>0.05</v>
      </c>
      <c r="N5975" s="475">
        <f t="shared" si="202"/>
        <v>232905</v>
      </c>
    </row>
    <row r="5976" spans="7:14" ht="11.25" customHeight="1" x14ac:dyDescent="0.3">
      <c r="G5976" s="470"/>
      <c r="H5976" s="470">
        <v>5969</v>
      </c>
      <c r="I5976" s="455">
        <f t="shared" ca="1" si="200"/>
        <v>1.4961101017858802E+16</v>
      </c>
      <c r="J5976" s="455">
        <f t="array" ref="J5976">IFERROR(INDEX('Retirement Calculator'!K:K,MATCH('Lorri 401b'!N5976,'Retirement Calculator'!A:A,0),0),0)</f>
        <v>0</v>
      </c>
      <c r="K5976" s="455">
        <f t="shared" ca="1" si="198"/>
        <v>62337920907745.016</v>
      </c>
      <c r="L5976" s="455">
        <f t="shared" ca="1" si="199"/>
        <v>1.5023438938766548E+16</v>
      </c>
      <c r="M5976" s="471">
        <f t="shared" si="201"/>
        <v>0.05</v>
      </c>
      <c r="N5976" s="475">
        <f t="shared" si="202"/>
        <v>232935</v>
      </c>
    </row>
    <row r="5977" spans="7:14" ht="11.25" customHeight="1" x14ac:dyDescent="0.3">
      <c r="G5977" s="470"/>
      <c r="H5977" s="470">
        <v>5970</v>
      </c>
      <c r="I5977" s="455">
        <f t="shared" ca="1" si="200"/>
        <v>1.5023438938766548E+16</v>
      </c>
      <c r="J5977" s="455">
        <f t="array" ref="J5977">IFERROR(INDEX('Retirement Calculator'!K:K,MATCH('Lorri 401b'!N5977,'Retirement Calculator'!A:A,0),0),0)</f>
        <v>0</v>
      </c>
      <c r="K5977" s="455">
        <f t="shared" ca="1" si="198"/>
        <v>62597662244860.609</v>
      </c>
      <c r="L5977" s="455">
        <f t="shared" ca="1" si="199"/>
        <v>1.5086036601011408E+16</v>
      </c>
      <c r="M5977" s="471">
        <f t="shared" si="201"/>
        <v>0.05</v>
      </c>
      <c r="N5977" s="475">
        <f t="shared" si="202"/>
        <v>232966</v>
      </c>
    </row>
    <row r="5978" spans="7:14" ht="11.25" customHeight="1" x14ac:dyDescent="0.3">
      <c r="G5978" s="470"/>
      <c r="H5978" s="470">
        <v>5971</v>
      </c>
      <c r="I5978" s="455">
        <f t="shared" ca="1" si="200"/>
        <v>1.5086036601011408E+16</v>
      </c>
      <c r="J5978" s="455">
        <f t="array" ref="J5978">IFERROR(INDEX('Retirement Calculator'!K:K,MATCH('Lorri 401b'!N5978,'Retirement Calculator'!A:A,0),0),0)</f>
        <v>0</v>
      </c>
      <c r="K5978" s="455">
        <f t="shared" ca="1" si="198"/>
        <v>62858485837547.523</v>
      </c>
      <c r="L5978" s="455">
        <f t="shared" ca="1" si="199"/>
        <v>1.5148895086848956E+16</v>
      </c>
      <c r="M5978" s="471">
        <f t="shared" si="201"/>
        <v>0.05</v>
      </c>
      <c r="N5978" s="475">
        <f t="shared" si="202"/>
        <v>232996</v>
      </c>
    </row>
    <row r="5979" spans="7:14" ht="11.25" customHeight="1" x14ac:dyDescent="0.3">
      <c r="G5979" s="470"/>
      <c r="H5979" s="470">
        <v>5972</v>
      </c>
      <c r="I5979" s="455">
        <f t="shared" ca="1" si="200"/>
        <v>1.5148895086848956E+16</v>
      </c>
      <c r="J5979" s="455">
        <f t="array" ref="J5979">IFERROR(INDEX('Retirement Calculator'!K:K,MATCH('Lorri 401b'!N5979,'Retirement Calculator'!A:A,0),0),0)</f>
        <v>0</v>
      </c>
      <c r="K5979" s="455">
        <f t="shared" ca="1" si="198"/>
        <v>63120396195203.977</v>
      </c>
      <c r="L5979" s="455">
        <f t="shared" ca="1" si="199"/>
        <v>1.521201548304416E+16</v>
      </c>
      <c r="M5979" s="471">
        <f t="shared" si="201"/>
        <v>0.05</v>
      </c>
      <c r="N5979" s="475">
        <f t="shared" si="202"/>
        <v>233027</v>
      </c>
    </row>
    <row r="5980" spans="7:14" ht="11.25" customHeight="1" x14ac:dyDescent="0.3">
      <c r="G5980" s="470"/>
      <c r="H5980" s="470">
        <v>5973</v>
      </c>
      <c r="I5980" s="455">
        <f t="shared" ca="1" si="200"/>
        <v>1.521201548304416E+16</v>
      </c>
      <c r="J5980" s="455">
        <f t="array" ref="J5980">IFERROR(INDEX('Retirement Calculator'!K:K,MATCH('Lorri 401b'!N5980,'Retirement Calculator'!A:A,0),0),0)</f>
        <v>0</v>
      </c>
      <c r="K5980" s="455">
        <f t="shared" ca="1" si="198"/>
        <v>63383397846017.336</v>
      </c>
      <c r="L5980" s="455">
        <f t="shared" ca="1" si="199"/>
        <v>1.5275398880890178E+16</v>
      </c>
      <c r="M5980" s="471">
        <f t="shared" si="201"/>
        <v>0.05</v>
      </c>
      <c r="N5980" s="475">
        <f t="shared" si="202"/>
        <v>233058</v>
      </c>
    </row>
    <row r="5981" spans="7:14" ht="11.25" customHeight="1" x14ac:dyDescent="0.3">
      <c r="G5981" s="470"/>
      <c r="H5981" s="470">
        <v>5974</v>
      </c>
      <c r="I5981" s="455">
        <f t="shared" ca="1" si="200"/>
        <v>1.5275398880890178E+16</v>
      </c>
      <c r="J5981" s="455">
        <f t="array" ref="J5981">IFERROR(INDEX('Retirement Calculator'!K:K,MATCH('Lorri 401b'!N5981,'Retirement Calculator'!A:A,0),0),0)</f>
        <v>0</v>
      </c>
      <c r="K5981" s="455">
        <f t="shared" ca="1" si="198"/>
        <v>63647495337042.406</v>
      </c>
      <c r="L5981" s="455">
        <f t="shared" ca="1" si="199"/>
        <v>1.533904637622722E+16</v>
      </c>
      <c r="M5981" s="471">
        <f t="shared" si="201"/>
        <v>0.05</v>
      </c>
      <c r="N5981" s="475">
        <f t="shared" si="202"/>
        <v>233086</v>
      </c>
    </row>
    <row r="5982" spans="7:14" ht="11.25" customHeight="1" x14ac:dyDescent="0.3">
      <c r="G5982" s="470"/>
      <c r="H5982" s="470">
        <v>5975</v>
      </c>
      <c r="I5982" s="455">
        <f t="shared" ca="1" si="200"/>
        <v>1.533904637622722E+16</v>
      </c>
      <c r="J5982" s="455">
        <f t="array" ref="J5982">IFERROR(INDEX('Retirement Calculator'!K:K,MATCH('Lorri 401b'!N5982,'Retirement Calculator'!A:A,0),0),0)</f>
        <v>0</v>
      </c>
      <c r="K5982" s="455">
        <f t="shared" ca="1" si="198"/>
        <v>63912693234280.086</v>
      </c>
      <c r="L5982" s="455">
        <f t="shared" ca="1" si="199"/>
        <v>1.54029590694615E+16</v>
      </c>
      <c r="M5982" s="471">
        <f t="shared" si="201"/>
        <v>0.05</v>
      </c>
      <c r="N5982" s="475">
        <f t="shared" si="202"/>
        <v>233117</v>
      </c>
    </row>
    <row r="5983" spans="7:14" ht="11.25" customHeight="1" x14ac:dyDescent="0.3">
      <c r="G5983" s="470"/>
      <c r="H5983" s="470">
        <v>5976</v>
      </c>
      <c r="I5983" s="455">
        <f t="shared" ca="1" si="200"/>
        <v>1.54029590694615E+16</v>
      </c>
      <c r="J5983" s="455">
        <f t="array" ref="J5983">IFERROR(INDEX('Retirement Calculator'!K:K,MATCH('Lorri 401b'!N5983,'Retirement Calculator'!A:A,0),0),0)</f>
        <v>0</v>
      </c>
      <c r="K5983" s="455">
        <f t="shared" ca="1" si="198"/>
        <v>64178996122756.242</v>
      </c>
      <c r="L5983" s="455">
        <f t="shared" ca="1" si="199"/>
        <v>1.5467138065584256E+16</v>
      </c>
      <c r="M5983" s="471">
        <f t="shared" si="201"/>
        <v>0.05</v>
      </c>
      <c r="N5983" s="475">
        <f t="shared" si="202"/>
        <v>233147</v>
      </c>
    </row>
    <row r="5984" spans="7:14" ht="11.25" customHeight="1" x14ac:dyDescent="0.3">
      <c r="G5984" s="470"/>
      <c r="H5984" s="470">
        <v>5977</v>
      </c>
      <c r="I5984" s="455">
        <f t="shared" ca="1" si="200"/>
        <v>1.5467138065584256E+16</v>
      </c>
      <c r="J5984" s="455">
        <f t="array" ref="J5984">IFERROR(INDEX('Retirement Calculator'!K:K,MATCH('Lorri 401b'!N5984,'Retirement Calculator'!A:A,0),0),0)</f>
        <v>0</v>
      </c>
      <c r="K5984" s="455">
        <f t="shared" ca="1" si="198"/>
        <v>64446408606601.063</v>
      </c>
      <c r="L5984" s="455">
        <f t="shared" ca="1" si="199"/>
        <v>1.5531584474190858E+16</v>
      </c>
      <c r="M5984" s="471">
        <f t="shared" si="201"/>
        <v>0.05</v>
      </c>
      <c r="N5984" s="475">
        <f t="shared" si="202"/>
        <v>233178</v>
      </c>
    </row>
    <row r="5985" spans="7:14" ht="11.25" customHeight="1" x14ac:dyDescent="0.3">
      <c r="G5985" s="470"/>
      <c r="H5985" s="470">
        <v>5978</v>
      </c>
      <c r="I5985" s="455">
        <f t="shared" ca="1" si="200"/>
        <v>1.5531584474190858E+16</v>
      </c>
      <c r="J5985" s="455">
        <f t="array" ref="J5985">IFERROR(INDEX('Retirement Calculator'!K:K,MATCH('Lorri 401b'!N5985,'Retirement Calculator'!A:A,0),0),0)</f>
        <v>0</v>
      </c>
      <c r="K5985" s="455">
        <f t="shared" ca="1" si="198"/>
        <v>64714935309128.586</v>
      </c>
      <c r="L5985" s="455">
        <f t="shared" ca="1" si="199"/>
        <v>1.5596299409499986E+16</v>
      </c>
      <c r="M5985" s="471">
        <f t="shared" si="201"/>
        <v>0.05</v>
      </c>
      <c r="N5985" s="475">
        <f t="shared" si="202"/>
        <v>233208</v>
      </c>
    </row>
    <row r="5986" spans="7:14" ht="11.25" customHeight="1" x14ac:dyDescent="0.3">
      <c r="G5986" s="470"/>
      <c r="H5986" s="470">
        <v>5979</v>
      </c>
      <c r="I5986" s="455">
        <f t="shared" ca="1" si="200"/>
        <v>1.5596299409499986E+16</v>
      </c>
      <c r="J5986" s="455">
        <f t="array" ref="J5986">IFERROR(INDEX('Retirement Calculator'!K:K,MATCH('Lorri 401b'!N5986,'Retirement Calculator'!A:A,0),0),0)</f>
        <v>0</v>
      </c>
      <c r="K5986" s="455">
        <f t="shared" ca="1" si="198"/>
        <v>64984580872916.609</v>
      </c>
      <c r="L5986" s="455">
        <f t="shared" ca="1" si="199"/>
        <v>1.5661283990372902E+16</v>
      </c>
      <c r="M5986" s="471">
        <f t="shared" si="201"/>
        <v>0.05</v>
      </c>
      <c r="N5986" s="475">
        <f t="shared" si="202"/>
        <v>233239</v>
      </c>
    </row>
    <row r="5987" spans="7:14" ht="11.25" customHeight="1" x14ac:dyDescent="0.3">
      <c r="G5987" s="470"/>
      <c r="H5987" s="470">
        <v>5980</v>
      </c>
      <c r="I5987" s="455">
        <f t="shared" ca="1" si="200"/>
        <v>1.5661283990372902E+16</v>
      </c>
      <c r="J5987" s="455">
        <f t="array" ref="J5987">IFERROR(INDEX('Retirement Calculator'!K:K,MATCH('Lorri 401b'!N5987,'Retirement Calculator'!A:A,0),0),0)</f>
        <v>0</v>
      </c>
      <c r="K5987" s="455">
        <f t="shared" ca="1" si="198"/>
        <v>65255349959887.094</v>
      </c>
      <c r="L5987" s="455">
        <f t="shared" ca="1" si="199"/>
        <v>1.572653934033279E+16</v>
      </c>
      <c r="M5987" s="471">
        <f t="shared" si="201"/>
        <v>0.05</v>
      </c>
      <c r="N5987" s="475">
        <f t="shared" si="202"/>
        <v>233270</v>
      </c>
    </row>
    <row r="5988" spans="7:14" ht="11.25" customHeight="1" x14ac:dyDescent="0.3">
      <c r="G5988" s="470"/>
      <c r="H5988" s="470">
        <v>5981</v>
      </c>
      <c r="I5988" s="455">
        <f t="shared" ca="1" si="200"/>
        <v>1.572653934033279E+16</v>
      </c>
      <c r="J5988" s="455">
        <f t="array" ref="J5988">IFERROR(INDEX('Retirement Calculator'!K:K,MATCH('Lorri 401b'!N5988,'Retirement Calculator'!A:A,0),0),0)</f>
        <v>0</v>
      </c>
      <c r="K5988" s="455">
        <f t="shared" ca="1" si="198"/>
        <v>65527247251386.625</v>
      </c>
      <c r="L5988" s="455">
        <f t="shared" ca="1" si="199"/>
        <v>1.5792066587584176E+16</v>
      </c>
      <c r="M5988" s="471">
        <f t="shared" si="201"/>
        <v>0.05</v>
      </c>
      <c r="N5988" s="475">
        <f t="shared" si="202"/>
        <v>233300</v>
      </c>
    </row>
    <row r="5989" spans="7:14" ht="11.25" customHeight="1" x14ac:dyDescent="0.3">
      <c r="G5989" s="470"/>
      <c r="H5989" s="470">
        <v>5982</v>
      </c>
      <c r="I5989" s="455">
        <f t="shared" ca="1" si="200"/>
        <v>1.5792066587584176E+16</v>
      </c>
      <c r="J5989" s="455">
        <f t="array" ref="J5989">IFERROR(INDEX('Retirement Calculator'!K:K,MATCH('Lorri 401b'!N5989,'Retirement Calculator'!A:A,0),0),0)</f>
        <v>0</v>
      </c>
      <c r="K5989" s="455">
        <f t="shared" ca="1" si="198"/>
        <v>65800277448267.398</v>
      </c>
      <c r="L5989" s="455">
        <f t="shared" ca="1" si="199"/>
        <v>1.5857866865032444E+16</v>
      </c>
      <c r="M5989" s="471">
        <f t="shared" si="201"/>
        <v>0.05</v>
      </c>
      <c r="N5989" s="475">
        <f t="shared" si="202"/>
        <v>233331</v>
      </c>
    </row>
    <row r="5990" spans="7:14" ht="11.25" customHeight="1" x14ac:dyDescent="0.3">
      <c r="G5990" s="470"/>
      <c r="H5990" s="470">
        <v>5983</v>
      </c>
      <c r="I5990" s="455">
        <f t="shared" ca="1" si="200"/>
        <v>1.5857866865032444E+16</v>
      </c>
      <c r="J5990" s="455">
        <f t="array" ref="J5990">IFERROR(INDEX('Retirement Calculator'!K:K,MATCH('Lorri 401b'!N5990,'Retirement Calculator'!A:A,0),0),0)</f>
        <v>0</v>
      </c>
      <c r="K5990" s="455">
        <f t="shared" ca="1" si="198"/>
        <v>66074445270968.516</v>
      </c>
      <c r="L5990" s="455">
        <f t="shared" ca="1" si="199"/>
        <v>1.5923941310303412E+16</v>
      </c>
      <c r="M5990" s="471">
        <f t="shared" si="201"/>
        <v>0.05</v>
      </c>
      <c r="N5990" s="475">
        <f t="shared" si="202"/>
        <v>233361</v>
      </c>
    </row>
    <row r="5991" spans="7:14" ht="11.25" customHeight="1" x14ac:dyDescent="0.3">
      <c r="G5991" s="470"/>
      <c r="H5991" s="470">
        <v>5984</v>
      </c>
      <c r="I5991" s="455">
        <f t="shared" ca="1" si="200"/>
        <v>1.5923941310303412E+16</v>
      </c>
      <c r="J5991" s="455">
        <f t="array" ref="J5991">IFERROR(INDEX('Retirement Calculator'!K:K,MATCH('Lorri 401b'!N5991,'Retirement Calculator'!A:A,0),0),0)</f>
        <v>0</v>
      </c>
      <c r="K5991" s="455">
        <f t="shared" ca="1" si="198"/>
        <v>66349755459597.547</v>
      </c>
      <c r="L5991" s="455">
        <f t="shared" ca="1" si="199"/>
        <v>1.599029106576301E+16</v>
      </c>
      <c r="M5991" s="471">
        <f t="shared" si="201"/>
        <v>0.05</v>
      </c>
      <c r="N5991" s="475">
        <f t="shared" si="202"/>
        <v>233392</v>
      </c>
    </row>
    <row r="5992" spans="7:14" ht="11.25" customHeight="1" x14ac:dyDescent="0.3">
      <c r="G5992" s="470"/>
      <c r="H5992" s="470">
        <v>5985</v>
      </c>
      <c r="I5992" s="455">
        <f t="shared" ca="1" si="200"/>
        <v>1.599029106576301E+16</v>
      </c>
      <c r="J5992" s="455">
        <f t="array" ref="J5992">IFERROR(INDEX('Retirement Calculator'!K:K,MATCH('Lorri 401b'!N5992,'Retirement Calculator'!A:A,0),0),0)</f>
        <v>0</v>
      </c>
      <c r="K5992" s="455">
        <f t="shared" ca="1" si="198"/>
        <v>66626212774012.539</v>
      </c>
      <c r="L5992" s="455">
        <f t="shared" ca="1" si="199"/>
        <v>1.6056917278537022E+16</v>
      </c>
      <c r="M5992" s="471">
        <f t="shared" si="201"/>
        <v>0.05</v>
      </c>
      <c r="N5992" s="475">
        <f t="shared" si="202"/>
        <v>233423</v>
      </c>
    </row>
    <row r="5993" spans="7:14" ht="11.25" customHeight="1" x14ac:dyDescent="0.3">
      <c r="G5993" s="470"/>
      <c r="H5993" s="470">
        <v>5986</v>
      </c>
      <c r="I5993" s="455">
        <f t="shared" ca="1" si="200"/>
        <v>1.6056917278537022E+16</v>
      </c>
      <c r="J5993" s="455">
        <f t="array" ref="J5993">IFERROR(INDEX('Retirement Calculator'!K:K,MATCH('Lorri 401b'!N5993,'Retirement Calculator'!A:A,0),0),0)</f>
        <v>0</v>
      </c>
      <c r="K5993" s="455">
        <f t="shared" ca="1" si="198"/>
        <v>66903821993904.258</v>
      </c>
      <c r="L5993" s="455">
        <f t="shared" ca="1" si="199"/>
        <v>1.6123821100530926E+16</v>
      </c>
      <c r="M5993" s="471">
        <f t="shared" si="201"/>
        <v>0.05</v>
      </c>
      <c r="N5993" s="475">
        <f t="shared" si="202"/>
        <v>233451</v>
      </c>
    </row>
    <row r="5994" spans="7:14" ht="11.25" customHeight="1" x14ac:dyDescent="0.3">
      <c r="G5994" s="470"/>
      <c r="H5994" s="470">
        <v>5987</v>
      </c>
      <c r="I5994" s="455">
        <f t="shared" ca="1" si="200"/>
        <v>1.6123821100530926E+16</v>
      </c>
      <c r="J5994" s="455">
        <f t="array" ref="J5994">IFERROR(INDEX('Retirement Calculator'!K:K,MATCH('Lorri 401b'!N5994,'Retirement Calculator'!A:A,0),0),0)</f>
        <v>0</v>
      </c>
      <c r="K5994" s="455">
        <f t="shared" ca="1" si="198"/>
        <v>67182587918878.859</v>
      </c>
      <c r="L5994" s="455">
        <f t="shared" ca="1" si="199"/>
        <v>1.6191003688449804E+16</v>
      </c>
      <c r="M5994" s="471">
        <f t="shared" si="201"/>
        <v>0.05</v>
      </c>
      <c r="N5994" s="475">
        <f t="shared" si="202"/>
        <v>233482</v>
      </c>
    </row>
    <row r="5995" spans="7:14" ht="11.25" customHeight="1" x14ac:dyDescent="0.3">
      <c r="G5995" s="470"/>
      <c r="H5995" s="470">
        <v>5988</v>
      </c>
      <c r="I5995" s="455">
        <f t="shared" ca="1" si="200"/>
        <v>1.6191003688449804E+16</v>
      </c>
      <c r="J5995" s="455">
        <f t="array" ref="J5995">IFERROR(INDEX('Retirement Calculator'!K:K,MATCH('Lorri 401b'!N5995,'Retirement Calculator'!A:A,0),0),0)</f>
        <v>0</v>
      </c>
      <c r="K5995" s="455">
        <f t="shared" ca="1" si="198"/>
        <v>67462515368540.852</v>
      </c>
      <c r="L5995" s="455">
        <f t="shared" ca="1" si="199"/>
        <v>1.6258466203818344E+16</v>
      </c>
      <c r="M5995" s="471">
        <f t="shared" si="201"/>
        <v>0.05</v>
      </c>
      <c r="N5995" s="475">
        <f t="shared" si="202"/>
        <v>233512</v>
      </c>
    </row>
    <row r="5996" spans="7:14" ht="11.25" customHeight="1" x14ac:dyDescent="0.3">
      <c r="G5996" s="470"/>
      <c r="H5996" s="470">
        <v>5989</v>
      </c>
      <c r="I5996" s="455">
        <f t="shared" ca="1" si="200"/>
        <v>1.6258466203818344E+16</v>
      </c>
      <c r="J5996" s="455">
        <f t="array" ref="J5996">IFERROR(INDEX('Retirement Calculator'!K:K,MATCH('Lorri 401b'!N5996,'Retirement Calculator'!A:A,0),0),0)</f>
        <v>0</v>
      </c>
      <c r="K5996" s="455">
        <f t="shared" ca="1" si="198"/>
        <v>67743609182576.43</v>
      </c>
      <c r="L5996" s="455">
        <f t="shared" ca="1" si="199"/>
        <v>1.632620981300092E+16</v>
      </c>
      <c r="M5996" s="471">
        <f t="shared" si="201"/>
        <v>0.05</v>
      </c>
      <c r="N5996" s="475">
        <f t="shared" si="202"/>
        <v>233543</v>
      </c>
    </row>
    <row r="5997" spans="7:14" ht="11.25" customHeight="1" x14ac:dyDescent="0.3">
      <c r="G5997" s="470"/>
      <c r="H5997" s="470">
        <v>5990</v>
      </c>
      <c r="I5997" s="455">
        <f t="shared" ca="1" si="200"/>
        <v>1.632620981300092E+16</v>
      </c>
      <c r="J5997" s="455">
        <f t="array" ref="J5997">IFERROR(INDEX('Retirement Calculator'!K:K,MATCH('Lorri 401b'!N5997,'Retirement Calculator'!A:A,0),0),0)</f>
        <v>0</v>
      </c>
      <c r="K5997" s="455">
        <f t="shared" ca="1" si="198"/>
        <v>68025874220837.164</v>
      </c>
      <c r="L5997" s="455">
        <f t="shared" ca="1" si="199"/>
        <v>1.6394235687221758E+16</v>
      </c>
      <c r="M5997" s="471">
        <f t="shared" si="201"/>
        <v>0.05</v>
      </c>
      <c r="N5997" s="475">
        <f t="shared" si="202"/>
        <v>233573</v>
      </c>
    </row>
    <row r="5998" spans="7:14" ht="11.25" customHeight="1" x14ac:dyDescent="0.3">
      <c r="G5998" s="470"/>
      <c r="H5998" s="470">
        <v>5991</v>
      </c>
      <c r="I5998" s="455">
        <f t="shared" ca="1" si="200"/>
        <v>1.6394235687221758E+16</v>
      </c>
      <c r="J5998" s="455">
        <f t="array" ref="J5998">IFERROR(INDEX('Retirement Calculator'!K:K,MATCH('Lorri 401b'!N5998,'Retirement Calculator'!A:A,0),0),0)</f>
        <v>0</v>
      </c>
      <c r="K5998" s="455">
        <f t="shared" ca="1" si="198"/>
        <v>68309315363424</v>
      </c>
      <c r="L5998" s="455">
        <f t="shared" ca="1" si="199"/>
        <v>1.6462545002585182E+16</v>
      </c>
      <c r="M5998" s="471">
        <f t="shared" si="201"/>
        <v>0.05</v>
      </c>
      <c r="N5998" s="475">
        <f t="shared" si="202"/>
        <v>233604</v>
      </c>
    </row>
    <row r="5999" spans="7:14" ht="11.25" customHeight="1" x14ac:dyDescent="0.3">
      <c r="G5999" s="470"/>
      <c r="H5999" s="470">
        <v>5992</v>
      </c>
      <c r="I5999" s="455">
        <f t="shared" ca="1" si="200"/>
        <v>1.6462545002585182E+16</v>
      </c>
      <c r="J5999" s="455">
        <f t="array" ref="J5999">IFERROR(INDEX('Retirement Calculator'!K:K,MATCH('Lorri 401b'!N5999,'Retirement Calculator'!A:A,0),0),0)</f>
        <v>0</v>
      </c>
      <c r="K5999" s="455">
        <f t="shared" ca="1" si="198"/>
        <v>68593937510771.594</v>
      </c>
      <c r="L5999" s="455">
        <f t="shared" ca="1" si="199"/>
        <v>1.6531138940095954E+16</v>
      </c>
      <c r="M5999" s="471">
        <f t="shared" si="201"/>
        <v>0.05</v>
      </c>
      <c r="N5999" s="475">
        <f t="shared" si="202"/>
        <v>233635</v>
      </c>
    </row>
    <row r="6000" spans="7:14" ht="11.25" customHeight="1" x14ac:dyDescent="0.3">
      <c r="G6000" s="470"/>
      <c r="H6000" s="470">
        <v>5993</v>
      </c>
      <c r="I6000" s="455">
        <f t="shared" ca="1" si="200"/>
        <v>1.6531138940095954E+16</v>
      </c>
      <c r="J6000" s="455">
        <f t="array" ref="J6000">IFERROR(INDEX('Retirement Calculator'!K:K,MATCH('Lorri 401b'!N6000,'Retirement Calculator'!A:A,0),0),0)</f>
        <v>0</v>
      </c>
      <c r="K6000" s="455">
        <f t="shared" ca="1" si="198"/>
        <v>68879745583733.141</v>
      </c>
      <c r="L6000" s="455">
        <f t="shared" ca="1" si="199"/>
        <v>1.6600018685679688E+16</v>
      </c>
      <c r="M6000" s="471">
        <f t="shared" si="201"/>
        <v>0.05</v>
      </c>
      <c r="N6000" s="475">
        <f t="shared" si="202"/>
        <v>233665</v>
      </c>
    </row>
    <row r="6001" spans="7:14" ht="11.25" customHeight="1" x14ac:dyDescent="0.3">
      <c r="G6001" s="470"/>
      <c r="H6001" s="470">
        <v>5994</v>
      </c>
      <c r="I6001" s="455">
        <f t="shared" ca="1" si="200"/>
        <v>1.6600018685679688E+16</v>
      </c>
      <c r="J6001" s="455">
        <f t="array" ref="J6001">IFERROR(INDEX('Retirement Calculator'!K:K,MATCH('Lorri 401b'!N6001,'Retirement Calculator'!A:A,0),0),0)</f>
        <v>0</v>
      </c>
      <c r="K6001" s="455">
        <f t="shared" ca="1" si="198"/>
        <v>69166744523665.367</v>
      </c>
      <c r="L6001" s="455">
        <f t="shared" ca="1" si="199"/>
        <v>1.6669185430203354E+16</v>
      </c>
      <c r="M6001" s="471">
        <f t="shared" si="201"/>
        <v>0.05</v>
      </c>
      <c r="N6001" s="475">
        <f t="shared" si="202"/>
        <v>233696</v>
      </c>
    </row>
    <row r="6002" spans="7:14" ht="11.25" customHeight="1" x14ac:dyDescent="0.3">
      <c r="G6002" s="470"/>
      <c r="H6002" s="470">
        <v>5995</v>
      </c>
      <c r="I6002" s="455">
        <f t="shared" ca="1" si="200"/>
        <v>1.6669185430203354E+16</v>
      </c>
      <c r="J6002" s="455">
        <f t="array" ref="J6002">IFERROR(INDEX('Retirement Calculator'!K:K,MATCH('Lorri 401b'!N6002,'Retirement Calculator'!A:A,0),0),0)</f>
        <v>0</v>
      </c>
      <c r="K6002" s="455">
        <f t="shared" ca="1" si="198"/>
        <v>69454939292513.977</v>
      </c>
      <c r="L6002" s="455">
        <f t="shared" ca="1" si="199"/>
        <v>1.6738640369495868E+16</v>
      </c>
      <c r="M6002" s="471">
        <f t="shared" si="201"/>
        <v>0.05</v>
      </c>
      <c r="N6002" s="475">
        <f t="shared" si="202"/>
        <v>233726</v>
      </c>
    </row>
    <row r="6003" spans="7:14" ht="11.25" customHeight="1" x14ac:dyDescent="0.3">
      <c r="G6003" s="470"/>
      <c r="H6003" s="470">
        <v>5996</v>
      </c>
      <c r="I6003" s="455">
        <f t="shared" ca="1" si="200"/>
        <v>1.6738640369495868E+16</v>
      </c>
      <c r="J6003" s="455">
        <f t="array" ref="J6003">IFERROR(INDEX('Retirement Calculator'!K:K,MATCH('Lorri 401b'!N6003,'Retirement Calculator'!A:A,0),0),0)</f>
        <v>0</v>
      </c>
      <c r="K6003" s="455">
        <f t="shared" ca="1" si="198"/>
        <v>69744334872899.438</v>
      </c>
      <c r="L6003" s="455">
        <f t="shared" ca="1" si="199"/>
        <v>1.6808384704368768E+16</v>
      </c>
      <c r="M6003" s="471">
        <f t="shared" si="201"/>
        <v>0.05</v>
      </c>
      <c r="N6003" s="475">
        <f t="shared" si="202"/>
        <v>233757</v>
      </c>
    </row>
    <row r="6004" spans="7:14" ht="11.25" customHeight="1" x14ac:dyDescent="0.3">
      <c r="G6004" s="470"/>
      <c r="H6004" s="470">
        <v>5997</v>
      </c>
      <c r="I6004" s="455">
        <f t="shared" ca="1" si="200"/>
        <v>1.6808384704368768E+16</v>
      </c>
      <c r="J6004" s="455">
        <f t="array" ref="J6004">IFERROR(INDEX('Retirement Calculator'!K:K,MATCH('Lorri 401b'!N6004,'Retirement Calculator'!A:A,0),0),0)</f>
        <v>0</v>
      </c>
      <c r="K6004" s="455">
        <f t="shared" ca="1" si="198"/>
        <v>70034936268203.188</v>
      </c>
      <c r="L6004" s="455">
        <f t="shared" ca="1" si="199"/>
        <v>1.6878419640636972E+16</v>
      </c>
      <c r="M6004" s="471">
        <f t="shared" si="201"/>
        <v>0.05</v>
      </c>
      <c r="N6004" s="475">
        <f t="shared" si="202"/>
        <v>233788</v>
      </c>
    </row>
    <row r="6005" spans="7:14" ht="11.25" customHeight="1" x14ac:dyDescent="0.3">
      <c r="G6005" s="470"/>
      <c r="H6005" s="470">
        <v>5998</v>
      </c>
      <c r="I6005" s="455">
        <f t="shared" ca="1" si="200"/>
        <v>1.6878419640636972E+16</v>
      </c>
      <c r="J6005" s="455">
        <f t="array" ref="J6005">IFERROR(INDEX('Retirement Calculator'!K:K,MATCH('Lorri 401b'!N6005,'Retirement Calculator'!A:A,0),0),0)</f>
        <v>0</v>
      </c>
      <c r="K6005" s="455">
        <f t="shared" ca="1" si="198"/>
        <v>70326748502654.047</v>
      </c>
      <c r="L6005" s="455">
        <f t="shared" ca="1" si="199"/>
        <v>1.6948746389139626E+16</v>
      </c>
      <c r="M6005" s="471">
        <f t="shared" si="201"/>
        <v>0.05</v>
      </c>
      <c r="N6005" s="475">
        <f t="shared" si="202"/>
        <v>233817</v>
      </c>
    </row>
    <row r="6006" spans="7:14" ht="11.25" customHeight="1" x14ac:dyDescent="0.3">
      <c r="G6006" s="470"/>
      <c r="H6006" s="470">
        <v>5999</v>
      </c>
      <c r="I6006" s="455">
        <f t="shared" ca="1" si="200"/>
        <v>1.6948746389139626E+16</v>
      </c>
      <c r="J6006" s="455">
        <f t="array" ref="J6006">IFERROR(INDEX('Retirement Calculator'!K:K,MATCH('Lorri 401b'!N6006,'Retirement Calculator'!A:A,0),0),0)</f>
        <v>0</v>
      </c>
      <c r="K6006" s="455">
        <f t="shared" ca="1" si="198"/>
        <v>70619776621415.109</v>
      </c>
      <c r="L6006" s="455">
        <f t="shared" ca="1" si="199"/>
        <v>1.7019366165761042E+16</v>
      </c>
      <c r="M6006" s="471">
        <f t="shared" si="201"/>
        <v>0.05</v>
      </c>
      <c r="N6006" s="475">
        <f t="shared" si="202"/>
        <v>233848</v>
      </c>
    </row>
    <row r="6007" spans="7:14" ht="11.25" customHeight="1" x14ac:dyDescent="0.3">
      <c r="G6007" s="470"/>
      <c r="H6007" s="470">
        <v>6000</v>
      </c>
      <c r="I6007" s="455">
        <f t="shared" ca="1" si="200"/>
        <v>1.7019366165761042E+16</v>
      </c>
      <c r="J6007" s="455">
        <f t="array" ref="J6007">IFERROR(INDEX('Retirement Calculator'!K:K,MATCH('Lorri 401b'!N6007,'Retirement Calculator'!A:A,0),0),0)</f>
        <v>0</v>
      </c>
      <c r="K6007" s="455">
        <f t="shared" ca="1" si="198"/>
        <v>70914025690671.016</v>
      </c>
      <c r="L6007" s="455">
        <f t="shared" ca="1" si="199"/>
        <v>1.7090280191451714E+16</v>
      </c>
      <c r="M6007" s="471">
        <f t="shared" si="201"/>
        <v>0.05</v>
      </c>
      <c r="N6007" s="475">
        <f t="shared" si="202"/>
        <v>233878</v>
      </c>
    </row>
    <row r="6008" spans="7:14" ht="11.25" customHeight="1" x14ac:dyDescent="0.3">
      <c r="G6008" s="470"/>
      <c r="H6008" s="470">
        <v>6001</v>
      </c>
      <c r="I6008" s="455">
        <f t="shared" ca="1" si="200"/>
        <v>1.7090280191451714E+16</v>
      </c>
      <c r="J6008" s="455">
        <f t="array" ref="J6008">IFERROR(INDEX('Retirement Calculator'!K:K,MATCH('Lorri 401b'!N6008,'Retirement Calculator'!A:A,0),0),0)</f>
        <v>0</v>
      </c>
      <c r="K6008" s="455">
        <f t="shared" ca="1" si="198"/>
        <v>71209500797715.469</v>
      </c>
      <c r="L6008" s="455">
        <f t="shared" ca="1" si="199"/>
        <v>1.716148969224943E+16</v>
      </c>
      <c r="M6008" s="471">
        <f t="shared" si="201"/>
        <v>0.05</v>
      </c>
      <c r="N6008" s="475">
        <f t="shared" si="202"/>
        <v>233909</v>
      </c>
    </row>
    <row r="6009" spans="7:14" ht="11.25" customHeight="1" x14ac:dyDescent="0.3">
      <c r="G6009" s="470"/>
      <c r="H6009" s="470">
        <v>6002</v>
      </c>
      <c r="I6009" s="455">
        <f t="shared" ca="1" si="200"/>
        <v>1.716148969224943E+16</v>
      </c>
      <c r="J6009" s="455">
        <f t="array" ref="J6009">IFERROR(INDEX('Retirement Calculator'!K:K,MATCH('Lorri 401b'!N6009,'Retirement Calculator'!A:A,0),0),0)</f>
        <v>0</v>
      </c>
      <c r="K6009" s="455">
        <f t="shared" ca="1" si="198"/>
        <v>71506207051039.281</v>
      </c>
      <c r="L6009" s="455">
        <f t="shared" ca="1" si="199"/>
        <v>1.723299589930047E+16</v>
      </c>
      <c r="M6009" s="471">
        <f t="shared" si="201"/>
        <v>0.05</v>
      </c>
      <c r="N6009" s="475">
        <f t="shared" si="202"/>
        <v>233939</v>
      </c>
    </row>
    <row r="6010" spans="7:14" ht="11.25" customHeight="1" x14ac:dyDescent="0.3">
      <c r="G6010" s="470"/>
      <c r="H6010" s="470">
        <v>6003</v>
      </c>
      <c r="I6010" s="455">
        <f t="shared" ca="1" si="200"/>
        <v>1.723299589930047E+16</v>
      </c>
      <c r="J6010" s="455">
        <f t="array" ref="J6010">IFERROR(INDEX('Retirement Calculator'!K:K,MATCH('Lorri 401b'!N6010,'Retirement Calculator'!A:A,0),0),0)</f>
        <v>0</v>
      </c>
      <c r="K6010" s="455">
        <f t="shared" ca="1" si="198"/>
        <v>71804149580418.609</v>
      </c>
      <c r="L6010" s="455">
        <f t="shared" ca="1" si="199"/>
        <v>1.7304800048880888E+16</v>
      </c>
      <c r="M6010" s="471">
        <f t="shared" si="201"/>
        <v>0.05</v>
      </c>
      <c r="N6010" s="475">
        <f t="shared" si="202"/>
        <v>233970</v>
      </c>
    </row>
    <row r="6011" spans="7:14" ht="11.25" customHeight="1" x14ac:dyDescent="0.3">
      <c r="G6011" s="470"/>
      <c r="H6011" s="470">
        <v>6004</v>
      </c>
      <c r="I6011" s="455">
        <f t="shared" ca="1" si="200"/>
        <v>1.7304800048880888E+16</v>
      </c>
      <c r="J6011" s="455">
        <f t="array" ref="J6011">IFERROR(INDEX('Retirement Calculator'!K:K,MATCH('Lorri 401b'!N6011,'Retirement Calculator'!A:A,0),0),0)</f>
        <v>0</v>
      </c>
      <c r="K6011" s="455">
        <f t="shared" ca="1" si="198"/>
        <v>72103333537003.703</v>
      </c>
      <c r="L6011" s="455">
        <f t="shared" ca="1" si="199"/>
        <v>1.7376903382417892E+16</v>
      </c>
      <c r="M6011" s="471">
        <f t="shared" si="201"/>
        <v>0.05</v>
      </c>
      <c r="N6011" s="475">
        <f t="shared" si="202"/>
        <v>234001</v>
      </c>
    </row>
    <row r="6012" spans="7:14" ht="11.25" customHeight="1" x14ac:dyDescent="0.3">
      <c r="G6012" s="470"/>
      <c r="H6012" s="470">
        <v>6005</v>
      </c>
      <c r="I6012" s="455">
        <f t="shared" ca="1" si="200"/>
        <v>1.7376903382417892E+16</v>
      </c>
      <c r="J6012" s="455">
        <f t="array" ref="J6012">IFERROR(INDEX('Retirement Calculator'!K:K,MATCH('Lorri 401b'!N6012,'Retirement Calculator'!A:A,0),0),0)</f>
        <v>0</v>
      </c>
      <c r="K6012" s="455">
        <f t="shared" ca="1" si="198"/>
        <v>72403764093407.875</v>
      </c>
      <c r="L6012" s="455">
        <f t="shared" ca="1" si="199"/>
        <v>1.74493071465113E+16</v>
      </c>
      <c r="M6012" s="471">
        <f t="shared" si="201"/>
        <v>0.05</v>
      </c>
      <c r="N6012" s="475">
        <f t="shared" si="202"/>
        <v>234031</v>
      </c>
    </row>
    <row r="6013" spans="7:14" ht="11.25" customHeight="1" x14ac:dyDescent="0.3">
      <c r="G6013" s="470"/>
      <c r="H6013" s="470">
        <v>6006</v>
      </c>
      <c r="I6013" s="455">
        <f t="shared" ca="1" si="200"/>
        <v>1.74493071465113E+16</v>
      </c>
      <c r="J6013" s="455">
        <f t="array" ref="J6013">IFERROR(INDEX('Retirement Calculator'!K:K,MATCH('Lorri 401b'!N6013,'Retirement Calculator'!A:A,0),0),0)</f>
        <v>0</v>
      </c>
      <c r="K6013" s="455">
        <f t="shared" ca="1" si="198"/>
        <v>72705446443797.078</v>
      </c>
      <c r="L6013" s="455">
        <f t="shared" ca="1" si="199"/>
        <v>1.7522012592955098E+16</v>
      </c>
      <c r="M6013" s="471">
        <f t="shared" si="201"/>
        <v>0.05</v>
      </c>
      <c r="N6013" s="475">
        <f t="shared" si="202"/>
        <v>234062</v>
      </c>
    </row>
    <row r="6014" spans="7:14" ht="11.25" customHeight="1" x14ac:dyDescent="0.3">
      <c r="G6014" s="470"/>
      <c r="H6014" s="470">
        <v>6007</v>
      </c>
      <c r="I6014" s="455">
        <f t="shared" ca="1" si="200"/>
        <v>1.7522012592955098E+16</v>
      </c>
      <c r="J6014" s="455">
        <f t="array" ref="J6014">IFERROR(INDEX('Retirement Calculator'!K:K,MATCH('Lorri 401b'!N6014,'Retirement Calculator'!A:A,0),0),0)</f>
        <v>0</v>
      </c>
      <c r="K6014" s="455">
        <f t="shared" ca="1" si="198"/>
        <v>73008385803979.578</v>
      </c>
      <c r="L6014" s="455">
        <f t="shared" ca="1" si="199"/>
        <v>1.7595020978759078E+16</v>
      </c>
      <c r="M6014" s="471">
        <f t="shared" si="201"/>
        <v>0.05</v>
      </c>
      <c r="N6014" s="475">
        <f t="shared" si="202"/>
        <v>234092</v>
      </c>
    </row>
    <row r="6015" spans="7:14" ht="11.25" customHeight="1" x14ac:dyDescent="0.3">
      <c r="G6015" s="470"/>
      <c r="H6015" s="470">
        <v>6008</v>
      </c>
      <c r="I6015" s="455">
        <f t="shared" ca="1" si="200"/>
        <v>1.7595020978759078E+16</v>
      </c>
      <c r="J6015" s="455">
        <f t="array" ref="J6015">IFERROR(INDEX('Retirement Calculator'!K:K,MATCH('Lorri 401b'!N6015,'Retirement Calculator'!A:A,0),0),0)</f>
        <v>0</v>
      </c>
      <c r="K6015" s="455">
        <f t="shared" ca="1" si="198"/>
        <v>73312587411496.156</v>
      </c>
      <c r="L6015" s="455">
        <f t="shared" ca="1" si="199"/>
        <v>1.7668333566170574E+16</v>
      </c>
      <c r="M6015" s="471">
        <f t="shared" si="201"/>
        <v>0.05</v>
      </c>
      <c r="N6015" s="475">
        <f t="shared" si="202"/>
        <v>234123</v>
      </c>
    </row>
    <row r="6016" spans="7:14" ht="11.25" customHeight="1" x14ac:dyDescent="0.3">
      <c r="G6016" s="470"/>
      <c r="H6016" s="470">
        <v>6009</v>
      </c>
      <c r="I6016" s="455">
        <f t="shared" ca="1" si="200"/>
        <v>1.7668333566170574E+16</v>
      </c>
      <c r="J6016" s="455">
        <f t="array" ref="J6016">IFERROR(INDEX('Retirement Calculator'!K:K,MATCH('Lorri 401b'!N6016,'Retirement Calculator'!A:A,0),0),0)</f>
        <v>0</v>
      </c>
      <c r="K6016" s="455">
        <f t="shared" ca="1" si="198"/>
        <v>73618056525710.719</v>
      </c>
      <c r="L6016" s="455">
        <f t="shared" ca="1" si="199"/>
        <v>1.7741951622696284E+16</v>
      </c>
      <c r="M6016" s="471">
        <f t="shared" si="201"/>
        <v>0.05</v>
      </c>
      <c r="N6016" s="475">
        <f t="shared" si="202"/>
        <v>234154</v>
      </c>
    </row>
    <row r="6017" spans="7:14" ht="11.25" customHeight="1" x14ac:dyDescent="0.3">
      <c r="G6017" s="470"/>
      <c r="H6017" s="470">
        <v>6010</v>
      </c>
      <c r="I6017" s="455">
        <f t="shared" ca="1" si="200"/>
        <v>1.7741951622696284E+16</v>
      </c>
      <c r="J6017" s="455">
        <f t="array" ref="J6017">IFERROR(INDEX('Retirement Calculator'!K:K,MATCH('Lorri 401b'!N6017,'Retirement Calculator'!A:A,0),0),0)</f>
        <v>0</v>
      </c>
      <c r="K6017" s="455">
        <f t="shared" ca="1" si="198"/>
        <v>73924798427901.188</v>
      </c>
      <c r="L6017" s="455">
        <f t="shared" ca="1" si="199"/>
        <v>1.7815876421124186E+16</v>
      </c>
      <c r="M6017" s="471">
        <f t="shared" si="201"/>
        <v>0.05</v>
      </c>
      <c r="N6017" s="475">
        <f t="shared" si="202"/>
        <v>234182</v>
      </c>
    </row>
    <row r="6018" spans="7:14" ht="11.25" customHeight="1" x14ac:dyDescent="0.3">
      <c r="G6018" s="470"/>
      <c r="H6018" s="470">
        <v>6011</v>
      </c>
      <c r="I6018" s="455">
        <f t="shared" ca="1" si="200"/>
        <v>1.7815876421124186E+16</v>
      </c>
      <c r="J6018" s="455">
        <f t="array" ref="J6018">IFERROR(INDEX('Retirement Calculator'!K:K,MATCH('Lorri 401b'!N6018,'Retirement Calculator'!A:A,0),0),0)</f>
        <v>0</v>
      </c>
      <c r="K6018" s="455">
        <f t="shared" ca="1" si="198"/>
        <v>74232818421350.766</v>
      </c>
      <c r="L6018" s="455">
        <f t="shared" ca="1" si="199"/>
        <v>1.7890109239545536E+16</v>
      </c>
      <c r="M6018" s="471">
        <f t="shared" si="201"/>
        <v>0.05</v>
      </c>
      <c r="N6018" s="475">
        <f t="shared" si="202"/>
        <v>234213</v>
      </c>
    </row>
    <row r="6019" spans="7:14" ht="11.25" customHeight="1" x14ac:dyDescent="0.3">
      <c r="G6019" s="470"/>
      <c r="H6019" s="470">
        <v>6012</v>
      </c>
      <c r="I6019" s="455">
        <f t="shared" ca="1" si="200"/>
        <v>1.7890109239545536E+16</v>
      </c>
      <c r="J6019" s="455">
        <f t="array" ref="J6019">IFERROR(INDEX('Retirement Calculator'!K:K,MATCH('Lorri 401b'!N6019,'Retirement Calculator'!A:A,0),0),0)</f>
        <v>0</v>
      </c>
      <c r="K6019" s="455">
        <f t="shared" ca="1" si="198"/>
        <v>74542121831439.719</v>
      </c>
      <c r="L6019" s="455">
        <f t="shared" ca="1" si="199"/>
        <v>1.7964651361376976E+16</v>
      </c>
      <c r="M6019" s="471">
        <f t="shared" si="201"/>
        <v>0.05</v>
      </c>
      <c r="N6019" s="475">
        <f t="shared" si="202"/>
        <v>234243</v>
      </c>
    </row>
    <row r="6020" spans="7:14" ht="11.25" customHeight="1" x14ac:dyDescent="0.3">
      <c r="G6020" s="470"/>
      <c r="H6020" s="470">
        <v>6013</v>
      </c>
      <c r="I6020" s="455">
        <f t="shared" ca="1" si="200"/>
        <v>1.7964651361376976E+16</v>
      </c>
      <c r="J6020" s="455">
        <f t="array" ref="J6020">IFERROR(INDEX('Retirement Calculator'!K:K,MATCH('Lorri 401b'!N6020,'Retirement Calculator'!A:A,0),0),0)</f>
        <v>0</v>
      </c>
      <c r="K6020" s="455">
        <f t="shared" ca="1" si="198"/>
        <v>74852714005737.406</v>
      </c>
      <c r="L6020" s="455">
        <f t="shared" ca="1" si="199"/>
        <v>1.8039504075382712E+16</v>
      </c>
      <c r="M6020" s="471">
        <f t="shared" si="201"/>
        <v>0.05</v>
      </c>
      <c r="N6020" s="475">
        <f t="shared" si="202"/>
        <v>234274</v>
      </c>
    </row>
    <row r="6021" spans="7:14" ht="11.25" customHeight="1" x14ac:dyDescent="0.3">
      <c r="G6021" s="470"/>
      <c r="H6021" s="470">
        <v>6014</v>
      </c>
      <c r="I6021" s="455">
        <f t="shared" ca="1" si="200"/>
        <v>1.8039504075382712E+16</v>
      </c>
      <c r="J6021" s="455">
        <f t="array" ref="J6021">IFERROR(INDEX('Retirement Calculator'!K:K,MATCH('Lorri 401b'!N6021,'Retirement Calculator'!A:A,0),0),0)</f>
        <v>0</v>
      </c>
      <c r="K6021" s="455">
        <f t="shared" ca="1" si="198"/>
        <v>75164600314094.625</v>
      </c>
      <c r="L6021" s="455">
        <f t="shared" ca="1" si="199"/>
        <v>1.8114668675696808E+16</v>
      </c>
      <c r="M6021" s="471">
        <f t="shared" si="201"/>
        <v>0.05</v>
      </c>
      <c r="N6021" s="475">
        <f t="shared" si="202"/>
        <v>234304</v>
      </c>
    </row>
    <row r="6022" spans="7:14" ht="11.25" customHeight="1" x14ac:dyDescent="0.3">
      <c r="G6022" s="470"/>
      <c r="H6022" s="470">
        <v>6015</v>
      </c>
      <c r="I6022" s="455">
        <f t="shared" ca="1" si="200"/>
        <v>1.8114668675696808E+16</v>
      </c>
      <c r="J6022" s="455">
        <f t="array" ref="J6022">IFERROR(INDEX('Retirement Calculator'!K:K,MATCH('Lorri 401b'!N6022,'Retirement Calculator'!A:A,0),0),0)</f>
        <v>0</v>
      </c>
      <c r="K6022" s="455">
        <f t="shared" ca="1" si="198"/>
        <v>75477786148736.703</v>
      </c>
      <c r="L6022" s="455">
        <f t="shared" ca="1" si="199"/>
        <v>1.8190146461845544E+16</v>
      </c>
      <c r="M6022" s="471">
        <f t="shared" si="201"/>
        <v>0.05</v>
      </c>
      <c r="N6022" s="475">
        <f t="shared" si="202"/>
        <v>234335</v>
      </c>
    </row>
    <row r="6023" spans="7:14" ht="11.25" customHeight="1" x14ac:dyDescent="0.3">
      <c r="G6023" s="470"/>
      <c r="H6023" s="470">
        <v>6016</v>
      </c>
      <c r="I6023" s="455">
        <f t="shared" ca="1" si="200"/>
        <v>1.8190146461845544E+16</v>
      </c>
      <c r="J6023" s="455">
        <f t="array" ref="J6023">IFERROR(INDEX('Retirement Calculator'!K:K,MATCH('Lorri 401b'!N6023,'Retirement Calculator'!A:A,0),0),0)</f>
        <v>0</v>
      </c>
      <c r="K6023" s="455">
        <f t="shared" ca="1" si="198"/>
        <v>75792276924356.438</v>
      </c>
      <c r="L6023" s="455">
        <f t="shared" ca="1" si="199"/>
        <v>1.82659387387699E+16</v>
      </c>
      <c r="M6023" s="471">
        <f t="shared" si="201"/>
        <v>0.05</v>
      </c>
      <c r="N6023" s="475">
        <f t="shared" si="202"/>
        <v>234366</v>
      </c>
    </row>
    <row r="6024" spans="7:14" ht="11.25" customHeight="1" x14ac:dyDescent="0.3">
      <c r="G6024" s="470"/>
      <c r="H6024" s="470">
        <v>6017</v>
      </c>
      <c r="I6024" s="455">
        <f t="shared" ca="1" si="200"/>
        <v>1.82659387387699E+16</v>
      </c>
      <c r="J6024" s="455">
        <f t="array" ref="J6024">IFERROR(INDEX('Retirement Calculator'!K:K,MATCH('Lorri 401b'!N6024,'Retirement Calculator'!A:A,0),0),0)</f>
        <v>0</v>
      </c>
      <c r="K6024" s="455">
        <f t="shared" ca="1" si="198"/>
        <v>76108078078207.922</v>
      </c>
      <c r="L6024" s="455">
        <f t="shared" ca="1" si="199"/>
        <v>1.8342046816848108E+16</v>
      </c>
      <c r="M6024" s="471">
        <f t="shared" si="201"/>
        <v>0.05</v>
      </c>
      <c r="N6024" s="475">
        <f t="shared" si="202"/>
        <v>234396</v>
      </c>
    </row>
    <row r="6025" spans="7:14" ht="11.25" customHeight="1" x14ac:dyDescent="0.3">
      <c r="G6025" s="470"/>
      <c r="H6025" s="470">
        <v>6018</v>
      </c>
      <c r="I6025" s="455">
        <f t="shared" ca="1" si="200"/>
        <v>1.8342046816848108E+16</v>
      </c>
      <c r="J6025" s="455">
        <f t="array" ref="J6025">IFERROR(INDEX('Retirement Calculator'!K:K,MATCH('Lorri 401b'!N6025,'Retirement Calculator'!A:A,0),0),0)</f>
        <v>0</v>
      </c>
      <c r="K6025" s="455">
        <f t="shared" ca="1" si="198"/>
        <v>76425195070200.453</v>
      </c>
      <c r="L6025" s="455">
        <f t="shared" ca="1" si="199"/>
        <v>1.8418472011918308E+16</v>
      </c>
      <c r="M6025" s="471">
        <f t="shared" si="201"/>
        <v>0.05</v>
      </c>
      <c r="N6025" s="475">
        <f t="shared" si="202"/>
        <v>234427</v>
      </c>
    </row>
    <row r="6026" spans="7:14" ht="11.25" customHeight="1" x14ac:dyDescent="0.3">
      <c r="G6026" s="470"/>
      <c r="H6026" s="470">
        <v>6019</v>
      </c>
      <c r="I6026" s="455">
        <f t="shared" ca="1" si="200"/>
        <v>1.8418472011918308E+16</v>
      </c>
      <c r="J6026" s="455">
        <f t="array" ref="J6026">IFERROR(INDEX('Retirement Calculator'!K:K,MATCH('Lorri 401b'!N6026,'Retirement Calculator'!A:A,0),0),0)</f>
        <v>0</v>
      </c>
      <c r="K6026" s="455">
        <f t="shared" ca="1" si="198"/>
        <v>76743633382992.953</v>
      </c>
      <c r="L6026" s="455">
        <f t="shared" ca="1" si="199"/>
        <v>1.84952156453013E+16</v>
      </c>
      <c r="M6026" s="471">
        <f t="shared" si="201"/>
        <v>0.05</v>
      </c>
      <c r="N6026" s="475">
        <f t="shared" si="202"/>
        <v>234457</v>
      </c>
    </row>
    <row r="6027" spans="7:14" ht="11.25" customHeight="1" x14ac:dyDescent="0.3">
      <c r="G6027" s="470"/>
      <c r="H6027" s="470">
        <v>6020</v>
      </c>
      <c r="I6027" s="455">
        <f t="shared" ca="1" si="200"/>
        <v>1.84952156453013E+16</v>
      </c>
      <c r="J6027" s="455">
        <f t="array" ref="J6027">IFERROR(INDEX('Retirement Calculator'!K:K,MATCH('Lorri 401b'!N6027,'Retirement Calculator'!A:A,0),0),0)</f>
        <v>0</v>
      </c>
      <c r="K6027" s="455">
        <f t="shared" ca="1" si="198"/>
        <v>77063398522088.75</v>
      </c>
      <c r="L6027" s="455">
        <f t="shared" ca="1" si="199"/>
        <v>1.8572279043823388E+16</v>
      </c>
      <c r="M6027" s="471">
        <f t="shared" si="201"/>
        <v>0.05</v>
      </c>
      <c r="N6027" s="475">
        <f t="shared" si="202"/>
        <v>234488</v>
      </c>
    </row>
    <row r="6028" spans="7:14" ht="11.25" customHeight="1" x14ac:dyDescent="0.3">
      <c r="G6028" s="470"/>
      <c r="H6028" s="470">
        <v>6021</v>
      </c>
      <c r="I6028" s="455">
        <f t="shared" ca="1" si="200"/>
        <v>1.8572279043823388E+16</v>
      </c>
      <c r="J6028" s="455">
        <f t="array" ref="J6028">IFERROR(INDEX('Retirement Calculator'!K:K,MATCH('Lorri 401b'!N6028,'Retirement Calculator'!A:A,0),0),0)</f>
        <v>0</v>
      </c>
      <c r="K6028" s="455">
        <f t="shared" ca="1" si="198"/>
        <v>77384496015930.781</v>
      </c>
      <c r="L6028" s="455">
        <f t="shared" ca="1" si="199"/>
        <v>1.864966353983932E+16</v>
      </c>
      <c r="M6028" s="471">
        <f t="shared" si="201"/>
        <v>0.05</v>
      </c>
      <c r="N6028" s="475">
        <f t="shared" si="202"/>
        <v>234519</v>
      </c>
    </row>
    <row r="6029" spans="7:14" ht="11.25" customHeight="1" x14ac:dyDescent="0.3">
      <c r="G6029" s="470"/>
      <c r="H6029" s="470">
        <v>6022</v>
      </c>
      <c r="I6029" s="455">
        <f t="shared" ca="1" si="200"/>
        <v>1.864966353983932E+16</v>
      </c>
      <c r="J6029" s="455">
        <f t="array" ref="J6029">IFERROR(INDEX('Retirement Calculator'!K:K,MATCH('Lorri 401b'!N6029,'Retirement Calculator'!A:A,0),0),0)</f>
        <v>0</v>
      </c>
      <c r="K6029" s="455">
        <f t="shared" ca="1" si="198"/>
        <v>77706931415997.172</v>
      </c>
      <c r="L6029" s="455">
        <f t="shared" ca="1" si="199"/>
        <v>1.8727370471255316E+16</v>
      </c>
      <c r="M6029" s="471">
        <f t="shared" si="201"/>
        <v>0.05</v>
      </c>
      <c r="N6029" s="475">
        <f t="shared" si="202"/>
        <v>234547</v>
      </c>
    </row>
    <row r="6030" spans="7:14" ht="11.25" customHeight="1" x14ac:dyDescent="0.3">
      <c r="G6030" s="470"/>
      <c r="H6030" s="470">
        <v>6023</v>
      </c>
      <c r="I6030" s="455">
        <f t="shared" ca="1" si="200"/>
        <v>1.8727370471255316E+16</v>
      </c>
      <c r="J6030" s="455">
        <f t="array" ref="J6030">IFERROR(INDEX('Retirement Calculator'!K:K,MATCH('Lorri 401b'!N6030,'Retirement Calculator'!A:A,0),0),0)</f>
        <v>0</v>
      </c>
      <c r="K6030" s="455">
        <f t="shared" ca="1" si="198"/>
        <v>78030710296897.156</v>
      </c>
      <c r="L6030" s="455">
        <f t="shared" ca="1" si="199"/>
        <v>1.8805401181552212E+16</v>
      </c>
      <c r="M6030" s="471">
        <f t="shared" si="201"/>
        <v>0.05</v>
      </c>
      <c r="N6030" s="475">
        <f t="shared" si="202"/>
        <v>234578</v>
      </c>
    </row>
    <row r="6031" spans="7:14" ht="11.25" customHeight="1" x14ac:dyDescent="0.3">
      <c r="G6031" s="470"/>
      <c r="H6031" s="470">
        <v>6024</v>
      </c>
      <c r="I6031" s="455">
        <f t="shared" ca="1" si="200"/>
        <v>1.8805401181552212E+16</v>
      </c>
      <c r="J6031" s="455">
        <f t="array" ref="J6031">IFERROR(INDEX('Retirement Calculator'!K:K,MATCH('Lorri 401b'!N6031,'Retirement Calculator'!A:A,0),0),0)</f>
        <v>0</v>
      </c>
      <c r="K6031" s="455">
        <f t="shared" ca="1" si="198"/>
        <v>78355838256467.547</v>
      </c>
      <c r="L6031" s="455">
        <f t="shared" ca="1" si="199"/>
        <v>1.888375701980868E+16</v>
      </c>
      <c r="M6031" s="471">
        <f t="shared" si="201"/>
        <v>0.05</v>
      </c>
      <c r="N6031" s="475">
        <f t="shared" si="202"/>
        <v>234608</v>
      </c>
    </row>
    <row r="6032" spans="7:14" ht="11.25" customHeight="1" x14ac:dyDescent="0.3">
      <c r="G6032" s="470"/>
      <c r="H6032" s="470">
        <v>6025</v>
      </c>
      <c r="I6032" s="455">
        <f t="shared" ca="1" si="200"/>
        <v>1.888375701980868E+16</v>
      </c>
      <c r="J6032" s="455">
        <f t="array" ref="J6032">IFERROR(INDEX('Retirement Calculator'!K:K,MATCH('Lorri 401b'!N6032,'Retirement Calculator'!A:A,0),0),0)</f>
        <v>0</v>
      </c>
      <c r="K6032" s="455">
        <f t="shared" ca="1" si="198"/>
        <v>78682320915869.5</v>
      </c>
      <c r="L6032" s="455">
        <f t="shared" ca="1" si="199"/>
        <v>1.8962439340724548E+16</v>
      </c>
      <c r="M6032" s="471">
        <f t="shared" si="201"/>
        <v>0.05</v>
      </c>
      <c r="N6032" s="475">
        <f t="shared" si="202"/>
        <v>234639</v>
      </c>
    </row>
    <row r="6033" spans="7:14" ht="11.25" customHeight="1" x14ac:dyDescent="0.3">
      <c r="G6033" s="470"/>
      <c r="H6033" s="470">
        <v>6026</v>
      </c>
      <c r="I6033" s="455">
        <f t="shared" ca="1" si="200"/>
        <v>1.8962439340724548E+16</v>
      </c>
      <c r="J6033" s="455">
        <f t="array" ref="J6033">IFERROR(INDEX('Retirement Calculator'!K:K,MATCH('Lorri 401b'!N6033,'Retirement Calculator'!A:A,0),0),0)</f>
        <v>0</v>
      </c>
      <c r="K6033" s="455">
        <f t="shared" ca="1" si="198"/>
        <v>79010163919685.609</v>
      </c>
      <c r="L6033" s="455">
        <f t="shared" ca="1" si="199"/>
        <v>1.9041449504644232E+16</v>
      </c>
      <c r="M6033" s="471">
        <f t="shared" si="201"/>
        <v>0.05</v>
      </c>
      <c r="N6033" s="475">
        <f t="shared" si="202"/>
        <v>234669</v>
      </c>
    </row>
    <row r="6034" spans="7:14" ht="11.25" customHeight="1" x14ac:dyDescent="0.3">
      <c r="G6034" s="470"/>
      <c r="H6034" s="470">
        <v>6027</v>
      </c>
      <c r="I6034" s="455">
        <f t="shared" ca="1" si="200"/>
        <v>1.9041449504644232E+16</v>
      </c>
      <c r="J6034" s="455">
        <f t="array" ref="J6034">IFERROR(INDEX('Retirement Calculator'!K:K,MATCH('Lorri 401b'!N6034,'Retirement Calculator'!A:A,0),0),0)</f>
        <v>0</v>
      </c>
      <c r="K6034" s="455">
        <f t="shared" ca="1" si="198"/>
        <v>79339372936017.625</v>
      </c>
      <c r="L6034" s="455">
        <f t="shared" ca="1" si="199"/>
        <v>1.9120788877580248E+16</v>
      </c>
      <c r="M6034" s="471">
        <f t="shared" si="201"/>
        <v>0.05</v>
      </c>
      <c r="N6034" s="475">
        <f t="shared" si="202"/>
        <v>234700</v>
      </c>
    </row>
    <row r="6035" spans="7:14" ht="11.25" customHeight="1" x14ac:dyDescent="0.3">
      <c r="G6035" s="470"/>
      <c r="H6035" s="470">
        <v>6028</v>
      </c>
      <c r="I6035" s="455">
        <f t="shared" ca="1" si="200"/>
        <v>1.9120788877580248E+16</v>
      </c>
      <c r="J6035" s="455">
        <f t="array" ref="J6035">IFERROR(INDEX('Retirement Calculator'!K:K,MATCH('Lorri 401b'!N6035,'Retirement Calculator'!A:A,0),0),0)</f>
        <v>0</v>
      </c>
      <c r="K6035" s="455">
        <f t="shared" ca="1" si="198"/>
        <v>79669953656584.359</v>
      </c>
      <c r="L6035" s="455">
        <f t="shared" ca="1" si="199"/>
        <v>1.9200458831236832E+16</v>
      </c>
      <c r="M6035" s="471">
        <f t="shared" si="201"/>
        <v>0.05</v>
      </c>
      <c r="N6035" s="475">
        <f t="shared" si="202"/>
        <v>234731</v>
      </c>
    </row>
    <row r="6036" spans="7:14" ht="11.25" customHeight="1" x14ac:dyDescent="0.3">
      <c r="G6036" s="470"/>
      <c r="H6036" s="470">
        <v>6029</v>
      </c>
      <c r="I6036" s="455">
        <f t="shared" ca="1" si="200"/>
        <v>1.9200458831236832E+16</v>
      </c>
      <c r="J6036" s="455">
        <f t="array" ref="J6036">IFERROR(INDEX('Retirement Calculator'!K:K,MATCH('Lorri 401b'!N6036,'Retirement Calculator'!A:A,0),0),0)</f>
        <v>0</v>
      </c>
      <c r="K6036" s="455">
        <f t="shared" ca="1" si="198"/>
        <v>80001911796820.125</v>
      </c>
      <c r="L6036" s="455">
        <f t="shared" ca="1" si="199"/>
        <v>1.9280460743033652E+16</v>
      </c>
      <c r="M6036" s="471">
        <f t="shared" si="201"/>
        <v>0.05</v>
      </c>
      <c r="N6036" s="475">
        <f t="shared" si="202"/>
        <v>234761</v>
      </c>
    </row>
    <row r="6037" spans="7:14" ht="11.25" customHeight="1" x14ac:dyDescent="0.3">
      <c r="G6037" s="470"/>
      <c r="H6037" s="470">
        <v>6030</v>
      </c>
      <c r="I6037" s="455">
        <f t="shared" ca="1" si="200"/>
        <v>1.9280460743033652E+16</v>
      </c>
      <c r="J6037" s="455">
        <f t="array" ref="J6037">IFERROR(INDEX('Retirement Calculator'!K:K,MATCH('Lorri 401b'!N6037,'Retirement Calculator'!A:A,0),0),0)</f>
        <v>0</v>
      </c>
      <c r="K6037" s="455">
        <f t="shared" ca="1" si="198"/>
        <v>80335253095973.547</v>
      </c>
      <c r="L6037" s="455">
        <f t="shared" ca="1" si="199"/>
        <v>1.9360795996129624E+16</v>
      </c>
      <c r="M6037" s="471">
        <f t="shared" si="201"/>
        <v>0.05</v>
      </c>
      <c r="N6037" s="475">
        <f t="shared" si="202"/>
        <v>234792</v>
      </c>
    </row>
    <row r="6038" spans="7:14" ht="11.25" customHeight="1" x14ac:dyDescent="0.3">
      <c r="G6038" s="470"/>
      <c r="H6038" s="470">
        <v>6031</v>
      </c>
      <c r="I6038" s="455">
        <f t="shared" ca="1" si="200"/>
        <v>1.9360795996129624E+16</v>
      </c>
      <c r="J6038" s="455">
        <f t="array" ref="J6038">IFERROR(INDEX('Retirement Calculator'!K:K,MATCH('Lorri 401b'!N6038,'Retirement Calculator'!A:A,0),0),0)</f>
        <v>0</v>
      </c>
      <c r="K6038" s="455">
        <f t="shared" ca="1" si="198"/>
        <v>80669983317206.766</v>
      </c>
      <c r="L6038" s="455">
        <f t="shared" ca="1" si="199"/>
        <v>1.9441465979446832E+16</v>
      </c>
      <c r="M6038" s="471">
        <f t="shared" si="201"/>
        <v>0.05</v>
      </c>
      <c r="N6038" s="475">
        <f t="shared" si="202"/>
        <v>234822</v>
      </c>
    </row>
    <row r="6039" spans="7:14" ht="11.25" customHeight="1" x14ac:dyDescent="0.3">
      <c r="G6039" s="470"/>
      <c r="H6039" s="470">
        <v>6032</v>
      </c>
      <c r="I6039" s="455">
        <f t="shared" ca="1" si="200"/>
        <v>1.9441465979446832E+16</v>
      </c>
      <c r="J6039" s="455">
        <f t="array" ref="J6039">IFERROR(INDEX('Retirement Calculator'!K:K,MATCH('Lorri 401b'!N6039,'Retirement Calculator'!A:A,0),0),0)</f>
        <v>0</v>
      </c>
      <c r="K6039" s="455">
        <f t="shared" ca="1" si="198"/>
        <v>81006108247695.125</v>
      </c>
      <c r="L6039" s="455">
        <f t="shared" ca="1" si="199"/>
        <v>1.9522472087694528E+16</v>
      </c>
      <c r="M6039" s="471">
        <f t="shared" si="201"/>
        <v>0.05</v>
      </c>
      <c r="N6039" s="475">
        <f t="shared" si="202"/>
        <v>234853</v>
      </c>
    </row>
    <row r="6040" spans="7:14" ht="11.25" customHeight="1" x14ac:dyDescent="0.3">
      <c r="G6040" s="470"/>
      <c r="H6040" s="470">
        <v>6033</v>
      </c>
      <c r="I6040" s="455">
        <f t="shared" ca="1" si="200"/>
        <v>1.9522472087694528E+16</v>
      </c>
      <c r="J6040" s="455">
        <f t="array" ref="J6040">IFERROR(INDEX('Retirement Calculator'!K:K,MATCH('Lorri 401b'!N6040,'Retirement Calculator'!A:A,0),0),0)</f>
        <v>0</v>
      </c>
      <c r="K6040" s="455">
        <f t="shared" ca="1" si="198"/>
        <v>81343633698727.203</v>
      </c>
      <c r="L6040" s="455">
        <f t="shared" ca="1" si="199"/>
        <v>1.9603815721393256E+16</v>
      </c>
      <c r="M6040" s="471">
        <f t="shared" si="201"/>
        <v>0.05</v>
      </c>
      <c r="N6040" s="475">
        <f t="shared" si="202"/>
        <v>234884</v>
      </c>
    </row>
    <row r="6041" spans="7:14" ht="11.25" customHeight="1" x14ac:dyDescent="0.3">
      <c r="G6041" s="470"/>
      <c r="H6041" s="470">
        <v>6034</v>
      </c>
      <c r="I6041" s="455">
        <f t="shared" ca="1" si="200"/>
        <v>1.9603815721393256E+16</v>
      </c>
      <c r="J6041" s="455">
        <f t="array" ref="J6041">IFERROR(INDEX('Retirement Calculator'!K:K,MATCH('Lorri 401b'!N6041,'Retirement Calculator'!A:A,0),0),0)</f>
        <v>0</v>
      </c>
      <c r="K6041" s="455">
        <f t="shared" ca="1" si="198"/>
        <v>81682565505805.234</v>
      </c>
      <c r="L6041" s="455">
        <f t="shared" ca="1" si="199"/>
        <v>1.968549828689906E+16</v>
      </c>
      <c r="M6041" s="471">
        <f t="shared" si="201"/>
        <v>0.05</v>
      </c>
      <c r="N6041" s="475">
        <f t="shared" si="202"/>
        <v>234912</v>
      </c>
    </row>
    <row r="6042" spans="7:14" ht="11.25" customHeight="1" x14ac:dyDescent="0.3">
      <c r="G6042" s="470"/>
      <c r="H6042" s="470">
        <v>6035</v>
      </c>
      <c r="I6042" s="455">
        <f t="shared" ca="1" si="200"/>
        <v>1.968549828689906E+16</v>
      </c>
      <c r="J6042" s="455">
        <f t="array" ref="J6042">IFERROR(INDEX('Retirement Calculator'!K:K,MATCH('Lorri 401b'!N6042,'Retirement Calculator'!A:A,0),0),0)</f>
        <v>0</v>
      </c>
      <c r="K6042" s="455">
        <f t="shared" ca="1" si="198"/>
        <v>82022909528746.078</v>
      </c>
      <c r="L6042" s="455">
        <f t="shared" ca="1" si="199"/>
        <v>1.9767521196427808E+16</v>
      </c>
      <c r="M6042" s="471">
        <f t="shared" si="201"/>
        <v>0.05</v>
      </c>
      <c r="N6042" s="475">
        <f t="shared" si="202"/>
        <v>234943</v>
      </c>
    </row>
    <row r="6043" spans="7:14" ht="11.25" customHeight="1" x14ac:dyDescent="0.3">
      <c r="G6043" s="470"/>
      <c r="H6043" s="470">
        <v>6036</v>
      </c>
      <c r="I6043" s="455">
        <f t="shared" ca="1" si="200"/>
        <v>1.9767521196427808E+16</v>
      </c>
      <c r="J6043" s="455">
        <f t="array" ref="J6043">IFERROR(INDEX('Retirement Calculator'!K:K,MATCH('Lorri 401b'!N6043,'Retirement Calculator'!A:A,0),0),0)</f>
        <v>0</v>
      </c>
      <c r="K6043" s="455">
        <f t="shared" ca="1" si="198"/>
        <v>82364671651782.531</v>
      </c>
      <c r="L6043" s="455">
        <f t="shared" ca="1" si="199"/>
        <v>1.9849885868079592E+16</v>
      </c>
      <c r="M6043" s="471">
        <f t="shared" si="201"/>
        <v>0.05</v>
      </c>
      <c r="N6043" s="475">
        <f t="shared" si="202"/>
        <v>234973</v>
      </c>
    </row>
    <row r="6044" spans="7:14" ht="11.25" customHeight="1" x14ac:dyDescent="0.3">
      <c r="G6044" s="470"/>
      <c r="H6044" s="470">
        <v>6037</v>
      </c>
      <c r="I6044" s="455">
        <f t="shared" ca="1" si="200"/>
        <v>1.9849885868079592E+16</v>
      </c>
      <c r="J6044" s="455">
        <f t="array" ref="J6044">IFERROR(INDEX('Retirement Calculator'!K:K,MATCH('Lorri 401b'!N6044,'Retirement Calculator'!A:A,0),0),0)</f>
        <v>0</v>
      </c>
      <c r="K6044" s="455">
        <f t="shared" ca="1" si="198"/>
        <v>82707857783664.969</v>
      </c>
      <c r="L6044" s="455">
        <f t="shared" ca="1" si="199"/>
        <v>1.9932593725863256E+16</v>
      </c>
      <c r="M6044" s="471">
        <f t="shared" si="201"/>
        <v>0.05</v>
      </c>
      <c r="N6044" s="475">
        <f t="shared" si="202"/>
        <v>235004</v>
      </c>
    </row>
    <row r="6045" spans="7:14" ht="11.25" customHeight="1" x14ac:dyDescent="0.3">
      <c r="G6045" s="470"/>
      <c r="H6045" s="470">
        <v>6038</v>
      </c>
      <c r="I6045" s="455">
        <f t="shared" ca="1" si="200"/>
        <v>1.9932593725863256E+16</v>
      </c>
      <c r="J6045" s="455">
        <f t="array" ref="J6045">IFERROR(INDEX('Retirement Calculator'!K:K,MATCH('Lorri 401b'!N6045,'Retirement Calculator'!A:A,0),0),0)</f>
        <v>0</v>
      </c>
      <c r="K6045" s="455">
        <f t="shared" ca="1" si="198"/>
        <v>83052473857763.563</v>
      </c>
      <c r="L6045" s="455">
        <f t="shared" ca="1" si="199"/>
        <v>2.001564619972102E+16</v>
      </c>
      <c r="M6045" s="471">
        <f t="shared" si="201"/>
        <v>0.05</v>
      </c>
      <c r="N6045" s="475">
        <f t="shared" si="202"/>
        <v>235034</v>
      </c>
    </row>
    <row r="6046" spans="7:14" ht="11.25" customHeight="1" x14ac:dyDescent="0.3">
      <c r="G6046" s="470"/>
      <c r="H6046" s="470">
        <v>6039</v>
      </c>
      <c r="I6046" s="455">
        <f t="shared" ca="1" si="200"/>
        <v>2.001564619972102E+16</v>
      </c>
      <c r="J6046" s="455">
        <f t="array" ref="J6046">IFERROR(INDEX('Retirement Calculator'!K:K,MATCH('Lorri 401b'!N6046,'Retirement Calculator'!A:A,0),0),0)</f>
        <v>0</v>
      </c>
      <c r="K6046" s="455">
        <f t="shared" ca="1" si="198"/>
        <v>83398525832170.922</v>
      </c>
      <c r="L6046" s="455">
        <f t="shared" ca="1" si="199"/>
        <v>2.0099044725553192E+16</v>
      </c>
      <c r="M6046" s="471">
        <f t="shared" si="201"/>
        <v>0.05</v>
      </c>
      <c r="N6046" s="475">
        <f t="shared" si="202"/>
        <v>235065</v>
      </c>
    </row>
    <row r="6047" spans="7:14" ht="11.25" customHeight="1" x14ac:dyDescent="0.3">
      <c r="G6047" s="470"/>
      <c r="H6047" s="470">
        <v>6040</v>
      </c>
      <c r="I6047" s="455">
        <f t="shared" ca="1" si="200"/>
        <v>2.0099044725553192E+16</v>
      </c>
      <c r="J6047" s="455">
        <f t="array" ref="J6047">IFERROR(INDEX('Retirement Calculator'!K:K,MATCH('Lorri 401b'!N6047,'Retirement Calculator'!A:A,0),0),0)</f>
        <v>0</v>
      </c>
      <c r="K6047" s="455">
        <f t="shared" ca="1" si="198"/>
        <v>83746019689804.969</v>
      </c>
      <c r="L6047" s="455">
        <f t="shared" ca="1" si="199"/>
        <v>2.0182790745242996E+16</v>
      </c>
      <c r="M6047" s="471">
        <f t="shared" si="201"/>
        <v>0.05</v>
      </c>
      <c r="N6047" s="475">
        <f t="shared" si="202"/>
        <v>235096</v>
      </c>
    </row>
    <row r="6048" spans="7:14" ht="11.25" customHeight="1" x14ac:dyDescent="0.3">
      <c r="G6048" s="470"/>
      <c r="H6048" s="470">
        <v>6041</v>
      </c>
      <c r="I6048" s="455">
        <f t="shared" ca="1" si="200"/>
        <v>2.0182790745242996E+16</v>
      </c>
      <c r="J6048" s="455">
        <f t="array" ref="J6048">IFERROR(INDEX('Retirement Calculator'!K:K,MATCH('Lorri 401b'!N6048,'Retirement Calculator'!A:A,0),0),0)</f>
        <v>0</v>
      </c>
      <c r="K6048" s="455">
        <f t="shared" ca="1" si="198"/>
        <v>84094961438512.484</v>
      </c>
      <c r="L6048" s="455">
        <f t="shared" ca="1" si="199"/>
        <v>2.0266885706681508E+16</v>
      </c>
      <c r="M6048" s="471">
        <f t="shared" si="201"/>
        <v>0.05</v>
      </c>
      <c r="N6048" s="475">
        <f t="shared" si="202"/>
        <v>235126</v>
      </c>
    </row>
    <row r="6049" spans="7:14" ht="11.25" customHeight="1" x14ac:dyDescent="0.3">
      <c r="G6049" s="470"/>
      <c r="H6049" s="470">
        <v>6042</v>
      </c>
      <c r="I6049" s="455">
        <f t="shared" ca="1" si="200"/>
        <v>2.0266885706681508E+16</v>
      </c>
      <c r="J6049" s="455">
        <f t="array" ref="J6049">IFERROR(INDEX('Retirement Calculator'!K:K,MATCH('Lorri 401b'!N6049,'Retirement Calculator'!A:A,0),0),0)</f>
        <v>0</v>
      </c>
      <c r="K6049" s="455">
        <f t="shared" ca="1" si="198"/>
        <v>84445357111172.953</v>
      </c>
      <c r="L6049" s="455">
        <f t="shared" ca="1" si="199"/>
        <v>2.035133106379268E+16</v>
      </c>
      <c r="M6049" s="471">
        <f t="shared" si="201"/>
        <v>0.05</v>
      </c>
      <c r="N6049" s="475">
        <f t="shared" si="202"/>
        <v>235157</v>
      </c>
    </row>
    <row r="6050" spans="7:14" ht="11.25" customHeight="1" x14ac:dyDescent="0.3">
      <c r="G6050" s="470"/>
      <c r="H6050" s="470">
        <v>6043</v>
      </c>
      <c r="I6050" s="455">
        <f t="shared" ca="1" si="200"/>
        <v>2.035133106379268E+16</v>
      </c>
      <c r="J6050" s="455">
        <f t="array" ref="J6050">IFERROR(INDEX('Retirement Calculator'!K:K,MATCH('Lorri 401b'!N6050,'Retirement Calculator'!A:A,0),0),0)</f>
        <v>0</v>
      </c>
      <c r="K6050" s="455">
        <f t="shared" ca="1" si="198"/>
        <v>84797212765802.828</v>
      </c>
      <c r="L6050" s="455">
        <f t="shared" ca="1" si="199"/>
        <v>2.0436128276558484E+16</v>
      </c>
      <c r="M6050" s="471">
        <f t="shared" si="201"/>
        <v>0.05</v>
      </c>
      <c r="N6050" s="475">
        <f t="shared" si="202"/>
        <v>235187</v>
      </c>
    </row>
    <row r="6051" spans="7:14" ht="11.25" customHeight="1" x14ac:dyDescent="0.3">
      <c r="G6051" s="470"/>
      <c r="H6051" s="470">
        <v>6044</v>
      </c>
      <c r="I6051" s="455">
        <f t="shared" ca="1" si="200"/>
        <v>2.0436128276558484E+16</v>
      </c>
      <c r="J6051" s="455">
        <f t="array" ref="J6051">IFERROR(INDEX('Retirement Calculator'!K:K,MATCH('Lorri 401b'!N6051,'Retirement Calculator'!A:A,0),0),0)</f>
        <v>0</v>
      </c>
      <c r="K6051" s="455">
        <f t="shared" ca="1" si="198"/>
        <v>85150534485660.344</v>
      </c>
      <c r="L6051" s="455">
        <f t="shared" ca="1" si="199"/>
        <v>2.0521278811044144E+16</v>
      </c>
      <c r="M6051" s="471">
        <f t="shared" si="201"/>
        <v>0.05</v>
      </c>
      <c r="N6051" s="475">
        <f t="shared" si="202"/>
        <v>235218</v>
      </c>
    </row>
    <row r="6052" spans="7:14" ht="11.25" customHeight="1" x14ac:dyDescent="0.3">
      <c r="G6052" s="470"/>
      <c r="H6052" s="470">
        <v>6045</v>
      </c>
      <c r="I6052" s="455">
        <f t="shared" ca="1" si="200"/>
        <v>2.0521278811044144E+16</v>
      </c>
      <c r="J6052" s="455">
        <f t="array" ref="J6052">IFERROR(INDEX('Retirement Calculator'!K:K,MATCH('Lorri 401b'!N6052,'Retirement Calculator'!A:A,0),0),0)</f>
        <v>0</v>
      </c>
      <c r="K6052" s="455">
        <f t="shared" ca="1" si="198"/>
        <v>85505328379350.594</v>
      </c>
      <c r="L6052" s="455">
        <f t="shared" ca="1" si="199"/>
        <v>2.0606784139423496E+16</v>
      </c>
      <c r="M6052" s="471">
        <f t="shared" si="201"/>
        <v>0.05</v>
      </c>
      <c r="N6052" s="475">
        <f t="shared" si="202"/>
        <v>235249</v>
      </c>
    </row>
    <row r="6053" spans="7:14" ht="11.25" customHeight="1" x14ac:dyDescent="0.3">
      <c r="G6053" s="470"/>
      <c r="H6053" s="470">
        <v>6046</v>
      </c>
      <c r="I6053" s="455">
        <f t="shared" ca="1" si="200"/>
        <v>2.0606784139423496E+16</v>
      </c>
      <c r="J6053" s="455">
        <f t="array" ref="J6053">IFERROR(INDEX('Retirement Calculator'!K:K,MATCH('Lorri 401b'!N6053,'Retirement Calculator'!A:A,0),0),0)</f>
        <v>0</v>
      </c>
      <c r="K6053" s="455">
        <f t="shared" ca="1" si="198"/>
        <v>85861600580931.234</v>
      </c>
      <c r="L6053" s="455">
        <f t="shared" ca="1" si="199"/>
        <v>2.0692645740004428E+16</v>
      </c>
      <c r="M6053" s="471">
        <f t="shared" si="201"/>
        <v>0.05</v>
      </c>
      <c r="N6053" s="475">
        <f t="shared" si="202"/>
        <v>235278</v>
      </c>
    </row>
    <row r="6054" spans="7:14" ht="11.25" customHeight="1" x14ac:dyDescent="0.3">
      <c r="G6054" s="470"/>
      <c r="H6054" s="470">
        <v>6047</v>
      </c>
      <c r="I6054" s="455">
        <f t="shared" ca="1" si="200"/>
        <v>2.0692645740004428E+16</v>
      </c>
      <c r="J6054" s="455">
        <f t="array" ref="J6054">IFERROR(INDEX('Retirement Calculator'!K:K,MATCH('Lorri 401b'!N6054,'Retirement Calculator'!A:A,0),0),0)</f>
        <v>0</v>
      </c>
      <c r="K6054" s="455">
        <f t="shared" ca="1" si="198"/>
        <v>86219357250018.453</v>
      </c>
      <c r="L6054" s="455">
        <f t="shared" ca="1" si="199"/>
        <v>2.0778865097254448E+16</v>
      </c>
      <c r="M6054" s="471">
        <f t="shared" si="201"/>
        <v>0.05</v>
      </c>
      <c r="N6054" s="475">
        <f t="shared" si="202"/>
        <v>235309</v>
      </c>
    </row>
    <row r="6055" spans="7:14" ht="11.25" customHeight="1" x14ac:dyDescent="0.3">
      <c r="G6055" s="470"/>
      <c r="H6055" s="470">
        <v>6048</v>
      </c>
      <c r="I6055" s="455">
        <f t="shared" ca="1" si="200"/>
        <v>2.0778865097254448E+16</v>
      </c>
      <c r="J6055" s="455">
        <f t="array" ref="J6055">IFERROR(INDEX('Retirement Calculator'!K:K,MATCH('Lorri 401b'!N6055,'Retirement Calculator'!A:A,0),0),0)</f>
        <v>0</v>
      </c>
      <c r="K6055" s="455">
        <f t="shared" ca="1" si="198"/>
        <v>86578604571893.531</v>
      </c>
      <c r="L6055" s="455">
        <f t="shared" ca="1" si="199"/>
        <v>2.086544370182634E+16</v>
      </c>
      <c r="M6055" s="471">
        <f t="shared" si="201"/>
        <v>0.05</v>
      </c>
      <c r="N6055" s="475">
        <f t="shared" si="202"/>
        <v>235339</v>
      </c>
    </row>
    <row r="6056" spans="7:14" ht="11.25" customHeight="1" x14ac:dyDescent="0.3">
      <c r="G6056" s="470"/>
      <c r="H6056" s="470">
        <v>6049</v>
      </c>
      <c r="I6056" s="455">
        <f t="shared" ca="1" si="200"/>
        <v>2.086544370182634E+16</v>
      </c>
      <c r="J6056" s="455">
        <f t="array" ref="J6056">IFERROR(INDEX('Retirement Calculator'!K:K,MATCH('Lorri 401b'!N6056,'Retirement Calculator'!A:A,0),0),0)</f>
        <v>0</v>
      </c>
      <c r="K6056" s="455">
        <f t="shared" ca="1" si="198"/>
        <v>86939348757609.75</v>
      </c>
      <c r="L6056" s="455">
        <f t="shared" ca="1" si="199"/>
        <v>2.0952383050583948E+16</v>
      </c>
      <c r="M6056" s="471">
        <f t="shared" si="201"/>
        <v>0.05</v>
      </c>
      <c r="N6056" s="475">
        <f t="shared" si="202"/>
        <v>235370</v>
      </c>
    </row>
    <row r="6057" spans="7:14" ht="11.25" customHeight="1" x14ac:dyDescent="0.3">
      <c r="G6057" s="470"/>
      <c r="H6057" s="470">
        <v>6050</v>
      </c>
      <c r="I6057" s="455">
        <f t="shared" ca="1" si="200"/>
        <v>2.0952383050583948E+16</v>
      </c>
      <c r="J6057" s="455">
        <f t="array" ref="J6057">IFERROR(INDEX('Retirement Calculator'!K:K,MATCH('Lorri 401b'!N6057,'Retirement Calculator'!A:A,0),0),0)</f>
        <v>0</v>
      </c>
      <c r="K6057" s="455">
        <f t="shared" ca="1" si="198"/>
        <v>87301596044099.781</v>
      </c>
      <c r="L6057" s="455">
        <f t="shared" ca="1" si="199"/>
        <v>2.1039684646628048E+16</v>
      </c>
      <c r="M6057" s="471">
        <f t="shared" si="201"/>
        <v>0.05</v>
      </c>
      <c r="N6057" s="475">
        <f t="shared" si="202"/>
        <v>235400</v>
      </c>
    </row>
    <row r="6058" spans="7:14" ht="11.25" customHeight="1" x14ac:dyDescent="0.3">
      <c r="G6058" s="470"/>
      <c r="H6058" s="470">
        <v>6051</v>
      </c>
      <c r="I6058" s="455">
        <f t="shared" ca="1" si="200"/>
        <v>2.1039684646628048E+16</v>
      </c>
      <c r="J6058" s="455">
        <f t="array" ref="J6058">IFERROR(INDEX('Retirement Calculator'!K:K,MATCH('Lorri 401b'!N6058,'Retirement Calculator'!A:A,0),0),0)</f>
        <v>0</v>
      </c>
      <c r="K6058" s="455">
        <f t="shared" ca="1" si="198"/>
        <v>87665352694283.531</v>
      </c>
      <c r="L6058" s="455">
        <f t="shared" ca="1" si="199"/>
        <v>2.1127349999322332E+16</v>
      </c>
      <c r="M6058" s="471">
        <f t="shared" si="201"/>
        <v>0.05</v>
      </c>
      <c r="N6058" s="475">
        <f t="shared" si="202"/>
        <v>235431</v>
      </c>
    </row>
    <row r="6059" spans="7:14" ht="11.25" customHeight="1" x14ac:dyDescent="0.3">
      <c r="G6059" s="470"/>
      <c r="H6059" s="470">
        <v>6052</v>
      </c>
      <c r="I6059" s="455">
        <f t="shared" ca="1" si="200"/>
        <v>2.1127349999322332E+16</v>
      </c>
      <c r="J6059" s="455">
        <f t="array" ref="J6059">IFERROR(INDEX('Retirement Calculator'!K:K,MATCH('Lorri 401b'!N6059,'Retirement Calculator'!A:A,0),0),0)</f>
        <v>0</v>
      </c>
      <c r="K6059" s="455">
        <f t="shared" ca="1" si="198"/>
        <v>88030624997176.375</v>
      </c>
      <c r="L6059" s="455">
        <f t="shared" ca="1" si="199"/>
        <v>2.1215380624319508E+16</v>
      </c>
      <c r="M6059" s="471">
        <f t="shared" si="201"/>
        <v>0.05</v>
      </c>
      <c r="N6059" s="475">
        <f t="shared" si="202"/>
        <v>235462</v>
      </c>
    </row>
    <row r="6060" spans="7:14" ht="11.25" customHeight="1" x14ac:dyDescent="0.3">
      <c r="G6060" s="470"/>
      <c r="H6060" s="470">
        <v>6053</v>
      </c>
      <c r="I6060" s="455">
        <f t="shared" ca="1" si="200"/>
        <v>2.1215380624319508E+16</v>
      </c>
      <c r="J6060" s="455">
        <f t="array" ref="J6060">IFERROR(INDEX('Retirement Calculator'!K:K,MATCH('Lorri 401b'!N6060,'Retirement Calculator'!A:A,0),0),0)</f>
        <v>0</v>
      </c>
      <c r="K6060" s="455">
        <f t="shared" ca="1" si="198"/>
        <v>88397419267997.953</v>
      </c>
      <c r="L6060" s="455">
        <f t="shared" ca="1" si="199"/>
        <v>2.1303778043587504E+16</v>
      </c>
      <c r="M6060" s="471">
        <f t="shared" si="201"/>
        <v>0.05</v>
      </c>
      <c r="N6060" s="475">
        <f t="shared" si="202"/>
        <v>235492</v>
      </c>
    </row>
    <row r="6061" spans="7:14" ht="11.25" customHeight="1" x14ac:dyDescent="0.3">
      <c r="G6061" s="470"/>
      <c r="H6061" s="470">
        <v>6054</v>
      </c>
      <c r="I6061" s="455">
        <f t="shared" ca="1" si="200"/>
        <v>2.1303778043587504E+16</v>
      </c>
      <c r="J6061" s="455">
        <f t="array" ref="J6061">IFERROR(INDEX('Retirement Calculator'!K:K,MATCH('Lorri 401b'!N6061,'Retirement Calculator'!A:A,0),0),0)</f>
        <v>0</v>
      </c>
      <c r="K6061" s="455">
        <f t="shared" ca="1" si="198"/>
        <v>88765741848281.266</v>
      </c>
      <c r="L6061" s="455">
        <f t="shared" ca="1" si="199"/>
        <v>2.1392543785435784E+16</v>
      </c>
      <c r="M6061" s="471">
        <f t="shared" si="201"/>
        <v>0.05</v>
      </c>
      <c r="N6061" s="475">
        <f t="shared" si="202"/>
        <v>235523</v>
      </c>
    </row>
    <row r="6062" spans="7:14" ht="11.25" customHeight="1" x14ac:dyDescent="0.3">
      <c r="G6062" s="470"/>
      <c r="H6062" s="470">
        <v>6055</v>
      </c>
      <c r="I6062" s="455">
        <f t="shared" ca="1" si="200"/>
        <v>2.1392543785435784E+16</v>
      </c>
      <c r="J6062" s="455">
        <f t="array" ref="J6062">IFERROR(INDEX('Retirement Calculator'!K:K,MATCH('Lorri 401b'!N6062,'Retirement Calculator'!A:A,0),0),0)</f>
        <v>0</v>
      </c>
      <c r="K6062" s="455">
        <f t="shared" ca="1" si="198"/>
        <v>89135599105982.438</v>
      </c>
      <c r="L6062" s="455">
        <f t="shared" ca="1" si="199"/>
        <v>2.1481679384541768E+16</v>
      </c>
      <c r="M6062" s="471">
        <f t="shared" si="201"/>
        <v>0.05</v>
      </c>
      <c r="N6062" s="475">
        <f t="shared" si="202"/>
        <v>235553</v>
      </c>
    </row>
    <row r="6063" spans="7:14" ht="11.25" customHeight="1" x14ac:dyDescent="0.3">
      <c r="G6063" s="470"/>
      <c r="H6063" s="470">
        <v>6056</v>
      </c>
      <c r="I6063" s="455">
        <f t="shared" ca="1" si="200"/>
        <v>2.1481679384541768E+16</v>
      </c>
      <c r="J6063" s="455">
        <f t="array" ref="J6063">IFERROR(INDEX('Retirement Calculator'!K:K,MATCH('Lorri 401b'!N6063,'Retirement Calculator'!A:A,0),0),0)</f>
        <v>0</v>
      </c>
      <c r="K6063" s="455">
        <f t="shared" ca="1" si="198"/>
        <v>89506997435590.703</v>
      </c>
      <c r="L6063" s="455">
        <f t="shared" ca="1" si="199"/>
        <v>2.157118638197736E+16</v>
      </c>
      <c r="M6063" s="471">
        <f t="shared" si="201"/>
        <v>0.05</v>
      </c>
      <c r="N6063" s="475">
        <f t="shared" si="202"/>
        <v>235584</v>
      </c>
    </row>
    <row r="6064" spans="7:14" ht="11.25" customHeight="1" x14ac:dyDescent="0.3">
      <c r="G6064" s="470"/>
      <c r="H6064" s="470">
        <v>6057</v>
      </c>
      <c r="I6064" s="455">
        <f t="shared" ca="1" si="200"/>
        <v>2.157118638197736E+16</v>
      </c>
      <c r="J6064" s="455">
        <f t="array" ref="J6064">IFERROR(INDEX('Retirement Calculator'!K:K,MATCH('Lorri 401b'!N6064,'Retirement Calculator'!A:A,0),0),0)</f>
        <v>0</v>
      </c>
      <c r="K6064" s="455">
        <f t="shared" ca="1" si="198"/>
        <v>89879943258239</v>
      </c>
      <c r="L6064" s="455">
        <f t="shared" ca="1" si="199"/>
        <v>2.16610663252356E+16</v>
      </c>
      <c r="M6064" s="471">
        <f t="shared" si="201"/>
        <v>0.05</v>
      </c>
      <c r="N6064" s="475">
        <f t="shared" si="202"/>
        <v>235615</v>
      </c>
    </row>
    <row r="6065" spans="7:14" ht="11.25" customHeight="1" x14ac:dyDescent="0.3">
      <c r="G6065" s="470"/>
      <c r="H6065" s="470">
        <v>6058</v>
      </c>
      <c r="I6065" s="455">
        <f t="shared" ca="1" si="200"/>
        <v>2.16610663252356E+16</v>
      </c>
      <c r="J6065" s="455">
        <f t="array" ref="J6065">IFERROR(INDEX('Retirement Calculator'!K:K,MATCH('Lorri 401b'!N6065,'Retirement Calculator'!A:A,0),0),0)</f>
        <v>0</v>
      </c>
      <c r="K6065" s="455">
        <f t="shared" ca="1" si="198"/>
        <v>90254443021815</v>
      </c>
      <c r="L6065" s="455">
        <f t="shared" ca="1" si="199"/>
        <v>2.1751320768257416E+16</v>
      </c>
      <c r="M6065" s="471">
        <f t="shared" si="201"/>
        <v>0.05</v>
      </c>
      <c r="N6065" s="475">
        <f t="shared" si="202"/>
        <v>235643</v>
      </c>
    </row>
    <row r="6066" spans="7:14" ht="11.25" customHeight="1" x14ac:dyDescent="0.3">
      <c r="G6066" s="470"/>
      <c r="H6066" s="470">
        <v>6059</v>
      </c>
      <c r="I6066" s="455">
        <f t="shared" ca="1" si="200"/>
        <v>2.1751320768257416E+16</v>
      </c>
      <c r="J6066" s="455">
        <f t="array" ref="J6066">IFERROR(INDEX('Retirement Calculator'!K:K,MATCH('Lorri 401b'!N6066,'Retirement Calculator'!A:A,0),0),0)</f>
        <v>0</v>
      </c>
      <c r="K6066" s="455">
        <f t="shared" ca="1" si="198"/>
        <v>90630503201072.563</v>
      </c>
      <c r="L6066" s="455">
        <f t="shared" ca="1" si="199"/>
        <v>2.1841951271458488E+16</v>
      </c>
      <c r="M6066" s="471">
        <f t="shared" si="201"/>
        <v>0.05</v>
      </c>
      <c r="N6066" s="475">
        <f t="shared" si="202"/>
        <v>235674</v>
      </c>
    </row>
    <row r="6067" spans="7:14" ht="11.25" customHeight="1" x14ac:dyDescent="0.3">
      <c r="G6067" s="470"/>
      <c r="H6067" s="470">
        <v>6060</v>
      </c>
      <c r="I6067" s="455">
        <f t="shared" ca="1" si="200"/>
        <v>2.1841951271458488E+16</v>
      </c>
      <c r="J6067" s="455">
        <f t="array" ref="J6067">IFERROR(INDEX('Retirement Calculator'!K:K,MATCH('Lorri 401b'!N6067,'Retirement Calculator'!A:A,0),0),0)</f>
        <v>0</v>
      </c>
      <c r="K6067" s="455">
        <f t="shared" ca="1" si="198"/>
        <v>91008130297743.703</v>
      </c>
      <c r="L6067" s="455">
        <f t="shared" ca="1" si="199"/>
        <v>2.1932959401756232E+16</v>
      </c>
      <c r="M6067" s="471">
        <f t="shared" si="201"/>
        <v>0.05</v>
      </c>
      <c r="N6067" s="475">
        <f t="shared" si="202"/>
        <v>235704</v>
      </c>
    </row>
    <row r="6068" spans="7:14" ht="11.25" customHeight="1" x14ac:dyDescent="0.3">
      <c r="G6068" s="470"/>
      <c r="H6068" s="470">
        <v>6061</v>
      </c>
      <c r="I6068" s="455">
        <f t="shared" ca="1" si="200"/>
        <v>2.1932959401756232E+16</v>
      </c>
      <c r="J6068" s="455">
        <f t="array" ref="J6068">IFERROR(INDEX('Retirement Calculator'!K:K,MATCH('Lorri 401b'!N6068,'Retirement Calculator'!A:A,0),0),0)</f>
        <v>0</v>
      </c>
      <c r="K6068" s="455">
        <f t="shared" ca="1" si="198"/>
        <v>91387330840650.969</v>
      </c>
      <c r="L6068" s="455">
        <f t="shared" ca="1" si="199"/>
        <v>2.2024346732596884E+16</v>
      </c>
      <c r="M6068" s="471">
        <f t="shared" si="201"/>
        <v>0.05</v>
      </c>
      <c r="N6068" s="475">
        <f t="shared" si="202"/>
        <v>235735</v>
      </c>
    </row>
    <row r="6069" spans="7:14" ht="11.25" customHeight="1" x14ac:dyDescent="0.3">
      <c r="G6069" s="470"/>
      <c r="H6069" s="470">
        <v>6062</v>
      </c>
      <c r="I6069" s="455">
        <f t="shared" ca="1" si="200"/>
        <v>2.2024346732596884E+16</v>
      </c>
      <c r="J6069" s="455">
        <f t="array" ref="J6069">IFERROR(INDEX('Retirement Calculator'!K:K,MATCH('Lorri 401b'!N6069,'Retirement Calculator'!A:A,0),0),0)</f>
        <v>0</v>
      </c>
      <c r="K6069" s="455">
        <f t="shared" ca="1" si="198"/>
        <v>91768111385820.344</v>
      </c>
      <c r="L6069" s="455">
        <f t="shared" ca="1" si="199"/>
        <v>2.2116114843982704E+16</v>
      </c>
      <c r="M6069" s="471">
        <f t="shared" si="201"/>
        <v>0.05</v>
      </c>
      <c r="N6069" s="475">
        <f t="shared" si="202"/>
        <v>235765</v>
      </c>
    </row>
    <row r="6070" spans="7:14" ht="11.25" customHeight="1" x14ac:dyDescent="0.3">
      <c r="G6070" s="470"/>
      <c r="H6070" s="470">
        <v>6063</v>
      </c>
      <c r="I6070" s="455">
        <f t="shared" ca="1" si="200"/>
        <v>2.2116114843982704E+16</v>
      </c>
      <c r="J6070" s="455">
        <f t="array" ref="J6070">IFERROR(INDEX('Retirement Calculator'!K:K,MATCH('Lorri 401b'!N6070,'Retirement Calculator'!A:A,0),0),0)</f>
        <v>0</v>
      </c>
      <c r="K6070" s="455">
        <f t="shared" ca="1" si="198"/>
        <v>92150478516594.594</v>
      </c>
      <c r="L6070" s="455">
        <f t="shared" ca="1" si="199"/>
        <v>2.22082653224993E+16</v>
      </c>
      <c r="M6070" s="471">
        <f t="shared" si="201"/>
        <v>0.05</v>
      </c>
      <c r="N6070" s="475">
        <f t="shared" si="202"/>
        <v>235796</v>
      </c>
    </row>
    <row r="6071" spans="7:14" ht="11.25" customHeight="1" x14ac:dyDescent="0.3">
      <c r="G6071" s="470"/>
      <c r="H6071" s="470">
        <v>6064</v>
      </c>
      <c r="I6071" s="455">
        <f t="shared" ca="1" si="200"/>
        <v>2.22082653224993E+16</v>
      </c>
      <c r="J6071" s="455">
        <f t="array" ref="J6071">IFERROR(INDEX('Retirement Calculator'!K:K,MATCH('Lorri 401b'!N6071,'Retirement Calculator'!A:A,0),0),0)</f>
        <v>0</v>
      </c>
      <c r="K6071" s="455">
        <f t="shared" ca="1" si="198"/>
        <v>92534438843747.078</v>
      </c>
      <c r="L6071" s="455">
        <f t="shared" ca="1" si="199"/>
        <v>2.2300799761343048E+16</v>
      </c>
      <c r="M6071" s="471">
        <f t="shared" si="201"/>
        <v>0.05</v>
      </c>
      <c r="N6071" s="475">
        <f t="shared" si="202"/>
        <v>235827</v>
      </c>
    </row>
    <row r="6072" spans="7:14" ht="11.25" customHeight="1" x14ac:dyDescent="0.3">
      <c r="G6072" s="470"/>
      <c r="H6072" s="470">
        <v>6065</v>
      </c>
      <c r="I6072" s="455">
        <f t="shared" ca="1" si="200"/>
        <v>2.2300799761343048E+16</v>
      </c>
      <c r="J6072" s="455">
        <f t="array" ref="J6072">IFERROR(INDEX('Retirement Calculator'!K:K,MATCH('Lorri 401b'!N6072,'Retirement Calculator'!A:A,0),0),0)</f>
        <v>0</v>
      </c>
      <c r="K6072" s="455">
        <f t="shared" ca="1" si="198"/>
        <v>92919999005596.031</v>
      </c>
      <c r="L6072" s="455">
        <f t="shared" ca="1" si="199"/>
        <v>2.2393719760348644E+16</v>
      </c>
      <c r="M6072" s="471">
        <f t="shared" si="201"/>
        <v>0.05</v>
      </c>
      <c r="N6072" s="475">
        <f t="shared" si="202"/>
        <v>235857</v>
      </c>
    </row>
    <row r="6073" spans="7:14" ht="11.25" customHeight="1" x14ac:dyDescent="0.3">
      <c r="G6073" s="470"/>
      <c r="H6073" s="470">
        <v>6066</v>
      </c>
      <c r="I6073" s="455">
        <f t="shared" ca="1" si="200"/>
        <v>2.2393719760348644E+16</v>
      </c>
      <c r="J6073" s="455">
        <f t="array" ref="J6073">IFERROR(INDEX('Retirement Calculator'!K:K,MATCH('Lorri 401b'!N6073,'Retirement Calculator'!A:A,0),0),0)</f>
        <v>0</v>
      </c>
      <c r="K6073" s="455">
        <f t="shared" ca="1" si="198"/>
        <v>93307165668119.344</v>
      </c>
      <c r="L6073" s="455">
        <f t="shared" ca="1" si="199"/>
        <v>2.2487026926016764E+16</v>
      </c>
      <c r="M6073" s="471">
        <f t="shared" si="201"/>
        <v>0.05</v>
      </c>
      <c r="N6073" s="475">
        <f t="shared" si="202"/>
        <v>235888</v>
      </c>
    </row>
    <row r="6074" spans="7:14" ht="11.25" customHeight="1" x14ac:dyDescent="0.3">
      <c r="G6074" s="470"/>
      <c r="H6074" s="470">
        <v>6067</v>
      </c>
      <c r="I6074" s="455">
        <f t="shared" ca="1" si="200"/>
        <v>2.2487026926016764E+16</v>
      </c>
      <c r="J6074" s="455">
        <f t="array" ref="J6074">IFERROR(INDEX('Retirement Calculator'!K:K,MATCH('Lorri 401b'!N6074,'Retirement Calculator'!A:A,0),0),0)</f>
        <v>0</v>
      </c>
      <c r="K6074" s="455">
        <f t="shared" ca="1" si="198"/>
        <v>93695945525069.844</v>
      </c>
      <c r="L6074" s="455">
        <f t="shared" ca="1" si="199"/>
        <v>2.2580722871541832E+16</v>
      </c>
      <c r="M6074" s="471">
        <f t="shared" si="201"/>
        <v>0.05</v>
      </c>
      <c r="N6074" s="475">
        <f t="shared" si="202"/>
        <v>235918</v>
      </c>
    </row>
    <row r="6075" spans="7:14" ht="11.25" customHeight="1" x14ac:dyDescent="0.3">
      <c r="G6075" s="470"/>
      <c r="H6075" s="470">
        <v>6068</v>
      </c>
      <c r="I6075" s="455">
        <f t="shared" ca="1" si="200"/>
        <v>2.2580722871541832E+16</v>
      </c>
      <c r="J6075" s="455">
        <f t="array" ref="J6075">IFERROR(INDEX('Retirement Calculator'!K:K,MATCH('Lorri 401b'!N6075,'Retirement Calculator'!A:A,0),0),0)</f>
        <v>0</v>
      </c>
      <c r="K6075" s="455">
        <f t="shared" ca="1" si="198"/>
        <v>94086345298090.969</v>
      </c>
      <c r="L6075" s="455">
        <f t="shared" ca="1" si="199"/>
        <v>2.2674809216839924E+16</v>
      </c>
      <c r="M6075" s="471">
        <f t="shared" si="201"/>
        <v>0.05</v>
      </c>
      <c r="N6075" s="475">
        <f t="shared" si="202"/>
        <v>235949</v>
      </c>
    </row>
    <row r="6076" spans="7:14" ht="11.25" customHeight="1" x14ac:dyDescent="0.3">
      <c r="G6076" s="470"/>
      <c r="H6076" s="470">
        <v>6069</v>
      </c>
      <c r="I6076" s="455">
        <f t="shared" ca="1" si="200"/>
        <v>2.2674809216839924E+16</v>
      </c>
      <c r="J6076" s="455">
        <f t="array" ref="J6076">IFERROR(INDEX('Retirement Calculator'!K:K,MATCH('Lorri 401b'!N6076,'Retirement Calculator'!A:A,0),0),0)</f>
        <v>0</v>
      </c>
      <c r="K6076" s="455">
        <f t="shared" ca="1" si="198"/>
        <v>94478371736833.016</v>
      </c>
      <c r="L6076" s="455">
        <f t="shared" ca="1" si="199"/>
        <v>2.2769287588576756E+16</v>
      </c>
      <c r="M6076" s="471">
        <f t="shared" si="201"/>
        <v>0.05</v>
      </c>
      <c r="N6076" s="475">
        <f t="shared" si="202"/>
        <v>235980</v>
      </c>
    </row>
    <row r="6077" spans="7:14" ht="11.25" customHeight="1" x14ac:dyDescent="0.3">
      <c r="G6077" s="470"/>
      <c r="H6077" s="470">
        <v>6070</v>
      </c>
      <c r="I6077" s="455">
        <f t="shared" ca="1" si="200"/>
        <v>2.2769287588576756E+16</v>
      </c>
      <c r="J6077" s="455">
        <f t="array" ref="J6077">IFERROR(INDEX('Retirement Calculator'!K:K,MATCH('Lorri 401b'!N6077,'Retirement Calculator'!A:A,0),0),0)</f>
        <v>0</v>
      </c>
      <c r="K6077" s="455">
        <f t="shared" ca="1" si="198"/>
        <v>94872031619069.813</v>
      </c>
      <c r="L6077" s="455">
        <f t="shared" ca="1" si="199"/>
        <v>2.2864159620195824E+16</v>
      </c>
      <c r="M6077" s="471">
        <f t="shared" si="201"/>
        <v>0.05</v>
      </c>
      <c r="N6077" s="475">
        <f t="shared" si="202"/>
        <v>236008</v>
      </c>
    </row>
    <row r="6078" spans="7:14" ht="11.25" customHeight="1" x14ac:dyDescent="0.3">
      <c r="G6078" s="470"/>
      <c r="H6078" s="470">
        <v>6071</v>
      </c>
      <c r="I6078" s="455">
        <f t="shared" ca="1" si="200"/>
        <v>2.2864159620195824E+16</v>
      </c>
      <c r="J6078" s="455">
        <f t="array" ref="J6078">IFERROR(INDEX('Retirement Calculator'!K:K,MATCH('Lorri 401b'!N6078,'Retirement Calculator'!A:A,0),0),0)</f>
        <v>0</v>
      </c>
      <c r="K6078" s="455">
        <f t="shared" ca="1" si="198"/>
        <v>95267331750815.938</v>
      </c>
      <c r="L6078" s="455">
        <f t="shared" ca="1" si="199"/>
        <v>2.295942695194664E+16</v>
      </c>
      <c r="M6078" s="471">
        <f t="shared" si="201"/>
        <v>0.05</v>
      </c>
      <c r="N6078" s="475">
        <f t="shared" si="202"/>
        <v>236039</v>
      </c>
    </row>
    <row r="6079" spans="7:14" ht="11.25" customHeight="1" x14ac:dyDescent="0.3">
      <c r="G6079" s="470"/>
      <c r="H6079" s="470">
        <v>6072</v>
      </c>
      <c r="I6079" s="455">
        <f t="shared" ca="1" si="200"/>
        <v>2.295942695194664E+16</v>
      </c>
      <c r="J6079" s="455">
        <f t="array" ref="J6079">IFERROR(INDEX('Retirement Calculator'!K:K,MATCH('Lorri 401b'!N6079,'Retirement Calculator'!A:A,0),0),0)</f>
        <v>0</v>
      </c>
      <c r="K6079" s="455">
        <f t="shared" ca="1" si="198"/>
        <v>95664278966444.328</v>
      </c>
      <c r="L6079" s="455">
        <f t="shared" ca="1" si="199"/>
        <v>2.3055091230913084E+16</v>
      </c>
      <c r="M6079" s="471">
        <f t="shared" si="201"/>
        <v>0.05</v>
      </c>
      <c r="N6079" s="475">
        <f t="shared" si="202"/>
        <v>236069</v>
      </c>
    </row>
    <row r="6080" spans="7:14" ht="11.25" customHeight="1" x14ac:dyDescent="0.3">
      <c r="G6080" s="470"/>
      <c r="H6080" s="470">
        <v>6073</v>
      </c>
      <c r="I6080" s="455">
        <f t="shared" ca="1" si="200"/>
        <v>2.3055091230913084E+16</v>
      </c>
      <c r="J6080" s="455">
        <f t="array" ref="J6080">IFERROR(INDEX('Retirement Calculator'!K:K,MATCH('Lorri 401b'!N6080,'Retirement Calculator'!A:A,0),0),0)</f>
        <v>0</v>
      </c>
      <c r="K6080" s="455">
        <f t="shared" ca="1" si="198"/>
        <v>96062880128804.516</v>
      </c>
      <c r="L6080" s="455">
        <f t="shared" ca="1" si="199"/>
        <v>2.3151154111041888E+16</v>
      </c>
      <c r="M6080" s="471">
        <f t="shared" si="201"/>
        <v>0.05</v>
      </c>
      <c r="N6080" s="475">
        <f t="shared" si="202"/>
        <v>236100</v>
      </c>
    </row>
    <row r="6081" spans="7:14" ht="11.25" customHeight="1" x14ac:dyDescent="0.3">
      <c r="G6081" s="470"/>
      <c r="H6081" s="470">
        <v>6074</v>
      </c>
      <c r="I6081" s="455">
        <f t="shared" ca="1" si="200"/>
        <v>2.3151154111041888E+16</v>
      </c>
      <c r="J6081" s="455">
        <f t="array" ref="J6081">IFERROR(INDEX('Retirement Calculator'!K:K,MATCH('Lorri 401b'!N6081,'Retirement Calculator'!A:A,0),0),0)</f>
        <v>0</v>
      </c>
      <c r="K6081" s="455">
        <f t="shared" ca="1" si="198"/>
        <v>96463142129341.203</v>
      </c>
      <c r="L6081" s="455">
        <f t="shared" ca="1" si="199"/>
        <v>2.3247617253171228E+16</v>
      </c>
      <c r="M6081" s="471">
        <f t="shared" si="201"/>
        <v>0.05</v>
      </c>
      <c r="N6081" s="475">
        <f t="shared" si="202"/>
        <v>236130</v>
      </c>
    </row>
    <row r="6082" spans="7:14" ht="11.25" customHeight="1" x14ac:dyDescent="0.3">
      <c r="G6082" s="470"/>
      <c r="H6082" s="470">
        <v>6075</v>
      </c>
      <c r="I6082" s="455">
        <f t="shared" ca="1" si="200"/>
        <v>2.3247617253171228E+16</v>
      </c>
      <c r="J6082" s="455">
        <f t="array" ref="J6082">IFERROR(INDEX('Retirement Calculator'!K:K,MATCH('Lorri 401b'!N6082,'Retirement Calculator'!A:A,0),0),0)</f>
        <v>0</v>
      </c>
      <c r="K6082" s="455">
        <f t="shared" ca="1" si="198"/>
        <v>96865071888213.453</v>
      </c>
      <c r="L6082" s="455">
        <f t="shared" ca="1" si="199"/>
        <v>2.334448232505944E+16</v>
      </c>
      <c r="M6082" s="471">
        <f t="shared" si="201"/>
        <v>0.05</v>
      </c>
      <c r="N6082" s="475">
        <f t="shared" si="202"/>
        <v>236161</v>
      </c>
    </row>
    <row r="6083" spans="7:14" ht="11.25" customHeight="1" x14ac:dyDescent="0.3">
      <c r="G6083" s="470"/>
      <c r="H6083" s="470">
        <v>6076</v>
      </c>
      <c r="I6083" s="455">
        <f t="shared" ca="1" si="200"/>
        <v>2.334448232505944E+16</v>
      </c>
      <c r="J6083" s="455">
        <f t="array" ref="J6083">IFERROR(INDEX('Retirement Calculator'!K:K,MATCH('Lorri 401b'!N6083,'Retirement Calculator'!A:A,0),0),0)</f>
        <v>0</v>
      </c>
      <c r="K6083" s="455">
        <f t="shared" ca="1" si="198"/>
        <v>97268676354414.328</v>
      </c>
      <c r="L6083" s="455">
        <f t="shared" ca="1" si="199"/>
        <v>2.3441751001413856E+16</v>
      </c>
      <c r="M6083" s="471">
        <f t="shared" si="201"/>
        <v>0.05</v>
      </c>
      <c r="N6083" s="475">
        <f t="shared" si="202"/>
        <v>236192</v>
      </c>
    </row>
    <row r="6084" spans="7:14" ht="11.25" customHeight="1" x14ac:dyDescent="0.3">
      <c r="G6084" s="470"/>
      <c r="H6084" s="470">
        <v>6077</v>
      </c>
      <c r="I6084" s="455">
        <f t="shared" ca="1" si="200"/>
        <v>2.3441751001413856E+16</v>
      </c>
      <c r="J6084" s="455">
        <f t="array" ref="J6084">IFERROR(INDEX('Retirement Calculator'!K:K,MATCH('Lorri 401b'!N6084,'Retirement Calculator'!A:A,0),0),0)</f>
        <v>0</v>
      </c>
      <c r="K6084" s="455">
        <f t="shared" ca="1" si="198"/>
        <v>97673962505891.063</v>
      </c>
      <c r="L6084" s="455">
        <f t="shared" ca="1" si="199"/>
        <v>2.3539424963919748E+16</v>
      </c>
      <c r="M6084" s="471">
        <f t="shared" si="201"/>
        <v>0.05</v>
      </c>
      <c r="N6084" s="475">
        <f t="shared" si="202"/>
        <v>236222</v>
      </c>
    </row>
    <row r="6085" spans="7:14" ht="11.25" customHeight="1" x14ac:dyDescent="0.3">
      <c r="G6085" s="470"/>
      <c r="H6085" s="470">
        <v>6078</v>
      </c>
      <c r="I6085" s="455">
        <f t="shared" ca="1" si="200"/>
        <v>2.3539424963919748E+16</v>
      </c>
      <c r="J6085" s="455">
        <f t="array" ref="J6085">IFERROR(INDEX('Retirement Calculator'!K:K,MATCH('Lorri 401b'!N6085,'Retirement Calculator'!A:A,0),0),0)</f>
        <v>0</v>
      </c>
      <c r="K6085" s="455">
        <f t="shared" ca="1" si="198"/>
        <v>98080937349665.609</v>
      </c>
      <c r="L6085" s="455">
        <f t="shared" ca="1" si="199"/>
        <v>2.3637505901269412E+16</v>
      </c>
      <c r="M6085" s="471">
        <f t="shared" si="201"/>
        <v>0.05</v>
      </c>
      <c r="N6085" s="475">
        <f t="shared" si="202"/>
        <v>236253</v>
      </c>
    </row>
    <row r="6086" spans="7:14" ht="11.25" customHeight="1" x14ac:dyDescent="0.3">
      <c r="G6086" s="470"/>
      <c r="H6086" s="470">
        <v>6079</v>
      </c>
      <c r="I6086" s="455">
        <f t="shared" ca="1" si="200"/>
        <v>2.3637505901269412E+16</v>
      </c>
      <c r="J6086" s="455">
        <f t="array" ref="J6086">IFERROR(INDEX('Retirement Calculator'!K:K,MATCH('Lorri 401b'!N6086,'Retirement Calculator'!A:A,0),0),0)</f>
        <v>0</v>
      </c>
      <c r="K6086" s="455">
        <f t="shared" ca="1" si="198"/>
        <v>98489607921955.875</v>
      </c>
      <c r="L6086" s="455">
        <f t="shared" ca="1" si="199"/>
        <v>2.3735995509191368E+16</v>
      </c>
      <c r="M6086" s="471">
        <f t="shared" si="201"/>
        <v>0.05</v>
      </c>
      <c r="N6086" s="475">
        <f t="shared" si="202"/>
        <v>236283</v>
      </c>
    </row>
    <row r="6087" spans="7:14" ht="11.25" customHeight="1" x14ac:dyDescent="0.3">
      <c r="G6087" s="470"/>
      <c r="H6087" s="470">
        <v>6080</v>
      </c>
      <c r="I6087" s="455">
        <f t="shared" ca="1" si="200"/>
        <v>2.3735995509191368E+16</v>
      </c>
      <c r="J6087" s="455">
        <f t="array" ref="J6087">IFERROR(INDEX('Retirement Calculator'!K:K,MATCH('Lorri 401b'!N6087,'Retirement Calculator'!A:A,0),0),0)</f>
        <v>0</v>
      </c>
      <c r="K6087" s="455">
        <f t="shared" ca="1" si="198"/>
        <v>98899981288297.359</v>
      </c>
      <c r="L6087" s="455">
        <f t="shared" ca="1" si="199"/>
        <v>2.3834895490479664E+16</v>
      </c>
      <c r="M6087" s="471">
        <f t="shared" si="201"/>
        <v>0.05</v>
      </c>
      <c r="N6087" s="475">
        <f t="shared" si="202"/>
        <v>236314</v>
      </c>
    </row>
    <row r="6088" spans="7:14" ht="11.25" customHeight="1" x14ac:dyDescent="0.3">
      <c r="G6088" s="470"/>
      <c r="H6088" s="470">
        <v>6081</v>
      </c>
      <c r="I6088" s="455">
        <f t="shared" ca="1" si="200"/>
        <v>2.3834895490479664E+16</v>
      </c>
      <c r="J6088" s="455">
        <f t="array" ref="J6088">IFERROR(INDEX('Retirement Calculator'!K:K,MATCH('Lorri 401b'!N6088,'Retirement Calculator'!A:A,0),0),0)</f>
        <v>0</v>
      </c>
      <c r="K6088" s="455">
        <f t="shared" ca="1" si="198"/>
        <v>99312064543665.266</v>
      </c>
      <c r="L6088" s="455">
        <f t="shared" ca="1" si="199"/>
        <v>2.3934207555023328E+16</v>
      </c>
      <c r="M6088" s="471">
        <f t="shared" si="201"/>
        <v>0.05</v>
      </c>
      <c r="N6088" s="475">
        <f t="shared" si="202"/>
        <v>236345</v>
      </c>
    </row>
    <row r="6089" spans="7:14" ht="11.25" customHeight="1" x14ac:dyDescent="0.3">
      <c r="G6089" s="470"/>
      <c r="H6089" s="470">
        <v>6082</v>
      </c>
      <c r="I6089" s="455">
        <f t="shared" ca="1" si="200"/>
        <v>2.3934207555023328E+16</v>
      </c>
      <c r="J6089" s="455">
        <f t="array" ref="J6089">IFERROR(INDEX('Retirement Calculator'!K:K,MATCH('Lorri 401b'!N6089,'Retirement Calculator'!A:A,0),0),0)</f>
        <v>0</v>
      </c>
      <c r="K6089" s="455">
        <f t="shared" ca="1" si="198"/>
        <v>99725864812597.203</v>
      </c>
      <c r="L6089" s="455">
        <f t="shared" ca="1" si="199"/>
        <v>2.4033933419835924E+16</v>
      </c>
      <c r="M6089" s="471">
        <f t="shared" si="201"/>
        <v>0.05</v>
      </c>
      <c r="N6089" s="475">
        <f t="shared" si="202"/>
        <v>236373</v>
      </c>
    </row>
    <row r="6090" spans="7:14" ht="11.25" customHeight="1" x14ac:dyDescent="0.3">
      <c r="G6090" s="470"/>
      <c r="H6090" s="470">
        <v>6083</v>
      </c>
      <c r="I6090" s="455">
        <f t="shared" ca="1" si="200"/>
        <v>2.4033933419835924E+16</v>
      </c>
      <c r="J6090" s="455">
        <f t="array" ref="J6090">IFERROR(INDEX('Retirement Calculator'!K:K,MATCH('Lorri 401b'!N6090,'Retirement Calculator'!A:A,0),0),0)</f>
        <v>0</v>
      </c>
      <c r="K6090" s="455">
        <f t="shared" ca="1" si="198"/>
        <v>100141389249316.34</v>
      </c>
      <c r="L6090" s="455">
        <f t="shared" ca="1" si="199"/>
        <v>2.413407480908524E+16</v>
      </c>
      <c r="M6090" s="471">
        <f t="shared" si="201"/>
        <v>0.05</v>
      </c>
      <c r="N6090" s="475">
        <f t="shared" si="202"/>
        <v>236404</v>
      </c>
    </row>
    <row r="6091" spans="7:14" ht="11.25" customHeight="1" x14ac:dyDescent="0.3">
      <c r="G6091" s="470"/>
      <c r="H6091" s="470">
        <v>6084</v>
      </c>
      <c r="I6091" s="455">
        <f t="shared" ca="1" si="200"/>
        <v>2.413407480908524E+16</v>
      </c>
      <c r="J6091" s="455">
        <f t="array" ref="J6091">IFERROR(INDEX('Retirement Calculator'!K:K,MATCH('Lorri 401b'!N6091,'Retirement Calculator'!A:A,0),0),0)</f>
        <v>0</v>
      </c>
      <c r="K6091" s="455">
        <f t="shared" ca="1" si="198"/>
        <v>100558645037855.17</v>
      </c>
      <c r="L6091" s="455">
        <f t="shared" ca="1" si="199"/>
        <v>2.4234633454123096E+16</v>
      </c>
      <c r="M6091" s="471">
        <f t="shared" si="201"/>
        <v>0.05</v>
      </c>
      <c r="N6091" s="475">
        <f t="shared" si="202"/>
        <v>236434</v>
      </c>
    </row>
    <row r="6092" spans="7:14" ht="11.25" customHeight="1" x14ac:dyDescent="0.3">
      <c r="G6092" s="470"/>
      <c r="H6092" s="470">
        <v>6085</v>
      </c>
      <c r="I6092" s="455">
        <f t="shared" ca="1" si="200"/>
        <v>2.4234633454123096E+16</v>
      </c>
      <c r="J6092" s="455">
        <f t="array" ref="J6092">IFERROR(INDEX('Retirement Calculator'!K:K,MATCH('Lorri 401b'!N6092,'Retirement Calculator'!A:A,0),0),0)</f>
        <v>0</v>
      </c>
      <c r="K6092" s="455">
        <f t="shared" ca="1" si="198"/>
        <v>100977639392179.56</v>
      </c>
      <c r="L6092" s="455">
        <f t="shared" ca="1" si="199"/>
        <v>2.4335611093515276E+16</v>
      </c>
      <c r="M6092" s="471">
        <f t="shared" si="201"/>
        <v>0.05</v>
      </c>
      <c r="N6092" s="475">
        <f t="shared" si="202"/>
        <v>236465</v>
      </c>
    </row>
    <row r="6093" spans="7:14" ht="11.25" customHeight="1" x14ac:dyDescent="0.3">
      <c r="G6093" s="470"/>
      <c r="H6093" s="470">
        <v>6086</v>
      </c>
      <c r="I6093" s="455">
        <f t="shared" ca="1" si="200"/>
        <v>2.4335611093515276E+16</v>
      </c>
      <c r="J6093" s="455">
        <f t="array" ref="J6093">IFERROR(INDEX('Retirement Calculator'!K:K,MATCH('Lorri 401b'!N6093,'Retirement Calculator'!A:A,0),0),0)</f>
        <v>0</v>
      </c>
      <c r="K6093" s="455">
        <f t="shared" ca="1" si="198"/>
        <v>101398379556313.66</v>
      </c>
      <c r="L6093" s="455">
        <f t="shared" ca="1" si="199"/>
        <v>2.4437009473071588E+16</v>
      </c>
      <c r="M6093" s="471">
        <f t="shared" si="201"/>
        <v>0.05</v>
      </c>
      <c r="N6093" s="475">
        <f t="shared" si="202"/>
        <v>236495</v>
      </c>
    </row>
    <row r="6094" spans="7:14" ht="11.25" customHeight="1" x14ac:dyDescent="0.3">
      <c r="G6094" s="470"/>
      <c r="H6094" s="470">
        <v>6087</v>
      </c>
      <c r="I6094" s="455">
        <f t="shared" ca="1" si="200"/>
        <v>2.4437009473071588E+16</v>
      </c>
      <c r="J6094" s="455">
        <f t="array" ref="J6094">IFERROR(INDEX('Retirement Calculator'!K:K,MATCH('Lorri 401b'!N6094,'Retirement Calculator'!A:A,0),0),0)</f>
        <v>0</v>
      </c>
      <c r="K6094" s="455">
        <f t="shared" ca="1" si="198"/>
        <v>101820872804464.95</v>
      </c>
      <c r="L6094" s="455">
        <f t="shared" ca="1" si="199"/>
        <v>2.4538830345876052E+16</v>
      </c>
      <c r="M6094" s="471">
        <f t="shared" si="201"/>
        <v>0.05</v>
      </c>
      <c r="N6094" s="475">
        <f t="shared" si="202"/>
        <v>236526</v>
      </c>
    </row>
    <row r="6095" spans="7:14" ht="11.25" customHeight="1" x14ac:dyDescent="0.3">
      <c r="G6095" s="470"/>
      <c r="H6095" s="470">
        <v>6088</v>
      </c>
      <c r="I6095" s="455">
        <f t="shared" ca="1" si="200"/>
        <v>2.4538830345876052E+16</v>
      </c>
      <c r="J6095" s="455">
        <f t="array" ref="J6095">IFERROR(INDEX('Retirement Calculator'!K:K,MATCH('Lorri 401b'!N6095,'Retirement Calculator'!A:A,0),0),0)</f>
        <v>0</v>
      </c>
      <c r="K6095" s="455">
        <f t="shared" ca="1" si="198"/>
        <v>102245126441150.22</v>
      </c>
      <c r="L6095" s="455">
        <f t="shared" ca="1" si="199"/>
        <v>2.4641075472317204E+16</v>
      </c>
      <c r="M6095" s="471">
        <f t="shared" si="201"/>
        <v>0.05</v>
      </c>
      <c r="N6095" s="475">
        <f t="shared" si="202"/>
        <v>236557</v>
      </c>
    </row>
    <row r="6096" spans="7:14" ht="11.25" customHeight="1" x14ac:dyDescent="0.3">
      <c r="G6096" s="470"/>
      <c r="H6096" s="470">
        <v>6089</v>
      </c>
      <c r="I6096" s="455">
        <f t="shared" ca="1" si="200"/>
        <v>2.4641075472317204E+16</v>
      </c>
      <c r="J6096" s="455">
        <f t="array" ref="J6096">IFERROR(INDEX('Retirement Calculator'!K:K,MATCH('Lorri 401b'!N6096,'Retirement Calculator'!A:A,0),0),0)</f>
        <v>0</v>
      </c>
      <c r="K6096" s="455">
        <f t="shared" ca="1" si="198"/>
        <v>102671147801321.69</v>
      </c>
      <c r="L6096" s="455">
        <f t="shared" ca="1" si="199"/>
        <v>2.4743746620118524E+16</v>
      </c>
      <c r="M6096" s="471">
        <f t="shared" si="201"/>
        <v>0.05</v>
      </c>
      <c r="N6096" s="475">
        <f t="shared" si="202"/>
        <v>236587</v>
      </c>
    </row>
    <row r="6097" spans="7:14" ht="11.25" customHeight="1" x14ac:dyDescent="0.3">
      <c r="G6097" s="470"/>
      <c r="H6097" s="470">
        <v>6090</v>
      </c>
      <c r="I6097" s="455">
        <f t="shared" ca="1" si="200"/>
        <v>2.4743746620118524E+16</v>
      </c>
      <c r="J6097" s="455">
        <f t="array" ref="J6097">IFERROR(INDEX('Retirement Calculator'!K:K,MATCH('Lorri 401b'!N6097,'Retirement Calculator'!A:A,0),0),0)</f>
        <v>0</v>
      </c>
      <c r="K6097" s="455">
        <f t="shared" ca="1" si="198"/>
        <v>103098944250493.84</v>
      </c>
      <c r="L6097" s="455">
        <f t="shared" ca="1" si="199"/>
        <v>2.4846845564369016E+16</v>
      </c>
      <c r="M6097" s="471">
        <f t="shared" si="201"/>
        <v>0.05</v>
      </c>
      <c r="N6097" s="475">
        <f t="shared" si="202"/>
        <v>236618</v>
      </c>
    </row>
    <row r="6098" spans="7:14" ht="11.25" customHeight="1" x14ac:dyDescent="0.3">
      <c r="G6098" s="470"/>
      <c r="H6098" s="470">
        <v>6091</v>
      </c>
      <c r="I6098" s="455">
        <f t="shared" ca="1" si="200"/>
        <v>2.4846845564369016E+16</v>
      </c>
      <c r="J6098" s="455">
        <f t="array" ref="J6098">IFERROR(INDEX('Retirement Calculator'!K:K,MATCH('Lorri 401b'!N6098,'Retirement Calculator'!A:A,0),0),0)</f>
        <v>0</v>
      </c>
      <c r="K6098" s="455">
        <f t="shared" ca="1" si="198"/>
        <v>103528523184870.91</v>
      </c>
      <c r="L6098" s="455">
        <f t="shared" ca="1" si="199"/>
        <v>2.4950374087553888E+16</v>
      </c>
      <c r="M6098" s="471">
        <f t="shared" si="201"/>
        <v>0.05</v>
      </c>
      <c r="N6098" s="475">
        <f t="shared" si="202"/>
        <v>236648</v>
      </c>
    </row>
    <row r="6099" spans="7:14" ht="11.25" customHeight="1" x14ac:dyDescent="0.3">
      <c r="G6099" s="470"/>
      <c r="H6099" s="470">
        <v>6092</v>
      </c>
      <c r="I6099" s="455">
        <f t="shared" ca="1" si="200"/>
        <v>2.4950374087553888E+16</v>
      </c>
      <c r="J6099" s="455">
        <f t="array" ref="J6099">IFERROR(INDEX('Retirement Calculator'!K:K,MATCH('Lorri 401b'!N6099,'Retirement Calculator'!A:A,0),0),0)</f>
        <v>0</v>
      </c>
      <c r="K6099" s="455">
        <f t="shared" ca="1" si="198"/>
        <v>103959892031474.53</v>
      </c>
      <c r="L6099" s="455">
        <f t="shared" ca="1" si="199"/>
        <v>2.5054333979585364E+16</v>
      </c>
      <c r="M6099" s="471">
        <f t="shared" si="201"/>
        <v>0.05</v>
      </c>
      <c r="N6099" s="475">
        <f t="shared" si="202"/>
        <v>236679</v>
      </c>
    </row>
    <row r="6100" spans="7:14" ht="11.25" customHeight="1" x14ac:dyDescent="0.3">
      <c r="G6100" s="470"/>
      <c r="H6100" s="470">
        <v>6093</v>
      </c>
      <c r="I6100" s="455">
        <f t="shared" ca="1" si="200"/>
        <v>2.5054333979585364E+16</v>
      </c>
      <c r="J6100" s="455">
        <f t="array" ref="J6100">IFERROR(INDEX('Retirement Calculator'!K:K,MATCH('Lorri 401b'!N6100,'Retirement Calculator'!A:A,0),0),0)</f>
        <v>0</v>
      </c>
      <c r="K6100" s="455">
        <f t="shared" ca="1" si="198"/>
        <v>104393058248272.34</v>
      </c>
      <c r="L6100" s="455">
        <f t="shared" ca="1" si="199"/>
        <v>2.5158727037833636E+16</v>
      </c>
      <c r="M6100" s="471">
        <f t="shared" si="201"/>
        <v>0.05</v>
      </c>
      <c r="N6100" s="475">
        <f t="shared" si="202"/>
        <v>236710</v>
      </c>
    </row>
    <row r="6101" spans="7:14" ht="11.25" customHeight="1" x14ac:dyDescent="0.3">
      <c r="G6101" s="470"/>
      <c r="H6101" s="470">
        <v>6094</v>
      </c>
      <c r="I6101" s="455">
        <f t="shared" ca="1" si="200"/>
        <v>2.5158727037833636E+16</v>
      </c>
      <c r="J6101" s="455">
        <f t="array" ref="J6101">IFERROR(INDEX('Retirement Calculator'!K:K,MATCH('Lorri 401b'!N6101,'Retirement Calculator'!A:A,0),0),0)</f>
        <v>0</v>
      </c>
      <c r="K6101" s="455">
        <f t="shared" ca="1" si="198"/>
        <v>104828029324306.81</v>
      </c>
      <c r="L6101" s="455">
        <f t="shared" ca="1" si="199"/>
        <v>2.5263555067157944E+16</v>
      </c>
      <c r="M6101" s="471">
        <f t="shared" si="201"/>
        <v>0.05</v>
      </c>
      <c r="N6101" s="475">
        <f t="shared" si="202"/>
        <v>236739</v>
      </c>
    </row>
    <row r="6102" spans="7:14" ht="11.25" customHeight="1" x14ac:dyDescent="0.3">
      <c r="G6102" s="470"/>
      <c r="H6102" s="470">
        <v>6095</v>
      </c>
      <c r="I6102" s="455">
        <f t="shared" ca="1" si="200"/>
        <v>2.5263555067157944E+16</v>
      </c>
      <c r="J6102" s="455">
        <f t="array" ref="J6102">IFERROR(INDEX('Retirement Calculator'!K:K,MATCH('Lorri 401b'!N6102,'Retirement Calculator'!A:A,0),0),0)</f>
        <v>0</v>
      </c>
      <c r="K6102" s="455">
        <f t="shared" ca="1" si="198"/>
        <v>105264812779824.77</v>
      </c>
      <c r="L6102" s="455">
        <f t="shared" ca="1" si="199"/>
        <v>2.5368819879937768E+16</v>
      </c>
      <c r="M6102" s="471">
        <f t="shared" si="201"/>
        <v>0.05</v>
      </c>
      <c r="N6102" s="475">
        <f t="shared" si="202"/>
        <v>236770</v>
      </c>
    </row>
    <row r="6103" spans="7:14" ht="11.25" customHeight="1" x14ac:dyDescent="0.3">
      <c r="G6103" s="470"/>
      <c r="H6103" s="470">
        <v>6096</v>
      </c>
      <c r="I6103" s="455">
        <f t="shared" ca="1" si="200"/>
        <v>2.5368819879937768E+16</v>
      </c>
      <c r="J6103" s="455">
        <f t="array" ref="J6103">IFERROR(INDEX('Retirement Calculator'!K:K,MATCH('Lorri 401b'!N6103,'Retirement Calculator'!A:A,0),0),0)</f>
        <v>0</v>
      </c>
      <c r="K6103" s="455">
        <f t="shared" ca="1" si="198"/>
        <v>105703416166407.36</v>
      </c>
      <c r="L6103" s="455">
        <f t="shared" ca="1" si="199"/>
        <v>2.5474523296104176E+16</v>
      </c>
      <c r="M6103" s="471">
        <f t="shared" si="201"/>
        <v>0.05</v>
      </c>
      <c r="N6103" s="475">
        <f t="shared" si="202"/>
        <v>236800</v>
      </c>
    </row>
    <row r="6104" spans="7:14" ht="11.25" customHeight="1" x14ac:dyDescent="0.3">
      <c r="G6104" s="470"/>
      <c r="H6104" s="470">
        <v>6097</v>
      </c>
      <c r="I6104" s="455">
        <f t="shared" ca="1" si="200"/>
        <v>2.5474523296104176E+16</v>
      </c>
      <c r="J6104" s="455">
        <f t="array" ref="J6104">IFERROR(INDEX('Retirement Calculator'!K:K,MATCH('Lorri 401b'!N6104,'Retirement Calculator'!A:A,0),0),0)</f>
        <v>0</v>
      </c>
      <c r="K6104" s="455">
        <f t="shared" ca="1" si="198"/>
        <v>106143847067100.73</v>
      </c>
      <c r="L6104" s="455">
        <f t="shared" ca="1" si="199"/>
        <v>2.5580667143171276E+16</v>
      </c>
      <c r="M6104" s="471">
        <f t="shared" si="201"/>
        <v>0.05</v>
      </c>
      <c r="N6104" s="475">
        <f t="shared" si="202"/>
        <v>236831</v>
      </c>
    </row>
    <row r="6105" spans="7:14" ht="11.25" customHeight="1" x14ac:dyDescent="0.3">
      <c r="G6105" s="470"/>
      <c r="H6105" s="470">
        <v>6098</v>
      </c>
      <c r="I6105" s="455">
        <f t="shared" ca="1" si="200"/>
        <v>2.5580667143171276E+16</v>
      </c>
      <c r="J6105" s="455">
        <f t="array" ref="J6105">IFERROR(INDEX('Retirement Calculator'!K:K,MATCH('Lorri 401b'!N6105,'Retirement Calculator'!A:A,0),0),0)</f>
        <v>0</v>
      </c>
      <c r="K6105" s="455">
        <f t="shared" ca="1" si="198"/>
        <v>106586113096546.98</v>
      </c>
      <c r="L6105" s="455">
        <f t="shared" ca="1" si="199"/>
        <v>2.5687253256267824E+16</v>
      </c>
      <c r="M6105" s="471">
        <f t="shared" si="201"/>
        <v>0.05</v>
      </c>
      <c r="N6105" s="475">
        <f t="shared" si="202"/>
        <v>236861</v>
      </c>
    </row>
    <row r="6106" spans="7:14" ht="11.25" customHeight="1" x14ac:dyDescent="0.3">
      <c r="G6106" s="470"/>
      <c r="H6106" s="470">
        <v>6099</v>
      </c>
      <c r="I6106" s="455">
        <f t="shared" ca="1" si="200"/>
        <v>2.5687253256267824E+16</v>
      </c>
      <c r="J6106" s="455">
        <f t="array" ref="J6106">IFERROR(INDEX('Retirement Calculator'!K:K,MATCH('Lorri 401b'!N6106,'Retirement Calculator'!A:A,0),0),0)</f>
        <v>0</v>
      </c>
      <c r="K6106" s="455">
        <f t="shared" ca="1" si="198"/>
        <v>107030221901115.94</v>
      </c>
      <c r="L6106" s="455">
        <f t="shared" ca="1" si="199"/>
        <v>2.579428347816894E+16</v>
      </c>
      <c r="M6106" s="471">
        <f t="shared" si="201"/>
        <v>0.05</v>
      </c>
      <c r="N6106" s="475">
        <f t="shared" si="202"/>
        <v>236892</v>
      </c>
    </row>
    <row r="6107" spans="7:14" ht="11.25" customHeight="1" x14ac:dyDescent="0.3">
      <c r="G6107" s="470"/>
      <c r="H6107" s="470">
        <v>6100</v>
      </c>
      <c r="I6107" s="455">
        <f t="shared" ca="1" si="200"/>
        <v>2.579428347816894E+16</v>
      </c>
      <c r="J6107" s="455">
        <f t="array" ref="J6107">IFERROR(INDEX('Retirement Calculator'!K:K,MATCH('Lorri 401b'!N6107,'Retirement Calculator'!A:A,0),0),0)</f>
        <v>0</v>
      </c>
      <c r="K6107" s="455">
        <f t="shared" ca="1" si="198"/>
        <v>107476181159037.25</v>
      </c>
      <c r="L6107" s="455">
        <f t="shared" ca="1" si="199"/>
        <v>2.5901759659327976E+16</v>
      </c>
      <c r="M6107" s="471">
        <f t="shared" si="201"/>
        <v>0.05</v>
      </c>
      <c r="N6107" s="475">
        <f t="shared" si="202"/>
        <v>236923</v>
      </c>
    </row>
    <row r="6108" spans="7:14" ht="11.25" customHeight="1" x14ac:dyDescent="0.3">
      <c r="G6108" s="470"/>
      <c r="H6108" s="470">
        <v>6101</v>
      </c>
      <c r="I6108" s="455">
        <f t="shared" ca="1" si="200"/>
        <v>2.5901759659327976E+16</v>
      </c>
      <c r="J6108" s="455">
        <f t="array" ref="J6108">IFERROR(INDEX('Retirement Calculator'!K:K,MATCH('Lorri 401b'!N6108,'Retirement Calculator'!A:A,0),0),0)</f>
        <v>0</v>
      </c>
      <c r="K6108" s="455">
        <f t="shared" ca="1" si="198"/>
        <v>107923998580533.23</v>
      </c>
      <c r="L6108" s="455">
        <f t="shared" ca="1" si="199"/>
        <v>2.6009683657908508E+16</v>
      </c>
      <c r="M6108" s="471">
        <f t="shared" si="201"/>
        <v>0.05</v>
      </c>
      <c r="N6108" s="475">
        <f t="shared" si="202"/>
        <v>236953</v>
      </c>
    </row>
    <row r="6109" spans="7:14" ht="11.25" customHeight="1" x14ac:dyDescent="0.3">
      <c r="G6109" s="470"/>
      <c r="H6109" s="470">
        <v>6102</v>
      </c>
      <c r="I6109" s="455">
        <f t="shared" ca="1" si="200"/>
        <v>2.6009683657908508E+16</v>
      </c>
      <c r="J6109" s="455">
        <f t="array" ref="J6109">IFERROR(INDEX('Retirement Calculator'!K:K,MATCH('Lorri 401b'!N6109,'Retirement Calculator'!A:A,0),0),0)</f>
        <v>0</v>
      </c>
      <c r="K6109" s="455">
        <f t="shared" ca="1" si="198"/>
        <v>108373681907952.11</v>
      </c>
      <c r="L6109" s="455">
        <f t="shared" ca="1" si="199"/>
        <v>2.611805733981646E+16</v>
      </c>
      <c r="M6109" s="471">
        <f t="shared" si="201"/>
        <v>0.05</v>
      </c>
      <c r="N6109" s="475">
        <f t="shared" si="202"/>
        <v>236984</v>
      </c>
    </row>
    <row r="6110" spans="7:14" ht="11.25" customHeight="1" x14ac:dyDescent="0.3">
      <c r="G6110" s="470"/>
      <c r="H6110" s="470">
        <v>6103</v>
      </c>
      <c r="I6110" s="455">
        <f t="shared" ca="1" si="200"/>
        <v>2.611805733981646E+16</v>
      </c>
      <c r="J6110" s="455">
        <f t="array" ref="J6110">IFERROR(INDEX('Retirement Calculator'!K:K,MATCH('Lorri 401b'!N6110,'Retirement Calculator'!A:A,0),0),0)</f>
        <v>0</v>
      </c>
      <c r="K6110" s="455">
        <f t="shared" ca="1" si="198"/>
        <v>108825238915901.92</v>
      </c>
      <c r="L6110" s="455">
        <f t="shared" ca="1" si="199"/>
        <v>2.622688257873236E+16</v>
      </c>
      <c r="M6110" s="471">
        <f t="shared" si="201"/>
        <v>0.05</v>
      </c>
      <c r="N6110" s="475">
        <f t="shared" si="202"/>
        <v>237014</v>
      </c>
    </row>
    <row r="6111" spans="7:14" ht="11.25" customHeight="1" x14ac:dyDescent="0.3">
      <c r="G6111" s="470"/>
      <c r="H6111" s="470">
        <v>6104</v>
      </c>
      <c r="I6111" s="455">
        <f t="shared" ca="1" si="200"/>
        <v>2.622688257873236E+16</v>
      </c>
      <c r="J6111" s="455">
        <f t="array" ref="J6111">IFERROR(INDEX('Retirement Calculator'!K:K,MATCH('Lorri 401b'!N6111,'Retirement Calculator'!A:A,0),0),0)</f>
        <v>0</v>
      </c>
      <c r="K6111" s="455">
        <f t="shared" ca="1" si="198"/>
        <v>109278677411384.83</v>
      </c>
      <c r="L6111" s="455">
        <f t="shared" ca="1" si="199"/>
        <v>2.6336161256143744E+16</v>
      </c>
      <c r="M6111" s="471">
        <f t="shared" si="201"/>
        <v>0.05</v>
      </c>
      <c r="N6111" s="475">
        <f t="shared" si="202"/>
        <v>237045</v>
      </c>
    </row>
    <row r="6112" spans="7:14" ht="11.25" customHeight="1" x14ac:dyDescent="0.3">
      <c r="G6112" s="470"/>
      <c r="H6112" s="470">
        <v>6105</v>
      </c>
      <c r="I6112" s="455">
        <f t="shared" ca="1" si="200"/>
        <v>2.6336161256143744E+16</v>
      </c>
      <c r="J6112" s="455">
        <f t="array" ref="J6112">IFERROR(INDEX('Retirement Calculator'!K:K,MATCH('Lorri 401b'!N6112,'Retirement Calculator'!A:A,0),0),0)</f>
        <v>0</v>
      </c>
      <c r="K6112" s="455">
        <f t="shared" ca="1" si="198"/>
        <v>109734005233932.27</v>
      </c>
      <c r="L6112" s="455">
        <f t="shared" ca="1" si="199"/>
        <v>2.6445895261377676E+16</v>
      </c>
      <c r="M6112" s="471">
        <f t="shared" si="201"/>
        <v>0.05</v>
      </c>
      <c r="N6112" s="475">
        <f t="shared" si="202"/>
        <v>237076</v>
      </c>
    </row>
    <row r="6113" spans="7:14" ht="11.25" customHeight="1" x14ac:dyDescent="0.3">
      <c r="G6113" s="470"/>
      <c r="H6113" s="470">
        <v>6106</v>
      </c>
      <c r="I6113" s="455">
        <f t="shared" ca="1" si="200"/>
        <v>2.6445895261377676E+16</v>
      </c>
      <c r="J6113" s="455">
        <f t="array" ref="J6113">IFERROR(INDEX('Retirement Calculator'!K:K,MATCH('Lorri 401b'!N6113,'Retirement Calculator'!A:A,0),0),0)</f>
        <v>0</v>
      </c>
      <c r="K6113" s="455">
        <f t="shared" ca="1" si="198"/>
        <v>110191230255740.31</v>
      </c>
      <c r="L6113" s="455">
        <f t="shared" ca="1" si="199"/>
        <v>2.6556086491633416E+16</v>
      </c>
      <c r="M6113" s="471">
        <f t="shared" si="201"/>
        <v>0.05</v>
      </c>
      <c r="N6113" s="475">
        <f t="shared" si="202"/>
        <v>237104</v>
      </c>
    </row>
    <row r="6114" spans="7:14" ht="11.25" customHeight="1" x14ac:dyDescent="0.3">
      <c r="G6114" s="470"/>
      <c r="H6114" s="470">
        <v>6107</v>
      </c>
      <c r="I6114" s="455">
        <f t="shared" ca="1" si="200"/>
        <v>2.6556086491633416E+16</v>
      </c>
      <c r="J6114" s="455">
        <f t="array" ref="J6114">IFERROR(INDEX('Retirement Calculator'!K:K,MATCH('Lorri 401b'!N6114,'Retirement Calculator'!A:A,0),0),0)</f>
        <v>0</v>
      </c>
      <c r="K6114" s="455">
        <f t="shared" ca="1" si="198"/>
        <v>110650360381805.91</v>
      </c>
      <c r="L6114" s="455">
        <f t="shared" ca="1" si="199"/>
        <v>2.666673685201522E+16</v>
      </c>
      <c r="M6114" s="471">
        <f t="shared" si="201"/>
        <v>0.05</v>
      </c>
      <c r="N6114" s="475">
        <f t="shared" si="202"/>
        <v>237135</v>
      </c>
    </row>
    <row r="6115" spans="7:14" ht="11.25" customHeight="1" x14ac:dyDescent="0.3">
      <c r="G6115" s="470"/>
      <c r="H6115" s="470">
        <v>6108</v>
      </c>
      <c r="I6115" s="455">
        <f t="shared" ca="1" si="200"/>
        <v>2.666673685201522E+16</v>
      </c>
      <c r="J6115" s="455">
        <f t="array" ref="J6115">IFERROR(INDEX('Retirement Calculator'!K:K,MATCH('Lorri 401b'!N6115,'Retirement Calculator'!A:A,0),0),0)</f>
        <v>0</v>
      </c>
      <c r="K6115" s="455">
        <f t="shared" ca="1" si="198"/>
        <v>111111403550063.42</v>
      </c>
      <c r="L6115" s="455">
        <f t="shared" ca="1" si="199"/>
        <v>2.6777848255565284E+16</v>
      </c>
      <c r="M6115" s="471">
        <f t="shared" si="201"/>
        <v>0.05</v>
      </c>
      <c r="N6115" s="475">
        <f t="shared" si="202"/>
        <v>237165</v>
      </c>
    </row>
    <row r="6116" spans="7:14" ht="11.25" customHeight="1" x14ac:dyDescent="0.3">
      <c r="G6116" s="470"/>
      <c r="H6116" s="470">
        <v>6109</v>
      </c>
      <c r="I6116" s="455">
        <f t="shared" ca="1" si="200"/>
        <v>2.6777848255565284E+16</v>
      </c>
      <c r="J6116" s="455">
        <f t="array" ref="J6116">IFERROR(INDEX('Retirement Calculator'!K:K,MATCH('Lorri 401b'!N6116,'Retirement Calculator'!A:A,0),0),0)</f>
        <v>0</v>
      </c>
      <c r="K6116" s="455">
        <f t="shared" ca="1" si="198"/>
        <v>111574367731522.02</v>
      </c>
      <c r="L6116" s="455">
        <f t="shared" ca="1" si="199"/>
        <v>2.6889422623296808E+16</v>
      </c>
      <c r="M6116" s="471">
        <f t="shared" si="201"/>
        <v>0.05</v>
      </c>
      <c r="N6116" s="475">
        <f t="shared" si="202"/>
        <v>237196</v>
      </c>
    </row>
    <row r="6117" spans="7:14" ht="11.25" customHeight="1" x14ac:dyDescent="0.3">
      <c r="G6117" s="470"/>
      <c r="H6117" s="470">
        <v>6110</v>
      </c>
      <c r="I6117" s="455">
        <f t="shared" ca="1" si="200"/>
        <v>2.6889422623296808E+16</v>
      </c>
      <c r="J6117" s="455">
        <f t="array" ref="J6117">IFERROR(INDEX('Retirement Calculator'!K:K,MATCH('Lorri 401b'!N6117,'Retirement Calculator'!A:A,0),0),0)</f>
        <v>0</v>
      </c>
      <c r="K6117" s="455">
        <f t="shared" ca="1" si="198"/>
        <v>112039260930403.36</v>
      </c>
      <c r="L6117" s="455">
        <f t="shared" ca="1" si="199"/>
        <v>2.7001461884227212E+16</v>
      </c>
      <c r="M6117" s="471">
        <f t="shared" si="201"/>
        <v>0.05</v>
      </c>
      <c r="N6117" s="475">
        <f t="shared" si="202"/>
        <v>237226</v>
      </c>
    </row>
    <row r="6118" spans="7:14" ht="11.25" customHeight="1" x14ac:dyDescent="0.3">
      <c r="G6118" s="470"/>
      <c r="H6118" s="470">
        <v>6111</v>
      </c>
      <c r="I6118" s="455">
        <f t="shared" ca="1" si="200"/>
        <v>2.7001461884227212E+16</v>
      </c>
      <c r="J6118" s="455">
        <f t="array" ref="J6118">IFERROR(INDEX('Retirement Calculator'!K:K,MATCH('Lorri 401b'!N6118,'Retirement Calculator'!A:A,0),0),0)</f>
        <v>0</v>
      </c>
      <c r="K6118" s="455">
        <f t="shared" ca="1" si="198"/>
        <v>112506091184280.05</v>
      </c>
      <c r="L6118" s="455">
        <f t="shared" ca="1" si="199"/>
        <v>2.7113967975411492E+16</v>
      </c>
      <c r="M6118" s="471">
        <f t="shared" si="201"/>
        <v>0.05</v>
      </c>
      <c r="N6118" s="475">
        <f t="shared" si="202"/>
        <v>237257</v>
      </c>
    </row>
    <row r="6119" spans="7:14" ht="11.25" customHeight="1" x14ac:dyDescent="0.3">
      <c r="G6119" s="470"/>
      <c r="H6119" s="470">
        <v>6112</v>
      </c>
      <c r="I6119" s="455">
        <f t="shared" ca="1" si="200"/>
        <v>2.7113967975411492E+16</v>
      </c>
      <c r="J6119" s="455">
        <f t="array" ref="J6119">IFERROR(INDEX('Retirement Calculator'!K:K,MATCH('Lorri 401b'!N6119,'Retirement Calculator'!A:A,0),0),0)</f>
        <v>0</v>
      </c>
      <c r="K6119" s="455">
        <f t="shared" ca="1" si="198"/>
        <v>112974866564214.55</v>
      </c>
      <c r="L6119" s="455">
        <f t="shared" ca="1" si="199"/>
        <v>2.7226942841975708E+16</v>
      </c>
      <c r="M6119" s="471">
        <f t="shared" si="201"/>
        <v>0.05</v>
      </c>
      <c r="N6119" s="475">
        <f t="shared" si="202"/>
        <v>237288</v>
      </c>
    </row>
    <row r="6120" spans="7:14" ht="11.25" customHeight="1" x14ac:dyDescent="0.3">
      <c r="G6120" s="470"/>
      <c r="H6120" s="470">
        <v>6113</v>
      </c>
      <c r="I6120" s="455">
        <f t="shared" ca="1" si="200"/>
        <v>2.7226942841975708E+16</v>
      </c>
      <c r="J6120" s="455">
        <f t="array" ref="J6120">IFERROR(INDEX('Retirement Calculator'!K:K,MATCH('Lorri 401b'!N6120,'Retirement Calculator'!A:A,0),0),0)</f>
        <v>0</v>
      </c>
      <c r="K6120" s="455">
        <f t="shared" ca="1" si="198"/>
        <v>113445595174898.78</v>
      </c>
      <c r="L6120" s="455">
        <f t="shared" ca="1" si="199"/>
        <v>2.7340388437150608E+16</v>
      </c>
      <c r="M6120" s="471">
        <f t="shared" si="201"/>
        <v>0.05</v>
      </c>
      <c r="N6120" s="475">
        <f t="shared" si="202"/>
        <v>237318</v>
      </c>
    </row>
    <row r="6121" spans="7:14" ht="11.25" customHeight="1" x14ac:dyDescent="0.3">
      <c r="G6121" s="470"/>
      <c r="H6121" s="470">
        <v>6114</v>
      </c>
      <c r="I6121" s="455">
        <f t="shared" ca="1" si="200"/>
        <v>2.7340388437150608E+16</v>
      </c>
      <c r="J6121" s="455">
        <f t="array" ref="J6121">IFERROR(INDEX('Retirement Calculator'!K:K,MATCH('Lorri 401b'!N6121,'Retirement Calculator'!A:A,0),0),0)</f>
        <v>0</v>
      </c>
      <c r="K6121" s="455">
        <f t="shared" ca="1" si="198"/>
        <v>113918285154794.2</v>
      </c>
      <c r="L6121" s="455">
        <f t="shared" ca="1" si="199"/>
        <v>2.7454306722305404E+16</v>
      </c>
      <c r="M6121" s="471">
        <f t="shared" si="201"/>
        <v>0.05</v>
      </c>
      <c r="N6121" s="475">
        <f t="shared" si="202"/>
        <v>237349</v>
      </c>
    </row>
    <row r="6122" spans="7:14" ht="11.25" customHeight="1" x14ac:dyDescent="0.3">
      <c r="G6122" s="470"/>
      <c r="H6122" s="470">
        <v>6115</v>
      </c>
      <c r="I6122" s="455">
        <f t="shared" ca="1" si="200"/>
        <v>2.7454306722305404E+16</v>
      </c>
      <c r="J6122" s="455">
        <f t="array" ref="J6122">IFERROR(INDEX('Retirement Calculator'!K:K,MATCH('Lorri 401b'!N6122,'Retirement Calculator'!A:A,0),0),0)</f>
        <v>0</v>
      </c>
      <c r="K6122" s="455">
        <f t="shared" ca="1" si="198"/>
        <v>114392944676272.52</v>
      </c>
      <c r="L6122" s="455">
        <f t="shared" ca="1" si="199"/>
        <v>2.7568699666981676E+16</v>
      </c>
      <c r="M6122" s="471">
        <f t="shared" si="201"/>
        <v>0.05</v>
      </c>
      <c r="N6122" s="475">
        <f t="shared" si="202"/>
        <v>237379</v>
      </c>
    </row>
    <row r="6123" spans="7:14" ht="11.25" customHeight="1" x14ac:dyDescent="0.3">
      <c r="G6123" s="470"/>
      <c r="H6123" s="470">
        <v>6116</v>
      </c>
      <c r="I6123" s="455">
        <f t="shared" ca="1" si="200"/>
        <v>2.7568699666981676E+16</v>
      </c>
      <c r="J6123" s="455">
        <f t="array" ref="J6123">IFERROR(INDEX('Retirement Calculator'!K:K,MATCH('Lorri 401b'!N6123,'Retirement Calculator'!A:A,0),0),0)</f>
        <v>0</v>
      </c>
      <c r="K6123" s="455">
        <f t="shared" ca="1" si="198"/>
        <v>114869581945756.98</v>
      </c>
      <c r="L6123" s="455">
        <f t="shared" ca="1" si="199"/>
        <v>2.7683569248927432E+16</v>
      </c>
      <c r="M6123" s="471">
        <f t="shared" si="201"/>
        <v>0.05</v>
      </c>
      <c r="N6123" s="475">
        <f t="shared" si="202"/>
        <v>237410</v>
      </c>
    </row>
    <row r="6124" spans="7:14" ht="11.25" customHeight="1" x14ac:dyDescent="0.3">
      <c r="G6124" s="470"/>
      <c r="H6124" s="470">
        <v>6117</v>
      </c>
      <c r="I6124" s="455">
        <f t="shared" ca="1" si="200"/>
        <v>2.7683569248927432E+16</v>
      </c>
      <c r="J6124" s="455">
        <f t="array" ref="J6124">IFERROR(INDEX('Retirement Calculator'!K:K,MATCH('Lorri 401b'!N6124,'Retirement Calculator'!A:A,0),0),0)</f>
        <v>0</v>
      </c>
      <c r="K6124" s="455">
        <f t="shared" ca="1" si="198"/>
        <v>115348205203864.3</v>
      </c>
      <c r="L6124" s="455">
        <f t="shared" ca="1" si="199"/>
        <v>2.7798917454131296E+16</v>
      </c>
      <c r="M6124" s="471">
        <f t="shared" si="201"/>
        <v>0.05</v>
      </c>
      <c r="N6124" s="475">
        <f t="shared" si="202"/>
        <v>237441</v>
      </c>
    </row>
    <row r="6125" spans="7:14" ht="11.25" customHeight="1" x14ac:dyDescent="0.3">
      <c r="G6125" s="470"/>
      <c r="H6125" s="470">
        <v>6118</v>
      </c>
      <c r="I6125" s="455">
        <f t="shared" ca="1" si="200"/>
        <v>2.7798917454131296E+16</v>
      </c>
      <c r="J6125" s="455">
        <f t="array" ref="J6125">IFERROR(INDEX('Retirement Calculator'!K:K,MATCH('Lorri 401b'!N6125,'Retirement Calculator'!A:A,0),0),0)</f>
        <v>0</v>
      </c>
      <c r="K6125" s="455">
        <f t="shared" ca="1" si="198"/>
        <v>115828822725547.06</v>
      </c>
      <c r="L6125" s="455">
        <f t="shared" ca="1" si="199"/>
        <v>2.7914746276856844E+16</v>
      </c>
      <c r="M6125" s="471">
        <f t="shared" si="201"/>
        <v>0.05</v>
      </c>
      <c r="N6125" s="475">
        <f t="shared" si="202"/>
        <v>237469</v>
      </c>
    </row>
    <row r="6126" spans="7:14" ht="11.25" customHeight="1" x14ac:dyDescent="0.3">
      <c r="G6126" s="470"/>
      <c r="H6126" s="470">
        <v>6119</v>
      </c>
      <c r="I6126" s="455">
        <f t="shared" ca="1" si="200"/>
        <v>2.7914746276856844E+16</v>
      </c>
      <c r="J6126" s="455">
        <f t="array" ref="J6126">IFERROR(INDEX('Retirement Calculator'!K:K,MATCH('Lorri 401b'!N6126,'Retirement Calculator'!A:A,0),0),0)</f>
        <v>0</v>
      </c>
      <c r="K6126" s="455">
        <f t="shared" ca="1" si="198"/>
        <v>116311442820236.84</v>
      </c>
      <c r="L6126" s="455">
        <f t="shared" ca="1" si="199"/>
        <v>2.803105771967708E+16</v>
      </c>
      <c r="M6126" s="471">
        <f t="shared" si="201"/>
        <v>0.05</v>
      </c>
      <c r="N6126" s="475">
        <f t="shared" si="202"/>
        <v>237500</v>
      </c>
    </row>
    <row r="6127" spans="7:14" ht="11.25" customHeight="1" x14ac:dyDescent="0.3">
      <c r="G6127" s="470"/>
      <c r="H6127" s="470">
        <v>6120</v>
      </c>
      <c r="I6127" s="455">
        <f t="shared" ca="1" si="200"/>
        <v>2.803105771967708E+16</v>
      </c>
      <c r="J6127" s="455">
        <f t="array" ref="J6127">IFERROR(INDEX('Retirement Calculator'!K:K,MATCH('Lorri 401b'!N6127,'Retirement Calculator'!A:A,0),0),0)</f>
        <v>0</v>
      </c>
      <c r="K6127" s="455">
        <f t="shared" ca="1" si="198"/>
        <v>116796073831987.83</v>
      </c>
      <c r="L6127" s="455">
        <f t="shared" ca="1" si="199"/>
        <v>2.8147853793509068E+16</v>
      </c>
      <c r="M6127" s="471">
        <f t="shared" si="201"/>
        <v>0.05</v>
      </c>
      <c r="N6127" s="475">
        <f t="shared" si="202"/>
        <v>237530</v>
      </c>
    </row>
    <row r="6128" spans="7:14" ht="11.25" customHeight="1" x14ac:dyDescent="0.3">
      <c r="G6128" s="470"/>
      <c r="H6128" s="470">
        <v>6121</v>
      </c>
      <c r="I6128" s="455">
        <f t="shared" ca="1" si="200"/>
        <v>2.8147853793509068E+16</v>
      </c>
      <c r="J6128" s="455">
        <f t="array" ref="J6128">IFERROR(INDEX('Retirement Calculator'!K:K,MATCH('Lorri 401b'!N6128,'Retirement Calculator'!A:A,0),0),0)</f>
        <v>0</v>
      </c>
      <c r="K6128" s="455">
        <f t="shared" ref="K6128:K6250" ca="1" si="203">IPMT(M6128/12,1,12,-I6128+J6128,,0)</f>
        <v>117282724139621.11</v>
      </c>
      <c r="L6128" s="455">
        <f t="shared" ref="L6128:L6250" ca="1" si="204">I6128-J6128+K6128</f>
        <v>2.8265136517648688E+16</v>
      </c>
      <c r="M6128" s="471">
        <f t="shared" si="201"/>
        <v>0.05</v>
      </c>
      <c r="N6128" s="475">
        <f t="shared" si="202"/>
        <v>237561</v>
      </c>
    </row>
    <row r="6129" spans="7:14" ht="11.25" customHeight="1" x14ac:dyDescent="0.3">
      <c r="G6129" s="470"/>
      <c r="H6129" s="470">
        <v>6122</v>
      </c>
      <c r="I6129" s="455">
        <f t="shared" ref="I6129:I6250" ca="1" si="205">L6128</f>
        <v>2.8265136517648688E+16</v>
      </c>
      <c r="J6129" s="455">
        <f t="array" ref="J6129">IFERROR(INDEX('Retirement Calculator'!K:K,MATCH('Lorri 401b'!N6129,'Retirement Calculator'!A:A,0),0),0)</f>
        <v>0</v>
      </c>
      <c r="K6129" s="455">
        <f t="shared" ca="1" si="203"/>
        <v>117771402156869.53</v>
      </c>
      <c r="L6129" s="455">
        <f t="shared" ca="1" si="204"/>
        <v>2.8382907919805556E+16</v>
      </c>
      <c r="M6129" s="471">
        <f t="shared" ref="M6129:M6250" si="206">M6128</f>
        <v>0.05</v>
      </c>
      <c r="N6129" s="475">
        <f t="shared" ref="N6129:N6250" si="207">EDATE(N6128,1)</f>
        <v>237591</v>
      </c>
    </row>
    <row r="6130" spans="7:14" ht="11.25" customHeight="1" x14ac:dyDescent="0.3">
      <c r="G6130" s="470"/>
      <c r="H6130" s="470">
        <v>6123</v>
      </c>
      <c r="I6130" s="455">
        <f t="shared" ca="1" si="205"/>
        <v>2.8382907919805556E+16</v>
      </c>
      <c r="J6130" s="455">
        <f t="array" ref="J6130">IFERROR(INDEX('Retirement Calculator'!K:K,MATCH('Lorri 401b'!N6130,'Retirement Calculator'!A:A,0),0),0)</f>
        <v>0</v>
      </c>
      <c r="K6130" s="455">
        <f t="shared" ca="1" si="203"/>
        <v>118262116332523.13</v>
      </c>
      <c r="L6130" s="455">
        <f t="shared" ca="1" si="204"/>
        <v>2.850117003613808E+16</v>
      </c>
      <c r="M6130" s="471">
        <f t="shared" si="206"/>
        <v>0.05</v>
      </c>
      <c r="N6130" s="475">
        <f t="shared" si="207"/>
        <v>237622</v>
      </c>
    </row>
    <row r="6131" spans="7:14" ht="11.25" customHeight="1" x14ac:dyDescent="0.3">
      <c r="G6131" s="470"/>
      <c r="H6131" s="470">
        <v>6124</v>
      </c>
      <c r="I6131" s="455">
        <f t="shared" ca="1" si="205"/>
        <v>2.850117003613808E+16</v>
      </c>
      <c r="J6131" s="455">
        <f t="array" ref="J6131">IFERROR(INDEX('Retirement Calculator'!K:K,MATCH('Lorri 401b'!N6131,'Retirement Calculator'!A:A,0),0),0)</f>
        <v>0</v>
      </c>
      <c r="K6131" s="455">
        <f t="shared" ca="1" si="203"/>
        <v>118754875150575.31</v>
      </c>
      <c r="L6131" s="455">
        <f t="shared" ca="1" si="204"/>
        <v>2.8619924911288656E+16</v>
      </c>
      <c r="M6131" s="471">
        <f t="shared" si="206"/>
        <v>0.05</v>
      </c>
      <c r="N6131" s="475">
        <f t="shared" si="207"/>
        <v>237653</v>
      </c>
    </row>
    <row r="6132" spans="7:14" ht="11.25" customHeight="1" x14ac:dyDescent="0.3">
      <c r="G6132" s="470"/>
      <c r="H6132" s="470">
        <v>6125</v>
      </c>
      <c r="I6132" s="455">
        <f t="shared" ca="1" si="205"/>
        <v>2.8619924911288656E+16</v>
      </c>
      <c r="J6132" s="455">
        <f t="array" ref="J6132">IFERROR(INDEX('Retirement Calculator'!K:K,MATCH('Lorri 401b'!N6132,'Retirement Calculator'!A:A,0),0),0)</f>
        <v>0</v>
      </c>
      <c r="K6132" s="455">
        <f t="shared" ca="1" si="203"/>
        <v>119249687130369.42</v>
      </c>
      <c r="L6132" s="455">
        <f t="shared" ca="1" si="204"/>
        <v>2.8739174598419024E+16</v>
      </c>
      <c r="M6132" s="471">
        <f t="shared" si="206"/>
        <v>0.05</v>
      </c>
      <c r="N6132" s="475">
        <f t="shared" si="207"/>
        <v>237683</v>
      </c>
    </row>
    <row r="6133" spans="7:14" ht="11.25" customHeight="1" x14ac:dyDescent="0.3">
      <c r="G6133" s="470"/>
      <c r="H6133" s="470">
        <v>6126</v>
      </c>
      <c r="I6133" s="455">
        <f t="shared" ca="1" si="205"/>
        <v>2.8739174598419024E+16</v>
      </c>
      <c r="J6133" s="455">
        <f t="array" ref="J6133">IFERROR(INDEX('Retirement Calculator'!K:K,MATCH('Lorri 401b'!N6133,'Retirement Calculator'!A:A,0),0),0)</f>
        <v>0</v>
      </c>
      <c r="K6133" s="455">
        <f t="shared" ca="1" si="203"/>
        <v>119746560826745.94</v>
      </c>
      <c r="L6133" s="455">
        <f t="shared" ca="1" si="204"/>
        <v>2.8858921159245768E+16</v>
      </c>
      <c r="M6133" s="471">
        <f t="shared" si="206"/>
        <v>0.05</v>
      </c>
      <c r="N6133" s="475">
        <f t="shared" si="207"/>
        <v>237714</v>
      </c>
    </row>
    <row r="6134" spans="7:14" ht="11.25" customHeight="1" x14ac:dyDescent="0.3">
      <c r="G6134" s="470"/>
      <c r="H6134" s="470">
        <v>6127</v>
      </c>
      <c r="I6134" s="455">
        <f t="shared" ca="1" si="205"/>
        <v>2.8858921159245768E+16</v>
      </c>
      <c r="J6134" s="455">
        <f t="array" ref="J6134">IFERROR(INDEX('Retirement Calculator'!K:K,MATCH('Lorri 401b'!N6134,'Retirement Calculator'!A:A,0),0),0)</f>
        <v>0</v>
      </c>
      <c r="K6134" s="455">
        <f t="shared" ca="1" si="203"/>
        <v>120245504830190.7</v>
      </c>
      <c r="L6134" s="455">
        <f t="shared" ca="1" si="204"/>
        <v>2.897916666407596E+16</v>
      </c>
      <c r="M6134" s="471">
        <f t="shared" si="206"/>
        <v>0.05</v>
      </c>
      <c r="N6134" s="475">
        <f t="shared" si="207"/>
        <v>237744</v>
      </c>
    </row>
    <row r="6135" spans="7:14" ht="11.25" customHeight="1" x14ac:dyDescent="0.3">
      <c r="G6135" s="470"/>
      <c r="H6135" s="470">
        <v>6128</v>
      </c>
      <c r="I6135" s="455">
        <f t="shared" ca="1" si="205"/>
        <v>2.897916666407596E+16</v>
      </c>
      <c r="J6135" s="455">
        <f t="array" ref="J6135">IFERROR(INDEX('Retirement Calculator'!K:K,MATCH('Lorri 401b'!N6135,'Retirement Calculator'!A:A,0),0),0)</f>
        <v>0</v>
      </c>
      <c r="K6135" s="455">
        <f t="shared" ca="1" si="203"/>
        <v>120746527766983.14</v>
      </c>
      <c r="L6135" s="455">
        <f t="shared" ca="1" si="204"/>
        <v>2.9099913191842944E+16</v>
      </c>
      <c r="M6135" s="471">
        <f t="shared" si="206"/>
        <v>0.05</v>
      </c>
      <c r="N6135" s="475">
        <f t="shared" si="207"/>
        <v>237775</v>
      </c>
    </row>
    <row r="6136" spans="7:14" ht="11.25" customHeight="1" x14ac:dyDescent="0.3">
      <c r="G6136" s="470"/>
      <c r="H6136" s="470">
        <v>6129</v>
      </c>
      <c r="I6136" s="455">
        <f t="shared" ca="1" si="205"/>
        <v>2.9099913191842944E+16</v>
      </c>
      <c r="J6136" s="455">
        <f t="array" ref="J6136">IFERROR(INDEX('Retirement Calculator'!K:K,MATCH('Lorri 401b'!N6136,'Retirement Calculator'!A:A,0),0),0)</f>
        <v>0</v>
      </c>
      <c r="K6136" s="455">
        <f t="shared" ca="1" si="203"/>
        <v>121249638299345.59</v>
      </c>
      <c r="L6136" s="455">
        <f t="shared" ca="1" si="204"/>
        <v>2.9221162830142288E+16</v>
      </c>
      <c r="M6136" s="471">
        <f t="shared" si="206"/>
        <v>0.05</v>
      </c>
      <c r="N6136" s="475">
        <f t="shared" si="207"/>
        <v>237806</v>
      </c>
    </row>
    <row r="6137" spans="7:14" ht="11.25" customHeight="1" x14ac:dyDescent="0.3">
      <c r="G6137" s="470"/>
      <c r="H6137" s="470">
        <v>6130</v>
      </c>
      <c r="I6137" s="455">
        <f t="shared" ca="1" si="205"/>
        <v>2.9221162830142288E+16</v>
      </c>
      <c r="J6137" s="455">
        <f t="array" ref="J6137">IFERROR(INDEX('Retirement Calculator'!K:K,MATCH('Lorri 401b'!N6137,'Retirement Calculator'!A:A,0),0),0)</f>
        <v>0</v>
      </c>
      <c r="K6137" s="455">
        <f t="shared" ca="1" si="203"/>
        <v>121754845125592.86</v>
      </c>
      <c r="L6137" s="455">
        <f t="shared" ca="1" si="204"/>
        <v>2.934291767526788E+16</v>
      </c>
      <c r="M6137" s="471">
        <f t="shared" si="206"/>
        <v>0.05</v>
      </c>
      <c r="N6137" s="475">
        <f t="shared" si="207"/>
        <v>237834</v>
      </c>
    </row>
    <row r="6138" spans="7:14" ht="11.25" customHeight="1" x14ac:dyDescent="0.3">
      <c r="G6138" s="470"/>
      <c r="H6138" s="470">
        <v>6131</v>
      </c>
      <c r="I6138" s="455">
        <f t="shared" ca="1" si="205"/>
        <v>2.934291767526788E+16</v>
      </c>
      <c r="J6138" s="455">
        <f t="array" ref="J6138">IFERROR(INDEX('Retirement Calculator'!K:K,MATCH('Lorri 401b'!N6138,'Retirement Calculator'!A:A,0),0),0)</f>
        <v>0</v>
      </c>
      <c r="K6138" s="455">
        <f t="shared" ca="1" si="203"/>
        <v>122262156980282.81</v>
      </c>
      <c r="L6138" s="455">
        <f t="shared" ca="1" si="204"/>
        <v>2.9465179832248164E+16</v>
      </c>
      <c r="M6138" s="471">
        <f t="shared" si="206"/>
        <v>0.05</v>
      </c>
      <c r="N6138" s="475">
        <f t="shared" si="207"/>
        <v>237865</v>
      </c>
    </row>
    <row r="6139" spans="7:14" ht="11.25" customHeight="1" x14ac:dyDescent="0.3">
      <c r="G6139" s="470"/>
      <c r="H6139" s="470">
        <v>6132</v>
      </c>
      <c r="I6139" s="455">
        <f t="shared" ca="1" si="205"/>
        <v>2.9465179832248164E+16</v>
      </c>
      <c r="J6139" s="455">
        <f t="array" ref="J6139">IFERROR(INDEX('Retirement Calculator'!K:K,MATCH('Lorri 401b'!N6139,'Retirement Calculator'!A:A,0),0),0)</f>
        <v>0</v>
      </c>
      <c r="K6139" s="455">
        <f t="shared" ca="1" si="203"/>
        <v>122771582634367.36</v>
      </c>
      <c r="L6139" s="455">
        <f t="shared" ca="1" si="204"/>
        <v>2.9587951414882532E+16</v>
      </c>
      <c r="M6139" s="471">
        <f t="shared" si="206"/>
        <v>0.05</v>
      </c>
      <c r="N6139" s="475">
        <f t="shared" si="207"/>
        <v>237895</v>
      </c>
    </row>
    <row r="6140" spans="7:14" ht="11.25" customHeight="1" x14ac:dyDescent="0.3">
      <c r="G6140" s="470"/>
      <c r="H6140" s="470">
        <v>6133</v>
      </c>
      <c r="I6140" s="455">
        <f t="shared" ca="1" si="205"/>
        <v>2.9587951414882532E+16</v>
      </c>
      <c r="J6140" s="455">
        <f t="array" ref="J6140">IFERROR(INDEX('Retirement Calculator'!K:K,MATCH('Lorri 401b'!N6140,'Retirement Calculator'!A:A,0),0),0)</f>
        <v>0</v>
      </c>
      <c r="K6140" s="455">
        <f t="shared" ca="1" si="203"/>
        <v>123283130895343.86</v>
      </c>
      <c r="L6140" s="455">
        <f t="shared" ca="1" si="204"/>
        <v>2.9711234545777876E+16</v>
      </c>
      <c r="M6140" s="471">
        <f t="shared" si="206"/>
        <v>0.05</v>
      </c>
      <c r="N6140" s="475">
        <f t="shared" si="207"/>
        <v>237926</v>
      </c>
    </row>
    <row r="6141" spans="7:14" ht="11.25" customHeight="1" x14ac:dyDescent="0.3">
      <c r="G6141" s="470"/>
      <c r="H6141" s="470">
        <v>6134</v>
      </c>
      <c r="I6141" s="455">
        <f t="shared" ca="1" si="205"/>
        <v>2.9711234545777876E+16</v>
      </c>
      <c r="J6141" s="455">
        <f t="array" ref="J6141">IFERROR(INDEX('Retirement Calculator'!K:K,MATCH('Lorri 401b'!N6141,'Retirement Calculator'!A:A,0),0),0)</f>
        <v>0</v>
      </c>
      <c r="K6141" s="455">
        <f t="shared" ca="1" si="203"/>
        <v>123796810607407.83</v>
      </c>
      <c r="L6141" s="455">
        <f t="shared" ca="1" si="204"/>
        <v>2.9835031356385284E+16</v>
      </c>
      <c r="M6141" s="471">
        <f t="shared" si="206"/>
        <v>0.05</v>
      </c>
      <c r="N6141" s="475">
        <f t="shared" si="207"/>
        <v>237956</v>
      </c>
    </row>
    <row r="6142" spans="7:14" ht="11.25" customHeight="1" x14ac:dyDescent="0.3">
      <c r="G6142" s="470"/>
      <c r="H6142" s="470">
        <v>6135</v>
      </c>
      <c r="I6142" s="455">
        <f t="shared" ca="1" si="205"/>
        <v>2.9835031356385284E+16</v>
      </c>
      <c r="J6142" s="455">
        <f t="array" ref="J6142">IFERROR(INDEX('Retirement Calculator'!K:K,MATCH('Lorri 401b'!N6142,'Retirement Calculator'!A:A,0),0),0)</f>
        <v>0</v>
      </c>
      <c r="K6142" s="455">
        <f t="shared" ca="1" si="203"/>
        <v>124312630651605.36</v>
      </c>
      <c r="L6142" s="455">
        <f t="shared" ca="1" si="204"/>
        <v>2.9959343987036888E+16</v>
      </c>
      <c r="M6142" s="471">
        <f t="shared" si="206"/>
        <v>0.05</v>
      </c>
      <c r="N6142" s="475">
        <f t="shared" si="207"/>
        <v>237987</v>
      </c>
    </row>
    <row r="6143" spans="7:14" ht="11.25" customHeight="1" x14ac:dyDescent="0.3">
      <c r="G6143" s="470"/>
      <c r="H6143" s="470">
        <v>6136</v>
      </c>
      <c r="I6143" s="455">
        <f t="shared" ca="1" si="205"/>
        <v>2.9959343987036888E+16</v>
      </c>
      <c r="J6143" s="455">
        <f t="array" ref="J6143">IFERROR(INDEX('Retirement Calculator'!K:K,MATCH('Lorri 401b'!N6143,'Retirement Calculator'!A:A,0),0),0)</f>
        <v>0</v>
      </c>
      <c r="K6143" s="455">
        <f t="shared" ca="1" si="203"/>
        <v>124830599945987.03</v>
      </c>
      <c r="L6143" s="455">
        <f t="shared" ca="1" si="204"/>
        <v>3.0084174586982876E+16</v>
      </c>
      <c r="M6143" s="471">
        <f t="shared" si="206"/>
        <v>0.05</v>
      </c>
      <c r="N6143" s="475">
        <f t="shared" si="207"/>
        <v>238018</v>
      </c>
    </row>
    <row r="6144" spans="7:14" ht="11.25" customHeight="1" x14ac:dyDescent="0.3">
      <c r="G6144" s="470"/>
      <c r="H6144" s="470">
        <v>6137</v>
      </c>
      <c r="I6144" s="455">
        <f t="shared" ca="1" si="205"/>
        <v>3.0084174586982876E+16</v>
      </c>
      <c r="J6144" s="455">
        <f t="array" ref="J6144">IFERROR(INDEX('Retirement Calculator'!K:K,MATCH('Lorri 401b'!N6144,'Retirement Calculator'!A:A,0),0),0)</f>
        <v>0</v>
      </c>
      <c r="K6144" s="455">
        <f t="shared" ca="1" si="203"/>
        <v>125350727445761.98</v>
      </c>
      <c r="L6144" s="455">
        <f t="shared" ca="1" si="204"/>
        <v>3.0209525314428636E+16</v>
      </c>
      <c r="M6144" s="471">
        <f t="shared" si="206"/>
        <v>0.05</v>
      </c>
      <c r="N6144" s="475">
        <f t="shared" si="207"/>
        <v>238048</v>
      </c>
    </row>
    <row r="6145" spans="7:14" ht="11.25" customHeight="1" x14ac:dyDescent="0.3">
      <c r="G6145" s="470"/>
      <c r="H6145" s="470">
        <v>6138</v>
      </c>
      <c r="I6145" s="455">
        <f t="shared" ca="1" si="205"/>
        <v>3.0209525314428636E+16</v>
      </c>
      <c r="J6145" s="455">
        <f t="array" ref="J6145">IFERROR(INDEX('Retirement Calculator'!K:K,MATCH('Lorri 401b'!N6145,'Retirement Calculator'!A:A,0),0),0)</f>
        <v>0</v>
      </c>
      <c r="K6145" s="455">
        <f t="shared" ca="1" si="203"/>
        <v>125873022143452.64</v>
      </c>
      <c r="L6145" s="455">
        <f t="shared" ca="1" si="204"/>
        <v>3.0335398336572088E+16</v>
      </c>
      <c r="M6145" s="471">
        <f t="shared" si="206"/>
        <v>0.05</v>
      </c>
      <c r="N6145" s="475">
        <f t="shared" si="207"/>
        <v>238079</v>
      </c>
    </row>
    <row r="6146" spans="7:14" ht="11.25" customHeight="1" x14ac:dyDescent="0.3">
      <c r="G6146" s="470"/>
      <c r="H6146" s="470">
        <v>6139</v>
      </c>
      <c r="I6146" s="455">
        <f t="shared" ca="1" si="205"/>
        <v>3.0335398336572088E+16</v>
      </c>
      <c r="J6146" s="455">
        <f t="array" ref="J6146">IFERROR(INDEX('Retirement Calculator'!K:K,MATCH('Lorri 401b'!N6146,'Retirement Calculator'!A:A,0),0),0)</f>
        <v>0</v>
      </c>
      <c r="K6146" s="455">
        <f t="shared" ca="1" si="203"/>
        <v>126397493069050.36</v>
      </c>
      <c r="L6146" s="455">
        <f t="shared" ca="1" si="204"/>
        <v>3.046179582964114E+16</v>
      </c>
      <c r="M6146" s="471">
        <f t="shared" si="206"/>
        <v>0.05</v>
      </c>
      <c r="N6146" s="475">
        <f t="shared" si="207"/>
        <v>238109</v>
      </c>
    </row>
    <row r="6147" spans="7:14" ht="11.25" customHeight="1" x14ac:dyDescent="0.3">
      <c r="G6147" s="470"/>
      <c r="H6147" s="470">
        <v>6140</v>
      </c>
      <c r="I6147" s="455">
        <f t="shared" ca="1" si="205"/>
        <v>3.046179582964114E+16</v>
      </c>
      <c r="J6147" s="455">
        <f t="array" ref="J6147">IFERROR(INDEX('Retirement Calculator'!K:K,MATCH('Lorri 401b'!N6147,'Retirement Calculator'!A:A,0),0),0)</f>
        <v>0</v>
      </c>
      <c r="K6147" s="455">
        <f t="shared" ca="1" si="203"/>
        <v>126924149290171.42</v>
      </c>
      <c r="L6147" s="455">
        <f t="shared" ca="1" si="204"/>
        <v>3.0588719978931312E+16</v>
      </c>
      <c r="M6147" s="471">
        <f t="shared" si="206"/>
        <v>0.05</v>
      </c>
      <c r="N6147" s="475">
        <f t="shared" si="207"/>
        <v>238140</v>
      </c>
    </row>
    <row r="6148" spans="7:14" ht="11.25" customHeight="1" x14ac:dyDescent="0.3">
      <c r="G6148" s="470"/>
      <c r="H6148" s="470">
        <v>6141</v>
      </c>
      <c r="I6148" s="455">
        <f t="shared" ca="1" si="205"/>
        <v>3.0588719978931312E+16</v>
      </c>
      <c r="J6148" s="455">
        <f t="array" ref="J6148">IFERROR(INDEX('Retirement Calculator'!K:K,MATCH('Lorri 401b'!N6148,'Retirement Calculator'!A:A,0),0),0)</f>
        <v>0</v>
      </c>
      <c r="K6148" s="455">
        <f t="shared" ca="1" si="203"/>
        <v>127452999912213.78</v>
      </c>
      <c r="L6148" s="455">
        <f t="shared" ca="1" si="204"/>
        <v>3.0716172978843524E+16</v>
      </c>
      <c r="M6148" s="471">
        <f t="shared" si="206"/>
        <v>0.05</v>
      </c>
      <c r="N6148" s="475">
        <f t="shared" si="207"/>
        <v>238171</v>
      </c>
    </row>
    <row r="6149" spans="7:14" ht="11.25" customHeight="1" x14ac:dyDescent="0.3">
      <c r="G6149" s="470"/>
      <c r="H6149" s="470">
        <v>6142</v>
      </c>
      <c r="I6149" s="455">
        <f t="shared" ca="1" si="205"/>
        <v>3.0716172978843524E+16</v>
      </c>
      <c r="J6149" s="455">
        <f t="array" ref="J6149">IFERROR(INDEX('Retirement Calculator'!K:K,MATCH('Lorri 401b'!N6149,'Retirement Calculator'!A:A,0),0),0)</f>
        <v>0</v>
      </c>
      <c r="K6149" s="455">
        <f t="shared" ca="1" si="203"/>
        <v>127984054078514.69</v>
      </c>
      <c r="L6149" s="455">
        <f t="shared" ca="1" si="204"/>
        <v>3.084415703292204E+16</v>
      </c>
      <c r="M6149" s="471">
        <f t="shared" si="206"/>
        <v>0.05</v>
      </c>
      <c r="N6149" s="475">
        <f t="shared" si="207"/>
        <v>238200</v>
      </c>
    </row>
    <row r="6150" spans="7:14" ht="11.25" customHeight="1" x14ac:dyDescent="0.3">
      <c r="G6150" s="470"/>
      <c r="H6150" s="470">
        <v>6143</v>
      </c>
      <c r="I6150" s="455">
        <f t="shared" ca="1" si="205"/>
        <v>3.084415703292204E+16</v>
      </c>
      <c r="J6150" s="455">
        <f t="array" ref="J6150">IFERROR(INDEX('Retirement Calculator'!K:K,MATCH('Lorri 401b'!N6150,'Retirement Calculator'!A:A,0),0),0)</f>
        <v>0</v>
      </c>
      <c r="K6150" s="455">
        <f t="shared" ca="1" si="203"/>
        <v>128517320970508.5</v>
      </c>
      <c r="L6150" s="455">
        <f t="shared" ca="1" si="204"/>
        <v>3.0972674353892548E+16</v>
      </c>
      <c r="M6150" s="471">
        <f t="shared" si="206"/>
        <v>0.05</v>
      </c>
      <c r="N6150" s="475">
        <f t="shared" si="207"/>
        <v>238231</v>
      </c>
    </row>
    <row r="6151" spans="7:14" ht="11.25" customHeight="1" x14ac:dyDescent="0.3">
      <c r="G6151" s="470"/>
      <c r="H6151" s="470">
        <v>6144</v>
      </c>
      <c r="I6151" s="455">
        <f t="shared" ca="1" si="205"/>
        <v>3.0972674353892548E+16</v>
      </c>
      <c r="J6151" s="455">
        <f t="array" ref="J6151">IFERROR(INDEX('Retirement Calculator'!K:K,MATCH('Lorri 401b'!N6151,'Retirement Calculator'!A:A,0),0),0)</f>
        <v>0</v>
      </c>
      <c r="K6151" s="455">
        <f t="shared" ca="1" si="203"/>
        <v>129052809807885.61</v>
      </c>
      <c r="L6151" s="455">
        <f t="shared" ca="1" si="204"/>
        <v>3.1101727163700432E+16</v>
      </c>
      <c r="M6151" s="471">
        <f t="shared" si="206"/>
        <v>0.05</v>
      </c>
      <c r="N6151" s="475">
        <f t="shared" si="207"/>
        <v>238261</v>
      </c>
    </row>
    <row r="6152" spans="7:14" ht="11.25" customHeight="1" x14ac:dyDescent="0.3">
      <c r="G6152" s="470"/>
      <c r="H6152" s="470">
        <v>6145</v>
      </c>
      <c r="I6152" s="455">
        <f t="shared" ca="1" si="205"/>
        <v>3.1101727163700432E+16</v>
      </c>
      <c r="J6152" s="455">
        <f t="array" ref="J6152">IFERROR(INDEX('Retirement Calculator'!K:K,MATCH('Lorri 401b'!N6152,'Retirement Calculator'!A:A,0),0),0)</f>
        <v>0</v>
      </c>
      <c r="K6152" s="455">
        <f t="shared" ca="1" si="203"/>
        <v>129590529848751.81</v>
      </c>
      <c r="L6152" s="455">
        <f t="shared" ca="1" si="204"/>
        <v>3.1231317693549184E+16</v>
      </c>
      <c r="M6152" s="471">
        <f t="shared" si="206"/>
        <v>0.05</v>
      </c>
      <c r="N6152" s="475">
        <f t="shared" si="207"/>
        <v>238292</v>
      </c>
    </row>
    <row r="6153" spans="7:14" ht="11.25" customHeight="1" x14ac:dyDescent="0.3">
      <c r="G6153" s="470"/>
      <c r="H6153" s="470">
        <v>6146</v>
      </c>
      <c r="I6153" s="455">
        <f t="shared" ca="1" si="205"/>
        <v>3.1231317693549184E+16</v>
      </c>
      <c r="J6153" s="455">
        <f t="array" ref="J6153">IFERROR(INDEX('Retirement Calculator'!K:K,MATCH('Lorri 401b'!N6153,'Retirement Calculator'!A:A,0),0),0)</f>
        <v>0</v>
      </c>
      <c r="K6153" s="455">
        <f t="shared" ca="1" si="203"/>
        <v>130130490389788.27</v>
      </c>
      <c r="L6153" s="455">
        <f t="shared" ca="1" si="204"/>
        <v>3.1361448183938972E+16</v>
      </c>
      <c r="M6153" s="471">
        <f t="shared" si="206"/>
        <v>0.05</v>
      </c>
      <c r="N6153" s="475">
        <f t="shared" si="207"/>
        <v>238322</v>
      </c>
    </row>
    <row r="6154" spans="7:14" ht="11.25" customHeight="1" x14ac:dyDescent="0.3">
      <c r="G6154" s="470"/>
      <c r="H6154" s="470">
        <v>6147</v>
      </c>
      <c r="I6154" s="455">
        <f t="shared" ca="1" si="205"/>
        <v>3.1361448183938972E+16</v>
      </c>
      <c r="J6154" s="455">
        <f t="array" ref="J6154">IFERROR(INDEX('Retirement Calculator'!K:K,MATCH('Lorri 401b'!N6154,'Retirement Calculator'!A:A,0),0),0)</f>
        <v>0</v>
      </c>
      <c r="K6154" s="455">
        <f t="shared" ca="1" si="203"/>
        <v>130672700766412.38</v>
      </c>
      <c r="L6154" s="455">
        <f t="shared" ca="1" si="204"/>
        <v>3.1492120884705384E+16</v>
      </c>
      <c r="M6154" s="471">
        <f t="shared" si="206"/>
        <v>0.05</v>
      </c>
      <c r="N6154" s="475">
        <f t="shared" si="207"/>
        <v>238353</v>
      </c>
    </row>
    <row r="6155" spans="7:14" ht="11.25" customHeight="1" x14ac:dyDescent="0.3">
      <c r="G6155" s="470"/>
      <c r="H6155" s="470">
        <v>6148</v>
      </c>
      <c r="I6155" s="455">
        <f t="shared" ca="1" si="205"/>
        <v>3.1492120884705384E+16</v>
      </c>
      <c r="J6155" s="455">
        <f t="array" ref="J6155">IFERROR(INDEX('Retirement Calculator'!K:K,MATCH('Lorri 401b'!N6155,'Retirement Calculator'!A:A,0),0),0)</f>
        <v>0</v>
      </c>
      <c r="K6155" s="455">
        <f t="shared" ca="1" si="203"/>
        <v>131217170352939.08</v>
      </c>
      <c r="L6155" s="455">
        <f t="shared" ca="1" si="204"/>
        <v>3.1623338055058324E+16</v>
      </c>
      <c r="M6155" s="471">
        <f t="shared" si="206"/>
        <v>0.05</v>
      </c>
      <c r="N6155" s="475">
        <f t="shared" si="207"/>
        <v>238384</v>
      </c>
    </row>
    <row r="6156" spans="7:14" ht="11.25" customHeight="1" x14ac:dyDescent="0.3">
      <c r="G6156" s="470"/>
      <c r="H6156" s="470">
        <v>6149</v>
      </c>
      <c r="I6156" s="455">
        <f t="shared" ca="1" si="205"/>
        <v>3.1623338055058324E+16</v>
      </c>
      <c r="J6156" s="455">
        <f t="array" ref="J6156">IFERROR(INDEX('Retirement Calculator'!K:K,MATCH('Lorri 401b'!N6156,'Retirement Calculator'!A:A,0),0),0)</f>
        <v>0</v>
      </c>
      <c r="K6156" s="455">
        <f t="shared" ca="1" si="203"/>
        <v>131763908562743.02</v>
      </c>
      <c r="L6156" s="455">
        <f t="shared" ca="1" si="204"/>
        <v>3.1755101963621068E+16</v>
      </c>
      <c r="M6156" s="471">
        <f t="shared" si="206"/>
        <v>0.05</v>
      </c>
      <c r="N6156" s="475">
        <f t="shared" si="207"/>
        <v>238414</v>
      </c>
    </row>
    <row r="6157" spans="7:14" ht="11.25" customHeight="1" x14ac:dyDescent="0.3">
      <c r="G6157" s="470"/>
      <c r="H6157" s="470">
        <v>6150</v>
      </c>
      <c r="I6157" s="455">
        <f t="shared" ca="1" si="205"/>
        <v>3.1755101963621068E+16</v>
      </c>
      <c r="J6157" s="455">
        <f t="array" ref="J6157">IFERROR(INDEX('Retirement Calculator'!K:K,MATCH('Lorri 401b'!N6157,'Retirement Calculator'!A:A,0),0),0)</f>
        <v>0</v>
      </c>
      <c r="K6157" s="455">
        <f t="shared" ca="1" si="203"/>
        <v>132312924848421.11</v>
      </c>
      <c r="L6157" s="455">
        <f t="shared" ca="1" si="204"/>
        <v>3.1887414888469488E+16</v>
      </c>
      <c r="M6157" s="471">
        <f t="shared" si="206"/>
        <v>0.05</v>
      </c>
      <c r="N6157" s="475">
        <f t="shared" si="207"/>
        <v>238445</v>
      </c>
    </row>
    <row r="6158" spans="7:14" ht="11.25" customHeight="1" x14ac:dyDescent="0.3">
      <c r="G6158" s="470"/>
      <c r="H6158" s="470">
        <v>6151</v>
      </c>
      <c r="I6158" s="455">
        <f t="shared" ca="1" si="205"/>
        <v>3.1887414888469488E+16</v>
      </c>
      <c r="J6158" s="455">
        <f t="array" ref="J6158">IFERROR(INDEX('Retirement Calculator'!K:K,MATCH('Lorri 401b'!N6158,'Retirement Calculator'!A:A,0),0),0)</f>
        <v>0</v>
      </c>
      <c r="K6158" s="455">
        <f t="shared" ca="1" si="203"/>
        <v>132864228701956.2</v>
      </c>
      <c r="L6158" s="455">
        <f t="shared" ca="1" si="204"/>
        <v>3.2020279117171444E+16</v>
      </c>
      <c r="M6158" s="471">
        <f t="shared" si="206"/>
        <v>0.05</v>
      </c>
      <c r="N6158" s="475">
        <f t="shared" si="207"/>
        <v>238475</v>
      </c>
    </row>
    <row r="6159" spans="7:14" ht="11.25" customHeight="1" x14ac:dyDescent="0.3">
      <c r="G6159" s="470"/>
      <c r="H6159" s="470">
        <v>6152</v>
      </c>
      <c r="I6159" s="455">
        <f t="shared" ca="1" si="205"/>
        <v>3.2020279117171444E+16</v>
      </c>
      <c r="J6159" s="455">
        <f t="array" ref="J6159">IFERROR(INDEX('Retirement Calculator'!K:K,MATCH('Lorri 401b'!N6159,'Retirement Calculator'!A:A,0),0),0)</f>
        <v>0</v>
      </c>
      <c r="K6159" s="455">
        <f t="shared" ca="1" si="203"/>
        <v>133417829654881</v>
      </c>
      <c r="L6159" s="455">
        <f t="shared" ca="1" si="204"/>
        <v>3.2153696946826324E+16</v>
      </c>
      <c r="M6159" s="471">
        <f t="shared" si="206"/>
        <v>0.05</v>
      </c>
      <c r="N6159" s="475">
        <f t="shared" si="207"/>
        <v>238506</v>
      </c>
    </row>
    <row r="6160" spans="7:14" ht="11.25" customHeight="1" x14ac:dyDescent="0.3">
      <c r="G6160" s="470"/>
      <c r="H6160" s="470">
        <v>6153</v>
      </c>
      <c r="I6160" s="455">
        <f t="shared" ca="1" si="205"/>
        <v>3.2153696946826324E+16</v>
      </c>
      <c r="J6160" s="455">
        <f t="array" ref="J6160">IFERROR(INDEX('Retirement Calculator'!K:K,MATCH('Lorri 401b'!N6160,'Retirement Calculator'!A:A,0),0),0)</f>
        <v>0</v>
      </c>
      <c r="K6160" s="455">
        <f t="shared" ca="1" si="203"/>
        <v>133973737278443.03</v>
      </c>
      <c r="L6160" s="455">
        <f t="shared" ca="1" si="204"/>
        <v>3.2287670684104768E+16</v>
      </c>
      <c r="M6160" s="471">
        <f t="shared" si="206"/>
        <v>0.05</v>
      </c>
      <c r="N6160" s="475">
        <f t="shared" si="207"/>
        <v>238537</v>
      </c>
    </row>
    <row r="6161" spans="7:14" ht="11.25" customHeight="1" x14ac:dyDescent="0.3">
      <c r="G6161" s="470"/>
      <c r="H6161" s="470">
        <v>6154</v>
      </c>
      <c r="I6161" s="455">
        <f t="shared" ca="1" si="205"/>
        <v>3.2287670684104768E+16</v>
      </c>
      <c r="J6161" s="455">
        <f t="array" ref="J6161">IFERROR(INDEX('Retirement Calculator'!K:K,MATCH('Lorri 401b'!N6161,'Retirement Calculator'!A:A,0),0),0)</f>
        <v>0</v>
      </c>
      <c r="K6161" s="455">
        <f t="shared" ca="1" si="203"/>
        <v>134531961183769.88</v>
      </c>
      <c r="L6161" s="455">
        <f t="shared" ca="1" si="204"/>
        <v>3.2422202645288536E+16</v>
      </c>
      <c r="M6161" s="471">
        <f t="shared" si="206"/>
        <v>0.05</v>
      </c>
      <c r="N6161" s="475">
        <f t="shared" si="207"/>
        <v>238565</v>
      </c>
    </row>
    <row r="6162" spans="7:14" ht="11.25" customHeight="1" x14ac:dyDescent="0.3">
      <c r="G6162" s="470"/>
      <c r="H6162" s="470">
        <v>6155</v>
      </c>
      <c r="I6162" s="455">
        <f t="shared" ca="1" si="205"/>
        <v>3.2422202645288536E+16</v>
      </c>
      <c r="J6162" s="455">
        <f t="array" ref="J6162">IFERROR(INDEX('Retirement Calculator'!K:K,MATCH('Lorri 401b'!N6162,'Retirement Calculator'!A:A,0),0),0)</f>
        <v>0</v>
      </c>
      <c r="K6162" s="455">
        <f t="shared" ca="1" si="203"/>
        <v>135092511022035.56</v>
      </c>
      <c r="L6162" s="455">
        <f t="shared" ca="1" si="204"/>
        <v>3.2557295156310572E+16</v>
      </c>
      <c r="M6162" s="471">
        <f t="shared" si="206"/>
        <v>0.05</v>
      </c>
      <c r="N6162" s="475">
        <f t="shared" si="207"/>
        <v>238596</v>
      </c>
    </row>
    <row r="6163" spans="7:14" ht="11.25" customHeight="1" x14ac:dyDescent="0.3">
      <c r="G6163" s="470"/>
      <c r="H6163" s="470">
        <v>6156</v>
      </c>
      <c r="I6163" s="455">
        <f t="shared" ca="1" si="205"/>
        <v>3.2557295156310572E+16</v>
      </c>
      <c r="J6163" s="455">
        <f t="array" ref="J6163">IFERROR(INDEX('Retirement Calculator'!K:K,MATCH('Lorri 401b'!N6163,'Retirement Calculator'!A:A,0),0),0)</f>
        <v>0</v>
      </c>
      <c r="K6163" s="455">
        <f t="shared" ca="1" si="203"/>
        <v>135655396484627.38</v>
      </c>
      <c r="L6163" s="455">
        <f t="shared" ca="1" si="204"/>
        <v>3.26929505527952E+16</v>
      </c>
      <c r="M6163" s="471">
        <f t="shared" si="206"/>
        <v>0.05</v>
      </c>
      <c r="N6163" s="475">
        <f t="shared" si="207"/>
        <v>238626</v>
      </c>
    </row>
    <row r="6164" spans="7:14" ht="11.25" customHeight="1" x14ac:dyDescent="0.3">
      <c r="G6164" s="470"/>
      <c r="H6164" s="470">
        <v>6157</v>
      </c>
      <c r="I6164" s="455">
        <f t="shared" ca="1" si="205"/>
        <v>3.26929505527952E+16</v>
      </c>
      <c r="J6164" s="455">
        <f t="array" ref="J6164">IFERROR(INDEX('Retirement Calculator'!K:K,MATCH('Lorri 401b'!N6164,'Retirement Calculator'!A:A,0),0),0)</f>
        <v>0</v>
      </c>
      <c r="K6164" s="455">
        <f t="shared" ca="1" si="203"/>
        <v>136220627303313.33</v>
      </c>
      <c r="L6164" s="455">
        <f t="shared" ca="1" si="204"/>
        <v>3.2829171180098512E+16</v>
      </c>
      <c r="M6164" s="471">
        <f t="shared" si="206"/>
        <v>0.05</v>
      </c>
      <c r="N6164" s="475">
        <f t="shared" si="207"/>
        <v>238657</v>
      </c>
    </row>
    <row r="6165" spans="7:14" ht="11.25" customHeight="1" x14ac:dyDescent="0.3">
      <c r="G6165" s="470"/>
      <c r="H6165" s="470">
        <v>6158</v>
      </c>
      <c r="I6165" s="455">
        <f t="shared" ca="1" si="205"/>
        <v>3.2829171180098512E+16</v>
      </c>
      <c r="J6165" s="455">
        <f t="array" ref="J6165">IFERROR(INDEX('Retirement Calculator'!K:K,MATCH('Lorri 401b'!N6165,'Retirement Calculator'!A:A,0),0),0)</f>
        <v>0</v>
      </c>
      <c r="K6165" s="455">
        <f t="shared" ca="1" si="203"/>
        <v>136788213250410.45</v>
      </c>
      <c r="L6165" s="455">
        <f t="shared" ca="1" si="204"/>
        <v>3.2965959393348924E+16</v>
      </c>
      <c r="M6165" s="471">
        <f t="shared" si="206"/>
        <v>0.05</v>
      </c>
      <c r="N6165" s="475">
        <f t="shared" si="207"/>
        <v>238687</v>
      </c>
    </row>
    <row r="6166" spans="7:14" ht="11.25" customHeight="1" x14ac:dyDescent="0.3">
      <c r="G6166" s="470"/>
      <c r="H6166" s="470">
        <v>6159</v>
      </c>
      <c r="I6166" s="455">
        <f t="shared" ca="1" si="205"/>
        <v>3.2965959393348924E+16</v>
      </c>
      <c r="J6166" s="455">
        <f t="array" ref="J6166">IFERROR(INDEX('Retirement Calculator'!K:K,MATCH('Lorri 401b'!N6166,'Retirement Calculator'!A:A,0),0),0)</f>
        <v>0</v>
      </c>
      <c r="K6166" s="455">
        <f t="shared" ca="1" si="203"/>
        <v>137358164138953.84</v>
      </c>
      <c r="L6166" s="455">
        <f t="shared" ca="1" si="204"/>
        <v>3.3103317557487876E+16</v>
      </c>
      <c r="M6166" s="471">
        <f t="shared" si="206"/>
        <v>0.05</v>
      </c>
      <c r="N6166" s="475">
        <f t="shared" si="207"/>
        <v>238718</v>
      </c>
    </row>
    <row r="6167" spans="7:14" ht="11.25" customHeight="1" x14ac:dyDescent="0.3">
      <c r="G6167" s="470"/>
      <c r="H6167" s="470">
        <v>6160</v>
      </c>
      <c r="I6167" s="455">
        <f t="shared" ca="1" si="205"/>
        <v>3.3103317557487876E+16</v>
      </c>
      <c r="J6167" s="455">
        <f t="array" ref="J6167">IFERROR(INDEX('Retirement Calculator'!K:K,MATCH('Lorri 401b'!N6167,'Retirement Calculator'!A:A,0),0),0)</f>
        <v>0</v>
      </c>
      <c r="K6167" s="455">
        <f t="shared" ca="1" si="203"/>
        <v>137930489822866.14</v>
      </c>
      <c r="L6167" s="455">
        <f t="shared" ca="1" si="204"/>
        <v>3.3241248047310744E+16</v>
      </c>
      <c r="M6167" s="471">
        <f t="shared" si="206"/>
        <v>0.05</v>
      </c>
      <c r="N6167" s="475">
        <f t="shared" si="207"/>
        <v>238749</v>
      </c>
    </row>
    <row r="6168" spans="7:14" ht="11.25" customHeight="1" x14ac:dyDescent="0.3">
      <c r="G6168" s="470"/>
      <c r="H6168" s="470">
        <v>6161</v>
      </c>
      <c r="I6168" s="455">
        <f t="shared" ca="1" si="205"/>
        <v>3.3241248047310744E+16</v>
      </c>
      <c r="J6168" s="455">
        <f t="array" ref="J6168">IFERROR(INDEX('Retirement Calculator'!K:K,MATCH('Lorri 401b'!N6168,'Retirement Calculator'!A:A,0),0),0)</f>
        <v>0</v>
      </c>
      <c r="K6168" s="455">
        <f t="shared" ca="1" si="203"/>
        <v>138505200197128.09</v>
      </c>
      <c r="L6168" s="455">
        <f t="shared" ca="1" si="204"/>
        <v>3.3379753247507872E+16</v>
      </c>
      <c r="M6168" s="471">
        <f t="shared" si="206"/>
        <v>0.05</v>
      </c>
      <c r="N6168" s="475">
        <f t="shared" si="207"/>
        <v>238779</v>
      </c>
    </row>
    <row r="6169" spans="7:14" ht="11.25" customHeight="1" x14ac:dyDescent="0.3">
      <c r="G6169" s="470"/>
      <c r="H6169" s="470">
        <v>6162</v>
      </c>
      <c r="I6169" s="455">
        <f t="shared" ca="1" si="205"/>
        <v>3.3379753247507872E+16</v>
      </c>
      <c r="J6169" s="455">
        <f t="array" ref="J6169">IFERROR(INDEX('Retirement Calculator'!K:K,MATCH('Lorri 401b'!N6169,'Retirement Calculator'!A:A,0),0),0)</f>
        <v>0</v>
      </c>
      <c r="K6169" s="455">
        <f t="shared" ca="1" si="203"/>
        <v>139082305197949.47</v>
      </c>
      <c r="L6169" s="455">
        <f t="shared" ca="1" si="204"/>
        <v>3.351883555270582E+16</v>
      </c>
      <c r="M6169" s="471">
        <f t="shared" si="206"/>
        <v>0.05</v>
      </c>
      <c r="N6169" s="475">
        <f t="shared" si="207"/>
        <v>238810</v>
      </c>
    </row>
    <row r="6170" spans="7:14" ht="11.25" customHeight="1" x14ac:dyDescent="0.3">
      <c r="G6170" s="470"/>
      <c r="H6170" s="470">
        <v>6163</v>
      </c>
      <c r="I6170" s="455">
        <f t="shared" ca="1" si="205"/>
        <v>3.351883555270582E+16</v>
      </c>
      <c r="J6170" s="455">
        <f t="array" ref="J6170">IFERROR(INDEX('Retirement Calculator'!K:K,MATCH('Lorri 401b'!N6170,'Retirement Calculator'!A:A,0),0),0)</f>
        <v>0</v>
      </c>
      <c r="K6170" s="455">
        <f t="shared" ca="1" si="203"/>
        <v>139661814802940.92</v>
      </c>
      <c r="L6170" s="455">
        <f t="shared" ca="1" si="204"/>
        <v>3.365849736750876E+16</v>
      </c>
      <c r="M6170" s="471">
        <f t="shared" si="206"/>
        <v>0.05</v>
      </c>
      <c r="N6170" s="475">
        <f t="shared" si="207"/>
        <v>238840</v>
      </c>
    </row>
    <row r="6171" spans="7:14" ht="11.25" customHeight="1" x14ac:dyDescent="0.3">
      <c r="G6171" s="470"/>
      <c r="H6171" s="470">
        <v>6164</v>
      </c>
      <c r="I6171" s="455">
        <f t="shared" ca="1" si="205"/>
        <v>3.365849736750876E+16</v>
      </c>
      <c r="J6171" s="455">
        <f t="array" ref="J6171">IFERROR(INDEX('Retirement Calculator'!K:K,MATCH('Lorri 401b'!N6171,'Retirement Calculator'!A:A,0),0),0)</f>
        <v>0</v>
      </c>
      <c r="K6171" s="455">
        <f t="shared" ca="1" si="203"/>
        <v>140243739031286.5</v>
      </c>
      <c r="L6171" s="455">
        <f t="shared" ca="1" si="204"/>
        <v>3.3798741106540048E+16</v>
      </c>
      <c r="M6171" s="471">
        <f t="shared" si="206"/>
        <v>0.05</v>
      </c>
      <c r="N6171" s="475">
        <f t="shared" si="207"/>
        <v>238871</v>
      </c>
    </row>
    <row r="6172" spans="7:14" ht="11.25" customHeight="1" x14ac:dyDescent="0.3">
      <c r="G6172" s="470"/>
      <c r="H6172" s="470">
        <v>6165</v>
      </c>
      <c r="I6172" s="455">
        <f t="shared" ca="1" si="205"/>
        <v>3.3798741106540048E+16</v>
      </c>
      <c r="J6172" s="455">
        <f t="array" ref="J6172">IFERROR(INDEX('Retirement Calculator'!K:K,MATCH('Lorri 401b'!N6172,'Retirement Calculator'!A:A,0),0),0)</f>
        <v>0</v>
      </c>
      <c r="K6172" s="455">
        <f t="shared" ca="1" si="203"/>
        <v>140828087943916.88</v>
      </c>
      <c r="L6172" s="455">
        <f t="shared" ca="1" si="204"/>
        <v>3.3939569194483964E+16</v>
      </c>
      <c r="M6172" s="471">
        <f t="shared" si="206"/>
        <v>0.05</v>
      </c>
      <c r="N6172" s="475">
        <f t="shared" si="207"/>
        <v>238902</v>
      </c>
    </row>
    <row r="6173" spans="7:14" ht="11.25" customHeight="1" x14ac:dyDescent="0.3">
      <c r="G6173" s="470"/>
      <c r="H6173" s="470">
        <v>6166</v>
      </c>
      <c r="I6173" s="455">
        <f t="shared" ca="1" si="205"/>
        <v>3.3939569194483964E+16</v>
      </c>
      <c r="J6173" s="455">
        <f t="array" ref="J6173">IFERROR(INDEX('Retirement Calculator'!K:K,MATCH('Lorri 401b'!N6173,'Retirement Calculator'!A:A,0),0),0)</f>
        <v>0</v>
      </c>
      <c r="K6173" s="455">
        <f t="shared" ca="1" si="203"/>
        <v>141414871643683.19</v>
      </c>
      <c r="L6173" s="455">
        <f t="shared" ca="1" si="204"/>
        <v>3.4080984066127648E+16</v>
      </c>
      <c r="M6173" s="471">
        <f t="shared" si="206"/>
        <v>0.05</v>
      </c>
      <c r="N6173" s="475">
        <f t="shared" si="207"/>
        <v>238930</v>
      </c>
    </row>
    <row r="6174" spans="7:14" ht="11.25" customHeight="1" x14ac:dyDescent="0.3">
      <c r="G6174" s="470"/>
      <c r="H6174" s="470">
        <v>6167</v>
      </c>
      <c r="I6174" s="455">
        <f t="shared" ca="1" si="205"/>
        <v>3.4080984066127648E+16</v>
      </c>
      <c r="J6174" s="455">
        <f t="array" ref="J6174">IFERROR(INDEX('Retirement Calculator'!K:K,MATCH('Lorri 401b'!N6174,'Retirement Calculator'!A:A,0),0),0)</f>
        <v>0</v>
      </c>
      <c r="K6174" s="455">
        <f t="shared" ca="1" si="203"/>
        <v>142004100275531.84</v>
      </c>
      <c r="L6174" s="455">
        <f t="shared" ca="1" si="204"/>
        <v>3.422298816640318E+16</v>
      </c>
      <c r="M6174" s="471">
        <f t="shared" si="206"/>
        <v>0.05</v>
      </c>
      <c r="N6174" s="475">
        <f t="shared" si="207"/>
        <v>238961</v>
      </c>
    </row>
    <row r="6175" spans="7:14" ht="11.25" customHeight="1" x14ac:dyDescent="0.3">
      <c r="G6175" s="470"/>
      <c r="H6175" s="470">
        <v>6168</v>
      </c>
      <c r="I6175" s="455">
        <f t="shared" ca="1" si="205"/>
        <v>3.422298816640318E+16</v>
      </c>
      <c r="J6175" s="455">
        <f t="array" ref="J6175">IFERROR(INDEX('Retirement Calculator'!K:K,MATCH('Lorri 401b'!N6175,'Retirement Calculator'!A:A,0),0),0)</f>
        <v>0</v>
      </c>
      <c r="K6175" s="455">
        <f t="shared" ca="1" si="203"/>
        <v>142595784026679.91</v>
      </c>
      <c r="L6175" s="455">
        <f t="shared" ca="1" si="204"/>
        <v>3.436558395042986E+16</v>
      </c>
      <c r="M6175" s="471">
        <f t="shared" si="206"/>
        <v>0.05</v>
      </c>
      <c r="N6175" s="475">
        <f t="shared" si="207"/>
        <v>238991</v>
      </c>
    </row>
    <row r="6176" spans="7:14" ht="11.25" customHeight="1" x14ac:dyDescent="0.3">
      <c r="G6176" s="470"/>
      <c r="H6176" s="470">
        <v>6169</v>
      </c>
      <c r="I6176" s="455">
        <f t="shared" ca="1" si="205"/>
        <v>3.436558395042986E+16</v>
      </c>
      <c r="J6176" s="455">
        <f t="array" ref="J6176">IFERROR(INDEX('Retirement Calculator'!K:K,MATCH('Lorri 401b'!N6176,'Retirement Calculator'!A:A,0),0),0)</f>
        <v>0</v>
      </c>
      <c r="K6176" s="455">
        <f t="shared" ca="1" si="203"/>
        <v>143189933126791.09</v>
      </c>
      <c r="L6176" s="455">
        <f t="shared" ca="1" si="204"/>
        <v>3.4508773883556652E+16</v>
      </c>
      <c r="M6176" s="471">
        <f t="shared" si="206"/>
        <v>0.05</v>
      </c>
      <c r="N6176" s="475">
        <f t="shared" si="207"/>
        <v>239022</v>
      </c>
    </row>
    <row r="6177" spans="7:14" ht="11.25" customHeight="1" x14ac:dyDescent="0.3">
      <c r="G6177" s="470"/>
      <c r="H6177" s="470">
        <v>6170</v>
      </c>
      <c r="I6177" s="455">
        <f t="shared" ca="1" si="205"/>
        <v>3.4508773883556652E+16</v>
      </c>
      <c r="J6177" s="455">
        <f t="array" ref="J6177">IFERROR(INDEX('Retirement Calculator'!K:K,MATCH('Lorri 401b'!N6177,'Retirement Calculator'!A:A,0),0),0)</f>
        <v>0</v>
      </c>
      <c r="K6177" s="455">
        <f t="shared" ca="1" si="203"/>
        <v>143786557848152.72</v>
      </c>
      <c r="L6177" s="455">
        <f t="shared" ca="1" si="204"/>
        <v>3.4652560441404804E+16</v>
      </c>
      <c r="M6177" s="471">
        <f t="shared" si="206"/>
        <v>0.05</v>
      </c>
      <c r="N6177" s="475">
        <f t="shared" si="207"/>
        <v>239052</v>
      </c>
    </row>
    <row r="6178" spans="7:14" ht="11.25" customHeight="1" x14ac:dyDescent="0.3">
      <c r="G6178" s="470"/>
      <c r="H6178" s="470">
        <v>6171</v>
      </c>
      <c r="I6178" s="455">
        <f t="shared" ca="1" si="205"/>
        <v>3.4652560441404804E+16</v>
      </c>
      <c r="J6178" s="455">
        <f t="array" ref="J6178">IFERROR(INDEX('Retirement Calculator'!K:K,MATCH('Lorri 401b'!N6178,'Retirement Calculator'!A:A,0),0),0)</f>
        <v>0</v>
      </c>
      <c r="K6178" s="455">
        <f t="shared" ca="1" si="203"/>
        <v>144385668505853.34</v>
      </c>
      <c r="L6178" s="455">
        <f t="shared" ca="1" si="204"/>
        <v>3.4796946109910656E+16</v>
      </c>
      <c r="M6178" s="471">
        <f t="shared" si="206"/>
        <v>0.05</v>
      </c>
      <c r="N6178" s="475">
        <f t="shared" si="207"/>
        <v>239083</v>
      </c>
    </row>
    <row r="6179" spans="7:14" ht="11.25" customHeight="1" x14ac:dyDescent="0.3">
      <c r="G6179" s="470"/>
      <c r="H6179" s="470">
        <v>6172</v>
      </c>
      <c r="I6179" s="455">
        <f t="shared" ca="1" si="205"/>
        <v>3.4796946109910656E+16</v>
      </c>
      <c r="J6179" s="455">
        <f t="array" ref="J6179">IFERROR(INDEX('Retirement Calculator'!K:K,MATCH('Lorri 401b'!N6179,'Retirement Calculator'!A:A,0),0),0)</f>
        <v>0</v>
      </c>
      <c r="K6179" s="455">
        <f t="shared" ca="1" si="203"/>
        <v>144987275457961.06</v>
      </c>
      <c r="L6179" s="455">
        <f t="shared" ca="1" si="204"/>
        <v>3.4941933385368616E+16</v>
      </c>
      <c r="M6179" s="471">
        <f t="shared" si="206"/>
        <v>0.05</v>
      </c>
      <c r="N6179" s="475">
        <f t="shared" si="207"/>
        <v>239114</v>
      </c>
    </row>
    <row r="6180" spans="7:14" ht="11.25" customHeight="1" x14ac:dyDescent="0.3">
      <c r="G6180" s="470"/>
      <c r="H6180" s="470">
        <v>6173</v>
      </c>
      <c r="I6180" s="455">
        <f t="shared" ca="1" si="205"/>
        <v>3.4941933385368616E+16</v>
      </c>
      <c r="J6180" s="455">
        <f t="array" ref="J6180">IFERROR(INDEX('Retirement Calculator'!K:K,MATCH('Lorri 401b'!N6180,'Retirement Calculator'!A:A,0),0),0)</f>
        <v>0</v>
      </c>
      <c r="K6180" s="455">
        <f t="shared" ca="1" si="203"/>
        <v>145591389105702.56</v>
      </c>
      <c r="L6180" s="455">
        <f t="shared" ca="1" si="204"/>
        <v>3.508752477447432E+16</v>
      </c>
      <c r="M6180" s="471">
        <f t="shared" si="206"/>
        <v>0.05</v>
      </c>
      <c r="N6180" s="475">
        <f t="shared" si="207"/>
        <v>239144</v>
      </c>
    </row>
    <row r="6181" spans="7:14" ht="11.25" customHeight="1" x14ac:dyDescent="0.3">
      <c r="G6181" s="470"/>
      <c r="H6181" s="470">
        <v>6174</v>
      </c>
      <c r="I6181" s="455">
        <f t="shared" ca="1" si="205"/>
        <v>3.508752477447432E+16</v>
      </c>
      <c r="J6181" s="455">
        <f t="array" ref="J6181">IFERROR(INDEX('Retirement Calculator'!K:K,MATCH('Lorri 401b'!N6181,'Retirement Calculator'!A:A,0),0),0)</f>
        <v>0</v>
      </c>
      <c r="K6181" s="455">
        <f t="shared" ca="1" si="203"/>
        <v>146198019893643</v>
      </c>
      <c r="L6181" s="455">
        <f t="shared" ca="1" si="204"/>
        <v>3.5233722794367964E+16</v>
      </c>
      <c r="M6181" s="471">
        <f t="shared" si="206"/>
        <v>0.05</v>
      </c>
      <c r="N6181" s="475">
        <f t="shared" si="207"/>
        <v>239175</v>
      </c>
    </row>
    <row r="6182" spans="7:14" ht="11.25" customHeight="1" x14ac:dyDescent="0.3">
      <c r="G6182" s="470"/>
      <c r="H6182" s="470">
        <v>6175</v>
      </c>
      <c r="I6182" s="455">
        <f t="shared" ca="1" si="205"/>
        <v>3.5233722794367964E+16</v>
      </c>
      <c r="J6182" s="455">
        <f t="array" ref="J6182">IFERROR(INDEX('Retirement Calculator'!K:K,MATCH('Lorri 401b'!N6182,'Retirement Calculator'!A:A,0),0),0)</f>
        <v>0</v>
      </c>
      <c r="K6182" s="455">
        <f t="shared" ca="1" si="203"/>
        <v>146807178309866.5</v>
      </c>
      <c r="L6182" s="455">
        <f t="shared" ca="1" si="204"/>
        <v>3.5380529972677832E+16</v>
      </c>
      <c r="M6182" s="471">
        <f t="shared" si="206"/>
        <v>0.05</v>
      </c>
      <c r="N6182" s="475">
        <f t="shared" si="207"/>
        <v>239205</v>
      </c>
    </row>
    <row r="6183" spans="7:14" ht="11.25" customHeight="1" x14ac:dyDescent="0.3">
      <c r="G6183" s="470"/>
      <c r="H6183" s="470">
        <v>6176</v>
      </c>
      <c r="I6183" s="455">
        <f t="shared" ca="1" si="205"/>
        <v>3.5380529972677832E+16</v>
      </c>
      <c r="J6183" s="455">
        <f t="array" ref="J6183">IFERROR(INDEX('Retirement Calculator'!K:K,MATCH('Lorri 401b'!N6183,'Retirement Calculator'!A:A,0),0),0)</f>
        <v>0</v>
      </c>
      <c r="K6183" s="455">
        <f t="shared" ca="1" si="203"/>
        <v>147418874886157.63</v>
      </c>
      <c r="L6183" s="455">
        <f t="shared" ca="1" si="204"/>
        <v>3.5527948847563988E+16</v>
      </c>
      <c r="M6183" s="471">
        <f t="shared" si="206"/>
        <v>0.05</v>
      </c>
      <c r="N6183" s="475">
        <f t="shared" si="207"/>
        <v>239236</v>
      </c>
    </row>
    <row r="6184" spans="7:14" ht="11.25" customHeight="1" x14ac:dyDescent="0.3">
      <c r="G6184" s="470"/>
      <c r="H6184" s="470">
        <v>6177</v>
      </c>
      <c r="I6184" s="455">
        <f t="shared" ca="1" si="205"/>
        <v>3.5527948847563988E+16</v>
      </c>
      <c r="J6184" s="455">
        <f t="array" ref="J6184">IFERROR(INDEX('Retirement Calculator'!K:K,MATCH('Lorri 401b'!N6184,'Retirement Calculator'!A:A,0),0),0)</f>
        <v>0</v>
      </c>
      <c r="K6184" s="455">
        <f t="shared" ca="1" si="203"/>
        <v>148033120198183.25</v>
      </c>
      <c r="L6184" s="455">
        <f t="shared" ca="1" si="204"/>
        <v>3.5675981967762172E+16</v>
      </c>
      <c r="M6184" s="471">
        <f t="shared" si="206"/>
        <v>0.05</v>
      </c>
      <c r="N6184" s="475">
        <f t="shared" si="207"/>
        <v>239267</v>
      </c>
    </row>
    <row r="6185" spans="7:14" ht="11.25" customHeight="1" x14ac:dyDescent="0.3">
      <c r="G6185" s="470"/>
      <c r="H6185" s="470">
        <v>6178</v>
      </c>
      <c r="I6185" s="455">
        <f t="shared" ca="1" si="205"/>
        <v>3.5675981967762172E+16</v>
      </c>
      <c r="J6185" s="455">
        <f t="array" ref="J6185">IFERROR(INDEX('Retirement Calculator'!K:K,MATCH('Lorri 401b'!N6185,'Retirement Calculator'!A:A,0),0),0)</f>
        <v>0</v>
      </c>
      <c r="K6185" s="455">
        <f t="shared" ca="1" si="203"/>
        <v>148649924865675.69</v>
      </c>
      <c r="L6185" s="455">
        <f t="shared" ca="1" si="204"/>
        <v>3.5824631892627848E+16</v>
      </c>
      <c r="M6185" s="471">
        <f t="shared" si="206"/>
        <v>0.05</v>
      </c>
      <c r="N6185" s="475">
        <f t="shared" si="207"/>
        <v>239295</v>
      </c>
    </row>
    <row r="6186" spans="7:14" ht="11.25" customHeight="1" x14ac:dyDescent="0.3">
      <c r="G6186" s="470"/>
      <c r="H6186" s="470">
        <v>6179</v>
      </c>
      <c r="I6186" s="455">
        <f t="shared" ca="1" si="205"/>
        <v>3.5824631892627848E+16</v>
      </c>
      <c r="J6186" s="455">
        <f t="array" ref="J6186">IFERROR(INDEX('Retirement Calculator'!K:K,MATCH('Lorri 401b'!N6186,'Retirement Calculator'!A:A,0),0),0)</f>
        <v>0</v>
      </c>
      <c r="K6186" s="455">
        <f t="shared" ca="1" si="203"/>
        <v>149269299552616.03</v>
      </c>
      <c r="L6186" s="455">
        <f t="shared" ca="1" si="204"/>
        <v>3.5973901192180464E+16</v>
      </c>
      <c r="M6186" s="471">
        <f t="shared" si="206"/>
        <v>0.05</v>
      </c>
      <c r="N6186" s="475">
        <f t="shared" si="207"/>
        <v>239326</v>
      </c>
    </row>
    <row r="6187" spans="7:14" ht="11.25" customHeight="1" x14ac:dyDescent="0.3">
      <c r="G6187" s="470"/>
      <c r="H6187" s="470">
        <v>6180</v>
      </c>
      <c r="I6187" s="455">
        <f t="shared" ca="1" si="205"/>
        <v>3.5973901192180464E+16</v>
      </c>
      <c r="J6187" s="455">
        <f t="array" ref="J6187">IFERROR(INDEX('Retirement Calculator'!K:K,MATCH('Lorri 401b'!N6187,'Retirement Calculator'!A:A,0),0),0)</f>
        <v>0</v>
      </c>
      <c r="K6187" s="455">
        <f t="shared" ca="1" si="203"/>
        <v>149891254967418.59</v>
      </c>
      <c r="L6187" s="455">
        <f t="shared" ca="1" si="204"/>
        <v>3.612379244714788E+16</v>
      </c>
      <c r="M6187" s="471">
        <f t="shared" si="206"/>
        <v>0.05</v>
      </c>
      <c r="N6187" s="475">
        <f t="shared" si="207"/>
        <v>239356</v>
      </c>
    </row>
    <row r="6188" spans="7:14" ht="11.25" customHeight="1" x14ac:dyDescent="0.3">
      <c r="G6188" s="470"/>
      <c r="H6188" s="470">
        <v>6181</v>
      </c>
      <c r="I6188" s="455">
        <f t="shared" ca="1" si="205"/>
        <v>3.612379244714788E+16</v>
      </c>
      <c r="J6188" s="455">
        <f t="array" ref="J6188">IFERROR(INDEX('Retirement Calculator'!K:K,MATCH('Lorri 401b'!N6188,'Retirement Calculator'!A:A,0),0),0)</f>
        <v>0</v>
      </c>
      <c r="K6188" s="455">
        <f t="shared" ca="1" si="203"/>
        <v>150515801863116.16</v>
      </c>
      <c r="L6188" s="455">
        <f t="shared" ca="1" si="204"/>
        <v>3.6274308249011E+16</v>
      </c>
      <c r="M6188" s="471">
        <f t="shared" si="206"/>
        <v>0.05</v>
      </c>
      <c r="N6188" s="475">
        <f t="shared" si="207"/>
        <v>239387</v>
      </c>
    </row>
    <row r="6189" spans="7:14" ht="11.25" customHeight="1" x14ac:dyDescent="0.3">
      <c r="G6189" s="470"/>
      <c r="H6189" s="470">
        <v>6182</v>
      </c>
      <c r="I6189" s="455">
        <f t="shared" ca="1" si="205"/>
        <v>3.6274308249011E+16</v>
      </c>
      <c r="J6189" s="455">
        <f t="array" ref="J6189">IFERROR(INDEX('Retirement Calculator'!K:K,MATCH('Lorri 401b'!N6189,'Retirement Calculator'!A:A,0),0),0)</f>
        <v>0</v>
      </c>
      <c r="K6189" s="455">
        <f t="shared" ca="1" si="203"/>
        <v>151142951037545.84</v>
      </c>
      <c r="L6189" s="455">
        <f t="shared" ca="1" si="204"/>
        <v>3.6425451200048544E+16</v>
      </c>
      <c r="M6189" s="471">
        <f t="shared" si="206"/>
        <v>0.05</v>
      </c>
      <c r="N6189" s="475">
        <f t="shared" si="207"/>
        <v>239417</v>
      </c>
    </row>
    <row r="6190" spans="7:14" ht="11.25" customHeight="1" x14ac:dyDescent="0.3">
      <c r="G6190" s="470"/>
      <c r="H6190" s="470">
        <v>6183</v>
      </c>
      <c r="I6190" s="455">
        <f t="shared" ca="1" si="205"/>
        <v>3.6425451200048544E+16</v>
      </c>
      <c r="J6190" s="455">
        <f t="array" ref="J6190">IFERROR(INDEX('Retirement Calculator'!K:K,MATCH('Lorri 401b'!N6190,'Retirement Calculator'!A:A,0),0),0)</f>
        <v>0</v>
      </c>
      <c r="K6190" s="455">
        <f t="shared" ca="1" si="203"/>
        <v>151772713333535.59</v>
      </c>
      <c r="L6190" s="455">
        <f t="shared" ca="1" si="204"/>
        <v>3.657722391338208E+16</v>
      </c>
      <c r="M6190" s="471">
        <f t="shared" si="206"/>
        <v>0.05</v>
      </c>
      <c r="N6190" s="475">
        <f t="shared" si="207"/>
        <v>239448</v>
      </c>
    </row>
    <row r="6191" spans="7:14" ht="11.25" customHeight="1" x14ac:dyDescent="0.3">
      <c r="G6191" s="470"/>
      <c r="H6191" s="470">
        <v>6184</v>
      </c>
      <c r="I6191" s="455">
        <f t="shared" ca="1" si="205"/>
        <v>3.657722391338208E+16</v>
      </c>
      <c r="J6191" s="455">
        <f t="array" ref="J6191">IFERROR(INDEX('Retirement Calculator'!K:K,MATCH('Lorri 401b'!N6191,'Retirement Calculator'!A:A,0),0),0)</f>
        <v>0</v>
      </c>
      <c r="K6191" s="455">
        <f t="shared" ca="1" si="203"/>
        <v>152405099639092</v>
      </c>
      <c r="L6191" s="455">
        <f t="shared" ca="1" si="204"/>
        <v>3.6729629013021168E+16</v>
      </c>
      <c r="M6191" s="471">
        <f t="shared" si="206"/>
        <v>0.05</v>
      </c>
      <c r="N6191" s="475">
        <f t="shared" si="207"/>
        <v>239479</v>
      </c>
    </row>
    <row r="6192" spans="7:14" ht="11.25" customHeight="1" x14ac:dyDescent="0.3">
      <c r="G6192" s="470"/>
      <c r="H6192" s="470">
        <v>6185</v>
      </c>
      <c r="I6192" s="455">
        <f t="shared" ca="1" si="205"/>
        <v>3.6729629013021168E+16</v>
      </c>
      <c r="J6192" s="455">
        <f t="array" ref="J6192">IFERROR(INDEX('Retirement Calculator'!K:K,MATCH('Lorri 401b'!N6192,'Retirement Calculator'!A:A,0),0),0)</f>
        <v>0</v>
      </c>
      <c r="K6192" s="455">
        <f t="shared" ca="1" si="203"/>
        <v>153040120887588.19</v>
      </c>
      <c r="L6192" s="455">
        <f t="shared" ca="1" si="204"/>
        <v>3.688266913390876E+16</v>
      </c>
      <c r="M6192" s="471">
        <f t="shared" si="206"/>
        <v>0.05</v>
      </c>
      <c r="N6192" s="475">
        <f t="shared" si="207"/>
        <v>239509</v>
      </c>
    </row>
    <row r="6193" spans="7:14" ht="11.25" customHeight="1" x14ac:dyDescent="0.3">
      <c r="G6193" s="470"/>
      <c r="H6193" s="470">
        <v>6186</v>
      </c>
      <c r="I6193" s="455">
        <f t="shared" ca="1" si="205"/>
        <v>3.688266913390876E+16</v>
      </c>
      <c r="J6193" s="455">
        <f t="array" ref="J6193">IFERROR(INDEX('Retirement Calculator'!K:K,MATCH('Lorri 401b'!N6193,'Retirement Calculator'!A:A,0),0),0)</f>
        <v>0</v>
      </c>
      <c r="K6193" s="455">
        <f t="shared" ca="1" si="203"/>
        <v>153677788057953.16</v>
      </c>
      <c r="L6193" s="455">
        <f t="shared" ca="1" si="204"/>
        <v>3.7036346921966712E+16</v>
      </c>
      <c r="M6193" s="471">
        <f t="shared" si="206"/>
        <v>0.05</v>
      </c>
      <c r="N6193" s="475">
        <f t="shared" si="207"/>
        <v>239540</v>
      </c>
    </row>
    <row r="6194" spans="7:14" ht="11.25" customHeight="1" x14ac:dyDescent="0.3">
      <c r="G6194" s="470"/>
      <c r="H6194" s="470">
        <v>6187</v>
      </c>
      <c r="I6194" s="455">
        <f t="shared" ca="1" si="205"/>
        <v>3.7036346921966712E+16</v>
      </c>
      <c r="J6194" s="455">
        <f t="array" ref="J6194">IFERROR(INDEX('Retirement Calculator'!K:K,MATCH('Lorri 401b'!N6194,'Retirement Calculator'!A:A,0),0),0)</f>
        <v>0</v>
      </c>
      <c r="K6194" s="455">
        <f t="shared" ca="1" si="203"/>
        <v>154318112174861.31</v>
      </c>
      <c r="L6194" s="455">
        <f t="shared" ca="1" si="204"/>
        <v>3.7190665034141576E+16</v>
      </c>
      <c r="M6194" s="471">
        <f t="shared" si="206"/>
        <v>0.05</v>
      </c>
      <c r="N6194" s="475">
        <f t="shared" si="207"/>
        <v>239570</v>
      </c>
    </row>
    <row r="6195" spans="7:14" ht="11.25" customHeight="1" x14ac:dyDescent="0.3">
      <c r="G6195" s="470"/>
      <c r="H6195" s="470">
        <v>6188</v>
      </c>
      <c r="I6195" s="455">
        <f t="shared" ca="1" si="205"/>
        <v>3.7190665034141576E+16</v>
      </c>
      <c r="J6195" s="455">
        <f t="array" ref="J6195">IFERROR(INDEX('Retirement Calculator'!K:K,MATCH('Lorri 401b'!N6195,'Retirement Calculator'!A:A,0),0),0)</f>
        <v>0</v>
      </c>
      <c r="K6195" s="455">
        <f t="shared" ca="1" si="203"/>
        <v>154961104308923.22</v>
      </c>
      <c r="L6195" s="455">
        <f t="shared" ca="1" si="204"/>
        <v>3.7345626138450496E+16</v>
      </c>
      <c r="M6195" s="471">
        <f t="shared" si="206"/>
        <v>0.05</v>
      </c>
      <c r="N6195" s="475">
        <f t="shared" si="207"/>
        <v>239601</v>
      </c>
    </row>
    <row r="6196" spans="7:14" ht="11.25" customHeight="1" x14ac:dyDescent="0.3">
      <c r="G6196" s="470"/>
      <c r="H6196" s="470">
        <v>6189</v>
      </c>
      <c r="I6196" s="455">
        <f t="shared" ca="1" si="205"/>
        <v>3.7345626138450496E+16</v>
      </c>
      <c r="J6196" s="455">
        <f t="array" ref="J6196">IFERROR(INDEX('Retirement Calculator'!K:K,MATCH('Lorri 401b'!N6196,'Retirement Calculator'!A:A,0),0),0)</f>
        <v>0</v>
      </c>
      <c r="K6196" s="455">
        <f t="shared" ca="1" si="203"/>
        <v>155606775576877.06</v>
      </c>
      <c r="L6196" s="455">
        <f t="shared" ca="1" si="204"/>
        <v>3.7501232914027376E+16</v>
      </c>
      <c r="M6196" s="471">
        <f t="shared" si="206"/>
        <v>0.05</v>
      </c>
      <c r="N6196" s="475">
        <f t="shared" si="207"/>
        <v>239632</v>
      </c>
    </row>
    <row r="6197" spans="7:14" ht="11.25" customHeight="1" x14ac:dyDescent="0.3">
      <c r="G6197" s="470"/>
      <c r="H6197" s="470">
        <v>6190</v>
      </c>
      <c r="I6197" s="455">
        <f t="shared" ca="1" si="205"/>
        <v>3.7501232914027376E+16</v>
      </c>
      <c r="J6197" s="455">
        <f t="array" ref="J6197">IFERROR(INDEX('Retirement Calculator'!K:K,MATCH('Lorri 401b'!N6197,'Retirement Calculator'!A:A,0),0),0)</f>
        <v>0</v>
      </c>
      <c r="K6197" s="455">
        <f t="shared" ca="1" si="203"/>
        <v>156255137141780.72</v>
      </c>
      <c r="L6197" s="455">
        <f t="shared" ca="1" si="204"/>
        <v>3.765748805116916E+16</v>
      </c>
      <c r="M6197" s="471">
        <f t="shared" si="206"/>
        <v>0.05</v>
      </c>
      <c r="N6197" s="475">
        <f t="shared" si="207"/>
        <v>239661</v>
      </c>
    </row>
    <row r="6198" spans="7:14" ht="11.25" customHeight="1" x14ac:dyDescent="0.3">
      <c r="G6198" s="470"/>
      <c r="H6198" s="470">
        <v>6191</v>
      </c>
      <c r="I6198" s="455">
        <f t="shared" ca="1" si="205"/>
        <v>3.765748805116916E+16</v>
      </c>
      <c r="J6198" s="455">
        <f t="array" ref="J6198">IFERROR(INDEX('Retirement Calculator'!K:K,MATCH('Lorri 401b'!N6198,'Retirement Calculator'!A:A,0),0),0)</f>
        <v>0</v>
      </c>
      <c r="K6198" s="455">
        <f t="shared" ca="1" si="203"/>
        <v>156906200213204.84</v>
      </c>
      <c r="L6198" s="455">
        <f t="shared" ca="1" si="204"/>
        <v>3.7814394251382368E+16</v>
      </c>
      <c r="M6198" s="471">
        <f t="shared" si="206"/>
        <v>0.05</v>
      </c>
      <c r="N6198" s="475">
        <f t="shared" si="207"/>
        <v>239692</v>
      </c>
    </row>
    <row r="6199" spans="7:14" ht="11.25" customHeight="1" x14ac:dyDescent="0.3">
      <c r="G6199" s="470"/>
      <c r="H6199" s="470">
        <v>6192</v>
      </c>
      <c r="I6199" s="455">
        <f t="shared" ca="1" si="205"/>
        <v>3.7814394251382368E+16</v>
      </c>
      <c r="J6199" s="455">
        <f t="array" ref="J6199">IFERROR(INDEX('Retirement Calculator'!K:K,MATCH('Lorri 401b'!N6199,'Retirement Calculator'!A:A,0),0),0)</f>
        <v>0</v>
      </c>
      <c r="K6199" s="455">
        <f t="shared" ca="1" si="203"/>
        <v>157559976047426.53</v>
      </c>
      <c r="L6199" s="455">
        <f t="shared" ca="1" si="204"/>
        <v>3.7971954227429792E+16</v>
      </c>
      <c r="M6199" s="471">
        <f t="shared" si="206"/>
        <v>0.05</v>
      </c>
      <c r="N6199" s="475">
        <f t="shared" si="207"/>
        <v>239722</v>
      </c>
    </row>
    <row r="6200" spans="7:14" ht="11.25" customHeight="1" x14ac:dyDescent="0.3">
      <c r="G6200" s="470"/>
      <c r="H6200" s="470">
        <v>6193</v>
      </c>
      <c r="I6200" s="455">
        <f t="shared" ca="1" si="205"/>
        <v>3.7971954227429792E+16</v>
      </c>
      <c r="J6200" s="455">
        <f t="array" ref="J6200">IFERROR(INDEX('Retirement Calculator'!K:K,MATCH('Lorri 401b'!N6200,'Retirement Calculator'!A:A,0),0),0)</f>
        <v>0</v>
      </c>
      <c r="K6200" s="455">
        <f t="shared" ca="1" si="203"/>
        <v>158216475947624.13</v>
      </c>
      <c r="L6200" s="455">
        <f t="shared" ca="1" si="204"/>
        <v>3.8130170703377416E+16</v>
      </c>
      <c r="M6200" s="471">
        <f t="shared" si="206"/>
        <v>0.05</v>
      </c>
      <c r="N6200" s="475">
        <f t="shared" si="207"/>
        <v>239753</v>
      </c>
    </row>
    <row r="6201" spans="7:14" ht="11.25" customHeight="1" x14ac:dyDescent="0.3">
      <c r="G6201" s="470"/>
      <c r="H6201" s="470">
        <v>6194</v>
      </c>
      <c r="I6201" s="455">
        <f t="shared" ca="1" si="205"/>
        <v>3.8130170703377416E+16</v>
      </c>
      <c r="J6201" s="455">
        <f t="array" ref="J6201">IFERROR(INDEX('Retirement Calculator'!K:K,MATCH('Lorri 401b'!N6201,'Retirement Calculator'!A:A,0),0),0)</f>
        <v>0</v>
      </c>
      <c r="K6201" s="455">
        <f t="shared" ca="1" si="203"/>
        <v>158875711264072.56</v>
      </c>
      <c r="L6201" s="455">
        <f t="shared" ca="1" si="204"/>
        <v>3.8289046414641488E+16</v>
      </c>
      <c r="M6201" s="471">
        <f t="shared" si="206"/>
        <v>0.05</v>
      </c>
      <c r="N6201" s="475">
        <f t="shared" si="207"/>
        <v>239783</v>
      </c>
    </row>
    <row r="6202" spans="7:14" ht="11.25" customHeight="1" x14ac:dyDescent="0.3">
      <c r="G6202" s="470"/>
      <c r="H6202" s="470">
        <v>6195</v>
      </c>
      <c r="I6202" s="455">
        <f t="shared" ca="1" si="205"/>
        <v>3.8289046414641488E+16</v>
      </c>
      <c r="J6202" s="455">
        <f t="array" ref="J6202">IFERROR(INDEX('Retirement Calculator'!K:K,MATCH('Lorri 401b'!N6202,'Retirement Calculator'!A:A,0),0),0)</f>
        <v>0</v>
      </c>
      <c r="K6202" s="455">
        <f t="shared" ca="1" si="203"/>
        <v>159537693394339.53</v>
      </c>
      <c r="L6202" s="455">
        <f t="shared" ca="1" si="204"/>
        <v>3.8448584108035824E+16</v>
      </c>
      <c r="M6202" s="471">
        <f t="shared" si="206"/>
        <v>0.05</v>
      </c>
      <c r="N6202" s="475">
        <f t="shared" si="207"/>
        <v>239814</v>
      </c>
    </row>
    <row r="6203" spans="7:14" ht="11.25" customHeight="1" x14ac:dyDescent="0.3">
      <c r="G6203" s="470"/>
      <c r="H6203" s="470">
        <v>6196</v>
      </c>
      <c r="I6203" s="455">
        <f t="shared" ca="1" si="205"/>
        <v>3.8448584108035824E+16</v>
      </c>
      <c r="J6203" s="455">
        <f t="array" ref="J6203">IFERROR(INDEX('Retirement Calculator'!K:K,MATCH('Lorri 401b'!N6203,'Retirement Calculator'!A:A,0),0),0)</f>
        <v>0</v>
      </c>
      <c r="K6203" s="455">
        <f t="shared" ca="1" si="203"/>
        <v>160202433783482.59</v>
      </c>
      <c r="L6203" s="455">
        <f t="shared" ca="1" si="204"/>
        <v>3.8608786541819304E+16</v>
      </c>
      <c r="M6203" s="471">
        <f t="shared" si="206"/>
        <v>0.05</v>
      </c>
      <c r="N6203" s="475">
        <f t="shared" si="207"/>
        <v>239845</v>
      </c>
    </row>
    <row r="6204" spans="7:14" ht="11.25" customHeight="1" x14ac:dyDescent="0.3">
      <c r="G6204" s="470"/>
      <c r="H6204" s="470">
        <v>6197</v>
      </c>
      <c r="I6204" s="455">
        <f t="shared" ca="1" si="205"/>
        <v>3.8608786541819304E+16</v>
      </c>
      <c r="J6204" s="455">
        <f t="array" ref="J6204">IFERROR(INDEX('Retirement Calculator'!K:K,MATCH('Lorri 401b'!N6204,'Retirement Calculator'!A:A,0),0),0)</f>
        <v>0</v>
      </c>
      <c r="K6204" s="455">
        <f t="shared" ca="1" si="203"/>
        <v>160869943924247.09</v>
      </c>
      <c r="L6204" s="455">
        <f t="shared" ca="1" si="204"/>
        <v>3.8769656485743552E+16</v>
      </c>
      <c r="M6204" s="471">
        <f t="shared" si="206"/>
        <v>0.05</v>
      </c>
      <c r="N6204" s="475">
        <f t="shared" si="207"/>
        <v>239875</v>
      </c>
    </row>
    <row r="6205" spans="7:14" ht="11.25" customHeight="1" x14ac:dyDescent="0.3">
      <c r="G6205" s="470"/>
      <c r="H6205" s="470">
        <v>6198</v>
      </c>
      <c r="I6205" s="455">
        <f t="shared" ca="1" si="205"/>
        <v>3.8769656485743552E+16</v>
      </c>
      <c r="J6205" s="455">
        <f t="array" ref="J6205">IFERROR(INDEX('Retirement Calculator'!K:K,MATCH('Lorri 401b'!N6205,'Retirement Calculator'!A:A,0),0),0)</f>
        <v>0</v>
      </c>
      <c r="K6205" s="455">
        <f t="shared" ca="1" si="203"/>
        <v>161540235357264.81</v>
      </c>
      <c r="L6205" s="455">
        <f t="shared" ca="1" si="204"/>
        <v>3.8931196721100816E+16</v>
      </c>
      <c r="M6205" s="471">
        <f t="shared" si="206"/>
        <v>0.05</v>
      </c>
      <c r="N6205" s="475">
        <f t="shared" si="207"/>
        <v>239906</v>
      </c>
    </row>
    <row r="6206" spans="7:14" ht="11.25" customHeight="1" x14ac:dyDescent="0.3">
      <c r="G6206" s="470"/>
      <c r="H6206" s="470">
        <v>6199</v>
      </c>
      <c r="I6206" s="455">
        <f t="shared" ca="1" si="205"/>
        <v>3.8931196721100816E+16</v>
      </c>
      <c r="J6206" s="455">
        <f t="array" ref="J6206">IFERROR(INDEX('Retirement Calculator'!K:K,MATCH('Lorri 401b'!N6206,'Retirement Calculator'!A:A,0),0),0)</f>
        <v>0</v>
      </c>
      <c r="K6206" s="455">
        <f t="shared" ca="1" si="203"/>
        <v>162213319671253.41</v>
      </c>
      <c r="L6206" s="455">
        <f t="shared" ca="1" si="204"/>
        <v>3.9093410040772072E+16</v>
      </c>
      <c r="M6206" s="471">
        <f t="shared" si="206"/>
        <v>0.05</v>
      </c>
      <c r="N6206" s="475">
        <f t="shared" si="207"/>
        <v>239936</v>
      </c>
    </row>
    <row r="6207" spans="7:14" ht="11.25" customHeight="1" x14ac:dyDescent="0.3">
      <c r="G6207" s="470"/>
      <c r="H6207" s="470">
        <v>6200</v>
      </c>
      <c r="I6207" s="455">
        <f t="shared" ca="1" si="205"/>
        <v>3.9093410040772072E+16</v>
      </c>
      <c r="J6207" s="455">
        <f t="array" ref="J6207">IFERROR(INDEX('Retirement Calculator'!K:K,MATCH('Lorri 401b'!N6207,'Retirement Calculator'!A:A,0),0),0)</f>
        <v>0</v>
      </c>
      <c r="K6207" s="455">
        <f t="shared" ca="1" si="203"/>
        <v>162889208503216.97</v>
      </c>
      <c r="L6207" s="455">
        <f t="shared" ca="1" si="204"/>
        <v>3.9256299249275288E+16</v>
      </c>
      <c r="M6207" s="471">
        <f t="shared" si="206"/>
        <v>0.05</v>
      </c>
      <c r="N6207" s="475">
        <f t="shared" si="207"/>
        <v>239967</v>
      </c>
    </row>
    <row r="6208" spans="7:14" ht="11.25" customHeight="1" x14ac:dyDescent="0.3">
      <c r="G6208" s="470"/>
      <c r="H6208" s="470">
        <v>6201</v>
      </c>
      <c r="I6208" s="455">
        <f t="shared" ca="1" si="205"/>
        <v>3.9256299249275288E+16</v>
      </c>
      <c r="J6208" s="455">
        <f t="array" ref="J6208">IFERROR(INDEX('Retirement Calculator'!K:K,MATCH('Lorri 401b'!N6208,'Retirement Calculator'!A:A,0),0),0)</f>
        <v>0</v>
      </c>
      <c r="K6208" s="455">
        <f t="shared" ca="1" si="203"/>
        <v>163567913538647.03</v>
      </c>
      <c r="L6208" s="455">
        <f t="shared" ca="1" si="204"/>
        <v>3.9419867162813936E+16</v>
      </c>
      <c r="M6208" s="471">
        <f t="shared" si="206"/>
        <v>0.05</v>
      </c>
      <c r="N6208" s="475">
        <f t="shared" si="207"/>
        <v>239998</v>
      </c>
    </row>
    <row r="6209" spans="7:14" ht="11.25" customHeight="1" x14ac:dyDescent="0.3">
      <c r="G6209" s="470"/>
      <c r="H6209" s="470">
        <v>6202</v>
      </c>
      <c r="I6209" s="455">
        <f t="shared" ca="1" si="205"/>
        <v>3.9419867162813936E+16</v>
      </c>
      <c r="J6209" s="455">
        <f t="array" ref="J6209">IFERROR(INDEX('Retirement Calculator'!K:K,MATCH('Lorri 401b'!N6209,'Retirement Calculator'!A:A,0),0),0)</f>
        <v>0</v>
      </c>
      <c r="K6209" s="455">
        <f t="shared" ca="1" si="203"/>
        <v>164249446511724.72</v>
      </c>
      <c r="L6209" s="455">
        <f t="shared" ca="1" si="204"/>
        <v>3.9584116609325664E+16</v>
      </c>
      <c r="M6209" s="471">
        <f t="shared" si="206"/>
        <v>0.05</v>
      </c>
      <c r="N6209" s="475">
        <f t="shared" si="207"/>
        <v>240026</v>
      </c>
    </row>
    <row r="6210" spans="7:14" ht="11.25" customHeight="1" x14ac:dyDescent="0.3">
      <c r="G6210" s="470"/>
      <c r="H6210" s="470">
        <v>6203</v>
      </c>
      <c r="I6210" s="455">
        <f t="shared" ca="1" si="205"/>
        <v>3.9584116609325664E+16</v>
      </c>
      <c r="J6210" s="455">
        <f t="array" ref="J6210">IFERROR(INDEX('Retirement Calculator'!K:K,MATCH('Lorri 401b'!N6210,'Retirement Calculator'!A:A,0),0),0)</f>
        <v>0</v>
      </c>
      <c r="K6210" s="455">
        <f t="shared" ca="1" si="203"/>
        <v>164933819205523.59</v>
      </c>
      <c r="L6210" s="455">
        <f t="shared" ca="1" si="204"/>
        <v>3.9749050428531184E+16</v>
      </c>
      <c r="M6210" s="471">
        <f t="shared" si="206"/>
        <v>0.05</v>
      </c>
      <c r="N6210" s="475">
        <f t="shared" si="207"/>
        <v>240057</v>
      </c>
    </row>
    <row r="6211" spans="7:14" ht="11.25" customHeight="1" x14ac:dyDescent="0.3">
      <c r="G6211" s="470"/>
      <c r="H6211" s="470">
        <v>6204</v>
      </c>
      <c r="I6211" s="455">
        <f t="shared" ca="1" si="205"/>
        <v>3.9749050428531184E+16</v>
      </c>
      <c r="J6211" s="455">
        <f t="array" ref="J6211">IFERROR(INDEX('Retirement Calculator'!K:K,MATCH('Lorri 401b'!N6211,'Retirement Calculator'!A:A,0),0),0)</f>
        <v>0</v>
      </c>
      <c r="K6211" s="455">
        <f t="shared" ca="1" si="203"/>
        <v>165621043452213.25</v>
      </c>
      <c r="L6211" s="455">
        <f t="shared" ca="1" si="204"/>
        <v>3.99146714719834E+16</v>
      </c>
      <c r="M6211" s="471">
        <f t="shared" si="206"/>
        <v>0.05</v>
      </c>
      <c r="N6211" s="475">
        <f t="shared" si="207"/>
        <v>240087</v>
      </c>
    </row>
    <row r="6212" spans="7:14" ht="11.25" customHeight="1" x14ac:dyDescent="0.3">
      <c r="G6212" s="470"/>
      <c r="H6212" s="470">
        <v>6205</v>
      </c>
      <c r="I6212" s="455">
        <f t="shared" ca="1" si="205"/>
        <v>3.99146714719834E+16</v>
      </c>
      <c r="J6212" s="455">
        <f t="array" ref="J6212">IFERROR(INDEX('Retirement Calculator'!K:K,MATCH('Lorri 401b'!N6212,'Retirement Calculator'!A:A,0),0),0)</f>
        <v>0</v>
      </c>
      <c r="K6212" s="455">
        <f t="shared" ca="1" si="203"/>
        <v>166311131133264.16</v>
      </c>
      <c r="L6212" s="455">
        <f t="shared" ca="1" si="204"/>
        <v>4.0080982603116664E+16</v>
      </c>
      <c r="M6212" s="471">
        <f t="shared" si="206"/>
        <v>0.05</v>
      </c>
      <c r="N6212" s="475">
        <f t="shared" si="207"/>
        <v>240118</v>
      </c>
    </row>
    <row r="6213" spans="7:14" ht="11.25" customHeight="1" x14ac:dyDescent="0.3">
      <c r="G6213" s="470"/>
      <c r="H6213" s="470">
        <v>6206</v>
      </c>
      <c r="I6213" s="455">
        <f t="shared" ca="1" si="205"/>
        <v>4.0080982603116664E+16</v>
      </c>
      <c r="J6213" s="455">
        <f t="array" ref="J6213">IFERROR(INDEX('Retirement Calculator'!K:K,MATCH('Lorri 401b'!N6213,'Retirement Calculator'!A:A,0),0),0)</f>
        <v>0</v>
      </c>
      <c r="K6213" s="455">
        <f t="shared" ca="1" si="203"/>
        <v>167004094179652.75</v>
      </c>
      <c r="L6213" s="455">
        <f t="shared" ca="1" si="204"/>
        <v>4.024798669729632E+16</v>
      </c>
      <c r="M6213" s="471">
        <f t="shared" si="206"/>
        <v>0.05</v>
      </c>
      <c r="N6213" s="475">
        <f t="shared" si="207"/>
        <v>240148</v>
      </c>
    </row>
    <row r="6214" spans="7:14" ht="11.25" customHeight="1" x14ac:dyDescent="0.3">
      <c r="G6214" s="470"/>
      <c r="H6214" s="470">
        <v>6207</v>
      </c>
      <c r="I6214" s="455">
        <f t="shared" ca="1" si="205"/>
        <v>4.024798669729632E+16</v>
      </c>
      <c r="J6214" s="455">
        <f t="array" ref="J6214">IFERROR(INDEX('Retirement Calculator'!K:K,MATCH('Lorri 401b'!N6214,'Retirement Calculator'!A:A,0),0),0)</f>
        <v>0</v>
      </c>
      <c r="K6214" s="455">
        <f t="shared" ca="1" si="203"/>
        <v>167699944572068</v>
      </c>
      <c r="L6214" s="455">
        <f t="shared" ca="1" si="204"/>
        <v>4.0415686641868384E+16</v>
      </c>
      <c r="M6214" s="471">
        <f t="shared" si="206"/>
        <v>0.05</v>
      </c>
      <c r="N6214" s="475">
        <f t="shared" si="207"/>
        <v>240179</v>
      </c>
    </row>
    <row r="6215" spans="7:14" ht="11.25" customHeight="1" x14ac:dyDescent="0.3">
      <c r="G6215" s="470"/>
      <c r="H6215" s="470">
        <v>6208</v>
      </c>
      <c r="I6215" s="455">
        <f t="shared" ca="1" si="205"/>
        <v>4.0415686641868384E+16</v>
      </c>
      <c r="J6215" s="455">
        <f t="array" ref="J6215">IFERROR(INDEX('Retirement Calculator'!K:K,MATCH('Lorri 401b'!N6215,'Retirement Calculator'!A:A,0),0),0)</f>
        <v>0</v>
      </c>
      <c r="K6215" s="455">
        <f t="shared" ca="1" si="203"/>
        <v>168398694341118.25</v>
      </c>
      <c r="L6215" s="455">
        <f t="shared" ca="1" si="204"/>
        <v>4.0584085336209504E+16</v>
      </c>
      <c r="M6215" s="471">
        <f t="shared" si="206"/>
        <v>0.05</v>
      </c>
      <c r="N6215" s="475">
        <f t="shared" si="207"/>
        <v>240210</v>
      </c>
    </row>
    <row r="6216" spans="7:14" ht="11.25" customHeight="1" x14ac:dyDescent="0.3">
      <c r="G6216" s="470"/>
      <c r="H6216" s="470">
        <v>6209</v>
      </c>
      <c r="I6216" s="455">
        <f t="shared" ca="1" si="205"/>
        <v>4.0584085336209504E+16</v>
      </c>
      <c r="J6216" s="455">
        <f t="array" ref="J6216">IFERROR(INDEX('Retirement Calculator'!K:K,MATCH('Lorri 401b'!N6216,'Retirement Calculator'!A:A,0),0),0)</f>
        <v>0</v>
      </c>
      <c r="K6216" s="455">
        <f t="shared" ca="1" si="203"/>
        <v>169100355567539.59</v>
      </c>
      <c r="L6216" s="455">
        <f t="shared" ca="1" si="204"/>
        <v>4.075318569177704E+16</v>
      </c>
      <c r="M6216" s="471">
        <f t="shared" si="206"/>
        <v>0.05</v>
      </c>
      <c r="N6216" s="475">
        <f t="shared" si="207"/>
        <v>240240</v>
      </c>
    </row>
    <row r="6217" spans="7:14" ht="11.25" customHeight="1" x14ac:dyDescent="0.3">
      <c r="G6217" s="470"/>
      <c r="H6217" s="470">
        <v>6210</v>
      </c>
      <c r="I6217" s="455">
        <f t="shared" ca="1" si="205"/>
        <v>4.075318569177704E+16</v>
      </c>
      <c r="J6217" s="455">
        <f t="array" ref="J6217">IFERROR(INDEX('Retirement Calculator'!K:K,MATCH('Lorri 401b'!N6217,'Retirement Calculator'!A:A,0),0),0)</f>
        <v>0</v>
      </c>
      <c r="K6217" s="455">
        <f t="shared" ca="1" si="203"/>
        <v>169804940382404.34</v>
      </c>
      <c r="L6217" s="455">
        <f t="shared" ca="1" si="204"/>
        <v>4.0922990632159448E+16</v>
      </c>
      <c r="M6217" s="471">
        <f t="shared" si="206"/>
        <v>0.05</v>
      </c>
      <c r="N6217" s="475">
        <f t="shared" si="207"/>
        <v>240271</v>
      </c>
    </row>
    <row r="6218" spans="7:14" ht="11.25" customHeight="1" x14ac:dyDescent="0.3">
      <c r="G6218" s="470"/>
      <c r="H6218" s="470">
        <v>6211</v>
      </c>
      <c r="I6218" s="455">
        <f t="shared" ca="1" si="205"/>
        <v>4.0922990632159448E+16</v>
      </c>
      <c r="J6218" s="455">
        <f t="array" ref="J6218">IFERROR(INDEX('Retirement Calculator'!K:K,MATCH('Lorri 401b'!N6218,'Retirement Calculator'!A:A,0),0),0)</f>
        <v>0</v>
      </c>
      <c r="K6218" s="455">
        <f t="shared" ca="1" si="203"/>
        <v>170512460967331.03</v>
      </c>
      <c r="L6218" s="455">
        <f t="shared" ca="1" si="204"/>
        <v>4.1093503093126776E+16</v>
      </c>
      <c r="M6218" s="471">
        <f t="shared" si="206"/>
        <v>0.05</v>
      </c>
      <c r="N6218" s="475">
        <f t="shared" si="207"/>
        <v>240301</v>
      </c>
    </row>
    <row r="6219" spans="7:14" ht="11.25" customHeight="1" x14ac:dyDescent="0.3">
      <c r="G6219" s="470"/>
      <c r="H6219" s="470">
        <v>6212</v>
      </c>
      <c r="I6219" s="455">
        <f t="shared" ca="1" si="205"/>
        <v>4.1093503093126776E+16</v>
      </c>
      <c r="J6219" s="455">
        <f t="array" ref="J6219">IFERROR(INDEX('Retirement Calculator'!K:K,MATCH('Lorri 401b'!N6219,'Retirement Calculator'!A:A,0),0),0)</f>
        <v>0</v>
      </c>
      <c r="K6219" s="455">
        <f t="shared" ca="1" si="203"/>
        <v>171222929554694.91</v>
      </c>
      <c r="L6219" s="455">
        <f t="shared" ca="1" si="204"/>
        <v>4.1264726022681472E+16</v>
      </c>
      <c r="M6219" s="471">
        <f t="shared" si="206"/>
        <v>0.05</v>
      </c>
      <c r="N6219" s="475">
        <f t="shared" si="207"/>
        <v>240332</v>
      </c>
    </row>
    <row r="6220" spans="7:14" ht="11.25" customHeight="1" x14ac:dyDescent="0.3">
      <c r="G6220" s="470"/>
      <c r="H6220" s="470">
        <v>6213</v>
      </c>
      <c r="I6220" s="455">
        <f t="shared" ca="1" si="205"/>
        <v>4.1264726022681472E+16</v>
      </c>
      <c r="J6220" s="455">
        <f t="array" ref="J6220">IFERROR(INDEX('Retirement Calculator'!K:K,MATCH('Lorri 401b'!N6220,'Retirement Calculator'!A:A,0),0),0)</f>
        <v>0</v>
      </c>
      <c r="K6220" s="455">
        <f t="shared" ca="1" si="203"/>
        <v>171936358427839.47</v>
      </c>
      <c r="L6220" s="455">
        <f t="shared" ca="1" si="204"/>
        <v>4.1436662381109312E+16</v>
      </c>
      <c r="M6220" s="471">
        <f t="shared" si="206"/>
        <v>0.05</v>
      </c>
      <c r="N6220" s="475">
        <f t="shared" si="207"/>
        <v>240363</v>
      </c>
    </row>
    <row r="6221" spans="7:14" ht="11.25" customHeight="1" x14ac:dyDescent="0.3">
      <c r="G6221" s="470"/>
      <c r="H6221" s="470">
        <v>6214</v>
      </c>
      <c r="I6221" s="455">
        <f t="shared" ca="1" si="205"/>
        <v>4.1436662381109312E+16</v>
      </c>
      <c r="J6221" s="455">
        <f t="array" ref="J6221">IFERROR(INDEX('Retirement Calculator'!K:K,MATCH('Lorri 401b'!N6221,'Retirement Calculator'!A:A,0),0),0)</f>
        <v>0</v>
      </c>
      <c r="K6221" s="455">
        <f t="shared" ca="1" si="203"/>
        <v>172652759921288.81</v>
      </c>
      <c r="L6221" s="455">
        <f t="shared" ca="1" si="204"/>
        <v>4.16093151410306E+16</v>
      </c>
      <c r="M6221" s="471">
        <f t="shared" si="206"/>
        <v>0.05</v>
      </c>
      <c r="N6221" s="475">
        <f t="shared" si="207"/>
        <v>240391</v>
      </c>
    </row>
    <row r="6222" spans="7:14" ht="11.25" customHeight="1" x14ac:dyDescent="0.3">
      <c r="G6222" s="470"/>
      <c r="H6222" s="470">
        <v>6215</v>
      </c>
      <c r="I6222" s="455">
        <f t="shared" ca="1" si="205"/>
        <v>4.16093151410306E+16</v>
      </c>
      <c r="J6222" s="455">
        <f t="array" ref="J6222">IFERROR(INDEX('Retirement Calculator'!K:K,MATCH('Lorri 401b'!N6222,'Retirement Calculator'!A:A,0),0),0)</f>
        <v>0</v>
      </c>
      <c r="K6222" s="455">
        <f t="shared" ca="1" si="203"/>
        <v>173372146420960.84</v>
      </c>
      <c r="L6222" s="455">
        <f t="shared" ca="1" si="204"/>
        <v>4.178268728745156E+16</v>
      </c>
      <c r="M6222" s="471">
        <f t="shared" si="206"/>
        <v>0.05</v>
      </c>
      <c r="N6222" s="475">
        <f t="shared" si="207"/>
        <v>240422</v>
      </c>
    </row>
    <row r="6223" spans="7:14" ht="11.25" customHeight="1" x14ac:dyDescent="0.3">
      <c r="G6223" s="470"/>
      <c r="H6223" s="470">
        <v>6216</v>
      </c>
      <c r="I6223" s="455">
        <f t="shared" ca="1" si="205"/>
        <v>4.178268728745156E+16</v>
      </c>
      <c r="J6223" s="455">
        <f t="array" ref="J6223">IFERROR(INDEX('Retirement Calculator'!K:K,MATCH('Lorri 401b'!N6223,'Retirement Calculator'!A:A,0),0),0)</f>
        <v>0</v>
      </c>
      <c r="K6223" s="455">
        <f t="shared" ca="1" si="203"/>
        <v>174094530364381.5</v>
      </c>
      <c r="L6223" s="455">
        <f t="shared" ca="1" si="204"/>
        <v>4.1956781817815944E+16</v>
      </c>
      <c r="M6223" s="471">
        <f t="shared" si="206"/>
        <v>0.05</v>
      </c>
      <c r="N6223" s="475">
        <f t="shared" si="207"/>
        <v>240452</v>
      </c>
    </row>
    <row r="6224" spans="7:14" ht="11.25" customHeight="1" x14ac:dyDescent="0.3">
      <c r="G6224" s="470"/>
      <c r="H6224" s="470">
        <v>6217</v>
      </c>
      <c r="I6224" s="455">
        <f t="shared" ca="1" si="205"/>
        <v>4.1956781817815944E+16</v>
      </c>
      <c r="J6224" s="455">
        <f t="array" ref="J6224">IFERROR(INDEX('Retirement Calculator'!K:K,MATCH('Lorri 401b'!N6224,'Retirement Calculator'!A:A,0),0),0)</f>
        <v>0</v>
      </c>
      <c r="K6224" s="455">
        <f t="shared" ca="1" si="203"/>
        <v>174819924240899.75</v>
      </c>
      <c r="L6224" s="455">
        <f t="shared" ca="1" si="204"/>
        <v>4.213160174205684E+16</v>
      </c>
      <c r="M6224" s="471">
        <f t="shared" si="206"/>
        <v>0.05</v>
      </c>
      <c r="N6224" s="475">
        <f t="shared" si="207"/>
        <v>240483</v>
      </c>
    </row>
    <row r="6225" spans="7:14" ht="11.25" customHeight="1" x14ac:dyDescent="0.3">
      <c r="G6225" s="470"/>
      <c r="H6225" s="470">
        <v>6218</v>
      </c>
      <c r="I6225" s="455">
        <f t="shared" ca="1" si="205"/>
        <v>4.213160174205684E+16</v>
      </c>
      <c r="J6225" s="455">
        <f t="array" ref="J6225">IFERROR(INDEX('Retirement Calculator'!K:K,MATCH('Lorri 401b'!N6225,'Retirement Calculator'!A:A,0),0),0)</f>
        <v>0</v>
      </c>
      <c r="K6225" s="455">
        <f t="shared" ca="1" si="203"/>
        <v>175548340591903.5</v>
      </c>
      <c r="L6225" s="455">
        <f t="shared" ca="1" si="204"/>
        <v>4.2307150082648744E+16</v>
      </c>
      <c r="M6225" s="471">
        <f t="shared" si="206"/>
        <v>0.05</v>
      </c>
      <c r="N6225" s="475">
        <f t="shared" si="207"/>
        <v>240513</v>
      </c>
    </row>
    <row r="6226" spans="7:14" ht="11.25" customHeight="1" x14ac:dyDescent="0.3">
      <c r="G6226" s="470"/>
      <c r="H6226" s="470">
        <v>6219</v>
      </c>
      <c r="I6226" s="455">
        <f t="shared" ca="1" si="205"/>
        <v>4.2307150082648744E+16</v>
      </c>
      <c r="J6226" s="455">
        <f t="array" ref="J6226">IFERROR(INDEX('Retirement Calculator'!K:K,MATCH('Lorri 401b'!N6226,'Retirement Calculator'!A:A,0),0),0)</f>
        <v>0</v>
      </c>
      <c r="K6226" s="455">
        <f t="shared" ca="1" si="203"/>
        <v>176279792011036.44</v>
      </c>
      <c r="L6226" s="455">
        <f t="shared" ca="1" si="204"/>
        <v>4.2483429874659784E+16</v>
      </c>
      <c r="M6226" s="471">
        <f t="shared" si="206"/>
        <v>0.05</v>
      </c>
      <c r="N6226" s="475">
        <f t="shared" si="207"/>
        <v>240544</v>
      </c>
    </row>
    <row r="6227" spans="7:14" ht="11.25" customHeight="1" x14ac:dyDescent="0.3">
      <c r="G6227" s="470"/>
      <c r="H6227" s="470">
        <v>6220</v>
      </c>
      <c r="I6227" s="455">
        <f t="shared" ca="1" si="205"/>
        <v>4.2483429874659784E+16</v>
      </c>
      <c r="J6227" s="455">
        <f t="array" ref="J6227">IFERROR(INDEX('Retirement Calculator'!K:K,MATCH('Lorri 401b'!N6227,'Retirement Calculator'!A:A,0),0),0)</f>
        <v>0</v>
      </c>
      <c r="K6227" s="455">
        <f t="shared" ca="1" si="203"/>
        <v>177014291144415.75</v>
      </c>
      <c r="L6227" s="455">
        <f t="shared" ca="1" si="204"/>
        <v>4.26604441658042E+16</v>
      </c>
      <c r="M6227" s="471">
        <f t="shared" si="206"/>
        <v>0.05</v>
      </c>
      <c r="N6227" s="475">
        <f t="shared" si="207"/>
        <v>240575</v>
      </c>
    </row>
    <row r="6228" spans="7:14" ht="11.25" customHeight="1" x14ac:dyDescent="0.3">
      <c r="G6228" s="470"/>
      <c r="H6228" s="470">
        <v>6221</v>
      </c>
      <c r="I6228" s="455">
        <f t="shared" ca="1" si="205"/>
        <v>4.26604441658042E+16</v>
      </c>
      <c r="J6228" s="455">
        <f t="array" ref="J6228">IFERROR(INDEX('Retirement Calculator'!K:K,MATCH('Lorri 401b'!N6228,'Retirement Calculator'!A:A,0),0),0)</f>
        <v>0</v>
      </c>
      <c r="K6228" s="455">
        <f t="shared" ca="1" si="203"/>
        <v>177751850690850.84</v>
      </c>
      <c r="L6228" s="455">
        <f t="shared" ca="1" si="204"/>
        <v>4.2838196016495048E+16</v>
      </c>
      <c r="M6228" s="471">
        <f t="shared" si="206"/>
        <v>0.05</v>
      </c>
      <c r="N6228" s="475">
        <f t="shared" si="207"/>
        <v>240605</v>
      </c>
    </row>
    <row r="6229" spans="7:14" ht="11.25" customHeight="1" x14ac:dyDescent="0.3">
      <c r="G6229" s="470"/>
      <c r="H6229" s="470">
        <v>6222</v>
      </c>
      <c r="I6229" s="455">
        <f t="shared" ca="1" si="205"/>
        <v>4.2838196016495048E+16</v>
      </c>
      <c r="J6229" s="455">
        <f t="array" ref="J6229">IFERROR(INDEX('Retirement Calculator'!K:K,MATCH('Lorri 401b'!N6229,'Retirement Calculator'!A:A,0),0),0)</f>
        <v>0</v>
      </c>
      <c r="K6229" s="455">
        <f t="shared" ca="1" si="203"/>
        <v>178492483402062.69</v>
      </c>
      <c r="L6229" s="455">
        <f t="shared" ca="1" si="204"/>
        <v>4.3016688499897112E+16</v>
      </c>
      <c r="M6229" s="471">
        <f t="shared" si="206"/>
        <v>0.05</v>
      </c>
      <c r="N6229" s="475">
        <f t="shared" si="207"/>
        <v>240636</v>
      </c>
    </row>
    <row r="6230" spans="7:14" ht="11.25" customHeight="1" x14ac:dyDescent="0.3">
      <c r="G6230" s="470"/>
      <c r="H6230" s="470">
        <v>6223</v>
      </c>
      <c r="I6230" s="455">
        <f t="shared" ca="1" si="205"/>
        <v>4.3016688499897112E+16</v>
      </c>
      <c r="J6230" s="455">
        <f t="array" ref="J6230">IFERROR(INDEX('Retirement Calculator'!K:K,MATCH('Lorri 401b'!N6230,'Retirement Calculator'!A:A,0),0),0)</f>
        <v>0</v>
      </c>
      <c r="K6230" s="455">
        <f t="shared" ca="1" si="203"/>
        <v>179236202082904.63</v>
      </c>
      <c r="L6230" s="455">
        <f t="shared" ca="1" si="204"/>
        <v>4.3195924701980016E+16</v>
      </c>
      <c r="M6230" s="471">
        <f t="shared" si="206"/>
        <v>0.05</v>
      </c>
      <c r="N6230" s="475">
        <f t="shared" si="207"/>
        <v>240666</v>
      </c>
    </row>
    <row r="6231" spans="7:14" ht="11.25" customHeight="1" x14ac:dyDescent="0.3">
      <c r="G6231" s="470"/>
      <c r="H6231" s="470">
        <v>6224</v>
      </c>
      <c r="I6231" s="455">
        <f t="shared" ca="1" si="205"/>
        <v>4.3195924701980016E+16</v>
      </c>
      <c r="J6231" s="455">
        <f t="array" ref="J6231">IFERROR(INDEX('Retirement Calculator'!K:K,MATCH('Lorri 401b'!N6231,'Retirement Calculator'!A:A,0),0),0)</f>
        <v>0</v>
      </c>
      <c r="K6231" s="455">
        <f t="shared" ca="1" si="203"/>
        <v>179983019591583.41</v>
      </c>
      <c r="L6231" s="455">
        <f t="shared" ca="1" si="204"/>
        <v>4.33759077215716E+16</v>
      </c>
      <c r="M6231" s="471">
        <f t="shared" si="206"/>
        <v>0.05</v>
      </c>
      <c r="N6231" s="475">
        <f t="shared" si="207"/>
        <v>240697</v>
      </c>
    </row>
    <row r="6232" spans="7:14" ht="11.25" customHeight="1" x14ac:dyDescent="0.3">
      <c r="G6232" s="470"/>
      <c r="H6232" s="470">
        <v>6225</v>
      </c>
      <c r="I6232" s="455">
        <f t="shared" ca="1" si="205"/>
        <v>4.33759077215716E+16</v>
      </c>
      <c r="J6232" s="455">
        <f t="array" ref="J6232">IFERROR(INDEX('Retirement Calculator'!K:K,MATCH('Lorri 401b'!N6232,'Retirement Calculator'!A:A,0),0),0)</f>
        <v>0</v>
      </c>
      <c r="K6232" s="455">
        <f t="shared" ca="1" si="203"/>
        <v>180732948839881.66</v>
      </c>
      <c r="L6232" s="455">
        <f t="shared" ca="1" si="204"/>
        <v>4.355664067041148E+16</v>
      </c>
      <c r="M6232" s="471">
        <f t="shared" si="206"/>
        <v>0.05</v>
      </c>
      <c r="N6232" s="475">
        <f t="shared" si="207"/>
        <v>240728</v>
      </c>
    </row>
    <row r="6233" spans="7:14" ht="11.25" customHeight="1" x14ac:dyDescent="0.3">
      <c r="G6233" s="470"/>
      <c r="H6233" s="470">
        <v>6226</v>
      </c>
      <c r="I6233" s="455">
        <f t="shared" ca="1" si="205"/>
        <v>4.355664067041148E+16</v>
      </c>
      <c r="J6233" s="455">
        <f t="array" ref="J6233">IFERROR(INDEX('Retirement Calculator'!K:K,MATCH('Lorri 401b'!N6233,'Retirement Calculator'!A:A,0),0),0)</f>
        <v>0</v>
      </c>
      <c r="K6233" s="455">
        <f t="shared" ca="1" si="203"/>
        <v>181486002793381.16</v>
      </c>
      <c r="L6233" s="455">
        <f t="shared" ca="1" si="204"/>
        <v>4.3738126673204864E+16</v>
      </c>
      <c r="M6233" s="471">
        <f t="shared" si="206"/>
        <v>0.05</v>
      </c>
      <c r="N6233" s="475">
        <f t="shared" si="207"/>
        <v>240756</v>
      </c>
    </row>
    <row r="6234" spans="7:14" ht="11.25" customHeight="1" x14ac:dyDescent="0.3">
      <c r="G6234" s="470"/>
      <c r="H6234" s="470">
        <v>6227</v>
      </c>
      <c r="I6234" s="455">
        <f t="shared" ca="1" si="205"/>
        <v>4.3738126673204864E+16</v>
      </c>
      <c r="J6234" s="455">
        <f t="array" ref="J6234">IFERROR(INDEX('Retirement Calculator'!K:K,MATCH('Lorri 401b'!N6234,'Retirement Calculator'!A:A,0),0),0)</f>
        <v>0</v>
      </c>
      <c r="K6234" s="455">
        <f t="shared" ca="1" si="203"/>
        <v>182242194471686.94</v>
      </c>
      <c r="L6234" s="455">
        <f t="shared" ca="1" si="204"/>
        <v>4.3920368867676552E+16</v>
      </c>
      <c r="M6234" s="471">
        <f t="shared" si="206"/>
        <v>0.05</v>
      </c>
      <c r="N6234" s="475">
        <f t="shared" si="207"/>
        <v>240787</v>
      </c>
    </row>
    <row r="6235" spans="7:14" ht="11.25" customHeight="1" x14ac:dyDescent="0.3">
      <c r="G6235" s="470"/>
      <c r="H6235" s="470">
        <v>6228</v>
      </c>
      <c r="I6235" s="455">
        <f t="shared" ca="1" si="205"/>
        <v>4.3920368867676552E+16</v>
      </c>
      <c r="J6235" s="455">
        <f t="array" ref="J6235">IFERROR(INDEX('Retirement Calculator'!K:K,MATCH('Lorri 401b'!N6235,'Retirement Calculator'!A:A,0),0),0)</f>
        <v>0</v>
      </c>
      <c r="K6235" s="455">
        <f t="shared" ca="1" si="203"/>
        <v>183001536948652.31</v>
      </c>
      <c r="L6235" s="455">
        <f t="shared" ca="1" si="204"/>
        <v>4.4103370404625208E+16</v>
      </c>
      <c r="M6235" s="471">
        <f t="shared" si="206"/>
        <v>0.05</v>
      </c>
      <c r="N6235" s="475">
        <f t="shared" si="207"/>
        <v>240817</v>
      </c>
    </row>
    <row r="6236" spans="7:14" ht="11.25" customHeight="1" x14ac:dyDescent="0.3">
      <c r="G6236" s="470"/>
      <c r="H6236" s="470">
        <v>6229</v>
      </c>
      <c r="I6236" s="455">
        <f t="shared" ca="1" si="205"/>
        <v>4.4103370404625208E+16</v>
      </c>
      <c r="J6236" s="455">
        <f t="array" ref="J6236">IFERROR(INDEX('Retirement Calculator'!K:K,MATCH('Lorri 401b'!N6236,'Retirement Calculator'!A:A,0),0),0)</f>
        <v>0</v>
      </c>
      <c r="K6236" s="455">
        <f t="shared" ca="1" si="203"/>
        <v>183764043352605.03</v>
      </c>
      <c r="L6236" s="455">
        <f t="shared" ca="1" si="204"/>
        <v>4.4287134447977816E+16</v>
      </c>
      <c r="M6236" s="471">
        <f t="shared" si="206"/>
        <v>0.05</v>
      </c>
      <c r="N6236" s="475">
        <f t="shared" si="207"/>
        <v>240848</v>
      </c>
    </row>
    <row r="6237" spans="7:14" ht="11.25" customHeight="1" x14ac:dyDescent="0.3">
      <c r="G6237" s="470"/>
      <c r="H6237" s="470">
        <v>6230</v>
      </c>
      <c r="I6237" s="455">
        <f t="shared" ca="1" si="205"/>
        <v>4.4287134447977816E+16</v>
      </c>
      <c r="J6237" s="455">
        <f t="array" ref="J6237">IFERROR(INDEX('Retirement Calculator'!K:K,MATCH('Lorri 401b'!N6237,'Retirement Calculator'!A:A,0),0),0)</f>
        <v>0</v>
      </c>
      <c r="K6237" s="455">
        <f t="shared" ca="1" si="203"/>
        <v>184529726866574.22</v>
      </c>
      <c r="L6237" s="455">
        <f t="shared" ca="1" si="204"/>
        <v>4.4471664174844392E+16</v>
      </c>
      <c r="M6237" s="471">
        <f t="shared" si="206"/>
        <v>0.05</v>
      </c>
      <c r="N6237" s="475">
        <f t="shared" si="207"/>
        <v>240878</v>
      </c>
    </row>
    <row r="6238" spans="7:14" ht="11.25" customHeight="1" x14ac:dyDescent="0.3">
      <c r="G6238" s="470"/>
      <c r="H6238" s="470">
        <v>6231</v>
      </c>
      <c r="I6238" s="455">
        <f t="shared" ca="1" si="205"/>
        <v>4.4471664174844392E+16</v>
      </c>
      <c r="J6238" s="455">
        <f t="array" ref="J6238">IFERROR(INDEX('Retirement Calculator'!K:K,MATCH('Lorri 401b'!N6238,'Retirement Calculator'!A:A,0),0),0)</f>
        <v>0</v>
      </c>
      <c r="K6238" s="455">
        <f t="shared" ca="1" si="203"/>
        <v>185298600728518.31</v>
      </c>
      <c r="L6238" s="455">
        <f t="shared" ca="1" si="204"/>
        <v>4.4656962775572912E+16</v>
      </c>
      <c r="M6238" s="471">
        <f t="shared" si="206"/>
        <v>0.05</v>
      </c>
      <c r="N6238" s="475">
        <f t="shared" si="207"/>
        <v>240909</v>
      </c>
    </row>
    <row r="6239" spans="7:14" ht="11.25" customHeight="1" x14ac:dyDescent="0.3">
      <c r="G6239" s="470"/>
      <c r="H6239" s="470">
        <v>6232</v>
      </c>
      <c r="I6239" s="455">
        <f t="shared" ca="1" si="205"/>
        <v>4.4656962775572912E+16</v>
      </c>
      <c r="J6239" s="455">
        <f t="array" ref="J6239">IFERROR(INDEX('Retirement Calculator'!K:K,MATCH('Lorri 401b'!N6239,'Retirement Calculator'!A:A,0),0),0)</f>
        <v>0</v>
      </c>
      <c r="K6239" s="455">
        <f t="shared" ca="1" si="203"/>
        <v>186070678231553.81</v>
      </c>
      <c r="L6239" s="455">
        <f t="shared" ca="1" si="204"/>
        <v>4.4843033453804464E+16</v>
      </c>
      <c r="M6239" s="471">
        <f t="shared" si="206"/>
        <v>0.05</v>
      </c>
      <c r="N6239" s="475">
        <f t="shared" si="207"/>
        <v>240940</v>
      </c>
    </row>
    <row r="6240" spans="7:14" ht="11.25" customHeight="1" x14ac:dyDescent="0.3">
      <c r="G6240" s="470"/>
      <c r="H6240" s="470">
        <v>6233</v>
      </c>
      <c r="I6240" s="455">
        <f t="shared" ca="1" si="205"/>
        <v>4.4843033453804464E+16</v>
      </c>
      <c r="J6240" s="455">
        <f t="array" ref="J6240">IFERROR(INDEX('Retirement Calculator'!K:K,MATCH('Lorri 401b'!N6240,'Retirement Calculator'!A:A,0),0),0)</f>
        <v>0</v>
      </c>
      <c r="K6240" s="455">
        <f t="shared" ca="1" si="203"/>
        <v>186845972724185.25</v>
      </c>
      <c r="L6240" s="455">
        <f t="shared" ca="1" si="204"/>
        <v>4.5029879426528648E+16</v>
      </c>
      <c r="M6240" s="471">
        <f t="shared" si="206"/>
        <v>0.05</v>
      </c>
      <c r="N6240" s="475">
        <f t="shared" si="207"/>
        <v>240970</v>
      </c>
    </row>
    <row r="6241" spans="7:14" ht="11.25" customHeight="1" x14ac:dyDescent="0.3">
      <c r="G6241" s="470"/>
      <c r="H6241" s="470">
        <v>6234</v>
      </c>
      <c r="I6241" s="455">
        <f t="shared" ca="1" si="205"/>
        <v>4.5029879426528648E+16</v>
      </c>
      <c r="J6241" s="455">
        <f t="array" ref="J6241">IFERROR(INDEX('Retirement Calculator'!K:K,MATCH('Lorri 401b'!N6241,'Retirement Calculator'!A:A,0),0),0)</f>
        <v>0</v>
      </c>
      <c r="K6241" s="455">
        <f t="shared" ca="1" si="203"/>
        <v>187624497610536.03</v>
      </c>
      <c r="L6241" s="455">
        <f t="shared" ca="1" si="204"/>
        <v>4.5217503924139184E+16</v>
      </c>
      <c r="M6241" s="471">
        <f t="shared" si="206"/>
        <v>0.05</v>
      </c>
      <c r="N6241" s="475">
        <f t="shared" si="207"/>
        <v>241001</v>
      </c>
    </row>
    <row r="6242" spans="7:14" ht="11.25" customHeight="1" x14ac:dyDescent="0.3">
      <c r="G6242" s="470"/>
      <c r="H6242" s="470">
        <v>6235</v>
      </c>
      <c r="I6242" s="455">
        <f t="shared" ca="1" si="205"/>
        <v>4.5217503924139184E+16</v>
      </c>
      <c r="J6242" s="455">
        <f t="array" ref="J6242">IFERROR(INDEX('Retirement Calculator'!K:K,MATCH('Lorri 401b'!N6242,'Retirement Calculator'!A:A,0),0),0)</f>
        <v>0</v>
      </c>
      <c r="K6242" s="455">
        <f t="shared" ca="1" si="203"/>
        <v>188406266350579.94</v>
      </c>
      <c r="L6242" s="455">
        <f t="shared" ca="1" si="204"/>
        <v>4.540591019048976E+16</v>
      </c>
      <c r="M6242" s="471">
        <f t="shared" si="206"/>
        <v>0.05</v>
      </c>
      <c r="N6242" s="475">
        <f t="shared" si="207"/>
        <v>241031</v>
      </c>
    </row>
    <row r="6243" spans="7:14" ht="11.25" customHeight="1" x14ac:dyDescent="0.3">
      <c r="G6243" s="470"/>
      <c r="H6243" s="470">
        <v>6236</v>
      </c>
      <c r="I6243" s="455">
        <f t="shared" ca="1" si="205"/>
        <v>4.540591019048976E+16</v>
      </c>
      <c r="J6243" s="455">
        <f t="array" ref="J6243">IFERROR(INDEX('Retirement Calculator'!K:K,MATCH('Lorri 401b'!N6243,'Retirement Calculator'!A:A,0),0),0)</f>
        <v>0</v>
      </c>
      <c r="K6243" s="455">
        <f t="shared" ca="1" si="203"/>
        <v>189191292460374</v>
      </c>
      <c r="L6243" s="455">
        <f t="shared" ca="1" si="204"/>
        <v>4.5595101482950136E+16</v>
      </c>
      <c r="M6243" s="471">
        <f t="shared" si="206"/>
        <v>0.05</v>
      </c>
      <c r="N6243" s="475">
        <f t="shared" si="207"/>
        <v>241062</v>
      </c>
    </row>
    <row r="6244" spans="7:14" ht="11.25" customHeight="1" x14ac:dyDescent="0.3">
      <c r="G6244" s="470"/>
      <c r="H6244" s="470">
        <v>6237</v>
      </c>
      <c r="I6244" s="455">
        <f t="shared" ca="1" si="205"/>
        <v>4.5595101482950136E+16</v>
      </c>
      <c r="J6244" s="455">
        <f t="array" ref="J6244">IFERROR(INDEX('Retirement Calculator'!K:K,MATCH('Lorri 401b'!N6244,'Retirement Calculator'!A:A,0),0),0)</f>
        <v>0</v>
      </c>
      <c r="K6244" s="455">
        <f t="shared" ca="1" si="203"/>
        <v>189979589512292.22</v>
      </c>
      <c r="L6244" s="455">
        <f t="shared" ca="1" si="204"/>
        <v>4.5785081072462432E+16</v>
      </c>
      <c r="M6244" s="471">
        <f t="shared" si="206"/>
        <v>0.05</v>
      </c>
      <c r="N6244" s="475">
        <f t="shared" si="207"/>
        <v>241093</v>
      </c>
    </row>
    <row r="6245" spans="7:14" ht="11.25" customHeight="1" x14ac:dyDescent="0.3">
      <c r="G6245" s="470"/>
      <c r="H6245" s="470">
        <v>6238</v>
      </c>
      <c r="I6245" s="455">
        <f t="shared" ca="1" si="205"/>
        <v>4.5785081072462432E+16</v>
      </c>
      <c r="J6245" s="455">
        <f t="array" ref="J6245">IFERROR(INDEX('Retirement Calculator'!K:K,MATCH('Lorri 401b'!N6245,'Retirement Calculator'!A:A,0),0),0)</f>
        <v>0</v>
      </c>
      <c r="K6245" s="455">
        <f t="shared" ca="1" si="203"/>
        <v>190771171135260.13</v>
      </c>
      <c r="L6245" s="455">
        <f t="shared" ca="1" si="204"/>
        <v>4.5975852243597696E+16</v>
      </c>
      <c r="M6245" s="471">
        <f t="shared" si="206"/>
        <v>0.05</v>
      </c>
      <c r="N6245" s="475">
        <f t="shared" si="207"/>
        <v>241122</v>
      </c>
    </row>
    <row r="6246" spans="7:14" ht="11.25" customHeight="1" x14ac:dyDescent="0.3">
      <c r="G6246" s="470"/>
      <c r="H6246" s="470">
        <v>6239</v>
      </c>
      <c r="I6246" s="455">
        <f t="shared" ca="1" si="205"/>
        <v>4.5975852243597696E+16</v>
      </c>
      <c r="J6246" s="455">
        <f t="array" ref="J6246">IFERROR(INDEX('Retirement Calculator'!K:K,MATCH('Lorri 401b'!N6246,'Retirement Calculator'!A:A,0),0),0)</f>
        <v>0</v>
      </c>
      <c r="K6246" s="455">
        <f t="shared" ca="1" si="203"/>
        <v>191566051014990.41</v>
      </c>
      <c r="L6246" s="455">
        <f t="shared" ca="1" si="204"/>
        <v>4.6167418294612688E+16</v>
      </c>
      <c r="M6246" s="471">
        <f t="shared" si="206"/>
        <v>0.05</v>
      </c>
      <c r="N6246" s="475">
        <f t="shared" si="207"/>
        <v>241153</v>
      </c>
    </row>
    <row r="6247" spans="7:14" ht="11.25" customHeight="1" x14ac:dyDescent="0.3">
      <c r="G6247" s="470"/>
      <c r="H6247" s="470">
        <v>6240</v>
      </c>
      <c r="I6247" s="455">
        <f t="shared" ca="1" si="205"/>
        <v>4.6167418294612688E+16</v>
      </c>
      <c r="J6247" s="455">
        <f t="array" ref="J6247">IFERROR(INDEX('Retirement Calculator'!K:K,MATCH('Lorri 401b'!N6247,'Retirement Calculator'!A:A,0),0),0)</f>
        <v>0</v>
      </c>
      <c r="K6247" s="455">
        <f t="shared" ca="1" si="203"/>
        <v>192364242894219.53</v>
      </c>
      <c r="L6247" s="455">
        <f t="shared" ca="1" si="204"/>
        <v>4.6359782537506904E+16</v>
      </c>
      <c r="M6247" s="471">
        <f t="shared" si="206"/>
        <v>0.05</v>
      </c>
      <c r="N6247" s="475">
        <f t="shared" si="207"/>
        <v>241183</v>
      </c>
    </row>
    <row r="6248" spans="7:14" ht="11.25" customHeight="1" x14ac:dyDescent="0.3">
      <c r="G6248" s="470"/>
      <c r="H6248" s="470">
        <v>6241</v>
      </c>
      <c r="I6248" s="455">
        <f t="shared" ca="1" si="205"/>
        <v>4.6359782537506904E+16</v>
      </c>
      <c r="J6248" s="455">
        <f t="array" ref="J6248">IFERROR(INDEX('Retirement Calculator'!K:K,MATCH('Lorri 401b'!N6248,'Retirement Calculator'!A:A,0),0),0)</f>
        <v>0</v>
      </c>
      <c r="K6248" s="455">
        <f t="shared" ca="1" si="203"/>
        <v>193165760572945.44</v>
      </c>
      <c r="L6248" s="455">
        <f t="shared" ca="1" si="204"/>
        <v>4.6552948298079848E+16</v>
      </c>
      <c r="M6248" s="471">
        <f t="shared" si="206"/>
        <v>0.05</v>
      </c>
      <c r="N6248" s="475">
        <f t="shared" si="207"/>
        <v>241214</v>
      </c>
    </row>
    <row r="6249" spans="7:14" ht="11.25" customHeight="1" x14ac:dyDescent="0.3">
      <c r="G6249" s="470"/>
      <c r="H6249" s="470">
        <v>6242</v>
      </c>
      <c r="I6249" s="455">
        <f t="shared" ca="1" si="205"/>
        <v>4.6552948298079848E+16</v>
      </c>
      <c r="J6249" s="455">
        <f t="array" ref="J6249">IFERROR(INDEX('Retirement Calculator'!K:K,MATCH('Lorri 401b'!N6249,'Retirement Calculator'!A:A,0),0),0)</f>
        <v>0</v>
      </c>
      <c r="K6249" s="455">
        <f t="shared" ca="1" si="203"/>
        <v>193970617908666.03</v>
      </c>
      <c r="L6249" s="455">
        <f t="shared" ca="1" si="204"/>
        <v>4.6746918915988512E+16</v>
      </c>
      <c r="M6249" s="471">
        <f t="shared" si="206"/>
        <v>0.05</v>
      </c>
      <c r="N6249" s="475">
        <f t="shared" si="207"/>
        <v>241244</v>
      </c>
    </row>
    <row r="6250" spans="7:14" ht="11.25" customHeight="1" x14ac:dyDescent="0.3">
      <c r="G6250" s="470"/>
      <c r="H6250" s="470">
        <v>6243</v>
      </c>
      <c r="I6250" s="455">
        <f t="shared" ca="1" si="205"/>
        <v>4.6746918915988512E+16</v>
      </c>
      <c r="J6250" s="455">
        <f t="array" ref="J6250">IFERROR(INDEX('Retirement Calculator'!K:K,MATCH('Lorri 401b'!N6250,'Retirement Calculator'!A:A,0),0),0)</f>
        <v>0</v>
      </c>
      <c r="K6250" s="455">
        <f t="shared" ca="1" si="203"/>
        <v>194778828816618.81</v>
      </c>
      <c r="L6250" s="455">
        <f t="shared" ca="1" si="204"/>
        <v>4.6941697744805128E+16</v>
      </c>
      <c r="M6250" s="471">
        <f t="shared" si="206"/>
        <v>0.05</v>
      </c>
      <c r="N6250" s="475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/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76"/>
      <c r="B1" s="476"/>
      <c r="C1" s="477" t="s">
        <v>683</v>
      </c>
      <c r="D1" s="477">
        <v>3063</v>
      </c>
      <c r="E1" s="306"/>
      <c r="F1" s="306"/>
      <c r="G1" s="306"/>
      <c r="H1" s="306"/>
      <c r="I1" s="306"/>
      <c r="J1" s="306"/>
      <c r="K1" s="306"/>
      <c r="L1" s="306"/>
      <c r="M1" s="306" t="s">
        <v>684</v>
      </c>
    </row>
    <row r="2" spans="1:13" ht="11.25" customHeight="1" x14ac:dyDescent="0.3">
      <c r="A2" s="476"/>
      <c r="B2" s="476"/>
      <c r="C2" s="477" t="s">
        <v>685</v>
      </c>
      <c r="D2" s="477">
        <v>24</v>
      </c>
      <c r="E2" s="306"/>
      <c r="F2" s="306"/>
      <c r="G2" s="306"/>
      <c r="H2" s="306"/>
      <c r="I2" s="306"/>
      <c r="J2" s="306"/>
      <c r="K2" s="306"/>
      <c r="L2" s="306"/>
      <c r="M2" s="416">
        <v>45442</v>
      </c>
    </row>
    <row r="3" spans="1:13" ht="11.25" customHeight="1" x14ac:dyDescent="0.3">
      <c r="A3" s="476"/>
      <c r="B3" s="476"/>
      <c r="C3" s="477" t="s">
        <v>686</v>
      </c>
      <c r="D3" s="412">
        <f>D1/D2</f>
        <v>127.625</v>
      </c>
      <c r="E3" s="306"/>
      <c r="F3" s="306"/>
      <c r="G3" s="306"/>
      <c r="H3" s="306"/>
      <c r="I3" s="306"/>
      <c r="J3" s="306"/>
      <c r="K3" s="306"/>
      <c r="L3" s="306"/>
      <c r="M3" s="416"/>
    </row>
    <row r="4" spans="1:13" ht="11.25" customHeight="1" x14ac:dyDescent="0.3">
      <c r="A4" s="476"/>
      <c r="B4" s="476"/>
      <c r="C4" s="477"/>
      <c r="D4" s="306"/>
      <c r="E4" s="306"/>
      <c r="F4" s="306"/>
      <c r="G4" s="306"/>
      <c r="H4" s="306"/>
      <c r="I4" s="306"/>
      <c r="J4" s="306"/>
      <c r="K4" s="306"/>
      <c r="L4" s="306"/>
      <c r="M4" s="306"/>
    </row>
    <row r="5" spans="1:13" ht="11.25" customHeight="1" x14ac:dyDescent="0.3">
      <c r="A5" s="476" t="s">
        <v>662</v>
      </c>
      <c r="B5" s="476" t="s">
        <v>676</v>
      </c>
      <c r="C5" s="477" t="s">
        <v>687</v>
      </c>
      <c r="D5" s="561" t="s">
        <v>688</v>
      </c>
      <c r="E5" s="550"/>
      <c r="F5" s="561" t="s">
        <v>689</v>
      </c>
      <c r="G5" s="550"/>
      <c r="H5" s="561" t="s">
        <v>690</v>
      </c>
      <c r="I5" s="550"/>
      <c r="J5" s="561" t="s">
        <v>691</v>
      </c>
      <c r="K5" s="550"/>
      <c r="L5" s="306"/>
      <c r="M5" s="306"/>
    </row>
    <row r="6" spans="1:13" ht="11.25" customHeight="1" x14ac:dyDescent="0.3">
      <c r="A6" s="476"/>
      <c r="B6" s="476"/>
      <c r="C6" s="477"/>
      <c r="D6" s="199" t="s">
        <v>692</v>
      </c>
      <c r="E6" s="199" t="s">
        <v>162</v>
      </c>
      <c r="F6" s="199" t="s">
        <v>692</v>
      </c>
      <c r="G6" s="199" t="s">
        <v>162</v>
      </c>
      <c r="H6" s="199" t="s">
        <v>692</v>
      </c>
      <c r="I6" s="199" t="s">
        <v>162</v>
      </c>
      <c r="J6" s="199" t="s">
        <v>692</v>
      </c>
      <c r="K6" s="199" t="s">
        <v>162</v>
      </c>
      <c r="L6" s="306"/>
      <c r="M6" s="306"/>
    </row>
    <row r="7" spans="1:13" ht="11.25" customHeight="1" x14ac:dyDescent="0.3">
      <c r="A7" s="476">
        <v>42</v>
      </c>
      <c r="B7" s="476">
        <v>2023</v>
      </c>
      <c r="C7" s="477">
        <v>24</v>
      </c>
      <c r="D7" s="478">
        <v>7111.8</v>
      </c>
      <c r="E7" s="479">
        <f>((((D1/D2)*C7)/360)*0.025)*D7</f>
        <v>1512.7391250000001</v>
      </c>
      <c r="F7" s="478">
        <v>8186.1</v>
      </c>
      <c r="G7" s="479">
        <f>((((D1/D2)*C7)/360)*0.025)*F7</f>
        <v>1741.2516875000001</v>
      </c>
      <c r="H7" s="478">
        <v>9248.7000000000007</v>
      </c>
      <c r="I7" s="479">
        <f>((((D1/D2)*C7)/360)*0.025)*H7</f>
        <v>1967.2755625000002</v>
      </c>
      <c r="J7" s="480">
        <v>10205.700000000001</v>
      </c>
      <c r="K7" s="481">
        <f>((((D1/D2)*C7)/360)*0.025)*J7</f>
        <v>2170.8374375000003</v>
      </c>
      <c r="L7" s="306"/>
      <c r="M7" s="306"/>
    </row>
    <row r="8" spans="1:13" ht="11.25" customHeight="1" x14ac:dyDescent="0.3">
      <c r="A8" s="476">
        <v>43</v>
      </c>
      <c r="B8" s="476">
        <v>2024</v>
      </c>
      <c r="C8" s="477">
        <v>25</v>
      </c>
      <c r="D8" s="478">
        <v>7111.8</v>
      </c>
      <c r="E8" s="479">
        <f>((((D1/D2)*C8)/360)*0.025)*D8</f>
        <v>1575.7699218749999</v>
      </c>
      <c r="F8" s="478">
        <v>8186.1</v>
      </c>
      <c r="G8" s="479">
        <f>((((D1/D2)*C8)/360)*0.025)*F8</f>
        <v>1813.8038411458333</v>
      </c>
      <c r="H8" s="478">
        <v>9248.7000000000007</v>
      </c>
      <c r="I8" s="479">
        <f>((((D1/D2)*C8)/360)*0.025)*H8</f>
        <v>2049.2453776041666</v>
      </c>
      <c r="J8" s="480">
        <v>10205.700000000001</v>
      </c>
      <c r="K8" s="481">
        <f>((((D1/D2)*C8)/360)*0.025)*J8</f>
        <v>2261.2889973958336</v>
      </c>
      <c r="L8" s="306"/>
      <c r="M8" s="306"/>
    </row>
    <row r="9" spans="1:13" ht="11.25" customHeight="1" x14ac:dyDescent="0.3">
      <c r="A9" s="476">
        <v>44</v>
      </c>
      <c r="B9" s="476">
        <v>2025</v>
      </c>
      <c r="C9" s="477">
        <v>26</v>
      </c>
      <c r="D9" s="478">
        <v>7111.8</v>
      </c>
      <c r="E9" s="479">
        <f>((((D1/D2)*C9)/360)*0.025)*D9</f>
        <v>1638.8007187500002</v>
      </c>
      <c r="F9" s="478">
        <v>8447.1</v>
      </c>
      <c r="G9" s="479">
        <f>((((D1/D2)*C9)/360)*0.025)*F9</f>
        <v>1946.4992760416669</v>
      </c>
      <c r="H9" s="478">
        <v>9629.7000000000007</v>
      </c>
      <c r="I9" s="479">
        <f>((((D1/D2)*C9)/360)*0.025)*H9</f>
        <v>2219.0105572916668</v>
      </c>
      <c r="J9" s="480">
        <v>10597.2</v>
      </c>
      <c r="K9" s="481">
        <f>((((D1/D2)*C9)/360)*0.025)*J9</f>
        <v>2441.9554791666669</v>
      </c>
      <c r="L9" s="306"/>
      <c r="M9" s="306"/>
    </row>
    <row r="10" spans="1:13" ht="11.25" customHeight="1" x14ac:dyDescent="0.3">
      <c r="A10" s="476">
        <v>45</v>
      </c>
      <c r="B10" s="476">
        <v>2026</v>
      </c>
      <c r="C10" s="477">
        <v>27</v>
      </c>
      <c r="D10" s="478">
        <v>7111.8</v>
      </c>
      <c r="E10" s="479">
        <f>((((D1/D2)*C10)/360)*0.025)*D10</f>
        <v>1701.8315156250003</v>
      </c>
      <c r="F10" s="478">
        <v>8447.1</v>
      </c>
      <c r="G10" s="479">
        <f>((((D1/D2)*C10)/360)*0.025)*F10</f>
        <v>2021.3646328125003</v>
      </c>
      <c r="H10" s="478">
        <v>9629.7000000000007</v>
      </c>
      <c r="I10" s="479">
        <f>((((D1/D2)*C10)/360)*0.025)*H10</f>
        <v>2304.3571171875005</v>
      </c>
      <c r="J10" s="480">
        <v>10597.2</v>
      </c>
      <c r="K10" s="481">
        <f>((((D1/D2)*C10)/360)*0.025)*J10</f>
        <v>2535.8768437500003</v>
      </c>
      <c r="L10" s="306"/>
      <c r="M10" s="306"/>
    </row>
    <row r="11" spans="1:13" ht="11.25" customHeight="1" x14ac:dyDescent="0.3">
      <c r="A11" s="476">
        <v>46</v>
      </c>
      <c r="B11" s="476">
        <v>2027</v>
      </c>
      <c r="C11" s="477">
        <v>28</v>
      </c>
      <c r="D11" s="478">
        <v>7111.8</v>
      </c>
      <c r="E11" s="479">
        <f>((((D1/D2)*C11)/360)*0.025)*D11</f>
        <v>1764.8623125000001</v>
      </c>
      <c r="F11" s="478">
        <v>8447.1</v>
      </c>
      <c r="G11" s="479">
        <f>((((D1/D2)*C11)/360)*0.025)*F11</f>
        <v>2096.2299895833335</v>
      </c>
      <c r="H11" s="478">
        <v>9629.7000000000007</v>
      </c>
      <c r="I11" s="479">
        <f>((((D1/D2)*C11)/360)*0.025)*H11</f>
        <v>2389.7036770833338</v>
      </c>
      <c r="J11" s="480">
        <v>10597.2</v>
      </c>
      <c r="K11" s="481">
        <f>((((D1/D2)*C11)/360)*0.025)*J11</f>
        <v>2629.7982083333336</v>
      </c>
      <c r="L11" s="306"/>
      <c r="M11" s="306"/>
    </row>
    <row r="12" spans="1:13" ht="11.25" customHeight="1" x14ac:dyDescent="0.3">
      <c r="A12" s="476">
        <v>47</v>
      </c>
      <c r="B12" s="476">
        <v>2028</v>
      </c>
      <c r="C12" s="477">
        <v>29</v>
      </c>
      <c r="D12" s="478">
        <v>7111.8</v>
      </c>
      <c r="E12" s="479">
        <f>((((D1/D2)*C12)/360)*0.025)*D12</f>
        <v>1827.8931093750002</v>
      </c>
      <c r="F12" s="478">
        <v>8447.1</v>
      </c>
      <c r="G12" s="479">
        <f>((((D1/D2)*C12)/360)*0.025)*F12</f>
        <v>2171.0953463541668</v>
      </c>
      <c r="H12" s="478">
        <v>9629.7000000000007</v>
      </c>
      <c r="I12" s="479">
        <f>((((D1/D2)*C12)/360)*0.025)*H12</f>
        <v>2475.050236979167</v>
      </c>
      <c r="J12" s="480">
        <v>10597.2</v>
      </c>
      <c r="K12" s="481">
        <f>((((D1/D2)*C12)/360)*0.025)*J12</f>
        <v>2723.7195729166669</v>
      </c>
      <c r="L12" s="306"/>
      <c r="M12" s="306"/>
    </row>
    <row r="13" spans="1:13" ht="11.25" customHeight="1" x14ac:dyDescent="0.3">
      <c r="A13" s="476">
        <v>48</v>
      </c>
      <c r="B13" s="476">
        <v>2029</v>
      </c>
      <c r="C13" s="477">
        <v>30</v>
      </c>
      <c r="D13" s="478">
        <v>7111.8</v>
      </c>
      <c r="E13" s="479">
        <f>((((D1/D2)*C13)/360)*0.025)*D13</f>
        <v>1890.9239062499998</v>
      </c>
      <c r="F13" s="478">
        <v>8447.1</v>
      </c>
      <c r="G13" s="479">
        <f>((((D1/D2)*C13)/360)*0.025)*F13</f>
        <v>2245.9607031249998</v>
      </c>
      <c r="H13" s="478">
        <v>9821.7000000000007</v>
      </c>
      <c r="I13" s="479">
        <f>((((D1/D2)*C13)/360)*0.025)*H13</f>
        <v>2611.446796875</v>
      </c>
      <c r="J13" s="480">
        <v>11128.2</v>
      </c>
      <c r="K13" s="481">
        <f>((((D1/D2)*C13)/360)*0.025)*J13</f>
        <v>2958.8260937499999</v>
      </c>
      <c r="L13" s="306"/>
      <c r="M13" s="306"/>
    </row>
    <row r="14" spans="1:13" ht="11.25" customHeight="1" x14ac:dyDescent="0.3">
      <c r="A14" s="476">
        <v>49</v>
      </c>
      <c r="B14" s="476">
        <v>2030</v>
      </c>
      <c r="C14" s="477">
        <v>31</v>
      </c>
      <c r="D14" s="478">
        <v>7111.8</v>
      </c>
      <c r="E14" s="479">
        <f>((((D1/D2)*C14)/360)*0.025)*D14</f>
        <v>1953.9547031250002</v>
      </c>
      <c r="F14" s="478">
        <v>8447.1</v>
      </c>
      <c r="G14" s="479">
        <f>((((D1/D2)*C14)/360)*0.025)*F14</f>
        <v>2320.8260598958336</v>
      </c>
      <c r="H14" s="478">
        <v>9821.7000000000007</v>
      </c>
      <c r="I14" s="479">
        <f>((((D1/D2)*C14)/360)*0.025)*H14</f>
        <v>2698.4950234375001</v>
      </c>
      <c r="J14" s="480">
        <v>11128.2</v>
      </c>
      <c r="K14" s="481">
        <f>((((D1/D2)*C14)/360)*0.025)*J14</f>
        <v>3057.4536302083338</v>
      </c>
      <c r="L14" s="306"/>
      <c r="M14" s="306"/>
    </row>
    <row r="15" spans="1:13" ht="11.25" customHeight="1" x14ac:dyDescent="0.3">
      <c r="A15" s="476">
        <v>50</v>
      </c>
      <c r="B15" s="476">
        <v>2031</v>
      </c>
      <c r="C15" s="477">
        <v>32</v>
      </c>
      <c r="D15" s="478">
        <v>7111.8</v>
      </c>
      <c r="E15" s="479">
        <f>((((D1/D2)*C15)/360)*0.025)*D15</f>
        <v>2016.9855000000002</v>
      </c>
      <c r="F15" s="478">
        <v>8447.1</v>
      </c>
      <c r="G15" s="479">
        <f>((((D1/D2)*C15)/360)*0.025)*F15</f>
        <v>2395.691416666667</v>
      </c>
      <c r="H15" s="478">
        <v>9821.7000000000007</v>
      </c>
      <c r="I15" s="479">
        <f>((((D1/D2)*C15)/360)*0.025)*H15</f>
        <v>2785.5432500000006</v>
      </c>
      <c r="J15" s="480">
        <v>11128.2</v>
      </c>
      <c r="K15" s="481">
        <f>((((D1/D2)*C15)/360)*0.025)*J15</f>
        <v>3156.0811666666673</v>
      </c>
      <c r="L15" s="306"/>
      <c r="M15" s="306"/>
    </row>
    <row r="16" spans="1:13" ht="11.25" customHeight="1" x14ac:dyDescent="0.3">
      <c r="A16" s="476">
        <v>51</v>
      </c>
      <c r="B16" s="476">
        <v>2032</v>
      </c>
      <c r="C16" s="477">
        <v>33</v>
      </c>
      <c r="D16" s="478">
        <v>7111.8</v>
      </c>
      <c r="E16" s="479">
        <f>((((D1/D2)*C16)/360)*0.025)*D16</f>
        <v>2080.0162968750001</v>
      </c>
      <c r="F16" s="478">
        <v>8447.1</v>
      </c>
      <c r="G16" s="479">
        <f>((((D1/D2)*C16)/360)*0.025)*F16</f>
        <v>2470.5567734374999</v>
      </c>
      <c r="H16" s="478">
        <v>9821.7000000000007</v>
      </c>
      <c r="I16" s="479">
        <f>((((D1/D2)*C16)/360)*0.025)*H16</f>
        <v>2872.5914765625002</v>
      </c>
      <c r="J16" s="480">
        <v>11128.2</v>
      </c>
      <c r="K16" s="481">
        <f>((((D1/D2)*C16)/360)*0.025)*J16</f>
        <v>3254.7087031250003</v>
      </c>
      <c r="L16" s="306"/>
      <c r="M16" s="306"/>
    </row>
    <row r="17" spans="1:11" ht="11.25" customHeight="1" x14ac:dyDescent="0.3">
      <c r="A17" s="476">
        <v>52</v>
      </c>
      <c r="B17" s="476">
        <v>2033</v>
      </c>
      <c r="C17" s="477">
        <v>34</v>
      </c>
      <c r="D17" s="478">
        <v>7111.8</v>
      </c>
      <c r="E17" s="479">
        <f>((((D1/D2)*C17)/360)*0.025)*D17</f>
        <v>2143.0470937500004</v>
      </c>
      <c r="F17" s="478">
        <v>8447.1</v>
      </c>
      <c r="G17" s="479">
        <f>((((D1/D2)*C17)/360)*0.025)*F17</f>
        <v>2545.4221302083338</v>
      </c>
      <c r="H17" s="478">
        <v>9821.7000000000007</v>
      </c>
      <c r="I17" s="479">
        <f>((((D1/D2)*C17)/360)*0.025)*H17</f>
        <v>2959.6397031250003</v>
      </c>
      <c r="J17" s="480">
        <v>11683.5</v>
      </c>
      <c r="K17" s="481">
        <f>((((D1/D2)*C17)/360)*0.025)*J17</f>
        <v>3520.6685677083337</v>
      </c>
    </row>
    <row r="18" spans="1:11" ht="11.25" customHeight="1" x14ac:dyDescent="0.3">
      <c r="A18" s="476">
        <v>53</v>
      </c>
      <c r="B18" s="476">
        <v>2034</v>
      </c>
      <c r="C18" s="477">
        <v>35</v>
      </c>
      <c r="D18" s="478">
        <v>7111.8</v>
      </c>
      <c r="E18" s="479">
        <f>((((D1/D2)*C18)/360)*0.025)*D18</f>
        <v>2206.0778906250002</v>
      </c>
      <c r="F18" s="478">
        <v>8447.1</v>
      </c>
      <c r="G18" s="479">
        <f>((((D1/D2)*C18)/360)*0.025)*F18</f>
        <v>2620.2874869791667</v>
      </c>
      <c r="H18" s="478">
        <v>9821.7000000000007</v>
      </c>
      <c r="I18" s="479">
        <f>((((D1/D2)*C18)/360)*0.025)*H18</f>
        <v>3046.6879296875004</v>
      </c>
      <c r="J18" s="480">
        <v>11683.5</v>
      </c>
      <c r="K18" s="481">
        <f>((((D1/D2)*C18)/360)*0.025)*J18</f>
        <v>3624.2176432291667</v>
      </c>
    </row>
    <row r="19" spans="1:11" ht="11.25" customHeight="1" x14ac:dyDescent="0.3">
      <c r="A19" s="476">
        <v>54</v>
      </c>
      <c r="B19" s="476">
        <v>2035</v>
      </c>
      <c r="C19" s="477">
        <v>36</v>
      </c>
      <c r="D19" s="478">
        <v>7111.8</v>
      </c>
      <c r="E19" s="479">
        <f>((((D1/D2)*C19)/360)*0.025)*D19</f>
        <v>2269.1086875000001</v>
      </c>
      <c r="F19" s="478">
        <v>8447.1</v>
      </c>
      <c r="G19" s="479">
        <f>((((D1/D2)*C19)/360)*0.025)*F19</f>
        <v>2695.1528437500006</v>
      </c>
      <c r="H19" s="478">
        <v>9821.7000000000007</v>
      </c>
      <c r="I19" s="479">
        <f>((((D1/D2)*C19)/360)*0.025)*H19</f>
        <v>3133.7361562500005</v>
      </c>
      <c r="J19" s="480">
        <v>11683.5</v>
      </c>
      <c r="K19" s="481">
        <f>((((D1/D2)*C19)/360)*0.025)*J19</f>
        <v>3727.7667187500001</v>
      </c>
    </row>
    <row r="20" spans="1:11" ht="11.25" customHeight="1" x14ac:dyDescent="0.3">
      <c r="A20" s="476">
        <v>55</v>
      </c>
      <c r="B20" s="476">
        <v>2036</v>
      </c>
      <c r="C20" s="477">
        <v>37</v>
      </c>
      <c r="D20" s="478">
        <v>7111.8</v>
      </c>
      <c r="E20" s="479">
        <f>((((D1/D2)*C20)/360)*0.025)*D20</f>
        <v>2332.1394843750004</v>
      </c>
      <c r="F20" s="478">
        <v>8447.1</v>
      </c>
      <c r="G20" s="479">
        <f>((((D1/D2)*C20)/360)*0.025)*F20</f>
        <v>2770.0182005208339</v>
      </c>
      <c r="H20" s="478">
        <v>9821.7000000000007</v>
      </c>
      <c r="I20" s="479">
        <f>((((D1/D2)*C20)/360)*0.025)*H20</f>
        <v>3220.7843828125006</v>
      </c>
      <c r="J20" s="480">
        <v>11683.5</v>
      </c>
      <c r="K20" s="481">
        <f>((((D1/D2)*C20)/360)*0.025)*J20</f>
        <v>3831.315794270834</v>
      </c>
    </row>
    <row r="21" spans="1:11" ht="11.25" customHeight="1" x14ac:dyDescent="0.3">
      <c r="A21" s="476">
        <v>56</v>
      </c>
      <c r="B21" s="476">
        <v>2037</v>
      </c>
      <c r="C21" s="477">
        <v>38</v>
      </c>
      <c r="D21" s="478">
        <v>7111.8</v>
      </c>
      <c r="E21" s="479">
        <f>((((D1/D2)*C21)/360)*0.025)*D21</f>
        <v>2395.1702812500002</v>
      </c>
      <c r="F21" s="478">
        <v>8447.1</v>
      </c>
      <c r="G21" s="479">
        <f>((((D1/D2)*C21)/360)*0.025)*F21</f>
        <v>2844.8835572916669</v>
      </c>
      <c r="H21" s="478">
        <v>9821.7000000000007</v>
      </c>
      <c r="I21" s="479">
        <f>((((D1/D2)*C21)/360)*0.025)*H21</f>
        <v>3307.8326093750006</v>
      </c>
      <c r="J21" s="480">
        <v>12269.1</v>
      </c>
      <c r="K21" s="481">
        <f>((((D1/D2)*C21)/360)*0.025)*J21</f>
        <v>4132.0880364583336</v>
      </c>
    </row>
    <row r="22" spans="1:11" ht="11.25" customHeight="1" x14ac:dyDescent="0.3">
      <c r="A22" s="476">
        <v>57</v>
      </c>
      <c r="B22" s="476">
        <v>2038</v>
      </c>
      <c r="C22" s="477">
        <v>39</v>
      </c>
      <c r="D22" s="478">
        <v>7111.8</v>
      </c>
      <c r="E22" s="479">
        <f>((((D1/D2)*C22)/360)*0.025)*D22</f>
        <v>2458.2010781250005</v>
      </c>
      <c r="F22" s="478">
        <v>8447.1</v>
      </c>
      <c r="G22" s="479">
        <f>((((D1/D2)*C22)/360)*0.025)*F22</f>
        <v>2919.7489140625007</v>
      </c>
      <c r="H22" s="478">
        <v>9821.7000000000007</v>
      </c>
      <c r="I22" s="479">
        <f>((((D1/D2)*C22)/360)*0.025)*H22</f>
        <v>3394.8808359375007</v>
      </c>
      <c r="J22" s="480">
        <v>12269.1</v>
      </c>
      <c r="K22" s="481">
        <f>((((D1/D2)*C22)/360)*0.025)*J22</f>
        <v>4240.8271953125004</v>
      </c>
    </row>
    <row r="23" spans="1:11" ht="11.25" customHeight="1" x14ac:dyDescent="0.3">
      <c r="A23" s="476">
        <v>58</v>
      </c>
      <c r="B23" s="476">
        <v>2039</v>
      </c>
      <c r="C23" s="477">
        <v>40</v>
      </c>
      <c r="D23" s="478">
        <v>7111.8</v>
      </c>
      <c r="E23" s="482">
        <f>((((D1/D2)*C23)/360)*0.025)*D23</f>
        <v>2521.2318750000004</v>
      </c>
      <c r="F23" s="478">
        <v>8447.1</v>
      </c>
      <c r="G23" s="482">
        <f>((((D1/D2)*C23)/360)*0.025)*F23</f>
        <v>2994.6142708333336</v>
      </c>
      <c r="H23" s="478">
        <v>9821.7000000000007</v>
      </c>
      <c r="I23" s="482">
        <f>((((D1/D2)*C23)/360)*0.025)*H23</f>
        <v>3481.9290625000003</v>
      </c>
      <c r="J23" s="480">
        <v>12269.1</v>
      </c>
      <c r="K23" s="483">
        <f>((((D1/D2)*C23)/360)*0.025)*J23</f>
        <v>4349.5663541666672</v>
      </c>
    </row>
    <row r="24" spans="1:11" ht="11.25" customHeight="1" x14ac:dyDescent="0.3">
      <c r="A24" s="476">
        <v>59</v>
      </c>
      <c r="B24" s="476">
        <v>2040</v>
      </c>
      <c r="C24" s="477">
        <v>41</v>
      </c>
      <c r="D24" s="478">
        <v>7111.8</v>
      </c>
      <c r="E24" s="482">
        <f>((((D1/D2)*C24)/360)*0.025)*D24</f>
        <v>2584.2626718749998</v>
      </c>
      <c r="F24" s="478">
        <v>8447.1</v>
      </c>
      <c r="G24" s="482">
        <f>((((D1/D2)*C24)/360)*0.025)*F24</f>
        <v>3069.4796276041666</v>
      </c>
      <c r="H24" s="478">
        <v>9821.7000000000007</v>
      </c>
      <c r="I24" s="482">
        <f>((((D1/D2)*C24)/360)*0.025)*H24</f>
        <v>3568.9772890624999</v>
      </c>
      <c r="J24" s="480">
        <v>12269.1</v>
      </c>
      <c r="K24" s="483">
        <f>((((D1/D2)*C24)/360)*0.025)*J24</f>
        <v>4458.3055130208331</v>
      </c>
    </row>
    <row r="25" spans="1:11" ht="11.25" customHeight="1" x14ac:dyDescent="0.3">
      <c r="A25" s="476">
        <v>60</v>
      </c>
      <c r="B25" s="476">
        <v>2041</v>
      </c>
      <c r="C25" s="477">
        <v>42</v>
      </c>
      <c r="D25" s="478">
        <v>7111.8</v>
      </c>
      <c r="E25" s="479">
        <f>((((D1/D2)*C25)/360)*0.025)*D25</f>
        <v>2647.2934687500001</v>
      </c>
      <c r="F25" s="478">
        <v>8447.1</v>
      </c>
      <c r="G25" s="479">
        <f>((((D1/D2)*C25)/360)*0.025)*F25</f>
        <v>3144.3449843750004</v>
      </c>
      <c r="H25" s="478">
        <v>9821.7000000000007</v>
      </c>
      <c r="I25" s="479">
        <f>((((D1/D2)*C25)/360)*0.025)*H25</f>
        <v>3656.0255156250005</v>
      </c>
      <c r="J25" s="480">
        <v>12269.1</v>
      </c>
      <c r="K25" s="481">
        <f>((((D1/D2)*C25)/360)*0.025)*J25</f>
        <v>4567.0446718749999</v>
      </c>
    </row>
    <row r="26" spans="1:11" ht="11.25" customHeight="1" x14ac:dyDescent="0.3">
      <c r="A26" s="476">
        <v>61</v>
      </c>
      <c r="B26" s="476">
        <v>2042</v>
      </c>
      <c r="C26" s="477">
        <v>43</v>
      </c>
      <c r="D26" s="478">
        <v>7111.8</v>
      </c>
      <c r="E26" s="479">
        <f>((((D1/D2)*C26)/360)*0.025)*D26</f>
        <v>2710.3242656250004</v>
      </c>
      <c r="F26" s="478">
        <v>8447.1</v>
      </c>
      <c r="G26" s="479">
        <f>((((D1/D2)*C26)/360)*0.025)*F26</f>
        <v>3219.2103411458338</v>
      </c>
      <c r="H26" s="478">
        <v>9821.7000000000007</v>
      </c>
      <c r="I26" s="479">
        <f>((((D1/D2)*C26)/360)*0.025)*H26</f>
        <v>3743.0737421875006</v>
      </c>
      <c r="J26" s="480">
        <v>12269.1</v>
      </c>
      <c r="K26" s="481">
        <f>((((D1/D2)*C26)/360)*0.025)*J26</f>
        <v>4675.7838307291677</v>
      </c>
    </row>
    <row r="27" spans="1:11" ht="11.25" customHeight="1" x14ac:dyDescent="0.3">
      <c r="A27" s="476">
        <v>62</v>
      </c>
      <c r="B27" s="476">
        <v>2043</v>
      </c>
      <c r="C27" s="477">
        <v>44</v>
      </c>
      <c r="D27" s="478">
        <v>7111.8</v>
      </c>
      <c r="E27" s="479">
        <f>((((D1/D2)*C27)/360)*0.025)*D27</f>
        <v>2773.3550625000003</v>
      </c>
      <c r="F27" s="478">
        <v>8447.1</v>
      </c>
      <c r="G27" s="479">
        <f>((((D1/D2)*C27)/360)*0.025)*F27</f>
        <v>3294.0756979166667</v>
      </c>
      <c r="H27" s="478">
        <v>9821.7000000000007</v>
      </c>
      <c r="I27" s="479">
        <f>((((D1/D2)*C27)/360)*0.025)*H27</f>
        <v>3830.1219687500002</v>
      </c>
      <c r="J27" s="480">
        <v>12269.1</v>
      </c>
      <c r="K27" s="481">
        <f>((((D1/D2)*C27)/360)*0.025)*J27</f>
        <v>4784.5229895833336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/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84"/>
      <c r="B1" s="484" t="s">
        <v>693</v>
      </c>
      <c r="C1" s="484" t="s">
        <v>694</v>
      </c>
      <c r="D1" s="484" t="s">
        <v>695</v>
      </c>
      <c r="E1" s="484" t="s">
        <v>696</v>
      </c>
      <c r="F1" s="484" t="s">
        <v>697</v>
      </c>
      <c r="G1" s="484"/>
      <c r="H1" s="484"/>
    </row>
    <row r="2" spans="1:8" ht="11.25" customHeight="1" x14ac:dyDescent="0.3">
      <c r="A2" s="484" t="s">
        <v>698</v>
      </c>
      <c r="B2" s="306" t="s">
        <v>699</v>
      </c>
      <c r="C2" s="484" t="s">
        <v>700</v>
      </c>
      <c r="D2" s="484"/>
      <c r="E2" s="484" t="s">
        <v>701</v>
      </c>
      <c r="F2" s="484"/>
      <c r="G2" s="484"/>
      <c r="H2" s="484"/>
    </row>
    <row r="3" spans="1:8" ht="11.25" customHeight="1" x14ac:dyDescent="0.3">
      <c r="A3" s="484" t="s">
        <v>702</v>
      </c>
      <c r="B3" s="484" t="s">
        <v>703</v>
      </c>
      <c r="C3" s="484" t="s">
        <v>704</v>
      </c>
      <c r="D3" s="484"/>
      <c r="E3" s="484"/>
      <c r="F3" s="484"/>
      <c r="G3" s="484"/>
      <c r="H3" s="484"/>
    </row>
    <row r="4" spans="1:8" ht="11.25" customHeight="1" x14ac:dyDescent="0.3">
      <c r="A4" s="484" t="s">
        <v>705</v>
      </c>
      <c r="B4" s="485" t="s">
        <v>706</v>
      </c>
      <c r="C4" s="484" t="s">
        <v>707</v>
      </c>
      <c r="D4" s="484"/>
      <c r="E4" s="484" t="s">
        <v>708</v>
      </c>
      <c r="F4" s="484"/>
      <c r="G4" s="484"/>
      <c r="H4" s="484"/>
    </row>
    <row r="5" spans="1:8" ht="11.25" customHeight="1" x14ac:dyDescent="0.3">
      <c r="A5" s="484" t="s">
        <v>705</v>
      </c>
      <c r="B5" s="484" t="s">
        <v>709</v>
      </c>
      <c r="C5" s="484" t="s">
        <v>710</v>
      </c>
      <c r="D5" s="484"/>
      <c r="E5" s="484" t="s">
        <v>708</v>
      </c>
      <c r="F5" s="484"/>
      <c r="G5" s="484"/>
      <c r="H5" s="484"/>
    </row>
    <row r="6" spans="1:8" ht="11.25" customHeight="1" x14ac:dyDescent="0.3">
      <c r="A6" s="484" t="s">
        <v>639</v>
      </c>
      <c r="B6" s="484" t="s">
        <v>711</v>
      </c>
      <c r="C6" s="484" t="s">
        <v>712</v>
      </c>
      <c r="D6" s="484"/>
      <c r="E6" s="306" t="s">
        <v>713</v>
      </c>
      <c r="F6" s="484"/>
      <c r="G6" s="484"/>
      <c r="H6" s="484"/>
    </row>
    <row r="7" spans="1:8" ht="11.25" customHeight="1" x14ac:dyDescent="0.3">
      <c r="A7" s="484" t="s">
        <v>185</v>
      </c>
      <c r="B7" s="484" t="s">
        <v>714</v>
      </c>
      <c r="C7" s="484" t="s">
        <v>715</v>
      </c>
      <c r="D7" s="484"/>
      <c r="E7" s="484" t="s">
        <v>716</v>
      </c>
      <c r="F7" s="484"/>
      <c r="G7" s="484"/>
      <c r="H7" s="484"/>
    </row>
    <row r="8" spans="1:8" ht="11.25" customHeight="1" x14ac:dyDescent="0.3">
      <c r="A8" s="484" t="s">
        <v>185</v>
      </c>
      <c r="B8" s="484" t="s">
        <v>706</v>
      </c>
      <c r="C8" s="484" t="s">
        <v>717</v>
      </c>
      <c r="D8" s="484"/>
      <c r="E8" s="484"/>
      <c r="F8" s="484"/>
      <c r="G8" s="484"/>
      <c r="H8" s="484"/>
    </row>
    <row r="9" spans="1:8" ht="11.25" customHeight="1" x14ac:dyDescent="0.3">
      <c r="A9" s="484" t="s">
        <v>718</v>
      </c>
      <c r="B9" s="306" t="s">
        <v>719</v>
      </c>
      <c r="C9" s="484" t="s">
        <v>717</v>
      </c>
      <c r="D9" s="484"/>
      <c r="E9" s="484" t="s">
        <v>720</v>
      </c>
      <c r="F9" s="484"/>
      <c r="G9" s="484"/>
      <c r="H9" s="484"/>
    </row>
    <row r="10" spans="1:8" ht="11.25" customHeight="1" x14ac:dyDescent="0.3">
      <c r="A10" s="484" t="s">
        <v>721</v>
      </c>
      <c r="B10" s="484" t="s">
        <v>710</v>
      </c>
      <c r="C10" s="486" t="s">
        <v>722</v>
      </c>
      <c r="D10" s="486"/>
      <c r="E10" s="306" t="s">
        <v>723</v>
      </c>
      <c r="F10" s="484"/>
      <c r="G10" s="484"/>
      <c r="H10" s="484"/>
    </row>
    <row r="11" spans="1:8" ht="11.25" customHeight="1" x14ac:dyDescent="0.3">
      <c r="A11" s="484" t="s">
        <v>724</v>
      </c>
      <c r="B11" s="485" t="s">
        <v>725</v>
      </c>
      <c r="C11" s="484" t="s">
        <v>726</v>
      </c>
      <c r="D11" s="484"/>
      <c r="E11" s="487" t="s">
        <v>727</v>
      </c>
      <c r="F11" s="484"/>
      <c r="G11" s="484" t="s">
        <v>728</v>
      </c>
      <c r="H11" s="484" t="s">
        <v>729</v>
      </c>
    </row>
    <row r="12" spans="1:8" ht="11.25" customHeight="1" x14ac:dyDescent="0.3">
      <c r="A12" s="484" t="s">
        <v>730</v>
      </c>
      <c r="B12" s="484" t="s">
        <v>731</v>
      </c>
      <c r="C12" s="484" t="s">
        <v>732</v>
      </c>
      <c r="D12" s="484"/>
      <c r="E12" s="484" t="s">
        <v>733</v>
      </c>
      <c r="F12" s="484"/>
      <c r="G12" s="484"/>
      <c r="H12" s="484"/>
    </row>
    <row r="13" spans="1:8" ht="11.25" customHeight="1" x14ac:dyDescent="0.3">
      <c r="A13" s="484" t="s">
        <v>356</v>
      </c>
      <c r="B13" s="306" t="s">
        <v>699</v>
      </c>
      <c r="C13" s="484" t="s">
        <v>729</v>
      </c>
      <c r="D13" s="484"/>
      <c r="E13" s="485" t="s">
        <v>734</v>
      </c>
      <c r="F13" s="484"/>
      <c r="G13" s="484"/>
      <c r="H13" s="484"/>
    </row>
    <row r="14" spans="1:8" ht="11.25" customHeight="1" x14ac:dyDescent="0.3">
      <c r="A14" s="484" t="s">
        <v>735</v>
      </c>
      <c r="B14" s="484" t="s">
        <v>706</v>
      </c>
      <c r="C14" s="484" t="s">
        <v>707</v>
      </c>
      <c r="D14" s="484"/>
      <c r="E14" s="488" t="s">
        <v>736</v>
      </c>
      <c r="F14" s="484"/>
      <c r="G14" s="484"/>
      <c r="H14" s="484"/>
    </row>
    <row r="15" spans="1:8" ht="11.25" customHeight="1" x14ac:dyDescent="0.3">
      <c r="A15" s="484" t="s">
        <v>737</v>
      </c>
      <c r="B15" s="484" t="s">
        <v>738</v>
      </c>
      <c r="C15" s="484" t="s">
        <v>739</v>
      </c>
      <c r="D15" s="484"/>
      <c r="E15" s="306" t="s">
        <v>740</v>
      </c>
      <c r="F15" s="484"/>
      <c r="G15" s="484"/>
      <c r="H15" s="484"/>
    </row>
    <row r="16" spans="1:8" ht="11.25" customHeight="1" x14ac:dyDescent="0.3">
      <c r="A16" s="484" t="s">
        <v>741</v>
      </c>
      <c r="B16" s="306" t="s">
        <v>699</v>
      </c>
      <c r="C16" s="484" t="s">
        <v>715</v>
      </c>
      <c r="D16" s="484"/>
      <c r="E16" s="484"/>
      <c r="F16" s="484"/>
      <c r="G16" s="484"/>
      <c r="H16" s="484"/>
    </row>
    <row r="17" spans="1:8" ht="11.25" customHeight="1" x14ac:dyDescent="0.3">
      <c r="A17" s="484" t="s">
        <v>742</v>
      </c>
      <c r="B17" s="485" t="s">
        <v>743</v>
      </c>
      <c r="C17" s="484" t="s">
        <v>715</v>
      </c>
      <c r="D17" s="484"/>
      <c r="E17" s="484"/>
      <c r="F17" s="484"/>
      <c r="G17" s="484"/>
      <c r="H17" s="484"/>
    </row>
    <row r="18" spans="1:8" ht="11.25" customHeight="1" x14ac:dyDescent="0.3">
      <c r="A18" s="484" t="s">
        <v>744</v>
      </c>
      <c r="B18" s="484" t="s">
        <v>706</v>
      </c>
      <c r="C18" s="484" t="s">
        <v>745</v>
      </c>
      <c r="D18" s="484"/>
      <c r="E18" s="484" t="s">
        <v>746</v>
      </c>
      <c r="F18" s="484"/>
      <c r="G18" s="484"/>
      <c r="H18" s="484"/>
    </row>
    <row r="19" spans="1:8" ht="11.25" customHeight="1" x14ac:dyDescent="0.3">
      <c r="A19" s="484" t="s">
        <v>747</v>
      </c>
      <c r="B19" s="485" t="s">
        <v>703</v>
      </c>
      <c r="C19" s="484" t="s">
        <v>748</v>
      </c>
      <c r="D19" s="484"/>
      <c r="E19" s="487" t="s">
        <v>749</v>
      </c>
      <c r="F19" s="484"/>
      <c r="G19" s="484"/>
      <c r="H19" s="484"/>
    </row>
    <row r="20" spans="1:8" ht="11.25" customHeight="1" x14ac:dyDescent="0.3">
      <c r="A20" s="484" t="s">
        <v>750</v>
      </c>
      <c r="B20" s="484" t="s">
        <v>706</v>
      </c>
      <c r="C20" s="484" t="s">
        <v>748</v>
      </c>
      <c r="D20" s="484"/>
      <c r="E20" s="484" t="s">
        <v>749</v>
      </c>
      <c r="F20" s="484"/>
      <c r="G20" s="484"/>
      <c r="H20" s="484"/>
    </row>
    <row r="21" spans="1:8" ht="11.25" customHeight="1" x14ac:dyDescent="0.3">
      <c r="A21" s="484" t="s">
        <v>751</v>
      </c>
      <c r="B21" s="485" t="s">
        <v>703</v>
      </c>
      <c r="C21" s="484" t="s">
        <v>752</v>
      </c>
      <c r="D21" s="484" t="s">
        <v>753</v>
      </c>
      <c r="E21" s="484"/>
      <c r="F21" s="484"/>
      <c r="G21" s="484"/>
      <c r="H21" s="484"/>
    </row>
    <row r="22" spans="1:8" ht="11.25" customHeight="1" x14ac:dyDescent="0.3">
      <c r="A22" s="484" t="s">
        <v>751</v>
      </c>
      <c r="B22" s="484" t="s">
        <v>754</v>
      </c>
      <c r="C22" s="484" t="s">
        <v>755</v>
      </c>
      <c r="D22" s="484" t="s">
        <v>756</v>
      </c>
      <c r="E22" s="484"/>
      <c r="F22" s="484"/>
      <c r="G22" s="484"/>
      <c r="H22" s="484"/>
    </row>
    <row r="23" spans="1:8" ht="11.25" customHeight="1" x14ac:dyDescent="0.3">
      <c r="A23" s="484" t="s">
        <v>757</v>
      </c>
      <c r="B23" s="484" t="s">
        <v>703</v>
      </c>
      <c r="C23" s="484" t="s">
        <v>715</v>
      </c>
      <c r="D23" s="484"/>
      <c r="E23" s="484"/>
      <c r="F23" s="484"/>
      <c r="G23" s="484"/>
      <c r="H23" s="484"/>
    </row>
    <row r="24" spans="1:8" ht="11.25" customHeight="1" x14ac:dyDescent="0.3">
      <c r="A24" s="484" t="s">
        <v>758</v>
      </c>
      <c r="B24" s="484" t="s">
        <v>759</v>
      </c>
      <c r="C24" s="484" t="s">
        <v>707</v>
      </c>
      <c r="D24" s="484"/>
      <c r="E24" s="306" t="s">
        <v>760</v>
      </c>
      <c r="F24" s="484"/>
      <c r="G24" s="484"/>
      <c r="H24" s="484"/>
    </row>
    <row r="25" spans="1:8" ht="11.25" customHeight="1" x14ac:dyDescent="0.3">
      <c r="A25" s="484" t="s">
        <v>97</v>
      </c>
      <c r="B25" s="484" t="s">
        <v>731</v>
      </c>
      <c r="C25" s="484" t="s">
        <v>761</v>
      </c>
      <c r="D25" s="484"/>
      <c r="E25" s="484" t="s">
        <v>762</v>
      </c>
      <c r="F25" s="484"/>
      <c r="G25" s="484"/>
      <c r="H25" s="484"/>
    </row>
    <row r="26" spans="1:8" ht="11.25" customHeight="1" x14ac:dyDescent="0.3">
      <c r="A26" s="484" t="s">
        <v>763</v>
      </c>
      <c r="B26" s="484" t="s">
        <v>706</v>
      </c>
      <c r="C26" s="484" t="s">
        <v>729</v>
      </c>
      <c r="D26" s="484"/>
      <c r="E26" s="484"/>
      <c r="F26" s="484" t="s">
        <v>764</v>
      </c>
      <c r="G26" s="484" t="s">
        <v>765</v>
      </c>
      <c r="H26" s="484"/>
    </row>
    <row r="27" spans="1:8" ht="11.25" customHeight="1" x14ac:dyDescent="0.3">
      <c r="A27" s="484" t="s">
        <v>766</v>
      </c>
      <c r="B27" s="484" t="s">
        <v>706</v>
      </c>
      <c r="C27" s="484" t="s">
        <v>707</v>
      </c>
      <c r="D27" s="486">
        <v>1116</v>
      </c>
      <c r="E27" s="306" t="s">
        <v>767</v>
      </c>
      <c r="F27" s="484"/>
      <c r="G27" s="484"/>
      <c r="H27" s="484"/>
    </row>
    <row r="28" spans="1:8" ht="11.25" customHeight="1" x14ac:dyDescent="0.3">
      <c r="A28" s="484" t="s">
        <v>768</v>
      </c>
      <c r="B28" s="486">
        <v>4403872289</v>
      </c>
      <c r="C28" s="484" t="s">
        <v>707</v>
      </c>
      <c r="D28" s="484"/>
      <c r="E28" s="484" t="s">
        <v>769</v>
      </c>
      <c r="F28" s="484"/>
      <c r="G28" s="484"/>
      <c r="H28" s="484"/>
    </row>
    <row r="29" spans="1:8" ht="11.25" customHeight="1" x14ac:dyDescent="0.3">
      <c r="A29" s="484" t="s">
        <v>770</v>
      </c>
      <c r="B29" s="306" t="s">
        <v>699</v>
      </c>
      <c r="C29" s="484" t="s">
        <v>715</v>
      </c>
      <c r="D29" s="484"/>
      <c r="E29" s="306" t="s">
        <v>771</v>
      </c>
      <c r="F29" s="484" t="s">
        <v>772</v>
      </c>
      <c r="G29" s="484" t="s">
        <v>773</v>
      </c>
      <c r="H29" s="484"/>
    </row>
    <row r="30" spans="1:8" ht="11.25" customHeight="1" x14ac:dyDescent="0.3">
      <c r="A30" s="484" t="s">
        <v>774</v>
      </c>
      <c r="B30" s="484" t="s">
        <v>731</v>
      </c>
      <c r="C30" s="484" t="s">
        <v>775</v>
      </c>
      <c r="D30" s="484"/>
      <c r="E30" s="484"/>
      <c r="F30" s="484"/>
      <c r="G30" s="484"/>
      <c r="H30" s="484"/>
    </row>
    <row r="31" spans="1:8" ht="11.25" customHeight="1" x14ac:dyDescent="0.3">
      <c r="A31" s="484" t="s">
        <v>776</v>
      </c>
      <c r="B31" s="484" t="s">
        <v>706</v>
      </c>
      <c r="C31" s="484" t="s">
        <v>707</v>
      </c>
      <c r="D31" s="484"/>
      <c r="E31" s="484"/>
      <c r="F31" s="484"/>
      <c r="G31" s="484"/>
      <c r="H31" s="484"/>
    </row>
    <row r="32" spans="1:8" ht="11.25" customHeight="1" x14ac:dyDescent="0.3">
      <c r="A32" s="484" t="s">
        <v>777</v>
      </c>
      <c r="B32" s="484" t="s">
        <v>706</v>
      </c>
      <c r="C32" s="484" t="s">
        <v>729</v>
      </c>
      <c r="D32" s="484"/>
      <c r="E32" s="484"/>
      <c r="F32" s="484"/>
      <c r="G32" s="484"/>
      <c r="H32" s="484"/>
    </row>
    <row r="33" spans="1:8" ht="11.25" customHeight="1" x14ac:dyDescent="0.3">
      <c r="A33" s="484" t="s">
        <v>778</v>
      </c>
      <c r="B33" s="487" t="s">
        <v>779</v>
      </c>
      <c r="C33" s="484" t="s">
        <v>729</v>
      </c>
      <c r="D33" s="484"/>
      <c r="E33" s="484"/>
      <c r="F33" s="484"/>
      <c r="G33" s="484"/>
      <c r="H33" s="484"/>
    </row>
    <row r="34" spans="1:8" ht="11.25" customHeight="1" x14ac:dyDescent="0.3">
      <c r="A34" s="484" t="s">
        <v>780</v>
      </c>
      <c r="B34" s="484" t="s">
        <v>781</v>
      </c>
      <c r="C34" s="484"/>
      <c r="D34" s="484"/>
      <c r="E34" s="484"/>
      <c r="F34" s="484"/>
      <c r="G34" s="484"/>
      <c r="H34" s="484"/>
    </row>
    <row r="35" spans="1:8" ht="11.25" customHeight="1" x14ac:dyDescent="0.3">
      <c r="A35" s="484"/>
      <c r="B35" s="484"/>
      <c r="C35" s="484"/>
      <c r="D35" s="484"/>
      <c r="E35" s="484"/>
      <c r="F35" s="484"/>
      <c r="G35" s="484"/>
      <c r="H35" s="484"/>
    </row>
    <row r="36" spans="1:8" ht="11.25" customHeight="1" x14ac:dyDescent="0.3">
      <c r="A36" s="484"/>
      <c r="B36" s="484"/>
      <c r="C36" s="484"/>
      <c r="D36" s="484"/>
      <c r="E36" s="484"/>
      <c r="F36" s="484" t="s">
        <v>782</v>
      </c>
      <c r="G36" s="484"/>
      <c r="H36" s="484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/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89"/>
      <c r="C1" s="490"/>
      <c r="E1" s="491"/>
      <c r="G1" s="65"/>
    </row>
    <row r="2" spans="1:10" ht="14.25" customHeight="1" x14ac:dyDescent="0.3">
      <c r="B2" s="489"/>
      <c r="C2" s="490"/>
      <c r="E2" s="491" t="s">
        <v>783</v>
      </c>
      <c r="G2" s="65"/>
      <c r="I2" s="92" t="s">
        <v>784</v>
      </c>
    </row>
    <row r="3" spans="1:10" ht="14.25" customHeight="1" x14ac:dyDescent="0.3">
      <c r="A3" s="92" t="s">
        <v>785</v>
      </c>
      <c r="B3" s="489"/>
      <c r="C3" s="490"/>
      <c r="E3" s="491" t="s">
        <v>786</v>
      </c>
      <c r="F3" s="92" t="s">
        <v>787</v>
      </c>
      <c r="G3" s="65"/>
      <c r="I3" s="492">
        <v>0.46899999999999997</v>
      </c>
      <c r="J3" s="92" t="s">
        <v>788</v>
      </c>
    </row>
    <row r="4" spans="1:10" ht="14.25" customHeight="1" x14ac:dyDescent="0.3">
      <c r="B4" s="489"/>
      <c r="C4" s="490"/>
      <c r="E4" s="491"/>
      <c r="G4" s="65"/>
    </row>
    <row r="5" spans="1:10" ht="14.25" customHeight="1" x14ac:dyDescent="0.3">
      <c r="B5" s="489"/>
      <c r="C5" s="490"/>
      <c r="E5" s="491"/>
      <c r="G5" s="65"/>
    </row>
    <row r="6" spans="1:10" ht="14.25" customHeight="1" x14ac:dyDescent="0.3">
      <c r="A6" s="92" t="s">
        <v>789</v>
      </c>
      <c r="B6" s="489"/>
      <c r="C6" s="490"/>
      <c r="E6" s="491" t="s">
        <v>790</v>
      </c>
      <c r="F6" s="92" t="s">
        <v>735</v>
      </c>
      <c r="G6" s="65"/>
      <c r="I6" s="493">
        <v>0.46899999999999997</v>
      </c>
      <c r="J6" s="92" t="s">
        <v>788</v>
      </c>
    </row>
    <row r="7" spans="1:10" ht="14.25" customHeight="1" x14ac:dyDescent="0.3">
      <c r="B7" s="489"/>
      <c r="C7" s="490"/>
      <c r="E7" s="491"/>
      <c r="G7" s="65"/>
    </row>
    <row r="8" spans="1:10" ht="14.25" customHeight="1" x14ac:dyDescent="0.3">
      <c r="B8" s="489"/>
      <c r="C8" s="490"/>
      <c r="E8" s="491"/>
      <c r="G8" s="65"/>
    </row>
    <row r="9" spans="1:10" ht="14.25" customHeight="1" x14ac:dyDescent="0.3">
      <c r="B9" s="489"/>
      <c r="C9" s="490"/>
      <c r="E9" s="491"/>
      <c r="G9" s="65"/>
    </row>
    <row r="10" spans="1:10" ht="14.25" customHeight="1" x14ac:dyDescent="0.3">
      <c r="B10" s="489"/>
      <c r="C10" s="490"/>
      <c r="E10" s="491"/>
      <c r="G10" s="65"/>
    </row>
    <row r="11" spans="1:10" ht="14.25" customHeight="1" x14ac:dyDescent="0.3">
      <c r="B11" s="489" t="s">
        <v>791</v>
      </c>
      <c r="C11" s="490" t="s">
        <v>792</v>
      </c>
      <c r="D11" s="86" t="s">
        <v>793</v>
      </c>
      <c r="E11" s="491" t="s">
        <v>794</v>
      </c>
      <c r="F11" s="86" t="s">
        <v>795</v>
      </c>
      <c r="G11" s="65" t="s">
        <v>796</v>
      </c>
      <c r="H11" s="86" t="s">
        <v>797</v>
      </c>
    </row>
    <row r="12" spans="1:10" ht="14.25" customHeight="1" x14ac:dyDescent="0.3">
      <c r="A12" s="86" t="s">
        <v>798</v>
      </c>
      <c r="B12" s="489">
        <v>110059119914</v>
      </c>
      <c r="C12" s="494" t="s">
        <v>799</v>
      </c>
      <c r="D12" s="86" t="s">
        <v>787</v>
      </c>
      <c r="E12" s="491">
        <v>8.2900000000000001E-2</v>
      </c>
      <c r="F12" s="86" t="s">
        <v>800</v>
      </c>
      <c r="G12" s="65">
        <v>45878</v>
      </c>
    </row>
    <row r="13" spans="1:10" ht="14.25" customHeight="1" x14ac:dyDescent="0.3">
      <c r="A13" s="86" t="s">
        <v>149</v>
      </c>
      <c r="B13" s="489">
        <v>110154325473</v>
      </c>
      <c r="C13" s="490" t="s">
        <v>801</v>
      </c>
      <c r="D13" s="86" t="s">
        <v>787</v>
      </c>
      <c r="E13" s="491">
        <v>8.2900000000000001E-2</v>
      </c>
      <c r="F13" s="86" t="s">
        <v>800</v>
      </c>
      <c r="G13" s="65">
        <v>45878</v>
      </c>
    </row>
    <row r="14" spans="1:10" ht="14.25" customHeight="1" x14ac:dyDescent="0.3">
      <c r="B14" s="489"/>
      <c r="C14" s="490"/>
      <c r="E14" s="491"/>
      <c r="G14" s="65"/>
    </row>
    <row r="15" spans="1:10" ht="14.25" customHeight="1" x14ac:dyDescent="0.3">
      <c r="B15" s="489"/>
      <c r="C15" s="490"/>
      <c r="E15" s="491"/>
      <c r="G15" s="65"/>
    </row>
    <row r="16" spans="1:10" ht="14.25" customHeight="1" x14ac:dyDescent="0.3">
      <c r="B16" s="489"/>
      <c r="C16" s="490"/>
      <c r="E16" s="491"/>
      <c r="G16" s="65"/>
    </row>
    <row r="17" spans="2:7" ht="14.25" customHeight="1" x14ac:dyDescent="0.3">
      <c r="B17" s="489"/>
      <c r="C17" s="490"/>
      <c r="E17" s="491"/>
      <c r="G17" s="65"/>
    </row>
    <row r="18" spans="2:7" ht="14.25" customHeight="1" x14ac:dyDescent="0.3">
      <c r="B18" s="489"/>
      <c r="C18" s="490"/>
      <c r="E18" s="491"/>
      <c r="G18" s="65"/>
    </row>
    <row r="19" spans="2:7" ht="14.25" customHeight="1" x14ac:dyDescent="0.3">
      <c r="B19" s="489"/>
      <c r="C19" s="490"/>
      <c r="E19" s="491"/>
      <c r="G19" s="65"/>
    </row>
    <row r="20" spans="2:7" ht="14.25" customHeight="1" x14ac:dyDescent="0.3">
      <c r="B20" s="489"/>
      <c r="C20" s="490"/>
      <c r="E20" s="491"/>
      <c r="G20" s="65"/>
    </row>
    <row r="21" spans="2:7" ht="14.25" customHeight="1" x14ac:dyDescent="0.3">
      <c r="B21" s="489"/>
      <c r="C21" s="490"/>
      <c r="E21" s="491"/>
      <c r="G21" s="65"/>
    </row>
    <row r="22" spans="2:7" ht="14.25" customHeight="1" x14ac:dyDescent="0.3">
      <c r="B22" s="489"/>
      <c r="C22" s="490"/>
      <c r="E22" s="491"/>
      <c r="G22" s="65"/>
    </row>
    <row r="23" spans="2:7" ht="14.25" customHeight="1" x14ac:dyDescent="0.3">
      <c r="B23" s="489"/>
      <c r="C23" s="490"/>
      <c r="E23" s="491"/>
      <c r="G23" s="65"/>
    </row>
    <row r="24" spans="2:7" ht="14.25" customHeight="1" x14ac:dyDescent="0.3">
      <c r="B24" s="489"/>
      <c r="C24" s="490"/>
      <c r="E24" s="491"/>
      <c r="G24" s="65"/>
    </row>
    <row r="25" spans="2:7" ht="14.25" customHeight="1" x14ac:dyDescent="0.3">
      <c r="B25" s="489"/>
      <c r="C25" s="490"/>
      <c r="E25" s="491"/>
      <c r="G25" s="65"/>
    </row>
    <row r="26" spans="2:7" ht="14.25" customHeight="1" x14ac:dyDescent="0.3">
      <c r="B26" s="489"/>
      <c r="C26" s="490"/>
      <c r="E26" s="491"/>
      <c r="G26" s="65"/>
    </row>
    <row r="27" spans="2:7" ht="14.25" customHeight="1" x14ac:dyDescent="0.3">
      <c r="B27" s="489"/>
      <c r="C27" s="490"/>
      <c r="E27" s="491"/>
      <c r="G27" s="65"/>
    </row>
    <row r="28" spans="2:7" ht="14.25" customHeight="1" x14ac:dyDescent="0.3">
      <c r="B28" s="489"/>
      <c r="C28" s="490"/>
      <c r="E28" s="491"/>
      <c r="G28" s="65"/>
    </row>
    <row r="29" spans="2:7" ht="14.25" customHeight="1" x14ac:dyDescent="0.3">
      <c r="B29" s="489"/>
      <c r="C29" s="490"/>
      <c r="E29" s="491"/>
      <c r="G29" s="65"/>
    </row>
    <row r="30" spans="2:7" ht="14.25" customHeight="1" x14ac:dyDescent="0.3">
      <c r="B30" s="489"/>
      <c r="C30" s="490"/>
      <c r="E30" s="491"/>
      <c r="G30" s="65"/>
    </row>
    <row r="31" spans="2:7" ht="14.25" customHeight="1" x14ac:dyDescent="0.3">
      <c r="B31" s="489"/>
      <c r="C31" s="490"/>
      <c r="E31" s="491"/>
      <c r="G31" s="65"/>
    </row>
    <row r="32" spans="2:7" ht="14.25" customHeight="1" x14ac:dyDescent="0.3">
      <c r="B32" s="489"/>
      <c r="C32" s="490"/>
      <c r="E32" s="491"/>
      <c r="G32" s="65"/>
    </row>
    <row r="33" spans="2:7" ht="14.25" customHeight="1" x14ac:dyDescent="0.3">
      <c r="B33" s="489"/>
      <c r="C33" s="490"/>
      <c r="E33" s="491"/>
      <c r="G33" s="65"/>
    </row>
    <row r="34" spans="2:7" ht="14.25" customHeight="1" x14ac:dyDescent="0.3">
      <c r="B34" s="489"/>
      <c r="C34" s="490"/>
      <c r="E34" s="491"/>
      <c r="G34" s="65"/>
    </row>
    <row r="35" spans="2:7" ht="14.25" customHeight="1" x14ac:dyDescent="0.3">
      <c r="B35" s="489"/>
      <c r="C35" s="490"/>
      <c r="E35" s="491"/>
      <c r="G35" s="65"/>
    </row>
    <row r="36" spans="2:7" ht="14.25" customHeight="1" x14ac:dyDescent="0.3">
      <c r="B36" s="489"/>
      <c r="C36" s="490"/>
      <c r="E36" s="491"/>
      <c r="G36" s="65"/>
    </row>
    <row r="37" spans="2:7" ht="14.25" customHeight="1" x14ac:dyDescent="0.3">
      <c r="B37" s="489"/>
      <c r="C37" s="490"/>
      <c r="E37" s="491"/>
      <c r="G37" s="65"/>
    </row>
    <row r="38" spans="2:7" ht="14.25" customHeight="1" x14ac:dyDescent="0.3">
      <c r="B38" s="489"/>
      <c r="C38" s="490"/>
      <c r="E38" s="491"/>
      <c r="G38" s="65"/>
    </row>
    <row r="39" spans="2:7" ht="14.25" customHeight="1" x14ac:dyDescent="0.3">
      <c r="B39" s="489"/>
      <c r="C39" s="490"/>
      <c r="E39" s="491"/>
      <c r="G39" s="65"/>
    </row>
    <row r="40" spans="2:7" ht="14.25" customHeight="1" x14ac:dyDescent="0.3">
      <c r="B40" s="489"/>
      <c r="C40" s="490"/>
      <c r="E40" s="491"/>
      <c r="G40" s="65"/>
    </row>
    <row r="41" spans="2:7" ht="14.25" customHeight="1" x14ac:dyDescent="0.3">
      <c r="B41" s="489"/>
      <c r="C41" s="490"/>
      <c r="E41" s="491"/>
      <c r="G41" s="65"/>
    </row>
    <row r="42" spans="2:7" ht="14.25" customHeight="1" x14ac:dyDescent="0.3">
      <c r="B42" s="489"/>
      <c r="C42" s="490"/>
      <c r="E42" s="491"/>
      <c r="G42" s="65"/>
    </row>
    <row r="43" spans="2:7" ht="14.25" customHeight="1" x14ac:dyDescent="0.3">
      <c r="B43" s="489"/>
      <c r="C43" s="490"/>
      <c r="E43" s="491"/>
      <c r="G43" s="65"/>
    </row>
    <row r="44" spans="2:7" ht="14.25" customHeight="1" x14ac:dyDescent="0.3">
      <c r="B44" s="489"/>
      <c r="C44" s="490"/>
      <c r="E44" s="491"/>
      <c r="G44" s="65"/>
    </row>
    <row r="45" spans="2:7" ht="14.25" customHeight="1" x14ac:dyDescent="0.3">
      <c r="B45" s="489"/>
      <c r="C45" s="490"/>
      <c r="E45" s="491"/>
      <c r="G45" s="65"/>
    </row>
    <row r="46" spans="2:7" ht="14.25" customHeight="1" x14ac:dyDescent="0.3">
      <c r="B46" s="489"/>
      <c r="C46" s="490"/>
      <c r="E46" s="491"/>
      <c r="G46" s="65"/>
    </row>
    <row r="47" spans="2:7" ht="14.25" customHeight="1" x14ac:dyDescent="0.3">
      <c r="B47" s="489"/>
      <c r="C47" s="490"/>
      <c r="E47" s="491"/>
      <c r="G47" s="65"/>
    </row>
    <row r="48" spans="2:7" ht="14.25" customHeight="1" x14ac:dyDescent="0.3">
      <c r="B48" s="489"/>
      <c r="C48" s="490"/>
      <c r="E48" s="491"/>
      <c r="G48" s="65"/>
    </row>
    <row r="49" spans="2:7" ht="14.25" customHeight="1" x14ac:dyDescent="0.3">
      <c r="B49" s="489"/>
      <c r="C49" s="490"/>
      <c r="E49" s="491"/>
      <c r="G49" s="65"/>
    </row>
    <row r="50" spans="2:7" ht="14.25" customHeight="1" x14ac:dyDescent="0.3">
      <c r="B50" s="489"/>
      <c r="C50" s="490"/>
      <c r="E50" s="491"/>
      <c r="G50" s="65"/>
    </row>
    <row r="51" spans="2:7" ht="14.25" customHeight="1" x14ac:dyDescent="0.3">
      <c r="B51" s="489"/>
      <c r="C51" s="490"/>
      <c r="E51" s="491"/>
      <c r="G51" s="65"/>
    </row>
    <row r="52" spans="2:7" ht="14.25" customHeight="1" x14ac:dyDescent="0.3">
      <c r="B52" s="489"/>
      <c r="C52" s="490"/>
      <c r="E52" s="491"/>
      <c r="G52" s="65"/>
    </row>
    <row r="53" spans="2:7" ht="14.25" customHeight="1" x14ac:dyDescent="0.3">
      <c r="B53" s="489"/>
      <c r="C53" s="490"/>
      <c r="E53" s="491"/>
      <c r="G53" s="65"/>
    </row>
    <row r="54" spans="2:7" ht="14.25" customHeight="1" x14ac:dyDescent="0.3">
      <c r="B54" s="489"/>
      <c r="C54" s="490"/>
      <c r="E54" s="491"/>
      <c r="G54" s="65"/>
    </row>
    <row r="55" spans="2:7" ht="14.25" customHeight="1" x14ac:dyDescent="0.3">
      <c r="B55" s="489"/>
      <c r="C55" s="490"/>
      <c r="E55" s="491"/>
      <c r="G55" s="65"/>
    </row>
    <row r="56" spans="2:7" ht="14.25" customHeight="1" x14ac:dyDescent="0.3">
      <c r="B56" s="489"/>
      <c r="C56" s="490"/>
      <c r="E56" s="491"/>
      <c r="G56" s="65"/>
    </row>
    <row r="57" spans="2:7" ht="14.25" customHeight="1" x14ac:dyDescent="0.3">
      <c r="B57" s="489"/>
      <c r="C57" s="490"/>
      <c r="E57" s="491"/>
      <c r="G57" s="65"/>
    </row>
    <row r="58" spans="2:7" ht="14.25" customHeight="1" x14ac:dyDescent="0.3">
      <c r="B58" s="489"/>
      <c r="C58" s="490"/>
      <c r="E58" s="491"/>
      <c r="G58" s="65"/>
    </row>
    <row r="59" spans="2:7" ht="14.25" customHeight="1" x14ac:dyDescent="0.3">
      <c r="B59" s="489"/>
      <c r="C59" s="490"/>
      <c r="E59" s="491"/>
      <c r="G59" s="65"/>
    </row>
    <row r="60" spans="2:7" ht="14.25" customHeight="1" x14ac:dyDescent="0.3">
      <c r="B60" s="489"/>
      <c r="C60" s="490"/>
      <c r="E60" s="491"/>
      <c r="G60" s="65"/>
    </row>
    <row r="61" spans="2:7" ht="14.25" customHeight="1" x14ac:dyDescent="0.3">
      <c r="B61" s="489"/>
      <c r="C61" s="490"/>
      <c r="E61" s="491"/>
      <c r="G61" s="65"/>
    </row>
    <row r="62" spans="2:7" ht="14.25" customHeight="1" x14ac:dyDescent="0.3">
      <c r="B62" s="489"/>
      <c r="C62" s="490"/>
      <c r="E62" s="491"/>
      <c r="G62" s="65"/>
    </row>
    <row r="63" spans="2:7" ht="14.25" customHeight="1" x14ac:dyDescent="0.3">
      <c r="B63" s="489"/>
      <c r="C63" s="490"/>
      <c r="E63" s="491"/>
      <c r="G63" s="65"/>
    </row>
    <row r="64" spans="2:7" ht="14.25" customHeight="1" x14ac:dyDescent="0.3">
      <c r="B64" s="489"/>
      <c r="C64" s="490"/>
      <c r="E64" s="491"/>
      <c r="G64" s="65"/>
    </row>
    <row r="65" spans="2:7" ht="14.25" customHeight="1" x14ac:dyDescent="0.3">
      <c r="B65" s="489"/>
      <c r="C65" s="490"/>
      <c r="E65" s="491"/>
      <c r="G65" s="65"/>
    </row>
    <row r="66" spans="2:7" ht="14.25" customHeight="1" x14ac:dyDescent="0.3">
      <c r="B66" s="489"/>
      <c r="C66" s="490"/>
      <c r="E66" s="491"/>
      <c r="G66" s="65"/>
    </row>
    <row r="67" spans="2:7" ht="14.25" customHeight="1" x14ac:dyDescent="0.3">
      <c r="B67" s="489"/>
      <c r="C67" s="490"/>
      <c r="E67" s="491"/>
      <c r="G67" s="65"/>
    </row>
    <row r="68" spans="2:7" ht="14.25" customHeight="1" x14ac:dyDescent="0.3">
      <c r="B68" s="489"/>
      <c r="C68" s="490"/>
      <c r="E68" s="491"/>
      <c r="G68" s="65"/>
    </row>
    <row r="69" spans="2:7" ht="14.25" customHeight="1" x14ac:dyDescent="0.3">
      <c r="B69" s="489"/>
      <c r="C69" s="490"/>
      <c r="E69" s="491"/>
      <c r="G69" s="65"/>
    </row>
    <row r="70" spans="2:7" ht="14.25" customHeight="1" x14ac:dyDescent="0.3">
      <c r="B70" s="489"/>
      <c r="C70" s="490"/>
      <c r="E70" s="491"/>
      <c r="G70" s="65"/>
    </row>
    <row r="71" spans="2:7" ht="14.25" customHeight="1" x14ac:dyDescent="0.3">
      <c r="B71" s="489"/>
      <c r="C71" s="490"/>
      <c r="E71" s="491"/>
      <c r="G71" s="65"/>
    </row>
    <row r="72" spans="2:7" ht="14.25" customHeight="1" x14ac:dyDescent="0.3">
      <c r="B72" s="489"/>
      <c r="C72" s="490"/>
      <c r="E72" s="491"/>
      <c r="G72" s="65"/>
    </row>
    <row r="73" spans="2:7" ht="14.25" customHeight="1" x14ac:dyDescent="0.3">
      <c r="B73" s="489"/>
      <c r="C73" s="490"/>
      <c r="E73" s="491"/>
      <c r="G73" s="65"/>
    </row>
    <row r="74" spans="2:7" ht="14.25" customHeight="1" x14ac:dyDescent="0.3">
      <c r="B74" s="489"/>
      <c r="C74" s="490"/>
      <c r="E74" s="491"/>
      <c r="G74" s="65"/>
    </row>
    <row r="75" spans="2:7" ht="14.25" customHeight="1" x14ac:dyDescent="0.3">
      <c r="B75" s="489"/>
      <c r="C75" s="490"/>
      <c r="E75" s="491"/>
      <c r="G75" s="65"/>
    </row>
    <row r="76" spans="2:7" ht="14.25" customHeight="1" x14ac:dyDescent="0.3">
      <c r="B76" s="489"/>
      <c r="C76" s="490"/>
      <c r="E76" s="491"/>
      <c r="G76" s="65"/>
    </row>
    <row r="77" spans="2:7" ht="14.25" customHeight="1" x14ac:dyDescent="0.3">
      <c r="B77" s="489"/>
      <c r="C77" s="490"/>
      <c r="E77" s="491"/>
      <c r="G77" s="65"/>
    </row>
    <row r="78" spans="2:7" ht="14.25" customHeight="1" x14ac:dyDescent="0.3">
      <c r="B78" s="489"/>
      <c r="C78" s="490"/>
      <c r="E78" s="491"/>
      <c r="G78" s="65"/>
    </row>
    <row r="79" spans="2:7" ht="14.25" customHeight="1" x14ac:dyDescent="0.3">
      <c r="B79" s="489"/>
      <c r="C79" s="490"/>
      <c r="E79" s="491"/>
      <c r="G79" s="65"/>
    </row>
    <row r="80" spans="2:7" ht="14.25" customHeight="1" x14ac:dyDescent="0.3">
      <c r="B80" s="489"/>
      <c r="C80" s="490"/>
      <c r="E80" s="491"/>
      <c r="G80" s="65"/>
    </row>
    <row r="81" spans="2:7" ht="14.25" customHeight="1" x14ac:dyDescent="0.3">
      <c r="B81" s="489"/>
      <c r="C81" s="490"/>
      <c r="E81" s="491"/>
      <c r="G81" s="65"/>
    </row>
    <row r="82" spans="2:7" ht="14.25" customHeight="1" x14ac:dyDescent="0.3">
      <c r="B82" s="489"/>
      <c r="C82" s="490"/>
      <c r="E82" s="491"/>
      <c r="G82" s="65"/>
    </row>
    <row r="83" spans="2:7" ht="14.25" customHeight="1" x14ac:dyDescent="0.3">
      <c r="B83" s="489"/>
      <c r="C83" s="490"/>
      <c r="E83" s="491"/>
      <c r="G83" s="65"/>
    </row>
    <row r="84" spans="2:7" ht="14.25" customHeight="1" x14ac:dyDescent="0.3">
      <c r="B84" s="489"/>
      <c r="C84" s="490"/>
      <c r="E84" s="491"/>
      <c r="G84" s="65"/>
    </row>
    <row r="85" spans="2:7" ht="14.25" customHeight="1" x14ac:dyDescent="0.3">
      <c r="B85" s="489"/>
      <c r="C85" s="490"/>
      <c r="E85" s="491"/>
      <c r="G85" s="65"/>
    </row>
    <row r="86" spans="2:7" ht="14.25" customHeight="1" x14ac:dyDescent="0.3">
      <c r="B86" s="489"/>
      <c r="C86" s="490"/>
      <c r="E86" s="491"/>
      <c r="G86" s="65"/>
    </row>
    <row r="87" spans="2:7" ht="14.25" customHeight="1" x14ac:dyDescent="0.3">
      <c r="B87" s="489"/>
      <c r="C87" s="490"/>
      <c r="E87" s="491"/>
      <c r="G87" s="65"/>
    </row>
    <row r="88" spans="2:7" ht="14.25" customHeight="1" x14ac:dyDescent="0.3">
      <c r="B88" s="489"/>
      <c r="C88" s="490"/>
      <c r="E88" s="491"/>
      <c r="G88" s="65"/>
    </row>
    <row r="89" spans="2:7" ht="14.25" customHeight="1" x14ac:dyDescent="0.3">
      <c r="B89" s="489"/>
      <c r="C89" s="490"/>
      <c r="E89" s="491"/>
      <c r="G89" s="65"/>
    </row>
    <row r="90" spans="2:7" ht="14.25" customHeight="1" x14ac:dyDescent="0.3">
      <c r="B90" s="489"/>
      <c r="C90" s="490"/>
      <c r="E90" s="491"/>
      <c r="G90" s="65"/>
    </row>
    <row r="91" spans="2:7" ht="14.25" customHeight="1" x14ac:dyDescent="0.3">
      <c r="B91" s="489"/>
      <c r="C91" s="490"/>
      <c r="E91" s="491"/>
      <c r="G91" s="65"/>
    </row>
    <row r="92" spans="2:7" ht="14.25" customHeight="1" x14ac:dyDescent="0.3">
      <c r="B92" s="489"/>
      <c r="C92" s="490"/>
      <c r="E92" s="491"/>
      <c r="G92" s="65"/>
    </row>
    <row r="93" spans="2:7" ht="14.25" customHeight="1" x14ac:dyDescent="0.3">
      <c r="B93" s="489"/>
      <c r="C93" s="490"/>
      <c r="E93" s="491"/>
      <c r="G93" s="65"/>
    </row>
    <row r="94" spans="2:7" ht="14.25" customHeight="1" x14ac:dyDescent="0.3">
      <c r="B94" s="489"/>
      <c r="C94" s="490"/>
      <c r="E94" s="491"/>
      <c r="G94" s="65"/>
    </row>
    <row r="95" spans="2:7" ht="14.25" customHeight="1" x14ac:dyDescent="0.3">
      <c r="B95" s="489"/>
      <c r="C95" s="490"/>
      <c r="E95" s="491"/>
      <c r="G95" s="65"/>
    </row>
    <row r="96" spans="2:7" ht="14.25" customHeight="1" x14ac:dyDescent="0.3">
      <c r="B96" s="489"/>
      <c r="C96" s="490"/>
      <c r="E96" s="491"/>
      <c r="G96" s="65"/>
    </row>
    <row r="97" spans="2:7" ht="14.25" customHeight="1" x14ac:dyDescent="0.3">
      <c r="B97" s="489"/>
      <c r="C97" s="490"/>
      <c r="E97" s="491"/>
      <c r="G97" s="65"/>
    </row>
    <row r="98" spans="2:7" ht="14.25" customHeight="1" x14ac:dyDescent="0.3">
      <c r="B98" s="489"/>
      <c r="C98" s="490"/>
      <c r="E98" s="491"/>
      <c r="G98" s="65"/>
    </row>
    <row r="99" spans="2:7" ht="14.25" customHeight="1" x14ac:dyDescent="0.3">
      <c r="B99" s="489"/>
      <c r="C99" s="490"/>
      <c r="E99" s="491"/>
      <c r="G99" s="65"/>
    </row>
    <row r="100" spans="2:7" ht="14.25" customHeight="1" x14ac:dyDescent="0.3">
      <c r="B100" s="489"/>
      <c r="C100" s="490"/>
      <c r="E100" s="491"/>
      <c r="G100" s="65"/>
    </row>
    <row r="101" spans="2:7" ht="14.25" customHeight="1" x14ac:dyDescent="0.3">
      <c r="B101" s="489"/>
      <c r="C101" s="490"/>
      <c r="E101" s="491"/>
      <c r="G101" s="65"/>
    </row>
    <row r="102" spans="2:7" ht="14.25" customHeight="1" x14ac:dyDescent="0.3">
      <c r="B102" s="489"/>
      <c r="C102" s="490"/>
      <c r="E102" s="491"/>
      <c r="G102" s="65"/>
    </row>
    <row r="103" spans="2:7" ht="14.25" customHeight="1" x14ac:dyDescent="0.3">
      <c r="B103" s="489"/>
      <c r="C103" s="490"/>
      <c r="E103" s="491"/>
      <c r="G103" s="65"/>
    </row>
    <row r="104" spans="2:7" ht="14.25" customHeight="1" x14ac:dyDescent="0.3">
      <c r="B104" s="489"/>
      <c r="C104" s="490"/>
      <c r="E104" s="491"/>
      <c r="G104" s="65"/>
    </row>
    <row r="105" spans="2:7" ht="14.25" customHeight="1" x14ac:dyDescent="0.3">
      <c r="B105" s="489"/>
      <c r="C105" s="490"/>
      <c r="E105" s="491"/>
      <c r="G105" s="65"/>
    </row>
    <row r="106" spans="2:7" ht="14.25" customHeight="1" x14ac:dyDescent="0.3">
      <c r="B106" s="489"/>
      <c r="C106" s="490"/>
      <c r="E106" s="491"/>
      <c r="G106" s="65"/>
    </row>
    <row r="107" spans="2:7" ht="14.25" customHeight="1" x14ac:dyDescent="0.3">
      <c r="B107" s="489"/>
      <c r="C107" s="490"/>
      <c r="E107" s="491"/>
      <c r="G107" s="65"/>
    </row>
    <row r="108" spans="2:7" ht="14.25" customHeight="1" x14ac:dyDescent="0.3">
      <c r="B108" s="489"/>
      <c r="C108" s="490"/>
      <c r="E108" s="491"/>
      <c r="G108" s="65"/>
    </row>
    <row r="109" spans="2:7" ht="14.25" customHeight="1" x14ac:dyDescent="0.3">
      <c r="B109" s="489"/>
      <c r="C109" s="490"/>
      <c r="E109" s="491"/>
      <c r="G109" s="65"/>
    </row>
    <row r="110" spans="2:7" ht="14.25" customHeight="1" x14ac:dyDescent="0.3">
      <c r="B110" s="489"/>
      <c r="C110" s="490"/>
      <c r="E110" s="491"/>
      <c r="G110" s="65"/>
    </row>
    <row r="111" spans="2:7" ht="14.25" customHeight="1" x14ac:dyDescent="0.3">
      <c r="B111" s="489"/>
      <c r="C111" s="490"/>
      <c r="E111" s="491"/>
      <c r="G111" s="65"/>
    </row>
    <row r="112" spans="2:7" ht="14.25" customHeight="1" x14ac:dyDescent="0.3">
      <c r="B112" s="489"/>
      <c r="C112" s="490"/>
      <c r="E112" s="491"/>
      <c r="G112" s="65"/>
    </row>
    <row r="113" spans="2:7" ht="14.25" customHeight="1" x14ac:dyDescent="0.3">
      <c r="B113" s="489"/>
      <c r="C113" s="490"/>
      <c r="E113" s="491"/>
      <c r="G113" s="65"/>
    </row>
    <row r="114" spans="2:7" ht="14.25" customHeight="1" x14ac:dyDescent="0.3">
      <c r="B114" s="489"/>
      <c r="C114" s="490"/>
      <c r="E114" s="491"/>
      <c r="G114" s="65"/>
    </row>
    <row r="115" spans="2:7" ht="14.25" customHeight="1" x14ac:dyDescent="0.3">
      <c r="B115" s="489"/>
      <c r="C115" s="490"/>
      <c r="E115" s="491"/>
      <c r="G115" s="65"/>
    </row>
    <row r="116" spans="2:7" ht="14.25" customHeight="1" x14ac:dyDescent="0.3">
      <c r="B116" s="489"/>
      <c r="C116" s="490"/>
      <c r="E116" s="491"/>
      <c r="G116" s="65"/>
    </row>
    <row r="117" spans="2:7" ht="14.25" customHeight="1" x14ac:dyDescent="0.3">
      <c r="B117" s="489"/>
      <c r="C117" s="490"/>
      <c r="E117" s="491"/>
      <c r="G117" s="65"/>
    </row>
    <row r="118" spans="2:7" ht="14.25" customHeight="1" x14ac:dyDescent="0.3">
      <c r="B118" s="489"/>
      <c r="C118" s="490"/>
      <c r="E118" s="491"/>
      <c r="G118" s="65"/>
    </row>
    <row r="119" spans="2:7" ht="14.25" customHeight="1" x14ac:dyDescent="0.3">
      <c r="B119" s="489"/>
      <c r="C119" s="490"/>
      <c r="E119" s="491"/>
      <c r="G119" s="65"/>
    </row>
    <row r="120" spans="2:7" ht="14.25" customHeight="1" x14ac:dyDescent="0.3">
      <c r="B120" s="489"/>
      <c r="C120" s="490"/>
      <c r="E120" s="491"/>
      <c r="G120" s="65"/>
    </row>
    <row r="121" spans="2:7" ht="14.25" customHeight="1" x14ac:dyDescent="0.3">
      <c r="B121" s="489"/>
      <c r="C121" s="490"/>
      <c r="E121" s="491"/>
      <c r="G121" s="65"/>
    </row>
    <row r="122" spans="2:7" ht="14.25" customHeight="1" x14ac:dyDescent="0.3">
      <c r="B122" s="489"/>
      <c r="C122" s="490"/>
      <c r="E122" s="491"/>
      <c r="G122" s="65"/>
    </row>
    <row r="123" spans="2:7" ht="14.25" customHeight="1" x14ac:dyDescent="0.3">
      <c r="B123" s="489"/>
      <c r="C123" s="490"/>
      <c r="E123" s="491"/>
      <c r="G123" s="65"/>
    </row>
    <row r="124" spans="2:7" ht="14.25" customHeight="1" x14ac:dyDescent="0.3">
      <c r="B124" s="489"/>
      <c r="C124" s="490"/>
      <c r="E124" s="491"/>
      <c r="G124" s="65"/>
    </row>
    <row r="125" spans="2:7" ht="14.25" customHeight="1" x14ac:dyDescent="0.3">
      <c r="B125" s="489"/>
      <c r="C125" s="490"/>
      <c r="E125" s="491"/>
      <c r="G125" s="65"/>
    </row>
    <row r="126" spans="2:7" ht="14.25" customHeight="1" x14ac:dyDescent="0.3">
      <c r="B126" s="489"/>
      <c r="C126" s="490"/>
      <c r="E126" s="491"/>
      <c r="G126" s="65"/>
    </row>
    <row r="127" spans="2:7" ht="14.25" customHeight="1" x14ac:dyDescent="0.3">
      <c r="B127" s="489"/>
      <c r="C127" s="490"/>
      <c r="E127" s="491"/>
      <c r="G127" s="65"/>
    </row>
    <row r="128" spans="2:7" ht="14.25" customHeight="1" x14ac:dyDescent="0.3">
      <c r="B128" s="489"/>
      <c r="C128" s="490"/>
      <c r="E128" s="491"/>
      <c r="G128" s="65"/>
    </row>
    <row r="129" spans="2:7" ht="14.25" customHeight="1" x14ac:dyDescent="0.3">
      <c r="B129" s="489"/>
      <c r="C129" s="490"/>
      <c r="E129" s="491"/>
      <c r="G129" s="65"/>
    </row>
    <row r="130" spans="2:7" ht="14.25" customHeight="1" x14ac:dyDescent="0.3">
      <c r="B130" s="489"/>
      <c r="C130" s="490"/>
      <c r="E130" s="491"/>
      <c r="G130" s="65"/>
    </row>
    <row r="131" spans="2:7" ht="14.25" customHeight="1" x14ac:dyDescent="0.3">
      <c r="B131" s="489"/>
      <c r="C131" s="490"/>
      <c r="E131" s="491"/>
      <c r="G131" s="65"/>
    </row>
    <row r="132" spans="2:7" ht="14.25" customHeight="1" x14ac:dyDescent="0.3">
      <c r="B132" s="489"/>
      <c r="C132" s="490"/>
      <c r="E132" s="491"/>
      <c r="G132" s="65"/>
    </row>
    <row r="133" spans="2:7" ht="14.25" customHeight="1" x14ac:dyDescent="0.3">
      <c r="B133" s="489"/>
      <c r="C133" s="490"/>
      <c r="E133" s="491"/>
      <c r="G133" s="65"/>
    </row>
    <row r="134" spans="2:7" ht="14.25" customHeight="1" x14ac:dyDescent="0.3">
      <c r="B134" s="489"/>
      <c r="C134" s="490"/>
      <c r="E134" s="491"/>
      <c r="G134" s="65"/>
    </row>
    <row r="135" spans="2:7" ht="14.25" customHeight="1" x14ac:dyDescent="0.3">
      <c r="B135" s="489"/>
      <c r="C135" s="490"/>
      <c r="E135" s="491"/>
      <c r="G135" s="65"/>
    </row>
    <row r="136" spans="2:7" ht="14.25" customHeight="1" x14ac:dyDescent="0.3">
      <c r="B136" s="489"/>
      <c r="C136" s="490"/>
      <c r="E136" s="491"/>
      <c r="G136" s="65"/>
    </row>
    <row r="137" spans="2:7" ht="14.25" customHeight="1" x14ac:dyDescent="0.3">
      <c r="B137" s="489"/>
      <c r="C137" s="490"/>
      <c r="E137" s="491"/>
      <c r="G137" s="65"/>
    </row>
    <row r="138" spans="2:7" ht="14.25" customHeight="1" x14ac:dyDescent="0.3">
      <c r="B138" s="489"/>
      <c r="C138" s="490"/>
      <c r="E138" s="491"/>
      <c r="G138" s="65"/>
    </row>
    <row r="139" spans="2:7" ht="14.25" customHeight="1" x14ac:dyDescent="0.3">
      <c r="B139" s="489"/>
      <c r="C139" s="490"/>
      <c r="E139" s="491"/>
      <c r="G139" s="65"/>
    </row>
    <row r="140" spans="2:7" ht="14.25" customHeight="1" x14ac:dyDescent="0.3">
      <c r="B140" s="489"/>
      <c r="C140" s="490"/>
      <c r="E140" s="491"/>
      <c r="G140" s="65"/>
    </row>
    <row r="141" spans="2:7" ht="14.25" customHeight="1" x14ac:dyDescent="0.3">
      <c r="B141" s="489"/>
      <c r="C141" s="490"/>
      <c r="E141" s="491"/>
      <c r="G141" s="65"/>
    </row>
    <row r="142" spans="2:7" ht="14.25" customHeight="1" x14ac:dyDescent="0.3">
      <c r="B142" s="489"/>
      <c r="C142" s="490"/>
      <c r="E142" s="491"/>
      <c r="G142" s="65"/>
    </row>
    <row r="143" spans="2:7" ht="14.25" customHeight="1" x14ac:dyDescent="0.3">
      <c r="B143" s="489"/>
      <c r="C143" s="490"/>
      <c r="E143" s="491"/>
      <c r="G143" s="65"/>
    </row>
    <row r="144" spans="2:7" ht="14.25" customHeight="1" x14ac:dyDescent="0.3">
      <c r="B144" s="489"/>
      <c r="C144" s="490"/>
      <c r="E144" s="491"/>
      <c r="G144" s="65"/>
    </row>
    <row r="145" spans="2:7" ht="14.25" customHeight="1" x14ac:dyDescent="0.3">
      <c r="B145" s="489"/>
      <c r="C145" s="490"/>
      <c r="E145" s="491"/>
      <c r="G145" s="65"/>
    </row>
    <row r="146" spans="2:7" ht="14.25" customHeight="1" x14ac:dyDescent="0.3">
      <c r="B146" s="489"/>
      <c r="C146" s="490"/>
      <c r="E146" s="491"/>
      <c r="G146" s="65"/>
    </row>
    <row r="147" spans="2:7" ht="14.25" customHeight="1" x14ac:dyDescent="0.3">
      <c r="B147" s="489"/>
      <c r="C147" s="490"/>
      <c r="E147" s="491"/>
      <c r="G147" s="65"/>
    </row>
    <row r="148" spans="2:7" ht="14.25" customHeight="1" x14ac:dyDescent="0.3">
      <c r="B148" s="489"/>
      <c r="C148" s="490"/>
      <c r="E148" s="491"/>
      <c r="G148" s="65"/>
    </row>
    <row r="149" spans="2:7" ht="14.25" customHeight="1" x14ac:dyDescent="0.3">
      <c r="B149" s="489"/>
      <c r="C149" s="490"/>
      <c r="E149" s="491"/>
      <c r="G149" s="65"/>
    </row>
    <row r="150" spans="2:7" ht="14.25" customHeight="1" x14ac:dyDescent="0.3">
      <c r="B150" s="489"/>
      <c r="C150" s="490"/>
      <c r="E150" s="491"/>
      <c r="G150" s="65"/>
    </row>
    <row r="151" spans="2:7" ht="14.25" customHeight="1" x14ac:dyDescent="0.3">
      <c r="B151" s="489"/>
      <c r="C151" s="490"/>
      <c r="E151" s="491"/>
      <c r="G151" s="65"/>
    </row>
    <row r="152" spans="2:7" ht="14.25" customHeight="1" x14ac:dyDescent="0.3">
      <c r="B152" s="489"/>
      <c r="C152" s="490"/>
      <c r="E152" s="491"/>
      <c r="G152" s="65"/>
    </row>
    <row r="153" spans="2:7" ht="14.25" customHeight="1" x14ac:dyDescent="0.3">
      <c r="B153" s="489"/>
      <c r="C153" s="490"/>
      <c r="E153" s="491"/>
      <c r="G153" s="65"/>
    </row>
    <row r="154" spans="2:7" ht="14.25" customHeight="1" x14ac:dyDescent="0.3">
      <c r="B154" s="489"/>
      <c r="C154" s="490"/>
      <c r="E154" s="491"/>
      <c r="G154" s="65"/>
    </row>
    <row r="155" spans="2:7" ht="14.25" customHeight="1" x14ac:dyDescent="0.3">
      <c r="B155" s="489"/>
      <c r="C155" s="490"/>
      <c r="E155" s="491"/>
      <c r="G155" s="65"/>
    </row>
    <row r="156" spans="2:7" ht="14.25" customHeight="1" x14ac:dyDescent="0.3">
      <c r="B156" s="489"/>
      <c r="C156" s="490"/>
      <c r="E156" s="491"/>
      <c r="G156" s="65"/>
    </row>
    <row r="157" spans="2:7" ht="14.25" customHeight="1" x14ac:dyDescent="0.3">
      <c r="B157" s="489"/>
      <c r="C157" s="490"/>
      <c r="E157" s="491"/>
      <c r="G157" s="65"/>
    </row>
    <row r="158" spans="2:7" ht="14.25" customHeight="1" x14ac:dyDescent="0.3">
      <c r="B158" s="489"/>
      <c r="C158" s="490"/>
      <c r="E158" s="491"/>
      <c r="G158" s="65"/>
    </row>
    <row r="159" spans="2:7" ht="14.25" customHeight="1" x14ac:dyDescent="0.3">
      <c r="B159" s="489"/>
      <c r="C159" s="490"/>
      <c r="E159" s="491"/>
      <c r="G159" s="65"/>
    </row>
    <row r="160" spans="2:7" ht="14.25" customHeight="1" x14ac:dyDescent="0.3">
      <c r="B160" s="489"/>
      <c r="C160" s="490"/>
      <c r="E160" s="491"/>
      <c r="G160" s="65"/>
    </row>
    <row r="161" spans="2:7" ht="14.25" customHeight="1" x14ac:dyDescent="0.3">
      <c r="B161" s="489"/>
      <c r="C161" s="490"/>
      <c r="E161" s="491"/>
      <c r="G161" s="65"/>
    </row>
    <row r="162" spans="2:7" ht="14.25" customHeight="1" x14ac:dyDescent="0.3">
      <c r="B162" s="489"/>
      <c r="C162" s="490"/>
      <c r="E162" s="491"/>
      <c r="G162" s="65"/>
    </row>
    <row r="163" spans="2:7" ht="14.25" customHeight="1" x14ac:dyDescent="0.3">
      <c r="B163" s="489"/>
      <c r="C163" s="490"/>
      <c r="E163" s="491"/>
      <c r="G163" s="65"/>
    </row>
    <row r="164" spans="2:7" ht="14.25" customHeight="1" x14ac:dyDescent="0.3">
      <c r="B164" s="489"/>
      <c r="C164" s="490"/>
      <c r="E164" s="491"/>
      <c r="G164" s="65"/>
    </row>
    <row r="165" spans="2:7" ht="14.25" customHeight="1" x14ac:dyDescent="0.3">
      <c r="B165" s="489"/>
      <c r="C165" s="490"/>
      <c r="E165" s="491"/>
      <c r="G165" s="65"/>
    </row>
    <row r="166" spans="2:7" ht="14.25" customHeight="1" x14ac:dyDescent="0.3">
      <c r="B166" s="489"/>
      <c r="C166" s="490"/>
      <c r="E166" s="491"/>
      <c r="G166" s="65"/>
    </row>
    <row r="167" spans="2:7" ht="14.25" customHeight="1" x14ac:dyDescent="0.3">
      <c r="B167" s="489"/>
      <c r="C167" s="490"/>
      <c r="E167" s="491"/>
      <c r="G167" s="65"/>
    </row>
    <row r="168" spans="2:7" ht="14.25" customHeight="1" x14ac:dyDescent="0.3">
      <c r="B168" s="489"/>
      <c r="C168" s="490"/>
      <c r="E168" s="491"/>
      <c r="G168" s="65"/>
    </row>
    <row r="169" spans="2:7" ht="14.25" customHeight="1" x14ac:dyDescent="0.3">
      <c r="B169" s="489"/>
      <c r="C169" s="490"/>
      <c r="E169" s="491"/>
      <c r="G169" s="65"/>
    </row>
    <row r="170" spans="2:7" ht="14.25" customHeight="1" x14ac:dyDescent="0.3">
      <c r="B170" s="489"/>
      <c r="C170" s="490"/>
      <c r="E170" s="491"/>
      <c r="G170" s="65"/>
    </row>
    <row r="171" spans="2:7" ht="14.25" customHeight="1" x14ac:dyDescent="0.3">
      <c r="B171" s="489"/>
      <c r="C171" s="490"/>
      <c r="E171" s="491"/>
      <c r="G171" s="65"/>
    </row>
    <row r="172" spans="2:7" ht="14.25" customHeight="1" x14ac:dyDescent="0.3">
      <c r="B172" s="489"/>
      <c r="C172" s="490"/>
      <c r="E172" s="491"/>
      <c r="G172" s="65"/>
    </row>
    <row r="173" spans="2:7" ht="14.25" customHeight="1" x14ac:dyDescent="0.3">
      <c r="B173" s="489"/>
      <c r="C173" s="490"/>
      <c r="E173" s="491"/>
      <c r="G173" s="65"/>
    </row>
    <row r="174" spans="2:7" ht="14.25" customHeight="1" x14ac:dyDescent="0.3">
      <c r="B174" s="489"/>
      <c r="C174" s="490"/>
      <c r="E174" s="491"/>
      <c r="G174" s="65"/>
    </row>
    <row r="175" spans="2:7" ht="14.25" customHeight="1" x14ac:dyDescent="0.3">
      <c r="B175" s="489"/>
      <c r="C175" s="490"/>
      <c r="E175" s="491"/>
      <c r="G175" s="65"/>
    </row>
    <row r="176" spans="2:7" ht="14.25" customHeight="1" x14ac:dyDescent="0.3">
      <c r="B176" s="489"/>
      <c r="C176" s="490"/>
      <c r="E176" s="491"/>
      <c r="G176" s="65"/>
    </row>
    <row r="177" spans="2:7" ht="14.25" customHeight="1" x14ac:dyDescent="0.3">
      <c r="B177" s="489"/>
      <c r="C177" s="490"/>
      <c r="E177" s="491"/>
      <c r="G177" s="65"/>
    </row>
    <row r="178" spans="2:7" ht="14.25" customHeight="1" x14ac:dyDescent="0.3">
      <c r="B178" s="489"/>
      <c r="C178" s="490"/>
      <c r="E178" s="491"/>
      <c r="G178" s="65"/>
    </row>
    <row r="179" spans="2:7" ht="14.25" customHeight="1" x14ac:dyDescent="0.3">
      <c r="B179" s="489"/>
      <c r="C179" s="490"/>
      <c r="E179" s="491"/>
      <c r="G179" s="65"/>
    </row>
    <row r="180" spans="2:7" ht="14.25" customHeight="1" x14ac:dyDescent="0.3">
      <c r="B180" s="489"/>
      <c r="C180" s="490"/>
      <c r="E180" s="491"/>
      <c r="G180" s="65"/>
    </row>
    <row r="181" spans="2:7" ht="14.25" customHeight="1" x14ac:dyDescent="0.3">
      <c r="B181" s="489"/>
      <c r="C181" s="490"/>
      <c r="E181" s="491"/>
      <c r="G181" s="65"/>
    </row>
    <row r="182" spans="2:7" ht="14.25" customHeight="1" x14ac:dyDescent="0.3">
      <c r="B182" s="489"/>
      <c r="C182" s="490"/>
      <c r="E182" s="491"/>
      <c r="G182" s="65"/>
    </row>
    <row r="183" spans="2:7" ht="14.25" customHeight="1" x14ac:dyDescent="0.3">
      <c r="B183" s="489"/>
      <c r="C183" s="490"/>
      <c r="E183" s="491"/>
      <c r="G183" s="65"/>
    </row>
    <row r="184" spans="2:7" ht="14.25" customHeight="1" x14ac:dyDescent="0.3">
      <c r="B184" s="489"/>
      <c r="C184" s="490"/>
      <c r="E184" s="491"/>
      <c r="G184" s="65"/>
    </row>
    <row r="185" spans="2:7" ht="14.25" customHeight="1" x14ac:dyDescent="0.3">
      <c r="B185" s="489"/>
      <c r="C185" s="490"/>
      <c r="E185" s="491"/>
      <c r="G185" s="65"/>
    </row>
    <row r="186" spans="2:7" ht="14.25" customHeight="1" x14ac:dyDescent="0.3">
      <c r="B186" s="489"/>
      <c r="C186" s="490"/>
      <c r="E186" s="491"/>
      <c r="G186" s="65"/>
    </row>
    <row r="187" spans="2:7" ht="14.25" customHeight="1" x14ac:dyDescent="0.3">
      <c r="B187" s="489"/>
      <c r="C187" s="490"/>
      <c r="E187" s="491"/>
      <c r="G187" s="65"/>
    </row>
    <row r="188" spans="2:7" ht="14.25" customHeight="1" x14ac:dyDescent="0.3">
      <c r="B188" s="489"/>
      <c r="C188" s="490"/>
      <c r="E188" s="491"/>
      <c r="G188" s="65"/>
    </row>
    <row r="189" spans="2:7" ht="14.25" customHeight="1" x14ac:dyDescent="0.3">
      <c r="B189" s="489"/>
      <c r="C189" s="490"/>
      <c r="E189" s="491"/>
      <c r="G189" s="65"/>
    </row>
    <row r="190" spans="2:7" ht="14.25" customHeight="1" x14ac:dyDescent="0.3">
      <c r="B190" s="489"/>
      <c r="C190" s="490"/>
      <c r="E190" s="491"/>
      <c r="G190" s="65"/>
    </row>
    <row r="191" spans="2:7" ht="14.25" customHeight="1" x14ac:dyDescent="0.3">
      <c r="B191" s="489"/>
      <c r="C191" s="490"/>
      <c r="E191" s="491"/>
      <c r="G191" s="65"/>
    </row>
    <row r="192" spans="2:7" ht="14.25" customHeight="1" x14ac:dyDescent="0.3">
      <c r="B192" s="489"/>
      <c r="C192" s="490"/>
      <c r="E192" s="491"/>
      <c r="G192" s="65"/>
    </row>
    <row r="193" spans="2:7" ht="14.25" customHeight="1" x14ac:dyDescent="0.3">
      <c r="B193" s="489"/>
      <c r="C193" s="490"/>
      <c r="E193" s="491"/>
      <c r="G193" s="65"/>
    </row>
    <row r="194" spans="2:7" ht="14.25" customHeight="1" x14ac:dyDescent="0.3">
      <c r="B194" s="489"/>
      <c r="C194" s="490"/>
      <c r="E194" s="491"/>
      <c r="G194" s="65"/>
    </row>
    <row r="195" spans="2:7" ht="14.25" customHeight="1" x14ac:dyDescent="0.3">
      <c r="B195" s="489"/>
      <c r="C195" s="490"/>
      <c r="E195" s="491"/>
      <c r="G195" s="65"/>
    </row>
    <row r="196" spans="2:7" ht="14.25" customHeight="1" x14ac:dyDescent="0.3">
      <c r="B196" s="489"/>
      <c r="C196" s="490"/>
      <c r="E196" s="491"/>
      <c r="G196" s="65"/>
    </row>
    <row r="197" spans="2:7" ht="14.25" customHeight="1" x14ac:dyDescent="0.3">
      <c r="B197" s="489"/>
      <c r="C197" s="490"/>
      <c r="E197" s="491"/>
      <c r="G197" s="65"/>
    </row>
    <row r="198" spans="2:7" ht="14.25" customHeight="1" x14ac:dyDescent="0.3">
      <c r="B198" s="489"/>
      <c r="C198" s="490"/>
      <c r="E198" s="491"/>
      <c r="G198" s="65"/>
    </row>
    <row r="199" spans="2:7" ht="14.25" customHeight="1" x14ac:dyDescent="0.3">
      <c r="B199" s="489"/>
      <c r="C199" s="490"/>
      <c r="E199" s="491"/>
      <c r="G199" s="65"/>
    </row>
    <row r="200" spans="2:7" ht="14.25" customHeight="1" x14ac:dyDescent="0.3">
      <c r="B200" s="489"/>
      <c r="C200" s="490"/>
      <c r="E200" s="491"/>
      <c r="G200" s="65"/>
    </row>
    <row r="201" spans="2:7" ht="14.25" customHeight="1" x14ac:dyDescent="0.3">
      <c r="B201" s="489"/>
      <c r="C201" s="490"/>
      <c r="E201" s="491"/>
      <c r="G201" s="65"/>
    </row>
    <row r="202" spans="2:7" ht="14.25" customHeight="1" x14ac:dyDescent="0.3">
      <c r="B202" s="489"/>
      <c r="C202" s="490"/>
      <c r="E202" s="491"/>
      <c r="G202" s="65"/>
    </row>
    <row r="203" spans="2:7" ht="14.25" customHeight="1" x14ac:dyDescent="0.3">
      <c r="B203" s="489"/>
      <c r="C203" s="490"/>
      <c r="E203" s="491"/>
      <c r="G203" s="65"/>
    </row>
    <row r="204" spans="2:7" ht="14.25" customHeight="1" x14ac:dyDescent="0.3">
      <c r="B204" s="489"/>
      <c r="C204" s="490"/>
      <c r="E204" s="491"/>
      <c r="G204" s="65"/>
    </row>
    <row r="205" spans="2:7" ht="14.25" customHeight="1" x14ac:dyDescent="0.3">
      <c r="B205" s="489"/>
      <c r="C205" s="490"/>
      <c r="E205" s="491"/>
      <c r="G205" s="65"/>
    </row>
    <row r="206" spans="2:7" ht="14.25" customHeight="1" x14ac:dyDescent="0.3">
      <c r="B206" s="489"/>
      <c r="C206" s="490"/>
      <c r="E206" s="491"/>
      <c r="G206" s="65"/>
    </row>
    <row r="207" spans="2:7" ht="14.25" customHeight="1" x14ac:dyDescent="0.3">
      <c r="B207" s="489"/>
      <c r="C207" s="490"/>
      <c r="E207" s="491"/>
      <c r="G207" s="65"/>
    </row>
    <row r="208" spans="2:7" ht="14.25" customHeight="1" x14ac:dyDescent="0.3">
      <c r="B208" s="489"/>
      <c r="C208" s="490"/>
      <c r="E208" s="491"/>
      <c r="G208" s="65"/>
    </row>
    <row r="209" spans="2:7" ht="14.25" customHeight="1" x14ac:dyDescent="0.3">
      <c r="B209" s="489"/>
      <c r="C209" s="490"/>
      <c r="E209" s="491"/>
      <c r="G209" s="65"/>
    </row>
    <row r="210" spans="2:7" ht="14.25" customHeight="1" x14ac:dyDescent="0.3">
      <c r="B210" s="489"/>
      <c r="C210" s="490"/>
      <c r="E210" s="491"/>
      <c r="G210" s="65"/>
    </row>
    <row r="211" spans="2:7" ht="14.25" customHeight="1" x14ac:dyDescent="0.3">
      <c r="B211" s="489"/>
      <c r="C211" s="490"/>
      <c r="E211" s="491"/>
      <c r="G211" s="65"/>
    </row>
    <row r="212" spans="2:7" ht="14.25" customHeight="1" x14ac:dyDescent="0.3">
      <c r="B212" s="489"/>
      <c r="C212" s="490"/>
      <c r="E212" s="491"/>
      <c r="G212" s="65"/>
    </row>
    <row r="213" spans="2:7" ht="14.25" customHeight="1" x14ac:dyDescent="0.3">
      <c r="B213" s="489"/>
      <c r="C213" s="490"/>
      <c r="E213" s="491"/>
      <c r="G213" s="65"/>
    </row>
    <row r="214" spans="2:7" ht="14.25" customHeight="1" x14ac:dyDescent="0.3">
      <c r="B214" s="489"/>
      <c r="C214" s="490"/>
      <c r="E214" s="491"/>
      <c r="G214" s="65"/>
    </row>
    <row r="215" spans="2:7" ht="14.25" customHeight="1" x14ac:dyDescent="0.3">
      <c r="B215" s="489"/>
      <c r="C215" s="490"/>
      <c r="E215" s="491"/>
      <c r="G215" s="65"/>
    </row>
    <row r="216" spans="2:7" ht="14.25" customHeight="1" x14ac:dyDescent="0.3">
      <c r="B216" s="489"/>
      <c r="C216" s="490"/>
      <c r="E216" s="491"/>
      <c r="G216" s="65"/>
    </row>
    <row r="217" spans="2:7" ht="14.25" customHeight="1" x14ac:dyDescent="0.3">
      <c r="B217" s="489"/>
      <c r="C217" s="490"/>
      <c r="E217" s="491"/>
      <c r="G217" s="65"/>
    </row>
    <row r="218" spans="2:7" ht="14.25" customHeight="1" x14ac:dyDescent="0.3">
      <c r="B218" s="489"/>
      <c r="C218" s="490"/>
      <c r="E218" s="491"/>
      <c r="G218" s="65"/>
    </row>
    <row r="219" spans="2:7" ht="14.25" customHeight="1" x14ac:dyDescent="0.3">
      <c r="B219" s="489"/>
      <c r="C219" s="490"/>
      <c r="E219" s="491"/>
      <c r="G219" s="65"/>
    </row>
    <row r="220" spans="2:7" ht="14.25" customHeight="1" x14ac:dyDescent="0.3">
      <c r="B220" s="489"/>
      <c r="C220" s="490"/>
      <c r="E220" s="491"/>
      <c r="G220" s="65"/>
    </row>
    <row r="221" spans="2:7" ht="14.25" customHeight="1" x14ac:dyDescent="0.3">
      <c r="B221" s="489"/>
      <c r="C221" s="490"/>
      <c r="E221" s="491"/>
      <c r="G221" s="65"/>
    </row>
    <row r="222" spans="2:7" ht="14.25" customHeight="1" x14ac:dyDescent="0.3">
      <c r="B222" s="489"/>
      <c r="C222" s="490"/>
      <c r="E222" s="491"/>
      <c r="G222" s="65"/>
    </row>
    <row r="223" spans="2:7" ht="14.25" customHeight="1" x14ac:dyDescent="0.3">
      <c r="B223" s="489"/>
      <c r="C223" s="490"/>
      <c r="E223" s="491"/>
      <c r="G223" s="65"/>
    </row>
    <row r="224" spans="2:7" ht="14.25" customHeight="1" x14ac:dyDescent="0.3">
      <c r="B224" s="489"/>
      <c r="C224" s="490"/>
      <c r="E224" s="491"/>
      <c r="G224" s="65"/>
    </row>
    <row r="225" spans="2:7" ht="14.25" customHeight="1" x14ac:dyDescent="0.3">
      <c r="B225" s="489"/>
      <c r="C225" s="490"/>
      <c r="E225" s="491"/>
      <c r="G225" s="65"/>
    </row>
    <row r="226" spans="2:7" ht="14.25" customHeight="1" x14ac:dyDescent="0.3">
      <c r="B226" s="489"/>
      <c r="C226" s="490"/>
      <c r="E226" s="491"/>
      <c r="G226" s="65"/>
    </row>
    <row r="227" spans="2:7" ht="14.25" customHeight="1" x14ac:dyDescent="0.3">
      <c r="B227" s="489"/>
      <c r="C227" s="490"/>
      <c r="E227" s="491"/>
      <c r="G227" s="65"/>
    </row>
    <row r="228" spans="2:7" ht="14.25" customHeight="1" x14ac:dyDescent="0.3">
      <c r="B228" s="489"/>
      <c r="C228" s="490"/>
      <c r="E228" s="491"/>
      <c r="G228" s="65"/>
    </row>
    <row r="229" spans="2:7" ht="14.25" customHeight="1" x14ac:dyDescent="0.3">
      <c r="B229" s="489"/>
      <c r="C229" s="490"/>
      <c r="E229" s="491"/>
      <c r="G229" s="65"/>
    </row>
    <row r="230" spans="2:7" ht="14.25" customHeight="1" x14ac:dyDescent="0.3">
      <c r="B230" s="489"/>
      <c r="C230" s="490"/>
      <c r="E230" s="491"/>
      <c r="G230" s="65"/>
    </row>
    <row r="231" spans="2:7" ht="14.25" customHeight="1" x14ac:dyDescent="0.3">
      <c r="B231" s="489"/>
      <c r="C231" s="490"/>
      <c r="E231" s="491"/>
      <c r="G231" s="65"/>
    </row>
    <row r="232" spans="2:7" ht="14.25" customHeight="1" x14ac:dyDescent="0.3">
      <c r="B232" s="489"/>
      <c r="C232" s="490"/>
      <c r="E232" s="491"/>
      <c r="G232" s="65"/>
    </row>
    <row r="233" spans="2:7" ht="14.25" customHeight="1" x14ac:dyDescent="0.3">
      <c r="B233" s="489"/>
      <c r="C233" s="490"/>
      <c r="E233" s="491"/>
      <c r="G233" s="65"/>
    </row>
    <row r="234" spans="2:7" ht="14.25" customHeight="1" x14ac:dyDescent="0.3">
      <c r="B234" s="489"/>
      <c r="C234" s="490"/>
      <c r="E234" s="491"/>
      <c r="G234" s="65"/>
    </row>
    <row r="235" spans="2:7" ht="14.25" customHeight="1" x14ac:dyDescent="0.3">
      <c r="B235" s="489"/>
      <c r="C235" s="490"/>
      <c r="E235" s="491"/>
      <c r="G235" s="65"/>
    </row>
    <row r="236" spans="2:7" ht="14.25" customHeight="1" x14ac:dyDescent="0.3">
      <c r="B236" s="489"/>
      <c r="C236" s="490"/>
      <c r="E236" s="491"/>
      <c r="G236" s="65"/>
    </row>
    <row r="237" spans="2:7" ht="14.25" customHeight="1" x14ac:dyDescent="0.3">
      <c r="B237" s="489"/>
      <c r="C237" s="490"/>
      <c r="E237" s="491"/>
      <c r="G237" s="65"/>
    </row>
    <row r="238" spans="2:7" ht="14.25" customHeight="1" x14ac:dyDescent="0.3">
      <c r="B238" s="489"/>
      <c r="C238" s="490"/>
      <c r="E238" s="491"/>
      <c r="G238" s="65"/>
    </row>
    <row r="239" spans="2:7" ht="14.25" customHeight="1" x14ac:dyDescent="0.3">
      <c r="B239" s="489"/>
      <c r="C239" s="490"/>
      <c r="E239" s="491"/>
      <c r="G239" s="65"/>
    </row>
    <row r="240" spans="2:7" ht="14.25" customHeight="1" x14ac:dyDescent="0.3">
      <c r="B240" s="489"/>
      <c r="C240" s="490"/>
      <c r="E240" s="491"/>
      <c r="G240" s="65"/>
    </row>
    <row r="241" spans="2:7" ht="14.25" customHeight="1" x14ac:dyDescent="0.3">
      <c r="B241" s="489"/>
      <c r="C241" s="490"/>
      <c r="E241" s="491"/>
      <c r="G241" s="65"/>
    </row>
    <row r="242" spans="2:7" ht="14.25" customHeight="1" x14ac:dyDescent="0.3">
      <c r="B242" s="489"/>
      <c r="C242" s="490"/>
      <c r="E242" s="491"/>
      <c r="G242" s="65"/>
    </row>
    <row r="243" spans="2:7" ht="14.25" customHeight="1" x14ac:dyDescent="0.3">
      <c r="B243" s="489"/>
      <c r="C243" s="490"/>
      <c r="E243" s="491"/>
      <c r="G243" s="65"/>
    </row>
    <row r="244" spans="2:7" ht="14.25" customHeight="1" x14ac:dyDescent="0.3">
      <c r="B244" s="489"/>
      <c r="C244" s="490"/>
      <c r="E244" s="491"/>
      <c r="G244" s="65"/>
    </row>
    <row r="245" spans="2:7" ht="14.25" customHeight="1" x14ac:dyDescent="0.3">
      <c r="B245" s="489"/>
      <c r="C245" s="490"/>
      <c r="E245" s="491"/>
      <c r="G245" s="65"/>
    </row>
    <row r="246" spans="2:7" ht="14.25" customHeight="1" x14ac:dyDescent="0.3">
      <c r="B246" s="489"/>
      <c r="C246" s="490"/>
      <c r="E246" s="491"/>
      <c r="G246" s="65"/>
    </row>
    <row r="247" spans="2:7" ht="14.25" customHeight="1" x14ac:dyDescent="0.3">
      <c r="B247" s="489"/>
      <c r="C247" s="490"/>
      <c r="E247" s="491"/>
      <c r="G247" s="65"/>
    </row>
    <row r="248" spans="2:7" ht="14.25" customHeight="1" x14ac:dyDescent="0.3">
      <c r="B248" s="489"/>
      <c r="C248" s="490"/>
      <c r="E248" s="491"/>
      <c r="G248" s="65"/>
    </row>
    <row r="249" spans="2:7" ht="14.25" customHeight="1" x14ac:dyDescent="0.3">
      <c r="B249" s="489"/>
      <c r="C249" s="490"/>
      <c r="E249" s="491"/>
      <c r="G249" s="65"/>
    </row>
    <row r="250" spans="2:7" ht="14.25" customHeight="1" x14ac:dyDescent="0.3">
      <c r="B250" s="489"/>
      <c r="C250" s="490"/>
      <c r="E250" s="491"/>
      <c r="G250" s="65"/>
    </row>
    <row r="251" spans="2:7" ht="14.25" customHeight="1" x14ac:dyDescent="0.3">
      <c r="B251" s="489"/>
      <c r="C251" s="490"/>
      <c r="E251" s="491"/>
      <c r="G251" s="65"/>
    </row>
    <row r="252" spans="2:7" ht="14.25" customHeight="1" x14ac:dyDescent="0.3">
      <c r="B252" s="489"/>
      <c r="C252" s="490"/>
      <c r="E252" s="491"/>
      <c r="G252" s="65"/>
    </row>
    <row r="253" spans="2:7" ht="14.25" customHeight="1" x14ac:dyDescent="0.3">
      <c r="B253" s="489"/>
      <c r="C253" s="490"/>
      <c r="E253" s="491"/>
      <c r="G253" s="65"/>
    </row>
    <row r="254" spans="2:7" ht="14.25" customHeight="1" x14ac:dyDescent="0.3">
      <c r="B254" s="489"/>
      <c r="C254" s="490"/>
      <c r="E254" s="491"/>
      <c r="G254" s="65"/>
    </row>
    <row r="255" spans="2:7" ht="14.25" customHeight="1" x14ac:dyDescent="0.3">
      <c r="B255" s="489"/>
      <c r="C255" s="490"/>
      <c r="E255" s="491"/>
      <c r="G255" s="65"/>
    </row>
    <row r="256" spans="2:7" ht="14.25" customHeight="1" x14ac:dyDescent="0.3">
      <c r="B256" s="489"/>
      <c r="C256" s="490"/>
      <c r="E256" s="491"/>
      <c r="G256" s="65"/>
    </row>
    <row r="257" spans="2:7" ht="14.25" customHeight="1" x14ac:dyDescent="0.3">
      <c r="B257" s="489"/>
      <c r="C257" s="490"/>
      <c r="E257" s="491"/>
      <c r="G257" s="65"/>
    </row>
    <row r="258" spans="2:7" ht="14.25" customHeight="1" x14ac:dyDescent="0.3">
      <c r="B258" s="489"/>
      <c r="C258" s="490"/>
      <c r="E258" s="491"/>
      <c r="G258" s="65"/>
    </row>
    <row r="259" spans="2:7" ht="14.25" customHeight="1" x14ac:dyDescent="0.3">
      <c r="B259" s="489"/>
      <c r="C259" s="490"/>
      <c r="E259" s="491"/>
      <c r="G259" s="65"/>
    </row>
    <row r="260" spans="2:7" ht="14.25" customHeight="1" x14ac:dyDescent="0.3">
      <c r="B260" s="489"/>
      <c r="C260" s="490"/>
      <c r="E260" s="491"/>
      <c r="G260" s="65"/>
    </row>
    <row r="261" spans="2:7" ht="14.25" customHeight="1" x14ac:dyDescent="0.3">
      <c r="B261" s="489"/>
      <c r="C261" s="490"/>
      <c r="E261" s="491"/>
      <c r="G261" s="65"/>
    </row>
    <row r="262" spans="2:7" ht="14.25" customHeight="1" x14ac:dyDescent="0.3">
      <c r="B262" s="489"/>
      <c r="C262" s="490"/>
      <c r="E262" s="491"/>
      <c r="G262" s="65"/>
    </row>
    <row r="263" spans="2:7" ht="14.25" customHeight="1" x14ac:dyDescent="0.3">
      <c r="B263" s="489"/>
      <c r="C263" s="490"/>
      <c r="E263" s="491"/>
      <c r="G263" s="65"/>
    </row>
    <row r="264" spans="2:7" ht="14.25" customHeight="1" x14ac:dyDescent="0.3">
      <c r="B264" s="489"/>
      <c r="C264" s="490"/>
      <c r="E264" s="491"/>
      <c r="G264" s="65"/>
    </row>
    <row r="265" spans="2:7" ht="14.25" customHeight="1" x14ac:dyDescent="0.3">
      <c r="B265" s="489"/>
      <c r="C265" s="490"/>
      <c r="E265" s="491"/>
      <c r="G265" s="65"/>
    </row>
    <row r="266" spans="2:7" ht="14.25" customHeight="1" x14ac:dyDescent="0.3">
      <c r="B266" s="489"/>
      <c r="C266" s="490"/>
      <c r="E266" s="491"/>
      <c r="G266" s="65"/>
    </row>
    <row r="267" spans="2:7" ht="14.25" customHeight="1" x14ac:dyDescent="0.3">
      <c r="B267" s="489"/>
      <c r="C267" s="490"/>
      <c r="E267" s="491"/>
      <c r="G267" s="65"/>
    </row>
    <row r="268" spans="2:7" ht="14.25" customHeight="1" x14ac:dyDescent="0.3">
      <c r="B268" s="489"/>
      <c r="C268" s="490"/>
      <c r="E268" s="491"/>
      <c r="G268" s="65"/>
    </row>
    <row r="269" spans="2:7" ht="14.25" customHeight="1" x14ac:dyDescent="0.3">
      <c r="B269" s="489"/>
      <c r="C269" s="490"/>
      <c r="E269" s="491"/>
      <c r="G269" s="65"/>
    </row>
    <row r="270" spans="2:7" ht="14.25" customHeight="1" x14ac:dyDescent="0.3">
      <c r="B270" s="489"/>
      <c r="C270" s="490"/>
      <c r="E270" s="491"/>
      <c r="G270" s="65"/>
    </row>
    <row r="271" spans="2:7" ht="14.25" customHeight="1" x14ac:dyDescent="0.3">
      <c r="B271" s="489"/>
      <c r="C271" s="490"/>
      <c r="E271" s="491"/>
      <c r="G271" s="65"/>
    </row>
    <row r="272" spans="2:7" ht="14.25" customHeight="1" x14ac:dyDescent="0.3">
      <c r="B272" s="489"/>
      <c r="C272" s="490"/>
      <c r="E272" s="491"/>
      <c r="G272" s="65"/>
    </row>
    <row r="273" spans="2:7" ht="14.25" customHeight="1" x14ac:dyDescent="0.3">
      <c r="B273" s="489"/>
      <c r="C273" s="490"/>
      <c r="E273" s="491"/>
      <c r="G273" s="65"/>
    </row>
    <row r="274" spans="2:7" ht="14.25" customHeight="1" x14ac:dyDescent="0.3">
      <c r="B274" s="489"/>
      <c r="C274" s="490"/>
      <c r="E274" s="491"/>
      <c r="G274" s="65"/>
    </row>
    <row r="275" spans="2:7" ht="14.25" customHeight="1" x14ac:dyDescent="0.3">
      <c r="B275" s="489"/>
      <c r="C275" s="490"/>
      <c r="E275" s="491"/>
      <c r="G275" s="65"/>
    </row>
    <row r="276" spans="2:7" ht="14.25" customHeight="1" x14ac:dyDescent="0.3">
      <c r="B276" s="489"/>
      <c r="C276" s="490"/>
      <c r="E276" s="491"/>
      <c r="G276" s="65"/>
    </row>
    <row r="277" spans="2:7" ht="14.25" customHeight="1" x14ac:dyDescent="0.3">
      <c r="B277" s="489"/>
      <c r="C277" s="490"/>
      <c r="E277" s="491"/>
      <c r="G277" s="65"/>
    </row>
    <row r="278" spans="2:7" ht="14.25" customHeight="1" x14ac:dyDescent="0.3">
      <c r="B278" s="489"/>
      <c r="C278" s="490"/>
      <c r="E278" s="491"/>
      <c r="G278" s="65"/>
    </row>
    <row r="279" spans="2:7" ht="14.25" customHeight="1" x14ac:dyDescent="0.3">
      <c r="B279" s="489"/>
      <c r="C279" s="490"/>
      <c r="E279" s="491"/>
      <c r="G279" s="65"/>
    </row>
    <row r="280" spans="2:7" ht="14.25" customHeight="1" x14ac:dyDescent="0.3">
      <c r="B280" s="489"/>
      <c r="C280" s="490"/>
      <c r="E280" s="491"/>
      <c r="G280" s="65"/>
    </row>
    <row r="281" spans="2:7" ht="14.25" customHeight="1" x14ac:dyDescent="0.3">
      <c r="B281" s="489"/>
      <c r="C281" s="490"/>
      <c r="E281" s="491"/>
      <c r="G281" s="65"/>
    </row>
    <row r="282" spans="2:7" ht="14.25" customHeight="1" x14ac:dyDescent="0.3">
      <c r="B282" s="489"/>
      <c r="C282" s="490"/>
      <c r="E282" s="491"/>
      <c r="G282" s="65"/>
    </row>
    <row r="283" spans="2:7" ht="14.25" customHeight="1" x14ac:dyDescent="0.3">
      <c r="B283" s="489"/>
      <c r="C283" s="490"/>
      <c r="E283" s="491"/>
      <c r="G283" s="65"/>
    </row>
    <row r="284" spans="2:7" ht="14.25" customHeight="1" x14ac:dyDescent="0.3">
      <c r="B284" s="489"/>
      <c r="C284" s="490"/>
      <c r="E284" s="491"/>
      <c r="G284" s="65"/>
    </row>
    <row r="285" spans="2:7" ht="14.25" customHeight="1" x14ac:dyDescent="0.3">
      <c r="B285" s="489"/>
      <c r="C285" s="490"/>
      <c r="E285" s="491"/>
      <c r="G285" s="65"/>
    </row>
    <row r="286" spans="2:7" ht="14.25" customHeight="1" x14ac:dyDescent="0.3">
      <c r="B286" s="489"/>
      <c r="C286" s="490"/>
      <c r="E286" s="491"/>
      <c r="G286" s="65"/>
    </row>
    <row r="287" spans="2:7" ht="14.25" customHeight="1" x14ac:dyDescent="0.3">
      <c r="B287" s="489"/>
      <c r="C287" s="490"/>
      <c r="E287" s="491"/>
      <c r="G287" s="65"/>
    </row>
    <row r="288" spans="2:7" ht="14.25" customHeight="1" x14ac:dyDescent="0.3">
      <c r="B288" s="489"/>
      <c r="C288" s="490"/>
      <c r="E288" s="491"/>
      <c r="G288" s="65"/>
    </row>
    <row r="289" spans="2:7" ht="14.25" customHeight="1" x14ac:dyDescent="0.3">
      <c r="B289" s="489"/>
      <c r="C289" s="490"/>
      <c r="E289" s="491"/>
      <c r="G289" s="65"/>
    </row>
    <row r="290" spans="2:7" ht="14.25" customHeight="1" x14ac:dyDescent="0.3">
      <c r="B290" s="489"/>
      <c r="C290" s="490"/>
      <c r="E290" s="491"/>
      <c r="G290" s="65"/>
    </row>
    <row r="291" spans="2:7" ht="14.25" customHeight="1" x14ac:dyDescent="0.3">
      <c r="B291" s="489"/>
      <c r="C291" s="490"/>
      <c r="E291" s="491"/>
      <c r="G291" s="65"/>
    </row>
    <row r="292" spans="2:7" ht="14.25" customHeight="1" x14ac:dyDescent="0.3">
      <c r="B292" s="489"/>
      <c r="C292" s="490"/>
      <c r="E292" s="491"/>
      <c r="G292" s="65"/>
    </row>
    <row r="293" spans="2:7" ht="14.25" customHeight="1" x14ac:dyDescent="0.3">
      <c r="B293" s="489"/>
      <c r="C293" s="490"/>
      <c r="E293" s="491"/>
      <c r="G293" s="65"/>
    </row>
    <row r="294" spans="2:7" ht="14.25" customHeight="1" x14ac:dyDescent="0.3">
      <c r="B294" s="489"/>
      <c r="C294" s="490"/>
      <c r="E294" s="491"/>
      <c r="G294" s="65"/>
    </row>
    <row r="295" spans="2:7" ht="14.25" customHeight="1" x14ac:dyDescent="0.3">
      <c r="B295" s="489"/>
      <c r="C295" s="490"/>
      <c r="E295" s="491"/>
      <c r="G295" s="65"/>
    </row>
    <row r="296" spans="2:7" ht="14.25" customHeight="1" x14ac:dyDescent="0.3">
      <c r="B296" s="489"/>
      <c r="C296" s="490"/>
      <c r="E296" s="491"/>
      <c r="G296" s="65"/>
    </row>
    <row r="297" spans="2:7" ht="14.25" customHeight="1" x14ac:dyDescent="0.3">
      <c r="B297" s="489"/>
      <c r="C297" s="490"/>
      <c r="E297" s="491"/>
      <c r="G297" s="65"/>
    </row>
    <row r="298" spans="2:7" ht="14.25" customHeight="1" x14ac:dyDescent="0.3">
      <c r="B298" s="489"/>
      <c r="C298" s="490"/>
      <c r="E298" s="491"/>
      <c r="G298" s="65"/>
    </row>
    <row r="299" spans="2:7" ht="14.25" customHeight="1" x14ac:dyDescent="0.3">
      <c r="B299" s="489"/>
      <c r="C299" s="490"/>
      <c r="E299" s="491"/>
      <c r="G299" s="65"/>
    </row>
    <row r="300" spans="2:7" ht="14.25" customHeight="1" x14ac:dyDescent="0.3">
      <c r="B300" s="489"/>
      <c r="C300" s="490"/>
      <c r="E300" s="491"/>
      <c r="G300" s="65"/>
    </row>
    <row r="301" spans="2:7" ht="14.25" customHeight="1" x14ac:dyDescent="0.3">
      <c r="B301" s="489"/>
      <c r="C301" s="490"/>
      <c r="E301" s="491"/>
      <c r="G301" s="65"/>
    </row>
    <row r="302" spans="2:7" ht="14.25" customHeight="1" x14ac:dyDescent="0.3">
      <c r="B302" s="489"/>
      <c r="C302" s="490"/>
      <c r="E302" s="491"/>
      <c r="G302" s="65"/>
    </row>
    <row r="303" spans="2:7" ht="14.25" customHeight="1" x14ac:dyDescent="0.3">
      <c r="B303" s="489"/>
      <c r="C303" s="490"/>
      <c r="E303" s="491"/>
      <c r="G303" s="65"/>
    </row>
    <row r="304" spans="2:7" ht="14.25" customHeight="1" x14ac:dyDescent="0.3">
      <c r="B304" s="489"/>
      <c r="C304" s="490"/>
      <c r="E304" s="491"/>
      <c r="G304" s="65"/>
    </row>
    <row r="305" spans="2:7" ht="14.25" customHeight="1" x14ac:dyDescent="0.3">
      <c r="B305" s="489"/>
      <c r="C305" s="490"/>
      <c r="E305" s="491"/>
      <c r="G305" s="65"/>
    </row>
    <row r="306" spans="2:7" ht="14.25" customHeight="1" x14ac:dyDescent="0.3">
      <c r="B306" s="489"/>
      <c r="C306" s="490"/>
      <c r="E306" s="491"/>
      <c r="G306" s="65"/>
    </row>
    <row r="307" spans="2:7" ht="14.25" customHeight="1" x14ac:dyDescent="0.3">
      <c r="B307" s="489"/>
      <c r="C307" s="490"/>
      <c r="E307" s="491"/>
      <c r="G307" s="65"/>
    </row>
    <row r="308" spans="2:7" ht="14.25" customHeight="1" x14ac:dyDescent="0.3">
      <c r="B308" s="489"/>
      <c r="C308" s="490"/>
      <c r="E308" s="491"/>
      <c r="G308" s="65"/>
    </row>
    <row r="309" spans="2:7" ht="14.25" customHeight="1" x14ac:dyDescent="0.3">
      <c r="B309" s="489"/>
      <c r="C309" s="490"/>
      <c r="E309" s="491"/>
      <c r="G309" s="65"/>
    </row>
    <row r="310" spans="2:7" ht="14.25" customHeight="1" x14ac:dyDescent="0.3">
      <c r="B310" s="489"/>
      <c r="C310" s="490"/>
      <c r="E310" s="491"/>
      <c r="G310" s="65"/>
    </row>
    <row r="311" spans="2:7" ht="14.25" customHeight="1" x14ac:dyDescent="0.3">
      <c r="B311" s="489"/>
      <c r="C311" s="490"/>
      <c r="E311" s="491"/>
      <c r="G311" s="65"/>
    </row>
    <row r="312" spans="2:7" ht="14.25" customHeight="1" x14ac:dyDescent="0.3">
      <c r="B312" s="489"/>
      <c r="C312" s="490"/>
      <c r="E312" s="491"/>
      <c r="G312" s="65"/>
    </row>
    <row r="313" spans="2:7" ht="14.25" customHeight="1" x14ac:dyDescent="0.3">
      <c r="B313" s="489"/>
      <c r="C313" s="490"/>
      <c r="E313" s="491"/>
      <c r="G313" s="65"/>
    </row>
    <row r="314" spans="2:7" ht="14.25" customHeight="1" x14ac:dyDescent="0.3">
      <c r="B314" s="489"/>
      <c r="C314" s="490"/>
      <c r="E314" s="491"/>
      <c r="G314" s="65"/>
    </row>
    <row r="315" spans="2:7" ht="14.25" customHeight="1" x14ac:dyDescent="0.3">
      <c r="B315" s="489"/>
      <c r="C315" s="490"/>
      <c r="E315" s="491"/>
      <c r="G315" s="65"/>
    </row>
    <row r="316" spans="2:7" ht="14.25" customHeight="1" x14ac:dyDescent="0.3">
      <c r="B316" s="489"/>
      <c r="C316" s="490"/>
      <c r="E316" s="491"/>
      <c r="G316" s="65"/>
    </row>
    <row r="317" spans="2:7" ht="14.25" customHeight="1" x14ac:dyDescent="0.3">
      <c r="B317" s="489"/>
      <c r="C317" s="490"/>
      <c r="E317" s="491"/>
      <c r="G317" s="65"/>
    </row>
    <row r="318" spans="2:7" ht="14.25" customHeight="1" x14ac:dyDescent="0.3">
      <c r="B318" s="489"/>
      <c r="C318" s="490"/>
      <c r="E318" s="491"/>
      <c r="G318" s="65"/>
    </row>
    <row r="319" spans="2:7" ht="14.25" customHeight="1" x14ac:dyDescent="0.3">
      <c r="B319" s="489"/>
      <c r="C319" s="490"/>
      <c r="E319" s="491"/>
      <c r="G319" s="65"/>
    </row>
    <row r="320" spans="2:7" ht="14.25" customHeight="1" x14ac:dyDescent="0.3">
      <c r="B320" s="489"/>
      <c r="C320" s="490"/>
      <c r="E320" s="491"/>
      <c r="G320" s="65"/>
    </row>
    <row r="321" spans="2:7" ht="14.25" customHeight="1" x14ac:dyDescent="0.3">
      <c r="B321" s="489"/>
      <c r="C321" s="490"/>
      <c r="E321" s="491"/>
      <c r="G321" s="65"/>
    </row>
    <row r="322" spans="2:7" ht="14.25" customHeight="1" x14ac:dyDescent="0.3">
      <c r="B322" s="489"/>
      <c r="C322" s="490"/>
      <c r="E322" s="491"/>
      <c r="G322" s="65"/>
    </row>
    <row r="323" spans="2:7" ht="14.25" customHeight="1" x14ac:dyDescent="0.3">
      <c r="B323" s="489"/>
      <c r="C323" s="490"/>
      <c r="E323" s="491"/>
      <c r="G323" s="65"/>
    </row>
    <row r="324" spans="2:7" ht="14.25" customHeight="1" x14ac:dyDescent="0.3">
      <c r="B324" s="489"/>
      <c r="C324" s="490"/>
      <c r="E324" s="491"/>
      <c r="G324" s="65"/>
    </row>
    <row r="325" spans="2:7" ht="14.25" customHeight="1" x14ac:dyDescent="0.3">
      <c r="B325" s="489"/>
      <c r="C325" s="490"/>
      <c r="E325" s="491"/>
      <c r="G325" s="65"/>
    </row>
    <row r="326" spans="2:7" ht="14.25" customHeight="1" x14ac:dyDescent="0.3">
      <c r="B326" s="489"/>
      <c r="C326" s="490"/>
      <c r="E326" s="491"/>
      <c r="G326" s="65"/>
    </row>
    <row r="327" spans="2:7" ht="14.25" customHeight="1" x14ac:dyDescent="0.3">
      <c r="B327" s="489"/>
      <c r="C327" s="490"/>
      <c r="E327" s="491"/>
      <c r="G327" s="65"/>
    </row>
    <row r="328" spans="2:7" ht="14.25" customHeight="1" x14ac:dyDescent="0.3">
      <c r="B328" s="489"/>
      <c r="C328" s="490"/>
      <c r="E328" s="491"/>
      <c r="G328" s="65"/>
    </row>
    <row r="329" spans="2:7" ht="14.25" customHeight="1" x14ac:dyDescent="0.3">
      <c r="B329" s="489"/>
      <c r="C329" s="490"/>
      <c r="E329" s="491"/>
      <c r="G329" s="65"/>
    </row>
    <row r="330" spans="2:7" ht="14.25" customHeight="1" x14ac:dyDescent="0.3">
      <c r="B330" s="489"/>
      <c r="C330" s="490"/>
      <c r="E330" s="491"/>
      <c r="G330" s="65"/>
    </row>
    <row r="331" spans="2:7" ht="14.25" customHeight="1" x14ac:dyDescent="0.3">
      <c r="B331" s="489"/>
      <c r="C331" s="490"/>
      <c r="E331" s="491"/>
      <c r="G331" s="65"/>
    </row>
    <row r="332" spans="2:7" ht="14.25" customHeight="1" x14ac:dyDescent="0.3">
      <c r="B332" s="489"/>
      <c r="C332" s="490"/>
      <c r="E332" s="491"/>
      <c r="G332" s="65"/>
    </row>
    <row r="333" spans="2:7" ht="14.25" customHeight="1" x14ac:dyDescent="0.3">
      <c r="B333" s="489"/>
      <c r="C333" s="490"/>
      <c r="E333" s="491"/>
      <c r="G333" s="65"/>
    </row>
    <row r="334" spans="2:7" ht="14.25" customHeight="1" x14ac:dyDescent="0.3">
      <c r="B334" s="489"/>
      <c r="C334" s="490"/>
      <c r="E334" s="491"/>
      <c r="G334" s="65"/>
    </row>
    <row r="335" spans="2:7" ht="14.25" customHeight="1" x14ac:dyDescent="0.3">
      <c r="B335" s="489"/>
      <c r="C335" s="490"/>
      <c r="E335" s="491"/>
      <c r="G335" s="65"/>
    </row>
    <row r="336" spans="2:7" ht="14.25" customHeight="1" x14ac:dyDescent="0.3">
      <c r="B336" s="489"/>
      <c r="C336" s="490"/>
      <c r="E336" s="491"/>
      <c r="G336" s="65"/>
    </row>
    <row r="337" spans="2:7" ht="14.25" customHeight="1" x14ac:dyDescent="0.3">
      <c r="B337" s="489"/>
      <c r="C337" s="490"/>
      <c r="E337" s="491"/>
      <c r="G337" s="65"/>
    </row>
    <row r="338" spans="2:7" ht="14.25" customHeight="1" x14ac:dyDescent="0.3">
      <c r="B338" s="489"/>
      <c r="C338" s="490"/>
      <c r="E338" s="491"/>
      <c r="G338" s="65"/>
    </row>
    <row r="339" spans="2:7" ht="14.25" customHeight="1" x14ac:dyDescent="0.3">
      <c r="B339" s="489"/>
      <c r="C339" s="490"/>
      <c r="E339" s="491"/>
      <c r="G339" s="65"/>
    </row>
    <row r="340" spans="2:7" ht="14.25" customHeight="1" x14ac:dyDescent="0.3">
      <c r="B340" s="489"/>
      <c r="C340" s="490"/>
      <c r="E340" s="491"/>
      <c r="G340" s="65"/>
    </row>
    <row r="341" spans="2:7" ht="14.25" customHeight="1" x14ac:dyDescent="0.3">
      <c r="B341" s="489"/>
      <c r="C341" s="490"/>
      <c r="E341" s="491"/>
      <c r="G341" s="65"/>
    </row>
    <row r="342" spans="2:7" ht="14.25" customHeight="1" x14ac:dyDescent="0.3">
      <c r="B342" s="489"/>
      <c r="C342" s="490"/>
      <c r="E342" s="491"/>
      <c r="G342" s="65"/>
    </row>
    <row r="343" spans="2:7" ht="14.25" customHeight="1" x14ac:dyDescent="0.3">
      <c r="B343" s="489"/>
      <c r="C343" s="490"/>
      <c r="E343" s="491"/>
      <c r="G343" s="65"/>
    </row>
    <row r="344" spans="2:7" ht="14.25" customHeight="1" x14ac:dyDescent="0.3">
      <c r="B344" s="489"/>
      <c r="C344" s="490"/>
      <c r="E344" s="491"/>
      <c r="G344" s="65"/>
    </row>
    <row r="345" spans="2:7" ht="14.25" customHeight="1" x14ac:dyDescent="0.3">
      <c r="B345" s="489"/>
      <c r="C345" s="490"/>
      <c r="E345" s="491"/>
      <c r="G345" s="65"/>
    </row>
    <row r="346" spans="2:7" ht="14.25" customHeight="1" x14ac:dyDescent="0.3">
      <c r="B346" s="489"/>
      <c r="C346" s="490"/>
      <c r="E346" s="491"/>
      <c r="G346" s="65"/>
    </row>
    <row r="347" spans="2:7" ht="14.25" customHeight="1" x14ac:dyDescent="0.3">
      <c r="B347" s="489"/>
      <c r="C347" s="490"/>
      <c r="E347" s="491"/>
      <c r="G347" s="65"/>
    </row>
    <row r="348" spans="2:7" ht="14.25" customHeight="1" x14ac:dyDescent="0.3">
      <c r="B348" s="489"/>
      <c r="C348" s="490"/>
      <c r="E348" s="491"/>
      <c r="G348" s="65"/>
    </row>
    <row r="349" spans="2:7" ht="14.25" customHeight="1" x14ac:dyDescent="0.3">
      <c r="B349" s="489"/>
      <c r="C349" s="490"/>
      <c r="E349" s="491"/>
      <c r="G349" s="65"/>
    </row>
    <row r="350" spans="2:7" ht="14.25" customHeight="1" x14ac:dyDescent="0.3">
      <c r="B350" s="489"/>
      <c r="C350" s="490"/>
      <c r="E350" s="491"/>
      <c r="G350" s="65"/>
    </row>
    <row r="351" spans="2:7" ht="14.25" customHeight="1" x14ac:dyDescent="0.3">
      <c r="B351" s="489"/>
      <c r="C351" s="490"/>
      <c r="E351" s="491"/>
      <c r="G351" s="65"/>
    </row>
    <row r="352" spans="2:7" ht="14.25" customHeight="1" x14ac:dyDescent="0.3">
      <c r="B352" s="489"/>
      <c r="C352" s="490"/>
      <c r="E352" s="491"/>
      <c r="G352" s="65"/>
    </row>
    <row r="353" spans="2:7" ht="14.25" customHeight="1" x14ac:dyDescent="0.3">
      <c r="B353" s="489"/>
      <c r="C353" s="490"/>
      <c r="E353" s="491"/>
      <c r="G353" s="65"/>
    </row>
    <row r="354" spans="2:7" ht="14.25" customHeight="1" x14ac:dyDescent="0.3">
      <c r="B354" s="489"/>
      <c r="C354" s="490"/>
      <c r="E354" s="491"/>
      <c r="G354" s="65"/>
    </row>
    <row r="355" spans="2:7" ht="14.25" customHeight="1" x14ac:dyDescent="0.3">
      <c r="B355" s="489"/>
      <c r="C355" s="490"/>
      <c r="E355" s="491"/>
      <c r="G355" s="65"/>
    </row>
    <row r="356" spans="2:7" ht="14.25" customHeight="1" x14ac:dyDescent="0.3">
      <c r="B356" s="489"/>
      <c r="C356" s="490"/>
      <c r="E356" s="491"/>
      <c r="G356" s="65"/>
    </row>
    <row r="357" spans="2:7" ht="14.25" customHeight="1" x14ac:dyDescent="0.3">
      <c r="B357" s="489"/>
      <c r="C357" s="490"/>
      <c r="E357" s="491"/>
      <c r="G357" s="65"/>
    </row>
    <row r="358" spans="2:7" ht="14.25" customHeight="1" x14ac:dyDescent="0.3">
      <c r="B358" s="489"/>
      <c r="C358" s="490"/>
      <c r="E358" s="491"/>
      <c r="G358" s="65"/>
    </row>
    <row r="359" spans="2:7" ht="14.25" customHeight="1" x14ac:dyDescent="0.3">
      <c r="B359" s="489"/>
      <c r="C359" s="490"/>
      <c r="E359" s="491"/>
      <c r="G359" s="65"/>
    </row>
    <row r="360" spans="2:7" ht="14.25" customHeight="1" x14ac:dyDescent="0.3">
      <c r="B360" s="489"/>
      <c r="C360" s="490"/>
      <c r="E360" s="491"/>
      <c r="G360" s="65"/>
    </row>
    <row r="361" spans="2:7" ht="14.25" customHeight="1" x14ac:dyDescent="0.3">
      <c r="B361" s="489"/>
      <c r="C361" s="490"/>
      <c r="E361" s="491"/>
      <c r="G361" s="65"/>
    </row>
    <row r="362" spans="2:7" ht="14.25" customHeight="1" x14ac:dyDescent="0.3">
      <c r="B362" s="489"/>
      <c r="C362" s="490"/>
      <c r="E362" s="491"/>
      <c r="G362" s="65"/>
    </row>
    <row r="363" spans="2:7" ht="14.25" customHeight="1" x14ac:dyDescent="0.3">
      <c r="B363" s="489"/>
      <c r="C363" s="490"/>
      <c r="E363" s="491"/>
      <c r="G363" s="65"/>
    </row>
    <row r="364" spans="2:7" ht="14.25" customHeight="1" x14ac:dyDescent="0.3">
      <c r="B364" s="489"/>
      <c r="C364" s="490"/>
      <c r="E364" s="491"/>
      <c r="G364" s="65"/>
    </row>
    <row r="365" spans="2:7" ht="14.25" customHeight="1" x14ac:dyDescent="0.3">
      <c r="B365" s="489"/>
      <c r="C365" s="490"/>
      <c r="E365" s="491"/>
      <c r="G365" s="65"/>
    </row>
    <row r="366" spans="2:7" ht="14.25" customHeight="1" x14ac:dyDescent="0.3">
      <c r="B366" s="489"/>
      <c r="C366" s="490"/>
      <c r="E366" s="491"/>
      <c r="G366" s="65"/>
    </row>
    <row r="367" spans="2:7" ht="14.25" customHeight="1" x14ac:dyDescent="0.3">
      <c r="B367" s="489"/>
      <c r="C367" s="490"/>
      <c r="E367" s="491"/>
      <c r="G367" s="65"/>
    </row>
    <row r="368" spans="2:7" ht="14.25" customHeight="1" x14ac:dyDescent="0.3">
      <c r="B368" s="489"/>
      <c r="C368" s="490"/>
      <c r="E368" s="491"/>
      <c r="G368" s="65"/>
    </row>
    <row r="369" spans="2:7" ht="14.25" customHeight="1" x14ac:dyDescent="0.3">
      <c r="B369" s="489"/>
      <c r="C369" s="490"/>
      <c r="E369" s="491"/>
      <c r="G369" s="65"/>
    </row>
    <row r="370" spans="2:7" ht="14.25" customHeight="1" x14ac:dyDescent="0.3">
      <c r="B370" s="489"/>
      <c r="C370" s="490"/>
      <c r="E370" s="491"/>
      <c r="G370" s="65"/>
    </row>
    <row r="371" spans="2:7" ht="14.25" customHeight="1" x14ac:dyDescent="0.3">
      <c r="B371" s="489"/>
      <c r="C371" s="490"/>
      <c r="E371" s="491"/>
      <c r="G371" s="65"/>
    </row>
    <row r="372" spans="2:7" ht="14.25" customHeight="1" x14ac:dyDescent="0.3">
      <c r="B372" s="489"/>
      <c r="C372" s="490"/>
      <c r="E372" s="491"/>
      <c r="G372" s="65"/>
    </row>
    <row r="373" spans="2:7" ht="14.25" customHeight="1" x14ac:dyDescent="0.3">
      <c r="B373" s="489"/>
      <c r="C373" s="490"/>
      <c r="E373" s="491"/>
      <c r="G373" s="65"/>
    </row>
    <row r="374" spans="2:7" ht="14.25" customHeight="1" x14ac:dyDescent="0.3">
      <c r="B374" s="489"/>
      <c r="C374" s="490"/>
      <c r="E374" s="491"/>
      <c r="G374" s="65"/>
    </row>
    <row r="375" spans="2:7" ht="14.25" customHeight="1" x14ac:dyDescent="0.3">
      <c r="B375" s="489"/>
      <c r="C375" s="490"/>
      <c r="E375" s="491"/>
      <c r="G375" s="65"/>
    </row>
    <row r="376" spans="2:7" ht="14.25" customHeight="1" x14ac:dyDescent="0.3">
      <c r="B376" s="489"/>
      <c r="C376" s="490"/>
      <c r="E376" s="491"/>
      <c r="G376" s="65"/>
    </row>
    <row r="377" spans="2:7" ht="14.25" customHeight="1" x14ac:dyDescent="0.3">
      <c r="B377" s="489"/>
      <c r="C377" s="490"/>
      <c r="E377" s="491"/>
      <c r="G377" s="65"/>
    </row>
    <row r="378" spans="2:7" ht="14.25" customHeight="1" x14ac:dyDescent="0.3">
      <c r="B378" s="489"/>
      <c r="C378" s="490"/>
      <c r="E378" s="491"/>
      <c r="G378" s="65"/>
    </row>
    <row r="379" spans="2:7" ht="14.25" customHeight="1" x14ac:dyDescent="0.3">
      <c r="B379" s="489"/>
      <c r="C379" s="490"/>
      <c r="E379" s="491"/>
      <c r="G379" s="65"/>
    </row>
    <row r="380" spans="2:7" ht="14.25" customHeight="1" x14ac:dyDescent="0.3">
      <c r="B380" s="489"/>
      <c r="C380" s="490"/>
      <c r="E380" s="491"/>
      <c r="G380" s="65"/>
    </row>
    <row r="381" spans="2:7" ht="14.25" customHeight="1" x14ac:dyDescent="0.3">
      <c r="B381" s="489"/>
      <c r="C381" s="490"/>
      <c r="E381" s="491"/>
      <c r="G381" s="65"/>
    </row>
    <row r="382" spans="2:7" ht="14.25" customHeight="1" x14ac:dyDescent="0.3">
      <c r="B382" s="489"/>
      <c r="C382" s="490"/>
      <c r="E382" s="491"/>
      <c r="G382" s="65"/>
    </row>
    <row r="383" spans="2:7" ht="14.25" customHeight="1" x14ac:dyDescent="0.3">
      <c r="B383" s="489"/>
      <c r="C383" s="490"/>
      <c r="E383" s="491"/>
      <c r="G383" s="65"/>
    </row>
    <row r="384" spans="2:7" ht="14.25" customHeight="1" x14ac:dyDescent="0.3">
      <c r="B384" s="489"/>
      <c r="C384" s="490"/>
      <c r="E384" s="491"/>
      <c r="G384" s="65"/>
    </row>
    <row r="385" spans="2:7" ht="14.25" customHeight="1" x14ac:dyDescent="0.3">
      <c r="B385" s="489"/>
      <c r="C385" s="490"/>
      <c r="E385" s="491"/>
      <c r="G385" s="65"/>
    </row>
    <row r="386" spans="2:7" ht="14.25" customHeight="1" x14ac:dyDescent="0.3">
      <c r="B386" s="489"/>
      <c r="C386" s="490"/>
      <c r="E386" s="491"/>
      <c r="G386" s="65"/>
    </row>
    <row r="387" spans="2:7" ht="14.25" customHeight="1" x14ac:dyDescent="0.3">
      <c r="B387" s="489"/>
      <c r="C387" s="490"/>
      <c r="E387" s="491"/>
      <c r="G387" s="65"/>
    </row>
    <row r="388" spans="2:7" ht="14.25" customHeight="1" x14ac:dyDescent="0.3">
      <c r="B388" s="489"/>
      <c r="C388" s="490"/>
      <c r="E388" s="491"/>
      <c r="G388" s="65"/>
    </row>
    <row r="389" spans="2:7" ht="14.25" customHeight="1" x14ac:dyDescent="0.3">
      <c r="B389" s="489"/>
      <c r="C389" s="490"/>
      <c r="E389" s="491"/>
      <c r="G389" s="65"/>
    </row>
    <row r="390" spans="2:7" ht="14.25" customHeight="1" x14ac:dyDescent="0.3">
      <c r="B390" s="489"/>
      <c r="C390" s="490"/>
      <c r="E390" s="491"/>
      <c r="G390" s="65"/>
    </row>
    <row r="391" spans="2:7" ht="14.25" customHeight="1" x14ac:dyDescent="0.3">
      <c r="B391" s="489"/>
      <c r="C391" s="490"/>
      <c r="E391" s="491"/>
      <c r="G391" s="65"/>
    </row>
    <row r="392" spans="2:7" ht="14.25" customHeight="1" x14ac:dyDescent="0.3">
      <c r="B392" s="489"/>
      <c r="C392" s="490"/>
      <c r="E392" s="491"/>
      <c r="G392" s="65"/>
    </row>
    <row r="393" spans="2:7" ht="14.25" customHeight="1" x14ac:dyDescent="0.3">
      <c r="B393" s="489"/>
      <c r="C393" s="490"/>
      <c r="E393" s="491"/>
      <c r="G393" s="65"/>
    </row>
    <row r="394" spans="2:7" ht="14.25" customHeight="1" x14ac:dyDescent="0.3">
      <c r="B394" s="489"/>
      <c r="C394" s="490"/>
      <c r="E394" s="491"/>
      <c r="G394" s="65"/>
    </row>
    <row r="395" spans="2:7" ht="14.25" customHeight="1" x14ac:dyDescent="0.3">
      <c r="B395" s="489"/>
      <c r="C395" s="490"/>
      <c r="E395" s="491"/>
      <c r="G395" s="65"/>
    </row>
    <row r="396" spans="2:7" ht="14.25" customHeight="1" x14ac:dyDescent="0.3">
      <c r="B396" s="489"/>
      <c r="C396" s="490"/>
      <c r="E396" s="491"/>
      <c r="G396" s="65"/>
    </row>
    <row r="397" spans="2:7" ht="14.25" customHeight="1" x14ac:dyDescent="0.3">
      <c r="B397" s="489"/>
      <c r="C397" s="490"/>
      <c r="E397" s="491"/>
      <c r="G397" s="65"/>
    </row>
    <row r="398" spans="2:7" ht="14.25" customHeight="1" x14ac:dyDescent="0.3">
      <c r="B398" s="489"/>
      <c r="C398" s="490"/>
      <c r="E398" s="491"/>
      <c r="G398" s="65"/>
    </row>
    <row r="399" spans="2:7" ht="14.25" customHeight="1" x14ac:dyDescent="0.3">
      <c r="B399" s="489"/>
      <c r="C399" s="490"/>
      <c r="E399" s="491"/>
      <c r="G399" s="65"/>
    </row>
    <row r="400" spans="2:7" ht="14.25" customHeight="1" x14ac:dyDescent="0.3">
      <c r="B400" s="489"/>
      <c r="C400" s="490"/>
      <c r="E400" s="491"/>
      <c r="G400" s="65"/>
    </row>
    <row r="401" spans="2:7" ht="14.25" customHeight="1" x14ac:dyDescent="0.3">
      <c r="B401" s="489"/>
      <c r="C401" s="490"/>
      <c r="E401" s="491"/>
      <c r="G401" s="65"/>
    </row>
    <row r="402" spans="2:7" ht="14.25" customHeight="1" x14ac:dyDescent="0.3">
      <c r="B402" s="489"/>
      <c r="C402" s="490"/>
      <c r="E402" s="491"/>
      <c r="G402" s="65"/>
    </row>
    <row r="403" spans="2:7" ht="14.25" customHeight="1" x14ac:dyDescent="0.3">
      <c r="B403" s="489"/>
      <c r="C403" s="490"/>
      <c r="E403" s="491"/>
      <c r="G403" s="65"/>
    </row>
    <row r="404" spans="2:7" ht="14.25" customHeight="1" x14ac:dyDescent="0.3">
      <c r="B404" s="489"/>
      <c r="C404" s="490"/>
      <c r="E404" s="491"/>
      <c r="G404" s="65"/>
    </row>
    <row r="405" spans="2:7" ht="14.25" customHeight="1" x14ac:dyDescent="0.3">
      <c r="B405" s="489"/>
      <c r="C405" s="490"/>
      <c r="E405" s="491"/>
      <c r="G405" s="65"/>
    </row>
    <row r="406" spans="2:7" ht="14.25" customHeight="1" x14ac:dyDescent="0.3">
      <c r="B406" s="489"/>
      <c r="C406" s="490"/>
      <c r="E406" s="491"/>
      <c r="G406" s="65"/>
    </row>
    <row r="407" spans="2:7" ht="14.25" customHeight="1" x14ac:dyDescent="0.3">
      <c r="B407" s="489"/>
      <c r="C407" s="490"/>
      <c r="E407" s="491"/>
      <c r="G407" s="65"/>
    </row>
    <row r="408" spans="2:7" ht="14.25" customHeight="1" x14ac:dyDescent="0.3">
      <c r="B408" s="489"/>
      <c r="C408" s="490"/>
      <c r="E408" s="491"/>
      <c r="G408" s="65"/>
    </row>
    <row r="409" spans="2:7" ht="14.25" customHeight="1" x14ac:dyDescent="0.3">
      <c r="B409" s="489"/>
      <c r="C409" s="490"/>
      <c r="E409" s="491"/>
      <c r="G409" s="65"/>
    </row>
    <row r="410" spans="2:7" ht="14.25" customHeight="1" x14ac:dyDescent="0.3">
      <c r="B410" s="489"/>
      <c r="C410" s="490"/>
      <c r="E410" s="491"/>
      <c r="G410" s="65"/>
    </row>
    <row r="411" spans="2:7" ht="14.25" customHeight="1" x14ac:dyDescent="0.3">
      <c r="B411" s="489"/>
      <c r="C411" s="490"/>
      <c r="E411" s="491"/>
      <c r="G411" s="65"/>
    </row>
    <row r="412" spans="2:7" ht="14.25" customHeight="1" x14ac:dyDescent="0.3">
      <c r="B412" s="489"/>
      <c r="C412" s="490"/>
      <c r="E412" s="491"/>
      <c r="G412" s="65"/>
    </row>
    <row r="413" spans="2:7" ht="14.25" customHeight="1" x14ac:dyDescent="0.3">
      <c r="B413" s="489"/>
      <c r="C413" s="490"/>
      <c r="E413" s="491"/>
      <c r="G413" s="65"/>
    </row>
    <row r="414" spans="2:7" ht="14.25" customHeight="1" x14ac:dyDescent="0.3">
      <c r="B414" s="489"/>
      <c r="C414" s="490"/>
      <c r="E414" s="491"/>
      <c r="G414" s="65"/>
    </row>
    <row r="415" spans="2:7" ht="14.25" customHeight="1" x14ac:dyDescent="0.3">
      <c r="B415" s="489"/>
      <c r="C415" s="490"/>
      <c r="E415" s="491"/>
      <c r="G415" s="65"/>
    </row>
    <row r="416" spans="2:7" ht="14.25" customHeight="1" x14ac:dyDescent="0.3">
      <c r="B416" s="489"/>
      <c r="C416" s="490"/>
      <c r="E416" s="491"/>
      <c r="G416" s="65"/>
    </row>
    <row r="417" spans="2:7" ht="14.25" customHeight="1" x14ac:dyDescent="0.3">
      <c r="B417" s="489"/>
      <c r="C417" s="490"/>
      <c r="E417" s="491"/>
      <c r="G417" s="65"/>
    </row>
    <row r="418" spans="2:7" ht="14.25" customHeight="1" x14ac:dyDescent="0.3">
      <c r="B418" s="489"/>
      <c r="C418" s="490"/>
      <c r="E418" s="491"/>
      <c r="G418" s="65"/>
    </row>
    <row r="419" spans="2:7" ht="14.25" customHeight="1" x14ac:dyDescent="0.3">
      <c r="B419" s="489"/>
      <c r="C419" s="490"/>
      <c r="E419" s="491"/>
      <c r="G419" s="65"/>
    </row>
    <row r="420" spans="2:7" ht="14.25" customHeight="1" x14ac:dyDescent="0.3">
      <c r="B420" s="489"/>
      <c r="C420" s="490"/>
      <c r="E420" s="491"/>
      <c r="G420" s="65"/>
    </row>
    <row r="421" spans="2:7" ht="14.25" customHeight="1" x14ac:dyDescent="0.3">
      <c r="B421" s="489"/>
      <c r="C421" s="490"/>
      <c r="E421" s="491"/>
      <c r="G421" s="65"/>
    </row>
    <row r="422" spans="2:7" ht="14.25" customHeight="1" x14ac:dyDescent="0.3">
      <c r="B422" s="489"/>
      <c r="C422" s="490"/>
      <c r="E422" s="491"/>
      <c r="G422" s="65"/>
    </row>
    <row r="423" spans="2:7" ht="14.25" customHeight="1" x14ac:dyDescent="0.3">
      <c r="B423" s="489"/>
      <c r="C423" s="490"/>
      <c r="E423" s="491"/>
      <c r="G423" s="65"/>
    </row>
    <row r="424" spans="2:7" ht="14.25" customHeight="1" x14ac:dyDescent="0.3">
      <c r="B424" s="489"/>
      <c r="C424" s="490"/>
      <c r="E424" s="491"/>
      <c r="G424" s="65"/>
    </row>
    <row r="425" spans="2:7" ht="14.25" customHeight="1" x14ac:dyDescent="0.3">
      <c r="B425" s="489"/>
      <c r="C425" s="490"/>
      <c r="E425" s="491"/>
      <c r="G425" s="65"/>
    </row>
    <row r="426" spans="2:7" ht="14.25" customHeight="1" x14ac:dyDescent="0.3">
      <c r="B426" s="489"/>
      <c r="C426" s="490"/>
      <c r="E426" s="491"/>
      <c r="G426" s="65"/>
    </row>
    <row r="427" spans="2:7" ht="14.25" customHeight="1" x14ac:dyDescent="0.3">
      <c r="B427" s="489"/>
      <c r="C427" s="490"/>
      <c r="E427" s="491"/>
      <c r="G427" s="65"/>
    </row>
    <row r="428" spans="2:7" ht="14.25" customHeight="1" x14ac:dyDescent="0.3">
      <c r="B428" s="489"/>
      <c r="C428" s="490"/>
      <c r="E428" s="491"/>
      <c r="G428" s="65"/>
    </row>
    <row r="429" spans="2:7" ht="14.25" customHeight="1" x14ac:dyDescent="0.3">
      <c r="B429" s="489"/>
      <c r="C429" s="490"/>
      <c r="E429" s="491"/>
      <c r="G429" s="65"/>
    </row>
    <row r="430" spans="2:7" ht="14.25" customHeight="1" x14ac:dyDescent="0.3">
      <c r="B430" s="489"/>
      <c r="C430" s="490"/>
      <c r="E430" s="491"/>
      <c r="G430" s="65"/>
    </row>
    <row r="431" spans="2:7" ht="14.25" customHeight="1" x14ac:dyDescent="0.3">
      <c r="B431" s="489"/>
      <c r="C431" s="490"/>
      <c r="E431" s="491"/>
      <c r="G431" s="65"/>
    </row>
    <row r="432" spans="2:7" ht="14.25" customHeight="1" x14ac:dyDescent="0.3">
      <c r="B432" s="489"/>
      <c r="C432" s="490"/>
      <c r="E432" s="491"/>
      <c r="G432" s="65"/>
    </row>
    <row r="433" spans="2:7" ht="14.25" customHeight="1" x14ac:dyDescent="0.3">
      <c r="B433" s="489"/>
      <c r="C433" s="490"/>
      <c r="E433" s="491"/>
      <c r="G433" s="65"/>
    </row>
    <row r="434" spans="2:7" ht="14.25" customHeight="1" x14ac:dyDescent="0.3">
      <c r="B434" s="489"/>
      <c r="C434" s="490"/>
      <c r="E434" s="491"/>
      <c r="G434" s="65"/>
    </row>
    <row r="435" spans="2:7" ht="14.25" customHeight="1" x14ac:dyDescent="0.3">
      <c r="B435" s="489"/>
      <c r="C435" s="490"/>
      <c r="E435" s="491"/>
      <c r="G435" s="65"/>
    </row>
    <row r="436" spans="2:7" ht="14.25" customHeight="1" x14ac:dyDescent="0.3">
      <c r="B436" s="489"/>
      <c r="C436" s="490"/>
      <c r="E436" s="491"/>
      <c r="G436" s="65"/>
    </row>
    <row r="437" spans="2:7" ht="14.25" customHeight="1" x14ac:dyDescent="0.3">
      <c r="B437" s="489"/>
      <c r="C437" s="490"/>
      <c r="E437" s="491"/>
      <c r="G437" s="65"/>
    </row>
    <row r="438" spans="2:7" ht="14.25" customHeight="1" x14ac:dyDescent="0.3">
      <c r="B438" s="489"/>
      <c r="C438" s="490"/>
      <c r="E438" s="491"/>
      <c r="G438" s="65"/>
    </row>
    <row r="439" spans="2:7" ht="14.25" customHeight="1" x14ac:dyDescent="0.3">
      <c r="B439" s="489"/>
      <c r="C439" s="490"/>
      <c r="E439" s="491"/>
      <c r="G439" s="65"/>
    </row>
    <row r="440" spans="2:7" ht="14.25" customHeight="1" x14ac:dyDescent="0.3">
      <c r="B440" s="489"/>
      <c r="C440" s="490"/>
      <c r="E440" s="491"/>
      <c r="G440" s="65"/>
    </row>
    <row r="441" spans="2:7" ht="14.25" customHeight="1" x14ac:dyDescent="0.3">
      <c r="B441" s="489"/>
      <c r="C441" s="490"/>
      <c r="E441" s="491"/>
      <c r="G441" s="65"/>
    </row>
    <row r="442" spans="2:7" ht="14.25" customHeight="1" x14ac:dyDescent="0.3">
      <c r="B442" s="489"/>
      <c r="C442" s="490"/>
      <c r="E442" s="491"/>
      <c r="G442" s="65"/>
    </row>
    <row r="443" spans="2:7" ht="14.25" customHeight="1" x14ac:dyDescent="0.3">
      <c r="B443" s="489"/>
      <c r="C443" s="490"/>
      <c r="E443" s="491"/>
      <c r="G443" s="65"/>
    </row>
    <row r="444" spans="2:7" ht="14.25" customHeight="1" x14ac:dyDescent="0.3">
      <c r="B444" s="489"/>
      <c r="C444" s="490"/>
      <c r="E444" s="491"/>
      <c r="G444" s="65"/>
    </row>
    <row r="445" spans="2:7" ht="14.25" customHeight="1" x14ac:dyDescent="0.3">
      <c r="B445" s="489"/>
      <c r="C445" s="490"/>
      <c r="E445" s="491"/>
      <c r="G445" s="65"/>
    </row>
    <row r="446" spans="2:7" ht="14.25" customHeight="1" x14ac:dyDescent="0.3">
      <c r="B446" s="489"/>
      <c r="C446" s="490"/>
      <c r="E446" s="491"/>
      <c r="G446" s="65"/>
    </row>
    <row r="447" spans="2:7" ht="14.25" customHeight="1" x14ac:dyDescent="0.3">
      <c r="B447" s="489"/>
      <c r="C447" s="490"/>
      <c r="E447" s="491"/>
      <c r="G447" s="65"/>
    </row>
    <row r="448" spans="2:7" ht="14.25" customHeight="1" x14ac:dyDescent="0.3">
      <c r="B448" s="489"/>
      <c r="C448" s="490"/>
      <c r="E448" s="491"/>
      <c r="G448" s="65"/>
    </row>
    <row r="449" spans="2:7" ht="14.25" customHeight="1" x14ac:dyDescent="0.3">
      <c r="B449" s="489"/>
      <c r="C449" s="490"/>
      <c r="E449" s="491"/>
      <c r="G449" s="65"/>
    </row>
    <row r="450" spans="2:7" ht="14.25" customHeight="1" x14ac:dyDescent="0.3">
      <c r="B450" s="489"/>
      <c r="C450" s="490"/>
      <c r="E450" s="491"/>
      <c r="G450" s="65"/>
    </row>
    <row r="451" spans="2:7" ht="14.25" customHeight="1" x14ac:dyDescent="0.3">
      <c r="B451" s="489"/>
      <c r="C451" s="490"/>
      <c r="E451" s="491"/>
      <c r="G451" s="65"/>
    </row>
    <row r="452" spans="2:7" ht="14.25" customHeight="1" x14ac:dyDescent="0.3">
      <c r="B452" s="489"/>
      <c r="C452" s="490"/>
      <c r="E452" s="491"/>
      <c r="G452" s="65"/>
    </row>
    <row r="453" spans="2:7" ht="14.25" customHeight="1" x14ac:dyDescent="0.3">
      <c r="B453" s="489"/>
      <c r="C453" s="490"/>
      <c r="E453" s="491"/>
      <c r="G453" s="65"/>
    </row>
    <row r="454" spans="2:7" ht="14.25" customHeight="1" x14ac:dyDescent="0.3">
      <c r="B454" s="489"/>
      <c r="C454" s="490"/>
      <c r="E454" s="491"/>
      <c r="G454" s="65"/>
    </row>
    <row r="455" spans="2:7" ht="14.25" customHeight="1" x14ac:dyDescent="0.3">
      <c r="B455" s="489"/>
      <c r="C455" s="490"/>
      <c r="E455" s="491"/>
      <c r="G455" s="65"/>
    </row>
    <row r="456" spans="2:7" ht="14.25" customHeight="1" x14ac:dyDescent="0.3">
      <c r="B456" s="489"/>
      <c r="C456" s="490"/>
      <c r="E456" s="491"/>
      <c r="G456" s="65"/>
    </row>
    <row r="457" spans="2:7" ht="14.25" customHeight="1" x14ac:dyDescent="0.3">
      <c r="B457" s="489"/>
      <c r="C457" s="490"/>
      <c r="E457" s="491"/>
      <c r="G457" s="65"/>
    </row>
    <row r="458" spans="2:7" ht="14.25" customHeight="1" x14ac:dyDescent="0.3">
      <c r="B458" s="489"/>
      <c r="C458" s="490"/>
      <c r="E458" s="491"/>
      <c r="G458" s="65"/>
    </row>
    <row r="459" spans="2:7" ht="14.25" customHeight="1" x14ac:dyDescent="0.3">
      <c r="B459" s="489"/>
      <c r="C459" s="490"/>
      <c r="E459" s="491"/>
      <c r="G459" s="65"/>
    </row>
    <row r="460" spans="2:7" ht="14.25" customHeight="1" x14ac:dyDescent="0.3">
      <c r="B460" s="489"/>
      <c r="C460" s="490"/>
      <c r="E460" s="491"/>
      <c r="G460" s="65"/>
    </row>
    <row r="461" spans="2:7" ht="14.25" customHeight="1" x14ac:dyDescent="0.3">
      <c r="B461" s="489"/>
      <c r="C461" s="490"/>
      <c r="E461" s="491"/>
      <c r="G461" s="65"/>
    </row>
    <row r="462" spans="2:7" ht="14.25" customHeight="1" x14ac:dyDescent="0.3">
      <c r="B462" s="489"/>
      <c r="C462" s="490"/>
      <c r="E462" s="491"/>
      <c r="G462" s="65"/>
    </row>
    <row r="463" spans="2:7" ht="14.25" customHeight="1" x14ac:dyDescent="0.3">
      <c r="B463" s="489"/>
      <c r="C463" s="490"/>
      <c r="E463" s="491"/>
      <c r="G463" s="65"/>
    </row>
    <row r="464" spans="2:7" ht="14.25" customHeight="1" x14ac:dyDescent="0.3">
      <c r="B464" s="489"/>
      <c r="C464" s="490"/>
      <c r="E464" s="491"/>
      <c r="G464" s="65"/>
    </row>
    <row r="465" spans="2:7" ht="14.25" customHeight="1" x14ac:dyDescent="0.3">
      <c r="B465" s="489"/>
      <c r="C465" s="490"/>
      <c r="E465" s="491"/>
      <c r="G465" s="65"/>
    </row>
    <row r="466" spans="2:7" ht="14.25" customHeight="1" x14ac:dyDescent="0.3">
      <c r="B466" s="489"/>
      <c r="C466" s="490"/>
      <c r="E466" s="491"/>
      <c r="G466" s="65"/>
    </row>
    <row r="467" spans="2:7" ht="14.25" customHeight="1" x14ac:dyDescent="0.3">
      <c r="B467" s="489"/>
      <c r="C467" s="490"/>
      <c r="E467" s="491"/>
      <c r="G467" s="65"/>
    </row>
    <row r="468" spans="2:7" ht="14.25" customHeight="1" x14ac:dyDescent="0.3">
      <c r="B468" s="489"/>
      <c r="C468" s="490"/>
      <c r="E468" s="491"/>
      <c r="G468" s="65"/>
    </row>
    <row r="469" spans="2:7" ht="14.25" customHeight="1" x14ac:dyDescent="0.3">
      <c r="B469" s="489"/>
      <c r="C469" s="490"/>
      <c r="E469" s="491"/>
      <c r="G469" s="65"/>
    </row>
    <row r="470" spans="2:7" ht="14.25" customHeight="1" x14ac:dyDescent="0.3">
      <c r="B470" s="489"/>
      <c r="C470" s="490"/>
      <c r="E470" s="491"/>
      <c r="G470" s="65"/>
    </row>
    <row r="471" spans="2:7" ht="14.25" customHeight="1" x14ac:dyDescent="0.3">
      <c r="B471" s="489"/>
      <c r="C471" s="490"/>
      <c r="E471" s="491"/>
      <c r="G471" s="65"/>
    </row>
    <row r="472" spans="2:7" ht="14.25" customHeight="1" x14ac:dyDescent="0.3">
      <c r="B472" s="489"/>
      <c r="C472" s="490"/>
      <c r="E472" s="491"/>
      <c r="G472" s="65"/>
    </row>
    <row r="473" spans="2:7" ht="14.25" customHeight="1" x14ac:dyDescent="0.3">
      <c r="B473" s="489"/>
      <c r="C473" s="490"/>
      <c r="E473" s="491"/>
      <c r="G473" s="65"/>
    </row>
    <row r="474" spans="2:7" ht="14.25" customHeight="1" x14ac:dyDescent="0.3">
      <c r="B474" s="489"/>
      <c r="C474" s="490"/>
      <c r="E474" s="491"/>
      <c r="G474" s="65"/>
    </row>
    <row r="475" spans="2:7" ht="14.25" customHeight="1" x14ac:dyDescent="0.3">
      <c r="B475" s="489"/>
      <c r="C475" s="490"/>
      <c r="E475" s="491"/>
      <c r="G475" s="65"/>
    </row>
    <row r="476" spans="2:7" ht="14.25" customHeight="1" x14ac:dyDescent="0.3">
      <c r="B476" s="489"/>
      <c r="C476" s="490"/>
      <c r="E476" s="491"/>
      <c r="G476" s="65"/>
    </row>
    <row r="477" spans="2:7" ht="14.25" customHeight="1" x14ac:dyDescent="0.3">
      <c r="B477" s="489"/>
      <c r="C477" s="490"/>
      <c r="E477" s="491"/>
      <c r="G477" s="65"/>
    </row>
    <row r="478" spans="2:7" ht="14.25" customHeight="1" x14ac:dyDescent="0.3">
      <c r="B478" s="489"/>
      <c r="C478" s="490"/>
      <c r="E478" s="491"/>
      <c r="G478" s="65"/>
    </row>
    <row r="479" spans="2:7" ht="14.25" customHeight="1" x14ac:dyDescent="0.3">
      <c r="B479" s="489"/>
      <c r="C479" s="490"/>
      <c r="E479" s="491"/>
      <c r="G479" s="65"/>
    </row>
    <row r="480" spans="2:7" ht="14.25" customHeight="1" x14ac:dyDescent="0.3">
      <c r="B480" s="489"/>
      <c r="C480" s="490"/>
      <c r="E480" s="491"/>
      <c r="G480" s="65"/>
    </row>
    <row r="481" spans="2:7" ht="14.25" customHeight="1" x14ac:dyDescent="0.3">
      <c r="B481" s="489"/>
      <c r="C481" s="490"/>
      <c r="E481" s="491"/>
      <c r="G481" s="65"/>
    </row>
    <row r="482" spans="2:7" ht="14.25" customHeight="1" x14ac:dyDescent="0.3">
      <c r="B482" s="489"/>
      <c r="C482" s="490"/>
      <c r="E482" s="491"/>
      <c r="G482" s="65"/>
    </row>
    <row r="483" spans="2:7" ht="14.25" customHeight="1" x14ac:dyDescent="0.3">
      <c r="B483" s="489"/>
      <c r="C483" s="490"/>
      <c r="E483" s="491"/>
      <c r="G483" s="65"/>
    </row>
    <row r="484" spans="2:7" ht="14.25" customHeight="1" x14ac:dyDescent="0.3">
      <c r="B484" s="489"/>
      <c r="C484" s="490"/>
      <c r="E484" s="491"/>
      <c r="G484" s="65"/>
    </row>
    <row r="485" spans="2:7" ht="14.25" customHeight="1" x14ac:dyDescent="0.3">
      <c r="B485" s="489"/>
      <c r="C485" s="490"/>
      <c r="E485" s="491"/>
      <c r="G485" s="65"/>
    </row>
    <row r="486" spans="2:7" ht="14.25" customHeight="1" x14ac:dyDescent="0.3">
      <c r="B486" s="489"/>
      <c r="C486" s="490"/>
      <c r="E486" s="491"/>
      <c r="G486" s="65"/>
    </row>
    <row r="487" spans="2:7" ht="14.25" customHeight="1" x14ac:dyDescent="0.3">
      <c r="B487" s="489"/>
      <c r="C487" s="490"/>
      <c r="E487" s="491"/>
      <c r="G487" s="65"/>
    </row>
    <row r="488" spans="2:7" ht="14.25" customHeight="1" x14ac:dyDescent="0.3">
      <c r="B488" s="489"/>
      <c r="C488" s="490"/>
      <c r="E488" s="491"/>
      <c r="G488" s="65"/>
    </row>
    <row r="489" spans="2:7" ht="14.25" customHeight="1" x14ac:dyDescent="0.3">
      <c r="B489" s="489"/>
      <c r="C489" s="490"/>
      <c r="E489" s="491"/>
      <c r="G489" s="65"/>
    </row>
    <row r="490" spans="2:7" ht="14.25" customHeight="1" x14ac:dyDescent="0.3">
      <c r="B490" s="489"/>
      <c r="C490" s="490"/>
      <c r="E490" s="491"/>
      <c r="G490" s="65"/>
    </row>
    <row r="491" spans="2:7" ht="14.25" customHeight="1" x14ac:dyDescent="0.3">
      <c r="B491" s="489"/>
      <c r="C491" s="490"/>
      <c r="E491" s="491"/>
      <c r="G491" s="65"/>
    </row>
    <row r="492" spans="2:7" ht="14.25" customHeight="1" x14ac:dyDescent="0.3">
      <c r="B492" s="489"/>
      <c r="C492" s="490"/>
      <c r="E492" s="491"/>
      <c r="G492" s="65"/>
    </row>
    <row r="493" spans="2:7" ht="14.25" customHeight="1" x14ac:dyDescent="0.3">
      <c r="B493" s="489"/>
      <c r="C493" s="490"/>
      <c r="E493" s="491"/>
      <c r="G493" s="65"/>
    </row>
    <row r="494" spans="2:7" ht="14.25" customHeight="1" x14ac:dyDescent="0.3">
      <c r="B494" s="489"/>
      <c r="C494" s="490"/>
      <c r="E494" s="491"/>
      <c r="G494" s="65"/>
    </row>
    <row r="495" spans="2:7" ht="14.25" customHeight="1" x14ac:dyDescent="0.3">
      <c r="B495" s="489"/>
      <c r="C495" s="490"/>
      <c r="E495" s="491"/>
      <c r="G495" s="65"/>
    </row>
    <row r="496" spans="2:7" ht="14.25" customHeight="1" x14ac:dyDescent="0.3">
      <c r="B496" s="489"/>
      <c r="C496" s="490"/>
      <c r="E496" s="491"/>
      <c r="G496" s="65"/>
    </row>
    <row r="497" spans="2:7" ht="14.25" customHeight="1" x14ac:dyDescent="0.3">
      <c r="B497" s="489"/>
      <c r="C497" s="490"/>
      <c r="E497" s="491"/>
      <c r="G497" s="65"/>
    </row>
    <row r="498" spans="2:7" ht="14.25" customHeight="1" x14ac:dyDescent="0.3">
      <c r="B498" s="489"/>
      <c r="C498" s="490"/>
      <c r="E498" s="491"/>
      <c r="G498" s="65"/>
    </row>
    <row r="499" spans="2:7" ht="14.25" customHeight="1" x14ac:dyDescent="0.3">
      <c r="B499" s="489"/>
      <c r="C499" s="490"/>
      <c r="E499" s="491"/>
      <c r="G499" s="65"/>
    </row>
    <row r="500" spans="2:7" ht="14.25" customHeight="1" x14ac:dyDescent="0.3">
      <c r="B500" s="489"/>
      <c r="C500" s="490"/>
      <c r="E500" s="491"/>
      <c r="G500" s="65"/>
    </row>
    <row r="501" spans="2:7" ht="14.25" customHeight="1" x14ac:dyDescent="0.3">
      <c r="B501" s="489"/>
      <c r="C501" s="490"/>
      <c r="E501" s="491"/>
      <c r="G501" s="65"/>
    </row>
    <row r="502" spans="2:7" ht="14.25" customHeight="1" x14ac:dyDescent="0.3">
      <c r="B502" s="489"/>
      <c r="C502" s="490"/>
      <c r="E502" s="491"/>
      <c r="G502" s="65"/>
    </row>
    <row r="503" spans="2:7" ht="14.25" customHeight="1" x14ac:dyDescent="0.3">
      <c r="B503" s="489"/>
      <c r="C503" s="490"/>
      <c r="E503" s="491"/>
      <c r="G503" s="65"/>
    </row>
    <row r="504" spans="2:7" ht="14.25" customHeight="1" x14ac:dyDescent="0.3">
      <c r="B504" s="489"/>
      <c r="C504" s="490"/>
      <c r="E504" s="491"/>
      <c r="G504" s="65"/>
    </row>
    <row r="505" spans="2:7" ht="14.25" customHeight="1" x14ac:dyDescent="0.3">
      <c r="B505" s="489"/>
      <c r="C505" s="490"/>
      <c r="E505" s="491"/>
      <c r="G505" s="65"/>
    </row>
    <row r="506" spans="2:7" ht="14.25" customHeight="1" x14ac:dyDescent="0.3">
      <c r="B506" s="489"/>
      <c r="C506" s="490"/>
      <c r="E506" s="491"/>
      <c r="G506" s="65"/>
    </row>
    <row r="507" spans="2:7" ht="14.25" customHeight="1" x14ac:dyDescent="0.3">
      <c r="B507" s="489"/>
      <c r="C507" s="490"/>
      <c r="E507" s="491"/>
      <c r="G507" s="65"/>
    </row>
    <row r="508" spans="2:7" ht="14.25" customHeight="1" x14ac:dyDescent="0.3">
      <c r="B508" s="489"/>
      <c r="C508" s="490"/>
      <c r="E508" s="491"/>
      <c r="G508" s="65"/>
    </row>
    <row r="509" spans="2:7" ht="14.25" customHeight="1" x14ac:dyDescent="0.3">
      <c r="B509" s="489"/>
      <c r="C509" s="490"/>
      <c r="E509" s="491"/>
      <c r="G509" s="65"/>
    </row>
    <row r="510" spans="2:7" ht="14.25" customHeight="1" x14ac:dyDescent="0.3">
      <c r="B510" s="489"/>
      <c r="C510" s="490"/>
      <c r="E510" s="491"/>
      <c r="G510" s="65"/>
    </row>
    <row r="511" spans="2:7" ht="14.25" customHeight="1" x14ac:dyDescent="0.3">
      <c r="B511" s="489"/>
      <c r="C511" s="490"/>
      <c r="E511" s="491"/>
      <c r="G511" s="65"/>
    </row>
    <row r="512" spans="2:7" ht="14.25" customHeight="1" x14ac:dyDescent="0.3">
      <c r="B512" s="489"/>
      <c r="C512" s="490"/>
      <c r="E512" s="491"/>
      <c r="G512" s="65"/>
    </row>
    <row r="513" spans="2:7" ht="14.25" customHeight="1" x14ac:dyDescent="0.3">
      <c r="B513" s="489"/>
      <c r="C513" s="490"/>
      <c r="E513" s="491"/>
      <c r="G513" s="65"/>
    </row>
    <row r="514" spans="2:7" ht="14.25" customHeight="1" x14ac:dyDescent="0.3">
      <c r="B514" s="489"/>
      <c r="C514" s="490"/>
      <c r="E514" s="491"/>
      <c r="G514" s="65"/>
    </row>
    <row r="515" spans="2:7" ht="14.25" customHeight="1" x14ac:dyDescent="0.3">
      <c r="B515" s="489"/>
      <c r="C515" s="490"/>
      <c r="E515" s="491"/>
      <c r="G515" s="65"/>
    </row>
    <row r="516" spans="2:7" ht="14.25" customHeight="1" x14ac:dyDescent="0.3">
      <c r="B516" s="489"/>
      <c r="C516" s="490"/>
      <c r="E516" s="491"/>
      <c r="G516" s="65"/>
    </row>
    <row r="517" spans="2:7" ht="14.25" customHeight="1" x14ac:dyDescent="0.3">
      <c r="B517" s="489"/>
      <c r="C517" s="490"/>
      <c r="E517" s="491"/>
      <c r="G517" s="65"/>
    </row>
    <row r="518" spans="2:7" ht="14.25" customHeight="1" x14ac:dyDescent="0.3">
      <c r="B518" s="489"/>
      <c r="C518" s="490"/>
      <c r="E518" s="491"/>
      <c r="G518" s="65"/>
    </row>
    <row r="519" spans="2:7" ht="14.25" customHeight="1" x14ac:dyDescent="0.3">
      <c r="B519" s="489"/>
      <c r="C519" s="490"/>
      <c r="E519" s="491"/>
      <c r="G519" s="65"/>
    </row>
    <row r="520" spans="2:7" ht="14.25" customHeight="1" x14ac:dyDescent="0.3">
      <c r="B520" s="489"/>
      <c r="C520" s="490"/>
      <c r="E520" s="491"/>
      <c r="G520" s="65"/>
    </row>
    <row r="521" spans="2:7" ht="14.25" customHeight="1" x14ac:dyDescent="0.3">
      <c r="B521" s="489"/>
      <c r="C521" s="490"/>
      <c r="E521" s="491"/>
      <c r="G521" s="65"/>
    </row>
    <row r="522" spans="2:7" ht="14.25" customHeight="1" x14ac:dyDescent="0.3">
      <c r="B522" s="489"/>
      <c r="C522" s="490"/>
      <c r="E522" s="491"/>
      <c r="G522" s="65"/>
    </row>
    <row r="523" spans="2:7" ht="14.25" customHeight="1" x14ac:dyDescent="0.3">
      <c r="B523" s="489"/>
      <c r="C523" s="490"/>
      <c r="E523" s="491"/>
      <c r="G523" s="65"/>
    </row>
    <row r="524" spans="2:7" ht="14.25" customHeight="1" x14ac:dyDescent="0.3">
      <c r="B524" s="489"/>
      <c r="C524" s="490"/>
      <c r="E524" s="491"/>
      <c r="G524" s="65"/>
    </row>
    <row r="525" spans="2:7" ht="14.25" customHeight="1" x14ac:dyDescent="0.3">
      <c r="B525" s="489"/>
      <c r="C525" s="490"/>
      <c r="E525" s="491"/>
      <c r="G525" s="65"/>
    </row>
    <row r="526" spans="2:7" ht="14.25" customHeight="1" x14ac:dyDescent="0.3">
      <c r="B526" s="489"/>
      <c r="C526" s="490"/>
      <c r="E526" s="491"/>
      <c r="G526" s="65"/>
    </row>
    <row r="527" spans="2:7" ht="14.25" customHeight="1" x14ac:dyDescent="0.3">
      <c r="B527" s="489"/>
      <c r="C527" s="490"/>
      <c r="E527" s="491"/>
      <c r="G527" s="65"/>
    </row>
    <row r="528" spans="2:7" ht="14.25" customHeight="1" x14ac:dyDescent="0.3">
      <c r="B528" s="489"/>
      <c r="C528" s="490"/>
      <c r="E528" s="491"/>
      <c r="G528" s="65"/>
    </row>
    <row r="529" spans="2:7" ht="14.25" customHeight="1" x14ac:dyDescent="0.3">
      <c r="B529" s="489"/>
      <c r="C529" s="490"/>
      <c r="E529" s="491"/>
      <c r="G529" s="65"/>
    </row>
    <row r="530" spans="2:7" ht="14.25" customHeight="1" x14ac:dyDescent="0.3">
      <c r="B530" s="489"/>
      <c r="C530" s="490"/>
      <c r="E530" s="491"/>
      <c r="G530" s="65"/>
    </row>
    <row r="531" spans="2:7" ht="14.25" customHeight="1" x14ac:dyDescent="0.3">
      <c r="B531" s="489"/>
      <c r="C531" s="490"/>
      <c r="E531" s="491"/>
      <c r="G531" s="65"/>
    </row>
    <row r="532" spans="2:7" ht="14.25" customHeight="1" x14ac:dyDescent="0.3">
      <c r="B532" s="489"/>
      <c r="C532" s="490"/>
      <c r="E532" s="491"/>
      <c r="G532" s="65"/>
    </row>
    <row r="533" spans="2:7" ht="14.25" customHeight="1" x14ac:dyDescent="0.3">
      <c r="B533" s="489"/>
      <c r="C533" s="490"/>
      <c r="E533" s="491"/>
      <c r="G533" s="65"/>
    </row>
    <row r="534" spans="2:7" ht="14.25" customHeight="1" x14ac:dyDescent="0.3">
      <c r="B534" s="489"/>
      <c r="C534" s="490"/>
      <c r="E534" s="491"/>
      <c r="G534" s="65"/>
    </row>
    <row r="535" spans="2:7" ht="14.25" customHeight="1" x14ac:dyDescent="0.3">
      <c r="B535" s="489"/>
      <c r="C535" s="490"/>
      <c r="E535" s="491"/>
      <c r="G535" s="65"/>
    </row>
    <row r="536" spans="2:7" ht="14.25" customHeight="1" x14ac:dyDescent="0.3">
      <c r="B536" s="489"/>
      <c r="C536" s="490"/>
      <c r="E536" s="491"/>
      <c r="G536" s="65"/>
    </row>
    <row r="537" spans="2:7" ht="14.25" customHeight="1" x14ac:dyDescent="0.3">
      <c r="B537" s="489"/>
      <c r="C537" s="490"/>
      <c r="E537" s="491"/>
      <c r="G537" s="65"/>
    </row>
    <row r="538" spans="2:7" ht="14.25" customHeight="1" x14ac:dyDescent="0.3">
      <c r="B538" s="489"/>
      <c r="C538" s="490"/>
      <c r="E538" s="491"/>
      <c r="G538" s="65"/>
    </row>
    <row r="539" spans="2:7" ht="14.25" customHeight="1" x14ac:dyDescent="0.3">
      <c r="B539" s="489"/>
      <c r="C539" s="490"/>
      <c r="E539" s="491"/>
      <c r="G539" s="65"/>
    </row>
    <row r="540" spans="2:7" ht="14.25" customHeight="1" x14ac:dyDescent="0.3">
      <c r="B540" s="489"/>
      <c r="C540" s="490"/>
      <c r="E540" s="491"/>
      <c r="G540" s="65"/>
    </row>
    <row r="541" spans="2:7" ht="14.25" customHeight="1" x14ac:dyDescent="0.3">
      <c r="B541" s="489"/>
      <c r="C541" s="490"/>
      <c r="E541" s="491"/>
      <c r="G541" s="65"/>
    </row>
    <row r="542" spans="2:7" ht="14.25" customHeight="1" x14ac:dyDescent="0.3">
      <c r="B542" s="489"/>
      <c r="C542" s="490"/>
      <c r="E542" s="491"/>
      <c r="G542" s="65"/>
    </row>
    <row r="543" spans="2:7" ht="14.25" customHeight="1" x14ac:dyDescent="0.3">
      <c r="B543" s="489"/>
      <c r="C543" s="490"/>
      <c r="E543" s="491"/>
      <c r="G543" s="65"/>
    </row>
    <row r="544" spans="2:7" ht="14.25" customHeight="1" x14ac:dyDescent="0.3">
      <c r="B544" s="489"/>
      <c r="C544" s="490"/>
      <c r="E544" s="491"/>
      <c r="G544" s="65"/>
    </row>
    <row r="545" spans="2:7" ht="14.25" customHeight="1" x14ac:dyDescent="0.3">
      <c r="B545" s="489"/>
      <c r="C545" s="490"/>
      <c r="E545" s="491"/>
      <c r="G545" s="65"/>
    </row>
    <row r="546" spans="2:7" ht="14.25" customHeight="1" x14ac:dyDescent="0.3">
      <c r="B546" s="489"/>
      <c r="C546" s="490"/>
      <c r="E546" s="491"/>
      <c r="G546" s="65"/>
    </row>
    <row r="547" spans="2:7" ht="14.25" customHeight="1" x14ac:dyDescent="0.3">
      <c r="B547" s="489"/>
      <c r="C547" s="490"/>
      <c r="E547" s="491"/>
      <c r="G547" s="65"/>
    </row>
    <row r="548" spans="2:7" ht="14.25" customHeight="1" x14ac:dyDescent="0.3">
      <c r="B548" s="489"/>
      <c r="C548" s="490"/>
      <c r="E548" s="491"/>
      <c r="G548" s="65"/>
    </row>
    <row r="549" spans="2:7" ht="14.25" customHeight="1" x14ac:dyDescent="0.3">
      <c r="B549" s="489"/>
      <c r="C549" s="490"/>
      <c r="E549" s="491"/>
      <c r="G549" s="65"/>
    </row>
    <row r="550" spans="2:7" ht="14.25" customHeight="1" x14ac:dyDescent="0.3">
      <c r="B550" s="489"/>
      <c r="C550" s="490"/>
      <c r="E550" s="491"/>
      <c r="G550" s="65"/>
    </row>
    <row r="551" spans="2:7" ht="14.25" customHeight="1" x14ac:dyDescent="0.3">
      <c r="B551" s="489"/>
      <c r="C551" s="490"/>
      <c r="E551" s="491"/>
      <c r="G551" s="65"/>
    </row>
    <row r="552" spans="2:7" ht="14.25" customHeight="1" x14ac:dyDescent="0.3">
      <c r="B552" s="489"/>
      <c r="C552" s="490"/>
      <c r="E552" s="491"/>
      <c r="G552" s="65"/>
    </row>
    <row r="553" spans="2:7" ht="14.25" customHeight="1" x14ac:dyDescent="0.3">
      <c r="B553" s="489"/>
      <c r="C553" s="490"/>
      <c r="E553" s="491"/>
      <c r="G553" s="65"/>
    </row>
    <row r="554" spans="2:7" ht="14.25" customHeight="1" x14ac:dyDescent="0.3">
      <c r="B554" s="489"/>
      <c r="C554" s="490"/>
      <c r="E554" s="491"/>
      <c r="G554" s="65"/>
    </row>
    <row r="555" spans="2:7" ht="14.25" customHeight="1" x14ac:dyDescent="0.3">
      <c r="B555" s="489"/>
      <c r="C555" s="490"/>
      <c r="E555" s="491"/>
      <c r="G555" s="65"/>
    </row>
    <row r="556" spans="2:7" ht="14.25" customHeight="1" x14ac:dyDescent="0.3">
      <c r="B556" s="489"/>
      <c r="C556" s="490"/>
      <c r="E556" s="491"/>
      <c r="G556" s="65"/>
    </row>
    <row r="557" spans="2:7" ht="14.25" customHeight="1" x14ac:dyDescent="0.3">
      <c r="B557" s="489"/>
      <c r="C557" s="490"/>
      <c r="E557" s="491"/>
      <c r="G557" s="65"/>
    </row>
    <row r="558" spans="2:7" ht="14.25" customHeight="1" x14ac:dyDescent="0.3">
      <c r="B558" s="489"/>
      <c r="C558" s="490"/>
      <c r="E558" s="491"/>
      <c r="G558" s="65"/>
    </row>
    <row r="559" spans="2:7" ht="14.25" customHeight="1" x14ac:dyDescent="0.3">
      <c r="B559" s="489"/>
      <c r="C559" s="490"/>
      <c r="E559" s="491"/>
      <c r="G559" s="65"/>
    </row>
    <row r="560" spans="2:7" ht="14.25" customHeight="1" x14ac:dyDescent="0.3">
      <c r="B560" s="489"/>
      <c r="C560" s="490"/>
      <c r="E560" s="491"/>
      <c r="G560" s="65"/>
    </row>
    <row r="561" spans="2:7" ht="14.25" customHeight="1" x14ac:dyDescent="0.3">
      <c r="B561" s="489"/>
      <c r="C561" s="490"/>
      <c r="E561" s="491"/>
      <c r="G561" s="65"/>
    </row>
    <row r="562" spans="2:7" ht="14.25" customHeight="1" x14ac:dyDescent="0.3">
      <c r="B562" s="489"/>
      <c r="C562" s="490"/>
      <c r="E562" s="491"/>
      <c r="G562" s="65"/>
    </row>
    <row r="563" spans="2:7" ht="14.25" customHeight="1" x14ac:dyDescent="0.3">
      <c r="B563" s="489"/>
      <c r="C563" s="490"/>
      <c r="E563" s="491"/>
      <c r="G563" s="65"/>
    </row>
    <row r="564" spans="2:7" ht="14.25" customHeight="1" x14ac:dyDescent="0.3">
      <c r="B564" s="489"/>
      <c r="C564" s="490"/>
      <c r="E564" s="491"/>
      <c r="G564" s="65"/>
    </row>
    <row r="565" spans="2:7" ht="14.25" customHeight="1" x14ac:dyDescent="0.3">
      <c r="B565" s="489"/>
      <c r="C565" s="490"/>
      <c r="E565" s="491"/>
      <c r="G565" s="65"/>
    </row>
    <row r="566" spans="2:7" ht="14.25" customHeight="1" x14ac:dyDescent="0.3">
      <c r="B566" s="489"/>
      <c r="C566" s="490"/>
      <c r="E566" s="491"/>
      <c r="G566" s="65"/>
    </row>
    <row r="567" spans="2:7" ht="14.25" customHeight="1" x14ac:dyDescent="0.3">
      <c r="B567" s="489"/>
      <c r="C567" s="490"/>
      <c r="E567" s="491"/>
      <c r="G567" s="65"/>
    </row>
    <row r="568" spans="2:7" ht="14.25" customHeight="1" x14ac:dyDescent="0.3">
      <c r="B568" s="489"/>
      <c r="C568" s="490"/>
      <c r="E568" s="491"/>
      <c r="G568" s="65"/>
    </row>
    <row r="569" spans="2:7" ht="14.25" customHeight="1" x14ac:dyDescent="0.3">
      <c r="B569" s="489"/>
      <c r="C569" s="490"/>
      <c r="E569" s="491"/>
      <c r="G569" s="65"/>
    </row>
    <row r="570" spans="2:7" ht="14.25" customHeight="1" x14ac:dyDescent="0.3">
      <c r="B570" s="489"/>
      <c r="C570" s="490"/>
      <c r="E570" s="491"/>
      <c r="G570" s="65"/>
    </row>
    <row r="571" spans="2:7" ht="14.25" customHeight="1" x14ac:dyDescent="0.3">
      <c r="B571" s="489"/>
      <c r="C571" s="490"/>
      <c r="E571" s="491"/>
      <c r="G571" s="65"/>
    </row>
    <row r="572" spans="2:7" ht="14.25" customHeight="1" x14ac:dyDescent="0.3">
      <c r="B572" s="489"/>
      <c r="C572" s="490"/>
      <c r="E572" s="491"/>
      <c r="G572" s="65"/>
    </row>
    <row r="573" spans="2:7" ht="14.25" customHeight="1" x14ac:dyDescent="0.3">
      <c r="B573" s="489"/>
      <c r="C573" s="490"/>
      <c r="E573" s="491"/>
      <c r="G573" s="65"/>
    </row>
    <row r="574" spans="2:7" ht="14.25" customHeight="1" x14ac:dyDescent="0.3">
      <c r="B574" s="489"/>
      <c r="C574" s="490"/>
      <c r="E574" s="491"/>
      <c r="G574" s="65"/>
    </row>
    <row r="575" spans="2:7" ht="14.25" customHeight="1" x14ac:dyDescent="0.3">
      <c r="B575" s="489"/>
      <c r="C575" s="490"/>
      <c r="E575" s="491"/>
      <c r="G575" s="65"/>
    </row>
    <row r="576" spans="2:7" ht="14.25" customHeight="1" x14ac:dyDescent="0.3">
      <c r="B576" s="489"/>
      <c r="C576" s="490"/>
      <c r="E576" s="491"/>
      <c r="G576" s="65"/>
    </row>
    <row r="577" spans="2:7" ht="14.25" customHeight="1" x14ac:dyDescent="0.3">
      <c r="B577" s="489"/>
      <c r="C577" s="490"/>
      <c r="E577" s="491"/>
      <c r="G577" s="65"/>
    </row>
    <row r="578" spans="2:7" ht="14.25" customHeight="1" x14ac:dyDescent="0.3">
      <c r="B578" s="489"/>
      <c r="C578" s="490"/>
      <c r="E578" s="491"/>
      <c r="G578" s="65"/>
    </row>
    <row r="579" spans="2:7" ht="14.25" customHeight="1" x14ac:dyDescent="0.3">
      <c r="B579" s="489"/>
      <c r="C579" s="490"/>
      <c r="E579" s="491"/>
      <c r="G579" s="65"/>
    </row>
    <row r="580" spans="2:7" ht="14.25" customHeight="1" x14ac:dyDescent="0.3">
      <c r="B580" s="489"/>
      <c r="C580" s="490"/>
      <c r="E580" s="491"/>
      <c r="G580" s="65"/>
    </row>
    <row r="581" spans="2:7" ht="14.25" customHeight="1" x14ac:dyDescent="0.3">
      <c r="B581" s="489"/>
      <c r="C581" s="490"/>
      <c r="E581" s="491"/>
      <c r="G581" s="65"/>
    </row>
    <row r="582" spans="2:7" ht="14.25" customHeight="1" x14ac:dyDescent="0.3">
      <c r="B582" s="489"/>
      <c r="C582" s="490"/>
      <c r="E582" s="491"/>
      <c r="G582" s="65"/>
    </row>
    <row r="583" spans="2:7" ht="14.25" customHeight="1" x14ac:dyDescent="0.3">
      <c r="B583" s="489"/>
      <c r="C583" s="490"/>
      <c r="E583" s="491"/>
      <c r="G583" s="65"/>
    </row>
    <row r="584" spans="2:7" ht="14.25" customHeight="1" x14ac:dyDescent="0.3">
      <c r="B584" s="489"/>
      <c r="C584" s="490"/>
      <c r="E584" s="491"/>
      <c r="G584" s="65"/>
    </row>
    <row r="585" spans="2:7" ht="14.25" customHeight="1" x14ac:dyDescent="0.3">
      <c r="B585" s="489"/>
      <c r="C585" s="490"/>
      <c r="E585" s="491"/>
      <c r="G585" s="65"/>
    </row>
    <row r="586" spans="2:7" ht="14.25" customHeight="1" x14ac:dyDescent="0.3">
      <c r="B586" s="489"/>
      <c r="C586" s="490"/>
      <c r="E586" s="491"/>
      <c r="G586" s="65"/>
    </row>
    <row r="587" spans="2:7" ht="14.25" customHeight="1" x14ac:dyDescent="0.3">
      <c r="B587" s="489"/>
      <c r="C587" s="490"/>
      <c r="E587" s="491"/>
      <c r="G587" s="65"/>
    </row>
    <row r="588" spans="2:7" ht="14.25" customHeight="1" x14ac:dyDescent="0.3">
      <c r="B588" s="489"/>
      <c r="C588" s="490"/>
      <c r="E588" s="491"/>
      <c r="G588" s="65"/>
    </row>
    <row r="589" spans="2:7" ht="14.25" customHeight="1" x14ac:dyDescent="0.3">
      <c r="B589" s="489"/>
      <c r="C589" s="490"/>
      <c r="E589" s="491"/>
      <c r="G589" s="65"/>
    </row>
    <row r="590" spans="2:7" ht="14.25" customHeight="1" x14ac:dyDescent="0.3">
      <c r="B590" s="489"/>
      <c r="C590" s="490"/>
      <c r="E590" s="491"/>
      <c r="G590" s="65"/>
    </row>
    <row r="591" spans="2:7" ht="14.25" customHeight="1" x14ac:dyDescent="0.3">
      <c r="B591" s="489"/>
      <c r="C591" s="490"/>
      <c r="E591" s="491"/>
      <c r="G591" s="65"/>
    </row>
    <row r="592" spans="2:7" ht="14.25" customHeight="1" x14ac:dyDescent="0.3">
      <c r="B592" s="489"/>
      <c r="C592" s="490"/>
      <c r="E592" s="491"/>
      <c r="G592" s="65"/>
    </row>
    <row r="593" spans="2:7" ht="14.25" customHeight="1" x14ac:dyDescent="0.3">
      <c r="B593" s="489"/>
      <c r="C593" s="490"/>
      <c r="E593" s="491"/>
      <c r="G593" s="65"/>
    </row>
    <row r="594" spans="2:7" ht="14.25" customHeight="1" x14ac:dyDescent="0.3">
      <c r="B594" s="489"/>
      <c r="C594" s="490"/>
      <c r="E594" s="491"/>
      <c r="G594" s="65"/>
    </row>
    <row r="595" spans="2:7" ht="14.25" customHeight="1" x14ac:dyDescent="0.3">
      <c r="B595" s="489"/>
      <c r="C595" s="490"/>
      <c r="E595" s="491"/>
      <c r="G595" s="65"/>
    </row>
    <row r="596" spans="2:7" ht="14.25" customHeight="1" x14ac:dyDescent="0.3">
      <c r="B596" s="489"/>
      <c r="C596" s="490"/>
      <c r="E596" s="491"/>
      <c r="G596" s="65"/>
    </row>
    <row r="597" spans="2:7" ht="14.25" customHeight="1" x14ac:dyDescent="0.3">
      <c r="B597" s="489"/>
      <c r="C597" s="490"/>
      <c r="E597" s="491"/>
      <c r="G597" s="65"/>
    </row>
    <row r="598" spans="2:7" ht="14.25" customHeight="1" x14ac:dyDescent="0.3">
      <c r="B598" s="489"/>
      <c r="C598" s="490"/>
      <c r="E598" s="491"/>
      <c r="G598" s="65"/>
    </row>
    <row r="599" spans="2:7" ht="14.25" customHeight="1" x14ac:dyDescent="0.3">
      <c r="B599" s="489"/>
      <c r="C599" s="490"/>
      <c r="E599" s="491"/>
      <c r="G599" s="65"/>
    </row>
    <row r="600" spans="2:7" ht="14.25" customHeight="1" x14ac:dyDescent="0.3">
      <c r="B600" s="489"/>
      <c r="C600" s="490"/>
      <c r="E600" s="491"/>
      <c r="G600" s="65"/>
    </row>
    <row r="601" spans="2:7" ht="14.25" customHeight="1" x14ac:dyDescent="0.3">
      <c r="B601" s="489"/>
      <c r="C601" s="490"/>
      <c r="E601" s="491"/>
      <c r="G601" s="65"/>
    </row>
    <row r="602" spans="2:7" ht="14.25" customHeight="1" x14ac:dyDescent="0.3">
      <c r="B602" s="489"/>
      <c r="C602" s="490"/>
      <c r="E602" s="491"/>
      <c r="G602" s="65"/>
    </row>
    <row r="603" spans="2:7" ht="14.25" customHeight="1" x14ac:dyDescent="0.3">
      <c r="B603" s="489"/>
      <c r="C603" s="490"/>
      <c r="E603" s="491"/>
      <c r="G603" s="65"/>
    </row>
    <row r="604" spans="2:7" ht="14.25" customHeight="1" x14ac:dyDescent="0.3">
      <c r="B604" s="489"/>
      <c r="C604" s="490"/>
      <c r="E604" s="491"/>
      <c r="G604" s="65"/>
    </row>
    <row r="605" spans="2:7" ht="14.25" customHeight="1" x14ac:dyDescent="0.3">
      <c r="B605" s="489"/>
      <c r="C605" s="490"/>
      <c r="E605" s="491"/>
      <c r="G605" s="65"/>
    </row>
    <row r="606" spans="2:7" ht="14.25" customHeight="1" x14ac:dyDescent="0.3">
      <c r="B606" s="489"/>
      <c r="C606" s="490"/>
      <c r="E606" s="491"/>
      <c r="G606" s="65"/>
    </row>
    <row r="607" spans="2:7" ht="14.25" customHeight="1" x14ac:dyDescent="0.3">
      <c r="B607" s="489"/>
      <c r="C607" s="490"/>
      <c r="E607" s="491"/>
      <c r="G607" s="65"/>
    </row>
    <row r="608" spans="2:7" ht="14.25" customHeight="1" x14ac:dyDescent="0.3">
      <c r="B608" s="489"/>
      <c r="C608" s="490"/>
      <c r="E608" s="491"/>
      <c r="G608" s="65"/>
    </row>
    <row r="609" spans="2:7" ht="14.25" customHeight="1" x14ac:dyDescent="0.3">
      <c r="B609" s="489"/>
      <c r="C609" s="490"/>
      <c r="E609" s="491"/>
      <c r="G609" s="65"/>
    </row>
    <row r="610" spans="2:7" ht="14.25" customHeight="1" x14ac:dyDescent="0.3">
      <c r="B610" s="489"/>
      <c r="C610" s="490"/>
      <c r="E610" s="491"/>
      <c r="G610" s="65"/>
    </row>
    <row r="611" spans="2:7" ht="14.25" customHeight="1" x14ac:dyDescent="0.3">
      <c r="B611" s="489"/>
      <c r="C611" s="490"/>
      <c r="E611" s="491"/>
      <c r="G611" s="65"/>
    </row>
    <row r="612" spans="2:7" ht="14.25" customHeight="1" x14ac:dyDescent="0.3">
      <c r="B612" s="489"/>
      <c r="C612" s="490"/>
      <c r="E612" s="491"/>
      <c r="G612" s="65"/>
    </row>
    <row r="613" spans="2:7" ht="14.25" customHeight="1" x14ac:dyDescent="0.3">
      <c r="B613" s="489"/>
      <c r="C613" s="490"/>
      <c r="E613" s="491"/>
      <c r="G613" s="65"/>
    </row>
    <row r="614" spans="2:7" ht="14.25" customHeight="1" x14ac:dyDescent="0.3">
      <c r="B614" s="489"/>
      <c r="C614" s="490"/>
      <c r="E614" s="491"/>
      <c r="G614" s="65"/>
    </row>
    <row r="615" spans="2:7" ht="14.25" customHeight="1" x14ac:dyDescent="0.3">
      <c r="B615" s="489"/>
      <c r="C615" s="490"/>
      <c r="E615" s="491"/>
      <c r="G615" s="65"/>
    </row>
    <row r="616" spans="2:7" ht="14.25" customHeight="1" x14ac:dyDescent="0.3">
      <c r="B616" s="489"/>
      <c r="C616" s="490"/>
      <c r="E616" s="491"/>
      <c r="G616" s="65"/>
    </row>
    <row r="617" spans="2:7" ht="14.25" customHeight="1" x14ac:dyDescent="0.3">
      <c r="B617" s="489"/>
      <c r="C617" s="490"/>
      <c r="E617" s="491"/>
      <c r="G617" s="65"/>
    </row>
    <row r="618" spans="2:7" ht="14.25" customHeight="1" x14ac:dyDescent="0.3">
      <c r="B618" s="489"/>
      <c r="C618" s="490"/>
      <c r="E618" s="491"/>
      <c r="G618" s="65"/>
    </row>
    <row r="619" spans="2:7" ht="14.25" customHeight="1" x14ac:dyDescent="0.3">
      <c r="B619" s="489"/>
      <c r="C619" s="490"/>
      <c r="E619" s="491"/>
      <c r="G619" s="65"/>
    </row>
    <row r="620" spans="2:7" ht="14.25" customHeight="1" x14ac:dyDescent="0.3">
      <c r="B620" s="489"/>
      <c r="C620" s="490"/>
      <c r="E620" s="491"/>
      <c r="G620" s="65"/>
    </row>
    <row r="621" spans="2:7" ht="14.25" customHeight="1" x14ac:dyDescent="0.3">
      <c r="B621" s="489"/>
      <c r="C621" s="490"/>
      <c r="E621" s="491"/>
      <c r="G621" s="65"/>
    </row>
    <row r="622" spans="2:7" ht="14.25" customHeight="1" x14ac:dyDescent="0.3">
      <c r="B622" s="489"/>
      <c r="C622" s="490"/>
      <c r="E622" s="491"/>
      <c r="G622" s="65"/>
    </row>
    <row r="623" spans="2:7" ht="14.25" customHeight="1" x14ac:dyDescent="0.3">
      <c r="B623" s="489"/>
      <c r="C623" s="490"/>
      <c r="E623" s="491"/>
      <c r="G623" s="65"/>
    </row>
    <row r="624" spans="2:7" ht="14.25" customHeight="1" x14ac:dyDescent="0.3">
      <c r="B624" s="489"/>
      <c r="C624" s="490"/>
      <c r="E624" s="491"/>
      <c r="G624" s="65"/>
    </row>
    <row r="625" spans="2:7" ht="14.25" customHeight="1" x14ac:dyDescent="0.3">
      <c r="B625" s="489"/>
      <c r="C625" s="490"/>
      <c r="E625" s="491"/>
      <c r="G625" s="65"/>
    </row>
    <row r="626" spans="2:7" ht="14.25" customHeight="1" x14ac:dyDescent="0.3">
      <c r="B626" s="489"/>
      <c r="C626" s="490"/>
      <c r="E626" s="491"/>
      <c r="G626" s="65"/>
    </row>
    <row r="627" spans="2:7" ht="14.25" customHeight="1" x14ac:dyDescent="0.3">
      <c r="B627" s="489"/>
      <c r="C627" s="490"/>
      <c r="E627" s="491"/>
      <c r="G627" s="65"/>
    </row>
    <row r="628" spans="2:7" ht="14.25" customHeight="1" x14ac:dyDescent="0.3">
      <c r="B628" s="489"/>
      <c r="C628" s="490"/>
      <c r="E628" s="491"/>
      <c r="G628" s="65"/>
    </row>
    <row r="629" spans="2:7" ht="14.25" customHeight="1" x14ac:dyDescent="0.3">
      <c r="B629" s="489"/>
      <c r="C629" s="490"/>
      <c r="E629" s="491"/>
      <c r="G629" s="65"/>
    </row>
    <row r="630" spans="2:7" ht="14.25" customHeight="1" x14ac:dyDescent="0.3">
      <c r="B630" s="489"/>
      <c r="C630" s="490"/>
      <c r="E630" s="491"/>
      <c r="G630" s="65"/>
    </row>
    <row r="631" spans="2:7" ht="14.25" customHeight="1" x14ac:dyDescent="0.3">
      <c r="B631" s="489"/>
      <c r="C631" s="490"/>
      <c r="E631" s="491"/>
      <c r="G631" s="65"/>
    </row>
    <row r="632" spans="2:7" ht="14.25" customHeight="1" x14ac:dyDescent="0.3">
      <c r="B632" s="489"/>
      <c r="C632" s="490"/>
      <c r="E632" s="491"/>
      <c r="G632" s="65"/>
    </row>
    <row r="633" spans="2:7" ht="14.25" customHeight="1" x14ac:dyDescent="0.3">
      <c r="B633" s="489"/>
      <c r="C633" s="490"/>
      <c r="E633" s="491"/>
      <c r="G633" s="65"/>
    </row>
    <row r="634" spans="2:7" ht="14.25" customHeight="1" x14ac:dyDescent="0.3">
      <c r="B634" s="489"/>
      <c r="C634" s="490"/>
      <c r="E634" s="491"/>
      <c r="G634" s="65"/>
    </row>
    <row r="635" spans="2:7" ht="14.25" customHeight="1" x14ac:dyDescent="0.3">
      <c r="B635" s="489"/>
      <c r="C635" s="490"/>
      <c r="E635" s="491"/>
      <c r="G635" s="65"/>
    </row>
    <row r="636" spans="2:7" ht="14.25" customHeight="1" x14ac:dyDescent="0.3">
      <c r="B636" s="489"/>
      <c r="C636" s="490"/>
      <c r="E636" s="491"/>
      <c r="G636" s="65"/>
    </row>
    <row r="637" spans="2:7" ht="14.25" customHeight="1" x14ac:dyDescent="0.3">
      <c r="B637" s="489"/>
      <c r="C637" s="490"/>
      <c r="E637" s="491"/>
      <c r="G637" s="65"/>
    </row>
    <row r="638" spans="2:7" ht="14.25" customHeight="1" x14ac:dyDescent="0.3">
      <c r="B638" s="489"/>
      <c r="C638" s="490"/>
      <c r="E638" s="491"/>
      <c r="G638" s="65"/>
    </row>
    <row r="639" spans="2:7" ht="14.25" customHeight="1" x14ac:dyDescent="0.3">
      <c r="B639" s="489"/>
      <c r="C639" s="490"/>
      <c r="E639" s="491"/>
      <c r="G639" s="65"/>
    </row>
    <row r="640" spans="2:7" ht="14.25" customHeight="1" x14ac:dyDescent="0.3">
      <c r="B640" s="489"/>
      <c r="C640" s="490"/>
      <c r="E640" s="491"/>
      <c r="G640" s="65"/>
    </row>
    <row r="641" spans="2:7" ht="14.25" customHeight="1" x14ac:dyDescent="0.3">
      <c r="B641" s="489"/>
      <c r="C641" s="490"/>
      <c r="E641" s="491"/>
      <c r="G641" s="65"/>
    </row>
    <row r="642" spans="2:7" ht="14.25" customHeight="1" x14ac:dyDescent="0.3">
      <c r="B642" s="489"/>
      <c r="C642" s="490"/>
      <c r="E642" s="491"/>
      <c r="G642" s="65"/>
    </row>
    <row r="643" spans="2:7" ht="14.25" customHeight="1" x14ac:dyDescent="0.3">
      <c r="B643" s="489"/>
      <c r="C643" s="490"/>
      <c r="E643" s="491"/>
      <c r="G643" s="65"/>
    </row>
    <row r="644" spans="2:7" ht="14.25" customHeight="1" x14ac:dyDescent="0.3">
      <c r="B644" s="489"/>
      <c r="C644" s="490"/>
      <c r="E644" s="491"/>
      <c r="G644" s="65"/>
    </row>
    <row r="645" spans="2:7" ht="14.25" customHeight="1" x14ac:dyDescent="0.3">
      <c r="B645" s="489"/>
      <c r="C645" s="490"/>
      <c r="E645" s="491"/>
      <c r="G645" s="65"/>
    </row>
    <row r="646" spans="2:7" ht="14.25" customHeight="1" x14ac:dyDescent="0.3">
      <c r="B646" s="489"/>
      <c r="C646" s="490"/>
      <c r="E646" s="491"/>
      <c r="G646" s="65"/>
    </row>
    <row r="647" spans="2:7" ht="14.25" customHeight="1" x14ac:dyDescent="0.3">
      <c r="B647" s="489"/>
      <c r="C647" s="490"/>
      <c r="E647" s="491"/>
      <c r="G647" s="65"/>
    </row>
    <row r="648" spans="2:7" ht="14.25" customHeight="1" x14ac:dyDescent="0.3">
      <c r="B648" s="489"/>
      <c r="C648" s="490"/>
      <c r="E648" s="491"/>
      <c r="G648" s="65"/>
    </row>
    <row r="649" spans="2:7" ht="14.25" customHeight="1" x14ac:dyDescent="0.3">
      <c r="B649" s="489"/>
      <c r="C649" s="490"/>
      <c r="E649" s="491"/>
      <c r="G649" s="65"/>
    </row>
    <row r="650" spans="2:7" ht="14.25" customHeight="1" x14ac:dyDescent="0.3">
      <c r="B650" s="489"/>
      <c r="C650" s="490"/>
      <c r="E650" s="491"/>
      <c r="G650" s="65"/>
    </row>
    <row r="651" spans="2:7" ht="14.25" customHeight="1" x14ac:dyDescent="0.3">
      <c r="B651" s="489"/>
      <c r="C651" s="490"/>
      <c r="E651" s="491"/>
      <c r="G651" s="65"/>
    </row>
    <row r="652" spans="2:7" ht="14.25" customHeight="1" x14ac:dyDescent="0.3">
      <c r="B652" s="489"/>
      <c r="C652" s="490"/>
      <c r="E652" s="491"/>
      <c r="G652" s="65"/>
    </row>
    <row r="653" spans="2:7" ht="14.25" customHeight="1" x14ac:dyDescent="0.3">
      <c r="B653" s="489"/>
      <c r="C653" s="490"/>
      <c r="E653" s="491"/>
      <c r="G653" s="65"/>
    </row>
    <row r="654" spans="2:7" ht="14.25" customHeight="1" x14ac:dyDescent="0.3">
      <c r="B654" s="489"/>
      <c r="C654" s="490"/>
      <c r="E654" s="491"/>
      <c r="G654" s="65"/>
    </row>
    <row r="655" spans="2:7" ht="14.25" customHeight="1" x14ac:dyDescent="0.3">
      <c r="B655" s="489"/>
      <c r="C655" s="490"/>
      <c r="E655" s="491"/>
      <c r="G655" s="65"/>
    </row>
    <row r="656" spans="2:7" ht="14.25" customHeight="1" x14ac:dyDescent="0.3">
      <c r="B656" s="489"/>
      <c r="C656" s="490"/>
      <c r="E656" s="491"/>
      <c r="G656" s="65"/>
    </row>
    <row r="657" spans="2:7" ht="14.25" customHeight="1" x14ac:dyDescent="0.3">
      <c r="B657" s="489"/>
      <c r="C657" s="490"/>
      <c r="E657" s="491"/>
      <c r="G657" s="65"/>
    </row>
    <row r="658" spans="2:7" ht="14.25" customHeight="1" x14ac:dyDescent="0.3">
      <c r="B658" s="489"/>
      <c r="C658" s="490"/>
      <c r="E658" s="491"/>
      <c r="G658" s="65"/>
    </row>
    <row r="659" spans="2:7" ht="14.25" customHeight="1" x14ac:dyDescent="0.3">
      <c r="B659" s="489"/>
      <c r="C659" s="490"/>
      <c r="E659" s="491"/>
      <c r="G659" s="65"/>
    </row>
    <row r="660" spans="2:7" ht="14.25" customHeight="1" x14ac:dyDescent="0.3">
      <c r="B660" s="489"/>
      <c r="C660" s="490"/>
      <c r="E660" s="491"/>
      <c r="G660" s="65"/>
    </row>
    <row r="661" spans="2:7" ht="14.25" customHeight="1" x14ac:dyDescent="0.3">
      <c r="B661" s="489"/>
      <c r="C661" s="490"/>
      <c r="E661" s="491"/>
      <c r="G661" s="65"/>
    </row>
    <row r="662" spans="2:7" ht="14.25" customHeight="1" x14ac:dyDescent="0.3">
      <c r="B662" s="489"/>
      <c r="C662" s="490"/>
      <c r="E662" s="491"/>
      <c r="G662" s="65"/>
    </row>
    <row r="663" spans="2:7" ht="14.25" customHeight="1" x14ac:dyDescent="0.3">
      <c r="B663" s="489"/>
      <c r="C663" s="490"/>
      <c r="E663" s="491"/>
      <c r="G663" s="65"/>
    </row>
    <row r="664" spans="2:7" ht="14.25" customHeight="1" x14ac:dyDescent="0.3">
      <c r="B664" s="489"/>
      <c r="C664" s="490"/>
      <c r="E664" s="491"/>
      <c r="G664" s="65"/>
    </row>
    <row r="665" spans="2:7" ht="14.25" customHeight="1" x14ac:dyDescent="0.3">
      <c r="B665" s="489"/>
      <c r="C665" s="490"/>
      <c r="E665" s="491"/>
      <c r="G665" s="65"/>
    </row>
    <row r="666" spans="2:7" ht="14.25" customHeight="1" x14ac:dyDescent="0.3">
      <c r="B666" s="489"/>
      <c r="C666" s="490"/>
      <c r="E666" s="491"/>
      <c r="G666" s="65"/>
    </row>
    <row r="667" spans="2:7" ht="14.25" customHeight="1" x14ac:dyDescent="0.3">
      <c r="B667" s="489"/>
      <c r="C667" s="490"/>
      <c r="E667" s="491"/>
      <c r="G667" s="65"/>
    </row>
    <row r="668" spans="2:7" ht="14.25" customHeight="1" x14ac:dyDescent="0.3">
      <c r="B668" s="489"/>
      <c r="C668" s="490"/>
      <c r="E668" s="491"/>
      <c r="G668" s="65"/>
    </row>
    <row r="669" spans="2:7" ht="14.25" customHeight="1" x14ac:dyDescent="0.3">
      <c r="B669" s="489"/>
      <c r="C669" s="490"/>
      <c r="E669" s="491"/>
      <c r="G669" s="65"/>
    </row>
    <row r="670" spans="2:7" ht="14.25" customHeight="1" x14ac:dyDescent="0.3">
      <c r="B670" s="489"/>
      <c r="C670" s="490"/>
      <c r="E670" s="491"/>
      <c r="G670" s="65"/>
    </row>
    <row r="671" spans="2:7" ht="14.25" customHeight="1" x14ac:dyDescent="0.3">
      <c r="B671" s="489"/>
      <c r="C671" s="490"/>
      <c r="E671" s="491"/>
      <c r="G671" s="65"/>
    </row>
    <row r="672" spans="2:7" ht="14.25" customHeight="1" x14ac:dyDescent="0.3">
      <c r="B672" s="489"/>
      <c r="C672" s="490"/>
      <c r="E672" s="491"/>
      <c r="G672" s="65"/>
    </row>
    <row r="673" spans="2:7" ht="14.25" customHeight="1" x14ac:dyDescent="0.3">
      <c r="B673" s="489"/>
      <c r="C673" s="490"/>
      <c r="E673" s="491"/>
      <c r="G673" s="65"/>
    </row>
    <row r="674" spans="2:7" ht="14.25" customHeight="1" x14ac:dyDescent="0.3">
      <c r="B674" s="489"/>
      <c r="C674" s="490"/>
      <c r="E674" s="491"/>
      <c r="G674" s="65"/>
    </row>
    <row r="675" spans="2:7" ht="14.25" customHeight="1" x14ac:dyDescent="0.3">
      <c r="B675" s="489"/>
      <c r="C675" s="490"/>
      <c r="E675" s="491"/>
      <c r="G675" s="65"/>
    </row>
    <row r="676" spans="2:7" ht="14.25" customHeight="1" x14ac:dyDescent="0.3">
      <c r="B676" s="489"/>
      <c r="C676" s="490"/>
      <c r="E676" s="491"/>
      <c r="G676" s="65"/>
    </row>
    <row r="677" spans="2:7" ht="14.25" customHeight="1" x14ac:dyDescent="0.3">
      <c r="B677" s="489"/>
      <c r="C677" s="490"/>
      <c r="E677" s="491"/>
      <c r="G677" s="65"/>
    </row>
    <row r="678" spans="2:7" ht="14.25" customHeight="1" x14ac:dyDescent="0.3">
      <c r="B678" s="489"/>
      <c r="C678" s="490"/>
      <c r="E678" s="491"/>
      <c r="G678" s="65"/>
    </row>
    <row r="679" spans="2:7" ht="14.25" customHeight="1" x14ac:dyDescent="0.3">
      <c r="B679" s="489"/>
      <c r="C679" s="490"/>
      <c r="E679" s="491"/>
      <c r="G679" s="65"/>
    </row>
    <row r="680" spans="2:7" ht="14.25" customHeight="1" x14ac:dyDescent="0.3">
      <c r="B680" s="489"/>
      <c r="C680" s="490"/>
      <c r="E680" s="491"/>
      <c r="G680" s="65"/>
    </row>
    <row r="681" spans="2:7" ht="14.25" customHeight="1" x14ac:dyDescent="0.3">
      <c r="B681" s="489"/>
      <c r="C681" s="490"/>
      <c r="E681" s="491"/>
      <c r="G681" s="65"/>
    </row>
    <row r="682" spans="2:7" ht="14.25" customHeight="1" x14ac:dyDescent="0.3">
      <c r="B682" s="489"/>
      <c r="C682" s="490"/>
      <c r="E682" s="491"/>
      <c r="G682" s="65"/>
    </row>
    <row r="683" spans="2:7" ht="14.25" customHeight="1" x14ac:dyDescent="0.3">
      <c r="B683" s="489"/>
      <c r="C683" s="490"/>
      <c r="E683" s="491"/>
      <c r="G683" s="65"/>
    </row>
    <row r="684" spans="2:7" ht="14.25" customHeight="1" x14ac:dyDescent="0.3">
      <c r="B684" s="489"/>
      <c r="C684" s="490"/>
      <c r="E684" s="491"/>
      <c r="G684" s="65"/>
    </row>
    <row r="685" spans="2:7" ht="14.25" customHeight="1" x14ac:dyDescent="0.3">
      <c r="B685" s="489"/>
      <c r="C685" s="490"/>
      <c r="E685" s="491"/>
      <c r="G685" s="65"/>
    </row>
    <row r="686" spans="2:7" ht="14.25" customHeight="1" x14ac:dyDescent="0.3">
      <c r="B686" s="489"/>
      <c r="C686" s="490"/>
      <c r="E686" s="491"/>
      <c r="G686" s="65"/>
    </row>
    <row r="687" spans="2:7" ht="14.25" customHeight="1" x14ac:dyDescent="0.3">
      <c r="B687" s="489"/>
      <c r="C687" s="490"/>
      <c r="E687" s="491"/>
      <c r="G687" s="65"/>
    </row>
    <row r="688" spans="2:7" ht="14.25" customHeight="1" x14ac:dyDescent="0.3">
      <c r="B688" s="489"/>
      <c r="C688" s="490"/>
      <c r="E688" s="491"/>
      <c r="G688" s="65"/>
    </row>
    <row r="689" spans="2:7" ht="14.25" customHeight="1" x14ac:dyDescent="0.3">
      <c r="B689" s="489"/>
      <c r="C689" s="490"/>
      <c r="E689" s="491"/>
      <c r="G689" s="65"/>
    </row>
    <row r="690" spans="2:7" ht="14.25" customHeight="1" x14ac:dyDescent="0.3">
      <c r="B690" s="489"/>
      <c r="C690" s="490"/>
      <c r="E690" s="491"/>
      <c r="G690" s="65"/>
    </row>
    <row r="691" spans="2:7" ht="14.25" customHeight="1" x14ac:dyDescent="0.3">
      <c r="B691" s="489"/>
      <c r="C691" s="490"/>
      <c r="E691" s="491"/>
      <c r="G691" s="65"/>
    </row>
    <row r="692" spans="2:7" ht="14.25" customHeight="1" x14ac:dyDescent="0.3">
      <c r="B692" s="489"/>
      <c r="C692" s="490"/>
      <c r="E692" s="491"/>
      <c r="G692" s="65"/>
    </row>
    <row r="693" spans="2:7" ht="14.25" customHeight="1" x14ac:dyDescent="0.3">
      <c r="B693" s="489"/>
      <c r="C693" s="490"/>
      <c r="E693" s="491"/>
      <c r="G693" s="65"/>
    </row>
    <row r="694" spans="2:7" ht="14.25" customHeight="1" x14ac:dyDescent="0.3">
      <c r="B694" s="489"/>
      <c r="C694" s="490"/>
      <c r="E694" s="491"/>
      <c r="G694" s="65"/>
    </row>
    <row r="695" spans="2:7" ht="14.25" customHeight="1" x14ac:dyDescent="0.3">
      <c r="B695" s="489"/>
      <c r="C695" s="490"/>
      <c r="E695" s="491"/>
      <c r="G695" s="65"/>
    </row>
    <row r="696" spans="2:7" ht="14.25" customHeight="1" x14ac:dyDescent="0.3">
      <c r="B696" s="489"/>
      <c r="C696" s="490"/>
      <c r="E696" s="491"/>
      <c r="G696" s="65"/>
    </row>
    <row r="697" spans="2:7" ht="14.25" customHeight="1" x14ac:dyDescent="0.3">
      <c r="B697" s="489"/>
      <c r="C697" s="490"/>
      <c r="E697" s="491"/>
      <c r="G697" s="65"/>
    </row>
    <row r="698" spans="2:7" ht="14.25" customHeight="1" x14ac:dyDescent="0.3">
      <c r="B698" s="489"/>
      <c r="C698" s="490"/>
      <c r="E698" s="491"/>
      <c r="G698" s="65"/>
    </row>
    <row r="699" spans="2:7" ht="14.25" customHeight="1" x14ac:dyDescent="0.3">
      <c r="B699" s="489"/>
      <c r="C699" s="490"/>
      <c r="E699" s="491"/>
      <c r="G699" s="65"/>
    </row>
    <row r="700" spans="2:7" ht="14.25" customHeight="1" x14ac:dyDescent="0.3">
      <c r="B700" s="489"/>
      <c r="C700" s="490"/>
      <c r="E700" s="491"/>
      <c r="G700" s="65"/>
    </row>
    <row r="701" spans="2:7" ht="14.25" customHeight="1" x14ac:dyDescent="0.3">
      <c r="B701" s="489"/>
      <c r="C701" s="490"/>
      <c r="E701" s="491"/>
      <c r="G701" s="65"/>
    </row>
    <row r="702" spans="2:7" ht="14.25" customHeight="1" x14ac:dyDescent="0.3">
      <c r="B702" s="489"/>
      <c r="C702" s="490"/>
      <c r="E702" s="491"/>
      <c r="G702" s="65"/>
    </row>
    <row r="703" spans="2:7" ht="14.25" customHeight="1" x14ac:dyDescent="0.3">
      <c r="B703" s="489"/>
      <c r="C703" s="490"/>
      <c r="E703" s="491"/>
      <c r="G703" s="65"/>
    </row>
    <row r="704" spans="2:7" ht="14.25" customHeight="1" x14ac:dyDescent="0.3">
      <c r="B704" s="489"/>
      <c r="C704" s="490"/>
      <c r="E704" s="491"/>
      <c r="G704" s="65"/>
    </row>
    <row r="705" spans="2:7" ht="14.25" customHeight="1" x14ac:dyDescent="0.3">
      <c r="B705" s="489"/>
      <c r="C705" s="490"/>
      <c r="E705" s="491"/>
      <c r="G705" s="65"/>
    </row>
    <row r="706" spans="2:7" ht="14.25" customHeight="1" x14ac:dyDescent="0.3">
      <c r="B706" s="489"/>
      <c r="C706" s="490"/>
      <c r="E706" s="491"/>
      <c r="G706" s="65"/>
    </row>
    <row r="707" spans="2:7" ht="14.25" customHeight="1" x14ac:dyDescent="0.3">
      <c r="B707" s="489"/>
      <c r="C707" s="490"/>
      <c r="E707" s="491"/>
      <c r="G707" s="65"/>
    </row>
    <row r="708" spans="2:7" ht="14.25" customHeight="1" x14ac:dyDescent="0.3">
      <c r="B708" s="489"/>
      <c r="C708" s="490"/>
      <c r="E708" s="491"/>
      <c r="G708" s="65"/>
    </row>
    <row r="709" spans="2:7" ht="14.25" customHeight="1" x14ac:dyDescent="0.3">
      <c r="B709" s="489"/>
      <c r="C709" s="490"/>
      <c r="E709" s="491"/>
      <c r="G709" s="65"/>
    </row>
    <row r="710" spans="2:7" ht="14.25" customHeight="1" x14ac:dyDescent="0.3">
      <c r="B710" s="489"/>
      <c r="C710" s="490"/>
      <c r="E710" s="491"/>
      <c r="G710" s="65"/>
    </row>
    <row r="711" spans="2:7" ht="14.25" customHeight="1" x14ac:dyDescent="0.3">
      <c r="B711" s="489"/>
      <c r="C711" s="490"/>
      <c r="E711" s="491"/>
      <c r="G711" s="65"/>
    </row>
    <row r="712" spans="2:7" ht="14.25" customHeight="1" x14ac:dyDescent="0.3">
      <c r="B712" s="489"/>
      <c r="C712" s="490"/>
      <c r="E712" s="491"/>
      <c r="G712" s="65"/>
    </row>
    <row r="713" spans="2:7" ht="14.25" customHeight="1" x14ac:dyDescent="0.3">
      <c r="B713" s="489"/>
      <c r="C713" s="490"/>
      <c r="E713" s="491"/>
      <c r="G713" s="65"/>
    </row>
    <row r="714" spans="2:7" ht="14.25" customHeight="1" x14ac:dyDescent="0.3">
      <c r="B714" s="489"/>
      <c r="C714" s="490"/>
      <c r="E714" s="491"/>
      <c r="G714" s="65"/>
    </row>
    <row r="715" spans="2:7" ht="14.25" customHeight="1" x14ac:dyDescent="0.3">
      <c r="B715" s="489"/>
      <c r="C715" s="490"/>
      <c r="E715" s="491"/>
      <c r="G715" s="65"/>
    </row>
    <row r="716" spans="2:7" ht="14.25" customHeight="1" x14ac:dyDescent="0.3">
      <c r="B716" s="489"/>
      <c r="C716" s="490"/>
      <c r="E716" s="491"/>
      <c r="G716" s="65"/>
    </row>
    <row r="717" spans="2:7" ht="14.25" customHeight="1" x14ac:dyDescent="0.3">
      <c r="B717" s="489"/>
      <c r="C717" s="490"/>
      <c r="E717" s="491"/>
      <c r="G717" s="65"/>
    </row>
    <row r="718" spans="2:7" ht="14.25" customHeight="1" x14ac:dyDescent="0.3">
      <c r="B718" s="489"/>
      <c r="C718" s="490"/>
      <c r="E718" s="491"/>
      <c r="G718" s="65"/>
    </row>
    <row r="719" spans="2:7" ht="14.25" customHeight="1" x14ac:dyDescent="0.3">
      <c r="B719" s="489"/>
      <c r="C719" s="490"/>
      <c r="E719" s="491"/>
      <c r="G719" s="65"/>
    </row>
    <row r="720" spans="2:7" ht="14.25" customHeight="1" x14ac:dyDescent="0.3">
      <c r="B720" s="489"/>
      <c r="C720" s="490"/>
      <c r="E720" s="491"/>
      <c r="G720" s="65"/>
    </row>
    <row r="721" spans="2:7" ht="14.25" customHeight="1" x14ac:dyDescent="0.3">
      <c r="B721" s="489"/>
      <c r="C721" s="490"/>
      <c r="E721" s="491"/>
      <c r="G721" s="65"/>
    </row>
    <row r="722" spans="2:7" ht="14.25" customHeight="1" x14ac:dyDescent="0.3">
      <c r="B722" s="489"/>
      <c r="C722" s="490"/>
      <c r="E722" s="491"/>
      <c r="G722" s="65"/>
    </row>
    <row r="723" spans="2:7" ht="14.25" customHeight="1" x14ac:dyDescent="0.3">
      <c r="B723" s="489"/>
      <c r="C723" s="490"/>
      <c r="E723" s="491"/>
      <c r="G723" s="65"/>
    </row>
    <row r="724" spans="2:7" ht="14.25" customHeight="1" x14ac:dyDescent="0.3">
      <c r="B724" s="489"/>
      <c r="C724" s="490"/>
      <c r="E724" s="491"/>
      <c r="G724" s="65"/>
    </row>
    <row r="725" spans="2:7" ht="14.25" customHeight="1" x14ac:dyDescent="0.3">
      <c r="B725" s="489"/>
      <c r="C725" s="490"/>
      <c r="E725" s="491"/>
      <c r="G725" s="65"/>
    </row>
    <row r="726" spans="2:7" ht="14.25" customHeight="1" x14ac:dyDescent="0.3">
      <c r="B726" s="489"/>
      <c r="C726" s="490"/>
      <c r="E726" s="491"/>
      <c r="G726" s="65"/>
    </row>
    <row r="727" spans="2:7" ht="14.25" customHeight="1" x14ac:dyDescent="0.3">
      <c r="B727" s="489"/>
      <c r="C727" s="490"/>
      <c r="E727" s="491"/>
      <c r="G727" s="65"/>
    </row>
    <row r="728" spans="2:7" ht="14.25" customHeight="1" x14ac:dyDescent="0.3">
      <c r="B728" s="489"/>
      <c r="C728" s="490"/>
      <c r="E728" s="491"/>
      <c r="G728" s="65"/>
    </row>
    <row r="729" spans="2:7" ht="14.25" customHeight="1" x14ac:dyDescent="0.3">
      <c r="B729" s="489"/>
      <c r="C729" s="490"/>
      <c r="E729" s="491"/>
      <c r="G729" s="65"/>
    </row>
    <row r="730" spans="2:7" ht="14.25" customHeight="1" x14ac:dyDescent="0.3">
      <c r="B730" s="489"/>
      <c r="C730" s="490"/>
      <c r="E730" s="491"/>
      <c r="G730" s="65"/>
    </row>
    <row r="731" spans="2:7" ht="14.25" customHeight="1" x14ac:dyDescent="0.3">
      <c r="B731" s="489"/>
      <c r="C731" s="490"/>
      <c r="E731" s="491"/>
      <c r="G731" s="65"/>
    </row>
    <row r="732" spans="2:7" ht="14.25" customHeight="1" x14ac:dyDescent="0.3">
      <c r="B732" s="489"/>
      <c r="C732" s="490"/>
      <c r="E732" s="491"/>
      <c r="G732" s="65"/>
    </row>
    <row r="733" spans="2:7" ht="14.25" customHeight="1" x14ac:dyDescent="0.3">
      <c r="B733" s="489"/>
      <c r="C733" s="490"/>
      <c r="E733" s="491"/>
      <c r="G733" s="65"/>
    </row>
    <row r="734" spans="2:7" ht="14.25" customHeight="1" x14ac:dyDescent="0.3">
      <c r="B734" s="489"/>
      <c r="C734" s="490"/>
      <c r="E734" s="491"/>
      <c r="G734" s="65"/>
    </row>
    <row r="735" spans="2:7" ht="14.25" customHeight="1" x14ac:dyDescent="0.3">
      <c r="B735" s="489"/>
      <c r="C735" s="490"/>
      <c r="E735" s="491"/>
      <c r="G735" s="65"/>
    </row>
    <row r="736" spans="2:7" ht="14.25" customHeight="1" x14ac:dyDescent="0.3">
      <c r="B736" s="489"/>
      <c r="C736" s="490"/>
      <c r="E736" s="491"/>
      <c r="G736" s="65"/>
    </row>
    <row r="737" spans="2:7" ht="14.25" customHeight="1" x14ac:dyDescent="0.3">
      <c r="B737" s="489"/>
      <c r="C737" s="490"/>
      <c r="E737" s="491"/>
      <c r="G737" s="65"/>
    </row>
    <row r="738" spans="2:7" ht="14.25" customHeight="1" x14ac:dyDescent="0.3">
      <c r="B738" s="489"/>
      <c r="C738" s="490"/>
      <c r="E738" s="491"/>
      <c r="G738" s="65"/>
    </row>
    <row r="739" spans="2:7" ht="14.25" customHeight="1" x14ac:dyDescent="0.3">
      <c r="B739" s="489"/>
      <c r="C739" s="490"/>
      <c r="E739" s="491"/>
      <c r="G739" s="65"/>
    </row>
    <row r="740" spans="2:7" ht="14.25" customHeight="1" x14ac:dyDescent="0.3">
      <c r="B740" s="489"/>
      <c r="C740" s="490"/>
      <c r="E740" s="491"/>
      <c r="G740" s="65"/>
    </row>
    <row r="741" spans="2:7" ht="14.25" customHeight="1" x14ac:dyDescent="0.3">
      <c r="B741" s="489"/>
      <c r="C741" s="490"/>
      <c r="E741" s="491"/>
      <c r="G741" s="65"/>
    </row>
    <row r="742" spans="2:7" ht="14.25" customHeight="1" x14ac:dyDescent="0.3">
      <c r="B742" s="489"/>
      <c r="C742" s="490"/>
      <c r="E742" s="491"/>
      <c r="G742" s="65"/>
    </row>
    <row r="743" spans="2:7" ht="14.25" customHeight="1" x14ac:dyDescent="0.3">
      <c r="B743" s="489"/>
      <c r="C743" s="490"/>
      <c r="E743" s="491"/>
      <c r="G743" s="65"/>
    </row>
    <row r="744" spans="2:7" ht="14.25" customHeight="1" x14ac:dyDescent="0.3">
      <c r="B744" s="489"/>
      <c r="C744" s="490"/>
      <c r="E744" s="491"/>
      <c r="G744" s="65"/>
    </row>
    <row r="745" spans="2:7" ht="14.25" customHeight="1" x14ac:dyDescent="0.3">
      <c r="B745" s="489"/>
      <c r="C745" s="490"/>
      <c r="E745" s="491"/>
      <c r="G745" s="65"/>
    </row>
    <row r="746" spans="2:7" ht="14.25" customHeight="1" x14ac:dyDescent="0.3">
      <c r="B746" s="489"/>
      <c r="C746" s="490"/>
      <c r="E746" s="491"/>
      <c r="G746" s="65"/>
    </row>
    <row r="747" spans="2:7" ht="14.25" customHeight="1" x14ac:dyDescent="0.3">
      <c r="B747" s="489"/>
      <c r="C747" s="490"/>
      <c r="E747" s="491"/>
      <c r="G747" s="65"/>
    </row>
    <row r="748" spans="2:7" ht="14.25" customHeight="1" x14ac:dyDescent="0.3">
      <c r="B748" s="489"/>
      <c r="C748" s="490"/>
      <c r="E748" s="491"/>
      <c r="G748" s="65"/>
    </row>
    <row r="749" spans="2:7" ht="14.25" customHeight="1" x14ac:dyDescent="0.3">
      <c r="B749" s="489"/>
      <c r="C749" s="490"/>
      <c r="E749" s="491"/>
      <c r="G749" s="65"/>
    </row>
    <row r="750" spans="2:7" ht="14.25" customHeight="1" x14ac:dyDescent="0.3">
      <c r="B750" s="489"/>
      <c r="C750" s="490"/>
      <c r="E750" s="491"/>
      <c r="G750" s="65"/>
    </row>
    <row r="751" spans="2:7" ht="14.25" customHeight="1" x14ac:dyDescent="0.3">
      <c r="B751" s="489"/>
      <c r="C751" s="490"/>
      <c r="E751" s="491"/>
      <c r="G751" s="65"/>
    </row>
    <row r="752" spans="2:7" ht="14.25" customHeight="1" x14ac:dyDescent="0.3">
      <c r="B752" s="489"/>
      <c r="C752" s="490"/>
      <c r="E752" s="491"/>
      <c r="G752" s="65"/>
    </row>
    <row r="753" spans="2:7" ht="14.25" customHeight="1" x14ac:dyDescent="0.3">
      <c r="B753" s="489"/>
      <c r="C753" s="490"/>
      <c r="E753" s="491"/>
      <c r="G753" s="65"/>
    </row>
    <row r="754" spans="2:7" ht="14.25" customHeight="1" x14ac:dyDescent="0.3">
      <c r="B754" s="489"/>
      <c r="C754" s="490"/>
      <c r="E754" s="491"/>
      <c r="G754" s="65"/>
    </row>
    <row r="755" spans="2:7" ht="14.25" customHeight="1" x14ac:dyDescent="0.3">
      <c r="B755" s="489"/>
      <c r="C755" s="490"/>
      <c r="E755" s="491"/>
      <c r="G755" s="65"/>
    </row>
    <row r="756" spans="2:7" ht="14.25" customHeight="1" x14ac:dyDescent="0.3">
      <c r="B756" s="489"/>
      <c r="C756" s="490"/>
      <c r="E756" s="491"/>
      <c r="G756" s="65"/>
    </row>
    <row r="757" spans="2:7" ht="14.25" customHeight="1" x14ac:dyDescent="0.3">
      <c r="B757" s="489"/>
      <c r="C757" s="490"/>
      <c r="E757" s="491"/>
      <c r="G757" s="65"/>
    </row>
    <row r="758" spans="2:7" ht="14.25" customHeight="1" x14ac:dyDescent="0.3">
      <c r="B758" s="489"/>
      <c r="C758" s="490"/>
      <c r="E758" s="491"/>
      <c r="G758" s="65"/>
    </row>
    <row r="759" spans="2:7" ht="14.25" customHeight="1" x14ac:dyDescent="0.3">
      <c r="B759" s="489"/>
      <c r="C759" s="490"/>
      <c r="E759" s="491"/>
      <c r="G759" s="65"/>
    </row>
    <row r="760" spans="2:7" ht="14.25" customHeight="1" x14ac:dyDescent="0.3">
      <c r="B760" s="489"/>
      <c r="C760" s="490"/>
      <c r="E760" s="491"/>
      <c r="G760" s="65"/>
    </row>
    <row r="761" spans="2:7" ht="14.25" customHeight="1" x14ac:dyDescent="0.3">
      <c r="B761" s="489"/>
      <c r="C761" s="490"/>
      <c r="E761" s="491"/>
      <c r="G761" s="65"/>
    </row>
    <row r="762" spans="2:7" ht="14.25" customHeight="1" x14ac:dyDescent="0.3">
      <c r="B762" s="489"/>
      <c r="C762" s="490"/>
      <c r="E762" s="491"/>
      <c r="G762" s="65"/>
    </row>
    <row r="763" spans="2:7" ht="14.25" customHeight="1" x14ac:dyDescent="0.3">
      <c r="B763" s="489"/>
      <c r="C763" s="490"/>
      <c r="E763" s="491"/>
      <c r="G763" s="65"/>
    </row>
    <row r="764" spans="2:7" ht="14.25" customHeight="1" x14ac:dyDescent="0.3">
      <c r="B764" s="489"/>
      <c r="C764" s="490"/>
      <c r="E764" s="491"/>
      <c r="G764" s="65"/>
    </row>
    <row r="765" spans="2:7" ht="14.25" customHeight="1" x14ac:dyDescent="0.3">
      <c r="B765" s="489"/>
      <c r="C765" s="490"/>
      <c r="E765" s="491"/>
      <c r="G765" s="65"/>
    </row>
    <row r="766" spans="2:7" ht="14.25" customHeight="1" x14ac:dyDescent="0.3">
      <c r="B766" s="489"/>
      <c r="C766" s="490"/>
      <c r="E766" s="491"/>
      <c r="G766" s="65"/>
    </row>
    <row r="767" spans="2:7" ht="14.25" customHeight="1" x14ac:dyDescent="0.3">
      <c r="B767" s="489"/>
      <c r="C767" s="490"/>
      <c r="E767" s="491"/>
      <c r="G767" s="65"/>
    </row>
    <row r="768" spans="2:7" ht="14.25" customHeight="1" x14ac:dyDescent="0.3">
      <c r="B768" s="489"/>
      <c r="C768" s="490"/>
      <c r="E768" s="491"/>
      <c r="G768" s="65"/>
    </row>
    <row r="769" spans="2:7" ht="14.25" customHeight="1" x14ac:dyDescent="0.3">
      <c r="B769" s="489"/>
      <c r="C769" s="490"/>
      <c r="E769" s="491"/>
      <c r="G769" s="65"/>
    </row>
    <row r="770" spans="2:7" ht="14.25" customHeight="1" x14ac:dyDescent="0.3">
      <c r="B770" s="489"/>
      <c r="C770" s="490"/>
      <c r="E770" s="491"/>
      <c r="G770" s="65"/>
    </row>
    <row r="771" spans="2:7" ht="14.25" customHeight="1" x14ac:dyDescent="0.3">
      <c r="B771" s="489"/>
      <c r="C771" s="490"/>
      <c r="E771" s="491"/>
      <c r="G771" s="65"/>
    </row>
    <row r="772" spans="2:7" ht="14.25" customHeight="1" x14ac:dyDescent="0.3">
      <c r="B772" s="489"/>
      <c r="C772" s="490"/>
      <c r="E772" s="491"/>
      <c r="G772" s="65"/>
    </row>
    <row r="773" spans="2:7" ht="14.25" customHeight="1" x14ac:dyDescent="0.3">
      <c r="B773" s="489"/>
      <c r="C773" s="490"/>
      <c r="E773" s="491"/>
      <c r="G773" s="65"/>
    </row>
    <row r="774" spans="2:7" ht="14.25" customHeight="1" x14ac:dyDescent="0.3">
      <c r="B774" s="489"/>
      <c r="C774" s="490"/>
      <c r="E774" s="491"/>
      <c r="G774" s="65"/>
    </row>
    <row r="775" spans="2:7" ht="14.25" customHeight="1" x14ac:dyDescent="0.3">
      <c r="B775" s="489"/>
      <c r="C775" s="490"/>
      <c r="E775" s="491"/>
      <c r="G775" s="65"/>
    </row>
    <row r="776" spans="2:7" ht="14.25" customHeight="1" x14ac:dyDescent="0.3">
      <c r="B776" s="489"/>
      <c r="C776" s="490"/>
      <c r="E776" s="491"/>
      <c r="G776" s="65"/>
    </row>
    <row r="777" spans="2:7" ht="14.25" customHeight="1" x14ac:dyDescent="0.3">
      <c r="B777" s="489"/>
      <c r="C777" s="490"/>
      <c r="E777" s="491"/>
      <c r="G777" s="65"/>
    </row>
    <row r="778" spans="2:7" ht="14.25" customHeight="1" x14ac:dyDescent="0.3">
      <c r="B778" s="489"/>
      <c r="C778" s="490"/>
      <c r="E778" s="491"/>
      <c r="G778" s="65"/>
    </row>
    <row r="779" spans="2:7" ht="14.25" customHeight="1" x14ac:dyDescent="0.3">
      <c r="B779" s="489"/>
      <c r="C779" s="490"/>
      <c r="E779" s="491"/>
      <c r="G779" s="65"/>
    </row>
    <row r="780" spans="2:7" ht="14.25" customHeight="1" x14ac:dyDescent="0.3">
      <c r="B780" s="489"/>
      <c r="C780" s="490"/>
      <c r="E780" s="491"/>
      <c r="G780" s="65"/>
    </row>
    <row r="781" spans="2:7" ht="14.25" customHeight="1" x14ac:dyDescent="0.3">
      <c r="B781" s="489"/>
      <c r="C781" s="490"/>
      <c r="E781" s="491"/>
      <c r="G781" s="65"/>
    </row>
    <row r="782" spans="2:7" ht="14.25" customHeight="1" x14ac:dyDescent="0.3">
      <c r="B782" s="489"/>
      <c r="C782" s="490"/>
      <c r="E782" s="491"/>
      <c r="G782" s="65"/>
    </row>
    <row r="783" spans="2:7" ht="14.25" customHeight="1" x14ac:dyDescent="0.3">
      <c r="B783" s="489"/>
      <c r="C783" s="490"/>
      <c r="E783" s="491"/>
      <c r="G783" s="65"/>
    </row>
    <row r="784" spans="2:7" ht="14.25" customHeight="1" x14ac:dyDescent="0.3">
      <c r="B784" s="489"/>
      <c r="C784" s="490"/>
      <c r="E784" s="491"/>
      <c r="G784" s="65"/>
    </row>
    <row r="785" spans="2:7" ht="14.25" customHeight="1" x14ac:dyDescent="0.3">
      <c r="B785" s="489"/>
      <c r="C785" s="490"/>
      <c r="E785" s="491"/>
      <c r="G785" s="65"/>
    </row>
    <row r="786" spans="2:7" ht="14.25" customHeight="1" x14ac:dyDescent="0.3">
      <c r="B786" s="489"/>
      <c r="C786" s="490"/>
      <c r="E786" s="491"/>
      <c r="G786" s="65"/>
    </row>
    <row r="787" spans="2:7" ht="14.25" customHeight="1" x14ac:dyDescent="0.3">
      <c r="B787" s="489"/>
      <c r="C787" s="490"/>
      <c r="E787" s="491"/>
      <c r="G787" s="65"/>
    </row>
    <row r="788" spans="2:7" ht="14.25" customHeight="1" x14ac:dyDescent="0.3">
      <c r="B788" s="489"/>
      <c r="C788" s="490"/>
      <c r="E788" s="491"/>
      <c r="G788" s="65"/>
    </row>
    <row r="789" spans="2:7" ht="14.25" customHeight="1" x14ac:dyDescent="0.3">
      <c r="B789" s="489"/>
      <c r="C789" s="490"/>
      <c r="E789" s="491"/>
      <c r="G789" s="65"/>
    </row>
    <row r="790" spans="2:7" ht="14.25" customHeight="1" x14ac:dyDescent="0.3">
      <c r="B790" s="489"/>
      <c r="C790" s="490"/>
      <c r="E790" s="491"/>
      <c r="G790" s="65"/>
    </row>
    <row r="791" spans="2:7" ht="14.25" customHeight="1" x14ac:dyDescent="0.3">
      <c r="B791" s="489"/>
      <c r="C791" s="490"/>
      <c r="E791" s="491"/>
      <c r="G791" s="65"/>
    </row>
    <row r="792" spans="2:7" ht="14.25" customHeight="1" x14ac:dyDescent="0.3">
      <c r="B792" s="489"/>
      <c r="C792" s="490"/>
      <c r="E792" s="491"/>
      <c r="G792" s="65"/>
    </row>
    <row r="793" spans="2:7" ht="14.25" customHeight="1" x14ac:dyDescent="0.3">
      <c r="B793" s="489"/>
      <c r="C793" s="490"/>
      <c r="E793" s="491"/>
      <c r="G793" s="65"/>
    </row>
    <row r="794" spans="2:7" ht="14.25" customHeight="1" x14ac:dyDescent="0.3">
      <c r="B794" s="489"/>
      <c r="C794" s="490"/>
      <c r="E794" s="491"/>
      <c r="G794" s="65"/>
    </row>
    <row r="795" spans="2:7" ht="14.25" customHeight="1" x14ac:dyDescent="0.3">
      <c r="B795" s="489"/>
      <c r="C795" s="490"/>
      <c r="E795" s="491"/>
      <c r="G795" s="65"/>
    </row>
    <row r="796" spans="2:7" ht="14.25" customHeight="1" x14ac:dyDescent="0.3">
      <c r="B796" s="489"/>
      <c r="C796" s="490"/>
      <c r="E796" s="491"/>
      <c r="G796" s="65"/>
    </row>
    <row r="797" spans="2:7" ht="14.25" customHeight="1" x14ac:dyDescent="0.3">
      <c r="B797" s="489"/>
      <c r="C797" s="490"/>
      <c r="E797" s="491"/>
      <c r="G797" s="65"/>
    </row>
    <row r="798" spans="2:7" ht="14.25" customHeight="1" x14ac:dyDescent="0.3">
      <c r="B798" s="489"/>
      <c r="C798" s="490"/>
      <c r="E798" s="491"/>
      <c r="G798" s="65"/>
    </row>
    <row r="799" spans="2:7" ht="14.25" customHeight="1" x14ac:dyDescent="0.3">
      <c r="B799" s="489"/>
      <c r="C799" s="490"/>
      <c r="E799" s="491"/>
      <c r="G799" s="65"/>
    </row>
    <row r="800" spans="2:7" ht="14.25" customHeight="1" x14ac:dyDescent="0.3">
      <c r="B800" s="489"/>
      <c r="C800" s="490"/>
      <c r="E800" s="491"/>
      <c r="G800" s="65"/>
    </row>
    <row r="801" spans="2:7" ht="14.25" customHeight="1" x14ac:dyDescent="0.3">
      <c r="B801" s="489"/>
      <c r="C801" s="490"/>
      <c r="E801" s="491"/>
      <c r="G801" s="65"/>
    </row>
    <row r="802" spans="2:7" ht="14.25" customHeight="1" x14ac:dyDescent="0.3">
      <c r="B802" s="489"/>
      <c r="C802" s="490"/>
      <c r="E802" s="491"/>
      <c r="G802" s="65"/>
    </row>
    <row r="803" spans="2:7" ht="14.25" customHeight="1" x14ac:dyDescent="0.3">
      <c r="B803" s="489"/>
      <c r="C803" s="490"/>
      <c r="E803" s="491"/>
      <c r="G803" s="65"/>
    </row>
    <row r="804" spans="2:7" ht="14.25" customHeight="1" x14ac:dyDescent="0.3">
      <c r="B804" s="489"/>
      <c r="C804" s="490"/>
      <c r="E804" s="491"/>
      <c r="G804" s="65"/>
    </row>
    <row r="805" spans="2:7" ht="14.25" customHeight="1" x14ac:dyDescent="0.3">
      <c r="B805" s="489"/>
      <c r="C805" s="490"/>
      <c r="E805" s="491"/>
      <c r="G805" s="65"/>
    </row>
    <row r="806" spans="2:7" ht="14.25" customHeight="1" x14ac:dyDescent="0.3">
      <c r="B806" s="489"/>
      <c r="C806" s="490"/>
      <c r="E806" s="491"/>
      <c r="G806" s="65"/>
    </row>
    <row r="807" spans="2:7" ht="14.25" customHeight="1" x14ac:dyDescent="0.3">
      <c r="B807" s="489"/>
      <c r="C807" s="490"/>
      <c r="E807" s="491"/>
      <c r="G807" s="65"/>
    </row>
    <row r="808" spans="2:7" ht="14.25" customHeight="1" x14ac:dyDescent="0.3">
      <c r="B808" s="489"/>
      <c r="C808" s="490"/>
      <c r="E808" s="491"/>
      <c r="G808" s="65"/>
    </row>
    <row r="809" spans="2:7" ht="14.25" customHeight="1" x14ac:dyDescent="0.3">
      <c r="B809" s="489"/>
      <c r="C809" s="490"/>
      <c r="E809" s="491"/>
      <c r="G809" s="65"/>
    </row>
    <row r="810" spans="2:7" ht="14.25" customHeight="1" x14ac:dyDescent="0.3">
      <c r="B810" s="489"/>
      <c r="C810" s="490"/>
      <c r="E810" s="491"/>
      <c r="G810" s="65"/>
    </row>
    <row r="811" spans="2:7" ht="14.25" customHeight="1" x14ac:dyDescent="0.3">
      <c r="B811" s="489"/>
      <c r="C811" s="490"/>
      <c r="E811" s="491"/>
      <c r="G811" s="65"/>
    </row>
    <row r="812" spans="2:7" ht="14.25" customHeight="1" x14ac:dyDescent="0.3">
      <c r="B812" s="489"/>
      <c r="C812" s="490"/>
      <c r="E812" s="491"/>
      <c r="G812" s="65"/>
    </row>
    <row r="813" spans="2:7" ht="14.25" customHeight="1" x14ac:dyDescent="0.3">
      <c r="B813" s="489"/>
      <c r="C813" s="490"/>
      <c r="E813" s="491"/>
      <c r="G813" s="65"/>
    </row>
    <row r="814" spans="2:7" ht="14.25" customHeight="1" x14ac:dyDescent="0.3">
      <c r="B814" s="489"/>
      <c r="C814" s="490"/>
      <c r="E814" s="491"/>
      <c r="G814" s="65"/>
    </row>
    <row r="815" spans="2:7" ht="14.25" customHeight="1" x14ac:dyDescent="0.3">
      <c r="B815" s="489"/>
      <c r="C815" s="490"/>
      <c r="E815" s="491"/>
      <c r="G815" s="65"/>
    </row>
    <row r="816" spans="2:7" ht="14.25" customHeight="1" x14ac:dyDescent="0.3">
      <c r="B816" s="489"/>
      <c r="C816" s="490"/>
      <c r="E816" s="491"/>
      <c r="G816" s="65"/>
    </row>
    <row r="817" spans="2:7" ht="14.25" customHeight="1" x14ac:dyDescent="0.3">
      <c r="B817" s="489"/>
      <c r="C817" s="490"/>
      <c r="E817" s="491"/>
      <c r="G817" s="65"/>
    </row>
    <row r="818" spans="2:7" ht="14.25" customHeight="1" x14ac:dyDescent="0.3">
      <c r="B818" s="489"/>
      <c r="C818" s="490"/>
      <c r="E818" s="491"/>
      <c r="G818" s="65"/>
    </row>
    <row r="819" spans="2:7" ht="14.25" customHeight="1" x14ac:dyDescent="0.3">
      <c r="B819" s="489"/>
      <c r="C819" s="490"/>
      <c r="E819" s="491"/>
      <c r="G819" s="65"/>
    </row>
    <row r="820" spans="2:7" ht="14.25" customHeight="1" x14ac:dyDescent="0.3">
      <c r="B820" s="489"/>
      <c r="C820" s="490"/>
      <c r="E820" s="491"/>
      <c r="G820" s="65"/>
    </row>
    <row r="821" spans="2:7" ht="14.25" customHeight="1" x14ac:dyDescent="0.3">
      <c r="B821" s="489"/>
      <c r="C821" s="490"/>
      <c r="E821" s="491"/>
      <c r="G821" s="65"/>
    </row>
    <row r="822" spans="2:7" ht="14.25" customHeight="1" x14ac:dyDescent="0.3">
      <c r="B822" s="489"/>
      <c r="C822" s="490"/>
      <c r="E822" s="491"/>
      <c r="G822" s="65"/>
    </row>
    <row r="823" spans="2:7" ht="14.25" customHeight="1" x14ac:dyDescent="0.3">
      <c r="B823" s="489"/>
      <c r="C823" s="490"/>
      <c r="E823" s="491"/>
      <c r="G823" s="65"/>
    </row>
    <row r="824" spans="2:7" ht="14.25" customHeight="1" x14ac:dyDescent="0.3">
      <c r="B824" s="489"/>
      <c r="C824" s="490"/>
      <c r="E824" s="491"/>
      <c r="G824" s="65"/>
    </row>
    <row r="825" spans="2:7" ht="14.25" customHeight="1" x14ac:dyDescent="0.3">
      <c r="B825" s="489"/>
      <c r="C825" s="490"/>
      <c r="E825" s="491"/>
      <c r="G825" s="65"/>
    </row>
    <row r="826" spans="2:7" ht="14.25" customHeight="1" x14ac:dyDescent="0.3">
      <c r="B826" s="489"/>
      <c r="C826" s="490"/>
      <c r="E826" s="491"/>
      <c r="G826" s="65"/>
    </row>
    <row r="827" spans="2:7" ht="14.25" customHeight="1" x14ac:dyDescent="0.3">
      <c r="B827" s="489"/>
      <c r="C827" s="490"/>
      <c r="E827" s="491"/>
      <c r="G827" s="65"/>
    </row>
    <row r="828" spans="2:7" ht="14.25" customHeight="1" x14ac:dyDescent="0.3">
      <c r="B828" s="489"/>
      <c r="C828" s="490"/>
      <c r="E828" s="491"/>
      <c r="G828" s="65"/>
    </row>
    <row r="829" spans="2:7" ht="14.25" customHeight="1" x14ac:dyDescent="0.3">
      <c r="B829" s="489"/>
      <c r="C829" s="490"/>
      <c r="E829" s="491"/>
      <c r="G829" s="65"/>
    </row>
    <row r="830" spans="2:7" ht="14.25" customHeight="1" x14ac:dyDescent="0.3">
      <c r="B830" s="489"/>
      <c r="C830" s="490"/>
      <c r="E830" s="491"/>
      <c r="G830" s="65"/>
    </row>
    <row r="831" spans="2:7" ht="14.25" customHeight="1" x14ac:dyDescent="0.3">
      <c r="B831" s="489"/>
      <c r="C831" s="490"/>
      <c r="E831" s="491"/>
      <c r="G831" s="65"/>
    </row>
    <row r="832" spans="2:7" ht="14.25" customHeight="1" x14ac:dyDescent="0.3">
      <c r="B832" s="489"/>
      <c r="C832" s="490"/>
      <c r="E832" s="491"/>
      <c r="G832" s="65"/>
    </row>
    <row r="833" spans="2:7" ht="14.25" customHeight="1" x14ac:dyDescent="0.3">
      <c r="B833" s="489"/>
      <c r="C833" s="490"/>
      <c r="E833" s="491"/>
      <c r="G833" s="65"/>
    </row>
    <row r="834" spans="2:7" ht="14.25" customHeight="1" x14ac:dyDescent="0.3">
      <c r="B834" s="489"/>
      <c r="C834" s="490"/>
      <c r="E834" s="491"/>
      <c r="G834" s="65"/>
    </row>
    <row r="835" spans="2:7" ht="14.25" customHeight="1" x14ac:dyDescent="0.3">
      <c r="B835" s="489"/>
      <c r="C835" s="490"/>
      <c r="E835" s="491"/>
      <c r="G835" s="65"/>
    </row>
    <row r="836" spans="2:7" ht="14.25" customHeight="1" x14ac:dyDescent="0.3">
      <c r="B836" s="489"/>
      <c r="C836" s="490"/>
      <c r="E836" s="491"/>
      <c r="G836" s="65"/>
    </row>
    <row r="837" spans="2:7" ht="14.25" customHeight="1" x14ac:dyDescent="0.3">
      <c r="B837" s="489"/>
      <c r="C837" s="490"/>
      <c r="E837" s="491"/>
      <c r="G837" s="65"/>
    </row>
    <row r="838" spans="2:7" ht="14.25" customHeight="1" x14ac:dyDescent="0.3">
      <c r="B838" s="489"/>
      <c r="C838" s="490"/>
      <c r="E838" s="491"/>
      <c r="G838" s="65"/>
    </row>
    <row r="839" spans="2:7" ht="14.25" customHeight="1" x14ac:dyDescent="0.3">
      <c r="B839" s="489"/>
      <c r="C839" s="490"/>
      <c r="E839" s="491"/>
      <c r="G839" s="65"/>
    </row>
    <row r="840" spans="2:7" ht="14.25" customHeight="1" x14ac:dyDescent="0.3">
      <c r="B840" s="489"/>
      <c r="C840" s="490"/>
      <c r="E840" s="491"/>
      <c r="G840" s="65"/>
    </row>
    <row r="841" spans="2:7" ht="14.25" customHeight="1" x14ac:dyDescent="0.3">
      <c r="B841" s="489"/>
      <c r="C841" s="490"/>
      <c r="E841" s="491"/>
      <c r="G841" s="65"/>
    </row>
    <row r="842" spans="2:7" ht="14.25" customHeight="1" x14ac:dyDescent="0.3">
      <c r="B842" s="489"/>
      <c r="C842" s="490"/>
      <c r="E842" s="491"/>
      <c r="G842" s="65"/>
    </row>
    <row r="843" spans="2:7" ht="14.25" customHeight="1" x14ac:dyDescent="0.3">
      <c r="B843" s="489"/>
      <c r="C843" s="490"/>
      <c r="E843" s="491"/>
      <c r="G843" s="65"/>
    </row>
    <row r="844" spans="2:7" ht="14.25" customHeight="1" x14ac:dyDescent="0.3">
      <c r="B844" s="489"/>
      <c r="C844" s="490"/>
      <c r="E844" s="491"/>
      <c r="G844" s="65"/>
    </row>
    <row r="845" spans="2:7" ht="14.25" customHeight="1" x14ac:dyDescent="0.3">
      <c r="B845" s="489"/>
      <c r="C845" s="490"/>
      <c r="E845" s="491"/>
      <c r="G845" s="65"/>
    </row>
    <row r="846" spans="2:7" ht="14.25" customHeight="1" x14ac:dyDescent="0.3">
      <c r="B846" s="489"/>
      <c r="C846" s="490"/>
      <c r="E846" s="491"/>
      <c r="G846" s="65"/>
    </row>
    <row r="847" spans="2:7" ht="14.25" customHeight="1" x14ac:dyDescent="0.3">
      <c r="B847" s="489"/>
      <c r="C847" s="490"/>
      <c r="E847" s="491"/>
      <c r="G847" s="65"/>
    </row>
    <row r="848" spans="2:7" ht="14.25" customHeight="1" x14ac:dyDescent="0.3">
      <c r="B848" s="489"/>
      <c r="C848" s="490"/>
      <c r="E848" s="491"/>
      <c r="G848" s="65"/>
    </row>
    <row r="849" spans="2:7" ht="14.25" customHeight="1" x14ac:dyDescent="0.3">
      <c r="B849" s="489"/>
      <c r="C849" s="490"/>
      <c r="E849" s="491"/>
      <c r="G849" s="65"/>
    </row>
    <row r="850" spans="2:7" ht="14.25" customHeight="1" x14ac:dyDescent="0.3">
      <c r="B850" s="489"/>
      <c r="C850" s="490"/>
      <c r="E850" s="491"/>
      <c r="G850" s="65"/>
    </row>
    <row r="851" spans="2:7" ht="14.25" customHeight="1" x14ac:dyDescent="0.3">
      <c r="B851" s="489"/>
      <c r="C851" s="490"/>
      <c r="E851" s="491"/>
      <c r="G851" s="65"/>
    </row>
    <row r="852" spans="2:7" ht="14.25" customHeight="1" x14ac:dyDescent="0.3">
      <c r="B852" s="489"/>
      <c r="C852" s="490"/>
      <c r="E852" s="491"/>
      <c r="G852" s="65"/>
    </row>
    <row r="853" spans="2:7" ht="14.25" customHeight="1" x14ac:dyDescent="0.3">
      <c r="B853" s="489"/>
      <c r="C853" s="490"/>
      <c r="E853" s="491"/>
      <c r="G853" s="65"/>
    </row>
    <row r="854" spans="2:7" ht="14.25" customHeight="1" x14ac:dyDescent="0.3">
      <c r="B854" s="489"/>
      <c r="C854" s="490"/>
      <c r="E854" s="491"/>
      <c r="G854" s="65"/>
    </row>
    <row r="855" spans="2:7" ht="14.25" customHeight="1" x14ac:dyDescent="0.3">
      <c r="B855" s="489"/>
      <c r="C855" s="490"/>
      <c r="E855" s="491"/>
      <c r="G855" s="65"/>
    </row>
    <row r="856" spans="2:7" ht="14.25" customHeight="1" x14ac:dyDescent="0.3">
      <c r="B856" s="489"/>
      <c r="C856" s="490"/>
      <c r="E856" s="491"/>
      <c r="G856" s="65"/>
    </row>
    <row r="857" spans="2:7" ht="14.25" customHeight="1" x14ac:dyDescent="0.3">
      <c r="B857" s="489"/>
      <c r="C857" s="490"/>
      <c r="E857" s="491"/>
      <c r="G857" s="65"/>
    </row>
    <row r="858" spans="2:7" ht="14.25" customHeight="1" x14ac:dyDescent="0.3">
      <c r="B858" s="489"/>
      <c r="C858" s="490"/>
      <c r="E858" s="491"/>
      <c r="G858" s="65"/>
    </row>
    <row r="859" spans="2:7" ht="14.25" customHeight="1" x14ac:dyDescent="0.3">
      <c r="B859" s="489"/>
      <c r="C859" s="490"/>
      <c r="E859" s="491"/>
      <c r="G859" s="65"/>
    </row>
    <row r="860" spans="2:7" ht="14.25" customHeight="1" x14ac:dyDescent="0.3">
      <c r="B860" s="489"/>
      <c r="C860" s="490"/>
      <c r="E860" s="491"/>
      <c r="G860" s="65"/>
    </row>
    <row r="861" spans="2:7" ht="14.25" customHeight="1" x14ac:dyDescent="0.3">
      <c r="B861" s="489"/>
      <c r="C861" s="490"/>
      <c r="E861" s="491"/>
      <c r="G861" s="65"/>
    </row>
    <row r="862" spans="2:7" ht="14.25" customHeight="1" x14ac:dyDescent="0.3">
      <c r="B862" s="489"/>
      <c r="C862" s="490"/>
      <c r="E862" s="491"/>
      <c r="G862" s="65"/>
    </row>
    <row r="863" spans="2:7" ht="14.25" customHeight="1" x14ac:dyDescent="0.3">
      <c r="B863" s="489"/>
      <c r="C863" s="490"/>
      <c r="E863" s="491"/>
      <c r="G863" s="65"/>
    </row>
    <row r="864" spans="2:7" ht="14.25" customHeight="1" x14ac:dyDescent="0.3">
      <c r="B864" s="489"/>
      <c r="C864" s="490"/>
      <c r="E864" s="491"/>
      <c r="G864" s="65"/>
    </row>
    <row r="865" spans="2:7" ht="14.25" customHeight="1" x14ac:dyDescent="0.3">
      <c r="B865" s="489"/>
      <c r="C865" s="490"/>
      <c r="E865" s="491"/>
      <c r="G865" s="65"/>
    </row>
    <row r="866" spans="2:7" ht="14.25" customHeight="1" x14ac:dyDescent="0.3">
      <c r="B866" s="489"/>
      <c r="C866" s="490"/>
      <c r="E866" s="491"/>
      <c r="G866" s="65"/>
    </row>
    <row r="867" spans="2:7" ht="14.25" customHeight="1" x14ac:dyDescent="0.3">
      <c r="B867" s="489"/>
      <c r="C867" s="490"/>
      <c r="E867" s="491"/>
      <c r="G867" s="65"/>
    </row>
    <row r="868" spans="2:7" ht="14.25" customHeight="1" x14ac:dyDescent="0.3">
      <c r="B868" s="489"/>
      <c r="C868" s="490"/>
      <c r="E868" s="491"/>
      <c r="G868" s="65"/>
    </row>
    <row r="869" spans="2:7" ht="14.25" customHeight="1" x14ac:dyDescent="0.3">
      <c r="B869" s="489"/>
      <c r="C869" s="490"/>
      <c r="E869" s="491"/>
      <c r="G869" s="65"/>
    </row>
    <row r="870" spans="2:7" ht="14.25" customHeight="1" x14ac:dyDescent="0.3">
      <c r="B870" s="489"/>
      <c r="C870" s="490"/>
      <c r="E870" s="491"/>
      <c r="G870" s="65"/>
    </row>
    <row r="871" spans="2:7" ht="14.25" customHeight="1" x14ac:dyDescent="0.3">
      <c r="B871" s="489"/>
      <c r="C871" s="490"/>
      <c r="E871" s="491"/>
      <c r="G871" s="65"/>
    </row>
    <row r="872" spans="2:7" ht="14.25" customHeight="1" x14ac:dyDescent="0.3">
      <c r="B872" s="489"/>
      <c r="C872" s="490"/>
      <c r="E872" s="491"/>
      <c r="G872" s="65"/>
    </row>
    <row r="873" spans="2:7" ht="14.25" customHeight="1" x14ac:dyDescent="0.3">
      <c r="B873" s="489"/>
      <c r="C873" s="490"/>
      <c r="E873" s="491"/>
      <c r="G873" s="65"/>
    </row>
    <row r="874" spans="2:7" ht="14.25" customHeight="1" x14ac:dyDescent="0.3">
      <c r="B874" s="489"/>
      <c r="C874" s="490"/>
      <c r="E874" s="491"/>
      <c r="G874" s="65"/>
    </row>
    <row r="875" spans="2:7" ht="14.25" customHeight="1" x14ac:dyDescent="0.3">
      <c r="B875" s="489"/>
      <c r="C875" s="490"/>
      <c r="E875" s="491"/>
      <c r="G875" s="65"/>
    </row>
    <row r="876" spans="2:7" ht="14.25" customHeight="1" x14ac:dyDescent="0.3">
      <c r="B876" s="489"/>
      <c r="C876" s="490"/>
      <c r="E876" s="491"/>
      <c r="G876" s="65"/>
    </row>
    <row r="877" spans="2:7" ht="14.25" customHeight="1" x14ac:dyDescent="0.3">
      <c r="B877" s="489"/>
      <c r="C877" s="490"/>
      <c r="E877" s="491"/>
      <c r="G877" s="65"/>
    </row>
    <row r="878" spans="2:7" ht="14.25" customHeight="1" x14ac:dyDescent="0.3">
      <c r="B878" s="489"/>
      <c r="C878" s="490"/>
      <c r="E878" s="491"/>
      <c r="G878" s="65"/>
    </row>
    <row r="879" spans="2:7" ht="14.25" customHeight="1" x14ac:dyDescent="0.3">
      <c r="B879" s="489"/>
      <c r="C879" s="490"/>
      <c r="E879" s="491"/>
      <c r="G879" s="65"/>
    </row>
    <row r="880" spans="2:7" ht="14.25" customHeight="1" x14ac:dyDescent="0.3">
      <c r="B880" s="489"/>
      <c r="C880" s="490"/>
      <c r="E880" s="491"/>
      <c r="G880" s="65"/>
    </row>
    <row r="881" spans="2:7" ht="14.25" customHeight="1" x14ac:dyDescent="0.3">
      <c r="B881" s="489"/>
      <c r="C881" s="490"/>
      <c r="E881" s="491"/>
      <c r="G881" s="65"/>
    </row>
    <row r="882" spans="2:7" ht="14.25" customHeight="1" x14ac:dyDescent="0.3">
      <c r="B882" s="489"/>
      <c r="C882" s="490"/>
      <c r="E882" s="491"/>
      <c r="G882" s="65"/>
    </row>
    <row r="883" spans="2:7" ht="14.25" customHeight="1" x14ac:dyDescent="0.3">
      <c r="B883" s="489"/>
      <c r="C883" s="490"/>
      <c r="E883" s="491"/>
      <c r="G883" s="65"/>
    </row>
    <row r="884" spans="2:7" ht="14.25" customHeight="1" x14ac:dyDescent="0.3">
      <c r="B884" s="489"/>
      <c r="C884" s="490"/>
      <c r="E884" s="491"/>
      <c r="G884" s="65"/>
    </row>
    <row r="885" spans="2:7" ht="14.25" customHeight="1" x14ac:dyDescent="0.3">
      <c r="B885" s="489"/>
      <c r="C885" s="490"/>
      <c r="E885" s="491"/>
      <c r="G885" s="65"/>
    </row>
    <row r="886" spans="2:7" ht="14.25" customHeight="1" x14ac:dyDescent="0.3">
      <c r="B886" s="489"/>
      <c r="C886" s="490"/>
      <c r="E886" s="491"/>
      <c r="G886" s="65"/>
    </row>
    <row r="887" spans="2:7" ht="14.25" customHeight="1" x14ac:dyDescent="0.3">
      <c r="B887" s="489"/>
      <c r="C887" s="490"/>
      <c r="E887" s="491"/>
      <c r="G887" s="65"/>
    </row>
    <row r="888" spans="2:7" ht="14.25" customHeight="1" x14ac:dyDescent="0.3">
      <c r="B888" s="489"/>
      <c r="C888" s="490"/>
      <c r="E888" s="491"/>
      <c r="G888" s="65"/>
    </row>
    <row r="889" spans="2:7" ht="14.25" customHeight="1" x14ac:dyDescent="0.3">
      <c r="B889" s="489"/>
      <c r="C889" s="490"/>
      <c r="E889" s="491"/>
      <c r="G889" s="65"/>
    </row>
    <row r="890" spans="2:7" ht="14.25" customHeight="1" x14ac:dyDescent="0.3">
      <c r="B890" s="489"/>
      <c r="C890" s="490"/>
      <c r="E890" s="491"/>
      <c r="G890" s="65"/>
    </row>
    <row r="891" spans="2:7" ht="14.25" customHeight="1" x14ac:dyDescent="0.3">
      <c r="B891" s="489"/>
      <c r="C891" s="490"/>
      <c r="E891" s="491"/>
      <c r="G891" s="65"/>
    </row>
    <row r="892" spans="2:7" ht="14.25" customHeight="1" x14ac:dyDescent="0.3">
      <c r="B892" s="489"/>
      <c r="C892" s="490"/>
      <c r="E892" s="491"/>
      <c r="G892" s="65"/>
    </row>
    <row r="893" spans="2:7" ht="14.25" customHeight="1" x14ac:dyDescent="0.3">
      <c r="B893" s="489"/>
      <c r="C893" s="490"/>
      <c r="E893" s="491"/>
      <c r="G893" s="65"/>
    </row>
    <row r="894" spans="2:7" ht="14.25" customHeight="1" x14ac:dyDescent="0.3">
      <c r="B894" s="489"/>
      <c r="C894" s="490"/>
      <c r="E894" s="491"/>
      <c r="G894" s="65"/>
    </row>
    <row r="895" spans="2:7" ht="14.25" customHeight="1" x14ac:dyDescent="0.3">
      <c r="B895" s="489"/>
      <c r="C895" s="490"/>
      <c r="E895" s="491"/>
      <c r="G895" s="65"/>
    </row>
    <row r="896" spans="2:7" ht="14.25" customHeight="1" x14ac:dyDescent="0.3">
      <c r="B896" s="489"/>
      <c r="C896" s="490"/>
      <c r="E896" s="491"/>
      <c r="G896" s="65"/>
    </row>
    <row r="897" spans="2:7" ht="14.25" customHeight="1" x14ac:dyDescent="0.3">
      <c r="B897" s="489"/>
      <c r="C897" s="490"/>
      <c r="E897" s="491"/>
      <c r="G897" s="65"/>
    </row>
    <row r="898" spans="2:7" ht="14.25" customHeight="1" x14ac:dyDescent="0.3">
      <c r="B898" s="489"/>
      <c r="C898" s="490"/>
      <c r="E898" s="491"/>
      <c r="G898" s="65"/>
    </row>
    <row r="899" spans="2:7" ht="14.25" customHeight="1" x14ac:dyDescent="0.3">
      <c r="B899" s="489"/>
      <c r="C899" s="490"/>
      <c r="E899" s="491"/>
      <c r="G899" s="65"/>
    </row>
    <row r="900" spans="2:7" ht="14.25" customHeight="1" x14ac:dyDescent="0.3">
      <c r="B900" s="489"/>
      <c r="C900" s="490"/>
      <c r="E900" s="491"/>
      <c r="G900" s="65"/>
    </row>
    <row r="901" spans="2:7" ht="14.25" customHeight="1" x14ac:dyDescent="0.3">
      <c r="B901" s="489"/>
      <c r="C901" s="490"/>
      <c r="E901" s="491"/>
      <c r="G901" s="65"/>
    </row>
    <row r="902" spans="2:7" ht="14.25" customHeight="1" x14ac:dyDescent="0.3">
      <c r="B902" s="489"/>
      <c r="C902" s="490"/>
      <c r="E902" s="491"/>
      <c r="G902" s="65"/>
    </row>
    <row r="903" spans="2:7" ht="14.25" customHeight="1" x14ac:dyDescent="0.3">
      <c r="B903" s="489"/>
      <c r="C903" s="490"/>
      <c r="E903" s="491"/>
      <c r="G903" s="65"/>
    </row>
    <row r="904" spans="2:7" ht="14.25" customHeight="1" x14ac:dyDescent="0.3">
      <c r="B904" s="489"/>
      <c r="C904" s="490"/>
      <c r="E904" s="491"/>
      <c r="G904" s="65"/>
    </row>
    <row r="905" spans="2:7" ht="14.25" customHeight="1" x14ac:dyDescent="0.3">
      <c r="B905" s="489"/>
      <c r="C905" s="490"/>
      <c r="E905" s="491"/>
      <c r="G905" s="65"/>
    </row>
    <row r="906" spans="2:7" ht="14.25" customHeight="1" x14ac:dyDescent="0.3">
      <c r="B906" s="489"/>
      <c r="C906" s="490"/>
      <c r="E906" s="491"/>
      <c r="G906" s="65"/>
    </row>
    <row r="907" spans="2:7" ht="14.25" customHeight="1" x14ac:dyDescent="0.3">
      <c r="B907" s="489"/>
      <c r="C907" s="490"/>
      <c r="E907" s="491"/>
      <c r="G907" s="65"/>
    </row>
    <row r="908" spans="2:7" ht="14.25" customHeight="1" x14ac:dyDescent="0.3">
      <c r="B908" s="489"/>
      <c r="C908" s="490"/>
      <c r="E908" s="491"/>
      <c r="G908" s="65"/>
    </row>
    <row r="909" spans="2:7" ht="14.25" customHeight="1" x14ac:dyDescent="0.3">
      <c r="B909" s="489"/>
      <c r="C909" s="490"/>
      <c r="E909" s="491"/>
      <c r="G909" s="65"/>
    </row>
    <row r="910" spans="2:7" ht="14.25" customHeight="1" x14ac:dyDescent="0.3">
      <c r="B910" s="489"/>
      <c r="C910" s="490"/>
      <c r="E910" s="491"/>
      <c r="G910" s="65"/>
    </row>
    <row r="911" spans="2:7" ht="14.25" customHeight="1" x14ac:dyDescent="0.3">
      <c r="B911" s="489"/>
      <c r="C911" s="490"/>
      <c r="E911" s="491"/>
      <c r="G911" s="65"/>
    </row>
    <row r="912" spans="2:7" ht="14.25" customHeight="1" x14ac:dyDescent="0.3">
      <c r="B912" s="489"/>
      <c r="C912" s="490"/>
      <c r="E912" s="491"/>
      <c r="G912" s="65"/>
    </row>
    <row r="913" spans="2:7" ht="14.25" customHeight="1" x14ac:dyDescent="0.3">
      <c r="B913" s="489"/>
      <c r="C913" s="490"/>
      <c r="E913" s="491"/>
      <c r="G913" s="65"/>
    </row>
    <row r="914" spans="2:7" ht="14.25" customHeight="1" x14ac:dyDescent="0.3">
      <c r="B914" s="489"/>
      <c r="C914" s="490"/>
      <c r="E914" s="491"/>
      <c r="G914" s="65"/>
    </row>
    <row r="915" spans="2:7" ht="14.25" customHeight="1" x14ac:dyDescent="0.3">
      <c r="B915" s="489"/>
      <c r="C915" s="490"/>
      <c r="E915" s="491"/>
      <c r="G915" s="65"/>
    </row>
    <row r="916" spans="2:7" ht="14.25" customHeight="1" x14ac:dyDescent="0.3">
      <c r="B916" s="489"/>
      <c r="C916" s="490"/>
      <c r="E916" s="491"/>
      <c r="G916" s="65"/>
    </row>
    <row r="917" spans="2:7" ht="14.25" customHeight="1" x14ac:dyDescent="0.3">
      <c r="B917" s="489"/>
      <c r="C917" s="490"/>
      <c r="E917" s="491"/>
      <c r="G917" s="65"/>
    </row>
    <row r="918" spans="2:7" ht="14.25" customHeight="1" x14ac:dyDescent="0.3">
      <c r="B918" s="489"/>
      <c r="C918" s="490"/>
      <c r="E918" s="491"/>
      <c r="G918" s="65"/>
    </row>
    <row r="919" spans="2:7" ht="14.25" customHeight="1" x14ac:dyDescent="0.3">
      <c r="B919" s="489"/>
      <c r="C919" s="490"/>
      <c r="E919" s="491"/>
      <c r="G919" s="65"/>
    </row>
    <row r="920" spans="2:7" ht="14.25" customHeight="1" x14ac:dyDescent="0.3">
      <c r="B920" s="489"/>
      <c r="C920" s="490"/>
      <c r="E920" s="491"/>
      <c r="G920" s="65"/>
    </row>
    <row r="921" spans="2:7" ht="14.25" customHeight="1" x14ac:dyDescent="0.3">
      <c r="B921" s="489"/>
      <c r="C921" s="490"/>
      <c r="E921" s="491"/>
      <c r="G921" s="65"/>
    </row>
    <row r="922" spans="2:7" ht="14.25" customHeight="1" x14ac:dyDescent="0.3">
      <c r="B922" s="489"/>
      <c r="C922" s="490"/>
      <c r="E922" s="491"/>
      <c r="G922" s="65"/>
    </row>
    <row r="923" spans="2:7" ht="14.25" customHeight="1" x14ac:dyDescent="0.3">
      <c r="B923" s="489"/>
      <c r="C923" s="490"/>
      <c r="E923" s="491"/>
      <c r="G923" s="65"/>
    </row>
    <row r="924" spans="2:7" ht="14.25" customHeight="1" x14ac:dyDescent="0.3">
      <c r="B924" s="489"/>
      <c r="C924" s="490"/>
      <c r="E924" s="491"/>
      <c r="G924" s="65"/>
    </row>
    <row r="925" spans="2:7" ht="14.25" customHeight="1" x14ac:dyDescent="0.3">
      <c r="B925" s="489"/>
      <c r="C925" s="490"/>
      <c r="E925" s="491"/>
      <c r="G925" s="65"/>
    </row>
    <row r="926" spans="2:7" ht="14.25" customHeight="1" x14ac:dyDescent="0.3">
      <c r="B926" s="489"/>
      <c r="C926" s="490"/>
      <c r="E926" s="491"/>
      <c r="G926" s="65"/>
    </row>
    <row r="927" spans="2:7" ht="14.25" customHeight="1" x14ac:dyDescent="0.3">
      <c r="B927" s="489"/>
      <c r="C927" s="490"/>
      <c r="E927" s="491"/>
      <c r="G927" s="65"/>
    </row>
    <row r="928" spans="2:7" ht="14.25" customHeight="1" x14ac:dyDescent="0.3">
      <c r="B928" s="489"/>
      <c r="C928" s="490"/>
      <c r="E928" s="491"/>
      <c r="G928" s="65"/>
    </row>
    <row r="929" spans="2:7" ht="14.25" customHeight="1" x14ac:dyDescent="0.3">
      <c r="B929" s="489"/>
      <c r="C929" s="490"/>
      <c r="E929" s="491"/>
      <c r="G929" s="65"/>
    </row>
    <row r="930" spans="2:7" ht="14.25" customHeight="1" x14ac:dyDescent="0.3">
      <c r="B930" s="489"/>
      <c r="C930" s="490"/>
      <c r="E930" s="491"/>
      <c r="G930" s="65"/>
    </row>
    <row r="931" spans="2:7" ht="14.25" customHeight="1" x14ac:dyDescent="0.3">
      <c r="B931" s="489"/>
      <c r="C931" s="490"/>
      <c r="E931" s="491"/>
      <c r="G931" s="65"/>
    </row>
    <row r="932" spans="2:7" ht="14.25" customHeight="1" x14ac:dyDescent="0.3">
      <c r="B932" s="489"/>
      <c r="C932" s="490"/>
      <c r="E932" s="491"/>
      <c r="G932" s="65"/>
    </row>
    <row r="933" spans="2:7" ht="14.25" customHeight="1" x14ac:dyDescent="0.3">
      <c r="B933" s="489"/>
      <c r="C933" s="490"/>
      <c r="E933" s="491"/>
      <c r="G933" s="65"/>
    </row>
    <row r="934" spans="2:7" ht="14.25" customHeight="1" x14ac:dyDescent="0.3">
      <c r="B934" s="489"/>
      <c r="C934" s="490"/>
      <c r="E934" s="491"/>
      <c r="G934" s="65"/>
    </row>
    <row r="935" spans="2:7" ht="14.25" customHeight="1" x14ac:dyDescent="0.3">
      <c r="B935" s="489"/>
      <c r="C935" s="490"/>
      <c r="E935" s="491"/>
      <c r="G935" s="65"/>
    </row>
    <row r="936" spans="2:7" ht="14.25" customHeight="1" x14ac:dyDescent="0.3">
      <c r="B936" s="489"/>
      <c r="C936" s="490"/>
      <c r="E936" s="491"/>
      <c r="G936" s="65"/>
    </row>
    <row r="937" spans="2:7" ht="14.25" customHeight="1" x14ac:dyDescent="0.3">
      <c r="B937" s="489"/>
      <c r="C937" s="490"/>
      <c r="E937" s="491"/>
      <c r="G937" s="65"/>
    </row>
    <row r="938" spans="2:7" ht="14.25" customHeight="1" x14ac:dyDescent="0.3">
      <c r="B938" s="489"/>
      <c r="C938" s="490"/>
      <c r="E938" s="491"/>
      <c r="G938" s="65"/>
    </row>
    <row r="939" spans="2:7" ht="14.25" customHeight="1" x14ac:dyDescent="0.3">
      <c r="B939" s="489"/>
      <c r="C939" s="490"/>
      <c r="E939" s="491"/>
      <c r="G939" s="65"/>
    </row>
    <row r="940" spans="2:7" ht="14.25" customHeight="1" x14ac:dyDescent="0.3">
      <c r="B940" s="489"/>
      <c r="C940" s="490"/>
      <c r="E940" s="491"/>
      <c r="G940" s="65"/>
    </row>
    <row r="941" spans="2:7" ht="14.25" customHeight="1" x14ac:dyDescent="0.3">
      <c r="B941" s="489"/>
      <c r="C941" s="490"/>
      <c r="E941" s="491"/>
      <c r="G941" s="65"/>
    </row>
    <row r="942" spans="2:7" ht="14.25" customHeight="1" x14ac:dyDescent="0.3">
      <c r="B942" s="489"/>
      <c r="C942" s="490"/>
      <c r="E942" s="491"/>
      <c r="G942" s="65"/>
    </row>
    <row r="943" spans="2:7" ht="14.25" customHeight="1" x14ac:dyDescent="0.3">
      <c r="B943" s="489"/>
      <c r="C943" s="490"/>
      <c r="E943" s="491"/>
      <c r="G943" s="65"/>
    </row>
    <row r="944" spans="2:7" ht="14.25" customHeight="1" x14ac:dyDescent="0.3">
      <c r="B944" s="489"/>
      <c r="C944" s="490"/>
      <c r="E944" s="491"/>
      <c r="G944" s="65"/>
    </row>
    <row r="945" spans="2:7" ht="14.25" customHeight="1" x14ac:dyDescent="0.3">
      <c r="B945" s="489"/>
      <c r="C945" s="490"/>
      <c r="E945" s="491"/>
      <c r="G945" s="65"/>
    </row>
    <row r="946" spans="2:7" ht="14.25" customHeight="1" x14ac:dyDescent="0.3">
      <c r="B946" s="489"/>
      <c r="C946" s="490"/>
      <c r="E946" s="491"/>
      <c r="G946" s="65"/>
    </row>
    <row r="947" spans="2:7" ht="14.25" customHeight="1" x14ac:dyDescent="0.3">
      <c r="B947" s="489"/>
      <c r="C947" s="490"/>
      <c r="E947" s="491"/>
      <c r="G947" s="65"/>
    </row>
    <row r="948" spans="2:7" ht="14.25" customHeight="1" x14ac:dyDescent="0.3">
      <c r="B948" s="489"/>
      <c r="C948" s="490"/>
      <c r="E948" s="491"/>
      <c r="G948" s="65"/>
    </row>
    <row r="949" spans="2:7" ht="14.25" customHeight="1" x14ac:dyDescent="0.3">
      <c r="B949" s="489"/>
      <c r="C949" s="490"/>
      <c r="E949" s="491"/>
      <c r="G949" s="65"/>
    </row>
    <row r="950" spans="2:7" ht="14.25" customHeight="1" x14ac:dyDescent="0.3">
      <c r="B950" s="489"/>
      <c r="C950" s="490"/>
      <c r="E950" s="491"/>
      <c r="G950" s="65"/>
    </row>
    <row r="951" spans="2:7" ht="14.25" customHeight="1" x14ac:dyDescent="0.3">
      <c r="B951" s="489"/>
      <c r="C951" s="490"/>
      <c r="E951" s="491"/>
      <c r="G951" s="65"/>
    </row>
    <row r="952" spans="2:7" ht="14.25" customHeight="1" x14ac:dyDescent="0.3">
      <c r="B952" s="489"/>
      <c r="C952" s="490"/>
      <c r="E952" s="491"/>
      <c r="G952" s="65"/>
    </row>
    <row r="953" spans="2:7" ht="14.25" customHeight="1" x14ac:dyDescent="0.3">
      <c r="B953" s="489"/>
      <c r="C953" s="490"/>
      <c r="E953" s="491"/>
      <c r="G953" s="65"/>
    </row>
    <row r="954" spans="2:7" ht="14.25" customHeight="1" x14ac:dyDescent="0.3">
      <c r="B954" s="489"/>
      <c r="C954" s="490"/>
      <c r="E954" s="491"/>
      <c r="G954" s="65"/>
    </row>
    <row r="955" spans="2:7" ht="14.25" customHeight="1" x14ac:dyDescent="0.3">
      <c r="B955" s="489"/>
      <c r="C955" s="490"/>
      <c r="E955" s="491"/>
      <c r="G955" s="65"/>
    </row>
    <row r="956" spans="2:7" ht="14.25" customHeight="1" x14ac:dyDescent="0.3">
      <c r="B956" s="489"/>
      <c r="C956" s="490"/>
      <c r="E956" s="491"/>
      <c r="G956" s="65"/>
    </row>
    <row r="957" spans="2:7" ht="14.25" customHeight="1" x14ac:dyDescent="0.3">
      <c r="B957" s="489"/>
      <c r="C957" s="490"/>
      <c r="E957" s="491"/>
      <c r="G957" s="65"/>
    </row>
    <row r="958" spans="2:7" ht="14.25" customHeight="1" x14ac:dyDescent="0.3">
      <c r="B958" s="489"/>
      <c r="C958" s="490"/>
      <c r="E958" s="491"/>
      <c r="G958" s="65"/>
    </row>
    <row r="959" spans="2:7" ht="14.25" customHeight="1" x14ac:dyDescent="0.3">
      <c r="B959" s="489"/>
      <c r="C959" s="490"/>
      <c r="E959" s="491"/>
      <c r="G959" s="65"/>
    </row>
    <row r="960" spans="2:7" ht="14.25" customHeight="1" x14ac:dyDescent="0.3">
      <c r="B960" s="489"/>
      <c r="C960" s="490"/>
      <c r="E960" s="491"/>
      <c r="G960" s="65"/>
    </row>
    <row r="961" spans="2:7" ht="14.25" customHeight="1" x14ac:dyDescent="0.3">
      <c r="B961" s="489"/>
      <c r="C961" s="490"/>
      <c r="E961" s="491"/>
      <c r="G961" s="65"/>
    </row>
    <row r="962" spans="2:7" ht="14.25" customHeight="1" x14ac:dyDescent="0.3">
      <c r="B962" s="489"/>
      <c r="C962" s="490"/>
      <c r="E962" s="491"/>
      <c r="G962" s="65"/>
    </row>
    <row r="963" spans="2:7" ht="14.25" customHeight="1" x14ac:dyDescent="0.3">
      <c r="B963" s="489"/>
      <c r="C963" s="490"/>
      <c r="E963" s="491"/>
      <c r="G963" s="65"/>
    </row>
    <row r="964" spans="2:7" ht="14.25" customHeight="1" x14ac:dyDescent="0.3">
      <c r="B964" s="489"/>
      <c r="C964" s="490"/>
      <c r="E964" s="491"/>
      <c r="G964" s="65"/>
    </row>
    <row r="965" spans="2:7" ht="14.25" customHeight="1" x14ac:dyDescent="0.3">
      <c r="B965" s="489"/>
      <c r="C965" s="490"/>
      <c r="E965" s="491"/>
      <c r="G965" s="65"/>
    </row>
    <row r="966" spans="2:7" ht="14.25" customHeight="1" x14ac:dyDescent="0.3">
      <c r="B966" s="489"/>
      <c r="C966" s="490"/>
      <c r="E966" s="491"/>
      <c r="G966" s="65"/>
    </row>
    <row r="967" spans="2:7" ht="14.25" customHeight="1" x14ac:dyDescent="0.3">
      <c r="B967" s="489"/>
      <c r="C967" s="490"/>
      <c r="E967" s="491"/>
      <c r="G967" s="65"/>
    </row>
    <row r="968" spans="2:7" ht="14.25" customHeight="1" x14ac:dyDescent="0.3">
      <c r="B968" s="489"/>
      <c r="C968" s="490"/>
      <c r="E968" s="491"/>
      <c r="G968" s="65"/>
    </row>
    <row r="969" spans="2:7" ht="14.25" customHeight="1" x14ac:dyDescent="0.3">
      <c r="B969" s="489"/>
      <c r="C969" s="490"/>
      <c r="E969" s="491"/>
      <c r="G969" s="65"/>
    </row>
    <row r="970" spans="2:7" ht="14.25" customHeight="1" x14ac:dyDescent="0.3">
      <c r="B970" s="489"/>
      <c r="C970" s="490"/>
      <c r="E970" s="491"/>
      <c r="G970" s="65"/>
    </row>
    <row r="971" spans="2:7" ht="14.25" customHeight="1" x14ac:dyDescent="0.3">
      <c r="B971" s="489"/>
      <c r="C971" s="490"/>
      <c r="E971" s="491"/>
      <c r="G971" s="65"/>
    </row>
    <row r="972" spans="2:7" ht="14.25" customHeight="1" x14ac:dyDescent="0.3">
      <c r="B972" s="489"/>
      <c r="C972" s="490"/>
      <c r="E972" s="491"/>
      <c r="G972" s="65"/>
    </row>
    <row r="973" spans="2:7" ht="14.25" customHeight="1" x14ac:dyDescent="0.3">
      <c r="B973" s="489"/>
      <c r="C973" s="490"/>
      <c r="E973" s="491"/>
      <c r="G973" s="65"/>
    </row>
    <row r="974" spans="2:7" ht="14.25" customHeight="1" x14ac:dyDescent="0.3">
      <c r="B974" s="489"/>
      <c r="C974" s="490"/>
      <c r="E974" s="491"/>
      <c r="G974" s="65"/>
    </row>
    <row r="975" spans="2:7" ht="14.25" customHeight="1" x14ac:dyDescent="0.3">
      <c r="B975" s="489"/>
      <c r="C975" s="490"/>
      <c r="E975" s="491"/>
      <c r="G975" s="65"/>
    </row>
    <row r="976" spans="2:7" ht="14.25" customHeight="1" x14ac:dyDescent="0.3">
      <c r="B976" s="489"/>
      <c r="C976" s="490"/>
      <c r="E976" s="491"/>
      <c r="G976" s="65"/>
    </row>
    <row r="977" spans="2:7" ht="14.25" customHeight="1" x14ac:dyDescent="0.3">
      <c r="B977" s="489"/>
      <c r="C977" s="490"/>
      <c r="E977" s="491"/>
      <c r="G977" s="65"/>
    </row>
    <row r="978" spans="2:7" ht="14.25" customHeight="1" x14ac:dyDescent="0.3">
      <c r="B978" s="489"/>
      <c r="C978" s="490"/>
      <c r="E978" s="491"/>
      <c r="G978" s="65"/>
    </row>
    <row r="979" spans="2:7" ht="14.25" customHeight="1" x14ac:dyDescent="0.3">
      <c r="B979" s="489"/>
      <c r="C979" s="490"/>
      <c r="E979" s="491"/>
      <c r="G979" s="65"/>
    </row>
    <row r="980" spans="2:7" ht="14.25" customHeight="1" x14ac:dyDescent="0.3">
      <c r="B980" s="489"/>
      <c r="C980" s="490"/>
      <c r="E980" s="491"/>
      <c r="G980" s="65"/>
    </row>
    <row r="981" spans="2:7" ht="14.25" customHeight="1" x14ac:dyDescent="0.3">
      <c r="B981" s="489"/>
      <c r="C981" s="490"/>
      <c r="E981" s="491"/>
      <c r="G981" s="65"/>
    </row>
    <row r="982" spans="2:7" ht="14.25" customHeight="1" x14ac:dyDescent="0.3">
      <c r="B982" s="489"/>
      <c r="C982" s="490"/>
      <c r="E982" s="491"/>
      <c r="G982" s="65"/>
    </row>
    <row r="983" spans="2:7" ht="14.25" customHeight="1" x14ac:dyDescent="0.3">
      <c r="B983" s="489"/>
      <c r="C983" s="490"/>
      <c r="E983" s="491"/>
      <c r="G983" s="65"/>
    </row>
    <row r="984" spans="2:7" ht="14.25" customHeight="1" x14ac:dyDescent="0.3">
      <c r="B984" s="489"/>
      <c r="C984" s="490"/>
      <c r="E984" s="491"/>
      <c r="G984" s="65"/>
    </row>
    <row r="985" spans="2:7" ht="14.25" customHeight="1" x14ac:dyDescent="0.3">
      <c r="B985" s="489"/>
      <c r="C985" s="490"/>
      <c r="E985" s="491"/>
      <c r="G985" s="65"/>
    </row>
    <row r="986" spans="2:7" ht="14.25" customHeight="1" x14ac:dyDescent="0.3">
      <c r="B986" s="489"/>
      <c r="C986" s="490"/>
      <c r="E986" s="491"/>
      <c r="G986" s="65"/>
    </row>
    <row r="987" spans="2:7" ht="14.25" customHeight="1" x14ac:dyDescent="0.3">
      <c r="B987" s="489"/>
      <c r="C987" s="490"/>
      <c r="E987" s="491"/>
      <c r="G987" s="65"/>
    </row>
    <row r="988" spans="2:7" ht="14.25" customHeight="1" x14ac:dyDescent="0.3">
      <c r="B988" s="489"/>
      <c r="C988" s="490"/>
      <c r="E988" s="491"/>
      <c r="G988" s="65"/>
    </row>
    <row r="989" spans="2:7" ht="14.25" customHeight="1" x14ac:dyDescent="0.3">
      <c r="B989" s="489"/>
      <c r="C989" s="490"/>
      <c r="E989" s="491"/>
      <c r="G989" s="65"/>
    </row>
    <row r="990" spans="2:7" ht="14.25" customHeight="1" x14ac:dyDescent="0.3">
      <c r="B990" s="489"/>
      <c r="C990" s="490"/>
      <c r="E990" s="491"/>
      <c r="G990" s="65"/>
    </row>
    <row r="991" spans="2:7" ht="14.25" customHeight="1" x14ac:dyDescent="0.3">
      <c r="B991" s="489"/>
      <c r="C991" s="490"/>
      <c r="E991" s="491"/>
      <c r="G991" s="65"/>
    </row>
    <row r="992" spans="2:7" ht="14.25" customHeight="1" x14ac:dyDescent="0.3">
      <c r="B992" s="489"/>
      <c r="C992" s="490"/>
      <c r="E992" s="491"/>
      <c r="G992" s="65"/>
    </row>
    <row r="993" spans="2:7" ht="14.25" customHeight="1" x14ac:dyDescent="0.3">
      <c r="B993" s="489"/>
      <c r="C993" s="490"/>
      <c r="E993" s="491"/>
      <c r="G993" s="65"/>
    </row>
    <row r="994" spans="2:7" ht="14.25" customHeight="1" x14ac:dyDescent="0.3">
      <c r="B994" s="489"/>
      <c r="C994" s="490"/>
      <c r="E994" s="491"/>
      <c r="G994" s="65"/>
    </row>
    <row r="995" spans="2:7" ht="14.25" customHeight="1" x14ac:dyDescent="0.3">
      <c r="B995" s="489"/>
      <c r="C995" s="490"/>
      <c r="E995" s="491"/>
      <c r="G995" s="65"/>
    </row>
    <row r="996" spans="2:7" ht="14.25" customHeight="1" x14ac:dyDescent="0.3">
      <c r="B996" s="489"/>
      <c r="C996" s="490"/>
      <c r="E996" s="491"/>
      <c r="G996" s="65"/>
    </row>
    <row r="997" spans="2:7" ht="14.25" customHeight="1" x14ac:dyDescent="0.3">
      <c r="B997" s="489"/>
      <c r="C997" s="490"/>
      <c r="E997" s="491"/>
      <c r="G997" s="65"/>
    </row>
    <row r="998" spans="2:7" ht="14.25" customHeight="1" x14ac:dyDescent="0.3">
      <c r="B998" s="489"/>
      <c r="C998" s="490"/>
      <c r="E998" s="491"/>
      <c r="G998" s="65"/>
    </row>
    <row r="999" spans="2:7" ht="14.25" customHeight="1" x14ac:dyDescent="0.3">
      <c r="B999" s="489"/>
      <c r="C999" s="490"/>
      <c r="E999" s="491"/>
      <c r="G999" s="65"/>
    </row>
    <row r="1000" spans="2:7" ht="14.25" customHeight="1" x14ac:dyDescent="0.3">
      <c r="B1000" s="489"/>
      <c r="C1000" s="490"/>
      <c r="E1000" s="491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95"/>
      <c r="C1" s="562" t="s">
        <v>802</v>
      </c>
      <c r="D1" s="563"/>
      <c r="E1" s="563"/>
      <c r="F1" s="563"/>
      <c r="G1" s="563"/>
      <c r="H1" s="564"/>
      <c r="I1" s="496"/>
      <c r="J1" s="496"/>
      <c r="K1" s="496"/>
      <c r="L1" s="496"/>
      <c r="M1" s="497"/>
      <c r="N1" s="497"/>
      <c r="O1" s="497"/>
      <c r="P1" s="497"/>
      <c r="R1" s="23"/>
      <c r="U1" s="11"/>
    </row>
    <row r="2" spans="1:26" ht="14.25" customHeight="1" x14ac:dyDescent="0.3">
      <c r="A2" s="498" t="s">
        <v>676</v>
      </c>
      <c r="B2" s="499" t="s">
        <v>791</v>
      </c>
      <c r="C2" s="500" t="s">
        <v>803</v>
      </c>
      <c r="D2" s="500" t="s">
        <v>804</v>
      </c>
      <c r="E2" s="500" t="s">
        <v>805</v>
      </c>
      <c r="F2" s="500" t="s">
        <v>806</v>
      </c>
      <c r="G2" s="500" t="s">
        <v>807</v>
      </c>
      <c r="H2" s="500" t="s">
        <v>808</v>
      </c>
      <c r="I2" s="501" t="s">
        <v>809</v>
      </c>
      <c r="J2" s="501" t="s">
        <v>810</v>
      </c>
      <c r="K2" s="501" t="s">
        <v>811</v>
      </c>
      <c r="L2" s="501" t="s">
        <v>812</v>
      </c>
      <c r="M2" s="502" t="s">
        <v>813</v>
      </c>
      <c r="N2" s="502" t="s">
        <v>814</v>
      </c>
      <c r="O2" s="502" t="s">
        <v>811</v>
      </c>
      <c r="P2" s="502" t="s">
        <v>812</v>
      </c>
      <c r="Q2" s="503"/>
      <c r="R2" s="504" t="s">
        <v>815</v>
      </c>
      <c r="S2" s="503"/>
      <c r="T2" s="503"/>
      <c r="U2" s="505"/>
      <c r="V2" s="503"/>
      <c r="W2" s="503"/>
      <c r="X2" s="503"/>
      <c r="Y2" s="503"/>
      <c r="Z2" s="503"/>
    </row>
    <row r="3" spans="1:26" ht="14.25" customHeight="1" x14ac:dyDescent="0.3">
      <c r="A3" s="506">
        <v>2020</v>
      </c>
      <c r="B3" s="507" t="s">
        <v>816</v>
      </c>
      <c r="C3" s="508">
        <v>19.149999999999999</v>
      </c>
      <c r="D3" s="508"/>
      <c r="E3" s="508"/>
      <c r="F3" s="508"/>
      <c r="G3" s="508"/>
      <c r="H3" s="508">
        <v>0</v>
      </c>
      <c r="I3" s="509">
        <v>12452.14</v>
      </c>
      <c r="J3" s="509">
        <v>12025.27</v>
      </c>
      <c r="K3" s="509">
        <v>45.04</v>
      </c>
      <c r="L3" s="509">
        <v>471.91</v>
      </c>
      <c r="M3" s="510">
        <v>0</v>
      </c>
      <c r="N3" s="510">
        <v>0</v>
      </c>
      <c r="O3" s="510">
        <v>0</v>
      </c>
      <c r="P3" s="511">
        <v>0</v>
      </c>
      <c r="R3" s="23"/>
      <c r="U3" s="11"/>
    </row>
    <row r="4" spans="1:26" ht="14.25" customHeight="1" x14ac:dyDescent="0.3">
      <c r="A4" s="512">
        <v>2020</v>
      </c>
      <c r="B4" s="47" t="s">
        <v>817</v>
      </c>
      <c r="C4" s="513">
        <v>0</v>
      </c>
      <c r="D4" s="513"/>
      <c r="E4" s="513"/>
      <c r="F4" s="513"/>
      <c r="G4" s="513"/>
      <c r="H4" s="513">
        <v>0</v>
      </c>
      <c r="I4" s="514">
        <v>3102.37</v>
      </c>
      <c r="J4" s="514">
        <v>2996.68</v>
      </c>
      <c r="K4" s="514">
        <v>4.3</v>
      </c>
      <c r="L4" s="514">
        <v>109.99</v>
      </c>
      <c r="M4" s="515">
        <v>0</v>
      </c>
      <c r="N4" s="515">
        <v>0</v>
      </c>
      <c r="O4" s="515">
        <v>0</v>
      </c>
      <c r="P4" s="516">
        <v>0</v>
      </c>
      <c r="R4" s="23"/>
      <c r="U4" s="11"/>
    </row>
    <row r="5" spans="1:26" ht="14.25" customHeight="1" x14ac:dyDescent="0.3">
      <c r="A5" s="512">
        <v>2020</v>
      </c>
      <c r="B5" s="47" t="s">
        <v>818</v>
      </c>
      <c r="C5" s="513">
        <v>0</v>
      </c>
      <c r="D5" s="513"/>
      <c r="E5" s="513"/>
      <c r="F5" s="513"/>
      <c r="G5" s="513"/>
      <c r="H5" s="513">
        <v>0</v>
      </c>
      <c r="I5" s="514">
        <v>6554.06</v>
      </c>
      <c r="J5" s="514">
        <v>6488.57</v>
      </c>
      <c r="K5" s="514">
        <v>2.2799999999999998</v>
      </c>
      <c r="L5" s="514">
        <v>67.77</v>
      </c>
      <c r="M5" s="515">
        <v>0</v>
      </c>
      <c r="N5" s="515">
        <v>0</v>
      </c>
      <c r="O5" s="515">
        <v>0</v>
      </c>
      <c r="P5" s="516">
        <v>0</v>
      </c>
      <c r="R5" s="23"/>
      <c r="U5" s="11"/>
    </row>
    <row r="6" spans="1:26" ht="14.25" customHeight="1" x14ac:dyDescent="0.3">
      <c r="A6" s="517">
        <v>2020</v>
      </c>
      <c r="B6" s="518" t="s">
        <v>68</v>
      </c>
      <c r="C6" s="519">
        <f t="shared" ref="C6:F6" si="0">SUM(C2:C5)</f>
        <v>19.149999999999999</v>
      </c>
      <c r="D6" s="519">
        <f t="shared" si="0"/>
        <v>0</v>
      </c>
      <c r="E6" s="519">
        <f t="shared" si="0"/>
        <v>0</v>
      </c>
      <c r="F6" s="519">
        <f t="shared" si="0"/>
        <v>0</v>
      </c>
      <c r="G6" s="519"/>
      <c r="H6" s="519">
        <f t="shared" ref="H6:P6" si="1">SUM(H2:H5)</f>
        <v>0</v>
      </c>
      <c r="I6" s="520">
        <f t="shared" si="1"/>
        <v>22108.57</v>
      </c>
      <c r="J6" s="520">
        <f t="shared" si="1"/>
        <v>21510.52</v>
      </c>
      <c r="K6" s="520">
        <f t="shared" si="1"/>
        <v>51.62</v>
      </c>
      <c r="L6" s="520">
        <f t="shared" si="1"/>
        <v>649.66999999999996</v>
      </c>
      <c r="M6" s="521">
        <f t="shared" si="1"/>
        <v>0</v>
      </c>
      <c r="N6" s="521">
        <f t="shared" si="1"/>
        <v>0</v>
      </c>
      <c r="O6" s="521">
        <f t="shared" si="1"/>
        <v>0</v>
      </c>
      <c r="P6" s="522">
        <f t="shared" si="1"/>
        <v>0</v>
      </c>
      <c r="Q6" s="503"/>
      <c r="R6" s="523">
        <f>L6+P6</f>
        <v>649.66999999999996</v>
      </c>
      <c r="S6" s="503"/>
      <c r="T6" s="503"/>
      <c r="U6" s="505"/>
      <c r="V6" s="503"/>
      <c r="W6" s="503"/>
      <c r="X6" s="503"/>
      <c r="Y6" s="503"/>
      <c r="Z6" s="503"/>
    </row>
    <row r="7" spans="1:26" ht="14.25" customHeight="1" x14ac:dyDescent="0.3">
      <c r="A7" s="495"/>
      <c r="C7" s="524"/>
      <c r="D7" s="524"/>
      <c r="E7" s="524"/>
      <c r="F7" s="524"/>
      <c r="G7" s="524"/>
      <c r="H7" s="524"/>
      <c r="I7" s="496"/>
      <c r="J7" s="496"/>
      <c r="K7" s="496"/>
      <c r="L7" s="496"/>
      <c r="M7" s="497"/>
      <c r="N7" s="497"/>
      <c r="O7" s="497"/>
      <c r="P7" s="497"/>
      <c r="R7" s="23"/>
      <c r="U7" s="11"/>
    </row>
    <row r="8" spans="1:26" ht="14.25" customHeight="1" x14ac:dyDescent="0.3">
      <c r="A8" s="506">
        <v>2021</v>
      </c>
      <c r="B8" s="507" t="s">
        <v>819</v>
      </c>
      <c r="C8" s="508">
        <v>45.14</v>
      </c>
      <c r="D8" s="508"/>
      <c r="E8" s="508"/>
      <c r="F8" s="508"/>
      <c r="G8" s="508"/>
      <c r="H8" s="508">
        <v>0.94</v>
      </c>
      <c r="I8" s="509">
        <v>75774.039999999994</v>
      </c>
      <c r="J8" s="509">
        <v>72656.539999999994</v>
      </c>
      <c r="K8" s="509">
        <v>395.57</v>
      </c>
      <c r="L8" s="509">
        <v>3513.07</v>
      </c>
      <c r="M8" s="510">
        <v>1617.32</v>
      </c>
      <c r="N8" s="510">
        <v>1052.6500000000001</v>
      </c>
      <c r="O8" s="510">
        <v>0</v>
      </c>
      <c r="P8" s="511">
        <v>564.66999999999996</v>
      </c>
      <c r="R8" s="23"/>
      <c r="U8" s="11"/>
    </row>
    <row r="9" spans="1:26" ht="14.25" customHeight="1" x14ac:dyDescent="0.3">
      <c r="A9" s="512">
        <v>2021</v>
      </c>
      <c r="B9" s="47" t="s">
        <v>817</v>
      </c>
      <c r="C9" s="513">
        <v>0</v>
      </c>
      <c r="D9" s="513"/>
      <c r="E9" s="513"/>
      <c r="F9" s="513"/>
      <c r="G9" s="513"/>
      <c r="H9" s="513">
        <v>0</v>
      </c>
      <c r="I9" s="514">
        <v>15051.2</v>
      </c>
      <c r="J9" s="514">
        <v>14175.95</v>
      </c>
      <c r="K9" s="514">
        <v>13.41</v>
      </c>
      <c r="L9" s="514">
        <v>888.66</v>
      </c>
      <c r="M9" s="515">
        <v>570.67999999999995</v>
      </c>
      <c r="N9" s="515">
        <v>339.23</v>
      </c>
      <c r="O9" s="515">
        <v>0</v>
      </c>
      <c r="P9" s="516">
        <v>231.45</v>
      </c>
      <c r="R9" s="23"/>
      <c r="U9" s="11"/>
    </row>
    <row r="10" spans="1:26" ht="14.25" customHeight="1" x14ac:dyDescent="0.3">
      <c r="A10" s="512">
        <v>2021</v>
      </c>
      <c r="B10" s="47" t="s">
        <v>818</v>
      </c>
      <c r="C10" s="513">
        <v>0</v>
      </c>
      <c r="D10" s="513"/>
      <c r="E10" s="513"/>
      <c r="F10" s="513"/>
      <c r="G10" s="513"/>
      <c r="H10" s="513">
        <v>0</v>
      </c>
      <c r="I10" s="514">
        <v>11202.69</v>
      </c>
      <c r="J10" s="514">
        <v>10564.64</v>
      </c>
      <c r="K10" s="514">
        <v>15.33</v>
      </c>
      <c r="L10" s="514">
        <v>653.38</v>
      </c>
      <c r="M10" s="515">
        <v>426.17</v>
      </c>
      <c r="N10" s="515">
        <v>253.66</v>
      </c>
      <c r="O10" s="515">
        <v>0</v>
      </c>
      <c r="P10" s="516">
        <v>172.51</v>
      </c>
      <c r="R10" s="23"/>
      <c r="U10" s="11"/>
    </row>
    <row r="11" spans="1:26" ht="14.25" customHeight="1" x14ac:dyDescent="0.3">
      <c r="A11" s="517">
        <v>2021</v>
      </c>
      <c r="B11" s="518" t="s">
        <v>68</v>
      </c>
      <c r="C11" s="519">
        <f t="shared" ref="C11:P11" si="2">SUM(C8:C10)</f>
        <v>45.14</v>
      </c>
      <c r="D11" s="519">
        <f t="shared" si="2"/>
        <v>0</v>
      </c>
      <c r="E11" s="519">
        <f t="shared" si="2"/>
        <v>0</v>
      </c>
      <c r="F11" s="519">
        <f t="shared" si="2"/>
        <v>0</v>
      </c>
      <c r="G11" s="519">
        <f t="shared" si="2"/>
        <v>0</v>
      </c>
      <c r="H11" s="519">
        <f t="shared" si="2"/>
        <v>0.94</v>
      </c>
      <c r="I11" s="520">
        <f t="shared" si="2"/>
        <v>102027.93</v>
      </c>
      <c r="J11" s="520">
        <f t="shared" si="2"/>
        <v>97397.12999999999</v>
      </c>
      <c r="K11" s="520">
        <f t="shared" si="2"/>
        <v>424.31</v>
      </c>
      <c r="L11" s="520">
        <f t="shared" si="2"/>
        <v>5055.1100000000006</v>
      </c>
      <c r="M11" s="521">
        <f t="shared" si="2"/>
        <v>2614.17</v>
      </c>
      <c r="N11" s="521">
        <f t="shared" si="2"/>
        <v>1645.5400000000002</v>
      </c>
      <c r="O11" s="521">
        <f t="shared" si="2"/>
        <v>0</v>
      </c>
      <c r="P11" s="522">
        <f t="shared" si="2"/>
        <v>968.62999999999988</v>
      </c>
      <c r="Q11" s="503"/>
      <c r="R11" s="523">
        <f>L11+P11</f>
        <v>6023.7400000000007</v>
      </c>
      <c r="S11" s="503"/>
      <c r="T11" s="503"/>
      <c r="U11" s="505"/>
      <c r="V11" s="503"/>
      <c r="W11" s="503"/>
      <c r="X11" s="503"/>
      <c r="Y11" s="503"/>
      <c r="Z11" s="503"/>
    </row>
    <row r="12" spans="1:26" ht="14.25" customHeight="1" x14ac:dyDescent="0.3">
      <c r="A12" s="495"/>
      <c r="C12" s="524"/>
      <c r="D12" s="524"/>
      <c r="E12" s="524"/>
      <c r="F12" s="524"/>
      <c r="G12" s="524"/>
      <c r="H12" s="524"/>
      <c r="I12" s="496"/>
      <c r="J12" s="496"/>
      <c r="K12" s="496"/>
      <c r="L12" s="496"/>
      <c r="M12" s="497"/>
      <c r="N12" s="497"/>
      <c r="O12" s="497"/>
      <c r="P12" s="497"/>
      <c r="R12" s="23"/>
      <c r="U12" s="11"/>
    </row>
    <row r="13" spans="1:26" ht="14.25" customHeight="1" x14ac:dyDescent="0.3">
      <c r="A13" s="506">
        <v>2022</v>
      </c>
      <c r="B13" s="507" t="s">
        <v>816</v>
      </c>
      <c r="C13" s="508">
        <v>220.65</v>
      </c>
      <c r="D13" s="508"/>
      <c r="E13" s="508"/>
      <c r="F13" s="508">
        <v>12.93</v>
      </c>
      <c r="G13" s="508">
        <v>0.32</v>
      </c>
      <c r="H13" s="508">
        <v>0</v>
      </c>
      <c r="I13" s="509">
        <v>94983.37</v>
      </c>
      <c r="J13" s="509">
        <v>112827.17</v>
      </c>
      <c r="K13" s="509">
        <v>1902.03</v>
      </c>
      <c r="L13" s="509">
        <v>-15941.77</v>
      </c>
      <c r="M13" s="510">
        <v>22406.02</v>
      </c>
      <c r="N13" s="510">
        <v>29089.68</v>
      </c>
      <c r="O13" s="510">
        <v>2107.16</v>
      </c>
      <c r="P13" s="511">
        <v>-4576.5</v>
      </c>
      <c r="R13" s="23"/>
      <c r="U13" s="11"/>
    </row>
    <row r="14" spans="1:26" ht="14.25" customHeight="1" x14ac:dyDescent="0.3">
      <c r="A14" s="512">
        <v>2022</v>
      </c>
      <c r="B14" s="47" t="s">
        <v>817</v>
      </c>
      <c r="C14" s="513">
        <v>22.14</v>
      </c>
      <c r="D14" s="513"/>
      <c r="E14" s="513"/>
      <c r="F14" s="513">
        <v>1.2</v>
      </c>
      <c r="G14" s="513">
        <v>0.03</v>
      </c>
      <c r="H14" s="513">
        <v>0</v>
      </c>
      <c r="I14" s="514">
        <v>10363.58</v>
      </c>
      <c r="J14" s="514">
        <v>12096.94</v>
      </c>
      <c r="K14" s="514">
        <v>194.48</v>
      </c>
      <c r="L14" s="514">
        <v>-1538.88</v>
      </c>
      <c r="M14" s="515">
        <v>2634.85</v>
      </c>
      <c r="N14" s="515">
        <v>3549.22</v>
      </c>
      <c r="O14" s="515">
        <v>228.25</v>
      </c>
      <c r="P14" s="516">
        <v>-686.12</v>
      </c>
      <c r="R14" s="23"/>
      <c r="U14" s="11"/>
    </row>
    <row r="15" spans="1:26" ht="14.25" customHeight="1" x14ac:dyDescent="0.3">
      <c r="A15" s="512">
        <v>2022</v>
      </c>
      <c r="B15" s="47" t="s">
        <v>818</v>
      </c>
      <c r="C15" s="513">
        <v>22.04</v>
      </c>
      <c r="D15" s="513"/>
      <c r="E15" s="513"/>
      <c r="F15" s="513">
        <v>1.23</v>
      </c>
      <c r="G15" s="513">
        <v>0.03</v>
      </c>
      <c r="H15" s="513">
        <v>0</v>
      </c>
      <c r="I15" s="514">
        <v>9690.0300000000007</v>
      </c>
      <c r="J15" s="514">
        <v>11200.65</v>
      </c>
      <c r="K15" s="514">
        <v>164.55</v>
      </c>
      <c r="L15" s="514">
        <v>-1346.07</v>
      </c>
      <c r="M15" s="515">
        <v>2439.35</v>
      </c>
      <c r="N15" s="515">
        <v>3222.21</v>
      </c>
      <c r="O15" s="515">
        <v>231.38</v>
      </c>
      <c r="P15" s="516">
        <v>-551.48</v>
      </c>
      <c r="R15" s="23"/>
      <c r="S15" s="495">
        <v>2022</v>
      </c>
      <c r="T15" s="495">
        <v>2023</v>
      </c>
      <c r="U15" s="495">
        <v>2024</v>
      </c>
    </row>
    <row r="16" spans="1:26" ht="14.25" customHeight="1" x14ac:dyDescent="0.3">
      <c r="A16" s="517">
        <v>2022</v>
      </c>
      <c r="B16" s="518" t="s">
        <v>68</v>
      </c>
      <c r="C16" s="519">
        <f t="shared" ref="C16:P16" si="3">SUM(C13:C15)</f>
        <v>264.83000000000004</v>
      </c>
      <c r="D16" s="519">
        <f t="shared" si="3"/>
        <v>0</v>
      </c>
      <c r="E16" s="519">
        <f t="shared" si="3"/>
        <v>0</v>
      </c>
      <c r="F16" s="519">
        <f t="shared" si="3"/>
        <v>15.36</v>
      </c>
      <c r="G16" s="519">
        <f t="shared" si="3"/>
        <v>0.38</v>
      </c>
      <c r="H16" s="519">
        <f t="shared" si="3"/>
        <v>0</v>
      </c>
      <c r="I16" s="520">
        <f t="shared" si="3"/>
        <v>115036.98</v>
      </c>
      <c r="J16" s="520">
        <f t="shared" si="3"/>
        <v>136124.76</v>
      </c>
      <c r="K16" s="520">
        <f t="shared" si="3"/>
        <v>2261.06</v>
      </c>
      <c r="L16" s="520">
        <f t="shared" si="3"/>
        <v>-18826.72</v>
      </c>
      <c r="M16" s="521">
        <f t="shared" si="3"/>
        <v>27480.219999999998</v>
      </c>
      <c r="N16" s="521">
        <f t="shared" si="3"/>
        <v>35861.11</v>
      </c>
      <c r="O16" s="521">
        <f t="shared" si="3"/>
        <v>2566.79</v>
      </c>
      <c r="P16" s="522">
        <f t="shared" si="3"/>
        <v>-5814.1</v>
      </c>
      <c r="Q16" s="503"/>
      <c r="R16" s="504">
        <f>L16+P16</f>
        <v>-24640.82</v>
      </c>
      <c r="S16" s="504">
        <v>3000</v>
      </c>
      <c r="T16" s="504">
        <v>1200.55</v>
      </c>
      <c r="U16" s="525">
        <v>3000</v>
      </c>
      <c r="V16" s="503"/>
      <c r="W16" s="503"/>
      <c r="X16" s="503"/>
      <c r="Y16" s="503"/>
      <c r="Z16" s="503"/>
    </row>
    <row r="17" spans="1:26" ht="14.25" customHeight="1" x14ac:dyDescent="0.3">
      <c r="A17" s="495"/>
      <c r="C17" s="524"/>
      <c r="D17" s="524"/>
      <c r="E17" s="524"/>
      <c r="F17" s="524"/>
      <c r="G17" s="524"/>
      <c r="H17" s="524"/>
      <c r="I17" s="496"/>
      <c r="J17" s="496"/>
      <c r="K17" s="496"/>
      <c r="L17" s="496"/>
      <c r="M17" s="497"/>
      <c r="N17" s="497"/>
      <c r="O17" s="497"/>
      <c r="P17" s="497"/>
      <c r="R17" s="23"/>
      <c r="U17" s="11"/>
    </row>
    <row r="18" spans="1:26" ht="14.25" customHeight="1" x14ac:dyDescent="0.3">
      <c r="A18" s="506">
        <v>2023</v>
      </c>
      <c r="B18" s="507" t="s">
        <v>816</v>
      </c>
      <c r="C18" s="508">
        <v>531.49</v>
      </c>
      <c r="D18" s="508"/>
      <c r="E18" s="508">
        <v>1.08</v>
      </c>
      <c r="F18" s="508">
        <v>1.38</v>
      </c>
      <c r="G18" s="508">
        <v>7.34</v>
      </c>
      <c r="H18" s="508">
        <v>1.65</v>
      </c>
      <c r="I18" s="509">
        <v>30169.67</v>
      </c>
      <c r="J18" s="509">
        <v>31517.34</v>
      </c>
      <c r="K18" s="509">
        <v>680.55</v>
      </c>
      <c r="L18" s="509">
        <v>-667.12</v>
      </c>
      <c r="M18" s="510">
        <v>4072.37</v>
      </c>
      <c r="N18" s="510">
        <v>5526.03</v>
      </c>
      <c r="O18" s="510">
        <v>451.77</v>
      </c>
      <c r="P18" s="511">
        <v>-1001.89</v>
      </c>
      <c r="R18" s="23"/>
      <c r="U18" s="11"/>
    </row>
    <row r="19" spans="1:26" ht="14.25" customHeight="1" x14ac:dyDescent="0.3">
      <c r="A19" s="512">
        <v>2023</v>
      </c>
      <c r="B19" s="47" t="s">
        <v>820</v>
      </c>
      <c r="C19" s="513">
        <v>366.19</v>
      </c>
      <c r="D19" s="513"/>
      <c r="E19" s="513"/>
      <c r="F19" s="513"/>
      <c r="G19" s="513">
        <v>3.11</v>
      </c>
      <c r="H19" s="513">
        <v>3.66</v>
      </c>
      <c r="I19" s="514">
        <v>3673.22</v>
      </c>
      <c r="J19" s="514">
        <v>3685.42</v>
      </c>
      <c r="K19" s="514">
        <v>10.91</v>
      </c>
      <c r="L19" s="514">
        <v>-1.29</v>
      </c>
      <c r="M19" s="515">
        <v>610.11</v>
      </c>
      <c r="N19" s="515">
        <v>701.93</v>
      </c>
      <c r="O19" s="515">
        <v>1.48</v>
      </c>
      <c r="P19" s="516">
        <v>-90.34</v>
      </c>
      <c r="R19" s="23"/>
      <c r="U19" s="11"/>
    </row>
    <row r="20" spans="1:26" ht="14.25" customHeight="1" x14ac:dyDescent="0.3">
      <c r="A20" s="512">
        <v>2023</v>
      </c>
      <c r="B20" s="47" t="s">
        <v>817</v>
      </c>
      <c r="C20" s="513">
        <v>36.15</v>
      </c>
      <c r="D20" s="513"/>
      <c r="E20" s="513">
        <v>0.1</v>
      </c>
      <c r="F20" s="513">
        <v>0.13</v>
      </c>
      <c r="G20" s="513">
        <v>0.64</v>
      </c>
      <c r="H20" s="513">
        <v>0.09</v>
      </c>
      <c r="I20" s="514">
        <v>6803.5</v>
      </c>
      <c r="J20" s="514">
        <v>6582.31</v>
      </c>
      <c r="K20" s="514">
        <v>50.59</v>
      </c>
      <c r="L20" s="514">
        <v>271.77999999999997</v>
      </c>
      <c r="M20" s="515">
        <v>830.72</v>
      </c>
      <c r="N20" s="515">
        <v>1041.3599999999999</v>
      </c>
      <c r="O20" s="515">
        <v>60.19</v>
      </c>
      <c r="P20" s="516">
        <v>-150.44999999999999</v>
      </c>
      <c r="R20" s="23"/>
      <c r="U20" s="11"/>
    </row>
    <row r="21" spans="1:26" ht="14.25" customHeight="1" x14ac:dyDescent="0.3">
      <c r="A21" s="512">
        <v>2023</v>
      </c>
      <c r="B21" s="47" t="s">
        <v>818</v>
      </c>
      <c r="C21" s="513">
        <v>56.85</v>
      </c>
      <c r="D21" s="513"/>
      <c r="E21" s="513">
        <v>0.11</v>
      </c>
      <c r="F21" s="513">
        <v>0.15</v>
      </c>
      <c r="G21" s="513">
        <v>0.77</v>
      </c>
      <c r="H21" s="513">
        <v>0.18</v>
      </c>
      <c r="I21" s="514">
        <v>2976.71</v>
      </c>
      <c r="J21" s="514">
        <v>3097.87</v>
      </c>
      <c r="K21" s="514">
        <v>58.34</v>
      </c>
      <c r="L21" s="514">
        <v>-62.82</v>
      </c>
      <c r="M21" s="515">
        <v>441.52</v>
      </c>
      <c r="N21" s="515">
        <v>587.78</v>
      </c>
      <c r="O21" s="515">
        <v>48.94</v>
      </c>
      <c r="P21" s="516">
        <v>-97.32</v>
      </c>
      <c r="R21" s="23"/>
      <c r="S21" s="495">
        <v>2023</v>
      </c>
      <c r="U21" s="11"/>
    </row>
    <row r="22" spans="1:26" ht="14.25" customHeight="1" x14ac:dyDescent="0.3">
      <c r="A22" s="517">
        <v>2023</v>
      </c>
      <c r="B22" s="518" t="s">
        <v>68</v>
      </c>
      <c r="C22" s="519">
        <f>SUM(C18:C21)</f>
        <v>990.68000000000006</v>
      </c>
      <c r="D22" s="519"/>
      <c r="E22" s="519">
        <f t="shared" ref="E22:P22" si="4">SUM(E18:E21)</f>
        <v>1.2900000000000003</v>
      </c>
      <c r="F22" s="519">
        <f t="shared" si="4"/>
        <v>1.6599999999999997</v>
      </c>
      <c r="G22" s="519">
        <f t="shared" si="4"/>
        <v>11.86</v>
      </c>
      <c r="H22" s="519">
        <f t="shared" si="4"/>
        <v>5.58</v>
      </c>
      <c r="I22" s="520">
        <f t="shared" si="4"/>
        <v>43623.1</v>
      </c>
      <c r="J22" s="520">
        <f t="shared" si="4"/>
        <v>44882.94</v>
      </c>
      <c r="K22" s="520">
        <f t="shared" si="4"/>
        <v>800.39</v>
      </c>
      <c r="L22" s="520">
        <f t="shared" si="4"/>
        <v>-459.45</v>
      </c>
      <c r="M22" s="521">
        <f t="shared" si="4"/>
        <v>5954.7199999999993</v>
      </c>
      <c r="N22" s="521">
        <f t="shared" si="4"/>
        <v>7857.0999999999995</v>
      </c>
      <c r="O22" s="521">
        <f t="shared" si="4"/>
        <v>562.38000000000011</v>
      </c>
      <c r="P22" s="522">
        <f t="shared" si="4"/>
        <v>-1340</v>
      </c>
      <c r="Q22" s="503"/>
      <c r="R22" s="523">
        <f>L22+P22</f>
        <v>-1799.45</v>
      </c>
      <c r="S22" s="523">
        <v>1799.45</v>
      </c>
      <c r="T22" s="503"/>
      <c r="U22" s="505"/>
      <c r="V22" s="503"/>
      <c r="W22" s="503"/>
      <c r="X22" s="503"/>
      <c r="Y22" s="503"/>
      <c r="Z22" s="503"/>
    </row>
    <row r="23" spans="1:26" ht="14.25" customHeight="1" x14ac:dyDescent="0.3">
      <c r="A23" s="495"/>
      <c r="C23" s="524"/>
      <c r="D23" s="524"/>
      <c r="E23" s="524"/>
      <c r="F23" s="524"/>
      <c r="G23" s="524"/>
      <c r="H23" s="524"/>
      <c r="I23" s="496"/>
      <c r="J23" s="496"/>
      <c r="K23" s="496"/>
      <c r="L23" s="496"/>
      <c r="M23" s="497"/>
      <c r="N23" s="497"/>
      <c r="O23" s="497"/>
      <c r="P23" s="497"/>
      <c r="R23" s="23"/>
      <c r="U23" s="11"/>
    </row>
    <row r="24" spans="1:26" ht="14.25" customHeight="1" x14ac:dyDescent="0.3">
      <c r="A24" s="526">
        <v>2024</v>
      </c>
      <c r="B24" s="527">
        <v>255006</v>
      </c>
      <c r="C24" s="528">
        <v>1017.8</v>
      </c>
      <c r="D24" s="528">
        <v>0.73</v>
      </c>
      <c r="E24" s="528">
        <v>0</v>
      </c>
      <c r="F24" s="528">
        <v>0</v>
      </c>
      <c r="G24" s="528">
        <v>15.21</v>
      </c>
      <c r="H24" s="528">
        <v>0.88</v>
      </c>
      <c r="I24" s="529">
        <v>14079.67</v>
      </c>
      <c r="J24" s="529">
        <v>13840.06</v>
      </c>
      <c r="K24" s="529">
        <v>106.57</v>
      </c>
      <c r="L24" s="529">
        <v>346.18</v>
      </c>
      <c r="M24" s="530">
        <v>31521.56</v>
      </c>
      <c r="N24" s="530">
        <v>25753.85</v>
      </c>
      <c r="O24" s="530">
        <v>4.93</v>
      </c>
      <c r="P24" s="531">
        <v>5772.64</v>
      </c>
      <c r="Q24" s="503"/>
      <c r="R24" s="504">
        <f>L24+P24</f>
        <v>6118.8200000000006</v>
      </c>
      <c r="S24" s="503"/>
      <c r="T24" s="503"/>
      <c r="U24" s="505"/>
      <c r="V24" s="503"/>
      <c r="W24" s="503"/>
      <c r="X24" s="503"/>
      <c r="Y24" s="503"/>
      <c r="Z24" s="503"/>
    </row>
    <row r="25" spans="1:26" ht="14.25" customHeight="1" x14ac:dyDescent="0.3">
      <c r="A25" s="49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9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9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9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9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9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9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9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9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9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9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9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9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9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9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9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9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9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9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9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9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9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9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9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9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9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9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9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9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9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9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9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9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9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9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9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9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9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9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9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9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9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9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9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9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9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9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9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9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9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9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9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9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9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9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9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9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9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9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9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9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9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9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9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9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9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9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9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9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9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9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9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9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9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9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9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9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9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9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9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9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9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9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9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9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9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9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9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9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9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9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9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9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9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9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9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9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9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9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9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9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9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9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9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9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9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9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9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9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9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9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9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9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9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9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9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9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9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9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9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9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9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9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9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9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9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9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9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9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9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9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9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9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9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9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9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9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9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9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9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9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9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9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9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9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9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9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9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9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9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9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9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9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9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9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9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9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9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9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9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9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9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9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9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9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9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9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9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9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9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9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9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9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9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9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9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9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9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9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9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9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9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9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9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9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9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9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9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9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9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9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9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9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9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9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9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9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9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9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9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9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9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9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9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9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9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9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9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9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9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9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9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9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9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9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9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9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9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9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9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9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9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9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9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9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9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9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9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9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9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9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9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9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9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9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9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9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9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9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9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9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9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9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9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9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9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9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9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9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9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9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9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9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9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9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9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9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9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9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9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9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9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9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9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9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9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9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9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9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9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9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9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9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9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9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9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9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9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9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9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9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9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9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9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9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9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9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9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9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9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9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9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9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9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9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9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9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9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9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9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9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9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9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9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9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9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9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9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9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9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9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9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9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9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9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9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9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9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9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9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9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9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9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9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9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9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9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9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9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9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9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9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9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9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9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9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9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9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9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9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9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9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9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9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9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9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9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9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9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9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9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9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9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9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9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9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9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9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9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9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9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9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9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9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9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9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9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9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9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9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9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9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9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9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9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9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9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9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9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9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9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9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9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9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9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9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9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9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9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9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9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9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9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9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9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9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9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9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9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9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9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9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9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9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9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9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9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9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9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9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9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9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9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9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9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9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9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9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9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9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9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9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9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9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9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9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9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9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9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9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9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9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9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9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9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9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9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9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9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9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9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9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9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9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9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9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9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9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9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9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9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9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9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9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9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9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9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9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9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9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9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9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9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9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9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9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9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9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9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9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9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9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9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9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9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9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9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9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9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9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9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9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9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9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9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9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9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9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9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9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9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9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9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9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9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9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9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9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9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9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9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9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9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9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9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9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9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9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9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9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9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9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9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9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9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9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9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9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9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9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9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9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9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9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9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9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9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9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9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9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9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9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9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9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9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9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9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9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9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9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9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9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9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9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9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9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9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9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9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9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9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9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9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9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9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9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9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9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9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9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9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9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9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9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9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9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9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9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9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9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9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9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9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9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9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9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9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9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9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9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9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9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9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9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9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9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9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9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9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9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9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9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9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9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9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9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9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9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9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9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9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9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9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9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9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9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9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9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9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9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9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9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9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9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9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9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9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9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9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9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9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9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9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9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9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9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9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9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9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9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9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9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9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9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9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9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9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9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9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9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9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9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9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9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9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9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9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9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9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9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9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9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9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9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9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9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9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9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9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9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9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9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9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9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9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9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9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9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9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9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9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9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9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9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9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9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9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9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9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9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9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9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9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9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9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9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9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9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9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9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9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9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9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9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9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9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9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9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9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9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9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9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9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9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9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9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9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9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9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9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9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9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9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9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9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9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9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9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9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9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9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9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9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9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9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9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9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9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9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9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9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9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9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9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9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9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9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9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9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9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9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9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9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9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9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9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9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9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9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9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9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9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9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9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9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9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9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9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9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9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9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9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9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9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9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9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9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9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9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9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9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9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9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9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9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9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9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9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9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9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9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9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9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9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9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9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9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9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9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9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9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9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9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9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9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9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9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9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9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9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9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9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9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9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9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9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9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9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9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9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9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9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9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9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9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9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9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9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9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9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9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9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9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9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9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9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9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9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9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9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9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9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9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9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9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9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9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9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9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9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9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9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9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9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9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9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9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9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9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9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9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9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9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9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9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9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9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9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9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9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9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9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9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9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9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9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9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9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9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9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9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9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9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9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9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9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9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9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9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9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9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9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9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9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9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9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9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9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9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9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9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9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9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9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9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9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9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9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9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9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9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9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9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9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9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9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9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9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9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9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9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9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9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9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9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9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9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9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9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9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9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9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9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9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9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9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9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9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9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9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9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9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9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9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9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9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9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9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9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9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9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9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9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9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9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9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9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9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9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9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9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9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9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9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9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9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9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9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9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9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9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9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9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9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9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9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9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9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9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9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9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9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9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9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9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9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2026-05-13T09:58:21Z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